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2019 (after)" sheetId="2" r:id="rId5"/>
    <sheet state="visible" name="2019" sheetId="3" r:id="rId6"/>
    <sheet state="visible" name="2018" sheetId="4" r:id="rId7"/>
    <sheet state="visible" name="2017" sheetId="5" r:id="rId8"/>
    <sheet state="visible" name="2016" sheetId="6" r:id="rId9"/>
    <sheet state="visible" name="2015" sheetId="7" r:id="rId10"/>
    <sheet state="visible" name="2014" sheetId="8" r:id="rId11"/>
    <sheet state="visible" name="2013" sheetId="9" r:id="rId12"/>
    <sheet state="visible" name="2012" sheetId="10" r:id="rId13"/>
    <sheet state="visible" name="OA List" sheetId="11" r:id="rId14"/>
    <sheet state="visible" name="2011" sheetId="12" r:id="rId15"/>
  </sheets>
  <externalReferences>
    <externalReference r:id="rId16"/>
  </externalReferences>
  <definedNames>
    <definedName hidden="1" localSheetId="1" name="_xlnm._FilterDatabase">'2019 (after)'!$A$1:$AA$983</definedName>
    <definedName hidden="1" localSheetId="2" name="_xlnm._FilterDatabase">'2019'!$A$1:$AO$983</definedName>
    <definedName hidden="1" localSheetId="3" name="_xlnm._FilterDatabase">'2018'!$A$1:$AC$836</definedName>
    <definedName hidden="1" localSheetId="4" name="_xlnm._FilterDatabase">'2017'!$A$1:$AC$850</definedName>
    <definedName hidden="1" localSheetId="5" name="_xlnm._FilterDatabase">'2016'!$A$1:$AB$702</definedName>
    <definedName hidden="1" localSheetId="7" name="_xlnm._FilterDatabase">'2014'!$A$1:$Y$400</definedName>
    <definedName hidden="1" localSheetId="9" name="_xlnm._FilterDatabase">'2012'!$B$1:$B$1000</definedName>
    <definedName hidden="1" localSheetId="0" name="Z_CF86F120_DE02_4EBC_8B6A_E39704F3764C_.wvu.FilterData">'2020'!$A$1:$AN$9</definedName>
    <definedName hidden="1" localSheetId="2" name="Z_CF86F120_DE02_4EBC_8B6A_E39704F3764C_.wvu.FilterData">'2019'!$A$1:$AO$491</definedName>
    <definedName hidden="1" localSheetId="2" name="Z_303C54EC_9D0C_4832_9CE8_E39D5BEC77B0_.wvu.FilterData">'2019'!$A$1:$AO$983</definedName>
    <definedName hidden="1" localSheetId="0" name="Z_C9A0C243_7E73_4FE7_8E7C_67ABE88D82FD_.wvu.FilterData">'2020'!$A$1:$AM$9</definedName>
    <definedName hidden="1" localSheetId="2" name="Z_C9A0C243_7E73_4FE7_8E7C_67ABE88D82FD_.wvu.FilterData">'2019'!$A$1:$AN$420</definedName>
    <definedName hidden="1" localSheetId="8" name="Z_C9A0C243_7E73_4FE7_8E7C_67ABE88D82FD_.wvu.FilterData">'2013'!$B$1:$B$345</definedName>
    <definedName hidden="1" localSheetId="0" name="Z_8798D8E6_08A3_4DF0_BF38_B8A7A8E14894_.wvu.FilterData">'2020'!$A$1:$AM$9</definedName>
    <definedName hidden="1" localSheetId="2" name="Z_8798D8E6_08A3_4DF0_BF38_B8A7A8E14894_.wvu.FilterData">'2019'!$A$1:$AN$420</definedName>
  </definedNames>
  <calcPr/>
  <customWorkbookViews>
    <customWorkbookView activeSheetId="0" maximized="1" windowHeight="0" windowWidth="0" guid="{CF86F120-DE02-4EBC-8B6A-E39704F3764C}" name="篩選器 3"/>
    <customWorkbookView activeSheetId="0" maximized="1" windowHeight="0" windowWidth="0" guid="{303C54EC-9D0C-4832-9CE8-E39D5BEC77B0}" name="篩選器 4"/>
    <customWorkbookView activeSheetId="0" maximized="1" windowHeight="0" windowWidth="0" guid="{C9A0C243-7E73-4FE7-8E7C-67ABE88D82FD}" name="篩選器 1"/>
    <customWorkbookView activeSheetId="0" maximized="1" windowHeight="0" windowWidth="0" guid="{8798D8E6-08A3-4DF0-BF38-B8A7A8E14894}" name="篩選器 2"/>
  </customWorkbookViews>
  <extLst>
    <ext uri="GoogleSheetsCustomDataVersion2">
      <go:sheetsCustomData xmlns:go="http://customooxmlschemas.google.com/" r:id="rId17" roundtripDataChecksum="MIopIk7IeGpFvHcVBfFiR4qTTrIwu36JpQgBQTOW7H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6">
      <text>
        <t xml:space="preserve">======
ID#AAABjx7qWaw
    (2025-05-21 11:33:27)
ALICE:11/7-COMINTEL匯入USD7924沖PI-20191030003 USD7924</t>
      </text>
    </comment>
    <comment authorId="0" ref="N10">
      <text>
        <t xml:space="preserve">======
ID#AAABjx7qWaA
    (2025-05-21 11:33:27)
0717:YVONNE下單</t>
      </text>
    </comment>
    <comment authorId="0" ref="L35">
      <text>
        <t xml:space="preserve">======
ID#AAABjx7qWVE
    (2025-05-21 11:33:27)
到貨我司</t>
      </text>
    </comment>
    <comment authorId="0" ref="K17">
      <text>
        <t xml:space="preserve">======
ID#AAABjx7qWUI
    (2025-05-21 11:33:27)
1202yvonne:已通知客戶交期延期</t>
      </text>
    </comment>
    <comment authorId="0" ref="D9">
      <text>
        <t xml:space="preserve">======
ID#AAABjx7qWSE
    (2025-05-21 11:33:27)
190109 Tammy: 抽驗即可, 謝謝</t>
      </text>
    </comment>
    <comment authorId="0" ref="AB1">
      <text>
        <t xml:space="preserve">======
ID#AAABjx7qWJc
    (2025-05-21 11:33:27)
此欄位針對某些特定客戶. 要求使用出貨前一天的匯率. 才開發票的客戶. 例如 Z 和 Pharms</t>
      </text>
    </comment>
    <comment authorId="0" ref="J57">
      <text>
        <t xml:space="preserve">======
ID#AAABjx7qWA4
    (2025-05-21 11:33:27)
191213 出貨前要再確認20191203001是否要一起安排
200109 一起出</t>
      </text>
    </comment>
    <comment authorId="0" ref="N12">
      <text>
        <t xml:space="preserve">======
ID#AAABjx7qWAg
    (2025-05-21 11:33:27)
0717:YVONNE下單</t>
      </text>
    </comment>
    <comment authorId="0" ref="J12">
      <text>
        <t xml:space="preserve">======
ID#AAABjx7qV9U
    (2025-05-21 11:33:27)
190717 Tammy: 收到貨款後, 才出貨</t>
      </text>
    </comment>
    <comment authorId="0" ref="H7">
      <text>
        <t xml:space="preserve">======
ID#AAABjx7qV8s
    (2025-05-21 11:33:27)
Alice:2/14一銀收到匯入USD4250(內含手續費USD6.68)</t>
      </text>
    </comment>
    <comment authorId="0" ref="H4">
      <text>
        <t xml:space="preserve">======
ID#AAABjx7qV50
    (2025-05-21 11:33:27)
ALICE:1/22-一銀收到USD8500(內含手續費USD6.68)沖PI-20190227I USD8500</t>
      </text>
    </comment>
    <comment authorId="0" ref="H61">
      <text>
        <t xml:space="preserve">======
ID#AAABjx7qV3U
    (2025-05-21 11:33:27)
ALICE:2020/1/30一銀收款USD3356沖PI20191121001 USD480+PI-20191216002 USD280+USD189+PI-20191216003 USD381+290+1736總沖USD3356(內含手續費36.62元整)</t>
      </text>
    </comment>
    <comment authorId="0" ref="H60">
      <text>
        <t xml:space="preserve">======
ID#AAABjx7qV2s
    (2025-05-21 11:33:27)
ALICE:2020/1/30一銀收款USD3356沖PI20191121001 USD480+PI-20191216002 USD280+USD189+PI-20191216003 USD381+290+1736總沖USD3356(內含手續費36.62元整)
ALICE:2/21一銀收到USD8587.2沖PI20200102001 USD5432+PI-20191216003 USD1020+PI-20191216002 USD2232-前期折讓USD96.8</t>
      </text>
    </comment>
    <comment authorId="0" ref="L18">
      <text>
        <t xml:space="preserve">======
ID#AAABjx7qV2c
    (2025-05-21 11:33:27)
貨到戎克</t>
      </text>
    </comment>
    <comment authorId="0" ref="H1">
      <text>
        <t xml:space="preserve">======
ID#AAABjx7qVuY
20181001 San    (2025-05-21 11:33:27)
美金
20190718 chloe:
總價- 
國內單價(含稅)
國外單價(不含稅)</t>
      </text>
    </comment>
    <comment authorId="0" ref="H72">
      <text>
        <t xml:space="preserve">======
ID#AAABjx7qVrQ
    (2025-05-21 11:33:27)
ALICE:3/12一銀收款USD1946(總收USD2156)</t>
      </text>
    </comment>
    <comment authorId="0" ref="H13">
      <text>
        <t xml:space="preserve">======
ID#AAABjx7qVo8
    (2025-05-21 11:33:27)
Alice:2/7一銀收到Hatteland匯入款USD52920(內含手續費USD26.45)沖PI-20191009008 USD52920</t>
      </text>
    </comment>
    <comment authorId="0" ref="H25">
      <text>
        <t xml:space="preserve">======
ID#AAABjx7qVjc
    (2025-05-21 11:33:27)
ALICE:2/24一銀收到USD12104沖PI-20191127001 USD6784+PI-20191104001 USD2014+PI-20191213001 USD3306</t>
      </text>
    </comment>
    <comment authorId="0" ref="H6">
      <text>
        <t xml:space="preserve">======
ID#AAABjx7qVjU
    (2025-05-21 11:33:27)
Alice:2/14一銀收到匯入USD4250(內含手續費USD6.68)</t>
      </text>
    </comment>
    <comment authorId="0" ref="H46">
      <text>
        <t xml:space="preserve">======
ID#AAABjx7qVW4
    (2025-05-21 11:33:27)
ALICE:12/20匯入USD20,306(內含銀行手續費USD54.62)沖PI-20191128001 USD4686+PI-20191128003 USD10934 +PI-20191209001 USD4686 總計USD20306元整</t>
      </text>
    </comment>
    <comment authorId="0" ref="AH1">
      <text>
        <t xml:space="preserve">======
ID#AAABjx7qVUs
    (2025-05-21 11:33:27)
銀行淨收款</t>
      </text>
    </comment>
    <comment authorId="0" ref="D17">
      <text>
        <t xml:space="preserve">======
ID#AAABjx7qVSs
    (2025-05-21 11:33:27)
10/30 請CHLOE 協助下單 
11/5 Cathy: 已有告知YAP L/T: 16 W &amp; 客人告知下單</t>
      </text>
    </comment>
    <comment authorId="0" ref="L17">
      <text>
        <t xml:space="preserve">======
ID#AAABjx7qVR8
    (2025-05-21 11:33:27)
貨到戎克</t>
      </text>
    </comment>
    <comment authorId="0" ref="L5">
      <text>
        <t xml:space="preserve">======
ID#AAABjx7qVPQ
    (2025-05-21 11:33:27)
1008YVONNE:新漢要求提前出貨，因此提前交期。</t>
      </text>
    </comment>
    <comment authorId="0" ref="H62">
      <text>
        <t xml:space="preserve">======
ID#AAABjx7qVOg
    (2025-05-21 11:33:27)
ALICE:2/21一銀收到USD8587.2沖PI20200102001 USD5432+PI-20191216003 USD1020+PI-20191216002 USD2232-前期折讓USD96.8</t>
      </text>
    </comment>
    <comment authorId="0" ref="H63">
      <text>
        <t xml:space="preserve">======
ID#AAABjx7qVMw
    (2025-05-21 11:33:27)
ALICE:2020/1/30一銀收款USD3356沖PI20191121001 USD480+PI-20191216002 USD280+USD189+PI-20191216003 USD381+290+1736總沖USD3356(內含手續費36.62元整)</t>
      </text>
    </comment>
    <comment authorId="0" ref="K21">
      <text>
        <t xml:space="preserve">======
ID#AAABjx7qVGg
    (2025-05-21 11:33:27)
1104YVONNE:出貨前請SANTIAGO拍照。
1219yvonne:超恩跳票，承諾2020/1/7出貨。</t>
      </text>
    </comment>
    <comment authorId="0" ref="H68">
      <text>
        <t xml:space="preserve">======
ID#AAABjx7qVF4
    (2025-05-21 11:33:27)
ALICE:3/12一銀收款USD1946(總收USD2156)</t>
      </text>
    </comment>
    <comment authorId="0" ref="K19">
      <text>
        <t xml:space="preserve">======
ID#AAABjx7qVDY
    (2025-05-21 11:33:27)
1104YVONNE:出貨前請SANTIAGO拍照。
1219yvonne:超恩跳票，承諾2020/1/7出貨。</t>
      </text>
    </comment>
    <comment authorId="0" ref="G1">
      <text>
        <t xml:space="preserve">======
ID#AAABjx7qVBc
    (2025-05-21 11:33:27)
20181001 San: 美金
20190718 chloe:
單價- 
國內單價(含稅)
國外單價(不含稅)</t>
      </text>
    </comment>
    <comment authorId="0" ref="K49">
      <text>
        <t xml:space="preserve">======
ID#AAABjx7qU74
    (2025-05-21 11:33:27)
1202YVONNE:暫押交期，待bruce確認主板。</t>
      </text>
    </comment>
    <comment authorId="0" ref="L2">
      <text>
        <t xml:space="preserve">======
ID#AAABjx7qU6s
    (2025-05-21 11:33:27)
1008YVONNE:新漢要求提前出貨，因此提前交期。</t>
      </text>
    </comment>
    <comment authorId="0" ref="L36">
      <text>
        <t xml:space="preserve">======
ID#AAABjx7qU5I
    (2025-05-21 11:33:26)
到貨我司</t>
      </text>
    </comment>
    <comment authorId="0" ref="L14">
      <text>
        <t xml:space="preserve">======
ID#AAABjx7qU2w
    (2025-05-21 11:33:26)
chloe: 1107 Pull in 12/27 那週交貨→廠商尚未回覆</t>
      </text>
    </comment>
    <comment authorId="0" ref="K22">
      <text>
        <t xml:space="preserve">======
ID#AAABjx7qUy4
    (2025-05-21 11:33:26)
1104YVONNE:出貨前請SANTIAGO拍照。
1219yvonne:超恩跳票，承諾2020/1/7出貨。</t>
      </text>
    </comment>
    <comment authorId="0" ref="H19">
      <text>
        <t xml:space="preserve">======
ID#AAABjx7qTrQ
    (2025-05-21 11:33:26)
ALICE:2/24一銀收到USD12104沖PI-20191127001 USD6784+PI-20191104001 USD2014+PI-20191213001 USD3306</t>
      </text>
    </comment>
    <comment authorId="0" ref="J51">
      <text>
        <t xml:space="preserve">======
ID#AAABjx7qTjM
    (2025-05-21 11:33:26)
191213 出貨前要再確認20191203001是否要一起安排
200109 一起出</t>
      </text>
    </comment>
    <comment authorId="0" ref="H67">
      <text>
        <t xml:space="preserve">======
ID#AAABjx7qThI
    (2025-05-21 11:33:26)
ALICE:1/7-科技國匯入NT21,784預收貨款(合庫)</t>
      </text>
    </comment>
    <comment authorId="0" ref="D64">
      <text>
        <t xml:space="preserve">======
ID#AAABjx7qTg8
    (2025-05-21 11:33:26)
20191219  請chloe協助下單</t>
      </text>
    </comment>
    <comment authorId="0" ref="K55">
      <text>
        <t xml:space="preserve">======
ID#AAABjx7qTe0
    (2025-05-21 11:33:26)
1202YVONNE:暫押交期，待bruce確認主板。</t>
      </text>
    </comment>
    <comment authorId="0" ref="K15">
      <text>
        <t xml:space="preserve">======
ID#AAABjx7qTEw
    (2025-05-21 11:33:26)
1202yvonne:已通知客戶交期延期</t>
      </text>
    </comment>
    <comment authorId="0" ref="AL1">
      <text>
        <t xml:space="preserve">======
ID#AAABjx7qTDU
    (2025-05-21 11:33:26)
專案=需部門協調組裝
買賣=買賣
維修=RMA</t>
      </text>
    </comment>
    <comment authorId="0" ref="H56">
      <text>
        <t xml:space="preserve">======
ID#AAABjx7qS7I
    (2025-05-21 11:33:26)
ALICE:12/20匯入USD20,306(內含銀行手續費USD54.62)沖PI-20191128001 USD4686+PI-20191128003 USD10934 +PI-20191209001 USD4686 總計USD20306元整</t>
      </text>
    </comment>
    <comment authorId="0" ref="K73">
      <text>
        <t xml:space="preserve">======
ID#AAABjx7qS5s
    (2025-05-21 11:33:26)
12/27 請盡可能與其他訂單一併出貨</t>
      </text>
    </comment>
    <comment authorId="0" ref="D26">
      <text>
        <t xml:space="preserve">======
ID#AAABjx7qStY
    (2025-05-21 11:33:26)
11/8 cathy: 請Chloe 請協助下單</t>
      </text>
    </comment>
    <comment authorId="0" ref="L1">
      <text>
        <t xml:space="preserve">======
ID#AAABjx7qSgM
●0818 chloe    (2025-05-21 11:33:26)
1)理貨人員貨到後再將此反黑
2)理貨人員請在出貨單簽名及日期
廠商到貨公司日期
黑色=實到
紅色=預計
● 抵達戎克反黑
1) 理貨人員
2)倉管人員
3)採購</t>
      </text>
    </comment>
    <comment authorId="0" ref="H11">
      <text>
        <t xml:space="preserve">======
ID#AAABjx7qSas
    (2025-05-21 11:33:26)
Alice:2/7一銀收到Hatteland匯入款USD52920(內含手續費USD26.45)沖PI-20191009008 USD52920</t>
      </text>
    </comment>
    <comment authorId="0" ref="K16">
      <text>
        <t xml:space="preserve">======
ID#AAABjx7qSaQ
    (2025-05-21 11:33:26)
1202yvonne:已通知客戶交期延期</t>
      </text>
    </comment>
    <comment authorId="0" ref="H70">
      <text>
        <t xml:space="preserve">======
ID#AAABjx7qSW8
    (2025-05-21 11:33:26)
ALICE:3/12一銀收款USD1946(總收USD2156)</t>
      </text>
    </comment>
    <comment authorId="0" ref="N26">
      <text>
        <t xml:space="preserve">======
ID#AAABjx7qST8
    (2025-05-21 11:33:26)
專案價申請中</t>
      </text>
    </comment>
    <comment authorId="0" ref="L15">
      <text>
        <t xml:space="preserve">======
ID#AAABjx7qSII
    (2025-05-21 11:33:26)
貨到戎克</t>
      </text>
    </comment>
    <comment authorId="0" ref="H31">
      <text>
        <t xml:space="preserve">======
ID#AAABjx7qSBQ
    (2025-05-21 11:33:25)
在此輸入
ALICE:原7/30-Aironix 應收USD1024.2 實收1121=多收USD96.8 *31.03 故多收的部份轉預收沖抵 USD96.8 PI-20191121001
ALICE:2020/1/30一銀收款USD3356沖PI20191121001 USD480+PI-20191216002 USD280+USD189+PI-20191216003 USD381+290+1736總沖USD3356(內含手續費36.62元整)</t>
      </text>
    </comment>
    <comment authorId="0" ref="AK1">
      <text>
        <t xml:space="preserve">======
ID#AAABjx7qR2E
    (2025-05-21 11:33:25)
已結案
取消
獎金計算中...Chloe拉狀態
進行中(空白)
進行中-&gt;獎金計算中-&gt;已結案</t>
      </text>
    </comment>
    <comment authorId="0" ref="H69">
      <text>
        <t xml:space="preserve">======
ID#AAABjx7qRz8
    (2025-05-21 11:33:25)
ALICE:3/12一銀收款USD1946(總收USD2156)</t>
      </text>
    </comment>
    <comment authorId="0" ref="H52">
      <text>
        <t xml:space="preserve">======
ID#AAABjx7qRxU
    (2025-05-21 11:33:25)
ALICE:3/2一銀收款USD13900(內含手續費USD6.96)</t>
      </text>
    </comment>
    <comment authorId="0" ref="H50">
      <text>
        <t xml:space="preserve">======
ID#AAABjx7qRuE
    (2025-05-21 11:33:25)
ALICE:12/20匯入USD20,306(內含銀行手續費USD54.62)沖PI-20191128001 USD4686+PI-20191128003 USD10934 +PI-20191209001 USD4686 總計USD20306元整</t>
      </text>
    </comment>
    <comment authorId="0" ref="D73">
      <text>
        <t xml:space="preserve">======
ID#AAABjx7qRt0
    (2025-05-21 11:33:25)
20200118 SAN 通知CANCEL
12/27 Cathy : 請chloe 協助下單</t>
      </text>
    </comment>
    <comment authorId="0" ref="H57">
      <text>
        <t xml:space="preserve">======
ID#AAABjx7qRkE
    (2025-05-21 11:33:25)
Alice:2/11一銀收款USD392(手續費0)沖PI-20191203001 USD135+PI-20191211003 USD257總沖USD392</t>
      </text>
    </comment>
    <comment authorId="0" ref="AI1">
      <text>
        <t xml:space="preserve">======
ID#AAABjx7qRfk
    (2025-05-21 11:33:25)
匯出手續費(客戶端銀行匯出)
匯入手續費(公司銀行匯入)</t>
      </text>
    </comment>
    <comment authorId="0" ref="D65">
      <text>
        <t xml:space="preserve">======
ID#AAABjx7qRfA
    (2025-05-21 11:33:25)
20191219  請chloe協助下單</t>
      </text>
    </comment>
    <comment authorId="0" ref="L70">
      <text>
        <t xml:space="preserve">======
ID#AAABjx7qRVw
    (2025-05-21 11:33:25)
到貨我司</t>
      </text>
    </comment>
    <comment authorId="0" ref="K27">
      <text>
        <t xml:space="preserve">======
ID#AAABjx7qRSs
    (2025-05-21 11:33:25)
191112 Tammy: 收到貨款後, 才出貨 (連同75片板子的款)</t>
      </text>
    </comment>
    <comment authorId="0" ref="H21">
      <text>
        <t xml:space="preserve">======
ID#AAABjx7qRPc
    (2025-05-21 11:33:25)
ALICE:2/24一銀收到USD12104沖PI-20191127001 USD6784+PI-20191104001 USD2014+PI-20191213001 USD3306</t>
      </text>
    </comment>
    <comment authorId="0" ref="H74">
      <text>
        <t xml:space="preserve">======
ID#AAABjx7qROc
    (2025-05-21 11:33:25)
20200107 san:老大同意客人以日幣付款並開立invoice with Yen 11,000.</t>
      </text>
    </comment>
    <comment authorId="0" ref="H17">
      <text>
        <t xml:space="preserve">======
ID#AAABjx7qRN0
    (2025-05-21 11:33:25)
ALICE:11/7-COMINTEL匯入USD7924沖PI-20191030003 USD7924</t>
      </text>
    </comment>
    <comment authorId="0" ref="D29">
      <text>
        <t xml:space="preserve">======
ID#AAABjx7qRLE
    (2025-05-21 11:33:25)
11/19 Cathy :通知chloe下單</t>
      </text>
    </comment>
    <comment authorId="0" ref="H24">
      <text>
        <t xml:space="preserve">======
ID#AAABjx7qREY
    (2025-05-21 11:33:25)
ALICE:2/24一銀收到USD12104沖PI-20191127001 USD6784+PI-20191104001 USD2014+PI-20191213001 USD3306</t>
      </text>
    </comment>
    <comment authorId="0" ref="H51">
      <text>
        <t xml:space="preserve">======
ID#AAABjx7qRCE
    (2025-05-21 11:33:25)
Alice:2/11一銀收款USD392(手續費0)沖PI-20191203001 USD135+PI-20191211003 USD257總沖USD392</t>
      </text>
    </comment>
    <comment authorId="0" ref="H49">
      <text>
        <t xml:space="preserve">======
ID#AAABjx7qQ74
    (2025-05-21 11:33:25)
ALICE:12/20匯入USD20,306(內含銀行手續費USD54.62)沖PI-20191128001 USD4686+PI-20191128003 USD10934 +PI-20191209001 USD4686 總計USD20306元整</t>
      </text>
    </comment>
    <comment authorId="0" ref="L3">
      <text>
        <t xml:space="preserve">======
ID#AAABjx7qQ6w
    (2025-05-21 11:33:25)
1008YVONNE:新漢要求提前出貨，因此提前交期。</t>
      </text>
    </comment>
    <comment authorId="0" ref="D30">
      <text>
        <t xml:space="preserve">======
ID#AAABjx7qQwg
    (2025-05-21 11:33:25)
11/19 Cathy :通知chloe下單</t>
      </text>
    </comment>
    <comment authorId="0" ref="K20">
      <text>
        <t xml:space="preserve">======
ID#AAABjx7qQvU
    (2025-05-21 11:33:25)
1104YVONNE:出貨前請SANTIAGO拍照。
1219yvonne:超恩跳票，承諾2020/1/7出貨。</t>
      </text>
    </comment>
    <comment authorId="0" ref="AJ1">
      <text>
        <t xml:space="preserve">======
ID#AAABjx7qQuI
    (2025-05-21 11:33:25)
財務確認清帳填寫
已清帳=應收金額結清
空白=尚有餘款未收</t>
      </text>
    </comment>
    <comment authorId="0" ref="L16">
      <text>
        <t xml:space="preserve">======
ID#AAABjx7qQsI
    (2025-05-21 11:33:25)
貨到戎克</t>
      </text>
    </comment>
    <comment authorId="0" ref="AG1">
      <text>
        <t xml:space="preserve">======
ID#AAABjx7qQlU
    (2025-05-21 11:33:25)
銀行水單通知匯入日期</t>
      </text>
    </comment>
    <comment authorId="0" ref="L67">
      <text>
        <t xml:space="preserve">======
ID#AAABjx7qQkU
    (2025-05-21 11:33:25)
到貨客戶那</t>
      </text>
    </comment>
    <comment authorId="0" ref="H45">
      <text>
        <t xml:space="preserve">======
ID#AAABjx7qQkA
    (2025-05-21 11:33:25)
ALICE:12/20匯入USD20,306(內含銀行手續費USD54.62)沖PI-20191128001 USD4686+PI-20191128003 USD10934 +PI-20191209001 USD4686 總計USD20306元整</t>
      </text>
    </comment>
    <comment authorId="0" ref="H3">
      <text>
        <t xml:space="preserve">======
ID#AAABjx7qQdI
    (2025-05-21 11:33:25)
ALICE:1/22-一銀收到USD8500(內含手續費USD6.68)沖PI-20190227I USD8500</t>
      </text>
    </comment>
    <comment authorId="0" ref="J27">
      <text>
        <t xml:space="preserve">======
ID#AAABjx7qQXQ
    (2025-05-21 11:33:25)
191112 Tammy: 收到貨款後, 才出貨</t>
      </text>
    </comment>
    <comment authorId="0" ref="D18">
      <text>
        <t xml:space="preserve">======
ID#AAABjx7qQTU
    (2025-05-21 11:33:25)
10/30 請CHLOE 協助下單</t>
      </text>
    </comment>
    <comment authorId="0" ref="J18">
      <text>
        <t xml:space="preserve">======
ID#AAABjx7qQPc
    (2025-05-21 11:33:25)
出貨前需先提供Invoice &amp; PL ,在看後續安排</t>
      </text>
    </comment>
    <comment authorId="0" ref="H48">
      <text>
        <t xml:space="preserve">======
ID#AAABjx7qQPI
    (2025-05-21 11:33:25)
ALICE:12/20匯入USD20,306(內含銀行手續費USD54.62)沖PI-20191128001 USD4686+PI-20191128003 USD10934 +PI-20191209001 USD4686 總計USD20306元整</t>
      </text>
    </comment>
    <comment authorId="0" ref="L34">
      <text>
        <t xml:space="preserve">======
ID#AAABjx7qQOU
    (2025-05-21 11:33:25)
到貨我司</t>
      </text>
    </comment>
    <comment authorId="0" ref="J15">
      <text>
        <t xml:space="preserve">======
ID#AAABjx7qQJY
    (2025-05-21 11:33:25)
出貨前需先提供Invoice &amp; PL ,在看後續安排</t>
      </text>
    </comment>
    <comment authorId="0" ref="H54">
      <text>
        <t xml:space="preserve">======
ID#AAABjx7qP84
    (2025-05-21 11:33:25)
ALICE:12/20匯入USD20,306(內含銀行手續費USD54.62)沖PI-20191128001 USD4686+PI-20191128003 USD10934 +PI-20191209001 USD4686 總計USD20306元整</t>
      </text>
    </comment>
    <comment authorId="0" ref="AM1">
      <text>
        <t xml:space="preserve">======
ID#AAABjx7qP8Y
    (2025-05-21 11:33:24)
國內=臺灣境內
國外=境外</t>
      </text>
    </comment>
    <comment authorId="0" ref="H35">
      <text>
        <t xml:space="preserve">======
ID#AAABjx7qPzA
    (2025-05-21 11:33:24)
ALICE:3/6合庫收款USD45000(銀行手續費USD34.48)</t>
      </text>
    </comment>
    <comment authorId="0" ref="J10">
      <text>
        <t xml:space="preserve">======
ID#AAABjx7qPv8
    (2025-05-21 11:33:24)
190717 Tammy: 收到貨款後, 才出貨</t>
      </text>
    </comment>
    <comment authorId="0" ref="H55">
      <text>
        <t xml:space="preserve">======
ID#AAABjx7qPuc
    (2025-05-21 11:33:24)
ALICE:12/20匯入USD20,306(內含銀行手續費USD54.62)沖PI-20191128001 USD4686+PI-20191128003 USD10934 +PI-20191209001 USD4686 總計USD20306元整</t>
      </text>
    </comment>
    <comment authorId="0" ref="I30">
      <text>
        <t xml:space="preserve">======
ID#AAABjx7qPoc
    (2025-05-21 11:33:24)
原cathy</t>
      </text>
    </comment>
    <comment authorId="0" ref="I29">
      <text>
        <t xml:space="preserve">======
ID#AAABjx7qPnQ
    (2025-05-21 11:33:24)
原cathy</t>
      </text>
    </comment>
    <comment authorId="0" ref="H32">
      <text>
        <t xml:space="preserve">======
ID#AAABjx7qPkA
    (2025-05-21 11:33:24)
ALICE:2020/1/30一銀收款USD3356沖PI20191121001 USD480+PI-20191216002 USD280+USD189+PI-20191216003 USD381+290+1736總沖USD3356(內含手續費36.62元整)</t>
      </text>
    </comment>
    <comment authorId="0" ref="H12">
      <text>
        <t xml:space="preserve">======
ID#AAABjx7qPcI
    (2025-05-21 11:33:24)
Alice:2/7一銀收到Hatteland匯入款USD52920(內含手續費USD26.45)沖PI-20191009008 USD52920</t>
      </text>
    </comment>
    <comment authorId="0" ref="K48">
      <text>
        <t xml:space="preserve">======
ID#AAABjx7qPbk
    (2025-05-21 11:33:24)
1202YVONNE:暫押交期，待bruce確認主板。</t>
      </text>
    </comment>
    <comment authorId="0" ref="J17">
      <text>
        <t xml:space="preserve">======
ID#AAABjx7qPZs
    (2025-05-21 11:33:24)
出貨前需先提供Invoice &amp; PL ,在看後續安排</t>
      </text>
    </comment>
    <comment authorId="0" ref="L68">
      <text>
        <t xml:space="preserve">======
ID#AAABjx7qPPI
    (2025-05-21 11:33:24)
到貨我司</t>
      </text>
    </comment>
    <comment authorId="0" ref="H22">
      <text>
        <t xml:space="preserve">======
ID#AAABjx7qPNk
    (2025-05-21 11:33:24)
ALICE:2/24一銀收到USD12104沖PI-20191127001 USD6784+PI-20191104001 USD2014+PI-20191213001 USD3306</t>
      </text>
    </comment>
    <comment authorId="0" ref="J11">
      <text>
        <t xml:space="preserve">======
ID#AAABjx7qPMU
    (2025-05-21 11:33:24)
190717 Tammy: 收到貨款後, 才出貨</t>
      </text>
    </comment>
    <comment authorId="0" ref="H23">
      <text>
        <t xml:space="preserve">======
ID#AAABjx7qPJA
    (2025-05-21 11:33:24)
ALICE:2/24一銀收到USD12104沖PI-20191127001 USD6784+PI-20191104001 USD2014+PI-20191213001 USD3306</t>
      </text>
    </comment>
    <comment authorId="0" ref="E74">
      <text>
        <t xml:space="preserve">======
ID#AAABjx7qO7A
    (2025-05-21 11:33:24)
1231 chloe: 含Cable</t>
      </text>
    </comment>
    <comment authorId="0" ref="D16">
      <text>
        <t xml:space="preserve">======
ID#AAABjx7qO2M
    (2025-05-21 11:33:24)
10/30 請CHLOE 協助下單 
11/5 Cathy: 已有告知YAP L/T: 16 W &amp; 客人告知下單</t>
      </text>
    </comment>
    <comment authorId="0" ref="H14">
      <text>
        <t xml:space="preserve">======
ID#AAABjx7qO08
    (2025-05-21 11:33:24)
2/19收款</t>
      </text>
    </comment>
    <comment authorId="0" ref="L72">
      <text>
        <t xml:space="preserve">======
ID#AAABjx7qOxk
    (2025-05-21 11:33:24)
到貨我司</t>
      </text>
    </comment>
    <comment authorId="0" ref="L10">
      <text>
        <t xml:space="preserve">======
ID#AAABjx7qOuA
    (2025-05-21 11:33:24)
1226yvonne:捷毅通知延遲到1/3出貨</t>
      </text>
    </comment>
    <comment authorId="0" ref="C60">
      <text>
        <t xml:space="preserve">======
ID#AAABjx7qOsQ
    (2025-05-21 11:33:24)
20200109 CATHY:客人增加1PCS</t>
      </text>
    </comment>
    <comment authorId="0" ref="H15">
      <text>
        <t xml:space="preserve">======
ID#AAABjx7qOqs
    (2025-05-21 11:33:24)
ALICE:11/7-COMINTEL匯入USD7924沖PI-20191030003 USD7924</t>
      </text>
    </comment>
    <comment authorId="0" ref="H65">
      <text>
        <t xml:space="preserve">======
ID#AAABjx7qOjg
    (2025-05-21 11:33:24)
ALICE:1/15一銀收到匯入款USD585(手續費USD0)沖PI-20191219001 USD585</t>
      </text>
    </comment>
    <comment authorId="0" ref="E87">
      <text>
        <t xml:space="preserve">======
ID#AAABjx7qOiM
    (2025-05-21 11:33:24)
每月1日-遇假日遞延
(台銀收盤即期買進賣出/2)</t>
      </text>
    </comment>
    <comment authorId="0" ref="K50">
      <text>
        <t xml:space="preserve">======
ID#AAABjx7qOh8
    (2025-05-21 11:33:24)
1202YVONNE:暫押交期，待bruce確認主板。</t>
      </text>
    </comment>
    <comment authorId="0" ref="H64">
      <text>
        <t xml:space="preserve">======
ID#AAABjx7qOhw
    (2025-05-21 11:33:24)
ALICE:1/15一銀收到匯入款USD585(手續費USD0)沖PI-20191219001 USD585</t>
      </text>
    </comment>
    <comment authorId="0" ref="K23">
      <text>
        <t xml:space="preserve">======
ID#AAABjx7qOdk
    (2025-05-21 11:33:24)
1104YVONNE:出貨前請SANTIAGO拍照。
1219yvonne:超恩跳票，承諾2020/1/7出貨。</t>
      </text>
    </comment>
    <comment authorId="0" ref="L4">
      <text>
        <t xml:space="preserve">======
ID#AAABjx7qOZE
    (2025-05-21 11:33:24)
1008YVONNE:新漢要求提前出貨，因此提前交期。</t>
      </text>
    </comment>
    <comment authorId="0" ref="H59">
      <text>
        <t xml:space="preserve">======
ID#AAABjx7qOXY
    (2025-05-21 11:33:24)
ALICE:2020/1/30一銀收款USD3356沖PI20191121001 USD480+PI-20191216002 USD280+USD189+PI-20191216003 USD381+290+1736總沖USD3356(內含手續費36.62元整)</t>
      </text>
    </comment>
    <comment authorId="0" ref="K54">
      <text>
        <t xml:space="preserve">======
ID#AAABjx7qOUQ
    (2025-05-21 11:33:24)
1202YVONNE:暫押交期，待bruce確認主板。</t>
      </text>
    </comment>
    <comment authorId="0" ref="H9">
      <text>
        <t xml:space="preserve">======
ID#AAABjx7qONY
    (2025-05-21 11:33:24)
Alice:2/14一銀收到匯入USD4250(內含手續費USD6.68)</t>
      </text>
    </comment>
    <comment authorId="0" ref="K24">
      <text>
        <t xml:space="preserve">======
ID#AAABjx7qOLY
    (2025-05-21 11:33:24)
1104YVONNE:出貨前請SANTIAGO拍照。
1219yvonne:超恩跳票，承諾2020/1/7出貨。</t>
      </text>
    </comment>
    <comment authorId="0" ref="J16">
      <text>
        <t xml:space="preserve">======
ID#AAABjx7qOJU
    (2025-05-21 11:33:24)
出貨前需先提供Invoice &amp; PL ,在看後續安排</t>
      </text>
    </comment>
    <comment authorId="0" ref="H47">
      <text>
        <t xml:space="preserve">======
ID#AAABjx7qOI4
    (2025-05-21 11:33:24)
ALICE:12/20匯入USD20,306(內含銀行手續費USD54.62)沖PI-20191128001 USD4686+PI-20191128003 USD10934 +PI-20191209001 USD4686 總計USD20306元整</t>
      </text>
    </comment>
    <comment authorId="0" ref="D5">
      <text>
        <t xml:space="preserve">======
ID#AAABjx7qOI0
    (2025-05-21 11:33:24)
190109 Tammy: 抽驗即可, 謝謝</t>
      </text>
    </comment>
    <comment authorId="0" ref="AA1">
      <text>
        <t xml:space="preserve">======
ID#AAABjx7qOIM
    (2025-05-21 11:33:24)
此欄位針對某些特定客戶. 要求使用出貨前一天的匯率. 才開發票的客戶. 例如 Z 和 Pharms</t>
      </text>
    </comment>
    <comment authorId="0" ref="K25">
      <text>
        <t xml:space="preserve">======
ID#AAABjx7qOGU
    (2025-05-21 11:33:24)
1104YVONNE:出貨前請SANTIAGO拍照。
1219yvonne:超恩跳票，承諾2020/1/7出貨。</t>
      </text>
    </comment>
    <comment authorId="0" ref="H18">
      <text>
        <t xml:space="preserve">======
ID#AAABjx7qOFs
    (2025-05-21 11:33:24)
ALICE:11/7-COMINTEL匯入USD7924沖PI-20191030003 USD7924</t>
      </text>
    </comment>
    <comment authorId="0" ref="H33">
      <text>
        <t xml:space="preserve">======
ID#AAABjx7qN_w
    (2025-05-21 11:33:24)
ALICE:3/6合庫收款USD45000(銀行手續費USD34.48)</t>
      </text>
    </comment>
    <comment authorId="0" ref="H20">
      <text>
        <t xml:space="preserve">======
ID#AAABjx7qN8s
    (2025-05-21 11:33:23)
ALICE:2/24一銀收到USD12104沖PI-20191127001 USD6784+PI-20191104001 USD2014+PI-20191213001 USD3306</t>
      </text>
    </comment>
    <comment authorId="0" ref="L64">
      <text>
        <t xml:space="preserve">======
ID#AAABjx7qN50
    (2025-05-21 11:33:23)
到貨我司</t>
      </text>
    </comment>
    <comment authorId="0" ref="F60">
      <text>
        <t xml:space="preserve">======
ID#AAABjx7qN2I
    (2025-05-21 11:33:23)
原訂單數量為31 pcs
20200109 客人增加一台</t>
      </text>
    </comment>
    <comment authorId="0" ref="F87">
      <text>
        <t xml:space="preserve">======
ID#AAABjx7qN1c
    (2025-05-21 11:33:23)
每月15日-遇假日遞延
(台銀收盤即期買進賣出/2)</t>
      </text>
    </comment>
    <comment authorId="0" ref="H5">
      <text>
        <t xml:space="preserve">======
ID#AAABjx7qNug
    (2025-05-21 11:33:23)
ALICE:1/22-一銀收到USD8500(內含手續費USD6.68)沖PI-20190227I USD8500</t>
      </text>
    </comment>
    <comment authorId="0" ref="K18">
      <text>
        <t xml:space="preserve">======
ID#AAABjx7qNtg
    (2025-05-21 11:33:23)
1202yvonne:已通知客戶交期延期</t>
      </text>
    </comment>
    <comment authorId="0" ref="H8">
      <text>
        <t xml:space="preserve">======
ID#AAABjx7qNrE
    (2025-05-21 11:33:23)
Alice:2/14一銀收到匯入USD4250(內含手續費USD6.68)</t>
      </text>
    </comment>
    <comment authorId="0" ref="H34">
      <text>
        <t xml:space="preserve">======
ID#AAABjx7qNa0
    (2025-05-21 11:33:23)
ALICE:3/6合庫收款USD45000(銀行手續費USD34.48)</t>
      </text>
    </comment>
    <comment authorId="0" ref="N1">
      <text>
        <t xml:space="preserve">======
ID#AAABjx7qNR4
0510 chloe    (2025-05-21 11:33:23)
戎克倉庫領出，需填寫單號(填寫PI單號)</t>
      </text>
    </comment>
    <comment authorId="0" ref="J28">
      <text>
        <t xml:space="preserve">======
ID#AAABjx7qNRo
    (2025-05-21 11:33:23)
191112 Tammy: 收到貨款後, 才出貨</t>
      </text>
    </comment>
    <comment authorId="0" ref="L71">
      <text>
        <t xml:space="preserve">======
ID#AAABjx7qNPA
    (2025-05-21 11:33:23)
到貨我司</t>
      </text>
    </comment>
    <comment authorId="0" ref="H10">
      <text>
        <t xml:space="preserve">======
ID#AAABjx7qNOs
    (2025-05-21 11:33:23)
Alice:2/7一銀收到Hatteland匯入款USD52920(內含手續費USD26.45)沖PI-20191009008 USD52920</t>
      </text>
    </comment>
    <comment authorId="0" ref="K1">
      <text>
        <t xml:space="preserve">======
ID#AAABjx7qNAk
    (2025-05-21 11:33:23)
紅字=預計出貨日
黑字=實際出貨日</t>
      </text>
    </comment>
    <comment authorId="0" ref="L69">
      <text>
        <t xml:space="preserve">======
ID#AAABjx7qMv0
    (2025-05-21 11:33:23)
到貨我司</t>
      </text>
    </comment>
    <comment authorId="0" ref="K28">
      <text>
        <t xml:space="preserve">======
ID#AAABjx7qMu0
    (2025-05-21 11:33:23)
1204 板子存放新漢，其中25片，連同第一張訂單，己做成系統</t>
      </text>
    </comment>
    <comment authorId="0" ref="H71">
      <text>
        <t xml:space="preserve">======
ID#AAABjx7qMuk
    (2025-05-21 11:33:23)
ALICE:3/12一銀收款USD1946(總收USD2156)</t>
      </text>
    </comment>
    <comment authorId="0" ref="H66">
      <text>
        <t xml:space="preserve">======
ID#AAABjx7qMtU
    (2025-05-21 11:33:23)
ALICE:2/10亞郁匯入NT5402(內扣手續費NT15)</t>
      </text>
    </comment>
    <comment authorId="0" ref="H2">
      <text>
        <t xml:space="preserve">======
ID#AAABjx7qMq0
    (2025-05-21 11:33:23)
ALICE:1/22-一銀收到USD8500(內含手續費USD6.68)沖PI-20190227I USD8500</t>
      </text>
    </comment>
    <comment authorId="0" ref="D13">
      <text>
        <t xml:space="preserve">======
ID#AAABjx7qMqU
    (2025-05-21 11:33:23)
190109 Tammy: 抽驗即可, 謝謝</t>
      </text>
    </comment>
    <comment authorId="0" ref="D15">
      <text>
        <t xml:space="preserve">======
ID#AAABj82dpPs
    (2025-05-21 11:33:23)
10/30 請CHLOE 協助下單 
11/5 Cathy: 已有告知YAP L/T: 16 W &amp; 客人告知下單</t>
      </text>
    </comment>
    <comment authorId="0" ref="H58">
      <text>
        <t xml:space="preserve">======
ID#AAABj82dpMA
    (2025-05-21 11:33:23)
ALICE:2020/1/30一銀收款USD3356沖PI20191121001 USD480+PI-20191216002 USD280+USD189+PI-20191216003 USD381+290+1736總沖USD3356(內含手續費36.62元整)</t>
      </text>
    </comment>
    <comment authorId="0" ref="N13">
      <text>
        <t xml:space="preserve">======
ID#AAABj82dpKg
    (2025-05-21 11:33:23)
0717:YVONNE下單</t>
      </text>
    </comment>
    <comment authorId="0" ref="J13">
      <text>
        <t xml:space="preserve">======
ID#AAABj82dpHk
    (2025-05-21 11:33:23)
190717 Tammy: 收到貨款後, 才出貨</t>
      </text>
    </comment>
    <comment authorId="0" ref="N11">
      <text>
        <t xml:space="preserve">======
ID#AAABj82dpFo
    (2025-05-21 11:33:23)
0717:YVONNE下單</t>
      </text>
    </comment>
    <comment authorId="0" ref="K56">
      <text>
        <t xml:space="preserve">======
ID#AAABj82dpFg
    (2025-05-21 11:33:23)
1202YVONNE:暫押交期，待bruce確認主板。</t>
      </text>
    </comment>
  </commentList>
  <extLst>
    <ext uri="GoogleSheetsCustomDataVersion2">
      <go:sheetsCustomData xmlns:go="http://customooxmlschemas.google.com/" r:id="rId1" roundtripDataSignature="AMtx7milAQlzPq/Xg6WL0ZniLfqsZ4hnw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03">
      <text>
        <t xml:space="preserve">======
ID#AAABjx7qWcM
    (2025-05-21 11:33:27)
1015YVONNE:隨貨寄目錄,並通知san</t>
      </text>
    </comment>
    <comment authorId="0" ref="E927">
      <text>
        <t xml:space="preserve">======
ID#AAABjx7qWbs
    (2025-05-21 11:33:27)
0313 chloe: 戎克備有庫存，見半成品庫存表</t>
      </text>
    </comment>
    <comment authorId="0" ref="H194">
      <text>
        <t xml:space="preserve">======
ID#AAABjx7qWbI
    (2025-05-21 11:33:27)
ALICE:5/16-銀行水單通知USD5169(沖PO0131D-1 4285.PI-0320-B 175.PI-4/8-A 709)共三筆</t>
      </text>
    </comment>
    <comment authorId="0" ref="H961">
      <text>
        <t xml:space="preserve">======
ID#AAABjx7qWao
    (2025-05-21 11:33:27)
ALICE:1/30一銀收到KH匯入USD2352(內含手續費USD26.62)沖PI-20191115001 USD709+PI-20191115002 USD75+PI-20191120002 USD150+PI-20191123002 USD870+PI-20191224001 USD411+PI-20191216001 USD137)</t>
      </text>
    </comment>
    <comment authorId="0" ref="H686">
      <text>
        <t xml:space="preserve">======
ID#AAABjx7qWaE
    (2025-05-21 11:33:27)
ALICE:10/22玉山銀行匯入USD6469沖PI-20190905A USD495.PI-20190905A-F USD45.PI-20190902A 5929合計總沖USD6469</t>
      </text>
    </comment>
    <comment authorId="0" ref="H244">
      <text>
        <t xml:space="preserve">======
ID#AAABjx7qWZ4
    (2025-05-21 11:33:27)
0403 chloe:匯款匯入247,928</t>
      </text>
    </comment>
    <comment authorId="0" ref="H822">
      <text>
        <t xml:space="preserve">======
ID#AAABjx7qWZM
    (2025-05-21 11:33:27)
ALICE:12/12收到應收票據，到期日108/12/30-AN0560117 NT132075(郵寄28元)沖PI-20191015001</t>
      </text>
    </comment>
    <comment authorId="0" ref="H435">
      <text>
        <t xml:space="preserve">======
ID#AAABjx7qWYM
    (2025-05-21 11:33:27)
ALICE:7/1電文通知匯入USD3717</t>
      </text>
    </comment>
    <comment authorId="0" ref="H286">
      <text>
        <t xml:space="preserve">======
ID#AAABjx7qWYE
    (2025-05-21 11:33:27)
alice:2019/05/17水單通知USD19768沖3/4A $1995.3/4A-1$4152.3/4A-1-F $232.3/8B-F $57.12/21A-2-F $144.3/4A-1 $189.10/22C-2 $10227.12/21A-1 $2772.如上總計共USD19768</t>
      </text>
    </comment>
    <comment authorId="0" ref="K572">
      <text>
        <t xml:space="preserve">======
ID#AAABjx7qWYA
    (2025-05-21 11:33:27)
190718 Tammy: 發票寄出前，請先提供確認，謝謝。</t>
      </text>
    </comment>
    <comment authorId="0" ref="H397">
      <text>
        <t xml:space="preserve">======
ID#AAABjx7qWXo
    (2025-05-21 11:33:27)
Alice:2019/05/16-收到銀行合庫匯入通知NT194,325元整(沖PI-20190502C.PI-20190507A)手續費0</t>
      </text>
    </comment>
    <comment authorId="0" ref="U125">
      <text>
        <t xml:space="preserve">======
ID#AAABjx7qWXk
    (2025-05-21 11:33:27)
ALICE:2019/02/15-水單匯入(USD21605-手續費USD10.82)*30.787=NT664820
2019/02/14-水單匯入(USD6990-手續費USD6.5)*30.784=NT214980
應收總計USD28615-實收USD21605+USD6990=USD20匯出手續費
手續費總計USD10.82*30.787+6.5*30.784+20*30.787=NT1449元整</t>
      </text>
    </comment>
    <comment authorId="0" ref="H43">
      <text>
        <t xml:space="preserve">======
ID#AAABjx7qWXU
    (2025-05-21 11:33:27)
0225 chloe:匯款匯入5948-10(手續費)</t>
      </text>
    </comment>
    <comment authorId="0" ref="D613">
      <text>
        <t xml:space="preserve">======
ID#AAABjx7qWWg
    (2025-05-21 11:33:27)
7/23 Amy: COC requested together with shipment/ PO Number indicated on each shipping documents / Invoice &amp; Packing list together with shipment</t>
      </text>
    </comment>
    <comment authorId="0" ref="K591">
      <text>
        <t xml:space="preserve">======
ID#AAABjx7qWWI
    (2025-05-21 11:33:27)
cathy: 10/15已回覆客人交期</t>
      </text>
    </comment>
    <comment authorId="0" ref="H641">
      <text>
        <t xml:space="preserve">======
ID#AAABjx7qWUc
    (2025-05-21 11:33:27)
Alice:2019/08/13水單匯入USD2968沖PI-20190812A</t>
      </text>
    </comment>
    <comment authorId="0" ref="U401">
      <text>
        <t xml:space="preserve">======
ID#AAABjx7qWUU
    (2025-05-21 11:33:27)
Alice:2019/05/16-收到銀行合庫匯入通知NT194,325元整(沖PI-20190502C.PI-20190507A)手續費0</t>
      </text>
    </comment>
    <comment authorId="0" ref="U280">
      <text>
        <t xml:space="preserve">======
ID#AAABjx7qWT0
    (2025-05-21 11:33:27)
ALICE:5/3-電文USD16646(沖10450+4616+1580(4850中的1580))</t>
      </text>
    </comment>
    <comment authorId="0" ref="G575">
      <text>
        <t xml:space="preserve">======
ID#AAABjx7qWT4
    (2025-05-21 11:33:27)
190718 Tammy: w/5%</t>
      </text>
    </comment>
    <comment authorId="0" ref="G955">
      <text>
        <t xml:space="preserve">======
ID#AAABjx7qWTg
    (2025-05-21 11:33:27)
12/13
與TPM 實收NTD 73,332 (未稅2000歐元)
chloe 告知當時匯款匯率抓34.92</t>
      </text>
    </comment>
    <comment authorId="0" ref="H711">
      <text>
        <t xml:space="preserve">======
ID#AAABjx7qWTc
    (2025-05-21 11:33:27)
ALICE:9/24玉山銀行水單匯入USD5713沖PI-20190906B USD5713</t>
      </text>
    </comment>
    <comment authorId="0" ref="D713">
      <text>
        <t xml:space="preserve">======
ID#AAABjx7qWTE
    (2025-05-21 11:33:27)
在此輸入
0909 客人待O/A肯放USD 10000 才要下單
1001 告知改由Aditeh付款</t>
      </text>
    </comment>
    <comment authorId="0" ref="H904">
      <text>
        <t xml:space="preserve">======
ID#AAABjx7qWTA
    (2025-05-21 11:33:27)
Alice:11/14電文通知匯入USD1676 沖PI-20191114002 USD1676 待銀行水單沖帳</t>
      </text>
    </comment>
    <comment authorId="0" ref="D419">
      <text>
        <t xml:space="preserve">======
ID#AAABjx7qWSs
    (2025-05-21 11:33:27)
在此輸入
0508 Vilas promise will give another 50pcs end of this year.
1001 告知改為Aditech 付款</t>
      </text>
    </comment>
    <comment authorId="0" ref="V301">
      <text>
        <t xml:space="preserve">======
ID#AAABjx7qWSg
    (2025-05-21 11:33:27)
ALICE:2019/05/02-水單匯入USD21462.5-(匯出手續費USD10+匯入手續費USD10.73)=USD21441.77*30.84=NT661264</t>
      </text>
    </comment>
    <comment authorId="0" ref="H743">
      <text>
        <t xml:space="preserve">======
ID#AAABjx7qWSU
    (2025-05-21 11:33:27)
ALICE:9/19玉山水單匯入USD440沖PI-20190917B 440</t>
      </text>
    </comment>
    <comment authorId="0" ref="H629">
      <text>
        <t xml:space="preserve">======
ID#AAABjx7qWRI
    (2025-05-21 11:33:27)
ALICE:8/21-銀行匯入USD374沖PI-20190801A USD334.沖PI-20190801A-1 USD40</t>
      </text>
    </comment>
    <comment authorId="0" ref="H122">
      <text>
        <t xml:space="preserve">======
ID#AAABjx7qWQ8
    (2025-05-21 11:33:27)
ALICE:201904/10水單匯入USD11416*30.78
沖(229+2394+326+34+5274+3066+103)=11426</t>
      </text>
    </comment>
    <comment authorId="0" ref="H547">
      <text>
        <t xml:space="preserve">======
ID#AAABjx7qWQc
    (2025-05-21 11:33:27)
Alice:8/8-水單匯入USD4555元整，沖PI-20190708A 2540.PI-20190711A 1355.PI-20190712A 660</t>
      </text>
    </comment>
    <comment authorId="0" ref="E206">
      <text>
        <t xml:space="preserve">======
ID#AAABjx7qWQQ
0214 Santiago    (2025-05-21 11:33:27)
-&gt; 待客戶將 7' LCD (AA070ME01)寄來後， 寄曦立光電做貼合</t>
      </text>
    </comment>
    <comment authorId="0" ref="H144">
      <text>
        <t xml:space="preserve">======
ID#AAABjx7qWPk
    (2025-05-21 11:33:27)
0307 chloe:匯款匯入US39896-37(手續費)</t>
      </text>
    </comment>
    <comment authorId="0" ref="J818">
      <text>
        <t xml:space="preserve">======
ID#AAABjx7qWPo
    (2025-05-21 11:33:27)
using UPS express then</t>
      </text>
    </comment>
    <comment authorId="0" ref="H61">
      <text>
        <t xml:space="preserve">======
ID#AAABjx7qWPc
    (2025-05-21 11:33:27)
0311  chloe:匯款匯入US1134-20(手續費)</t>
      </text>
    </comment>
    <comment authorId="0" ref="V135">
      <text>
        <t xml:space="preserve">======
ID#AAABjx7qWPA
    (2025-05-21 11:33:27)
ALICE:2019/05/02-水單匯入USD21462.5-(匯出手續費USD10+匯入手續費USD10.73)=USD21441.77*30.84=NT661264</t>
      </text>
    </comment>
    <comment authorId="0" ref="H134">
      <text>
        <t xml:space="preserve">======
ID#AAABjx7qWO8
    (2025-05-21 11:33:27)
ALICE:2019/05/02-水單匯入USD21462.5</t>
      </text>
    </comment>
    <comment authorId="0" ref="H762">
      <text>
        <t xml:space="preserve">======
ID#AAABjx7qWOs
    (2025-05-21 11:33:27)
ALICE:11/20一銀匯入USD5837沖PI-20190930A USD3945+PI-20191003A USD137+PI-20191005A USD1755</t>
      </text>
    </comment>
    <comment authorId="0" ref="H550">
      <text>
        <t xml:space="preserve">======
ID#AAABjx7qWOg
    (2025-05-21 11:33:27)
ALICE:7/9玉山銀行通知水單匯入USD40</t>
      </text>
    </comment>
    <comment authorId="0" ref="H56">
      <text>
        <t xml:space="preserve">======
ID#AAABjx7qWOY
    (2025-05-21 11:33:27)
alice:2019/05/17水單通知USD19768沖3/4A $1995.3/4A-1$4152.3/4A-1-F $232.3/8B-F $57.12/21A-2-F $144.3/4A-1 $189.10/22C-2 $10227.12/21A-1 $2772.如上總計共USD19768</t>
      </text>
    </comment>
    <comment authorId="0" ref="E646">
      <text>
        <t xml:space="preserve">======
ID#AAABjx7qWOM
    (2025-05-21 11:33:27)
US Adaptor</t>
      </text>
    </comment>
    <comment authorId="0" ref="D682">
      <text>
        <t xml:space="preserve">======
ID#AAABjx7qWOA
    (2025-05-21 11:33:27)
0829 Cathy: 請chloe協助下單</t>
      </text>
    </comment>
    <comment authorId="0" ref="H482">
      <text>
        <t xml:space="preserve">======
ID#AAABjx7qWN0
    (2025-05-21 11:33:27)
ALICE:8/27玉山銀行匯入USD9443沖PI-20190604A.PI-20190628A.PI-20190604A-F合計共USD9443元整</t>
      </text>
    </comment>
    <comment authorId="0" ref="H388">
      <text>
        <t xml:space="preserve">======
ID#AAABjx7qWNs
    (2025-05-21 11:33:27)
5/28-收到芳慎支票 5/30-AK4244782台銀松江  金額3541元整</t>
      </text>
    </comment>
    <comment authorId="0" ref="D885">
      <text>
        <t xml:space="preserve">======
ID#AAABjx7qWNw
    (2025-05-21 11:33:27)
11/8 cathy: 請Chloe 請協助下單</t>
      </text>
    </comment>
    <comment authorId="0" ref="J483">
      <text>
        <t xml:space="preserve">======
ID#AAABjx7qWNc
SHIPPING  AS BELOW    (2025-05-21 11:33:27)
103A Mary Street, Richmond, VIC, 3121, Australia
Contact: Jim MacDouall
Phone: +61 417 714 528</t>
      </text>
    </comment>
    <comment authorId="0" ref="H173">
      <text>
        <t xml:space="preserve">======
ID#AAABjx7qWNE
    (2025-05-21 11:33:27)
0327 chloe:匯款匯入US$4165-20(手續費)</t>
      </text>
    </comment>
    <comment authorId="0" ref="H462">
      <text>
        <t xml:space="preserve">======
ID#AAABjx7qWMw
    (2025-05-21 11:33:27)
ALICE:7/26玉山銀行水單通知匯入USD9754沖PI-20190524B(2000+350).沖PI20190524B-1(3010).沖PI-20190703A(60+70).沖PI20190719B-1 228+1600 PI-20190719B-2 304  PI-20190719B-5 532. PI-20190719B-3 1600</t>
      </text>
    </comment>
    <comment authorId="0" ref="H633">
      <text>
        <t xml:space="preserve">======
ID#AAABjx7qWM0
    (2025-05-21 11:33:27)
ALICE:8/2-水單匯入USD1529.4沖PI-20190801B USD1529.4</t>
      </text>
    </comment>
    <comment authorId="0" ref="U308">
      <text>
        <t xml:space="preserve">======
ID#AAABjx7qWMk
    (2025-05-21 11:33:27)
ALICE:2019/05/02-水單匯入USD21462.5-(匯出手續費USD10+匯入手續費USD10.73)=USD21441.77*30.84=NT661264</t>
      </text>
    </comment>
    <comment authorId="0" ref="D959">
      <text>
        <t xml:space="preserve">======
ID#AAABjx7qWL8
    (2025-05-21 11:33:27)
20191218 請Yvonne 下單</t>
      </text>
    </comment>
    <comment authorId="0" ref="H468">
      <text>
        <t xml:space="preserve">======
ID#AAABjx7qWLs
    (2025-05-21 11:33:27)
ALICE:5/31銀行電文通知匯入款USD531+匯出手續費USD11=USD542</t>
      </text>
    </comment>
    <comment authorId="0" ref="H68">
      <text>
        <t xml:space="preserve">======
ID#AAABjx7qWLg
    (2025-05-21 11:33:27)
0117 chloe:匯款匯入US$1,866.00</t>
      </text>
    </comment>
    <comment authorId="0" ref="H855">
      <text>
        <t xml:space="preserve">======
ID#AAABjx7qWJ4
    (2025-05-21 11:33:27)
alice:12/6-一銀通知匯入款7090(內含手續費USD28.57)沖PI-20191029001</t>
      </text>
    </comment>
    <comment authorId="0" ref="T1">
      <text>
        <t xml:space="preserve">======
ID#AAABjx7qWJA
    (2025-05-21 11:33:27)
銀行水單通知匯入日期</t>
      </text>
    </comment>
    <comment authorId="0" ref="H490">
      <text>
        <t xml:space="preserve">======
ID#AAABjx7qWI0
    (2025-05-21 11:33:27)
alice:6/10-銀行匯入USD754-手續費USD17.37=USD736.63*31.373</t>
      </text>
    </comment>
    <comment authorId="0" ref="H890">
      <text>
        <t xml:space="preserve">======
ID#AAABjx7qWH8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H169">
      <text>
        <t xml:space="preserve">======
ID#AAABjx7qWHo
    (2025-05-21 11:33:27)
0322 chloe:匯入US8750</t>
      </text>
    </comment>
    <comment authorId="0" ref="D494">
      <text>
        <t xml:space="preserve">======
ID#AAABjx7qWHY
    (2025-05-21 11:33:27)
在此輸入
在此輸入
0606 客人說要再確認
0610 通知Tammy 下單,客人有急需
0709 客人無法提供水單，取消寄回MOXA</t>
      </text>
    </comment>
    <comment authorId="0" ref="H24">
      <text>
        <t xml:space="preserve">======
ID#AAABjx7qWHI
    (2025-05-21 11:33:27)
0128 Mary: 匯款匯入 US$11,920</t>
      </text>
    </comment>
    <comment authorId="0" ref="D722">
      <text>
        <t xml:space="preserve">======
ID#AAABjx7qWHA
    (2025-05-21 11:33:27)
0910 Cathy: 已請chloe &amp; Bank 協助</t>
      </text>
    </comment>
    <comment authorId="0" ref="G627">
      <text>
        <t xml:space="preserve">======
ID#AAABjx7qWGs
    (2025-05-21 11:33:27)
w/5%VAT</t>
      </text>
    </comment>
    <comment authorId="0" ref="H158">
      <text>
        <t xml:space="preserve">======
ID#AAABjx7qWGk
    (2025-05-21 11:33:27)
0307 chloe:匯款匯入US39896-37(手續費)</t>
      </text>
    </comment>
    <comment authorId="0" ref="H31">
      <text>
        <t xml:space="preserve">======
ID#AAABjx7qWFw
    (2025-05-21 11:33:27)
0225 chloe:匯款匯入5948-10(手續費)</t>
      </text>
    </comment>
    <comment authorId="0" ref="H219">
      <text>
        <t xml:space="preserve">======
ID#AAABjx7qWFo
    (2025-05-21 11:33:27)
ALICE:201904/10水單匯入USD11416*30.78
沖(229+2394+326+34+5274+3066+103)=11426</t>
      </text>
    </comment>
    <comment authorId="0" ref="H418">
      <text>
        <t xml:space="preserve">======
ID#AAABjx7qWFA
    (2025-05-21 11:33:27)
ALICE:7/3收到支票 6/30即期票，票號CP0072748 金額30489元整，沖PI-20190508D 16425元，沖PI-20190520A 14092元。(原PI-20190520A退貨，故應收2114手續費) 多收部份轉預收11978元整</t>
      </text>
    </comment>
    <comment authorId="0" ref="H66">
      <text>
        <t xml:space="preserve">======
ID#AAABjx7qWC8
    (2025-05-21 11:33:27)
0124 chloe:匯款匯入US$48799</t>
      </text>
    </comment>
    <comment authorId="0" ref="U236">
      <text>
        <t xml:space="preserve">======
ID#AAABjx7qWBw
    (2025-05-21 11:33:27)
ALICE:PI-20190223訂單總計USD6471，2019/02/26水單匯入USD6453.49*30.736==NT198,354元整，匯入手續費USD6.5+匯出手續費USD11*30.736=NT538元整</t>
      </text>
    </comment>
    <comment authorId="0" ref="H906">
      <text>
        <t xml:space="preserve">======
ID#AAABjx7qWBM
    (2025-05-21 11:33:27)
Alice:11/14電文通知匯入USD1676 沖PI-20191114002 USD1676 待銀行水單沖帳</t>
      </text>
    </comment>
    <comment authorId="0" ref="K762">
      <text>
        <t xml:space="preserve">======
ID#AAABjx7qWAw
    (2025-05-21 11:33:27)
1015YVONNE:隨貨寄目錄,並通知san</t>
      </text>
    </comment>
    <comment authorId="0" ref="H870">
      <text>
        <t xml:space="preserve">======
ID#AAABjx7qWAA
    (2025-05-21 11:33:27)
ALICE:11/4玉山銀行匯入USD1523沖PI-20191030004 USD1523</t>
      </text>
    </comment>
    <comment authorId="0" ref="G366">
      <text>
        <t xml:space="preserve">======
ID#AAABjx7qV_k
    (2025-05-21 11:33:27)
180221 Tammy: project price for over 50pcs/lot</t>
      </text>
    </comment>
    <comment authorId="0" ref="O434">
      <text>
        <t xml:space="preserve">======
ID#AAABjx7qV_s
    (2025-05-21 11:33:27)
0514 Cathy 下單</t>
      </text>
    </comment>
    <comment authorId="0" ref="D710">
      <text>
        <t xml:space="preserve">======
ID#AAABjx7qV_U
    (2025-05-21 11:33:27)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</text>
    </comment>
    <comment authorId="0" ref="H103">
      <text>
        <t xml:space="preserve">======
ID#AAABjx7qV_Y
    (2025-05-21 11:33:27)
ALICE:2019/05/02-水單匯入USD21462.5</t>
      </text>
    </comment>
    <comment authorId="0" ref="K2">
      <text>
        <t xml:space="preserve">======
ID#AAABjx7qV_E
    (2025-05-21 11:33:27)
EX : 2018 ...剩多少 PCS
20181231 止  剩 90 PCS</t>
      </text>
    </comment>
    <comment authorId="0" ref="H556">
      <text>
        <t xml:space="preserve">======
ID#AAABjx7qV-4
    (2025-05-21 11:33:27)
Alice:8/8-水單匯入USD4555元整，沖PI-20190708A 2540.PI-20190711A 1355.PI-20190712A 660</t>
      </text>
    </comment>
    <comment authorId="0" ref="D743">
      <text>
        <t xml:space="preserve">======
ID#AAABjx7qV-Y
    (2025-05-21 11:33:27)
0820 確認客人，還在合併其他物料下單
0917 要求revise PI No.待PI 簽回
0920 cathy:客人突然告知已匯款，chloe下單，待需告知客人何時可以取貨</t>
      </text>
    </comment>
    <comment authorId="0" ref="H279">
      <text>
        <t xml:space="preserve">======
ID#AAABjx7qV98
    (2025-05-21 11:33:27)
ALICE:2019/04/08-水單匯入USD31764-手續費USD12元=USD31752
詳4/8-客戶MAIL沖帳明細(12540+944+2010+5770+10500=31764)</t>
      </text>
    </comment>
    <comment authorId="0" ref="H917">
      <text>
        <t xml:space="preserve">======
ID#AAABjx7qV84
    (2025-05-21 11:33:27)
12/30-第一銀行收款NT43191</t>
      </text>
    </comment>
    <comment authorId="0" ref="E236">
      <text>
        <t xml:space="preserve">======
ID#AAABjx7qV8w
    (2025-05-21 11:33:27)
190226 w/o adapter</t>
      </text>
    </comment>
    <comment authorId="0" ref="H511">
      <text>
        <t xml:space="preserve">======
ID#AAABjx7qV80
    (2025-05-21 11:33:27)
ALICE:7/8-電文通知USD2300沖PI-20190604D.PI-20190611A</t>
      </text>
    </comment>
    <comment authorId="0" ref="K865">
      <text>
        <t xml:space="preserve">======
ID#AAABjx7qV8U
    (2025-05-21 11:33:27)
chloe
1028: 原先告知10/30
1104: 尚未告知MOXA！！原倉庫(木新路)收貨至11/14止，11/15暫停收貨 ，
11/18之後送貨請送至新倉庫:新北市新店區寶橋路235巷118號2AF</t>
      </text>
    </comment>
    <comment authorId="0" ref="H887">
      <text>
        <t xml:space="preserve">======
ID#AAABjx7qV8I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J796">
      <text>
        <t xml:space="preserve">======
ID#AAABjx7qV8A
    (2025-05-21 11:33:27)
using UPS express then</t>
      </text>
    </comment>
    <comment authorId="0" ref="H630">
      <text>
        <t xml:space="preserve">======
ID#AAABjx7qV7c
    (2025-05-21 11:33:27)
ALICE:8/21-銀行匯入USD374沖PI-20190801A USD334.沖PI-20190801A-1 USD40</t>
      </text>
    </comment>
    <comment authorId="0" ref="H625">
      <text>
        <t xml:space="preserve">======
ID#AAABjx7qV7U
    (2025-05-21 11:33:27)
ALICE:8/1銀行水單通知匯入USD8538.6沖PI-20190731A</t>
      </text>
    </comment>
    <comment authorId="0" ref="D884">
      <text>
        <t xml:space="preserve">======
ID#AAABjx7qV6o
    (2025-05-21 11:33:27)
11/8 cathy: 請Chloe 請協助下單</t>
      </text>
    </comment>
    <comment authorId="0" ref="H475">
      <text>
        <t xml:space="preserve">======
ID#AAABjx7qV5c
    (2025-05-21 11:33:27)
ALICE:7/19-電文匯入USD16000元整，沖PI-20190603A USD10450+236+2308+3006(4850中的)</t>
      </text>
    </comment>
    <comment authorId="0" ref="G208">
      <text>
        <t xml:space="preserve">======
ID#AAABjx7qV48
    (2025-05-21 11:33:27)
0127 San: 銷退貨用, 故單價先計算為0, 但給廠商的PO 仍然為US255 / 1 pcs</t>
      </text>
    </comment>
    <comment authorId="0" ref="D913">
      <text>
        <t xml:space="preserve">======
ID#AAABjx7qV4g
    (2025-05-21 11:33:27)
cathy: 11/19請chloe 下單</t>
      </text>
    </comment>
    <comment authorId="0" ref="H665">
      <text>
        <t xml:space="preserve">======
ID#AAABjx7qV4I
    (2025-05-21 11:33:27)
ALICE:10/9-玉山匯入USD700-手續費USD24.49=USD673.51沖PI-20190821A USD700元整</t>
      </text>
    </comment>
    <comment authorId="0" ref="H341">
      <text>
        <t xml:space="preserve">======
ID#AAABjx7qV4E
    (2025-05-21 11:33:27)
ALICE:5/13-CHLOE5通知5/10 戎克台幣匯款匯入</t>
      </text>
    </comment>
    <comment authorId="0" ref="F827">
      <text>
        <t xml:space="preserve">======
ID#AAABjx7qV3g
    (2025-05-21 11:33:27)
20191017 客人通知10/16寄出10pcs 備品(10/18到料，有請vivian QC外觀) 
20191018 客人告知良品先存於我司*4pcs 不良部分待確認處理方式
20191030 客人告知不良先寄回，良品放我司</t>
      </text>
    </comment>
    <comment authorId="0" ref="V133">
      <text>
        <t xml:space="preserve">======
ID#AAABjx7qV3M
    (2025-05-21 11:33:27)
ALICE:2019/05/02-水單匯入USD21462.5-(匯出手續費USD10+匯入手續費USD10.73)=USD21441.77*30.84=NT661264</t>
      </text>
    </comment>
    <comment authorId="0" ref="H960">
      <text>
        <t xml:space="preserve">======
ID#AAABjx7qV20
    (2025-05-21 11:33:27)
ALICE:1/30一銀收到KH匯入USD2352(內含手續費USD26.62)沖PI-20191115001 USD709+PI-20191115002 USD75+PI-20191120002 USD150+PI-20191123002 USD870+PI-20191224001 USD411+PI-20191216001 USD137)</t>
      </text>
    </comment>
    <comment authorId="0" ref="D848">
      <text>
        <t xml:space="preserve">======
ID#AAABjx7qV2U
    (2025-05-21 11:33:27)
10/24 cathy:請yvonne 下單</t>
      </text>
    </comment>
    <comment authorId="0" ref="H913">
      <text>
        <t xml:space="preserve">======
ID#AAABjx7qV1Y
    (2025-05-21 11:33:27)
ALICE:11/21一銀匯入USD1305(含銀行手續費)沖PI-20191119001 USD1305</t>
      </text>
    </comment>
    <comment authorId="0" ref="H582">
      <text>
        <t xml:space="preserve">======
ID#AAABjx7qV1M
    (2025-05-21 11:33:27)
ALICE:9/10玉山匯入NT108650沖PI20190719A.PI-20190722B.PI-20190725A.PI20190813B</t>
      </text>
    </comment>
    <comment authorId="0" ref="H64">
      <text>
        <t xml:space="preserve">======
ID#AAABjx7qV1A
    (2025-05-21 11:33:27)
0124 chloe:匯款匯入US$48799</t>
      </text>
    </comment>
    <comment authorId="0" ref="H375">
      <text>
        <t xml:space="preserve">======
ID#AAABjx7qV0k
    (2025-05-21 11:33:27)
Alice:6/17-水單匯入USD10046沖PI-201904096B.PI-20190418A.PI-20190422A.PI-20190307A</t>
      </text>
    </comment>
    <comment authorId="0" ref="D171">
      <text>
        <t xml:space="preserve">======
ID#AAABjx7qV0I
    (2025-05-21 11:33:27)
190109 Tammy: 抽驗即可, 謝謝</t>
      </text>
    </comment>
    <comment authorId="0" ref="H886">
      <text>
        <t xml:space="preserve">======
ID#AAABjx7qVzs
    (2025-05-21 11:33:27)
ALICE:2020/01/10-SA匯入USD37024-沖PI-20191108001 (5904+2010+440+20104+950+6270)+1346(12600中的1346)=USD37024</t>
      </text>
    </comment>
    <comment authorId="0" ref="D811">
      <text>
        <t xml:space="preserve">======
ID#AAABjx7qVzg
    (2025-05-21 11:33:27)
10/8 cathy: 通知下單</t>
      </text>
    </comment>
    <comment authorId="0" ref="H281">
      <text>
        <t xml:space="preserve">======
ID#AAABjx7qVy4
    (2025-05-21 11:33:27)
190303 客人應付貨款要扣掉NT$33313元 
3/22 chloe: 應付貨款145224- 33313
=111911(0322 已付)</t>
      </text>
    </comment>
    <comment authorId="0" ref="H423">
      <text>
        <t xml:space="preserve">======
ID#AAABjx7qVyg
    (2025-05-21 11:33:27)
ALICE:5/27-水單匯入USD4578*31.43</t>
      </text>
    </comment>
    <comment authorId="0" ref="H260">
      <text>
        <t xml:space="preserve">======
ID#AAABjx7qVyI
    (2025-05-21 11:33:27)
alice:8/19-水單匯入USD8500，沖PI-20190227D</t>
      </text>
    </comment>
    <comment authorId="0" ref="K177">
      <text>
        <t xml:space="preserve">======
ID#AAABjx7qVyQ
    (2025-05-21 11:33:27)
0212 San: 用DHL箱子把2個貨箱放成一個箱子</t>
      </text>
    </comment>
    <comment authorId="0" ref="K79">
      <text>
        <t xml:space="preserve">======
ID#AAABjx7qVyE
    (2025-05-21 11:33:27)
6/20 amy: this shipment DOA, the RMA Return date is 04/30, so A/R should be count from 4/30, due date is 6/15</t>
      </text>
    </comment>
    <comment authorId="0" ref="D272">
      <text>
        <t xml:space="preserve">======
ID#AAABjx7qVxc
    (2025-05-21 11:33:27)
190109 Tammy: 抽驗即可, 謝謝</t>
      </text>
    </comment>
    <comment authorId="0" ref="G573">
      <text>
        <t xml:space="preserve">======
ID#AAABjx7qVxI
    (2025-05-21 11:33:27)
190718 Tammy: w/5%</t>
      </text>
    </comment>
    <comment authorId="0" ref="K824">
      <text>
        <t xml:space="preserve">======
ID#AAABjx7qVww
    (2025-05-21 11:33:27)
10/28 cathy: 通知客人交期pending 
10/15 cathy: 10/22 需update 交期給客人</t>
      </text>
    </comment>
    <comment authorId="0" ref="H922">
      <text>
        <t xml:space="preserve">======
ID#AAABjx7qVwo
    (2025-05-21 11:33:27)
ALICE:1/20-第一USD收款USD1308(手續費0)沖PI-20191203001 USD77+PI-20191126001 USD1231 總計USD1308元整</t>
      </text>
    </comment>
    <comment authorId="0" ref="B723">
      <text>
        <t xml:space="preserve">======
ID#AAABjx7qVwE
    (2025-05-21 11:33:27)
新開發客戶</t>
      </text>
    </comment>
    <comment authorId="0" ref="K573">
      <text>
        <t xml:space="preserve">======
ID#AAABjx7qVwA
    (2025-05-21 11:33:27)
190718 Tammy: 發票寄出前，請先提供確認，謝謝。</t>
      </text>
    </comment>
    <comment authorId="0" ref="E946">
      <text>
        <t xml:space="preserve">======
ID#AAABjx7qVvw
    (2025-05-21 11:33:27)
2019年SPS合展</t>
      </text>
    </comment>
    <comment authorId="0" ref="V438">
      <text>
        <t xml:space="preserve">======
ID#AAABjx7qVvU
    (2025-05-21 11:33:27)
ALICE:5/30水單匯入USD3743.66*31.57 (手續費USD6.34*31.57)</t>
      </text>
    </comment>
    <comment authorId="0" ref="V134">
      <text>
        <t xml:space="preserve">======
ID#AAABjx7qVvI
    (2025-05-21 11:33:27)
ALICE:2019/05/02-水單匯入USD21462.5-(匯出手續費USD10+匯入手續費USD10.73)=USD21441.77*30.84=NT661264</t>
      </text>
    </comment>
    <comment authorId="0" ref="E519">
      <text>
        <t xml:space="preserve">======
ID#AAABjx7qVu8
    (2025-05-21 11:33:27)
20190620
 Santiago:
-&gt; 待客戶將 7' LCD (AA070ME01)寄來後， 寄曦立光電做貼合</t>
      </text>
    </comment>
    <comment authorId="0" ref="K20">
      <text>
        <t xml:space="preserve">======
ID#AAABjx7qVuo
    (2025-05-21 11:33:27)
Invoice已先給會計</t>
      </text>
    </comment>
    <comment authorId="0" ref="H943">
      <text>
        <t xml:space="preserve">======
ID#AAABjx7qVuc
    (2025-05-21 11:33:27)
ALICE:2020/01/08亞郁匯入NT46486沖PI-20191112005 USD270.9+PI-20191205001 USD1169.7+PI-20191211002 USD97.65</t>
      </text>
    </comment>
    <comment authorId="0" ref="D661">
      <text>
        <t xml:space="preserve">======
ID#AAABjx7qVuU
    (2025-05-21 11:33:27)
0820 Cathy: santi mail 告知提供PI給客人，待客戶簽回
0902 Cathy: double confirm with client if they will place an order 
0910 請chloe 下單
0920  Cathy : 詢問客人交期有否辦法接受(物料無法cancel)</t>
      </text>
    </comment>
    <comment authorId="0" ref="H391">
      <text>
        <t xml:space="preserve">======
ID#AAABjx7qVuQ
    (2025-05-21 11:33:27)
ALICE:5/27-水單匯入USD4578*31.43</t>
      </text>
    </comment>
    <comment authorId="0" ref="H685">
      <text>
        <t xml:space="preserve">======
ID#AAABjx7qVt0
    (2025-05-21 11:33:27)
ALICE:10/22玉山銀行匯入USD6469沖PI-20190905A USD495.PI-20190905A-F USD45.PI-20190902A 5929合計總沖USD6469</t>
      </text>
    </comment>
    <comment authorId="0" ref="D912">
      <text>
        <t xml:space="preserve">======
ID#AAABjx7qVtw
    (2025-05-21 11:33:27)
cathy: 11/19請chloe 下單</t>
      </text>
    </comment>
    <comment authorId="0" ref="H348">
      <text>
        <t xml:space="preserve">======
ID#AAABjx7qVts
    (2025-05-21 11:33:27)
Alice:6/17-水單匯入USD10046沖PI-201904096B.PI-20190418A.PI-20190422A.PI-20190307A</t>
      </text>
    </comment>
    <comment authorId="0" ref="E198">
      <text>
        <t xml:space="preserve">======
ID#AAABjx7qVtY
    (2025-05-21 11:33:27)
自製品TS32GSSD420K ，戎克料號:14-TS0-SDMN032-001A</t>
      </text>
    </comment>
    <comment authorId="0" ref="H237">
      <text>
        <t xml:space="preserve">======
ID#AAABjx7qVtQ
    (2025-05-21 11:33:27)
0225 chloe:客戶水單2/25，待我司銀行通知入帳
0226 chloe:匯款匯入6471-11(匯款手續費)</t>
      </text>
    </comment>
    <comment authorId="0" ref="H539">
      <text>
        <t xml:space="preserve">======
ID#AAABjx7qVtA
    (2025-05-21 11:33:27)
Alice:7/8匯入NT170334 
Alice:8/6匯入NT186707
Alice:8/6匯入NT32231
總計389272+匯款手續費30=389302沖PI-20190523A 202565.沖PI20190702A 186737元整</t>
      </text>
    </comment>
    <comment authorId="0" ref="H54">
      <text>
        <t xml:space="preserve">======
ID#AAABjx7qVss
    (2025-05-21 11:33:27)
alice:2019/05/17水單通知USD19768沖3/4A $1995.3/4A-1$4152.3/4A-1-F $232.3/8B-F $57.12/21A-2-F $144.3/4A-1 $189.10/22C-2 $10227.12/21A-1 $2772.如上總計共USD19768</t>
      </text>
    </comment>
    <comment authorId="0" ref="H658">
      <text>
        <t xml:space="preserve">======
ID#AAABjx7qVso
    (2025-05-21 11:33:27)
ALICE:9/26玉山銀行匯入USD1212元整，沖PI-20190819A USD1092，沖PI-20190814C USD120</t>
      </text>
    </comment>
    <comment authorId="0" ref="H167">
      <text>
        <t xml:space="preserve">======
ID#AAABjx7qVsk
    (2025-05-21 11:33:27)
0327 chloe:匯款匯入US$4165-20(手續費)</t>
      </text>
    </comment>
    <comment authorId="0" ref="H570">
      <text>
        <t xml:space="preserve">======
ID#AAABjx7qVsM
    (2025-05-21 11:33:27)
ALICE:8/22玉山銀行匯入NT1,596,000+NT1,978=NT1,597,978元整，沖PI-20190717C NT1,586,124 ，沖PI-20190813C NT11,854</t>
      </text>
    </comment>
    <comment authorId="0" ref="H21">
      <text>
        <t xml:space="preserve">======
ID#AAABjx7qVr8
    (2025-05-21 11:33:27)
1227 chloe:匯款匯入US$53334</t>
      </text>
    </comment>
    <comment authorId="0" ref="D585">
      <text>
        <t xml:space="preserve">======
ID#AAABjx7qVq4
    (2025-05-21 11:33:27)
20190604 Robin accept W/O AG、AR treatment this time</t>
      </text>
    </comment>
    <comment authorId="0" ref="H742">
      <text>
        <t xml:space="preserve">======
ID#AAABjx7qVqs
    (2025-05-21 11:33:27)
ALICE:9/19玉山水單匯入USD440沖PI-20190917B 440</t>
      </text>
    </comment>
    <comment authorId="0" ref="K654">
      <text>
        <t xml:space="preserve">======
ID#AAABjx7qVqc
    (2025-05-21 11:33:27)
0910 cathy:與san確認可否於10/9 or 10/11 出貨 -&gt;  chloe approve 可於10/9出貨 
1001 :出貨前請Santiago拍照</t>
      </text>
    </comment>
    <comment authorId="0" ref="H573">
      <text>
        <t xml:space="preserve">======
ID#AAABjx7qVqA
    (2025-05-21 11:33:27)
ALICE:8/22玉山銀行匯入NT1,596,000+NT1,978=NT1,597,978元整，沖PI-20190717C NT1,586,124 ，沖PI-20190813C NT11,854</t>
      </text>
    </comment>
    <comment authorId="0" ref="B724">
      <text>
        <t xml:space="preserve">======
ID#AAABjx7qVqE
    (2025-05-21 11:33:27)
新開發客戶</t>
      </text>
    </comment>
    <comment authorId="0" ref="K664">
      <text>
        <t xml:space="preserve">======
ID#AAABjx7qVpU
    (2025-05-21 11:33:27)
1028 cathy 告知客人交期要延到12月底 
0920 請客人確認moxa交期可否接受</t>
      </text>
    </comment>
    <comment authorId="0" ref="K225">
      <text>
        <t xml:space="preserve">======
ID#AAABjx7qVpM
    (2025-05-21 11:33:27)
2/20 waiting for production control confirm L/T</t>
      </text>
    </comment>
    <comment authorId="0" ref="H367">
      <text>
        <t xml:space="preserve">======
ID#AAABjx7qVoo
    (2025-05-21 11:33:27)
ALICE:5/17收到銀行電文通知USD1668-11匯款手續費=USD1657</t>
      </text>
    </comment>
    <comment authorId="0" ref="J799">
      <text>
        <t xml:space="preserve">======
ID#AAABjx7qVoA
    (2025-05-21 11:33:27)
using UPS express then</t>
      </text>
    </comment>
    <comment authorId="0" ref="H455">
      <text>
        <t xml:space="preserve">======
ID#AAABjx7qVnM
    (2025-05-21 11:33:27)
alice:6/14-玉山匯入USD1346-手續費31.36=USD1314.64*31.47</t>
      </text>
    </comment>
    <comment authorId="0" ref="K226">
      <text>
        <t xml:space="preserve">======
ID#AAABjx7qVnA
    (2025-05-21 11:33:27)
2/20 waiting for production control confirm L/T</t>
      </text>
    </comment>
    <comment authorId="0" ref="H265">
      <text>
        <t xml:space="preserve">======
ID#AAABjx7qVnE
    (2025-05-21 11:33:27)
ALICE:10/21玉山銀行匯入USD4250沖PI-20190227F USD4250</t>
      </text>
    </comment>
    <comment authorId="0" ref="E446">
      <text>
        <t xml:space="preserve">======
ID#AAABjx7qVmo
    (2025-05-21 11:33:27)
客戶告知美規
0618  (客戶下單錯誤，核銷。酌收退貨手續費15%)  NTD2114</t>
      </text>
    </comment>
    <comment authorId="0" ref="H121">
      <text>
        <t xml:space="preserve">======
ID#AAABjx7qVmU
    (2025-05-21 11:33:27)
ALICE:201904/10水單匯入USD11416*30.78
沖(229+2394+326+34+5274+3066+103)=11426</t>
      </text>
    </comment>
    <comment authorId="0" ref="O719">
      <text>
        <t xml:space="preserve">======
ID#AAABjx7qVmA
    (2025-05-21 11:33:27)
ALICE: TI2 PI-20190905A-F 運費998
             Santiago寄目錄到NEw era運費1385
             Santiago寄目錄到captec 運費1385</t>
      </text>
    </comment>
    <comment authorId="0" ref="D881">
      <text>
        <t xml:space="preserve">======
ID#AAABjx7qVl0
    (2025-05-21 11:33:27)
11/8 cathy: 請Chloe 請協助下單</t>
      </text>
    </comment>
    <comment authorId="0" ref="K14">
      <text>
        <t xml:space="preserve">======
ID#AAABjx7qVlo
    (2025-05-21 11:33:27)
1120Amy: Vecow 年底前交貨, 收到超恩貨+2-3 days出貨Ti2</t>
      </text>
    </comment>
    <comment authorId="0" ref="H59">
      <text>
        <t xml:space="preserve">======
ID#AAABjx7qVk8
    (2025-05-21 11:33:27)
ALICE:201904/10水單匯入USD11416*30.78
沖(229+2394+326+34+5274+3066+103)=11426</t>
      </text>
    </comment>
    <comment authorId="0" ref="D54">
      <text>
        <t xml:space="preserve">======
ID#AAABjx7qVkQ
    (2025-05-21 11:33:27)
1/21 Keiju: 出貨前拍照</t>
      </text>
    </comment>
    <comment authorId="0" ref="H447">
      <text>
        <t xml:space="preserve">======
ID#AAABjx7qVkI
    (2025-05-21 11:33:27)
ALICE:7/17水單匯入USD9362沖PI-20190508B-F 92元.PI-20190508B-1 130元. PI-20190509C 9140元整</t>
      </text>
    </comment>
    <comment authorId="0" ref="J359">
      <text>
        <t xml:space="preserve">======
ID#AAABjx7qVkE
    (2025-05-21 11:33:27)
190411 但未知FEDEX服務，出貨前再確認
190506 Fedex Intl. Economy</t>
      </text>
    </comment>
    <comment authorId="0" ref="H652">
      <text>
        <t xml:space="preserve">======
ID#AAABjx7qVkA
    (2025-05-21 11:33:27)
ALICE:8/22玉山匯入USD4512.6沖PI-20190815A USD4512.6</t>
      </text>
    </comment>
    <comment authorId="0" ref="H509">
      <text>
        <t xml:space="preserve">======
ID#AAABjx7qVjg
    (2025-05-21 11:33:27)
ALICE:6/13-玉山匯入USD4942-應付3539=1403轉預收貨款   銀行淨收4895.64*31.47</t>
      </text>
    </comment>
    <comment authorId="0" ref="D549">
      <text>
        <t xml:space="preserve">======
ID#AAABjx7qVio
    (2025-05-21 11:33:27)
7/8請 chloe 協助下單</t>
      </text>
    </comment>
    <comment authorId="0" ref="D905">
      <text>
        <t xml:space="preserve">======
ID#AAABjx7qVh4
    (2025-05-21 11:33:27)
1114 Cathy:請Yvonne 下單
1119 Cathy: 客人告知取消此項，已與研華amy 告知</t>
      </text>
    </comment>
    <comment authorId="0" ref="H748">
      <text>
        <t xml:space="preserve">======
ID#AAABjx7qVhs
    (2025-05-21 11:33:27)
ALICE:11/4玉山銀行收到匯入款USD407沖PI-20190919A USD407元整</t>
      </text>
    </comment>
    <comment authorId="0" ref="E955">
      <text>
        <t xml:space="preserve">======
ID#AAABjx7qVhw
    (2025-05-21 11:33:27)
2020 年 Embedded 攤位費用</t>
      </text>
    </comment>
    <comment authorId="0" ref="V125">
      <text>
        <t xml:space="preserve">======
ID#AAABjx7qVhM
    (2025-05-21 11:33:27)
ALICE:2019/02/15-水單匯入(USD21605-手續費USD10.82)*30.787=NT664820
2019/02/14-水單匯入(USD6990-手續費USD6.5)*30.784=NT214980
應收總計USD28615-實收USD21605+USD6990=USD20匯出手續費
手續費總計USD10.82*30.787+6.5*30.784+20*30.787=NT1449元整</t>
      </text>
    </comment>
    <comment authorId="0" ref="U104">
      <text>
        <t xml:space="preserve">======
ID#AAABjx7qVfU
    (2025-05-21 11:33:27)
ALICE:2019/05/02-水單匯入USD21462.5-(匯出手續費USD10+匯入手續費USD10.73)=USD21441.77*30.84=NT661264</t>
      </text>
    </comment>
    <comment authorId="0" ref="H639">
      <text>
        <t xml:space="preserve">======
ID#AAABjx7qVe8
    (2025-05-21 11:33:27)
ALICE:9/9電文通知ALCOM PI-20190808A匯入USD1180</t>
      </text>
    </comment>
    <comment authorId="0" ref="H439">
      <text>
        <t xml:space="preserve">======
ID#AAABjx7qVe4
    (2025-05-21 11:33:27)
ALICE:6/27水單匯入USD8652.87沖PI20190515C 1394.5.PI-20190625C 46.37.PI-20190508C 6408.PI-20190619B 804共四張PI合計8652.87</t>
      </text>
    </comment>
    <comment authorId="0" ref="H481">
      <text>
        <t xml:space="preserve">======
ID#AAABjx7qVes
    (2025-05-21 11:33:27)
ALICE:8/27玉山銀行匯入USD9443沖PI-20190604A.PI-20190628A.PI-20190604A-F合計共USD9443元整</t>
      </text>
    </comment>
    <comment authorId="0" ref="H91">
      <text>
        <t xml:space="preserve">======
ID#AAABjx7qVew
    (2025-05-21 11:33:27)
0225  chloe:匯款匯入439676-30(手續費)</t>
      </text>
    </comment>
    <comment authorId="0" ref="D879">
      <text>
        <t xml:space="preserve">======
ID#AAABjx7qVeo
    (2025-05-21 11:33:27)
11/8 cathy: 請Chloe 請協助下單</t>
      </text>
    </comment>
    <comment authorId="0" ref="H557">
      <text>
        <t xml:space="preserve">======
ID#AAABjx7qVds
    (2025-05-21 11:33:27)
ALICE:8/30玉山銀行水單匯入USD603元整，沖PI-20190715A USD135+沖PI-20190722D USD468=合計總沖USD603元整</t>
      </text>
    </comment>
    <comment authorId="0" ref="D628">
      <text>
        <t xml:space="preserve">======
ID#AAABjx7qVdI
    (2025-05-21 11:33:27)
0806 詢問客人
0820 請Chole 協助下單</t>
      </text>
    </comment>
    <comment authorId="0" ref="H788">
      <text>
        <t xml:space="preserve">======
ID#AAABjx7qVc0
    (2025-05-21 11:33:27)
ALICE:12/2-合庫匯入NT328647(內含手續費NT30元整)沖PI-20191001A USD10084.2+PI-20191112006 USD714元整</t>
      </text>
    </comment>
    <comment authorId="0" ref="H942">
      <text>
        <t xml:space="preserve">======
ID#AAABjx7qVcw
    (2025-05-21 11:33:27)
ALICE:1/20-第一USD收款USD1308(手續費0)沖PI-20191203001 USD77+PI-20191126001 USD1231 總計USD1308元整</t>
      </text>
    </comment>
    <comment authorId="0" ref="H390">
      <text>
        <t xml:space="preserve">======
ID#AAABjx7qVco
    (2025-05-21 11:33:27)
ALICE:5/27-水單匯入USD4578*31.43</t>
      </text>
    </comment>
    <comment authorId="0" ref="H520">
      <text>
        <t xml:space="preserve">======
ID#AAABjx7qVck
    (2025-05-21 11:33:27)
ALICE:11/6-玉山銀行收到Hectronic匯入款USD19840沖PI-20190620A-3 USD7440.PI-20190620A-2 USD12400</t>
      </text>
    </comment>
    <comment authorId="0" ref="D829">
      <text>
        <t xml:space="preserve">======
ID#AAABjx7qVcc
    (2025-05-21 11:33:27)
10/17 CATHY:請Tammy 下單</t>
      </text>
    </comment>
    <comment authorId="0" ref="H601">
      <text>
        <t xml:space="preserve">======
ID#AAABjx7qVcY
    (2025-05-21 11:33:27)
ALICE:1/7第一銀行USD3228 沖PI-20191007006 1501+PI-20191007007 USD1727+PI-20191128002 USD20總沖USD3248</t>
      </text>
    </comment>
    <comment authorId="0" ref="H766">
      <text>
        <t xml:space="preserve">======
ID#AAABjx7qVb0
    (2025-05-21 11:33:27)
ALICE:11/20一銀匯入USD5837沖PI-20190930A USD3945+PI-20191003A USD137+PI-20191005A USD1755</t>
      </text>
    </comment>
    <comment authorId="0" ref="K397">
      <text>
        <t xml:space="preserve">======
ID#AAABjx7qVbg
    (2025-05-21 11:33:27)
貨交台灣
新北市汐止市合順街18巷23弄11號5摟</t>
      </text>
    </comment>
    <comment authorId="0" ref="K78">
      <text>
        <t xml:space="preserve">======
ID#AAABjx7qVbc
    (2025-05-21 11:33:27)
6/20 amy: this shipment DOA, the RMA Return date is 04/30, so A/R should be count from 4/30, due date is 6/15</t>
      </text>
    </comment>
    <comment authorId="0" ref="H323">
      <text>
        <t xml:space="preserve">======
ID#AAABjx7qVbU
    (2025-05-21 11:33:27)
alice:5/10-水單通知usd3751-匯出手續費20-匯入手續費6.46=USD3724.54*30.94=NT115,237元整
沖20190320B USD1270
沖20190322A USD2481
合計總沖USD3751元整</t>
      </text>
    </comment>
    <comment authorId="0" ref="H650">
      <text>
        <t xml:space="preserve">======
ID#AAABjx7qVbM
    (2025-05-21 11:33:27)
ALICE:9/26玉山水單匯入USD16657沖PI-20190704A USD655.沖PI-20190704A-F USD96.沖PI20190717E USD11479.沖PI-20190726B USD4245.沖PI-20190726B-F 182總沖16657</t>
      </text>
    </comment>
    <comment authorId="0" ref="K46">
      <text>
        <t xml:space="preserve">======
ID#AAABjx7qVak
    (2025-05-21 11:33:27)
Vecow 年底前交貨, 收到超恩貨+2-3 days出貨Ti2</t>
      </text>
    </comment>
    <comment authorId="0" ref="B416">
      <text>
        <t xml:space="preserve">======
ID#AAABjx7qVag
    (2025-05-21 11:33:27)
5/21 Amy: change quantity to 6 ( previous is 3)</t>
      </text>
    </comment>
    <comment authorId="0" ref="H643">
      <text>
        <t xml:space="preserve">======
ID#AAABjx7qVaI
    (2025-05-21 11:33:27)
ALICE:9/10玉山水單匯入USD5607元，沖PI-20190813A USD5147.沖PI-20190813A-1 460，合計總沖USD5607元整</t>
      </text>
    </comment>
    <comment authorId="0" ref="H401">
      <text>
        <t xml:space="preserve">======
ID#AAABjx7qVaE
    (2025-05-21 11:33:27)
Alice:2019/05/16-收到銀行合庫匯入通知NT194,325元整(沖PI-20190502C.PI-20190507A)手續費0</t>
      </text>
    </comment>
    <comment authorId="0" ref="H805">
      <text>
        <t xml:space="preserve">======
ID#AAABjx7qVZs
    (2025-05-21 11:33:27)
ALICE:10/24玉山水單匯入USD13256沖PI-20191007010 USD13256</t>
      </text>
    </comment>
    <comment authorId="0" ref="E945">
      <text>
        <t xml:space="preserve">======
ID#AAABjx7qVZ0
    (2025-05-21 11:33:27)
2019年SPS合展</t>
      </text>
    </comment>
    <comment authorId="0" ref="I886">
      <text>
        <t xml:space="preserve">======
ID#AAABjx7qVZo
    (2025-05-21 11:33:27)
Cathy/Yvonne</t>
      </text>
    </comment>
    <comment authorId="0" ref="I597">
      <text>
        <t xml:space="preserve">======
ID#AAABjx7qVZk
    (2025-05-21 11:33:27)
Cathy/Santiago</t>
      </text>
    </comment>
    <comment authorId="0" ref="H618">
      <text>
        <t xml:space="preserve">======
ID#AAABjx7qVZE
    (2025-05-21 11:33:27)
ALICE:9/26玉山水單匯入USD16657沖PI-20190704A USD655.沖PI-20190704A-F USD96.沖PI20190717E USD11479.沖PI-20190726B USD4245.沖PI-20190726B-F 182總沖16657</t>
      </text>
    </comment>
    <comment authorId="0" ref="K723">
      <text>
        <t xml:space="preserve">======
ID#AAABjx7qVY0
    (2025-05-21 11:33:27)
0916 cathy : revise 交期&amp;通知客人</t>
      </text>
    </comment>
    <comment authorId="0" ref="K944">
      <text>
        <t xml:space="preserve">======
ID#AAABjx7qVYQ
    (2025-05-21 11:33:27)
1223yvonne:CHLOE通知送戎克，在寄出給亞郁。</t>
      </text>
    </comment>
    <comment authorId="0" ref="H678">
      <text>
        <t xml:space="preserve">======
ID#AAABjx7qVXs
    (2025-05-21 11:33:27)
ALICE:10/8-玉山水單匯入USD1566沖PI-20190828A USD1566</t>
      </text>
    </comment>
    <comment authorId="0" ref="O433">
      <text>
        <t xml:space="preserve">======
ID#AAABjx7qVXM
    (2025-05-21 11:33:27)
0514 Cathy 下單</t>
      </text>
    </comment>
    <comment authorId="0" ref="D398">
      <text>
        <t xml:space="preserve">======
ID#AAABjx7qVXQ
    (2025-05-21 11:33:27)
0502 mail請Tammy 下單</t>
      </text>
    </comment>
    <comment authorId="0" ref="K847">
      <text>
        <t xml:space="preserve">======
ID#AAABjx7qVWk
    (2025-05-21 11:33:27)
10/28 cathy: 通知客人交期pending 
10/15 cathy: 10/22 需update 交期給客人</t>
      </text>
    </comment>
    <comment authorId="0" ref="H786">
      <text>
        <t xml:space="preserve">======
ID#AAABjx7qVWc
    (2025-05-21 11:33:27)
ALICE:12/4-TPOLE匯入一銀USD2242(全額到付)沖PI-20190923B 125+PI-20190930B USD1872+PI-20191014006 USD150+PI-20191026001 USD95合計總沖USD2242元整</t>
      </text>
    </comment>
    <comment authorId="0" ref="K642">
      <text>
        <t xml:space="preserve">======
ID#AAABjx7qVVk
    (2025-05-21 11:33:27)
在此輸入
0821 CATHY : 客人希望2W交貨(不然可能canel order)，待交期確認後，就請客人先匯款
0826 Cathy : 客人告知預計9/2匯款，請如期出貨 
0902YVONNE:待客戶匯款後出貨</t>
      </text>
    </comment>
    <comment authorId="0" ref="U119">
      <text>
        <t xml:space="preserve">======
ID#AAABjx7qVVM
    (2025-05-21 11:33:27)
ALICE:2019/02/01-應收總額USD38286 實收USD38266-手續費USD19.13=USD38246.87*30.69=NT1,173,796元整</t>
      </text>
    </comment>
    <comment authorId="0" ref="H723">
      <text>
        <t xml:space="preserve">======
ID#AAABjx7qVU8
    (2025-05-21 11:33:27)
ALICE:9/12玉山水單匯入USD1463沖PI-20190910C USD1463元整</t>
      </text>
    </comment>
    <comment authorId="0" ref="H46">
      <text>
        <t xml:space="preserve">======
ID#AAABjx7qVUw
    (2025-05-21 11:33:27)
0306 chloe:匯款匯入US$14480.6(含20190119A RG58 cable Sample)</t>
      </text>
    </comment>
    <comment authorId="0" ref="H804">
      <text>
        <t xml:space="preserve">======
ID#AAABjx7qVUc
    (2025-05-21 11:33:27)
alice:10/28-玉山銀行收到Hectronic匯入USD52.59沖PI-20190620A-T</t>
      </text>
    </comment>
    <comment authorId="0" ref="K829">
      <text>
        <t xml:space="preserve">======
ID#AAABjx7qVUU
    (2025-05-21 11:33:27)
chloe
1028: 原先告知10/30
1104: 尚未告知MOXA！！原倉庫(木新路)收貨至11/14止，11/15暫停收貨 ，
11/18之後送貨請送至新倉庫:新北市新店區寶橋路235巷118號2AF</t>
      </text>
    </comment>
    <comment authorId="0" ref="D668">
      <text>
        <t xml:space="preserve">======
ID#AAABjx7qVUQ
    (2025-05-21 11:33:27)
8/21 請chloe協助下單</t>
      </text>
    </comment>
    <comment authorId="0" ref="D646">
      <text>
        <t xml:space="preserve">======
ID#AAABjx7qVUA
    (2025-05-21 11:33:27)
0813 請chloe 協助下單</t>
      </text>
    </comment>
    <comment authorId="0" ref="E193">
      <text>
        <t xml:space="preserve">======
ID#AAABjx7qVS8
    (2025-05-21 11:33:27)
自製品SSD-TS32GSSD420K ，戎克料號:14-TS0-SDMN032-001A</t>
      </text>
    </comment>
    <comment authorId="0" ref="J561">
      <text>
        <t xml:space="preserve">======
ID#AAABjx7qVSk
    (2025-05-21 11:33:27)
190717 Tammy: 收到貨款後, 才出貨</t>
      </text>
    </comment>
    <comment authorId="0" ref="D645">
      <text>
        <t xml:space="preserve">======
ID#AAABjx7qVSc
    (2025-05-21 11:33:27)
0813 請chloe 協助下單</t>
      </text>
    </comment>
    <comment authorId="0" ref="J458">
      <text>
        <t xml:space="preserve">======
ID#AAABjx7qVRs
    (2025-05-21 11:33:27)
客人自行安排取貨 
0527待客人確認</t>
      </text>
    </comment>
    <comment authorId="0" ref="J910">
      <text>
        <t xml:space="preserve">======
ID#AAABjx7qVRc
    (2025-05-21 11:33:27)
客人自取</t>
      </text>
    </comment>
    <comment authorId="0" ref="H179">
      <text>
        <t xml:space="preserve">======
ID#AAABjx7qVRU
    (2025-05-21 11:33:27)
0327 chloe:匯款匯入US4578-6.51(手續費)</t>
      </text>
    </comment>
    <comment authorId="0" ref="H537">
      <text>
        <t xml:space="preserve">======
ID#AAABjx7qVRI
    (2025-05-21 11:33:27)
ALICE:7/15-匯入28508沖17968元整，客戶多付10540(CATHY回覆沖之後的帳款)</t>
      </text>
    </comment>
    <comment authorId="0" ref="H553">
      <text>
        <t xml:space="preserve">======
ID#AAABjx7qVQs
    (2025-05-21 11:33:27)
Alice:8/8-水單匯入USD4555元整，沖PI-20190708A 2540.PI-20190711A 1355.PI-20190712A 660</t>
      </text>
    </comment>
    <comment authorId="0" ref="H95">
      <text>
        <t xml:space="preserve">======
ID#AAABjx7qVQU
    (2025-05-21 11:33:27)
0227 chloe:匯款匯入US4578</t>
      </text>
    </comment>
    <comment authorId="0" ref="J876">
      <text>
        <t xml:space="preserve">======
ID#AAABjx7qVP8
    (2025-05-21 11:33:27)
客人自取</t>
      </text>
    </comment>
    <comment authorId="0" ref="I523">
      <text>
        <t xml:space="preserve">======
ID#AAABjx7qVP0
    (2025-05-21 11:33:27)
Cathy/Santiago</t>
      </text>
    </comment>
    <comment authorId="0" ref="H57">
      <text>
        <t xml:space="preserve">======
ID#AAABjx7qVPY
    (2025-05-21 11:33:27)
ALICE:201904/10水單匯入USD11416*30.78
沖(229+2394+326+34+5274+3066+103)=11426</t>
      </text>
    </comment>
    <comment authorId="0" ref="H124">
      <text>
        <t xml:space="preserve">======
ID#AAABjx7qVPE
    (2025-05-21 11:33:27)
ALICE:201904/10水單匯入USD11416*30.78
沖(229+2394+326+34+5274+3066+103)=11426</t>
      </text>
    </comment>
    <comment authorId="0" ref="K869">
      <text>
        <t xml:space="preserve">======
ID#AAABjx7qVPI
    (2025-05-21 11:33:27)
10/30 cathy:通知客人交期</t>
      </text>
    </comment>
    <comment authorId="0" ref="H300">
      <text>
        <t xml:space="preserve">======
ID#AAABjx7qVO8
    (2025-05-21 11:33:27)
ALICE:201904/10水單匯入USD11416*30.78
沖(229+2394+326+34+5274+3066+103)=11426</t>
      </text>
    </comment>
    <comment authorId="0" ref="K224">
      <text>
        <t xml:space="preserve">======
ID#AAABjx7qVOo
    (2025-05-21 11:33:27)
2/20 waiting for production control confirm L/T</t>
      </text>
    </comment>
    <comment authorId="0" ref="J798">
      <text>
        <t xml:space="preserve">======
ID#AAABjx7qVOI
    (2025-05-21 11:33:27)
using UPS express then</t>
      </text>
    </comment>
    <comment authorId="0" ref="H677">
      <text>
        <t xml:space="preserve">======
ID#AAABjx7qVOA
    (2025-05-21 11:33:27)
ALICE:10/8-玉山水單匯入USD1566沖PI-20190828A USD1566</t>
      </text>
    </comment>
    <comment authorId="0" ref="H757">
      <text>
        <t xml:space="preserve">======
ID#AAABjx7qVNg
    (2025-05-21 11:33:27)
alice:11/11收到芳慎支票 到期日108/11/30-an0560111 金額80622元整</t>
      </text>
    </comment>
    <comment authorId="0" ref="K571">
      <text>
        <t xml:space="preserve">======
ID#AAABjx7qVNY
    (2025-05-21 11:33:27)
190718 Tammy: 發票寄出前，請先提供確認，謝謝。</t>
      </text>
    </comment>
    <comment authorId="0" ref="H141">
      <text>
        <t xml:space="preserve">======
ID#AAABjx7qVM4
    (2025-05-21 11:33:27)
0311  chloe:匯款匯入US1134-20(手續費)</t>
      </text>
    </comment>
    <comment authorId="0" ref="H741">
      <text>
        <t xml:space="preserve">======
ID#AAABjx7qVMo
    (2025-05-21 11:33:27)
ALICE:11/8-玉山銀行收款USD5775沖PI-20190917A 5775元整</t>
      </text>
    </comment>
    <comment authorId="0" ref="K644">
      <text>
        <t xml:space="preserve">======
ID#AAABjx7qVMg
    (2025-05-21 11:33:27)
0821 CATHY : 客人希望2W交貨(不然可能canel order)，待交期確認後，就請客人先匯款
0826 Cathy : 客人告知預計9/2匯款，請如期出貨 
0909 YVONNE:待客戶付款安排
出貨</t>
      </text>
    </comment>
    <comment authorId="0" ref="K547">
      <text>
        <t xml:space="preserve">======
ID#AAABjx7qVMY
    (2025-05-21 11:33:27)
0722 Santiago同意先出貨。</t>
      </text>
    </comment>
    <comment authorId="0" ref="K675">
      <text>
        <t xml:space="preserve">======
ID#AAABjx7qVL8
    (2025-05-21 11:33:27)
1105 Cathy: 已有通知Armi客人可以吸收</t>
      </text>
    </comment>
    <comment authorId="0" ref="D799">
      <text>
        <t xml:space="preserve">======
ID#AAABjx7qVL4
    (2025-05-21 11:33:27)
10/3 請Chloe下單</t>
      </text>
    </comment>
    <comment authorId="0" ref="H222">
      <text>
        <t xml:space="preserve">======
ID#AAABjx7qVLw
    (2025-05-21 11:33:27)
0225 chloe:匯款匯入US$495*30.76=NT15226-手續費NT200=NT15,026</t>
      </text>
    </comment>
    <comment authorId="0" ref="H854">
      <text>
        <t xml:space="preserve">======
ID#AAABjx7qVLU
    (2025-05-21 11:33:27)
ALICE:12/9-一銀匯入USD4215(內含手續費USD6.57)沖PI-20191027001 USD4215元整</t>
      </text>
    </comment>
    <comment authorId="0" ref="H370">
      <text>
        <t xml:space="preserve">======
ID#AAABjx7qVKo
    (2025-05-21 11:33:27)
alice:2019/05/14電文通知USD16645沖(PI20190418C 金額總計15865+PI20190218A 4850中的(780)</t>
      </text>
    </comment>
    <comment authorId="0" ref="J905">
      <text>
        <t xml:space="preserve">======
ID#AAABjx7qVKg
    (2025-05-21 11:33:27)
客人自取</t>
      </text>
    </comment>
    <comment authorId="0" ref="E131">
      <text>
        <t xml:space="preserve">======
ID#AAABjx7qVKQ
    (2025-05-21 11:33:27)
1122AMY: 3pin power connector 改為RG58 power connector</t>
      </text>
    </comment>
    <comment authorId="0" ref="H424">
      <text>
        <t xml:space="preserve">======
ID#AAABjx7qVJw
    (2025-05-21 11:33:27)
ALICE:5/27-水單匯入USD4578*31.43</t>
      </text>
    </comment>
    <comment authorId="0" ref="I744">
      <text>
        <t xml:space="preserve">======
ID#AAABjx7qVJs
    (2025-05-21 11:33:27)
原cathy</t>
      </text>
    </comment>
    <comment authorId="0" ref="B728">
      <text>
        <t xml:space="preserve">======
ID#AAABjx7qVJk
    (2025-05-21 11:33:27)
新開發客戶</t>
      </text>
    </comment>
    <comment authorId="0" ref="H946">
      <text>
        <t xml:space="preserve">======
ID#AAABjx7qVJc
    (2025-05-21 11:33:27)
TPM收NTD 43,950
出口 (USD rate 34.1)  ,NTD 22,116/34.1=USD 648.56
進口  (USD rate 34.37) , ,NTD 21,834/34.37=USD 635.26
ALICE:12/20-匯入一銀65019+73332沖PI-20191211001+PI-20191213002</t>
      </text>
    </comment>
    <comment authorId="0" ref="D824">
      <text>
        <t xml:space="preserve">======
ID#AAABjx7qVJM
    (2025-05-21 11:33:27)
10/23 cathy: 請chloe 下單</t>
      </text>
    </comment>
    <comment authorId="0" ref="G172">
      <text>
        <t xml:space="preserve">======
ID#AAABjx7qVJE
    (2025-05-21 11:33:27)
180828 w/ vat 5%</t>
      </text>
    </comment>
    <comment authorId="0" ref="H365">
      <text>
        <t xml:space="preserve">======
ID#AAABjx7qVIQ
    (2025-05-21 11:33:27)
Alice:6/17-水單匯入USD10046沖PI-201904096B.PI-20190418A.PI-20190422A.PI-20190307A</t>
      </text>
    </comment>
    <comment authorId="0" ref="K554">
      <text>
        <t xml:space="preserve">======
ID#AAABjx7qVIA
    (2025-05-21 11:33:27)
0722 Santiago同意先出貨。</t>
      </text>
    </comment>
    <comment authorId="0" ref="V139">
      <text>
        <t xml:space="preserve">======
ID#AAABjx7qVH4
    (2025-05-21 11:33:27)
alice:2019/04/25水單通知匯入USD1931*30.86=NT59591元整  無手續費 沖(125+1400+14+42+350)</t>
      </text>
    </comment>
    <comment authorId="0" ref="H487">
      <text>
        <t xml:space="preserve">======
ID#AAABjx7qVHQ
    (2025-05-21 11:33:27)
ALICE:7/8-電文通知USD2300沖PI-20190604D.PI-20190611A</t>
      </text>
    </comment>
    <comment authorId="0" ref="K766">
      <text>
        <t xml:space="preserve">======
ID#AAABjx7qVHI
    (2025-05-21 11:33:27)
1015YVONNE:隨貨寄目錄,並通知san</t>
      </text>
    </comment>
    <comment authorId="0" ref="H48">
      <text>
        <t xml:space="preserve">======
ID#AAABjx7qVHE
    (2025-05-21 11:33:27)
0306 chloe:匯款匯入US$14480.6(含20190119A RG58 cable Sample)</t>
      </text>
    </comment>
    <comment authorId="0" ref="K120">
      <text>
        <t xml:space="preserve">======
ID#AAABjx7qVG8
    (2025-05-21 11:33:27)
在此輸入
0220 Bruce: 告知預計2/25可出貨</t>
      </text>
    </comment>
    <comment authorId="0" ref="H829">
      <text>
        <t xml:space="preserve">======
ID#AAABjx7qVF8
    (2025-05-21 11:33:27)
ALICE:12/10-亞郁匯入NT86152沖PI-20191016001.PI-20191017001.PI-20191030002.PI-20191112005 USD270.9</t>
      </text>
    </comment>
    <comment authorId="0" ref="F219">
      <text>
        <t xml:space="preserve">======
ID#AAABjx7qVFc
    (2025-05-21 11:33:27)
TI2 Not yet confirm Order x 2 pcs</t>
      </text>
    </comment>
    <comment authorId="0" ref="D798">
      <text>
        <t xml:space="preserve">======
ID#AAABjx7qVFg
    (2025-05-21 11:33:27)
10/3 請Chloe下單</t>
      </text>
    </comment>
    <comment authorId="0" ref="J563">
      <text>
        <t xml:space="preserve">======
ID#AAABjx7qVFQ
    (2025-05-21 11:33:27)
190717 Tammy: 收到貨款後, 才出貨</t>
      </text>
    </comment>
    <comment authorId="0" ref="H437">
      <text>
        <t xml:space="preserve">======
ID#AAABjx7qVE4
    (2025-05-21 11:33:27)
ALICE:7/11水單匯入USD14058沖PI-20190515A</t>
      </text>
    </comment>
    <comment authorId="0" ref="H429">
      <text>
        <t xml:space="preserve">======
ID#AAABjx7qVEg
    (2025-05-21 11:33:27)
ALICE:7/17水單匯入USD9362沖PI-20190508B-F 92元.PI-20190508B-1 130元. PI-20190509C 9140元整</t>
      </text>
    </comment>
    <comment authorId="0" ref="J849">
      <text>
        <t xml:space="preserve">======
ID#AAABjx7qVEc
    (2025-05-21 11:33:27)
客人自取</t>
      </text>
    </comment>
    <comment authorId="0" ref="K428">
      <text>
        <t xml:space="preserve">======
ID#AAABjx7qVDQ
    (2025-05-21 11:33:27)
5/23 Amy: please inform sales for pick up from Vecow, need shipment on 6/6</t>
      </text>
    </comment>
    <comment authorId="0" ref="D608">
      <text>
        <t xml:space="preserve">======
ID#AAABjx7qVDI
    (2025-05-21 11:33:27)
0723 請chloe下單</t>
      </text>
    </comment>
    <comment authorId="0" ref="H405">
      <text>
        <t xml:space="preserve">======
ID#AAABjx7qVDE
    (2025-05-21 11:33:27)
alice:7/4-水單匯入USD4316.9沖PI-20190422B.沖PI-20190507B.沖PI-20190513A</t>
      </text>
    </comment>
    <comment authorId="0" ref="F494">
      <text>
        <t xml:space="preserve">======
ID#AAABjx7qVCg
    (2025-05-21 11:33:27)
6pcs</t>
      </text>
    </comment>
    <comment authorId="0" ref="H613">
      <text>
        <t xml:space="preserve">======
ID#AAABjx7qVCQ
    (2025-05-21 11:33:27)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223">
      <text>
        <t xml:space="preserve">======
ID#AAABjx7qVCU
    (2025-05-21 11:33:27)
ALICE:2019/05/02-水單匯入USD21462.5</t>
      </text>
    </comment>
    <comment authorId="0" ref="H77">
      <text>
        <t xml:space="preserve">======
ID#AAABjx7qVCE
    (2025-05-21 11:33:27)
alice:6/20銀行水單匯入USD4462 沖PI20190107A.PI-20190318B.PI-20190508B.PI-20181022C-2-F</t>
      </text>
    </comment>
    <comment authorId="0" ref="G667">
      <text>
        <t xml:space="preserve">======
ID#AAABjx7qVCA
    (2025-05-21 11:33:27)
w/5%VAT</t>
      </text>
    </comment>
    <comment authorId="0" ref="E353">
      <text>
        <t xml:space="preserve">======
ID#AAABjx7qVBs
    (2025-05-21 11:33:27)
0313 chloe: 戎克備有庫存，見半成品庫存表</t>
      </text>
    </comment>
    <comment authorId="0" ref="J812">
      <text>
        <t xml:space="preserve">======
ID#AAABjx7qVBU
    (2025-05-21 11:33:27)
客人自行安排取貨 
0527待客人確認</t>
      </text>
    </comment>
    <comment authorId="0" ref="K904">
      <text>
        <t xml:space="preserve">======
ID#AAABjx7qVBA
    (2025-05-21 11:33:27)
1114 cathy 客人指定出貨時間</t>
      </text>
    </comment>
    <comment authorId="0" ref="H826">
      <text>
        <t xml:space="preserve">======
ID#AAABjx7qVA0
    (2025-05-21 11:33:27)
ALICE:12/10-亞郁匯入NT86152沖PI-20191016001.PI-20191017001.PI-20191030002.PI-20191112005 USD270.9</t>
      </text>
    </comment>
    <comment authorId="0" ref="K826">
      <text>
        <t xml:space="preserve">======
ID#AAABjx7qVAE
    (2025-05-21 11:33:27)
10/30 cathy:通知客人交期11/4 or 11/5
1028 chloe: 原先告知10/30</t>
      </text>
    </comment>
    <comment authorId="0" ref="H797">
      <text>
        <t xml:space="preserve">======
ID#AAABjx7qU_8
    (2025-05-21 11:33:27)
ALICE:10/7-玉山銀行收到匯入款USD801-手續費USD6.48=USD794.52沖PI-20191002A USD801元整</t>
      </text>
    </comment>
    <comment authorId="0" ref="V236">
      <text>
        <t xml:space="preserve">======
ID#AAABjx7qU_o
    (2025-05-21 11:33:27)
ALICE:PI-20190223訂單總計USD6471，2019/02/26水單匯入USD6453.49*30.736==NT198,354元整，匯入手續費USD6.5+匯出手續費USD11*30.736=NT538元整</t>
      </text>
    </comment>
    <comment authorId="0" ref="K414">
      <text>
        <t xml:space="preserve">======
ID#AAABjx7qU_A
    (2025-05-21 11:33:27)
Customer request shipment asap.  Please help what we can do.  Thanks.</t>
      </text>
    </comment>
    <comment authorId="0" ref="H211">
      <text>
        <t xml:space="preserve">======
ID#AAABjx7qU-w
    (2025-05-21 11:33:27)
ALICE:5/3收到USD12965.5(沖PI-20190121B.PI20190217A.PI-20190131C.PI-20190313A.PI-20190306A)</t>
      </text>
    </comment>
    <comment authorId="0" ref="H604">
      <text>
        <t xml:space="preserve">======
ID#AAABjx7qU-k
    (2025-05-21 11:33:27)
ALICE:9/23玉山銀行水單通知匯入USD14587沖PI-20190626A 334.5 沖PI-20190703B 8550.沖PI20190719C 5212.5.沖PI-20190722A 210.沖PI-20190801C 280 合計總沖USD14587元整</t>
      </text>
    </comment>
    <comment authorId="0" ref="J562">
      <text>
        <t xml:space="preserve">======
ID#AAABjx7qU-Q
    (2025-05-21 11:33:27)
190717 Tammy: 收到貨款後, 才出貨</t>
      </text>
    </comment>
    <comment authorId="0" ref="H931">
      <text>
        <t xml:space="preserve">======
ID#AAABjx7qU-E
    (2025-05-21 11:33:27)
ALICE:2/24一銀收到USD12104沖PI-20191127001 USD6784+PI-20191104001 USD2014+PI-20191213001 USD3306</t>
      </text>
    </comment>
    <comment authorId="0" ref="K549">
      <text>
        <t xml:space="preserve">======
ID#AAABjx7qU9Q
    (2025-05-21 11:33:27)
0722 Santiago同意先出貨。</t>
      </text>
    </comment>
    <comment authorId="0" ref="H308">
      <text>
        <t xml:space="preserve">======
ID#AAABjx7qU8o
    (2025-05-21 11:33:27)
ALICE:2019/05/02-水單匯入USD21462.5</t>
      </text>
    </comment>
    <comment authorId="0" ref="D870">
      <text>
        <t xml:space="preserve">======
ID#AAABjx7qU8s
    (2025-05-21 11:33:27)
10/30 Cathy:請yvonne 協助下單</t>
      </text>
    </comment>
    <comment authorId="0" ref="D486">
      <text>
        <t xml:space="preserve">======
ID#AAABjx7qU80
    (2025-05-21 11:33:27)
0605 請TAMMY 下單</t>
      </text>
    </comment>
    <comment authorId="0" ref="K181">
      <text>
        <t xml:space="preserve">======
ID#AAABjx7qU8I
    (2025-05-21 11:33:27)
0212 San: 用DHL箱子把2個貨箱放成一個箱子</t>
      </text>
    </comment>
    <comment authorId="0" ref="K400">
      <text>
        <t xml:space="preserve">======
ID#AAABjx7qU7w
    (2025-05-21 11:33:27)
EOL Confirmed</t>
      </text>
    </comment>
    <comment authorId="0" ref="U134">
      <text>
        <t xml:space="preserve">======
ID#AAABjx7qU7o
    (2025-05-21 11:33:27)
ALICE:2019/05/02-水單匯入USD21462.5-(匯出手續費USD10+匯入手續費USD10.73)=USD21441.77*30.84=NT661264</t>
      </text>
    </comment>
    <comment authorId="0" ref="G599">
      <text>
        <t xml:space="preserve">======
ID#AAABjx7qU7A
    (2025-05-21 11:33:27)
180221 Tammy: project price for over 50pcs/lot</t>
      </text>
    </comment>
    <comment authorId="0" ref="D867">
      <text>
        <t xml:space="preserve">======
ID#AAABjx7qU6M
    (2025-05-21 11:33:27)
10/30 Cathy:請yvonne 協助下單</t>
      </text>
    </comment>
    <comment authorId="0" ref="K12">
      <text>
        <t xml:space="preserve">======
ID#AAABjx7qU6I
    (2025-05-21 11:33:27)
1120Amy: Vecow 年底前交貨, 收到超恩貨+2-3 days出貨Ti2</t>
      </text>
    </comment>
    <comment authorId="0" ref="V331">
      <text>
        <t xml:space="preserve">======
ID#AAABjx7qU5g
    (2025-05-21 11:33:27)
ALICE:成交總額USD702.1 ，2019/04/18水單匯入USD702.1-手續費USD6.5=USD695.6*30.78=NT21411元整</t>
      </text>
    </comment>
    <comment authorId="0" ref="K1">
      <text>
        <t xml:space="preserve">======
ID#AAABjx7qU5Y
    (2025-05-21 11:33:27)
紅字=預計出貨日
黑字=實際出貨日</t>
      </text>
    </comment>
    <comment authorId="0" ref="H181">
      <text>
        <t xml:space="preserve">======
ID#AAABjx7qU5Q
    (2025-05-21 11:33:26)
0327 chloe:匯款匯入US4578-6.51(手續費)</t>
      </text>
    </comment>
    <comment authorId="0" ref="D264">
      <text>
        <t xml:space="preserve">======
ID#AAABjx7qU5E
    (2025-05-21 11:33:26)
190109 Tammy: 抽驗即可, 謝謝</t>
      </text>
    </comment>
    <comment authorId="0" ref="D553">
      <text>
        <t xml:space="preserve">======
ID#AAABjx7qU3k
    (2025-05-21 11:33:26)
0711 請Chloe協助下單</t>
      </text>
    </comment>
    <comment authorId="0" ref="V207">
      <text>
        <t xml:space="preserve">======
ID#AAABjx7qU3c
    (2025-05-21 11:33:26)
Alice:2019/05/08水單匯入USD12400-匯款手續費(10+6.47)*30.9=NT382,651</t>
      </text>
    </comment>
    <comment authorId="0" ref="H740">
      <text>
        <t xml:space="preserve">======
ID#AAABjx7qU3U
    (2025-05-21 11:33:26)
ALICE:11/8-玉山銀行收款USD5775沖PI-20190917A 5775元整</t>
      </text>
    </comment>
    <comment authorId="0" ref="D909">
      <text>
        <t xml:space="preserve">======
ID#AAABjx7qU3E
    (2025-05-21 11:33:26)
CATHY: 20191119 客人新增項目 
11/19 請chloe 下單</t>
      </text>
    </comment>
    <comment authorId="0" ref="H504">
      <text>
        <t xml:space="preserve">======
ID#AAABjx7qU2s
    (2025-05-21 11:33:26)
ALICE:8/2-水單匯入USD541元整，沖PI-20190606D USD416+沖PI-20190617A USD125</t>
      </text>
    </comment>
    <comment authorId="0" ref="H402">
      <text>
        <t xml:space="preserve">======
ID#AAABjx7qU2A
    (2025-05-21 11:33:26)
alice:7/4-水單匯入USD4316.9沖PI-20190422B.沖PI-20190507B.沖PI-20190513A</t>
      </text>
    </comment>
    <comment authorId="0" ref="H875">
      <text>
        <t xml:space="preserve">======
ID#AAABjx7qU1I
    (2025-05-21 11:33:26)
ALICE:2020/01/02-第一USD匯入USD1450(內含手續費USD21.67)沖PI-20191101001 USD1450</t>
      </text>
    </comment>
    <comment authorId="0" ref="H345">
      <text>
        <t xml:space="preserve">======
ID#AAABjx7qU0Q
    (2025-05-21 11:33:26)
ALICE:6/17水單匯入USD16108 沖PI-20190227B 8500，沖PI-20190409A 7608</t>
      </text>
    </comment>
    <comment authorId="0" ref="H588">
      <text>
        <t xml:space="preserve">======
ID#AAABjx7qU0I
    (2025-05-21 11:33:26)
ALICE:7/26玉山銀行水單通知匯入USD9754沖PI-20190524B(2000+350).沖PI20190524B-1(3010).沖PI-20190703A(60+70).沖PI20190719B-1 228+1600 PI-20190719B-2 304  PI-20190719B-5 532. PI-20190719B-3 1600</t>
      </text>
    </comment>
    <comment authorId="0" ref="K121">
      <text>
        <t xml:space="preserve">======
ID#AAABjx7qU0A
    (2025-05-21 11:33:26)
在此輸入
0220 Bruce: 告知預計2/25可出貨</t>
      </text>
    </comment>
    <comment authorId="0" ref="K3">
      <text>
        <t xml:space="preserve">======
ID#AAABjx7qUzM
    (2025-05-21 11:33:26)
Vecow 年底前交貨, 收到超恩貨+2-3 days出貨Ti2</t>
      </text>
    </comment>
    <comment authorId="0" ref="H271">
      <text>
        <t xml:space="preserve">======
ID#AAABjx7qUy8
    (2025-05-21 11:33:26)
ALICE:11/22第一銀行收到匯入USD8500(內含銀行手續費USD6.57) PI-20190227G USD4250+PI-20190227H USD4250 總計USD8500</t>
      </text>
    </comment>
    <comment authorId="0" ref="U221">
      <text>
        <t xml:space="preserve">======
ID#AAABjx7qUy0
    (2025-05-21 11:33:26)
ALICE:PI-20190219A訂單總額USD495，2019/02/25水單匯入USD488.5*30.76=NT15,026元整
，手續費USD6.5*30.76=NT200元整</t>
      </text>
    </comment>
    <comment authorId="0" ref="H626">
      <text>
        <t xml:space="preserve">======
ID#AAABjx7qUyo
    (2025-05-21 11:33:26)
ALICE:8/1銀行水單通知匯入USD8538.6沖PI-20190731A</t>
      </text>
    </comment>
    <comment authorId="0" ref="E189">
      <text>
        <t xml:space="preserve">======
ID#AAABjx7qUyk
    (2025-05-21 11:33:26)
0313 chloe: 戎克備有庫存，見半成品庫存表</t>
      </text>
    </comment>
    <comment authorId="0" ref="H421">
      <text>
        <t xml:space="preserve">======
ID#AAABjx7qUyY
    (2025-05-21 11:33:26)
ALICE:5/27-水單匯入USD4578*31.43</t>
      </text>
    </comment>
    <comment authorId="0" ref="H217">
      <text>
        <t xml:space="preserve">======
ID#AAABjx7qUyI
    (2025-05-21 11:33:26)
ALICE:5/3-電文USD16646(沖10450+4616+1580(4850中的1580))</t>
      </text>
    </comment>
    <comment authorId="0" ref="H171">
      <text>
        <t xml:space="preserve">======
ID#AAABjx7qUxg
    (2025-05-21 11:33:26)
0322 chloe:匯入US8750</t>
      </text>
    </comment>
    <comment authorId="0" ref="H823">
      <text>
        <t xml:space="preserve">======
ID#AAABjx7qUxU
    (2025-05-21 11:33:26)
ALICE:12/12收到應收票據，到期日108/12/30-AN0560117 NT132075(郵寄28元)沖PI-20191015001</t>
      </text>
    </comment>
    <comment authorId="0" ref="V11">
      <text>
        <t xml:space="preserve">======
ID#AAABjx7qUxI
    (2025-05-21 11:33:26)
ALICE:2019/05/02-水單匯入USD21462.5-(匯出手續費USD10+匯入手續費USD10.73)=USD21441.77*30.84=NT661264</t>
      </text>
    </comment>
    <comment authorId="0" ref="H284">
      <text>
        <t xml:space="preserve">======
ID#AAABjx7qUwc
    (2025-05-21 11:33:26)
190303 客人應付貨款要扣掉NT$33313元 
3/22 chloe: 應付貨款145224- 33313
=111911(0322 已付)</t>
      </text>
    </comment>
    <comment authorId="0" ref="H863">
      <text>
        <t xml:space="preserve">======
ID#AAABjx7qUwQ
    (2025-05-21 11:33:26)
ALICE:12/13一銀USD收到KH匯入USD1562.8(內含手續費USD28.61)沖PI-20191017004 USD1347+PI-20191030001 USD215.8合計總沖USD1562.8</t>
      </text>
    </comment>
    <comment authorId="0" ref="H85">
      <text>
        <t xml:space="preserve">======
ID#AAABjx7qUwE
    (2025-05-21 11:33:26)
ALICE:201904/10水單匯入USD11416*30.78
沖(229+2394+326+34+5274+3066+103)=11426</t>
      </text>
    </comment>
    <comment authorId="0" ref="J138">
      <text>
        <t xml:space="preserve">======
ID#AAABjx7qUv8
    (2025-05-21 11:33:26)
在此輸入
customer will confirm again by shipment
2/20: Customer inform should be TNT A/C. already ship by previous informaiton of DHL ( 2/</t>
      </text>
    </comment>
    <comment authorId="0" ref="H569">
      <text>
        <t xml:space="preserve">======
ID#AAABjx7qUvs
    (2025-05-21 11:33:26)
ALICE:8/22玉山銀行匯入NT1,596,000+NT1,978=NT1,597,978元整，沖PI-20190717C NT1,586,124 ，沖PI-20190813C NT11,854</t>
      </text>
    </comment>
    <comment authorId="0" ref="E76">
      <text>
        <t xml:space="preserve">======
ID#AAABjx7qUu8
    (2025-05-21 11:33:26)
在此輸入
0107AMY:請注意CPU是I5-6300U, 寬螢幕及修改版鐵殼+鋁三 角椎</t>
      </text>
    </comment>
    <comment authorId="0" ref="H428">
      <text>
        <t xml:space="preserve">======
ID#AAABjx7qUu0
    (2025-05-21 11:33:26)
ALICE:7/17水單匯入USD9362沖PI-20190508B-F 92元.PI-20190508B-1 130元. PI-20190509C 9140元整</t>
      </text>
    </comment>
    <comment authorId="0" ref="D669">
      <text>
        <t xml:space="preserve">======
ID#AAABjx7qUtw
    (2025-05-21 11:33:26)
8/21 請chloe協助下單</t>
      </text>
    </comment>
    <comment authorId="0" ref="D95">
      <text>
        <t xml:space="preserve">======
ID#AAABjx7qUtc
    (2025-05-21 11:33:26)
1/21 Keiju: 已納入生產排程</t>
      </text>
    </comment>
    <comment authorId="0" ref="H347">
      <text>
        <t xml:space="preserve">======
ID#AAABjx7qUtQ
    (2025-05-21 11:33:26)
Alice:6/17-水單匯入USD10046沖PI-201904096B.PI-20190418A.PI-20190422A.PI-20190307A</t>
      </text>
    </comment>
    <comment authorId="0" ref="H810">
      <text>
        <t xml:space="preserve">======
ID#AAABjx7qUso
    (2025-05-21 11:33:26)
ALICE:10/24玉山水單匯入USD13256沖PI-20191007010 USD13256</t>
      </text>
    </comment>
    <comment authorId="0" ref="H872">
      <text>
        <t xml:space="preserve">======
ID#AAABjx7qUsk
    (2025-05-21 11:33:26)
ALICE:1/3第一NT收到閎亮匯入NT14181沖PI-20191031001 USD466.2</t>
      </text>
    </comment>
    <comment authorId="0" ref="D362">
      <text>
        <t xml:space="preserve">======
ID#AAABjx7qUsU
    (2025-05-21 11:33:26)
transfer to Captec Evaluation PI-20190910A</t>
      </text>
    </comment>
    <comment authorId="0" ref="H752">
      <text>
        <t xml:space="preserve">======
ID#AAABjx7qUrs
    (2025-05-21 11:33:26)
ALICE:9/24玉山水單通知USD1407.5沖PI-20190923A USD1407.5元整</t>
      </text>
    </comment>
    <comment authorId="0" ref="H926">
      <text>
        <t xml:space="preserve">======
ID#AAABjx7qUrg
    (2025-05-21 11:33:26)
ALICE:1/20-第一USD收款USD1308(手續費0)沖PI-20191203001 USD77+PI-20191126001 USD1231 總計USD1308元整</t>
      </text>
    </comment>
    <comment authorId="0" ref="H851">
      <text>
        <t xml:space="preserve">======
ID#AAABjx7qUrU
    (2025-05-21 11:33:26)
2/15已收款</t>
      </text>
    </comment>
    <comment authorId="0" ref="H15">
      <text>
        <t xml:space="preserve">======
ID#AAABjx7qUrM
    (2025-05-21 11:33:26)
alice:2019/05/17水單通知USD19768沖3/4A $1995.3/4A-1$4152.3/4A-1-F $232.3/8B-F $57.12/21A-2-F $144.3/4A-1 $189.10/22C-2 $10227.12/21A-1 $2772.如上總計共USD19768</t>
      </text>
    </comment>
    <comment authorId="0" ref="H247">
      <text>
        <t xml:space="preserve">======
ID#AAABjx7qTs8
    (2025-05-21 11:33:26)
ALICE:2019/05/20-收到玉山銀行電文通知USD12750元整</t>
      </text>
    </comment>
    <comment authorId="0" ref="K947">
      <text>
        <t xml:space="preserve">======
ID#AAABjx7qTsw
    (2025-05-21 11:33:26)
1213 chloe: 通知可能會到一月中出貨</t>
      </text>
    </comment>
    <comment authorId="0" ref="K568">
      <text>
        <t xml:space="preserve">======
ID#AAABjx7qTsc
    (2025-05-21 11:33:26)
190718 Tammy: 發票寄出前，請先提供確認，謝謝。</t>
      </text>
    </comment>
    <comment authorId="0" ref="H327">
      <text>
        <t xml:space="preserve">======
ID#AAABjx7qTsE
    (2025-05-21 11:33:26)
alice:2019/05/17水單通知USD19768沖3/4A $1995.3/4A-1$4152.3/4A-1-F $232.3/8B-F $57.12/21A-2-F $144.3/4A-1 $189.10/22C-2 $10227.12/21A-1 $2772.如上總計共USD19768</t>
      </text>
    </comment>
    <comment authorId="0" ref="D268">
      <text>
        <t xml:space="preserve">======
ID#AAABjx7qTr0
    (2025-05-21 11:33:26)
190109 Tammy: 抽驗即可, 謝謝</t>
      </text>
    </comment>
    <comment authorId="0" ref="H166">
      <text>
        <t xml:space="preserve">======
ID#AAABjx7qTrY
    (2025-05-21 11:33:26)
0327 chloe:匯款匯入US$4165-20(手續費)</t>
      </text>
    </comment>
    <comment authorId="0" ref="H233">
      <text>
        <t xml:space="preserve">======
ID#AAABjx7qTqw
    (2025-05-21 11:33:26)
0312 chloe:匯款匯入US2055-11(手續費)</t>
      </text>
    </comment>
    <comment authorId="0" ref="H842">
      <text>
        <t xml:space="preserve">======
ID#AAABjx7qTpI
    (2025-05-21 11:33:26)
ALICE:1/7第一銀行USD3228 沖PI-20191007006 1501+PI-20191007007 USD1727+PI-20191128002 USD20總沖USD3248</t>
      </text>
    </comment>
    <comment authorId="0" ref="K213">
      <text>
        <t xml:space="preserve">======
ID#AAABjx7qTow
    (2025-05-21 11:33:26)
0401 santi 告知改4/8出貨</t>
      </text>
    </comment>
    <comment authorId="0" ref="J850">
      <text>
        <t xml:space="preserve">======
ID#AAABjx7qTo4
    (2025-05-21 11:33:26)
客人自取</t>
      </text>
    </comment>
    <comment authorId="0" ref="H800">
      <text>
        <t xml:space="preserve">======
ID#AAABjx7qTo0
    (2025-05-21 11:33:26)
ALICE:11/20一銀匯入USD5837沖PI-20190930A USD3945+PI-20191003A USD137+PI-20191005A USD1755</t>
      </text>
    </comment>
    <comment authorId="0" ref="H898">
      <text>
        <t xml:space="preserve">======
ID#AAABjx7qTog
    (2025-05-21 11:33:26)
ALICE:12/2-合庫匯入NT328647(內含手續費NT30元整)沖PI-20191001A USD10084.2+PI-20191112006 USD714元整</t>
      </text>
    </comment>
    <comment authorId="0" ref="H497">
      <text>
        <t xml:space="preserve">======
ID#AAABjx7qToQ
    (2025-05-21 11:33:26)
ALICE:8/2-水單匯入USD541元整，沖PI-20190606D USD416+沖PI-20190617A USD125</t>
      </text>
    </comment>
    <comment authorId="0" ref="H90">
      <text>
        <t xml:space="preserve">======
ID#AAABjx7qToM
    (2025-05-21 11:33:26)
0124 chloe:匯款匯入US$48799</t>
      </text>
    </comment>
    <comment authorId="0" ref="K886">
      <text>
        <t xml:space="preserve">======
ID#AAABjx7qToI
    (2025-05-21 11:33:26)
11/8 cathy: 請告知可提供最快交期 
1223yvonne:Santiago同意放貨</t>
      </text>
    </comment>
    <comment authorId="0" ref="H803">
      <text>
        <t xml:space="preserve">======
ID#AAABjx7qTnc
    (2025-05-21 11:33:26)
ALICE:11/20一銀匯入USD5837沖PI-20190930A USD3945+PI-20191003A USD137+PI-20191005A USD1755</t>
      </text>
    </comment>
    <comment authorId="0" ref="H877">
      <text>
        <t xml:space="preserve">======
ID#AAABjx7qTnQ
    (2025-05-21 11:33:26)
ALICE:2020/01/10收到芳慎應收票據，票號AN0560121 到期日109/01/30 金額NT100398沖PI-20191105001</t>
      </text>
    </comment>
    <comment authorId="0" ref="H411">
      <text>
        <t xml:space="preserve">======
ID#AAABjx7qTnM
    (2025-05-21 11:33:26)
alice:6/20銀行水單匯入USD4462 沖PI20190107A.PI-20190318B.PI-20190508B.PI-20181022C-2-F</t>
      </text>
    </comment>
    <comment authorId="0" ref="H350">
      <text>
        <t xml:space="preserve">======
ID#AAABjx7qTm4
    (2025-05-21 11:33:26)
Alice:6/17-水單匯入USD10046沖PI-201904096B.PI-20190418A.PI-20190422A.PI-20190307A</t>
      </text>
    </comment>
    <comment authorId="0" ref="H73">
      <text>
        <t xml:space="preserve">======
ID#AAABjx7qTmg
    (2025-05-21 11:33:26)
0305 chloe:匯款匯入US8750</t>
      </text>
    </comment>
    <comment authorId="0" ref="H881">
      <text>
        <t xml:space="preserve">======
ID#AAABjx7qTmY
    (2025-05-21 11:33:26)
ALICE:2020/01/10-SA匯入USD37024-沖PI-20191108001 (5904+2010+440+20104+950+6270)+1346(12600中的1346)=USD37024</t>
      </text>
    </comment>
    <comment authorId="0" ref="H408">
      <text>
        <t xml:space="preserve">======
ID#AAABjx7qTl4
    (2025-05-21 11:33:26)
alice:6/20銀行水單匯入USD4462 沖PI20190107A.PI-20190318B.PI-20190508B.PI-20181022C-2-F</t>
      </text>
    </comment>
    <comment authorId="0" ref="H661">
      <text>
        <t xml:space="preserve">======
ID#AAABjx7qTk4
    (2025-05-21 11:33:26)
ALICE:9/27玉山銀行匯入USD3962元整，沖PI-2190820A 應收USD3962實收3922差額USD40元(手續費)</t>
      </text>
    </comment>
    <comment authorId="0" ref="H549">
      <text>
        <t xml:space="preserve">======
ID#AAABjx7qTkU
    (2025-05-21 11:33:26)
Alice:8/8-水單匯入USD4555元整，沖PI-20190708A 2540.PI-20190711A 1355.PI-20190712A 660</t>
      </text>
    </comment>
    <comment authorId="0" ref="H407">
      <text>
        <t xml:space="preserve">======
ID#AAABjx7qTj8
    (2025-05-21 11:33:26)
alice:6/20銀行水單匯入USD4462 沖PI20190107A.PI-20190318B.PI-20190508B.PI-20181022C-2-F</t>
      </text>
    </comment>
    <comment authorId="0" ref="H858">
      <text>
        <t xml:space="preserve">======
ID#AAABjx7qTi0
    (2025-05-21 11:33:26)
ALICE:1/15一銀收到USD8853(內含手續費USD53.7)沖PI-20191029002 USD4275+PI-20191029003 USD2235+PI-20191029004 USD1988+PI-20191105002 USD355</t>
      </text>
    </comment>
    <comment authorId="0" ref="H814">
      <text>
        <t xml:space="preserve">======
ID#AAABjx7qTiw
    (2025-05-21 11:33:26)
ALICE:10/15玉山銀行收到匯入款USD2440(手續費USD)26.53沖PI-20191007012總計USD2440元整</t>
      </text>
    </comment>
    <comment authorId="0" ref="D616">
      <text>
        <t xml:space="preserve">======
ID#AAABjx7qTic
    (2025-05-21 11:33:26)
0725 請chole協助下單</t>
      </text>
    </comment>
    <comment authorId="0" ref="E70">
      <text>
        <t xml:space="preserve">======
ID#AAABjx7qTiE
    (2025-05-21 11:33:26)
190215 原訂CP-132UL-DB9M銷退, 換CP-132EL-I-DB9M</t>
      </text>
    </comment>
    <comment authorId="0" ref="H541">
      <text>
        <t xml:space="preserve">======
ID#AAABjx7qThg
    (2025-05-21 11:33:26)
ALICE:7/26玉山銀行水單通知匯入USD9754沖PI-20190524B(2000+350).沖PI20190524B-1(3010).沖PI-20190703A(60+70).沖PI20190719B-1 228+1600 PI-20190719B-2 304  PI-20190719B-5 532. PI-20190719B-3 1600</t>
      </text>
    </comment>
    <comment authorId="0" ref="I880">
      <text>
        <t xml:space="preserve">======
ID#AAABjx7qThk
    (2025-05-21 11:33:26)
Cathy/Yvonne</t>
      </text>
    </comment>
    <comment authorId="0" ref="D819">
      <text>
        <t xml:space="preserve">======
ID#AAABjx7qTg4
    (2025-05-21 11:33:26)
10/14 cathy: 請Tammy 下單</t>
      </text>
    </comment>
    <comment authorId="0" ref="H440">
      <text>
        <t xml:space="preserve">======
ID#AAABjx7qTfk
    (2025-05-21 11:33:26)
ALICE:6/27水單匯入USD8652.87沖PI20190515C 1394.5.PI-20190625C 46.37.PI-20190508C 6408.PI-20190619B 804共四張PI合計8652.87</t>
      </text>
    </comment>
    <comment authorId="0" ref="H255">
      <text>
        <t xml:space="preserve">======
ID#AAABjx7qTfg
    (2025-05-21 11:33:26)
alice:7/22水單匯入USD8500沖PI-20190227C</t>
      </text>
    </comment>
    <comment authorId="0" ref="K635">
      <text>
        <t xml:space="preserve">======
ID#AAABjx7qTfQ
    (2025-05-21 11:33:26)
0830 Cathy: Tejinder 告知9/2那週會匯款
0903 Cathy: Chloe告知目前先將進貨日改為9/20，待收到款項在pull in MOXA 
0924:CHLOE同意出200PCS</t>
      </text>
    </comment>
    <comment authorId="0" ref="D818">
      <text>
        <t xml:space="preserve">======
ID#AAABjx7qTe8
    (2025-05-21 11:33:26)
10/14 cathy: 請Tammy 下單</t>
      </text>
    </comment>
    <comment authorId="0" ref="H705">
      <text>
        <t xml:space="preserve">======
ID#AAABjx7qTec
    (2025-05-21 11:33:26)
ALICE:10/22玉山銀行匯入USD6469沖PI-20190905A USD495.PI-20190905A-F USD45.PI-20190902A 5929合計總沖USD6469</t>
      </text>
    </comment>
    <comment authorId="0" ref="J459">
      <text>
        <t xml:space="preserve">======
ID#AAABjx7qTeM
    (2025-05-21 11:33:26)
客人自行安排取貨 
0527待客人確認</t>
      </text>
    </comment>
    <comment authorId="0" ref="D822">
      <text>
        <t xml:space="preserve">======
ID#AAABjx7qTdk
    (2025-05-21 11:33:26)
10/15 CATHY: 請YVONNE下單</t>
      </text>
    </comment>
    <comment authorId="0" ref="H137">
      <text>
        <t xml:space="preserve">======
ID#AAABjx7qTdc
    (2025-05-21 11:33:26)
ALICE:2019/05/02-水單匯入USD21462.5</t>
      </text>
    </comment>
    <comment authorId="0" ref="H532">
      <text>
        <t xml:space="preserve">======
ID#AAABjx7qTdQ
    (2025-05-21 11:33:26)
ALICE:9/23玉山銀行水單通知匯入USD14587沖PI-20190626A 334.5 沖PI-20190703B 8550.沖PI20190719C 5212.5.沖PI-20190722A 210.沖PI-20190801C 280 合計總沖USD14587元整</t>
      </text>
    </comment>
    <comment authorId="0" ref="D588">
      <text>
        <t xml:space="preserve">======
ID#AAABjx7qTdE
    (2025-05-21 11:33:26)
20190604 Robin accept W/O AG、AR treatment this time</t>
      </text>
    </comment>
    <comment authorId="0" ref="H796">
      <text>
        <t xml:space="preserve">======
ID#AAABjx7qTcU
    (2025-05-21 11:33:26)
ALICE:10/7-玉山銀行收到匯入款USD801-手續費USD6.48=USD794.52沖PI-20191002A USD801元整</t>
      </text>
    </comment>
    <comment authorId="0" ref="H879">
      <text>
        <t xml:space="preserve">======
ID#AAABjx7qTbs
    (2025-05-21 11:33:26)
ALICE:2020/01/10-SA匯入USD37024-沖PI-20191108001 (5904+2010+440+20104+950+6270)+1346(12600中的1346)=USD37024</t>
      </text>
    </comment>
    <comment authorId="0" ref="O124">
      <text>
        <t xml:space="preserve">======
ID#AAABjx7qTbg
    (2025-05-21 11:33:26)
共三筆運費
1)1836940674  PI-20190123B-F</t>
      </text>
    </comment>
    <comment authorId="0" ref="H791">
      <text>
        <t xml:space="preserve">======
ID#AAABjx7qTbY
    (2025-05-21 11:33:26)
ALICE:10/9-匯入USD6974沖PI-20191001B USD6974元整</t>
      </text>
    </comment>
    <comment authorId="0" ref="H267">
      <text>
        <t xml:space="preserve">======
ID#AAABjx7qTbA
    (2025-05-21 11:33:26)
ALICE:10/21玉山銀行匯入USD4250沖PI-20190227F USD4250</t>
      </text>
    </comment>
    <comment authorId="0" ref="H241">
      <text>
        <t xml:space="preserve">======
ID#AAABjx7qTa8
    (2025-05-21 11:33:26)
Alice:2019/04/30-銀行通知電文USD3780元整</t>
      </text>
    </comment>
    <comment authorId="0" ref="H354">
      <text>
        <t xml:space="preserve">======
ID#AAABjx7qTa4
    (2025-05-21 11:33:26)
alice:6/20銀行水單匯入USD4462 沖PI20190107A.PI-20190318B.PI-20190508B.PI-20181022C-2-F</t>
      </text>
    </comment>
    <comment authorId="0" ref="D877">
      <text>
        <t xml:space="preserve">======
ID#AAABjx7qTaw
    (2025-05-21 11:33:26)
11/5 Cathy: 客戶mail下訂單&amp; 請Yvonne 下單</t>
      </text>
    </comment>
    <comment authorId="0" ref="K765">
      <text>
        <t xml:space="preserve">======
ID#AAABjx7qTak
    (2025-05-21 11:33:26)
1015YVONNE:隨貨寄目錄,並通知san</t>
      </text>
    </comment>
    <comment authorId="0" ref="H415">
      <text>
        <t xml:space="preserve">======
ID#AAABjx7qTaU
    (2025-05-21 11:33:26)
ALICE:6/27水單匯入USD8652.87沖PI20190515C 1394.5.PI-20190625C 46.37.PI-20190508C 6408.PI-20190619B 804共四張PI合計8652.87</t>
      </text>
    </comment>
    <comment authorId="0" ref="H161">
      <text>
        <t xml:space="preserve">======
ID#AAABjx7qTZU
    (2025-05-21 11:33:26)
0227 chloe:匯款匯入NT48,676-30(手續費)</t>
      </text>
    </comment>
    <comment authorId="0" ref="H274">
      <text>
        <t xml:space="preserve">======
ID#AAABjx7qTZE
    (2025-05-21 11:33:26)
ALICE:11/22第一銀行收到匯入USD8500(內含銀行手續費USD6.57) PI-20190227G USD4250+PI-20190227H USD4250 總計USD8500</t>
      </text>
    </comment>
    <comment authorId="0" ref="F440">
      <text>
        <t xml:space="preserve">======
ID#AAABjx7qTZA
    (2025-05-21 11:33:26)
在此輸入</t>
      </text>
    </comment>
    <comment authorId="0" ref="H499">
      <text>
        <t xml:space="preserve">======
ID#AAABjx7qTY4
    (2025-05-21 11:33:26)
ALICE:8/2-水單匯入USD541元整，沖PI-20190606D USD416+沖PI-20190617A USD125</t>
      </text>
    </comment>
    <comment authorId="0" ref="I840">
      <text>
        <t xml:space="preserve">======
ID#AAABjx7qTYc
    (2025-05-21 11:33:26)
Cathy/Santiago</t>
      </text>
    </comment>
    <comment authorId="0" ref="E921">
      <text>
        <t xml:space="preserve">======
ID#AAABjx7qTYY
    (2025-05-21 11:33:26)
191128 內含的CBL-M25M9x2-50,要請Bank依客人的pin define重工</t>
      </text>
    </comment>
    <comment authorId="0" ref="H544">
      <text>
        <t xml:space="preserve">======
ID#AAABjx7qTYU
    (2025-05-21 11:33:26)
ALICE:9/26玉山水單匯入USD16657沖PI-20190704A USD655.沖PI-20190704A-F USD96.沖PI20190717E USD11479.沖PI-20190726B USD4245.沖PI-20190726B-F 182總沖16657</t>
      </text>
    </comment>
    <comment authorId="0" ref="D744">
      <text>
        <t xml:space="preserve">======
ID#AAABjx7qTX4
    (2025-05-21 11:33:26)
0820 確認客人，還在合併其他物料下單
0917 要求revise PI No.待PI 簽回
0920 cathy:客人突然告知已匯款，chloe下單，待需告知客人何時可以取貨</t>
      </text>
    </comment>
    <comment authorId="0" ref="H331">
      <text>
        <t xml:space="preserve">======
ID#AAABjx7qTX0
    (2025-05-21 11:33:26)
Chloe:2019/4/19 水單匯入USB702.10-手續費USD 0=USD702.10</t>
      </text>
    </comment>
    <comment authorId="0" ref="H96">
      <text>
        <t xml:space="preserve">======
ID#AAABjx7qTXY
    (2025-05-21 11:33:26)
0227 chloe:匯款匯入US4578*30.73-手續費NT200=NT140482</t>
      </text>
    </comment>
    <comment authorId="0" ref="H380">
      <text>
        <t xml:space="preserve">======
ID#AAABjx7qTXM
    (2025-05-21 11:33:26)
alice:7/4-水單匯入USD4316.9沖PI-20190422B.沖PI-20190507B.沖PI-20190513A</t>
      </text>
    </comment>
    <comment authorId="0" ref="D29">
      <text>
        <t xml:space="preserve">======
ID#AAABjx7qTWg
    (2025-05-21 11:33:26)
0108 Cathy:1/10進廠後待小葛抽驗</t>
      </text>
    </comment>
    <comment authorId="0" ref="H337">
      <text>
        <t xml:space="preserve">======
ID#AAABjx7qTWc
    (2025-05-21 11:33:26)
ALICE:2019/04/08-水單匯入USB1543-手續費USD11=USD1532</t>
      </text>
    </comment>
    <comment authorId="0" ref="H528">
      <text>
        <t xml:space="preserve">======
ID#AAABjx7qTWY
    (2025-05-21 11:33:26)
6/14-預收USD1403
6/28-銀行匯入USD6257 與6/14合計共7660，PI為7670故尚餘USD10元未收與chloe確認轉手續費處理</t>
      </text>
    </comment>
    <comment authorId="0" ref="L122">
      <text>
        <t xml:space="preserve">======
ID#AAABjx7qTV8
    (2025-05-21 11:33:26)
預付款</t>
      </text>
    </comment>
    <comment authorId="0" ref="H151">
      <text>
        <t xml:space="preserve">======
ID#AAABjx7qTVk
    (2025-05-21 11:33:26)
0215 chloe:匯款匯入NT11592-30(手續費)</t>
      </text>
    </comment>
    <comment authorId="0" ref="D292">
      <text>
        <t xml:space="preserve">======
ID#AAABjx7qTVU
    (2025-05-21 11:33:26)
0306 請Tammy 下單  
0305 客人有revise order</t>
      </text>
    </comment>
    <comment authorId="0" ref="K474">
      <text>
        <t xml:space="preserve">======
ID#AAABjx7qTVM
    (2025-05-21 11:33:26)
0722 Santiago同意先出貨。
0701 詢問預計7/11匯款&amp; 運輸方式</t>
      </text>
    </comment>
    <comment authorId="0" ref="J490">
      <text>
        <t xml:space="preserve">======
ID#AAABjx7qTVI
    (2025-05-21 11:33:26)
客人自行安排取貨 
0527待客人確認</t>
      </text>
    </comment>
    <comment authorId="0" ref="V221">
      <text>
        <t xml:space="preserve">======
ID#AAABjx7qTUQ
    (2025-05-21 11:33:26)
ALICE:PI-20190219A訂單總額USD495，2019/02/25水單匯入USD488.5*30.76=NT15,026元整
，手續費USD6.5*30.76=NT200元整</t>
      </text>
    </comment>
    <comment authorId="0" ref="H916">
      <text>
        <t xml:space="preserve">======
ID#AAABjx7qTUM
    (2025-05-21 11:33:26)
在此輸入
12/12-因PI-20191112002原訂單總額USD4818後來改價為USD4686故多收的USD132拿來沖PI-20191122001 USD132 故USD61中餘尚USD44未收
12/25老大mail未收usd44直接手續費作掉沖銷</t>
      </text>
    </comment>
    <comment authorId="0" ref="H683">
      <text>
        <t xml:space="preserve">======
ID#AAABjx7qTUI
    (2025-05-21 11:33:26)
ALICE:10/22玉山銀行匯入USD6469沖PI-20190905A USD495.PI-20190905A-F USD45.PI-20190902A 5929合計總沖USD6469</t>
      </text>
    </comment>
    <comment authorId="0" ref="E82">
      <text>
        <t xml:space="preserve">======
ID#AAABjx7qTTU
    (2025-05-21 11:33:26)
1122AMY: 3pin power connector 改為RG58 power connector
寬螢幕及修改版鐵殼+鋁三 角椎</t>
      </text>
    </comment>
    <comment authorId="0" ref="J238">
      <text>
        <t xml:space="preserve">======
ID#AAABjx7qTTI
    (2025-05-21 11:33:26)
Forwarder Details: -
FETA FREIGHT SYSTEMS (TAIWAN ) LTD. 
JUDY KAO 
 Tel: +886-3-399-2033 EXT: 135
Direct: +886-3-3992106
Fax: +886-3-3992036/2055
E-mail: judykao@ffsi.com.tw
Skype:judykao-mlattao</t>
      </text>
    </comment>
    <comment authorId="0" ref="H734">
      <text>
        <t xml:space="preserve">======
ID#AAABjx7qTSQ
    (2025-05-21 11:33:26)
ALICE:10/22玉山匯入USD1405沖PI-20190913B USD1405</t>
      </text>
    </comment>
    <comment authorId="0" ref="H297">
      <text>
        <t xml:space="preserve">======
ID#AAABjx7qTR0
    (2025-05-21 11:33:26)
ALICE:5/3收到USD12965.5(沖PI-20190121B.PI20190217A.PI-20190131C.PI-20190313A.PI-20190306A)</t>
      </text>
    </comment>
    <comment authorId="0" ref="K13">
      <text>
        <t xml:space="preserve">======
ID#AAABjx7qTRY
    (2025-05-21 11:33:26)
1120Amy: Vecow 年底前交貨, 收到超恩貨+2-3 days出貨Ti2</t>
      </text>
    </comment>
    <comment authorId="0" ref="H324">
      <text>
        <t xml:space="preserve">======
ID#AAABjx7qTRU
    (2025-05-21 11:33:26)
alice:5/10-水單通知usd3751-匯出手續費20-匯入手續費6.46=USD3724.54*30.94=NT115,237元整
沖20190320B USD1270
沖20190322A USD2481
合計總沖USD3751元整</t>
      </text>
    </comment>
    <comment authorId="0" ref="H332">
      <text>
        <t xml:space="preserve">======
ID#AAABjx7qTRQ
    (2025-05-21 11:33:26)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806">
      <text>
        <t xml:space="preserve">======
ID#AAABjx7qTRM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H83">
      <text>
        <t xml:space="preserve">======
ID#AAABjx7qTQ8
    (2025-05-21 11:33:26)
ALICE:201904/10水單匯入USD11416*30.78
沖(229+2394+326+34+5274+3066+103)=11426</t>
      </text>
    </comment>
    <comment authorId="0" ref="H753">
      <text>
        <t xml:space="preserve">======
ID#AAABjx7qTQs
    (2025-05-21 11:33:26)
ALICE:9/24玉山水單通知USD1407.5沖PI-20190923A USD1407.5元整</t>
      </text>
    </comment>
    <comment authorId="0" ref="G945">
      <text>
        <t xml:space="preserve">======
ID#AAABjx7qTO0
Amy pass 資料    (2025-05-21 11:33:26)
NTD 19,213 (美金 Rate: 31.57)+ 52 歐 -2pcs 通行證 (rate: 34) NTD 1,768,
TOTAL 向TPM收 NTD21,069</t>
      </text>
    </comment>
    <comment authorId="0" ref="H559">
      <text>
        <t xml:space="preserve">======
ID#AAABjx7qTOs
    (2025-05-21 11:33:26)
ALICE:9/25玉山水單USD652沖PI-20190805A USD652元整</t>
      </text>
    </comment>
    <comment authorId="0" ref="D496">
      <text>
        <t xml:space="preserve">======
ID#AAABjx7qTOU
    (2025-05-21 11:33:26)
0606請Tammy 下單</t>
      </text>
    </comment>
    <comment authorId="0" ref="D883">
      <text>
        <t xml:space="preserve">======
ID#AAABjx7qTOQ
    (2025-05-21 11:33:26)
11/8 cathy: 請Chloe 請協助下單</t>
      </text>
    </comment>
    <comment authorId="0" ref="E295">
      <text>
        <t xml:space="preserve">======
ID#AAABjx7qTNo
    (2025-05-21 11:33:26)
下單請用FPM2150GR3B1601E-T
出貨文件上秀:
FPM-2150G-R3BE
(FPM2150GRB1601E-T)</t>
      </text>
    </comment>
    <comment authorId="0" ref="D389">
      <text>
        <t xml:space="preserve">======
ID#AAABjx7qTNk
    (2025-05-21 11:33:26)
190429 給TPOLE的PI號RMA-20190307A</t>
      </text>
    </comment>
    <comment authorId="0" ref="H850">
      <text>
        <t xml:space="preserve">======
ID#AAABjx7qTM8
    (2025-05-21 11:33:26)
ALICE:10/28-合庫收款USD2852(含手續費USD17.56) 沖PI-20191024002 USD2852</t>
      </text>
    </comment>
    <comment authorId="0" ref="D487">
      <text>
        <t xml:space="preserve">======
ID#AAABjx7qTM0
    (2025-05-21 11:33:26)
0605 請TAMMY 下單</t>
      </text>
    </comment>
    <comment authorId="0" ref="H129">
      <text>
        <t xml:space="preserve">======
ID#AAABjx7qTMk
    (2025-05-21 11:33:26)
0215 Mary:匯款匯入US$21,605+6,990</t>
      </text>
    </comment>
    <comment authorId="0" ref="U34">
      <text>
        <t xml:space="preserve">======
ID#AAABjx7qTMg
    (2025-05-21 11:33:26)
ALCIE:2019/02/25水單匯入 PI-20181212A-F 訂單總計USD1500，PI-20181212A訂單總計USD1198，PI-20181212B訂單總計USD3251，合計三筆訂單USD5949元整，實收2/25水單匯入USD5938-手續費USD6.5=USD5931.5*30.76=NT182,453元整</t>
      </text>
    </comment>
    <comment authorId="0" ref="K793">
      <text>
        <t xml:space="preserve">======
ID#AAABjx7qTMY
    (2025-05-21 11:33:26)
1128yvonne:客戶通知要等ISD-1210-T*10pcs到貨一併出。</t>
      </text>
    </comment>
    <comment authorId="0" ref="E197">
      <text>
        <t xml:space="preserve">======
ID#AAABjx7qTMQ
    (2025-05-21 11:33:26)
自製品DRAM-TS512MSK64W6H戎克料號13-TS0-D30N004-001A</t>
      </text>
    </comment>
    <comment authorId="0" ref="H322">
      <text>
        <t xml:space="preserve">======
ID#AAABjx7qTLM
    (2025-05-21 11:33:26)
alice:5/10-水單通知usd3751-匯出手續費20-匯入手續費6.46=USD3724.54*30.94=NT115,237元整
沖20190320B USD1270
沖20190322A USD2481
合計總沖USD3751元整</t>
      </text>
    </comment>
    <comment authorId="0" ref="D515">
      <text>
        <t xml:space="preserve">======
ID#AAABjx7qTK8
    (2025-05-21 11:33:26)
0613 請TAMMY 下單</t>
      </text>
    </comment>
    <comment authorId="0" ref="K149">
      <text>
        <t xml:space="preserve">======
ID#AAABjx7qTLI
    (2025-05-21 11:33:26)
0212 Cathy: 原出貨日為2/14，已mail告知san變更出貨日</t>
      </text>
    </comment>
    <comment authorId="0" ref="L490">
      <text>
        <t xml:space="preserve">======
ID#AAABjx7qTKo
    (2025-05-21 11:33:26)
0606 chloe:備註</t>
      </text>
    </comment>
    <comment authorId="0" ref="H187">
      <text>
        <t xml:space="preserve">======
ID#AAABjx7qTKM
    (2025-05-21 11:33:26)
alice:2019/04/25水單通知匯入USD1931*30.86=NT59591元整  無手續費 沖(125+1400+14+42+350)</t>
      </text>
    </comment>
    <comment authorId="0" ref="H346">
      <text>
        <t xml:space="preserve">======
ID#AAABjx7qTKE
    (2025-05-21 11:33:26)
Alice:6/17-水單匯入USD10046沖PI-201904096B.PI-20190418A.PI-20190422A.PI-20190307A</t>
      </text>
    </comment>
    <comment authorId="0" ref="H876">
      <text>
        <t xml:space="preserve">======
ID#AAABjx7qTJs
    (2025-05-21 11:33:26)
alice:11/5-合庫收款USD960(內含手續費USD17.59)沖PI20191104002 USD960</t>
      </text>
    </comment>
    <comment authorId="0" ref="H682">
      <text>
        <t xml:space="preserve">======
ID#AAABjx7qTJk
    (2025-05-21 11:33:26)
ALICE:10/5-玉山NT匯入59340沖PI20190821C.PI-20190829B.PI-20190906A合計共NT59355元整</t>
      </text>
    </comment>
    <comment authorId="0" ref="F495">
      <text>
        <t xml:space="preserve">======
ID#AAABjx7qTJc
    (2025-05-21 11:33:26)
1 pcs</t>
      </text>
    </comment>
    <comment authorId="0" ref="H507">
      <text>
        <t xml:space="preserve">======
ID#AAABjx7qTI8
    (2025-05-21 11:33:26)
ALICE:6/13-玉山匯入USD4942-應付3539=1403轉預收貨款   銀行淨收4895.64*31.47</t>
      </text>
    </comment>
    <comment authorId="0" ref="K429">
      <text>
        <t xml:space="preserve">======
ID#AAABjx7qTIo
    (2025-05-21 11:33:26)
5/23 Amy: please inform sales for pick up from Vecow, need shipment on 6/6</t>
      </text>
    </comment>
    <comment authorId="0" ref="D958">
      <text>
        <t xml:space="preserve">======
ID#AAABjx7qTIs
    (2025-05-21 11:33:26)
20191218 請Yvonne 下單</t>
      </text>
    </comment>
    <comment authorId="0" ref="H920">
      <text>
        <t xml:space="preserve">======
ID#AAABjx7qTIk
    (2025-05-21 11:33:26)
ALICE:2020/01/07合庫NT匯入NT37761沖PI-20191125001 NT16007+PI-20191001A NT21784(147153) 故PI-20191001A尚餘NT125369未收</t>
      </text>
    </comment>
    <comment authorId="0" ref="H811">
      <text>
        <t xml:space="preserve">======
ID#AAABjx7qTIY
    (2025-05-21 11:33:26)
ALICE:10/14匯入USD557-手續費USD17.53=USD539.47沖PI-20191008002 USD557元整</t>
      </text>
    </comment>
    <comment authorId="0" ref="H128">
      <text>
        <t xml:space="preserve">======
ID#AAABjx7qTIM
    (2025-05-21 11:33:26)
0215 Mary:匯款匯入US$21,605+6,990</t>
      </text>
    </comment>
    <comment authorId="0" ref="K214">
      <text>
        <t xml:space="preserve">======
ID#AAABjx7qTH0
    (2025-05-21 11:33:26)
0401 santi 告知改4/8出貨</t>
      </text>
    </comment>
    <comment authorId="0" ref="J468">
      <text>
        <t xml:space="preserve">======
ID#AAABjx7qTH4
    (2025-05-21 11:33:26)
DHL Account Number : 956287207 for Freight ( AVIHS Technologies )</t>
      </text>
    </comment>
    <comment authorId="0" ref="H216">
      <text>
        <t xml:space="preserve">======
ID#AAABjx7qTHo
    (2025-05-21 11:33:26)
ALICE:2019/04/08-水單匯入USD31764-手續費USD12=USD31752
沖帳明細詳4/8-客戶MAIL沖帳明細(12540+944+2010+5770+10500=31764)</t>
      </text>
    </comment>
    <comment authorId="0" ref="H12">
      <text>
        <t xml:space="preserve">======
ID#AAABjx7qTHk
    (2025-05-21 11:33:26)
ALICE:2019/05/02-水單匯入USD21462.5</t>
      </text>
    </comment>
    <comment authorId="0" ref="H377">
      <text>
        <t xml:space="preserve">======
ID#AAABjx7qTHI
    (2025-05-21 11:33:26)
alice:7/4-水單匯入USD4316.9沖PI-20190422B.沖PI-20190507B.沖PI-20190513A</t>
      </text>
    </comment>
    <comment authorId="0" ref="H76">
      <text>
        <t xml:space="preserve">======
ID#AAABjx7qTHE
    (2025-05-21 11:33:26)
alice:6/20銀行水單匯入USD4462 沖PI20190107A.PI-20190318B.PI-20190508B.PI-20181022C-2-F</t>
      </text>
    </comment>
    <comment authorId="0" ref="K105">
      <text>
        <t xml:space="preserve">======
ID#AAABjx7qTG4
    (2025-05-21 11:33:26)
0121 Sant: 出貨前拍照</t>
      </text>
    </comment>
    <comment authorId="0" ref="I841">
      <text>
        <t xml:space="preserve">======
ID#AAABjx7qTG8
    (2025-05-21 11:33:26)
Cathy/Santiago</t>
      </text>
    </comment>
    <comment authorId="0" ref="I596">
      <text>
        <t xml:space="preserve">======
ID#AAABjx7qTGw
    (2025-05-21 11:33:26)
Cathy/Santiago</t>
      </text>
    </comment>
    <comment authorId="0" ref="V1">
      <text>
        <t xml:space="preserve">======
ID#AAABjx7qTGo
    (2025-05-21 11:33:26)
匯出手續費(客戶端銀行匯出)
匯入手續費(公司銀行匯入)</t>
      </text>
    </comment>
    <comment authorId="0" ref="H721">
      <text>
        <t xml:space="preserve">======
ID#AAABjx7qTGg
    (2025-05-21 11:33:26)
ALICE:11/14-Hectronic匯入USD244(內含手續費USD6.57)沖PI-20190910B USD137 + 沖PI-20190719B-3 USD107</t>
      </text>
    </comment>
    <comment authorId="0" ref="K95">
      <text>
        <t xml:space="preserve">======
ID#AAABjx7qTGU
    (2025-05-21 11:33:26)
0212 San: 用DHL箱子把2個貨箱放成一個箱子</t>
      </text>
    </comment>
    <comment authorId="0" ref="G638">
      <text>
        <t xml:space="preserve">======
ID#AAABjx7qTGM
    (2025-05-21 11:33:26)
8/6 Amy EXCHAGE REATE: 31.57</t>
      </text>
    </comment>
    <comment authorId="0" ref="U137">
      <text>
        <t xml:space="preserve">======
ID#AAABjx7qTGI
    (2025-05-21 11:33:26)
ALICE:2019/05/02-水單匯入USD21462.5-(匯出手續費USD10+匯入手續費USD10.73)=USD21441.77*30.84=NT661264</t>
      </text>
    </comment>
    <comment authorId="0" ref="H78">
      <text>
        <t xml:space="preserve">======
ID#AAABjx7qTFg
    (2025-05-21 11:33:26)
alice:6/20銀行水單匯入USD4462 沖PI20190107A.PI-20190318B.PI-20190508B.PI-20181022C-2-F</t>
      </text>
    </comment>
    <comment authorId="0" ref="H580">
      <text>
        <t xml:space="preserve">======
ID#AAABjx7qTFU
    (2025-05-21 11:33:26)
ALICE:9/26玉山水單匯入USD16657沖PI-20190704A USD655.沖PI-20190704A-F USD96.沖PI20190717E USD11479.沖PI-20190726B USD4245.沖PI-20190726B-F 182總沖16657</t>
      </text>
    </comment>
    <comment authorId="0" ref="D804">
      <text>
        <t xml:space="preserve">======
ID#AAABjx7qTEs
    (2025-05-21 11:33:26)
10/8 cathy
：貨運公司臨時告知產生</t>
      </text>
    </comment>
    <comment authorId="0" ref="I602">
      <text>
        <t xml:space="preserve">======
ID#AAABjx7qTEc
    (2025-05-21 11:33:26)
Cathy/Santiago</t>
      </text>
    </comment>
    <comment authorId="0" ref="H669">
      <text>
        <t xml:space="preserve">======
ID#AAABjx7qTDw
    (2025-05-21 11:33:26)
ALICE:10/5-玉山NT匯入59340沖PI20190821C.PI-20190829B.PI-20190906A合計共NT59355元整</t>
      </text>
    </comment>
    <comment authorId="0" ref="K221">
      <text>
        <t xml:space="preserve">======
ID#AAABjx7qTDo
    (2025-05-21 11:33:26)
0318 san: 出貨前檢查 (bank/eric/san）</t>
      </text>
    </comment>
    <comment authorId="0" ref="G294">
      <text>
        <t xml:space="preserve">======
ID#AAABjx7qTDk
    (2025-05-21 11:33:26)
w/5%VAT</t>
      </text>
    </comment>
    <comment authorId="0" ref="V20">
      <text>
        <t xml:space="preserve">======
ID#AAABjx7qTDM
    (2025-05-21 11:33:26)
ALICE:PI-20181031-1總計USD1864+PI-20181031A-1-F總計USD610+PI-20181109A總計USD6776+PI20181031A-2總計2000，上述四筆訂單總計USD11250，於2019/02/12水單匯入USD11233.5*30.77=NT345655
匯出手續費USD10+匯入手續費USD6.5=USD16.5*30.77=手續費總計NT508元整</t>
      </text>
    </comment>
    <comment authorId="0" ref="H477">
      <text>
        <t xml:space="preserve">======
ID#AAABjx7qTC4
    (2025-05-21 11:33:26)
ALICE:9/16玉山水單匯入USD14454沖PI-20190603A USD14454</t>
      </text>
    </comment>
    <comment authorId="0" ref="V206">
      <text>
        <t xml:space="preserve">======
ID#AAABjx7qTCk
    (2025-05-21 11:33:26)
Alice:2019/05/08水單匯入USD12400-匯款手續費(10+6.47)*30.9=NT382,651</t>
      </text>
    </comment>
    <comment authorId="0" ref="H146">
      <text>
        <t xml:space="preserve">======
ID#AAABjx7qTCI
    (2025-05-21 11:33:26)
0307 chloe:匯款匯入US39896-37(手續費)</t>
      </text>
    </comment>
    <comment authorId="0" ref="H18">
      <text>
        <t xml:space="preserve">======
ID#AAABjx7qTBQ
    (2025-05-21 11:33:26)
0212 Mary:匯款匯入US$14,150</t>
      </text>
    </comment>
    <comment authorId="0" ref="H610">
      <text>
        <t xml:space="preserve">======
ID#AAABjx7qTAc
    (2025-05-21 11:33:26)
ALICE:8/30玉山銀行水單匯入USD603元整，沖PI-20190715A USD135+沖PI-20190722D USD468=合計總沖USD603元整</t>
      </text>
    </comment>
    <comment authorId="0" ref="H135">
      <text>
        <t xml:space="preserve">======
ID#AAABjx7qS_8
    (2025-05-21 11:33:26)
ALICE:2019/05/02-水單匯入USD21462.5</t>
      </text>
    </comment>
    <comment authorId="0" ref="D260">
      <text>
        <t xml:space="preserve">======
ID#AAABjx7qS_o
    (2025-05-21 11:33:26)
190109 Tammy: 抽驗即可, 謝謝</t>
      </text>
    </comment>
    <comment authorId="0" ref="K883">
      <text>
        <t xml:space="preserve">======
ID#AAABjx7qS_k
    (2025-05-21 11:33:26)
11/8 cathy: 請告知可提供最快交期 
1223yvonne:Santiago同意放貨</t>
      </text>
    </comment>
    <comment authorId="0" ref="H290">
      <text>
        <t xml:space="preserve">======
ID#AAABjx7qS_c
    (2025-05-21 11:33:26)
alice:2019/05/17水單通知USD19768沖3/4A $1995.3/4A-1$4152.3/4A-1-F $232.3/8B-F $57.12/21A-2-F $144.3/4A-1 $189.10/22C-2 $10227.12/21A-1 $2772.如上總計共USD19768</t>
      </text>
    </comment>
    <comment authorId="0" ref="G150">
      <text>
        <t xml:space="preserve">======
ID#AAABjx7qS_I
    (2025-05-21 11:33:26)
0127 San: 銷退貨用, 故單價先計算為0, 但給廠商的PO 仍然為US255 / 1 pcs</t>
      </text>
    </comment>
    <comment authorId="0" ref="G161">
      <text>
        <t xml:space="preserve">======
ID#AAABjx7qS_E
    (2025-05-21 11:33:26)
190215 w/5% vat</t>
      </text>
    </comment>
    <comment authorId="0" ref="D849">
      <text>
        <t xml:space="preserve">======
ID#AAABjx7qS_A
    (2025-05-21 11:33:26)
10/24 cathy:請yvonne 下單</t>
      </text>
    </comment>
    <comment authorId="0" ref="H394">
      <text>
        <t xml:space="preserve">======
ID#AAABjx7qS-o
    (2025-05-21 11:33:26)
ALICE:5/27-水單匯入USD4578*31.43</t>
      </text>
    </comment>
    <comment authorId="0" ref="H371">
      <text>
        <t xml:space="preserve">======
ID#AAABjx7qS98
    (2025-05-21 11:33:26)
Alice:2019/04/30-銀行通知水單匯入USD1577-匯出手續費USD40=USD1537*30.85=NT47416</t>
      </text>
    </comment>
    <comment authorId="0" ref="R222">
      <text>
        <t xml:space="preserve">======
ID#AAABjx7qS94
alice    (2025-05-21 11:33:26)
出口報單報關日期108/03/26-CG//08/376/2Y449報單金額USD5053*30.825=155759</t>
      </text>
    </comment>
    <comment authorId="0" ref="H212">
      <text>
        <t xml:space="preserve">======
ID#AAABjx7qS9s
    (2025-05-21 11:33:26)
ALICE:5/3-電文USD16646(沖10450+4616+1580(4850中的1580))
ALICE:05/14電文通知USD16645沖(PI20190418C 金額總計15865+PI20190218A 4850中的(780)
ALICE:5/30-銀行電文通知usd15853沖PI-20190218A 4400,PI20190218A 8975,PI-20190218A 2478(4850中的2478)餘額12元沖轉手續費</t>
      </text>
    </comment>
    <comment authorId="0" ref="H449">
      <text>
        <t xml:space="preserve">======
ID#AAABjx7qS9Y
    (2025-05-21 11:33:26)
13,800.00</t>
      </text>
    </comment>
    <comment authorId="0" ref="H84">
      <text>
        <t xml:space="preserve">======
ID#AAABjx7qS9Q
    (2025-05-21 11:33:26)
ALICE:201904/10水單匯入USD11416*30.78
沖(229+2394+326+34+5274+3066+103)=11426</t>
      </text>
    </comment>
    <comment authorId="0" ref="E523">
      <text>
        <t xml:space="preserve">======
ID#AAABjx7qS9E
0620 Santiago    (2025-05-21 11:33:26)
-&gt; 待客戶將 7' LCD (AA070ME01)寄來後， 寄曦立光電做貼合</t>
      </text>
    </comment>
    <comment authorId="0" ref="H17">
      <text>
        <t xml:space="preserve">======
ID#AAABjx7qS80
    (2025-05-21 11:33:26)
alice:2019/05/17水單通知USD19768沖3/4A $1995.3/4A-1$4152.3/4A-1-F $232.3/8B-F $57.12/21A-2-F $144.3/4A-1 $189.10/22C-2 $10227.12/21A-1 $2772.如上總計共USD19768</t>
      </text>
    </comment>
    <comment authorId="0" ref="W1">
      <text>
        <t xml:space="preserve">======
ID#AAABjx7qS8k
    (2025-05-21 11:33:26)
財務確認清帳填寫
已清帳=應收金額結清
空白=尚有餘款未收</t>
      </text>
    </comment>
    <comment authorId="0" ref="H472">
      <text>
        <t xml:space="preserve">======
ID#AAABjx7qS8Q
    (2025-05-21 11:33:26)
ALICE:7/19-電文匯入USD16000元整，沖PI-20190603A USD10450+236+2308+3006(4850中的)
alice:8/19匯入USD16000沖PI-20190730A 10500，沖PI20190603A 1844(4850)，沖PI20190603A 3656(7040)</t>
      </text>
    </comment>
    <comment authorId="0" ref="J848">
      <text>
        <t xml:space="preserve">======
ID#AAABjx7qS8I
    (2025-05-21 11:33:26)
客人自取</t>
      </text>
    </comment>
    <comment authorId="0" ref="K58">
      <text>
        <t xml:space="preserve">======
ID#AAABjx7qS7Q
    (2025-05-21 11:33:26)
032５
2/12 Jay reply 2/19 by partial 3 pcs
Reply to Ti2 ship date: 2/21</t>
      </text>
    </comment>
    <comment authorId="0" ref="H645">
      <text>
        <t xml:space="preserve">======
ID#AAABjx7qS6g
    (2025-05-21 11:33:26)
ALICE:9/10玉山匯入NT108650沖PI20190719A.PI-20190722B.PI-20190725A.PI20190813B</t>
      </text>
    </comment>
    <comment authorId="0" ref="H33">
      <text>
        <t xml:space="preserve">======
ID#AAABjx7qS6A
    (2025-05-21 11:33:26)
0225 chloe:匯款匯入5948-10(手續費)</t>
      </text>
    </comment>
    <comment authorId="0" ref="H747">
      <text>
        <t xml:space="preserve">======
ID#AAABjx7qS58
    (2025-05-21 11:33:26)
ALICE:11/4玉山銀行收到匯入款USD407沖PI-20190919A USD407元整</t>
      </text>
    </comment>
    <comment authorId="0" ref="F760">
      <text>
        <t xml:space="preserve">======
ID#AAABjx7qS5Q
    (2025-05-21 11:33:26)
20191028 客人告知6pcs寄回
20191008 曦立有QC 有6PCS spot</t>
      </text>
    </comment>
    <comment authorId="0" ref="K287">
      <text>
        <t xml:space="preserve">======
ID#AAABjx7qS4w
    (2025-05-21 11:33:26)
0401 Bruce告知一組LED閃爍，後無反應，請廠商來看。</t>
      </text>
    </comment>
    <comment authorId="0" ref="H603">
      <text>
        <t xml:space="preserve">======
ID#AAABjx7qS4k
    (2025-05-21 11:33:26)
ALICE:9/23玉山銀行水單通知匯入USD14587沖PI-20190626A 334.5 沖PI-20190703B 8550.沖PI20190719C 5212.5.沖PI-20190722A 210.沖PI-20190801C 280 合計總沖USD14587元整</t>
      </text>
    </comment>
    <comment authorId="0" ref="U206">
      <text>
        <t xml:space="preserve">======
ID#AAABjx7qS4U
    (2025-05-21 11:33:26)
Alice:2019/05/08水單匯入USD12400-匯款手續費(10+6.47)*30.9=NT382,651</t>
      </text>
    </comment>
    <comment authorId="0" ref="K877">
      <text>
        <t xml:space="preserve">======
ID#AAABjx7qS38
    (2025-05-21 11:33:26)
11/12 芳慎需星期五中午前收到 
原交期 11/14</t>
      </text>
    </comment>
    <comment authorId="0" ref="H513">
      <text>
        <t xml:space="preserve">======
ID#AAABjx7qS34
    (2025-05-21 11:33:26)
alice:7/31-水單匯入USD2124沖PI-20190131D-2 857.沖PI-20190610A 565.沖PI-20190607A 444.沖PI-20190612A 258</t>
      </text>
    </comment>
    <comment authorId="0" ref="H512">
      <text>
        <t xml:space="preserve">======
ID#AAABjx7qS2U
    (2025-05-21 11:33:26)
ALICE:6/20銀行匯入USD328</t>
      </text>
    </comment>
    <comment authorId="0" ref="D904">
      <text>
        <t xml:space="preserve">======
ID#AAABjx7qS2M
    (2025-05-21 11:33:26)
1114 Cathy:請Yvonne 下單</t>
      </text>
    </comment>
    <comment authorId="0" ref="U241">
      <text>
        <t xml:space="preserve">======
ID#AAABjx7qS1w
    (2025-05-21 11:33:26)
ALICE:2019/04/30-銀行通知電文USD3780元整</t>
      </text>
    </comment>
    <comment authorId="0" ref="H404">
      <text>
        <t xml:space="preserve">======
ID#AAABjx7qS1s
    (2025-05-21 11:33:26)
alice:7/4-水單匯入USD4316.9沖PI-20190422B.沖PI-20190507B.沖PI-20190513A</t>
      </text>
    </comment>
    <comment authorId="0" ref="H53">
      <text>
        <t xml:space="preserve">======
ID#AAABjx7qS1k
    (2025-05-21 11:33:26)
0225 chloe:匯款匯入NT46249-15(手續費)</t>
      </text>
    </comment>
    <comment authorId="0" ref="H459">
      <text>
        <t xml:space="preserve">======
ID#AAABjx7qS1Q
    (2025-05-21 11:33:26)
ALICE:5/28-銀行電文通知匯入USD916</t>
      </text>
    </comment>
    <comment authorId="0" ref="H632">
      <text>
        <t xml:space="preserve">======
ID#AAABjx7qS08
    (2025-05-21 11:33:26)
ALICE:8/2-水單匯入USD1529.4沖PI-20190801B USD1529.4</t>
      </text>
    </comment>
    <comment authorId="0" ref="H393">
      <text>
        <t xml:space="preserve">======
ID#AAABjx7qS0w
    (2025-05-21 11:33:26)
ALICE:5/27-水單匯入USD4578*31.43</t>
      </text>
    </comment>
    <comment authorId="0" ref="E897">
      <text>
        <t xml:space="preserve">======
ID#AAABjx7qSz8
    (2025-05-21 11:33:26)
20170104 Santiago: 和之前訂單一樣, w/o adapter</t>
      </text>
    </comment>
    <comment authorId="0" ref="K769">
      <text>
        <t xml:space="preserve">======
ID#AAABjx7qSzU
    (2025-05-21 11:33:26)
1015YVONNE:隨貨寄目錄,並通知san</t>
      </text>
    </comment>
    <comment authorId="0" ref="V13">
      <text>
        <t xml:space="preserve">======
ID#AAABjx7qSzM
    (2025-05-21 11:33:26)
ALICE:2019/05/02-水單匯入USD21462.5-(匯出手續費USD10+匯入手續費USD10.73)=USD21441.77*30.84=NT661264</t>
      </text>
    </comment>
    <comment authorId="0" ref="G647">
      <text>
        <t xml:space="preserve">======
ID#AAABjx7qSys
    (2025-05-21 11:33:26)
190718 Tammy: w/5%</t>
      </text>
    </comment>
    <comment authorId="0" ref="F220">
      <text>
        <t xml:space="preserve">======
ID#AAABjx7qSyg
    (2025-05-21 11:33:26)
TI2 Not yet confirm Order x 2 pcs</t>
      </text>
    </comment>
    <comment authorId="0" ref="J710">
      <text>
        <t xml:space="preserve">======
ID#AAABjx7qSxQ
    (2025-05-21 11:33:26)
Forwarder Details: -
FETA FREIGHT SYSTEMS (TAIWAN ) LTD. 
JUDY KAO 
 Tel: +886-3-399-2033 EXT: 135
Direct: +886-3-3992106
Fax: +886-3-3992036/2055
E-mail: judykao@ffsi.com.tw
Skype:judykao-mlattao</t>
      </text>
    </comment>
    <comment authorId="0" ref="K302">
      <text>
        <t xml:space="preserve">======
ID#AAABjx7qSxA
    (2025-05-21 11:33:26)
0325 Cathy:客人無回應是否要與新訂單一併出貨，尚未收到運費</t>
      </text>
    </comment>
    <comment authorId="0" ref="H771">
      <text>
        <t xml:space="preserve">======
ID#AAABjx7qSw4
    (2025-05-21 11:33:26)
A
ALICE:12/4-TPOLE匯入一銀USD2242(全額到付)沖PI-20190923B 125+PI-20190930B USD1872+PI-20191014006 USD150+PI-20191026001 USD95合計總沖USD2242元整</t>
      </text>
    </comment>
    <comment authorId="0" ref="H199">
      <text>
        <t xml:space="preserve">======
ID#AAABjx7qSw0
    (2025-05-21 11:33:26)
alice:7/31-水單匯入USD2124沖PI-20190131D-2 857.沖PI-20190610A 565.沖PI-20190607A 444.沖PI-20190612A 258</t>
      </text>
    </comment>
    <comment authorId="0" ref="H246">
      <text>
        <t xml:space="preserve">======
ID#AAABjx7qSvM
    (2025-05-21 11:33:26)
ALICE:2019/05/20-收到玉山銀行電文通知USD12750元整</t>
      </text>
    </comment>
    <comment authorId="0" ref="D234">
      <text>
        <t xml:space="preserve">======
ID#AAABjx7qSvA
    (2025-05-21 11:33:26)
0306 請Tammy 下單  
0305 客人有revise order</t>
      </text>
    </comment>
    <comment authorId="0" ref="H908">
      <text>
        <t xml:space="preserve">======
ID#AAABjx7qSu0
    (2025-05-21 11:33:26)
ALICE:1/30一銀收到KH匯入USD2352(內含手續費USD26.62)沖PI-20191115001 USD709+PI-20191115002 USD75+PI-20191120002 USD150+PI-20191123002 USD870+PI-20191224001 USD411+PI-20191216001 USD137)</t>
      </text>
    </comment>
    <comment authorId="0" ref="D612">
      <text>
        <t xml:space="preserve">======
ID#AAABjx7qSus
    (2025-05-21 11:33:26)
7/23 Amy: COC requested together with shipment/ PO Number indicated on each shipping documents / Invoice &amp; Packing list together with shipment</t>
      </text>
    </comment>
    <comment authorId="0" ref="K290">
      <text>
        <t xml:space="preserve">======
ID#AAABjx7qSuc
    (2025-05-21 11:33:26)
0401 Bruce告知一組LED閃爍，後無反應，請廠商來看。</t>
      </text>
    </comment>
    <comment authorId="0" ref="J663">
      <text>
        <t xml:space="preserve">======
ID#AAABjx7qStc
    (2025-05-21 11:33:26)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</text>
    </comment>
    <comment authorId="0" ref="E461">
      <text>
        <t xml:space="preserve">======
ID#AAABjx7qSs4
    (2025-05-21 11:33:26)
供應商NRE費用
NRE to develop AR coating fixture + Customized 1 black color cover lens</t>
      </text>
    </comment>
    <comment authorId="0" ref="Y1">
      <text>
        <t xml:space="preserve">======
ID#AAABjx7qSs0
    (2025-05-21 11:33:26)
專案=需部門協調組裝
買賣=買賣
維修=RMA</t>
      </text>
    </comment>
    <comment authorId="0" ref="H644">
      <text>
        <t xml:space="preserve">======
ID#AAABjx7qSso
    (2025-05-21 11:33:26)
ALICE:9/10玉山水單匯入USD5607元，沖PI-20190813A USD5147.沖PI-20190813A-1 460，合計總沖USD5607元整</t>
      </text>
    </comment>
    <comment authorId="0" ref="K671">
      <text>
        <t xml:space="preserve">======
ID#AAABjx7qSsE
    (2025-05-21 11:33:26)
0903:TAMMY通知SAN同意先放貨後付款</t>
      </text>
    </comment>
    <comment authorId="0" ref="U223">
      <text>
        <t xml:space="preserve">======
ID#AAABjx7qSr8
    (2025-05-21 11:33:26)
ALICE:2019/05/02-水單匯入USD21462.5-(匯出手續費USD10+匯入手續費USD10.73)=USD21441.77*30.84=NT661264</t>
      </text>
    </comment>
    <comment authorId="0" ref="H115">
      <text>
        <t xml:space="preserve">======
ID#AAABjx7qSrM
    (2025-05-21 11:33:26)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I675">
      <text>
        <t xml:space="preserve">======
ID#AAABjx7qSq0
    (2025-05-21 11:33:26)
Cathy/Santiago</t>
      </text>
    </comment>
    <comment authorId="0" ref="K896">
      <text>
        <t xml:space="preserve">======
ID#AAABjx7qSqs
    (2025-05-21 11:33:26)
chloe
1028: 原先告知10/30
1104: 尚未告知MOXA！！原倉庫(木新路)收貨至11/14止，11/15暫停收貨 ，
11/18之後送貨請送至新倉庫:新北市新店區寶橋路235巷118號2AF</t>
      </text>
    </comment>
    <comment authorId="0" ref="H469">
      <text>
        <t xml:space="preserve">======
ID#AAABjx7qSqY
    (2025-05-21 11:33:26)
ALICE:5/31銀行電文通知匯入款USD531+匯出手續費USD11=USD542</t>
      </text>
    </comment>
    <comment authorId="0" ref="E480">
      <text>
        <t xml:space="preserve">======
ID#AAABjx7qSqE
    (2025-05-21 11:33:26)
6/10 Amy: MI3EM5125602EN (原舊訂單料號)或 MI3MB1125604SN (目前敏博報價單料號)
256G SSD Normal Temp.</t>
      </text>
    </comment>
    <comment authorId="0" ref="H116">
      <text>
        <t xml:space="preserve">======
ID#AAABjx7qSp8
    (2025-05-21 11:33:26)
ALICE:5/3收到USD12965.5(沖PI-20190121B.PI20190217A.PI-20190131C.PI-20190313A.PI-20190306A)</t>
      </text>
    </comment>
    <comment authorId="0" ref="H86">
      <text>
        <t xml:space="preserve">======
ID#AAABjx7qSps
    (2025-05-21 11:33:26)
ALICE:201904/10水單匯入USD11416*30.78
沖(229+2394+326+34+5274+3066+103)=11426</t>
      </text>
    </comment>
    <comment authorId="0" ref="D488">
      <text>
        <t xml:space="preserve">======
ID#AAABjx7qSoc
    (2025-05-21 11:33:26)
0605 請TAMMY 下單</t>
      </text>
    </comment>
    <comment authorId="0" ref="D121">
      <text>
        <t xml:space="preserve">======
ID#AAABjx7qSoU
    (2025-05-21 11:33:26)
1/25宸曜這批無法協駔組裝SSD &amp; DRAM, 需自行組裝, 並請確認SATA Cable、DRAM處需點膠加強.</t>
      </text>
    </comment>
    <comment authorId="0" ref="H30">
      <text>
        <t xml:space="preserve">======
ID#AAABjx7qSnw
    (2025-05-21 11:33:26)
0225 chloe:匯款匯入5948-10(手續費)</t>
      </text>
    </comment>
    <comment authorId="0" ref="J797">
      <text>
        <t xml:space="preserve">======
ID#AAABjx7qSn0
    (2025-05-21 11:33:26)
using UPS express then</t>
      </text>
    </comment>
    <comment authorId="0" ref="H334">
      <text>
        <t xml:space="preserve">======
ID#AAABjx7qSnU
    (2025-05-21 11:33:26)
Chloe:2019/4/19 水單匯入USB702.10-手續費USD 0=USD702.10</t>
      </text>
    </comment>
    <comment authorId="0" ref="D286">
      <text>
        <t xml:space="preserve">======
ID#AAABjx7qSm4
    (2025-05-21 11:33:26)
3026 葛:客供剩料75</t>
      </text>
    </comment>
    <comment authorId="0" ref="D583">
      <text>
        <t xml:space="preserve">======
ID#AAABjx7qSms
    (2025-05-21 11:33:26)
0719 請chloe 協助下單</t>
      </text>
    </comment>
    <comment authorId="0" ref="O187">
      <text>
        <t xml:space="preserve">======
ID#AAABjx7qSmo
    (2025-05-21 11:33:26)
0311 chloe:含PO20190124B</t>
      </text>
    </comment>
    <comment authorId="0" ref="H527">
      <text>
        <t xml:space="preserve">======
ID#AAABjx7qSmg
    (2025-05-21 11:33:26)
6/14-預收USD1403
6/28-銀行匯入USD6257 與6/14合計共7660，PI為7670故尚餘USD10元未收與chloe確認轉手續費處理</t>
      </text>
    </comment>
    <comment authorId="0" ref="H157">
      <text>
        <t xml:space="preserve">======
ID#AAABjx7qSmY
    (2025-05-21 11:33:26)
0307 chloe:匯款匯入US39896-37(手續費)</t>
      </text>
    </comment>
    <comment authorId="0" ref="G281">
      <text>
        <t xml:space="preserve">======
ID#AAABjx7qSmQ
    (2025-05-21 11:33:26)
190303 w/5% VAT</t>
      </text>
    </comment>
    <comment authorId="0" ref="D586">
      <text>
        <t xml:space="preserve">======
ID#AAABjx7qSlY
    (2025-05-21 11:33:26)
20190604 Robin accept W/O AG、AR treatment this time</t>
      </text>
    </comment>
    <comment authorId="0" ref="H744">
      <text>
        <t xml:space="preserve">======
ID#AAABjx7qSk0
    (2025-05-21 11:33:26)
ALICE:9/19玉山水單匯入USD440沖PI-20190917B 440</t>
      </text>
    </comment>
    <comment authorId="0" ref="D58">
      <text>
        <t xml:space="preserve">======
ID#AAABjx7qSks
    (2025-05-21 11:33:26)
1/21 Keiju: 出貨前拍照</t>
      </text>
    </comment>
    <comment authorId="0" ref="D327">
      <text>
        <t xml:space="preserve">======
ID#AAABjx7qSkk
    (2025-05-21 11:33:26)
3026 葛:客供剩料75</t>
      </text>
    </comment>
    <comment authorId="0" ref="H889">
      <text>
        <t xml:space="preserve">======
ID#AAABjx7qSkM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H277">
      <text>
        <t xml:space="preserve">======
ID#AAABjx7qSj0
    (2025-05-21 11:33:26)
3/22 chloe:匯款匯入NT2868</t>
      </text>
    </comment>
    <comment authorId="0" ref="D476">
      <text>
        <t xml:space="preserve">======
ID#AAABjx7qSjk
    (2025-05-21 11:33:26)
0603 通知Tammy下單</t>
      </text>
    </comment>
    <comment authorId="0" ref="D176">
      <text>
        <t xml:space="preserve">======
ID#AAABjx7qSio
    (2025-05-21 11:33:26)
0212 San: 毛利太低, 不用再換標籤</t>
      </text>
    </comment>
    <comment authorId="0" ref="H571">
      <text>
        <t xml:space="preserve">======
ID#AAABjx7qSh8
    (2025-05-21 11:33:26)
ALICE:8/22玉山銀行匯入NT1,596,000+NT1,978=NT1,597,978元整，沖PI-20190717C NT1,586,124 ，沖PI-20190813C NT11,854</t>
      </text>
    </comment>
    <comment authorId="0" ref="K553">
      <text>
        <t xml:space="preserve">======
ID#AAABjx7qSho
    (2025-05-21 11:33:26)
0722 Santiago同意先出貨。</t>
      </text>
    </comment>
    <comment authorId="0" ref="K674">
      <text>
        <t xml:space="preserve">======
ID#AAABjx7qShY
    (2025-05-21 11:33:26)
0826YVONNE:寄出，g504樣品出口，簡易報關。</t>
      </text>
    </comment>
    <comment authorId="0" ref="K797">
      <text>
        <t xml:space="preserve">======
ID#AAABjx7qShA
    (2025-05-21 11:33:26)
10/30 cathy:通知客人交期</t>
      </text>
    </comment>
    <comment authorId="0" ref="D957">
      <text>
        <t xml:space="preserve">======
ID#AAABjx7qSfE
    (2025-05-21 11:33:26)
20191218 請Yvonne 下單</t>
      </text>
    </comment>
    <comment authorId="0" ref="D609">
      <text>
        <t xml:space="preserve">======
ID#AAABjx7qSeI
    (2025-05-21 11:33:26)
0723 請chloe下單</t>
      </text>
    </comment>
    <comment authorId="0" ref="H34">
      <text>
        <t xml:space="preserve">======
ID#AAABjx7qSeE
    (2025-05-21 11:33:26)
0225 chloe:匯款匯入5948-10(手續費)</t>
      </text>
    </comment>
    <comment authorId="0" ref="H883">
      <text>
        <t xml:space="preserve">======
ID#AAABjx7qSd4
    (2025-05-21 11:33:26)
ALICE:2020/01/10-SA匯入USD37024-沖PI-20191108001 (5904+2010+440+20104+950+6270)+1346(12600中的1346)=USD37024</t>
      </text>
    </comment>
    <comment authorId="0" ref="H794">
      <text>
        <t xml:space="preserve">======
ID#AAABjx7qSdw
    (2025-05-21 11:33:26)
ALICE:1/9-一銀水單USD1590沖PI-20191001E USD1590</t>
      </text>
    </comment>
    <comment authorId="0" ref="H640">
      <text>
        <t xml:space="preserve">======
ID#AAABjx7qSdY
    (2025-05-21 11:33:26)
ALICE:9/9電文通知ALCOM PI-20190808A匯入USD1180</t>
      </text>
    </comment>
    <comment authorId="0" ref="H756">
      <text>
        <t xml:space="preserve">======
ID#AAABjx7qScs
    (2025-05-21 11:33:26)
ALICE:12/4-TPOLE匯入一銀USD2242(全額到付)沖PI-20190923B 125+PI-20190930B USD1872+PI-20191014006 USD150+PI-20191026001 USD95合計總沖USD2242元整</t>
      </text>
    </comment>
    <comment authorId="0" ref="J854">
      <text>
        <t xml:space="preserve">======
ID#AAABjx7qScw
    (2025-05-21 11:33:26)
191027 UPS服務要和客人確認</t>
      </text>
    </comment>
    <comment authorId="0" ref="H563">
      <text>
        <t xml:space="preserve">======
ID#AAABjx7qSco
    (2025-05-21 11:33:26)
alice:11/19-一銀Hatteland電文通知匯入USD58800 沖PI-20190717A USD58800</t>
      </text>
    </comment>
    <comment authorId="0" ref="K893">
      <text>
        <t xml:space="preserve">======
ID#AAABjx7qSbo
    (2025-05-21 11:33:26)
1115YVONNE:SANTIAGO通知延遲一周出貨。</t>
      </text>
    </comment>
    <comment authorId="0" ref="K825">
      <text>
        <t xml:space="preserve">======
ID#AAABjx7qSbg
    (2025-05-21 11:33:26)
10/28 cathy: 通知客人交期pending 
10/15 cathy: 10/22 需update 交期給客人</t>
      </text>
    </comment>
    <comment authorId="0" ref="K628">
      <text>
        <t xml:space="preserve">======
ID#AAABjx7qSbY
    (2025-05-21 11:33:26)
8/22 Cathy: mail 請Yvonne 出貨時依照客人需要invoice</t>
      </text>
    </comment>
    <comment authorId="0" ref="H501">
      <text>
        <t xml:space="preserve">======
ID#AAABjx7qSaw
    (2025-05-21 11:33:26)
ALICE:8/2-水單匯入USD541元整，沖PI-20190606D USD416+沖PI-20190617A USD125</t>
      </text>
    </comment>
    <comment authorId="0" ref="E912">
      <text>
        <t xml:space="preserve">======
ID#AAABjx7qSag
    (2025-05-21 11:33:26)
w/o adapter</t>
      </text>
    </comment>
    <comment authorId="0" ref="E243">
      <text>
        <t xml:space="preserve">======
ID#AAABjx7qSaE
    (2025-05-21 11:33:26)
20170104 Santiago: 和之前訂單一樣, w/o adapter</t>
      </text>
    </comment>
    <comment authorId="0" ref="D906">
      <text>
        <t xml:space="preserve">======
ID#AAABjx7qSaA
    (2025-05-21 11:33:26)
1114 Cathy:請Yvonne 下單</t>
      </text>
    </comment>
    <comment authorId="0" ref="D761">
      <text>
        <t xml:space="preserve">======
ID#AAABjx7qSZg
    (2025-05-21 11:33:26)
0927 Cathy 客人增加物料，想與PI-20190909A一起走 ,請chloe 協助下單
1001 告知改由Aditech付款</t>
      </text>
    </comment>
    <comment authorId="0" ref="H955">
      <text>
        <t xml:space="preserve">======
ID#AAABjx7qSY0
    (2025-05-21 11:33:26)
12/13
與TPM 實收NTD 73,332 (未稅2000歐元)
chloe 告知當時匯款匯率抓34.92 
ALICE:12/20-匯入一銀65019+73332沖PI-20191211001+PI-20191213002</t>
      </text>
    </comment>
    <comment authorId="0" ref="E632">
      <text>
        <t xml:space="preserve">======
ID#AAABjx7qSYo
    (2025-05-21 11:33:26)
0802 chloe: EU Adaper</t>
      </text>
    </comment>
    <comment authorId="0" ref="H426">
      <text>
        <t xml:space="preserve">======
ID#AAABjx7qSYM
    (2025-05-21 11:33:26)
ALICE:7/17水單匯入USD9362沖PI-20190508B-F 92元.PI-20190508B-1 130元. PI-20190509C 9140元整</t>
      </text>
    </comment>
    <comment authorId="0" ref="H22">
      <text>
        <t xml:space="preserve">======
ID#AAABjx7qSXw
    (2025-05-21 11:33:26)
1227 chloe:匯款匯入US$53334</t>
      </text>
    </comment>
    <comment authorId="0" ref="E207">
      <text>
        <t xml:space="preserve">======
ID#AAABjx7qSXY
    (2025-05-21 11:33:26)
20190214
 Santiago:
-&gt; 待客戶將 7' LCD (AA070ME01)寄來後， 寄曦立光電做貼合</t>
      </text>
    </comment>
    <comment authorId="0" ref="K279">
      <text>
        <t xml:space="preserve">======
ID#AAABjx7qSXI
    (2025-05-21 11:33:26)
0401 santi 告知改4/8出貨</t>
      </text>
    </comment>
    <comment authorId="0" ref="R180">
      <text>
        <t xml:space="preserve">======
ID#AAABjx7qSXA
alice    (2025-05-21 11:33:26)
出口報單報關日期108/03/26-CG//08/376/2Y449報單金額USD5053*30.825=155759</t>
      </text>
    </comment>
    <comment authorId="0" ref="K92">
      <text>
        <t xml:space="preserve">======
ID#AAABjx7qSWg
    (2025-05-21 11:33:26)
0212 San: 用DHL箱子把2個貨箱放成一個箱子</t>
      </text>
    </comment>
    <comment authorId="0" ref="H351">
      <text>
        <t xml:space="preserve">======
ID#AAABjx7qSVI
    (2025-05-21 11:33:26)
Alice:6/17-水單匯入USD10046沖PI-201904096B.PI-20190418A.PI-20190422A.PI-20190307A</t>
      </text>
    </comment>
    <comment authorId="0" ref="K741">
      <text>
        <t xml:space="preserve">======
ID#AAABjx7qSU4
    (2025-05-21 11:33:26)
1003:PGS告知客戶走周末班機，因此安排10/4收貨。</t>
      </text>
    </comment>
    <comment authorId="0" ref="H925">
      <text>
        <t xml:space="preserve">======
ID#AAABjx7qSU0
    (2025-05-21 11:33:26)
ALICE:1/20-第一USD收款USD1308(手續費0)沖PI-20191203001 USD77+PI-20191126001 USD1231 總計USD1308元整</t>
      </text>
    </comment>
    <comment authorId="0" ref="K822">
      <text>
        <t xml:space="preserve">======
ID#AAABjx7qSUg
    (2025-05-21 11:33:26)
11/12 芳慎需星期五中午前收到 
原交期 11/14</t>
      </text>
    </comment>
    <comment authorId="0" ref="H767">
      <text>
        <t xml:space="preserve">======
ID#AAABjx7qSUY
    (2025-05-21 11:33:26)
ALICE:11/20一銀匯入USD5837沖PI-20190930A USD3945+PI-20191003A USD137+PI-20191005A USD1755</t>
      </text>
    </comment>
    <comment authorId="0" ref="H575">
      <text>
        <t xml:space="preserve">======
ID#AAABjx7qSUA
    (2025-05-21 11:33:26)
ALICE:8/22玉山銀行匯入NT1,596,000+NT1,978=NT1,597,978元整，沖PI-20190717C NT1,586,124 ，沖PI-20190813C NT11,854</t>
      </text>
    </comment>
    <comment authorId="0" ref="D34">
      <text>
        <t xml:space="preserve">======
ID#AAABjx7qSTw
    (2025-05-21 11:33:26)
2019/01/08 Keiju: 已QC
2019/01/08 Cathy: 待小葛驗收</t>
      </text>
    </comment>
    <comment authorId="0" ref="H163">
      <text>
        <t xml:space="preserve">======
ID#AAABjx7qSTU
    (2025-05-21 11:33:26)
ALICE:5/3收到USD12965.5(沖PI-20190121B.PI20190217A.PI-20190131C.PI-20190313A.PI-20190306A)</t>
      </text>
    </comment>
    <comment authorId="0" ref="H506">
      <text>
        <t xml:space="preserve">======
ID#AAABjx7qSS8
    (2025-05-21 11:33:26)
alice:7/31-水單匯入USD2124沖PI-20190131D-2 857.沖PI-20190610A 565.沖PI-20190607A 444.沖PI-20190612A 258</t>
      </text>
    </comment>
    <comment authorId="0" ref="H599">
      <text>
        <t xml:space="preserve">======
ID#AAABjx7qSS0
    (2025-05-21 11:33:26)
ALICE:9/23玉山銀行水單通知匯入USD14587沖PI-20190626A 334.5 沖PI-20190703B 8550.沖PI20190719C 5212.5.沖PI-20190722A 210.沖PI-20190801C 280 合計總沖USD14587元整</t>
      </text>
    </comment>
    <comment authorId="0" ref="H956">
      <text>
        <t xml:space="preserve">======
ID#AAABjx7qSSk
    (2025-05-21 11:33:26)
ALICE:1/30一銀收到KH匯入USD2352(內含手續費USD26.62)沖PI-20191115001 USD709+PI-20191115002 USD75+PI-20191120002 USD150+PI-20191123002 USD870+PI-20191224001 USD411+PI-20191216001 USD137)</t>
      </text>
    </comment>
    <comment authorId="0" ref="E506">
      <text>
        <t xml:space="preserve">======
ID#AAABjx7qSSE
    (2025-05-21 11:33:26)
下單請用FPM2150GR3B1601E-T
出貨文件上秀:
FPM-2150G-R3BE
(FPM2150GRB1601E-T)</t>
      </text>
    </comment>
    <comment authorId="0" ref="D826">
      <text>
        <t xml:space="preserve">======
ID#AAABjx7qSR0
    (2025-05-21 11:33:26)
10/16 cathy 請tammy 協助下單</t>
      </text>
    </comment>
    <comment authorId="0" ref="H929">
      <text>
        <t xml:space="preserve">======
ID#AAABjx7qSRo
    (2025-05-21 11:33:26)
ALICE:1/20-第一USD收款USD1308(手續費0)沖PI-20191203001 USD77+PI-20191126001 USD1231 總計USD1308元整</t>
      </text>
    </comment>
    <comment authorId="0" ref="I884">
      <text>
        <t xml:space="preserve">======
ID#AAABjx7qSRM
    (2025-05-21 11:33:26)
Cathy/Yvonne</t>
      </text>
    </comment>
    <comment authorId="0" ref="K495">
      <text>
        <t xml:space="preserve">======
ID#AAABjx7qSQ0
    (2025-05-21 11:33:26)
0701 確認客人有需要此貨，待這兩天匯款&amp;Shipping info.</t>
      </text>
    </comment>
    <comment authorId="0" ref="I601">
      <text>
        <t xml:space="preserve">======
ID#AAABjx7qSQo
    (2025-05-21 11:33:26)
Cathy/Santiago</t>
      </text>
    </comment>
    <comment authorId="0" ref="K851">
      <text>
        <t xml:space="preserve">======
ID#AAABjx7qSQk
    (2025-05-21 11:33:26)
1126 YVONNE:SAN同意先放貨</t>
      </text>
    </comment>
    <comment authorId="0" ref="I844">
      <text>
        <t xml:space="preserve">======
ID#AAABjx7qSQM
    (2025-05-21 11:33:26)
Cathy/Santiago</t>
      </text>
    </comment>
    <comment authorId="0" ref="H839">
      <text>
        <t xml:space="preserve">======
ID#AAABjx7qSP8
    (2025-05-21 11:33:26)
ALICE:1/7第一銀行USD3228 沖PI-20191007006 1501+PI-20191007007 USD1727+PI-20191128002 USD20總沖USD3248</t>
      </text>
    </comment>
    <comment authorId="0" ref="H587">
      <text>
        <t xml:space="preserve">======
ID#AAABjx7qSP4
    (2025-05-21 11:33:26)
ALICE:1/7第一銀行USD3228 沖PI-20191007006 1501+PI-20191007007 USD1727+PI-20191128002 USD20總沖USD3248</t>
      </text>
    </comment>
    <comment authorId="0" ref="K215">
      <text>
        <t xml:space="preserve">======
ID#AAABjx7qSPk
    (2025-05-21 11:33:26)
0401 santi 告知改4/8出貨</t>
      </text>
    </comment>
    <comment authorId="0" ref="H768">
      <text>
        <t xml:space="preserve">======
ID#AAABjx7qSOs
    (2025-05-21 11:33:26)
ALICE:11/20一銀匯入USD5837沖PI-20190930A USD3945+PI-20191003A USD137+PI-20191005A USD1755</t>
      </text>
    </comment>
    <comment authorId="0" ref="J911">
      <text>
        <t xml:space="preserve">======
ID#AAABjx7qSO0
    (2025-05-21 11:33:26)
客人自取</t>
      </text>
    </comment>
    <comment authorId="0" ref="H959">
      <text>
        <t xml:space="preserve">======
ID#AAABjx7qSOc
    (2025-05-21 11:33:26)
ALICE:12/24電文通知匯入款USD909(已內含手續費)沖PI20191218001 USD924故尚餘USD15元未收</t>
      </text>
    </comment>
    <comment authorId="0" ref="H74">
      <text>
        <t xml:space="preserve">======
ID#AAABjx7qSOQ
    (2025-05-21 11:33:26)
0305 chloe:匯款匯入US8750</t>
      </text>
    </comment>
    <comment authorId="0" ref="D714">
      <text>
        <t xml:space="preserve">======
ID#AAABjx7qSN4
    (2025-05-21 11:33:26)
在此輸入
0909 客人待O/A肯放USD 10000 才要下單
1001 告知改由Aditeh付款</t>
      </text>
    </comment>
    <comment authorId="0" ref="H592">
      <text>
        <t xml:space="preserve">======
ID#AAABjx7qSNM
    (2025-05-21 11:33:26)
ALICE:7/26玉山銀行水單通知匯入USD9754沖PI-20190524B(2000+350).沖PI20190524B-1(3010).沖PI-20190703A(60+70).沖PI20190719B-1 228+1600 PI-20190719B-2 304  PI-20190719B-5 532. PI-20190719B-3 1600</t>
      </text>
    </comment>
    <comment authorId="0" ref="D846">
      <text>
        <t xml:space="preserve">======
ID#AAABjx7qSNQ
    (2025-05-21 11:33:26)
10/24 請chloe 下單</t>
      </text>
    </comment>
    <comment authorId="0" ref="K218">
      <text>
        <t xml:space="preserve">======
ID#AAABjx7qSNA
    (2025-05-21 11:33:26)
0401 santi 告知改4/8出貨</t>
      </text>
    </comment>
    <comment authorId="0" ref="H451">
      <text>
        <t xml:space="preserve">======
ID#AAABjx7qSM4
    (2025-05-21 11:33:26)
Alice:7/8匯入NT170334 
Alice:8/6匯入NT186707
Alice:8/6匯入NT32231
總計389272+匯款手續費30=389302沖PI-20190523A 202565.沖PI20190702A 186737元整</t>
      </text>
    </comment>
    <comment authorId="0" ref="G414">
      <text>
        <t xml:space="preserve">======
ID#AAABjx7qSMg
    (2025-05-21 11:33:26)
6/4 Amy: Aantiago agree to offer Special price following local low price.  請尋低價能用即可</t>
      </text>
    </comment>
    <comment authorId="0" ref="H903">
      <text>
        <t xml:space="preserve">======
ID#AAABjx7qSME
    (2025-05-21 11:33:26)
Alice:11/14電文通知匯入USD1676 沖PI-20191114002 USD1676 待銀行水單沖帳</t>
      </text>
    </comment>
    <comment authorId="0" ref="H427">
      <text>
        <t xml:space="preserve">======
ID#AAABjx7qSMI
    (2025-05-21 11:33:26)
ALICE:7/17水單匯入USD9362沖PI-20190508B-F 92元.PI-20190508B-1 130元. PI-20190509C 9140元整</t>
      </text>
    </comment>
    <comment authorId="0" ref="D598">
      <text>
        <t xml:space="preserve">======
ID#AAABjx7qSLs
    (2025-05-21 11:33:26)
20190604 Robin accept W/O AG、AR treatment this time</t>
      </text>
    </comment>
    <comment authorId="0" ref="H344">
      <text>
        <t xml:space="preserve">======
ID#AAABjx7qSLU
    (2025-05-21 11:33:26)
ALICE:6/17水單匯入USD16108 沖PI-20190227B 8500，沖PI-20190409A 7608</t>
      </text>
    </comment>
    <comment authorId="0" ref="D594">
      <text>
        <t xml:space="preserve">======
ID#AAABjx7qSLA
    (2025-05-21 11:33:26)
20190604 Robin accept W/O AG、AR treatment this time</t>
      </text>
    </comment>
    <comment authorId="0" ref="L51">
      <text>
        <t xml:space="preserve">======
ID#AAABjx7qSKk
    (2025-05-21 11:33:26)
當月底結，隔月五號付款</t>
      </text>
    </comment>
    <comment authorId="0" ref="K590">
      <text>
        <t xml:space="preserve">======
ID#AAABjx7qSKg
    (2025-05-21 11:33:26)
cathy: 10/15已回覆客人交期</t>
      </text>
    </comment>
    <comment authorId="0" ref="I593">
      <text>
        <t xml:space="preserve">======
ID#AAABjx7qSKM
    (2025-05-21 11:33:26)
Cathy/Santiago</t>
      </text>
    </comment>
    <comment authorId="0" ref="H225">
      <text>
        <t xml:space="preserve">======
ID#AAABjx7qSJ4
    (2025-05-21 11:33:26)
0225 chloe:匯款匯入 US2630- US40(第三地銀行手續費)</t>
      </text>
    </comment>
    <comment authorId="0" ref="H63">
      <text>
        <t xml:space="preserve">======
ID#AAABjx7qSJo
    (2025-05-21 11:33:26)
0124 chloe:匯款匯入US$48799</t>
      </text>
    </comment>
    <comment authorId="0" ref="H170">
      <text>
        <t xml:space="preserve">======
ID#AAABjx7qSJg
    (2025-05-21 11:33:26)
0322 chloe:匯入US8750</t>
      </text>
    </comment>
    <comment authorId="0" ref="K589">
      <text>
        <t xml:space="preserve">======
ID#AAABjx7qSJY
    (2025-05-21 11:33:26)
cathy: 10/15已回覆客人交期</t>
      </text>
    </comment>
    <comment authorId="0" ref="V104">
      <text>
        <t xml:space="preserve">======
ID#AAABjx7qSJQ
    (2025-05-21 11:33:26)
ALICE:2019/05/02-水單匯入USD21462.5-(匯出手續費USD10+匯入手續費USD10.73)=USD21441.77*30.84=NT661264</t>
      </text>
    </comment>
    <comment authorId="0" ref="A181">
      <text>
        <t xml:space="preserve">======
ID#AAABjx7qSJE
    (2025-05-21 11:33:26)
3/22 Amy: line disappear, add it on 3/22</t>
      </text>
    </comment>
    <comment authorId="0" ref="D797">
      <text>
        <t xml:space="preserve">======
ID#AAABjx7qSJA
    (2025-05-21 11:33:26)
10/3 請Chloe下單</t>
      </text>
    </comment>
    <comment authorId="0" ref="G570">
      <text>
        <t xml:space="preserve">======
ID#AAABjx7qSIo
    (2025-05-21 11:33:26)
190718 Tammy: w/5%</t>
      </text>
    </comment>
    <comment authorId="0" ref="H933">
      <text>
        <t xml:space="preserve">======
ID#AAABjx7qSIM
    (2025-05-21 11:33:26)
ALICE:2/24一銀收到USD12104沖PI-20191127001 USD6784+PI-20191104001 USD2014+PI-20191213001 USD3306</t>
      </text>
    </comment>
    <comment authorId="0" ref="H422">
      <text>
        <t xml:space="preserve">======
ID#AAABjx7qSH0
    (2025-05-21 11:33:26)
ALICE:5/27-水單匯入USD4578*31.43</t>
      </text>
    </comment>
    <comment authorId="0" ref="K799">
      <text>
        <t xml:space="preserve">======
ID#AAABjx7qSHc
    (2025-05-21 11:33:26)
10/30 cathy:通知客人交期</t>
      </text>
    </comment>
    <comment authorId="0" ref="E2">
      <text>
        <t xml:space="preserve">======
ID#AAABjx7qSHQ
    (2025-05-21 11:33:26)
1119 chloe:4U機箱使用</t>
      </text>
    </comment>
    <comment authorId="0" ref="V225">
      <text>
        <t xml:space="preserve">======
ID#AAABjx7qSHA
    (2025-05-21 11:33:26)
ALICE:2019/02/25-水單USD2590-匯入手續費USD6.5=USD2583.5*30.76=NT79468元整
實際應收USD2630-2590=USD40匯出手續費*30.746=NT1230
匯出手續費NT1230+匯入手續費NT200=NT1430</t>
      </text>
    </comment>
    <comment authorId="0" ref="V132">
      <text>
        <t xml:space="preserve">======
ID#AAABjx7qSG8
    (2025-05-21 11:33:26)
ALICE:2019/05/02-水單匯入USD21462.5-(匯出手續費USD10+匯入手續費USD10.73)=USD21441.77*30.84=NT661264</t>
      </text>
    </comment>
    <comment authorId="0" ref="H202">
      <text>
        <t xml:space="preserve">======
ID#AAABjx7qSGY
    (2025-05-21 11:33:26)
0327 chloe:匯款匯入US$21425-20(手續費)</t>
      </text>
    </comment>
    <comment authorId="0" ref="J545">
      <text>
        <t xml:space="preserve">======
ID#AAABjx7qSGU
    (2025-05-21 11:33:26)
AMY:EORI-Number DE7019688, on Shipping Mark</t>
      </text>
    </comment>
    <comment authorId="0" ref="D662">
      <text>
        <t xml:space="preserve">======
ID#AAABjx7qSGQ
    (2025-05-21 11:33:26)
0820 Cathy: santi mail 告知提供PI給客人，待客戶簽回
0902 Cathy: double confirm with client if they will place an order 
0910 請chloe 下單
0920  Cathy : 詢問客人交期有否辦法接受(物料無法cancel)</t>
      </text>
    </comment>
    <comment authorId="0" ref="H909">
      <text>
        <t xml:space="preserve">======
ID#AAABjx7qSGI
    (2025-05-21 11:33:26)
Alice:11/14電文通知匯入USD1676 沖PI-20191114002 USD1676 待銀行水單沖帳</t>
      </text>
    </comment>
    <comment authorId="0" ref="I522">
      <text>
        <t xml:space="preserve">======
ID#AAABjx7qSGA
    (2025-05-21 11:33:26)
Cathy/Santiago</t>
      </text>
    </comment>
    <comment authorId="0" ref="H353">
      <text>
        <t xml:space="preserve">======
ID#AAABjx7qSFs
    (2025-05-21 11:33:26)
Alice:6/17-水單匯入USD10046沖PI-201904096B.PI-20190418A.PI-20190422A.PI-20190307A</t>
      </text>
    </comment>
    <comment authorId="0" ref="K569">
      <text>
        <t xml:space="preserve">======
ID#AAABjx7qSFg
    (2025-05-21 11:33:26)
190718 Tammy: 發票寄出前，請先提供確認，謝謝。</t>
      </text>
    </comment>
    <comment authorId="0" ref="H446">
      <text>
        <t xml:space="preserve">======
ID#AAABjx7qSFQ
    (2025-05-21 11:33:26)
NTD 2114 (以下旬匯率31.52換算美金) 
ALICE:7/3收到支票 6/30即期票，票號CP0072748 金額30489元整，沖PI-20190508D 16425元，沖PI-20190520A 14092元。(原PI-20190520A退貨，故應收2114手續費) 多收部份轉預收11978元整</t>
      </text>
    </comment>
    <comment authorId="0" ref="K464">
      <text>
        <t xml:space="preserve">======
ID#AAABjx7qSFM
    (2025-05-21 11:33:26)
0819YVONNE:大榮15595542162</t>
      </text>
    </comment>
    <comment authorId="0" ref="H494">
      <text>
        <t xml:space="preserve">======
ID#AAABjx7qSEw
    (2025-05-21 11:33:26)
ALICE:7/10-水單匯入USD646沖PI-20190606B</t>
      </text>
    </comment>
    <comment authorId="0" ref="H873">
      <text>
        <t xml:space="preserve">======
ID#AAABjx7qSEk
    (2025-05-21 11:33:26)
ALICE:11/8-玉山銀行收到Dadasol匯入USD7021沖PI-20191101002 USD7021</t>
      </text>
    </comment>
    <comment authorId="0" ref="H704">
      <text>
        <t xml:space="preserve">======
ID#AAABjx7qSEg
    (2025-05-21 11:33:26)
alice:9/6玉山水單通知usd4763.4沖pi-20190904a usd4763.4</t>
      </text>
    </comment>
    <comment authorId="0" ref="H285">
      <text>
        <t xml:space="preserve">======
ID#AAABjx7qSEY
    (2025-05-21 11:33:26)
190303 客人應付貨款要扣掉NT$33313元 
3/22 chloe: 應付貨款145224- 33313
=111911(0322 已付)</t>
      </text>
    </comment>
    <comment authorId="0" ref="D208">
      <text>
        <t xml:space="preserve">======
ID#AAABjx7qSDQ
    (2025-05-21 11:33:25)
0127 San: 銷退貨用, 故單價先計算為0, 但給廠商的PO 仍然為US255 / 1 pcs</t>
      </text>
    </comment>
    <comment authorId="0" ref="K846">
      <text>
        <t xml:space="preserve">======
ID#AAABjx7qSDE
    (2025-05-21 11:33:25)
10/28 cathy: 通知客人交期pending 
10/15 cathy: 10/22 需update 交期給客人</t>
      </text>
    </comment>
    <comment authorId="0" ref="K673">
      <text>
        <t xml:space="preserve">======
ID#AAABjx7qSC0
    (2025-05-21 11:33:25)
0826YVONNE:寄出，g504樣品出口，簡易報關。</t>
      </text>
    </comment>
    <comment authorId="0" ref="E914">
      <text>
        <t xml:space="preserve">======
ID#AAABjx7qSCc
    (2025-05-21 11:33:25)
搭配歐規電源</t>
      </text>
    </comment>
    <comment authorId="0" ref="H812">
      <text>
        <t xml:space="preserve">======
ID#AAABjx7qSBs
    (2025-05-21 11:33:25)
ALICE:10/14匯入USD557-手續費USD17.53=USD539.47沖PI-20191008002 USD557元整</t>
      </text>
    </comment>
    <comment authorId="0" ref="H923">
      <text>
        <t xml:space="preserve">======
ID#AAABjx7qSBg
    (2025-05-21 11:33:25)
ALICE:1/20-第一USD收款USD1308(手續費0)沖PI-20191203001 USD77+PI-20191126001 USD1231 總計USD1308元整</t>
      </text>
    </comment>
    <comment authorId="0" ref="D328">
      <text>
        <t xml:space="preserve">======
ID#AAABjx7qSBE
    (2025-05-21 11:33:25)
3026 葛:客供剩料75
0425Amy, this is DHL Freight, no. should be PI-20190304A-F ( PI NO. has been changed by someone....Delete F by mistake)</t>
      </text>
    </comment>
    <comment authorId="0" ref="K148">
      <text>
        <t xml:space="preserve">======
ID#AAABjx7qSA4
    (2025-05-21 11:33:25)
0212 Cathy: 原出貨日為2/14，已mail告知san變更出貨日</t>
      </text>
    </comment>
    <comment authorId="0" ref="V136">
      <text>
        <t xml:space="preserve">======
ID#AAABjx7qSAs
    (2025-05-21 11:33:25)
ALICE:2019/05/02-水單匯入USD21462.5-(匯出手續費USD10+匯入手續費USD10.73)=USD21441.77*30.84=NT661264</t>
      </text>
    </comment>
    <comment authorId="0" ref="H467">
      <text>
        <t xml:space="preserve">======
ID#AAABjx7qSAo
    (2025-05-21 11:33:25)
ALICE:8/30-玉山銀行水單通知USD3464沖PI20190524B-2 USD3010.沖PI-20190524B-F USD454合計共USD3464元整</t>
      </text>
    </comment>
    <comment authorId="0" ref="D590">
      <text>
        <t xml:space="preserve">======
ID#AAABjx7qR_o
    (2025-05-21 11:33:25)
20190604 Robin accept W/O AG、AR treatment this time</t>
      </text>
    </comment>
    <comment authorId="0" ref="H79">
      <text>
        <t xml:space="preserve">======
ID#AAABjx7qR_k
    (2025-05-21 11:33:25)
alice:6/20銀行水單匯入USD4462 沖PI20190107A.PI-20190318B.PI-20190508B.PI-20181022C-2-F</t>
      </text>
    </comment>
    <comment authorId="0" ref="D48">
      <text>
        <t xml:space="preserve">======
ID#AAABjx7qR-4
    (2025-05-21 11:33:25)
0115 到貨，已mail通知小葛
0115 Keiju: 已QC OK</t>
      </text>
    </comment>
    <comment authorId="0" ref="K662">
      <text>
        <t xml:space="preserve">======
ID#AAABjx7qR-8
    (2025-05-21 11:33:25)
1028 cathy 告知客人交期要延到12月底 
0920 請客人確認moxa交期可否接受</t>
      </text>
    </comment>
    <comment authorId="0" ref="H39">
      <text>
        <t xml:space="preserve">======
ID#AAABjx7qR-Q
    (2025-05-21 11:33:25)
0225 chloe:匯款匯入5948-10(手續費)</t>
      </text>
    </comment>
    <comment authorId="0" ref="H262">
      <text>
        <t xml:space="preserve">======
ID#AAABjx7qR98
    (2025-05-21 11:33:25)
9/16-玉水水單USD4250沖PI-20190227E USD4250</t>
      </text>
    </comment>
    <comment authorId="0" ref="J906">
      <text>
        <t xml:space="preserve">======
ID#AAABjx7qR90
    (2025-05-21 11:33:25)
客人自取</t>
      </text>
    </comment>
    <comment authorId="0" ref="D676">
      <text>
        <t xml:space="preserve">======
ID#AAABjx7qR9g
    (2025-05-21 11:33:25)
0828 請chloe 協助下單</t>
      </text>
    </comment>
    <comment authorId="0" ref="D150">
      <text>
        <t xml:space="preserve">======
ID#AAABjx7qR8c
    (2025-05-21 11:33:25)
0127 San: 銷退貨用, 故單價先計算為0, 但給廠商的PO 仍然為US255 / 1 pcs</t>
      </text>
    </comment>
    <comment authorId="0" ref="J662">
      <text>
        <t xml:space="preserve">======
ID#AAABjx7qR8U
    (2025-05-21 11:33:25)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</text>
    </comment>
    <comment authorId="0" ref="H957">
      <text>
        <t xml:space="preserve">======
ID#AAABjx7qR8I
    (2025-05-21 11:33:25)
ALICE:12/24電文通知匯入款USD909(已內含手續費)沖PI20191218001 USD924故尚餘USD15元未收</t>
      </text>
    </comment>
    <comment authorId="0" ref="K240">
      <text>
        <t xml:space="preserve">======
ID#AAABjx7qR7s
    (2025-05-21 11:33:25)
0226 Cathy: 詢問alan 出雪梨
0121 Sant: 出貨前拍照</t>
      </text>
    </comment>
    <comment authorId="0" ref="H860">
      <text>
        <t xml:space="preserve">======
ID#AAABjx7qR7c
    (2025-05-21 11:33:25)
ALICE:1/15一銀收到USD8853(內含手續費USD53.7)沖PI-20191029002 USD4275+PI-20191029003 USD2235+PI-20191029004 USD1988+PI-20191105002 USD355</t>
      </text>
    </comment>
    <comment authorId="0" ref="G601">
      <text>
        <t xml:space="preserve">======
ID#AAABjx7qR6k
    (2025-05-21 11:33:25)
10/18 san告知本次不會收molding fee,但會加收labor fee(usd 20)+AG film (usd 26)</t>
      </text>
    </comment>
    <comment authorId="0" ref="D93">
      <text>
        <t xml:space="preserve">======
ID#AAABjx7qR6g
    (2025-05-21 11:33:25)
1/21 Keiju: 已納入生產排程</t>
      </text>
    </comment>
    <comment authorId="0" ref="K718">
      <text>
        <t xml:space="preserve">======
ID#AAABjx7qR6c
    (2025-05-21 11:33:25)
ACCUVIEW  SEND TO CAPTEC</t>
      </text>
    </comment>
    <comment authorId="0" ref="E517">
      <text>
        <t xml:space="preserve">======
ID#AAABjx7qR6M
    (2025-05-21 11:33:25)
190620 Karen: EU ADAPTER</t>
      </text>
    </comment>
    <comment authorId="0" ref="D293">
      <text>
        <t xml:space="preserve">======
ID#AAABjx7qR6Q
    (2025-05-21 11:33:25)
0306 請Tammy 下單  
0305 客人有revise order</t>
      </text>
    </comment>
    <comment authorId="0" ref="H515">
      <text>
        <t xml:space="preserve">======
ID#AAABjx7qR6I
    (2025-05-21 11:33:25)
ALICE:8/5收到應收票據:到期日108/07/31票號CP0073500 金額26066元整+ 7/3預收11978元整=38044
沖PI-20190531B 25268+沖PI-20190613A 12804=38072 差額28元為寄支票郵資</t>
      </text>
    </comment>
    <comment authorId="0" ref="H314">
      <text>
        <t xml:space="preserve">======
ID#AAABjx7qR5s
    (2025-05-21 11:33:25)
3/22 chloe:匯入US394-15(手續費)</t>
      </text>
    </comment>
    <comment authorId="0" ref="H253">
      <text>
        <t xml:space="preserve">======
ID#AAABjx7qR5Y
    (2025-05-21 11:33:25)
alice:7/22水單匯入USD8500沖PI-20190227C</t>
      </text>
    </comment>
    <comment authorId="0" ref="K102">
      <text>
        <t xml:space="preserve">======
ID#AAABjx7qR5M
    (2025-05-21 11:33:25)
Vecow 年底前交貨, 收到超恩貨+2-3 days出貨Ti2</t>
      </text>
    </comment>
    <comment authorId="0" ref="H702">
      <text>
        <t xml:space="preserve">======
ID#AAABjx7qR4M
    (2025-05-21 11:33:25)
alice:9/6玉山水單通知usd4763.4沖pi-20190904a usd4763.4</t>
      </text>
    </comment>
    <comment authorId="0" ref="H10">
      <text>
        <t xml:space="preserve">======
ID#AAABjx7qR3s
    (2025-05-21 11:33:25)
ALICE:2019/05/02-水單匯入USD21462.5</t>
      </text>
    </comment>
    <comment authorId="0" ref="H182">
      <text>
        <t xml:space="preserve">======
ID#AAABjx7qR3Q
    (2025-05-21 11:33:25)
alice:2019/04/25水單通知匯入USD1931*30.86=NT59591元整  無手續費 沖(125+1400+14+42+350)</t>
      </text>
    </comment>
    <comment authorId="0" ref="V131">
      <text>
        <t xml:space="preserve">======
ID#AAABjx7qR3I
    (2025-05-21 11:33:25)
ALICE:2019/05/02-水單匯入USD21462.5-(匯出手續費USD10+匯入手續費USD10.73)=USD21441.77*30.84=NT661264</t>
      </text>
    </comment>
    <comment authorId="0" ref="I872">
      <text>
        <t xml:space="preserve">======
ID#AAABjx7qR3A
    (2025-05-21 11:33:25)
原cathy</t>
      </text>
    </comment>
    <comment authorId="0" ref="D96">
      <text>
        <t xml:space="preserve">======
ID#AAABjx7qR2s
    (2025-05-21 11:33:25)
1/21 Keiju: 出貨前拍照</t>
      </text>
    </comment>
    <comment authorId="0" ref="V103">
      <text>
        <t xml:space="preserve">======
ID#AAABjx7qR2M
    (2025-05-21 11:33:25)
ALICE:2019/05/02-水單匯入USD21462.5-(匯出手續費USD10+匯入手續費USD10.73)=USD21441.77*30.84=NT661264</t>
      </text>
    </comment>
    <comment authorId="0" ref="H452">
      <text>
        <t xml:space="preserve">======
ID#AAABjx7qR1U
    (2025-05-21 11:33:25)
alice:6/14-玉山匯入USD1346-手續費31.36=USD1314.64*31.47</t>
      </text>
    </comment>
    <comment authorId="0" ref="U357">
      <text>
        <t xml:space="preserve">======
ID#AAABjx7qR1E
    (2025-05-21 11:33:25)
ALICE:20190425收到銀行水單匯入通知USD1556*30.81=NT47940(無手續費)</t>
      </text>
    </comment>
    <comment authorId="0" ref="K60">
      <text>
        <t xml:space="preserve">======
ID#AAABjx7qR0w
    (2025-05-21 11:33:25)
0115 Cathy: Chloe 告知已收到款項，可出貨  
12/24 AMY: Waiting customer T/T</t>
      </text>
    </comment>
    <comment authorId="0" ref="H148">
      <text>
        <t xml:space="preserve">======
ID#AAABjx7qR0c
    (2025-05-21 11:33:25)
0307 chloe:匯款匯入US39896-37(手續費)</t>
      </text>
    </comment>
    <comment authorId="0" ref="H612">
      <text>
        <t xml:space="preserve">======
ID#AAABjx7qR0U
    (2025-05-21 11:33:25)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862">
      <text>
        <t xml:space="preserve">======
ID#AAABjx7qRzI
    (2025-05-21 11:33:25)
ALICE:1/15一銀收到USD8853(內含手續費USD53.7)沖PI-20191029002 USD4275+PI-20191029003 USD2235+PI-20191029004 USD1988+PI-20191105002 USD355</t>
      </text>
    </comment>
    <comment authorId="0" ref="K548">
      <text>
        <t xml:space="preserve">======
ID#AAABjx7qRy4
    (2025-05-21 11:33:25)
0722 Santiago同意先出貨。</t>
      </text>
    </comment>
    <comment authorId="0" ref="U133">
      <text>
        <t xml:space="preserve">======
ID#AAABjx7qRys
    (2025-05-21 11:33:25)
ALICE:2019/05/02-水單匯入USD21462.5-(匯出手續費USD10+匯入手續費USD10.73)=USD21441.77*30.84=NT661264</t>
      </text>
    </comment>
    <comment authorId="0" ref="H156">
      <text>
        <t xml:space="preserve">======
ID#AAABjx7qRyY
    (2025-05-21 11:33:25)
0327 chloe:匯款匯入42,592-10(手續費)
0408 Alice:匯款匯入USD3,950(手續費USD12)</t>
      </text>
    </comment>
    <comment authorId="0" ref="D418">
      <text>
        <t xml:space="preserve">======
ID#AAABjx7qRyE
    (2025-05-21 11:33:25)
0508請TAMMY 下單</t>
      </text>
    </comment>
    <comment authorId="0" ref="K798">
      <text>
        <t xml:space="preserve">======
ID#AAABjx7qRxk
    (2025-05-21 11:33:25)
10/30 cathy:通知客人交期</t>
      </text>
    </comment>
    <comment authorId="0" ref="H816">
      <text>
        <t xml:space="preserve">======
ID#AAABjx7qRxI
    (2025-05-21 11:33:25)
ALICE:10/15玉山銀行收到匯入款USD2440(手續費USD)26.53沖PI-20191007012總計USD2440元整</t>
      </text>
    </comment>
    <comment authorId="0" ref="H58">
      <text>
        <t xml:space="preserve">======
ID#AAABjx7qRxM
    (2025-05-21 11:33:25)
ALICE:201904/10水單匯入USD11416*30.78
沖(229+2394+326+34+5274+3066+103)=11426</t>
      </text>
    </comment>
    <comment authorId="0" ref="H642">
      <text>
        <t xml:space="preserve">======
ID#AAABjx7qRxA
    (2025-05-21 11:33:25)
ALICE:9/10玉山水單匯入USD5607元，沖PI-20190813A USD5147.沖PI-20190813A-1 460，合計總沖USD5607元整</t>
      </text>
    </comment>
    <comment authorId="0" ref="K19">
      <text>
        <t xml:space="preserve">======
ID#AAABjx7qRw8
    (2025-05-21 11:33:25)
0117 改走TNT, 請沛勁由機場取回戎克
0111Cathy: 因電池需申報，目前拉下放於Forwarder，帶IBASE 提供電池相關文件</t>
      </text>
    </comment>
    <comment authorId="0" ref="H453">
      <text>
        <t xml:space="preserve">======
ID#AAABjx7qRvw
    (2025-05-21 11:33:25)
alice:6/14-玉山匯入USD1346-手續費31.36=USD1314.64*31.47</t>
      </text>
    </comment>
    <comment authorId="0" ref="H329">
      <text>
        <t xml:space="preserve">======
ID#AAABjx7qRuk
    (2025-05-21 11:33:25)
Chloe:2019/4/19 水單匯入USB702.10-手續費USD 0=USD702.10</t>
      </text>
    </comment>
    <comment authorId="0" ref="H543">
      <text>
        <t xml:space="preserve">======
ID#AAABjx7qRuc
    (2025-05-21 11:33:25)
ALICE:9/23玉山銀行水單通知匯入USD14587沖PI-20190626A 334.5 沖PI-20190703B 8550.沖PI20190719C 5212.5.沖PI-20190722A 210.沖PI-20190801C 280 合計總沖USD14587元整</t>
      </text>
    </comment>
    <comment authorId="0" ref="D614">
      <text>
        <t xml:space="preserve">======
ID#AAABjx7qRuY
    (2025-05-21 11:33:25)
7/23 Amy: COC requested together with shipment/ PO Number indicated on each shipping documents / Invoice &amp; Packing list together with shipment</t>
      </text>
    </comment>
    <comment authorId="0" ref="H492">
      <text>
        <t xml:space="preserve">======
ID#AAABjx7qRuQ
    (2025-05-21 11:33:25)
alice:6/10-銀行匯入USD754-手續費USD17.37=USD736.63*31.373</t>
      </text>
    </comment>
    <comment authorId="0" ref="E46">
      <text>
        <t xml:space="preserve">======
ID#AAABjx7qRt4
    (2025-05-21 11:33:25)
1213 AMY: 專案價110
190115 Karen: 序號TAHIB1115411
TAHIB1115476
TAHKB1054532
TAHKB1054552
TAHKB1054567
TAHKB1054570
TAHKB1054573
TAHKB1054589
TAHKB1054590
TAHKB1054627
TAHKB1054645
TAHKB1054661
TAHKB1054692
TAHKB1054709
TAHKB1054716
TAHKB1054724
TAHKB1054726
TAHKB1054778
TAHKB1054814
TAHKB1054845
TAHKB1054859
TAHKB1055105</t>
      </text>
    </comment>
    <comment authorId="0" ref="H319">
      <text>
        <t xml:space="preserve">======
ID#AAABjx7qRtQ
    (2025-05-21 11:33:25)
alice:5/10-水單通知usd3751-匯出手續費20-匯入手續費6.46=USD3724.54*30.94=NT115,237元整
沖20190320B USD1270
沖20190322A USD2481
合計總沖USD3751元整</t>
      </text>
    </comment>
    <comment authorId="0" ref="E56">
      <text>
        <t xml:space="preserve">======
ID#AAABjx7qRtE
    (2025-05-21 11:33:25)
1224 chloe:樣品庫存</t>
      </text>
    </comment>
    <comment authorId="0" ref="H201">
      <text>
        <t xml:space="preserve">======
ID#AAABjx7qRs4
    (2025-05-21 11:33:25)
alice:7/31-水單匯入USD2124沖PI-20190131D-2 857.沖PI-20190610A 565.沖PI-20190607A 444.沖PI-20190612A 258</t>
      </text>
    </comment>
    <comment authorId="0" ref="H950">
      <text>
        <t xml:space="preserve">======
ID#AAABjx7qRr0
    (2025-05-21 11:33:25)
ALICE:2/24一銀收到USD12104沖PI-20191127001 USD6784+PI-20191104001 USD2014+PI-20191213001 USD3306</t>
      </text>
    </comment>
    <comment authorId="0" ref="H242">
      <text>
        <t xml:space="preserve">======
ID#AAABjx7qRrQ
    (2025-05-21 11:33:25)
0403 chloe:匯款匯入247,928</t>
      </text>
    </comment>
    <comment authorId="0" ref="K291">
      <text>
        <t xml:space="preserve">======
ID#AAABjx7qRrE
    (2025-05-21 11:33:25)
0401 Bruce告知一組LED閃爍，後無反應，請廠商來看。</t>
      </text>
    </comment>
    <comment authorId="0" ref="H198">
      <text>
        <t xml:space="preserve">======
ID#AAABjx7qRq8
    (2025-05-21 11:33:25)
alice:7/31-水單匯入USD2124沖PI-20190131D-2 857.沖PI-20190610A 565.沖PI-20190607A 444.沖PI-20190612A 258</t>
      </text>
    </comment>
    <comment authorId="0" ref="H92">
      <text>
        <t xml:space="preserve">======
ID#AAABjx7qRq0
    (2025-05-21 11:33:25)
0227 chloe:匯款匯入US4578</t>
      </text>
    </comment>
    <comment authorId="0" ref="H602">
      <text>
        <t xml:space="preserve">======
ID#AAABjx7qRqQ
    (2025-05-21 11:33:25)
ALICE:1/7第一銀行USD3228 沖PI-20191007006 1501+PI-20191007007 USD1727+PI-20191128002 USD20總沖USD3248</t>
      </text>
    </comment>
    <comment authorId="0" ref="H374">
      <text>
        <t xml:space="preserve">======
ID#AAABjx7qRps
    (2025-05-21 11:33:25)
ALICE:5/17收到銀行電文通知USD1668-11匯款手續費=USD1657</t>
      </text>
    </comment>
    <comment authorId="0" ref="U225">
      <text>
        <t xml:space="preserve">======
ID#AAABjx7qRo0
    (2025-05-21 11:33:25)
ALICE:2019/02/25-水單USD2590-匯入手續費USD6.5=USD2583.5*30.76=NT79468元整</t>
      </text>
    </comment>
    <comment authorId="0" ref="J237">
      <text>
        <t xml:space="preserve">======
ID#AAABjx7qRok
    (2025-05-21 11:33:25)
Forwarder Details: -
FETA FREIGHT SYSTEMS (TAIWAN ) LTD. 
JUDY KAO 
 Tel: +886-3-399-2033 EXT: 135
Direct: +886-3-3992106
Fax: +886-3-3992036/2055
E-mail: judykao@ffsi.com.tw
Skype:judykao-mlattao</t>
      </text>
    </comment>
    <comment authorId="0" ref="H514">
      <text>
        <t xml:space="preserve">======
ID#AAABjx7qRoc
    (2025-05-21 11:33:25)
ALICE:6/20銀行匯入USD328</t>
      </text>
    </comment>
    <comment authorId="0" ref="D582">
      <text>
        <t xml:space="preserve">======
ID#AAABjx7qRoE
    (2025-05-21 11:33:25)
0719 請chloe 協助下單</t>
      </text>
    </comment>
    <comment authorId="0" ref="H745">
      <text>
        <t xml:space="preserve">======
ID#AAABjx7qRnc
    (2025-05-21 11:33:25)
ALICE:10/5玉山NT 思碩匯入NT66001元整，沖PI-20190917C 共NT66001元整</t>
      </text>
    </comment>
    <comment authorId="0" ref="H303">
      <text>
        <t xml:space="preserve">======
ID#AAABjx7qRm4
    (2025-05-21 11:33:25)
0312 chloe:匯款匯入 US172-32(手續費)</t>
      </text>
    </comment>
    <comment authorId="0" ref="H403">
      <text>
        <t xml:space="preserve">======
ID#AAABjx7qRm8
    (2025-05-21 11:33:25)
alice:7/4-水單匯入USD4316.9沖PI-20190422B.沖PI-20190507B.沖PI-20190513A</t>
      </text>
    </comment>
    <comment authorId="0" ref="H628">
      <text>
        <t xml:space="preserve">======
ID#AAABjx7qRmw
    (2025-05-21 11:33:25)
ALICE:8/21-銀行匯入USD374沖PI-20190801A USD334.沖PI-20190801A-1 USD40</t>
      </text>
    </comment>
    <comment authorId="0" ref="I588">
      <text>
        <t xml:space="preserve">======
ID#AAABjx7qRlw
    (2025-05-21 11:33:25)
Cathy/Santiago</t>
      </text>
    </comment>
    <comment authorId="0" ref="J480">
      <text>
        <t xml:space="preserve">======
ID#AAABjx7qRlc
SHIPPING  AS BELOW    (2025-05-21 11:33:25)
103A Mary Street, Richmond, VIC, 3121, Australia
Contact: Jim MacDouall
Phone: +61 417 714 528</t>
      </text>
    </comment>
    <comment authorId="0" ref="E202">
      <text>
        <t xml:space="preserve">======
ID#AAABjx7qRlU
    (2025-05-21 11:33:25)
自製品TS32GSSD420K ，戎克料號:14-TS0-SDMN032-001A</t>
      </text>
    </comment>
    <comment authorId="0" ref="H256">
      <text>
        <t xml:space="preserve">======
ID#AAABjx7qRk4
    (2025-05-21 11:33:25)
alice:7/22水單匯入USD8500沖PI-20190227C</t>
      </text>
    </comment>
    <comment authorId="0" ref="K518">
      <text>
        <t xml:space="preserve">======
ID#AAABjx7qRk8
    (2025-05-21 11:33:25)
O/A超支，已通知業務。</t>
      </text>
    </comment>
    <comment authorId="0" ref="H145">
      <text>
        <t xml:space="preserve">======
ID#AAABjx7qRkw
    (2025-05-21 11:33:25)
0307 chloe:匯款匯入US39896-37(手續費)</t>
      </text>
    </comment>
    <comment authorId="0" ref="H882">
      <text>
        <t xml:space="preserve">======
ID#AAABjx7qRk0
    (2025-05-21 11:33:25)
ALICE:2020/01/10-SA匯入USD37024-沖PI-20191108001 (5904+2010+440+20104+950+6270)+1346(12600中的1346)=USD37024</t>
      </text>
    </comment>
    <comment authorId="0" ref="I584">
      <text>
        <t xml:space="preserve">======
ID#AAABjx7qRko
    (2025-05-21 11:33:25)
Cathy/Santiago</t>
      </text>
    </comment>
    <comment authorId="0" ref="H831">
      <text>
        <t xml:space="preserve">======
ID#AAABjx7qRkQ
    (2025-05-21 11:33:25)
ALICE:12/13一銀USD收到KH匯入USD1562.8(內含手續費USD28.61)沖PI-20191017004 USD1347+PI-20191030001 USD215.8合計總沖USD1562.8</t>
      </text>
    </comment>
    <comment authorId="0" ref="V241">
      <text>
        <t xml:space="preserve">======
ID#AAABjx7qRkA
    (2025-05-21 11:33:25)
ALICE:2019/04/30-銀行通知電文USD3780元整</t>
      </text>
    </comment>
    <comment authorId="0" ref="H270">
      <text>
        <t xml:space="preserve">======
ID#AAABjx7qRjc
    (2025-05-21 11:33:25)
ALICE:11/22第一銀行收到匯入USD8500(內含銀行手續費USD6.57) PI-20190227G USD4250+PI-20190227H USD4250 總計USD8500</t>
      </text>
    </comment>
    <comment authorId="0" ref="E935">
      <text>
        <t xml:space="preserve">======
ID#AAABjx7qRjI
    (2025-05-21 11:33:25)
11/27 通知客人RMA品送貨地址不完整，酌收費NTD 389</t>
      </text>
    </comment>
    <comment authorId="0" ref="O188">
      <text>
        <t xml:space="preserve">======
ID#AAABjx7qRiE
    (2025-05-21 11:33:25)
0311 chloe:含PO20190124B</t>
      </text>
    </comment>
    <comment authorId="0" ref="H210">
      <text>
        <t xml:space="preserve">======
ID#AAABjx7qRho
    (2025-05-21 11:33:25)
ALICE:5/3收到USD12965.5(沖PI-20190121B.PI20190217A.PI-20190131C.PI-20190313A.PI-20190306A)</t>
      </text>
    </comment>
    <comment authorId="0" ref="H200">
      <text>
        <t xml:space="preserve">======
ID#AAABjx7qRhg
    (2025-05-21 11:33:25)
ALICE:6/5水單通知USD11998沖PI-20190131D-2</t>
      </text>
    </comment>
    <comment authorId="0" ref="E669">
      <text>
        <t xml:space="preserve">======
ID#AAABjx7qRhE
    (2025-05-21 11:33:25)
Chole 告知上次下單為US Adaptor</t>
      </text>
    </comment>
    <comment authorId="0" ref="O432">
      <text>
        <t xml:space="preserve">======
ID#AAABjx7qRgQ
    (2025-05-21 11:33:25)
0514 Cathy 下單</t>
      </text>
    </comment>
    <comment authorId="0" ref="D629">
      <text>
        <t xml:space="preserve">======
ID#AAABjx7qRgM
    (2025-05-21 11:33:25)
0806 詢問客人
0820 請Chole 協助下單</t>
      </text>
    </comment>
    <comment authorId="0" ref="H71">
      <text>
        <t xml:space="preserve">======
ID#AAABjx7qRf4
    (2025-05-21 11:33:25)
0305 chloe:匯款匯入US8750</t>
      </text>
    </comment>
    <comment authorId="0" ref="U207">
      <text>
        <t xml:space="preserve">======
ID#AAABjx7qRfw
    (2025-05-21 11:33:25)
Alice:2019/05/08水單匯入USD12400-匯款手續費(10+6.47)*30.9=NT382,651</t>
      </text>
    </comment>
    <comment authorId="0" ref="H192">
      <text>
        <t xml:space="preserve">======
ID#AAABjx7qRfE
    (2025-05-21 11:33:25)
ALICE:5/3收到USD12965.5(沖PI-20190121B.PI20190217A.PI-20190131C.PI-20190313A.PI-20190306A)</t>
      </text>
    </comment>
    <comment authorId="0" ref="H379">
      <text>
        <t xml:space="preserve">======
ID#AAABjx7qRe0
    (2025-05-21 11:33:25)
alice:7/4-水單匯入USD4316.9沖PI-20190422B.沖PI-20190507B.沖PI-20190513A</t>
      </text>
    </comment>
    <comment authorId="0" ref="H102">
      <text>
        <t xml:space="preserve">======
ID#AAABjx7qReI
    (2025-05-21 11:33:25)
0306 chloe:匯款匯入US$14480.6(含20190119A RG58 cable Sample)</t>
      </text>
    </comment>
    <comment authorId="0" ref="H833">
      <text>
        <t xml:space="preserve">======
ID#AAABjx7qRd8
    (2025-05-21 11:33:25)
ALICE:12/13一銀USD收到KH匯入USD1562.8(內含手續費USD28.61)沖PI-20191017004 USD1347+PI-20191030001 USD215.8合計總沖USD1562.8</t>
      </text>
    </comment>
    <comment authorId="0" ref="H843">
      <text>
        <t xml:space="preserve">======
ID#AAABjx7qRd0
    (2025-05-21 11:33:25)
ALICE:1/7第一銀行USD3228 沖PI-20191007006 1501+PI-20191007007 USD1727+PI-20191128002 USD20總沖USD3248</t>
      </text>
    </comment>
    <comment authorId="0" ref="I836">
      <text>
        <t xml:space="preserve">======
ID#AAABjx7qRdw
    (2025-05-21 11:33:25)
Cathy/Santiago</t>
      </text>
    </comment>
    <comment authorId="0" ref="F521">
      <text>
        <t xml:space="preserve">======
ID#AAABjx7qRdU
    (2025-05-21 11:33:25)
0820 cathy: 客人revise 提供數量</t>
      </text>
    </comment>
    <comment authorId="0" ref="H611">
      <text>
        <t xml:space="preserve">======
ID#AAABjx7qRdE
    (2025-05-21 11:33:25)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67">
      <text>
        <t xml:space="preserve">======
ID#AAABjx7qRYg
    (2025-05-21 11:33:25)
0117 chloe:匯款匯入US$1,866.00</t>
      </text>
    </comment>
    <comment authorId="0" ref="M19">
      <text>
        <t xml:space="preserve">======
ID#AAABjx7qRYE
    (2025-05-21 11:33:25)
廣積3月開立折讓單</t>
      </text>
    </comment>
    <comment authorId="0" ref="H206">
      <text>
        <t xml:space="preserve">======
ID#AAABjx7qRXs
    (2025-05-21 11:33:25)
Alice:2019/05/08水單匯入USD12400-匯款手續費(10+6.47)*30.9=NT382,651</t>
      </text>
    </comment>
    <comment authorId="0" ref="H93">
      <text>
        <t xml:space="preserve">======
ID#AAABjx7qRXg
    (2025-05-21 11:33:25)
0227 chloe:匯款匯入US4578</t>
      </text>
    </comment>
    <comment authorId="0" ref="D796">
      <text>
        <t xml:space="preserve">======
ID#AAABjx7qRXk
    (2025-05-21 11:33:25)
10/3 請Chloe下單</t>
      </text>
    </comment>
    <comment authorId="0" ref="H292">
      <text>
        <t xml:space="preserve">======
ID#AAABjx7qRXU
    (2025-05-21 11:33:25)
0312 chloe:匯款匯入US2055-11(手續費)</t>
      </text>
    </comment>
    <comment authorId="0" ref="K222">
      <text>
        <t xml:space="preserve">======
ID#AAABjx7qRXI
    (2025-05-21 11:33:25)
0318 san: 出貨前檢查 (bank/eric/san）</t>
      </text>
    </comment>
    <comment authorId="0" ref="H498">
      <text>
        <t xml:space="preserve">======
ID#AAABjx7qRWE
    (2025-05-21 11:33:25)
ALICE:8/2-水單匯入USD541元整，沖PI-20190606D USD416+沖PI-20190617A USD125</t>
      </text>
    </comment>
    <comment authorId="0" ref="V51">
      <text>
        <t xml:space="preserve">======
ID#AAABjx7qRWA
    (2025-05-21 11:33:25)
ALICE:訂單PI-20181218成交總額USD11594，2016/02/21水(單USD11577.5*30.79=NT356,471元整，匯出手續費10+匯入手續費6.5*30.79=手續費額NT508元整</t>
      </text>
    </comment>
    <comment authorId="0" ref="H750">
      <text>
        <t xml:space="preserve">======
ID#AAABjx7qRV4
    (2025-05-21 11:33:25)
ALICE:11/4玉山銀行收到匯入款USD407沖PI-20190919A USD407元整</t>
      </text>
    </comment>
    <comment authorId="0" ref="H910">
      <text>
        <t xml:space="preserve">======
ID#AAABjx7qRVk
    (2025-05-21 11:33:25)
Alice:11/14電文通知匯入USD1676 沖PI-20191114002 USD1676 待銀行水單沖帳</t>
      </text>
    </comment>
    <comment authorId="0" ref="H436">
      <text>
        <t xml:space="preserve">======
ID#AAABjx7qRVg
    (2025-05-21 11:33:25)
ALICE:8/23-水單匯入USD3717沖PI-20190513C USD3717</t>
      </text>
    </comment>
    <comment authorId="0" ref="H366">
      <text>
        <t xml:space="preserve">======
ID#AAABjx7qRVY
    (2025-05-21 11:33:25)
Alice:6/17-水單匯入USD10046沖PI-201904096B.PI-20190418A.PI-20190422A.PI-20190307A</t>
      </text>
    </comment>
    <comment authorId="0" ref="H488">
      <text>
        <t xml:space="preserve">======
ID#AAABjx7qRUU
    (2025-05-21 11:33:25)
ALICE:7/8-電文通知USD2300沖PI-20190604D.PI-20190611A</t>
      </text>
    </comment>
    <comment authorId="0" ref="E465">
      <text>
        <t xml:space="preserve">======
ID#AAABjx7qRUQ
    (2025-05-21 11:33:25)
在此輸入
20190603 San: RTPC150-H0006U (標準品)+AR coating,→供應商料號:
RTPC150-H0006U
20190828 Cathy: notice client LCD*2PCS defect -&gt; accept</t>
      </text>
    </comment>
    <comment authorId="0" ref="E105">
      <text>
        <t xml:space="preserve">======
ID#AAABjx7qRUM
0213 Cathy    (2025-05-21 11:33:25)
1. 發現下單錯誤(下成8101，已與廠商詢問有否750-375物料
2. 請廠商協助詢問有否客戶需求
0215 cathy:廠商告知申請到不出貨(可cancel)</t>
      </text>
    </comment>
    <comment authorId="0" ref="H306">
      <text>
        <t xml:space="preserve">======
ID#AAABjx7qRTs
    (2025-05-21 11:33:25)
ALICE:5/3收到USD12965.5(沖PI-20190121B.PI20190217A.PI-20190131C.PI-20190313A.PI-20190306A)</t>
      </text>
    </comment>
    <comment authorId="0" ref="J564">
      <text>
        <t xml:space="preserve">======
ID#AAABjx7qRTU
    (2025-05-21 11:33:25)
190717 Tammy: 收到貨款後, 才出貨</t>
      </text>
    </comment>
    <comment authorId="0" ref="H837">
      <text>
        <t xml:space="preserve">======
ID#AAABjx7qRSw
    (2025-05-21 11:33:25)
ALICE:7/26玉山銀行水單通知匯入USD9754沖PI-20190524B(2000+350).沖PI20190524B-1(3010).沖PI-20190703A(60+70).沖PI20190719B-1 228+1600 PI-20190719B-2 304  PI-20190719B-5 532. PI-20190719B-3 1600</t>
      </text>
    </comment>
    <comment authorId="0" ref="H441">
      <text>
        <t xml:space="preserve">======
ID#AAABjx7qRSc
    (2025-05-21 11:33:25)
ALICE:6/27水單匯入USD8652.87沖PI20190515C 1394.5.PI-20190625C 46.37.PI-20190508C 6408.PI-20190619B 804共四張PI合計8652.87</t>
      </text>
    </comment>
    <comment authorId="0" ref="K17">
      <text>
        <t xml:space="preserve">======
ID#AAABjx7qRSY
    (2025-05-21 11:33:25)
1120Amy: Vecow 年底前交貨, 收到超恩貨+2-3 days出貨Ti2</t>
      </text>
    </comment>
    <comment authorId="0" ref="H190">
      <text>
        <t xml:space="preserve">======
ID#AAABjx7qRR4
    (2025-05-21 11:33:25)
ALICE:5/3收到USD12965.5(沖PI-20190121B.PI20190217A.PI-20190131C.PI-20190313A.PI-20190306A)</t>
      </text>
    </comment>
    <comment authorId="0" ref="H666">
      <text>
        <t xml:space="preserve">======
ID#AAABjx7qRRw
    (2025-05-21 11:33:25)
ALICE:10/9-玉山匯入USD700-手續費USD24.49=USD673.51沖PI-20190821A USD700元整</t>
      </text>
    </comment>
    <comment authorId="0" ref="K802">
      <text>
        <t xml:space="preserve">======
ID#AAABjx7qRRU
    (2025-05-21 11:33:25)
1015YVONNE:隨貨寄目錄,並通知san</t>
      </text>
    </comment>
    <comment authorId="0" ref="J712">
      <text>
        <t xml:space="preserve">======
ID#AAABjx7qRRI
    (2025-05-21 11:33:25)
Forwarder Details: -
FETA FREIGHT SYSTEMS (TAIWAN ) LTD. 
JUDY KAO 
 Tel: +886-3-399-2033 EXT: 135
Direct: +886-3-3992106
Fax: +886-3-3992036/2055
E-mail: judykao@ffsi.com.tw
Skype:judykao-mlattao</t>
      </text>
    </comment>
    <comment authorId="0" ref="I590">
      <text>
        <t xml:space="preserve">======
ID#AAABjx7qRQ8
    (2025-05-21 11:33:25)
Cathy/Santiago</t>
      </text>
    </comment>
    <comment authorId="0" ref="K574">
      <text>
        <t xml:space="preserve">======
ID#AAABjx7qRQ4
    (2025-05-21 11:33:25)
190718 Tammy: 發票寄出前，請先提供確認，謝謝。</t>
      </text>
    </comment>
    <comment authorId="0" ref="K576">
      <text>
        <t xml:space="preserve">======
ID#AAABjx7qRQY
    (2025-05-21 11:33:25)
190718 Tammy: 發票寄出前，請先提供確認，謝謝。</t>
      </text>
    </comment>
    <comment authorId="0" ref="H729">
      <text>
        <t xml:space="preserve">======
ID#AAABjx7qRQI
    (2025-05-21 11:33:25)
ALICE:9/12玉山水單匯入USD1463沖PI-20190910C USD1463元整</t>
      </text>
    </comment>
    <comment authorId="0" ref="K567">
      <text>
        <t xml:space="preserve">======
ID#AAABjx7qRQE
    (2025-05-21 11:33:25)
190718 Tammy: 發票寄出前，請先提供確認，謝謝。</t>
      </text>
    </comment>
    <comment authorId="0" ref="K670">
      <text>
        <t xml:space="preserve">======
ID#AAABjx7qRPQ
    (2025-05-21 11:33:25)
0903:TAMMY通知SAN同意先放貨後付款</t>
      </text>
    </comment>
    <comment authorId="0" ref="H275">
      <text>
        <t xml:space="preserve">======
ID#AAABjx7qRPM
    (2025-05-21 11:33:25)
ALICE:11/22第一銀行收到匯入USD8500(內含銀行手續費USD6.57) PI-20190227G USD4250+PI-20190227H USD4250 總計USD8500</t>
      </text>
    </comment>
    <comment authorId="0" ref="H248">
      <text>
        <t xml:space="preserve">======
ID#AAABjx7qRO8
    (2025-05-21 11:33:25)
ALICE:2019/05/20-收到玉山銀行電文通知USD12750元整</t>
      </text>
    </comment>
    <comment authorId="0" ref="G19">
      <text>
        <t xml:space="preserve">======
ID#AAABjx7qROw
    (2025-05-21 11:33:25)
180221 Tammy: project price for over 50pcs/lot</t>
      </text>
    </comment>
    <comment authorId="0" ref="H562">
      <text>
        <t xml:space="preserve">======
ID#AAABjx7qROo
    (2025-05-21 11:33:25)
alice:11/19-一銀Hatteland電文通知匯入USD58800 沖PI-20190717A USD58800</t>
      </text>
    </comment>
    <comment authorId="0" ref="H139">
      <text>
        <t xml:space="preserve">======
ID#AAABjx7qROk
    (2025-05-21 11:33:25)
alice:2019/04/25水單通知匯入USD1931*30.86=NT59591元整  無手續費 沖(125+1400+14+42+350)</t>
      </text>
    </comment>
    <comment authorId="0" ref="H712">
      <text>
        <t xml:space="preserve">======
ID#AAABjx7qROE
    (2025-05-21 11:33:25)
ALICE:9/24玉山銀行水單匯入USD5713沖PI-20190906B USD5713</t>
      </text>
    </comment>
    <comment authorId="0" ref="K873">
      <text>
        <t xml:space="preserve">======
ID#AAABjx7qRN4
    (2025-05-21 11:33:25)
1105 mail告知客人交期</t>
      </text>
    </comment>
    <comment authorId="0" ref="H907">
      <text>
        <t xml:space="preserve">======
ID#AAABjx7qRNg
    (2025-05-21 11:33:25)
ALICE:1/30一銀收到KH匯入USD2352(內含手續費USD26.62)沖PI-20191115001 USD709+PI-20191115002 USD75+PI-20191120002 USD150+PI-20191123002 USD870+PI-20191224001 USD411+PI-20191216001 USD137)</t>
      </text>
    </comment>
    <comment authorId="0" ref="K643">
      <text>
        <t xml:space="preserve">======
ID#AAABjx7qRNA
    (2025-05-21 11:33:25)
0821 CATHY : 客人希望2W交貨(不然可能canel order)，待交期確認後，就請客人先匯款
0826 Cathy : 客人告知預計9/2匯款，請如期出貨</t>
      </text>
    </comment>
    <comment authorId="0" ref="F406">
      <text>
        <t xml:space="preserve">======
ID#AAABjx7qRM8
    (2025-05-21 11:33:25)
0513 santi 告知修改數量</t>
      </text>
    </comment>
    <comment authorId="0" ref="H478">
      <text>
        <t xml:space="preserve">======
ID#AAABjx7qRMo
    (2025-05-21 11:33:25)
ALICE:8/27玉山銀行匯入USD9443沖PI-20190604A.PI-20190628A.PI-20190604A-F合計共USD9443元整</t>
      </text>
    </comment>
    <comment authorId="0" ref="H5">
      <text>
        <t xml:space="preserve">======
ID#AAABjx7qRMs
    (2025-05-21 11:33:25)
0306 chloe:匯款匯入US$14480.6(含20190119A RG58 cable Sample)</t>
      </text>
    </comment>
    <comment authorId="0" ref="K59">
      <text>
        <t xml:space="preserve">======
ID#AAABjx7qRL8
    (2025-05-21 11:33:25)
032５
2/12 Jay reply 2/19 by partial 3 pcs
Reply to Ti2 ship date: 2/21</t>
      </text>
    </comment>
    <comment authorId="0" ref="H160">
      <text>
        <t xml:space="preserve">======
ID#AAABjx7qRLo
    (2025-05-21 11:33:25)
0307 chloe:匯款匯入US39896-37(手續費)</t>
      </text>
    </comment>
    <comment authorId="0" ref="H75">
      <text>
        <t xml:space="preserve">======
ID#AAABjx7qRLk
    (2025-05-21 11:33:25)
alice:6/20銀行水單匯入USD4462 沖PI20190107A.PI-20190318B.PI-20190508B.PI-20181022C-2-F</t>
      </text>
    </comment>
    <comment authorId="0" ref="H119">
      <text>
        <t xml:space="preserve">======
ID#AAABjx7qRLY
    (2025-05-21 11:33:25)
0201 chloe:匯款匯入38286-20(手續費)</t>
      </text>
    </comment>
    <comment authorId="0" ref="I595">
      <text>
        <t xml:space="preserve">======
ID#AAABjx7qRKk
    (2025-05-21 11:33:25)
Cathy/Santiago</t>
      </text>
    </comment>
    <comment authorId="0" ref="H280">
      <text>
        <t xml:space="preserve">======
ID#AAABjx7qRKU
    (2025-05-21 11:33:25)
ALICE:5/3-電文USD16646(沖10450+4616+1580(4850中的1580))</t>
      </text>
    </comment>
    <comment authorId="0" ref="D663">
      <text>
        <t xml:space="preserve">======
ID#AAABjx7qRJg
    (2025-05-21 11:33:25)
0820 Cathy: santi mail 告知提供PI給客人，待客戶簽回
0902 Cathy: double confirm with client if they will place an order 
0910 請chloe 下單
0920  Cathy : 詢問客人交期有否辦法接受(物料無法cancel)</t>
      </text>
    </comment>
    <comment authorId="0" ref="K565">
      <text>
        <t xml:space="preserve">======
ID#AAABjx7qRIY
    (2025-05-21 11:33:25)
190718 Tammy: 發票寄出前，請先提供確認，謝謝。</t>
      </text>
    </comment>
    <comment authorId="0" ref="H227">
      <text>
        <t xml:space="preserve">======
ID#AAABjx7qRHg
    (2025-05-21 11:33:25)
ALICE:2019/04/12水單USD11670*30.81(3035+135+5420+2730+310+40)</t>
      </text>
    </comment>
    <comment authorId="0" ref="D595">
      <text>
        <t xml:space="preserve">======
ID#AAABjx7qRHM
    (2025-05-21 11:33:25)
20190604 Robin accept W/O AG、AR treatment this time</t>
      </text>
    </comment>
    <comment authorId="0" ref="F49">
      <text>
        <t xml:space="preserve">======
ID#AAABjx7qRGk
    (2025-05-21 11:33:25)
庫存2台</t>
      </text>
    </comment>
    <comment authorId="0" ref="K905">
      <text>
        <t xml:space="preserve">======
ID#AAABjx7qRFg
    (2025-05-21 11:33:25)
1114 cathy 客人指定出貨時間</t>
      </text>
    </comment>
    <comment authorId="0" ref="E527">
      <text>
        <t xml:space="preserve">======
ID#AAABjx7qRFc
    (2025-05-21 11:33:25)
4/19 w/Optical Bonding, High Bridhtness 1000 nits, 9-36V PB-409,
Additional 2 USB port, SSD Key</t>
      </text>
    </comment>
    <comment authorId="0" ref="H852">
      <text>
        <t xml:space="preserve">======
ID#AAABjx7qRE4
    (2025-05-21 11:33:25)
ALICE:12/4-TPOLE匯入一銀USD2242(全額到付)沖PI-20190923B 125+PI-20190930B USD1872+PI-20191014006 USD150+PI-20191026001 USD95合計總沖USD2242元整</t>
      </text>
    </comment>
    <comment authorId="0" ref="D49">
      <text>
        <t xml:space="preserve">======
ID#AAABjx7qREw
    (2025-05-21 11:33:25)
0115 到貨，已mail通知小葛
0115 Keiju: 已QC OK</t>
      </text>
    </comment>
    <comment authorId="0" ref="H732">
      <text>
        <t xml:space="preserve">======
ID#AAABjx7qREU
    (2025-05-21 11:33:25)
ALICE:10/24玉山水單匯入USD478沖PI-20190913A USD478</t>
      </text>
    </comment>
    <comment authorId="0" ref="H110">
      <text>
        <t xml:space="preserve">======
ID#AAABjx7qRDA
    (2025-05-21 11:33:25)
0128 Mary: 匯款匯入 US$5,260(同H103)</t>
      </text>
    </comment>
    <comment authorId="0" ref="D154">
      <text>
        <t xml:space="preserve">======
ID#AAABjx7qRCw
    (2025-05-21 11:33:25)
San: 只附3M 膠給客戶就好. 因為膠帶是要貼在LCD上. 非Touch</t>
      </text>
    </comment>
    <comment authorId="0" ref="H180">
      <text>
        <t xml:space="preserve">======
ID#AAABjx7qRCM
    (2025-05-21 11:33:25)
0327 chloe:匯款匯入US4578-6.51(手續費)</t>
      </text>
    </comment>
    <comment authorId="0" ref="H579">
      <text>
        <t xml:space="preserve">======
ID#AAABjx7qRBc
    (2025-05-21 11:33:25)
ALICE:9/26玉山水單匯入USD16657沖PI-20190704A USD655.沖PI-20190704A-F USD96.沖PI20190717E USD11479.沖PI-20190726B USD4245.沖PI-20190726B-F 182總沖16657</t>
      </text>
    </comment>
    <comment authorId="0" ref="H825">
      <text>
        <t xml:space="preserve">======
ID#AAABjx7qRBQ
    (2025-05-21 11:33:25)
ALICE:11/28一銀通知客戶匯入USD6665沖PI-20191023001 USD660+PI-20191024001 USD6005合計共USD6665元整</t>
      </text>
    </comment>
    <comment authorId="0" ref="H927">
      <text>
        <t xml:space="preserve">======
ID#AAABjx7qRAo
    (2025-05-21 11:33:25)
ALICE:1/20-第一USD收款USD1308(手續費0)沖PI-20191203001 USD77+PI-20191126001 USD1231 總計USD1308元整</t>
      </text>
    </comment>
    <comment authorId="0" ref="K217">
      <text>
        <t xml:space="preserve">======
ID#AAABjx7qRAc
    (2025-05-21 11:33:25)
0401 santi 告知改4/8出貨</t>
      </text>
    </comment>
    <comment authorId="0" ref="H282">
      <text>
        <t xml:space="preserve">======
ID#AAABjx7qQ_k
    (2025-05-21 11:33:25)
190303 客人應付貨款要扣掉NT$33313元 
3/22 chloe: 應付貨款145224- 33313
=111911(0322 已付)</t>
      </text>
    </comment>
    <comment authorId="0" ref="U132">
      <text>
        <t xml:space="preserve">======
ID#AAABjx7qQ_E
    (2025-05-21 11:33:25)
ALICE:2019/05/02-水單匯入USD21462.5-(匯出手續費USD10+匯入手續費USD10.73)=USD21441.77*30.84=NT661264</t>
      </text>
    </comment>
    <comment authorId="0" ref="H648">
      <text>
        <t xml:space="preserve">======
ID#AAABjx7qQ-w
    (2025-05-21 11:33:25)
alice:10/3合庫匯入NT303467(手續費30)沖PI-20190814A 303497元整</t>
      </text>
    </comment>
    <comment authorId="0" ref="H28">
      <text>
        <t xml:space="preserve">======
ID#AAABjx7qQ-o
    (2025-05-21 11:33:25)
0128 Mary: 匯款匯入 US$11,920(同H25)</t>
      </text>
    </comment>
    <comment authorId="0" ref="U103">
      <text>
        <t xml:space="preserve">======
ID#AAABjx7qQ-U
    (2025-05-21 11:33:25)
ALICE:2019/05/02-水單匯入USD21462.5-(匯出手續費USD10+匯入手續費USD10.73)=USD21441.77*30.84=NT661264</t>
      </text>
    </comment>
    <comment authorId="0" ref="I589">
      <text>
        <t xml:space="preserve">======
ID#AAABjx7qQ-Y
    (2025-05-21 11:33:25)
Cathy/Santiago</t>
      </text>
    </comment>
    <comment authorId="0" ref="E417">
      <text>
        <t xml:space="preserve">======
ID#AAABjx7qQ-Q
    (2025-05-21 11:33:25)
7/23 Amy: M12 using PLASTIC  type instead of Metal type, cost difference $257/pc ( Credit note: 20190723)</t>
      </text>
    </comment>
    <comment authorId="0" ref="V137">
      <text>
        <t xml:space="preserve">======
ID#AAABjx7qQ-A
    (2025-05-21 11:33:25)
ALICE:2019/05/02-水單匯入USD21462.5-(匯出手續費USD10+匯入手續費USD10.73)=USD21441.77*30.84=NT661264</t>
      </text>
    </comment>
    <comment authorId="0" ref="J470">
      <text>
        <t xml:space="preserve">======
ID#AAABjx7qQ9w
    (2025-05-21 11:33:25)
客人自行安排取貨 
0527待客人確認</t>
      </text>
    </comment>
    <comment authorId="0" ref="H193">
      <text>
        <t xml:space="preserve">======
ID#AAABjx7qQ9c
    (2025-05-21 11:33:25)
ALICE:5/16-銀行水單通知USD5169(沖PO0131D-1 4285.PI-0320-B 175.PI-4/8-A 709)共三筆</t>
      </text>
    </comment>
    <comment authorId="0" ref="H654">
      <text>
        <t xml:space="preserve">======
ID#AAABjx7qQ9U
    (2025-05-21 11:33:25)
ALICE:8/23玉山銀行匯入USD1245沖PI-20190815B USD1245元整</t>
      </text>
    </comment>
    <comment authorId="0" ref="H566">
      <text>
        <t xml:space="preserve">======
ID#AAABjx7qQ8k
    (2025-05-21 11:33:25)
ALICE:8/22玉山銀行匯入NT1,596,000+NT1,978=NT1,597,978元整，沖PI-20190717C NT1,586,124 ，沖PI-20190813C NT11,854</t>
      </text>
    </comment>
    <comment authorId="0" ref="H524">
      <text>
        <t xml:space="preserve">======
ID#AAABjx7qQ8g
    (2025-05-21 11:33:25)
ALICE:10/1玉山水單匯入USD12075沖PI20190625A USD12075</t>
      </text>
    </comment>
    <comment authorId="0" ref="H288">
      <text>
        <t xml:space="preserve">======
ID#AAABjx7qQ8c
    (2025-05-21 11:33:25)
alice:2019/05/17水單通知USD19768沖3/4A $1995.3/4A-1$4152.3/4A-1-F $232.3/8B-F $57.12/21A-2-F $144.3/4A-1 $189.10/22C-2 $10227.12/21A-1 $2772.如上總計共USD19768</t>
      </text>
    </comment>
    <comment authorId="0" ref="J664">
      <text>
        <t xml:space="preserve">======
ID#AAABjx7qQ8U
    (2025-05-21 11:33:25)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</text>
    </comment>
    <comment authorId="0" ref="H945">
      <text>
        <t xml:space="preserve">======
ID#AAABjx7qQ7o
Amy pass 資料    (2025-05-21 11:33:25)
NTD 19,213 (美金 Rate: 31.57)+ 52 歐 -2pcs 通行證 (rate: 34) NTD 1,768,TOTAL NTD21,069
ALICE:12/20-匯入一銀65019+73332沖PI-20191211001+PI-20191213002</t>
      </text>
    </comment>
    <comment authorId="0" ref="D712">
      <text>
        <t xml:space="preserve">======
ID#AAABjx7qQ7g
    (2025-05-21 11:33:25)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</text>
    </comment>
    <comment authorId="0" ref="H304">
      <text>
        <t xml:space="preserve">======
ID#AAABjx7qQ7k
    (2025-05-21 11:33:25)
0328 chloe:匯款匯入US28</t>
      </text>
    </comment>
    <comment authorId="0" ref="H671">
      <text>
        <t xml:space="preserve">======
ID#AAABjx7qQ7Y
    (2025-05-21 11:33:25)
ALICE:10/31-合庫匯入NT49350沖季宣49378</t>
      </text>
    </comment>
    <comment authorId="0" ref="K621">
      <text>
        <t xml:space="preserve">======
ID#AAABjx7qQ7Q
    (2025-05-21 11:33:25)
0830 Cathy: Tejinder 告知9/2那週會匯款
0903 Cathy: Chloe告知目前先將進貨日改為9/20，待收到款項在pull in MOXA 
0924:CHLOE同意出200PCS</t>
      </text>
    </comment>
    <comment authorId="0" ref="H425">
      <text>
        <t xml:space="preserve">======
ID#AAABjx7qQ7I
    (2025-05-21 11:33:25)
ALICE:7/17水單匯入USD9362沖PI-20190508B-F 92元.PI-20190508B-1 130元. PI-20190509C 9140元整</t>
      </text>
    </comment>
    <comment authorId="0" ref="H307">
      <text>
        <t xml:space="preserve">======
ID#AAABjx7qQ6g
    (2025-05-21 11:33:25)
ALICE:5/3收到USD12965.5(沖PI-20190121B.PI20190217A.PI-20190131C.PI-20190313A.PI-20190306A)</t>
      </text>
    </comment>
    <comment authorId="0" ref="I837">
      <text>
        <t xml:space="preserve">======
ID#AAABjx7qQ6U
    (2025-05-21 11:33:25)
Cathy/Santiago</t>
      </text>
    </comment>
    <comment authorId="0" ref="H335">
      <text>
        <t xml:space="preserve">======
ID#AAABjx7qQ6M
    (2025-05-21 11:33:25)
ALICE:2019/04/08-水單匯入USB1543-手續費USD11=USD1532</t>
      </text>
    </comment>
    <comment authorId="0" ref="H320">
      <text>
        <t xml:space="preserve">======
ID#AAABjx7qQ6A
    (2025-05-21 11:33:25)
alice:5/10-水單通知usd3751-匯出手續費20-匯入手續費6.46=USD3724.54*30.94=NT115,237元整
沖20190320B USD1270
沖20190322A USD2481
合計總沖USD3751元整</t>
      </text>
    </comment>
    <comment authorId="0" ref="H221">
      <text>
        <t xml:space="preserve">======
ID#AAABjx7qQ54
    (2025-05-21 11:33:25)
0225 chloe:匯款匯入US$495*30.76=NT15226-手續費NT200=NT15,026</t>
      </text>
    </comment>
    <comment authorId="0" ref="H551">
      <text>
        <t xml:space="preserve">======
ID#AAABjx7qQ5o
    (2025-05-21 11:33:25)
alice:7/12-水單匯入USD831沖PI-20190710B</t>
      </text>
    </comment>
    <comment authorId="0" ref="H172">
      <text>
        <t xml:space="preserve">======
ID#AAABjx7qQ5Y
    (2025-05-21 11:33:25)
0312 chloe
扣除 PO20190211001 貨款
43384 -10071(此單金額)=33313(戎克尚欠)</t>
      </text>
    </comment>
    <comment authorId="0" ref="I881">
      <text>
        <t xml:space="preserve">======
ID#AAABjx7qQ5A
    (2025-05-21 11:33:25)
Cathy/Yvonne</t>
      </text>
    </comment>
    <comment authorId="0" ref="H330">
      <text>
        <t xml:space="preserve">======
ID#AAABjx7qQ4k
    (2025-05-21 11:33:25)
Chloe:2019/4/19 水單匯入USB702.10-手續費USD 0=USD702.10</t>
      </text>
    </comment>
    <comment authorId="0" ref="K884">
      <text>
        <t xml:space="preserve">======
ID#AAABjx7qQ38
    (2025-05-21 11:33:25)
11/8 cathy: 請告知可提供最快交期 
1223yvonne:Santiago同意放貨</t>
      </text>
    </comment>
    <comment authorId="0" ref="H622">
      <text>
        <t xml:space="preserve">======
ID#AAABjx7qQ3w
    (2025-05-21 11:33:25)
ALICE:9/26玉山水單匯入USD16657沖PI-20190704A USD655.沖PI-20190704A-F USD96.沖PI20190717E USD11479.沖PI-20190726B USD4245.沖PI-20190726B-F 182總沖16657</t>
      </text>
    </comment>
    <comment authorId="0" ref="H627">
      <text>
        <t xml:space="preserve">======
ID#AAABjx7qQ3Y
    (2025-05-21 11:33:25)
ALICE:9/25合庫匯入USD47081沖PI-20190731B 47096</t>
      </text>
    </comment>
    <comment authorId="0" ref="H203">
      <text>
        <t xml:space="preserve">======
ID#AAABjx7qQ3A
    (2025-05-21 11:33:25)
0327 chloe:匯款匯入US$21425-20(手續費)</t>
      </text>
    </comment>
    <comment authorId="0" ref="H548">
      <text>
        <t xml:space="preserve">======
ID#AAABjx7qQ24
    (2025-05-21 11:33:25)
Alice:8/8-水單匯入USD4555元整，沖PI-20190708A 2540.PI-20190711A 1355.PI-20190712A 660</t>
      </text>
    </comment>
    <comment authorId="0" ref="H363">
      <text>
        <t xml:space="preserve">======
ID#AAABjx7qQ2A
    (2025-05-21 11:33:25)
ALICE:5/17收到銀行電文通知USD1668-11匯款手續費=USD1657</t>
      </text>
    </comment>
    <comment authorId="0" ref="D593">
      <text>
        <t xml:space="preserve">======
ID#AAABjx7qQ1g
    (2025-05-21 11:33:25)
20190604 Robin accept W/O AG、AR treatment this time</t>
      </text>
    </comment>
    <comment authorId="0" ref="G283">
      <text>
        <t xml:space="preserve">======
ID#AAABjx7qQ1Q
    (2025-05-21 11:33:25)
190303 w/5% VAT</t>
      </text>
    </comment>
    <comment authorId="0" ref="H372">
      <text>
        <t xml:space="preserve">======
ID#AAABjx7qQ08
    (2025-05-21 11:33:25)
Alice:2019/04/30-銀行通知水單匯入USD1577-匯出手續費USD40=USD1537*30.85=NT47416</t>
      </text>
    </comment>
    <comment authorId="0" ref="H249">
      <text>
        <t xml:space="preserve">======
ID#AAABjx7qQ0k
    (2025-05-21 11:33:25)
ALICE:6/17水單匯入USD16108 沖PI-20190227B 8500，沖PI-20190409A 7608</t>
      </text>
    </comment>
    <comment authorId="0" ref="G875">
      <text>
        <t xml:space="preserve">======
ID#AAABjx7qQ0E
    (2025-05-21 11:33:25)
20191109 san revise 價格1995-&gt;1450</t>
      </text>
    </comment>
    <comment authorId="0" ref="H919">
      <text>
        <t xml:space="preserve">======
ID#AAABjx7qQz8
    (2025-05-21 11:33:25)
ALICE:1/30一銀收到KH匯入USD2352(內含手續費USD26.62)沖PI-20191115001 USD709+PI-20191115002 USD75+PI-20191120002 USD150+PI-20191123002 USD870+PI-20191224001 USD411+PI-20191216001 USD137)</t>
      </text>
    </comment>
    <comment authorId="0" ref="L70">
      <text>
        <t xml:space="preserve">======
ID#AAABjx7qQzw
    (2025-05-21 11:33:25)
chloe 2/26 先匯出 58.8</t>
      </text>
    </comment>
    <comment authorId="0" ref="H688">
      <text>
        <t xml:space="preserve">======
ID#AAABjx7qQzo
    (2025-05-21 11:33:25)
ALICE:10/22玉山銀行匯入USD6469沖PI-20190905A USD495.PI-20190905A-F USD45.PI-20190902A 5929合計總沖USD6469</t>
      </text>
    </comment>
    <comment authorId="0" ref="H154">
      <text>
        <t xml:space="preserve">======
ID#AAABjx7qQzg
    (2025-05-21 11:33:25)
0304 chloe:匯款匯入US 154</t>
      </text>
    </comment>
    <comment authorId="0" ref="H382">
      <text>
        <t xml:space="preserve">======
ID#AAABjx7qQzY
    (2025-05-21 11:33:25)
ALICE:5/6-銀行電文通知USD12495.8(沖PI-20190422C.PI-20190424A)</t>
      </text>
    </comment>
    <comment authorId="0" ref="H69">
      <text>
        <t xml:space="preserve">======
ID#AAABjx7qQzQ
    (2025-05-21 11:33:25)
0117 chloe:匯款匯入US$1,866.00</t>
      </text>
    </comment>
    <comment authorId="0" ref="E233">
      <text>
        <t xml:space="preserve">======
ID#AAABjx7qQyo
    (2025-05-21 11:33:25)
190225 Karen: w/EU adapter</t>
      </text>
    </comment>
    <comment authorId="0" ref="H3">
      <text>
        <t xml:space="preserve">======
ID#AAABjx7qQyA
    (2025-05-21 11:33:25)
0306 chloe:匯款匯入US$14480.6(含20190119A RG58 cable Sample)</t>
      </text>
    </comment>
    <comment authorId="0" ref="H668">
      <text>
        <t xml:space="preserve">======
ID#AAABjx7qQws
    (2025-05-21 11:33:25)
ALICE:10/5-玉山NT匯入59340沖PI20190821C.PI-20190829B.PI-20190906A合計共NT59355元整</t>
      </text>
    </comment>
    <comment authorId="0" ref="H473">
      <text>
        <t xml:space="preserve">======
ID#AAABjx7qQwo
    (2025-05-21 11:33:25)
alice:8/19匯入USD16000沖PI-20190730A 10500，沖PI20190603A 1844(4850)，沖PI20190603A 3656(7040)
ALICE:9/16玉山水單匯入USD14454沖PI-20190603A USD14454</t>
      </text>
    </comment>
    <comment authorId="0" ref="H386">
      <text>
        <t xml:space="preserve">======
ID#AAABjx7qQwc
    (2025-05-21 11:33:25)
alice:2019/05/17水單通知USD19768沖3/4A $1995.3/4A-1$4152.3/4A-1-F $232.3/8B-F $57.12/21A-2-F $144.3/4A-1 $189.10/22C-2 $10227.12/21A-1 $2772.如上總計共USD19768</t>
      </text>
    </comment>
    <comment authorId="0" ref="E51">
      <text>
        <t xml:space="preserve">======
ID#AAABjx7qQwY
20181218 Santiago    (2025-05-21 11:33:25)
-&gt; 待客戶將 7' LCD (AA070ME01)寄來後， 寄曦立光電做貼合</t>
      </text>
    </comment>
    <comment authorId="0" ref="H508">
      <text>
        <t xml:space="preserve">======
ID#AAABjx7qQwE
    (2025-05-21 11:33:25)
ALICE:6/13-玉山匯入USD4942-應付3539=1403轉預收貨款   銀行淨收4895.64*31.47</t>
      </text>
    </comment>
    <comment authorId="0" ref="O35">
      <text>
        <t xml:space="preserve">======
ID#AAABjx7qQv8
    (2025-05-21 11:33:25)
INVOICE 已開立</t>
      </text>
    </comment>
    <comment authorId="0" ref="H108">
      <text>
        <t xml:space="preserve">======
ID#AAABjx7qQvo
    (2025-05-21 11:33:25)
0128 Mary: 匯款匯入 US$5,260(同H103)</t>
      </text>
    </comment>
    <comment authorId="0" ref="K303">
      <text>
        <t xml:space="preserve">======
ID#AAABjx7qQvc
    (2025-05-21 11:33:25)
0325 Cathy:客人無回應是否要與新訂單一併出貨，尚未收到運費</t>
      </text>
    </comment>
    <comment authorId="0" ref="D341">
      <text>
        <t xml:space="preserve">======
ID#AAABjx7qQvY
    (2025-05-21 11:33:25)
4/3 Amy: 請依照PI開立台幣發票. Thanks.</t>
      </text>
    </comment>
    <comment authorId="0" ref="H905">
      <text>
        <t xml:space="preserve">======
ID#AAABjx7qQvQ
    (2025-05-21 11:33:25)
Alice:11/14電文通知匯入USD1676 沖PI-20191114002 USD1676 待銀行水單沖帳</t>
      </text>
    </comment>
    <comment authorId="0" ref="H226">
      <text>
        <t xml:space="preserve">======
ID#AAABjx7qQt0
    (2025-05-21 11:33:25)
0225 chloe:匯款匯入 US2630- US40(第三地銀行手續費)</t>
      </text>
    </comment>
    <comment authorId="0" ref="D715">
      <text>
        <t xml:space="preserve">======
ID#AAABjx7qQtg
    (2025-05-21 11:33:25)
在此輸入
0909 客人待O/A肯放USD 10000 才要下單
1001 告知改由Aditeh付款</t>
      </text>
    </comment>
    <comment authorId="0" ref="U10">
      <text>
        <t xml:space="preserve">======
ID#AAABjx7qQtU
    (2025-05-21 11:33:25)
ALICE:2019/05/02-水單匯入USD21462.5-(匯出手續費USD10+匯入手續費USD10.73)=USD21441.77*30.84=NT661264</t>
      </text>
    </comment>
    <comment authorId="0" ref="H847">
      <text>
        <t xml:space="preserve">======
ID#AAABjx7qQs8
    (2025-05-21 11:33:25)
ALICE:11/28一銀通知客戶匯入USD6665沖PI-20191023001 USD660+PI-20191024001 USD6005合計共USD6665元整</t>
      </text>
    </comment>
    <comment authorId="0" ref="K519">
      <text>
        <t xml:space="preserve">======
ID#AAABjx7qQs0
    (2025-05-21 11:33:25)
O/A超支，已通知業務。</t>
      </text>
    </comment>
    <comment authorId="0" ref="H616">
      <text>
        <t xml:space="preserve">======
ID#AAABjx7qQsw
    (2025-05-21 11:33:25)
ALICE:9/10玉山匯入NT108650沖PI20190719A.PI-20190722B.PI-20190725A.PI20190813B</t>
      </text>
    </comment>
    <comment authorId="0" ref="J236">
      <text>
        <t xml:space="preserve">======
ID#AAABjx7qQso
    (2025-05-21 11:33:25)
Forwarder Details: -
FETA FREIGHT SYSTEMS (TAIWAN ) LTD. 
JUDY KAO 
 Tel: +886-3-399-2033 EXT: 135
Direct: +886-3-3992106
Fax: +886-3-3992036/2055
E-mail: judykao@ffsi.com.tw
Skype:judykao-mlattao</t>
      </text>
    </comment>
    <comment authorId="0" ref="U136">
      <text>
        <t xml:space="preserve">======
ID#AAABjx7qQsM
    (2025-05-21 11:33:25)
ALICE:2019/05/02-水單匯入USD21462.5-(匯出手續費USD10+匯入手續費USD10.73)=USD21441.77*30.84=NT661264</t>
      </text>
    </comment>
    <comment authorId="0" ref="D387">
      <text>
        <t xml:space="preserve">======
ID#AAABjx7qQro
    (2025-05-21 11:33:25)
0426 Cathy 通知Tammy 下單</t>
      </text>
    </comment>
    <comment authorId="0" ref="H27">
      <text>
        <t xml:space="preserve">======
ID#AAABjx7qQrY
    (2025-05-21 11:33:25)
0128 Mary: 匯款匯入 US$11,920(同H25)</t>
      </text>
    </comment>
    <comment authorId="0" ref="D607">
      <text>
        <t xml:space="preserve">======
ID#AAABjx7qQrM
    (2025-05-21 11:33:25)
0722 請chloe下單</t>
      </text>
    </comment>
    <comment authorId="0" ref="H789">
      <text>
        <t xml:space="preserve">======
ID#AAABjx7qQrI
    (2025-05-21 11:33:25)
ALICE:12/2-合庫匯入NT328647(內含手續費NT30元整)沖PI-20191001A USD10084.2+PI-20191112006 USD714元整</t>
      </text>
    </comment>
    <comment authorId="0" ref="I598">
      <text>
        <t xml:space="preserve">======
ID#AAABjx7qQrE
    (2025-05-21 11:33:25)
Cathy/Santiago</t>
      </text>
    </comment>
    <comment authorId="0" ref="E84">
      <text>
        <t xml:space="preserve">======
ID#AAABjx7qQqc
    (2025-05-21 11:33:25)
0301 chloe:原定DDS8GHIMBFC
 (8GB DDR3L DRAM Normal Temp)</t>
      </text>
    </comment>
    <comment authorId="0" ref="H19">
      <text>
        <t xml:space="preserve">======
ID#AAABjx7qQqY
    (2025-05-21 11:33:25)
0212 Mary:匯款匯入US$14,150</t>
      </text>
    </comment>
    <comment authorId="0" ref="H793">
      <text>
        <t xml:space="preserve">======
ID#AAABjx7qQpc
    (2025-05-21 11:33:25)
ALICE:1/9-一銀水單USD1590沖PI-20191001E USD1590</t>
      </text>
    </comment>
    <comment authorId="0" ref="H662">
      <text>
        <t xml:space="preserve">======
ID#AAABjx7qQpU
    (2025-05-21 11:33:25)
ALICE:9/27玉山銀行匯入USD3962元整，沖PI-2190820A 應收USD3962實收3922差額USD40元(手續費)</t>
      </text>
    </comment>
    <comment authorId="0" ref="H516">
      <text>
        <t xml:space="preserve">======
ID#AAABjx7qQok
    (2025-05-21 11:33:25)
ALICE:8/2-水單匯入USD541元整，沖PI-20190606D USD416+沖PI-20190617A USD125</t>
      </text>
    </comment>
    <comment authorId="0" ref="H383">
      <text>
        <t xml:space="preserve">======
ID#AAABjx7qQog
    (2025-05-21 11:33:25)
ALICE:6/19-合庫匯入NT188769元整</t>
      </text>
    </comment>
    <comment authorId="0" ref="K216">
      <text>
        <t xml:space="preserve">======
ID#AAABjx7qQoQ
    (2025-05-21 11:33:25)
0401 santi 告知改4/8出貨</t>
      </text>
    </comment>
    <comment authorId="0" ref="H479">
      <text>
        <t xml:space="preserve">======
ID#AAABjx7qQoI
    (2025-05-21 11:33:25)
ALICE:8/27玉山銀行匯入USD9443沖PI-20190604A.PI-20190628A.PI-20190604A-F合計共USD9443元整</t>
      </text>
    </comment>
    <comment authorId="0" ref="G565">
      <text>
        <t xml:space="preserve">======
ID#AAABjx7qQoE
    (2025-05-21 11:33:25)
190718 Tammy: w/5%</t>
      </text>
    </comment>
    <comment authorId="0" ref="K5">
      <text>
        <t xml:space="preserve">======
ID#AAABjx7qQn8
    (2025-05-21 11:33:25)
Vecow 年底前交貨, 收到超恩貨+2-3 days出貨Ti2</t>
      </text>
    </comment>
    <comment authorId="0" ref="H589">
      <text>
        <t xml:space="preserve">======
ID#AAABjx7qQn4
    (2025-05-21 11:33:25)
ALICE:11/8玉山銀行收款USD2137沖PI-20190719B-3 USD1737+沖PI-20190719B-2 USD400=USD2137元整</t>
      </text>
    </comment>
    <comment authorId="0" ref="H897">
      <text>
        <t xml:space="preserve">======
ID#AAABjx7qQn0
    (2025-05-21 11:33:25)
ALICE:12/2-合庫匯入NT328647(內含手續費NT30元整)沖PI-20191001A USD10084.2+PI-20191112006 USD714元整</t>
      </text>
    </comment>
    <comment authorId="0" ref="H821">
      <text>
        <t xml:space="preserve">======
ID#AAABjx7qQnk
    (2025-05-21 11:33:25)
ALICE:12/4-TPOLE匯入一銀USD2242(全額到付)沖PI-20190923B 125+PI-20190930B USD1872+PI-20191014006 USD150+PI-20191026001 USD95合計總沖USD2242元整</t>
      </text>
    </comment>
    <comment authorId="0" ref="H445">
      <text>
        <t xml:space="preserve">======
ID#AAABjx7qQnU
    (2025-05-21 11:33:25)
ALICE:5月應付77875-應收4900對沖=故應付予閎亮72975</t>
      </text>
    </comment>
    <comment authorId="0" ref="H778">
      <text>
        <t xml:space="preserve">======
ID#AAABjx7qQnE
    (2025-05-21 11:33:25)
ALICE:12/4-TPOLE匯入一銀USD2242(全額到付)沖PI-20190923B 125+PI-20190930B USD1872+PI-20191014006 USD150+PI-20191026001 USD95合計總沖USD2242元整</t>
      </text>
    </comment>
    <comment authorId="0" ref="H719">
      <text>
        <t xml:space="preserve">======
ID#AAABjx7qQnA
    (2025-05-21 11:33:25)
ALICE:10/22玉山銀行匯入USD6469沖PI-20190905A USD495.PI-20190905A-F USD45.PI-20190902A 5929合計總沖USD6469</t>
      </text>
    </comment>
    <comment authorId="0" ref="H609">
      <text>
        <t xml:space="preserve">======
ID#AAABjx7qQmw
    (2025-05-21 11:33:25)
ALICE:8/27-玉山匯入USD1544元整，沖PI-20190722C USD1544</t>
      </text>
    </comment>
    <comment authorId="0" ref="H680">
      <text>
        <t xml:space="preserve">======
ID#AAABjx7qQmU
    (2025-05-21 11:33:25)
ALICE:8/30-玉山銀行匯入USD2236沖PI20190829A USD2236元整</t>
      </text>
    </comment>
    <comment authorId="0" ref="H495">
      <text>
        <t xml:space="preserve">======
ID#AAABjx7qQmQ
    (2025-05-21 11:33:25)
ALICE:7/10-水單匯入USD646沖PI-20190606B</t>
      </text>
    </comment>
    <comment authorId="0" ref="H471">
      <text>
        <t xml:space="preserve">======
ID#AAABjx7qQmE
    (2025-05-21 11:33:25)
ALICE:8/5收到應收票據:到期日108/07/31票號CP0073500 金額26066元整+ 7/3預收11978元整=38044
沖PI-20190531B 25268+沖PI-20190613A 12804=38072 差額28元為寄支票郵資</t>
      </text>
    </comment>
    <comment authorId="0" ref="K910">
      <text>
        <t xml:space="preserve">======
ID#AAABjx7qQl8
    (2025-05-21 11:33:25)
1114 cathy 客人指定出貨時間</t>
      </text>
    </comment>
    <comment authorId="0" ref="K911">
      <text>
        <t xml:space="preserve">======
ID#AAABjx7qQlg
    (2025-05-21 11:33:25)
1114 cathy 客人指定出貨時間</t>
      </text>
    </comment>
    <comment authorId="0" ref="H268">
      <text>
        <t xml:space="preserve">======
ID#AAABjx7qQlY
    (2025-05-21 11:33:25)
ALICE:10/21玉山銀行匯入USD4250沖PI-20190227F USD4250</t>
      </text>
    </comment>
    <comment authorId="0" ref="H746">
      <text>
        <t xml:space="preserve">======
ID#AAABjx7qQlI
    (2025-05-21 11:33:25)
ALICE:10/5玉山NT 思碩匯入NT66001元整，沖PI-20190917C 共NT66001元整</t>
      </text>
    </comment>
    <comment authorId="0" ref="D711">
      <text>
        <t xml:space="preserve">======
ID#AAABjx7qQlA
    (2025-05-21 11:33:25)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</text>
    </comment>
    <comment authorId="0" ref="H795">
      <text>
        <t xml:space="preserve">======
ID#AAABjx7qQk0
    (2025-05-21 11:33:25)
ALICE:1/9-一銀水單USD1590沖PI-20191001E USD1590</t>
      </text>
    </comment>
    <comment authorId="0" ref="H525">
      <text>
        <t xml:space="preserve">======
ID#AAABjx7qQj8
    (2025-05-21 11:33:25)
ALICE:10/1玉山水單匯入USD12075沖PI20190625A USD12075</t>
      </text>
    </comment>
    <comment authorId="0" ref="H784">
      <text>
        <t xml:space="preserve">======
ID#AAABjx7qQjA
    (2025-05-21 11:33:25)
ALICE:12/4-TPOLE匯入一銀USD2242(全額到付)沖PI-20190923B 125+PI-20190930B USD1872+PI-20191014006 USD150+PI-20191026001 USD95合計總沖USD2242元整</t>
      </text>
    </comment>
    <comment authorId="0" ref="H387">
      <text>
        <t xml:space="preserve">======
ID#AAABjx7qQi0
    (2025-05-21 11:33:25)
5/28-收到芳慎支票 5/30-AK4244782台銀松江  金額3541元整</t>
      </text>
    </comment>
    <comment authorId="0" ref="H924">
      <text>
        <t xml:space="preserve">======
ID#AAABjx7qQik
    (2025-05-21 11:33:25)
ALICE:1/20-第一USD收款USD1308(手續費0)沖PI-20191203001 USD77+PI-20191126001 USD1231 總計USD1308元整</t>
      </text>
    </comment>
    <comment authorId="0" ref="H47">
      <text>
        <t xml:space="preserve">======
ID#AAABjx7qQiM
    (2025-05-21 11:33:25)
0306 chloe:匯款匯入US$14480.6(含20190119A RG58 cable Sample)</t>
      </text>
    </comment>
    <comment authorId="0" ref="I839">
      <text>
        <t xml:space="preserve">======
ID#AAABjx7qQiA
    (2025-05-21 11:33:25)
Cathy/Santiago</t>
      </text>
    </comment>
    <comment authorId="0" ref="H155">
      <text>
        <t xml:space="preserve">======
ID#AAABjx7qQh4
    (2025-05-21 11:33:25)
alice:6/14-玉山匯入USD1346-手續費31.36=USD1314.64*31.47</t>
      </text>
    </comment>
    <comment authorId="0" ref="D544">
      <text>
        <t xml:space="preserve">======
ID#AAABjx7qQhc
    (2025-05-21 11:33:25)
9/2 補填 (不知誰誤刪)</t>
      </text>
    </comment>
    <comment authorId="0" ref="H593">
      <text>
        <t xml:space="preserve">======
ID#AAABjx7qQhI
    (2025-05-21 11:33:25)
ALICE:11/8玉山銀行收款USD2137沖PI-20190719B-3 USD1737+沖PI-20190719B-2 USD400=USD2137元整</t>
      </text>
    </comment>
    <comment authorId="0" ref="H32">
      <text>
        <t xml:space="preserve">======
ID#AAABjx7qQgs
    (2025-05-21 11:33:25)
0225 chloe:匯款匯入5948-10(手續費)</t>
      </text>
    </comment>
    <comment authorId="0" ref="H340">
      <text>
        <t xml:space="preserve">======
ID#AAABjx7qQf8
    (2025-05-21 11:33:25)
ALICE:2019/04/08-水單匯入USB1543-手續費USD11=USD1532</t>
      </text>
    </comment>
    <comment authorId="0" ref="K123">
      <text>
        <t xml:space="preserve">======
ID#AAABjx7qQgA
    (2025-05-21 11:33:25)
在此輸入
0220 Bruce: 告知預計2/25可出貨</t>
      </text>
    </comment>
    <comment authorId="0" ref="H552">
      <text>
        <t xml:space="preserve">======
ID#AAABjx7qQfs
    (2025-05-21 11:33:25)
Alice:8/8-水單匯入USD4555元整，沖PI-20190708A 2540.PI-20190711A 1355.PI-20190712A 660</t>
      </text>
    </comment>
    <comment authorId="0" ref="J661">
      <text>
        <t xml:space="preserve">======
ID#AAABjx7qQe8
    (2025-05-21 11:33:25)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</text>
    </comment>
    <comment authorId="0" ref="H318">
      <text>
        <t xml:space="preserve">======
ID#AAABjx7qQeg
    (2025-05-21 11:33:25)
alice:5/10-水單通知usd3751-匯出手續費20-匯入手續費6.46=USD3724.54*30.94=NT115,237元整
沖20190320B USD1270
沖20190322A USD2481
合計總沖USD3751元整</t>
      </text>
    </comment>
    <comment authorId="0" ref="H754">
      <text>
        <t xml:space="preserve">======
ID#AAABjx7qQec
    (2025-05-21 11:33:25)
ALICE:9/24玉山水單通知USD1407.5沖PI-20190923A USD1407.5元整</t>
      </text>
    </comment>
    <comment authorId="0" ref="O102">
      <text>
        <t xml:space="preserve">======
ID#AAABjx7qQeU
    (2025-05-21 11:33:25)
含提單:3658076855 Cable寄出費用</t>
      </text>
    </comment>
    <comment authorId="0" ref="H635">
      <text>
        <t xml:space="preserve">======
ID#AAABjx7qQeA
    (2025-05-21 11:33:25)
alice:9/18玉山銀行水單匯入USD11500沖PI-20190801D USD11500</t>
      </text>
    </comment>
    <comment authorId="0" ref="H934">
      <text>
        <t xml:space="preserve">======
ID#AAABjx7qQdM
    (2025-05-21 11:33:25)
ALICE:2/24一銀收到USD12104沖PI-20191127001 USD6784+PI-20191104001 USD2014+PI-20191213001 USD3306</t>
      </text>
    </comment>
    <comment authorId="0" ref="K289">
      <text>
        <t xml:space="preserve">======
ID#AAABjx7qQc8
    (2025-05-21 11:33:25)
0401 Bruce告知一組LED閃爍，後無反應，請廠商來看。</t>
      </text>
    </comment>
    <comment authorId="0" ref="H728">
      <text>
        <t xml:space="preserve">======
ID#AAABjx7qQcQ
    (2025-05-21 11:33:25)
ALICE:9/12玉山水單匯入USD1463沖PI-20190910C USD1463元整</t>
      </text>
    </comment>
    <comment authorId="0" ref="H725">
      <text>
        <t xml:space="preserve">======
ID#AAABjx7qQbo
    (2025-05-21 11:33:25)
ALICE:9/12玉山水單匯入USD1463沖PI-20190910C USD1463元整</t>
      </text>
    </comment>
    <comment authorId="0" ref="E393">
      <text>
        <t xml:space="preserve">======
ID#AAABjx7qQbU
    (2025-05-21 11:33:25)
24"Panel PC &amp; VESA 裝入同一外箱</t>
      </text>
    </comment>
    <comment authorId="0" ref="H606">
      <text>
        <t xml:space="preserve">======
ID#AAABjx7qQbI
    (2025-05-21 11:33:25)
ALICE:9/10玉山匯入NT108650沖PI20190719A.PI-20190722B.PI-20190725A.PI20190813B</t>
      </text>
    </comment>
    <comment authorId="0" ref="J546">
      <text>
        <t xml:space="preserve">======
ID#AAABjx7qQbA
SHIPPING  AS BELOW    (2025-05-21 11:33:25)
103A Mary Street, Richmond, VIC, 3121, Australia
Contact: Jim MacDouall
Phone: +61 417 714 528</t>
      </text>
    </comment>
    <comment authorId="0" ref="H534">
      <text>
        <t xml:space="preserve">======
ID#AAABjx7qQa4
    (2025-05-21 11:33:25)
ALICE:8/27玉山銀行匯入USD9443沖PI-20190604A.PI-20190628A.PI-20190604A-F合計共USD9443元整</t>
      </text>
    </comment>
    <comment authorId="0" ref="H615">
      <text>
        <t xml:space="preserve">======
ID#AAABjx7qQaQ
    (2025-05-21 11:33:25)
ALICE:7/29玉山銀行水單匯入USD17325</t>
      </text>
    </comment>
    <comment authorId="0" ref="H258">
      <text>
        <t xml:space="preserve">======
ID#AAABjx7qQZg
    (2025-05-21 11:33:25)
alice:8/19-水單匯入USD8500，沖PI-20190227D</t>
      </text>
    </comment>
    <comment authorId="0" ref="H41">
      <text>
        <t xml:space="preserve">======
ID#AAABjx7qQYM
    (2025-05-21 11:33:25)
0225 chloe:匯款匯入5948-10(手續費)</t>
      </text>
    </comment>
    <comment authorId="0" ref="G671">
      <text>
        <t xml:space="preserve">======
ID#AAABjx7qQYE
    (2025-05-21 11:33:25)
190215 w/5% vat</t>
      </text>
    </comment>
    <comment authorId="0" ref="H885">
      <text>
        <t xml:space="preserve">======
ID#AAABjx7qQXc
    (2025-05-21 11:33:25)
ALICE:2020/1/20一銀收款USD10000(沖PI-20191108001 此筆USD9700)結清</t>
      </text>
    </comment>
    <comment authorId="0" ref="E639">
      <text>
        <t xml:space="preserve">======
ID#AAABjx7qQW8
    (2025-05-21 11:33:25)
0814 chloe :w/o Cable</t>
      </text>
    </comment>
    <comment authorId="0" ref="H846">
      <text>
        <t xml:space="preserve">======
ID#AAABjx7qQWc
    (2025-05-21 11:33:25)
ALICE:11/28一銀通知客戶匯入USD6665沖PI-20191023001 USD660+PI-20191024001 USD6005合計共USD6665元整</t>
      </text>
    </comment>
    <comment authorId="0" ref="D596">
      <text>
        <t xml:space="preserve">======
ID#AAABjx7qQWA
    (2025-05-21 11:33:25)
20190604 Robin accept W/O AG、AR treatment this time</t>
      </text>
    </comment>
    <comment authorId="0" ref="H572">
      <text>
        <t xml:space="preserve">======
ID#AAABjx7qQVg
    (2025-05-21 11:33:25)
ALICE:8/22玉山銀行匯入NT1,596,000+NT1,978=NT1,597,978元整，沖PI-20190717C NT1,586,124 ，沖PI-20190813C NT11,854</t>
      </text>
    </comment>
    <comment authorId="0" ref="H486">
      <text>
        <t xml:space="preserve">======
ID#AAABjx7qQUw
    (2025-05-21 11:33:25)
ALICE:7/8-電文通知USD2300沖PI-20190604D.PI-20190611A</t>
      </text>
    </comment>
    <comment authorId="0" ref="E776">
      <text>
        <t xml:space="preserve">======
ID#AAABjx7qQUg
    (2025-05-21 11:33:25)
0313 chloe: 戎克備有庫存，見半成品庫存表</t>
      </text>
    </comment>
    <comment authorId="0" ref="H918">
      <text>
        <t xml:space="preserve">======
ID#AAABjx7qQTs
    (2025-05-21 11:33:25)
ALICE:1/30一銀收到KH匯入USD2352(內含手續費USD26.62)沖PI-20191115001 USD709+PI-20191115002 USD75+PI-20191120002 USD150+PI-20191123002 USD870+PI-20191224001 USD411+PI-20191216001 USD137)</t>
      </text>
    </comment>
    <comment authorId="0" ref="U397">
      <text>
        <t xml:space="preserve">======
ID#AAABjx7qQTg
    (2025-05-21 11:33:25)
Alice:2019/05/16-收到銀行合庫匯入通知NT194,325元整(沖PI-20190502C.PI-20190507A)手續費0</t>
      </text>
    </comment>
    <comment authorId="0" ref="H352">
      <text>
        <t xml:space="preserve">======
ID#AAABjx7qQTc
    (2025-05-21 11:33:25)
Alice:6/17-水單匯入USD10046沖PI-201904096B.PI-20190418A.PI-20190422A.PI-20190307A</t>
      </text>
    </comment>
    <comment authorId="0" ref="H483">
      <text>
        <t xml:space="preserve">======
ID#AAABjx7qQS0
    (2025-05-21 11:33:25)
ALICE:8/27玉山銀行匯入USD9443沖PI-20190604A.PI-20190628A.PI-20190604A-F合計共USD9443元整</t>
      </text>
    </comment>
    <comment authorId="0" ref="K477">
      <text>
        <t xml:space="preserve">======
ID#AAABjx7qQSk
    (2025-05-21 11:33:25)
0722 Santiago同意先出貨。
0701 詢問預計7/11匯款&amp; 運輸方式</t>
      </text>
    </comment>
    <comment authorId="0" ref="K636">
      <text>
        <t xml:space="preserve">======
ID#AAABjx7qQSo
    (2025-05-21 11:33:25)
沛勁:895256寄出</t>
      </text>
    </comment>
    <comment authorId="0" ref="I520">
      <text>
        <t xml:space="preserve">======
ID#AAABjx7qQSg
    (2025-05-21 11:33:25)
Cathy/Santiago</t>
      </text>
    </comment>
    <comment authorId="0" ref="B417">
      <text>
        <t xml:space="preserve">======
ID#AAABjx7qQR4
    (2025-05-21 11:33:25)
5/21 Amy: change quantity to 6 ( previous is 3)</t>
      </text>
    </comment>
    <comment authorId="0" ref="H174">
      <text>
        <t xml:space="preserve">======
ID#AAABjx7qQR0
    (2025-05-21 11:33:25)
0419 chloe: 20190415 收到162,635-30(手續費)</t>
      </text>
    </comment>
    <comment authorId="0" ref="K653">
      <text>
        <t xml:space="preserve">======
ID#AAABjx7qQRQ
    (2025-05-21 11:33:25)
0910 cathy:與san確認可否於10/9 or 10/11 出貨 -&gt;  chloe approve 可於10/9出貨 
1001 :出貨前請Santiago拍照</t>
      </text>
    </comment>
    <comment authorId="0" ref="H834">
      <text>
        <t xml:space="preserve">======
ID#AAABjx7qQQs
    (2025-05-21 11:33:25)
ALICE:12/13一銀USD收到KH匯入USD1562.8(內含手續費USD28.61)沖PI-20191017004 USD1347+PI-20191030001 USD215.8合計總沖USD1562.8</t>
      </text>
    </comment>
    <comment authorId="0" ref="I655">
      <text>
        <t xml:space="preserve">======
ID#AAABjx7qQQg
    (2025-05-21 11:33:25)
Cathy/Santiago</t>
      </text>
    </comment>
    <comment authorId="0" ref="D882">
      <text>
        <t xml:space="preserve">======
ID#AAABjx7qQQQ
    (2025-05-21 11:33:25)
11/8 cathy: 請Chloe 請協助下單</t>
      </text>
    </comment>
    <comment authorId="0" ref="H410">
      <text>
        <t xml:space="preserve">======
ID#AAABjx7qQPg
    (2025-05-21 11:33:25)
alice:6/20銀行水單匯入USD4462 沖PI20190107A.PI-20190318B.PI-20190508B.PI-20181022C-2-F</t>
      </text>
    </comment>
    <comment authorId="0" ref="H787">
      <text>
        <t xml:space="preserve">======
ID#AAABjx7qQOk
    (2025-05-21 11:33:25)
ALICE:12/2-合庫匯入NT328647(內含手續費NT30元整)沖PI-20191001A USD10084.2+PI-20191112006 USD714元整</t>
      </text>
    </comment>
    <comment authorId="0" ref="H670">
      <text>
        <t xml:space="preserve">======
ID#AAABjx7qQOg
    (2025-05-21 11:33:25)
ALICE:10/31-合庫匯入NT49350沖季宣49378</t>
      </text>
    </comment>
    <comment authorId="0" ref="K828">
      <text>
        <t xml:space="preserve">======
ID#AAABjx7qQOc
    (2025-05-21 11:33:25)
chloe
1028: 原先告知10/30
1104: 尚未告知MOXA！！原倉庫(木新路)收貨至11/14止，11/15暫停收貨 ，
11/18之後送貨請送至新倉庫:新北市新店區寶橋路235巷118號2AF</t>
      </text>
    </comment>
    <comment authorId="0" ref="K767">
      <text>
        <t xml:space="preserve">======
ID#AAABjx7qQOY
    (2025-05-21 11:33:25)
1015YVONNE:隨貨寄目錄,並通知san</t>
      </text>
    </comment>
    <comment authorId="0" ref="E710">
      <text>
        <t xml:space="preserve">======
ID#AAABjx7qQOQ
    (2025-05-21 11:33:25)
20170104 Santiago: 和之前訂單一樣, w/o adapter</t>
      </text>
    </comment>
    <comment authorId="0" ref="I586">
      <text>
        <t xml:space="preserve">======
ID#AAABjx7qQOM
    (2025-05-21 11:33:25)
Cathy/Santiago</t>
      </text>
    </comment>
    <comment authorId="0" ref="H309">
      <text>
        <t xml:space="preserve">======
ID#AAABjx7qQOE
    (2025-05-21 11:33:25)
alice:2019/04/25水單通知匯入USD1931*30.86=NT59591元整  無手續費 沖(125+1400+14+42+350)</t>
      </text>
    </comment>
    <comment authorId="0" ref="H884">
      <text>
        <t xml:space="preserve">======
ID#AAABjx7qQN0
    (2025-05-21 11:33:25)
ALICE:2020/01/10-SA匯入USD37024-沖PI-20191108001 (5904+2010+440+20104+950+6270)+1346(12600中的1346)=USD37024</t>
      </text>
    </comment>
    <comment authorId="0" ref="K96">
      <text>
        <t xml:space="preserve">======
ID#AAABjx7qQNU
    (2025-05-21 11:33:25)
0212 San: 用DHL箱子把2個貨箱放成一個箱子</t>
      </text>
    </comment>
    <comment authorId="0" ref="H412">
      <text>
        <t xml:space="preserve">======
ID#AAABjx7qQMg
    (2025-05-21 11:33:25)
alice:6/20銀行水單匯入USD4462 沖PI20190107A.PI-20190318B.PI-20190508B.PI-20181022C-2-F</t>
      </text>
    </comment>
    <comment authorId="0" ref="H932">
      <text>
        <t xml:space="preserve">======
ID#AAABjx7qQMM
    (2025-05-21 11:33:25)
ALICE:2/24一銀收到USD12104沖PI-20191127001 USD6784+PI-20191104001 USD2014+PI-20191213001 USD3306</t>
      </text>
    </comment>
    <comment authorId="0" ref="F414">
      <text>
        <t xml:space="preserve">======
ID#AAABjx7qQL0
    (2025-05-21 11:33:25)
5/21 Amy: change to 16G Dram instead of 8 G Dram</t>
      </text>
    </comment>
    <comment authorId="0" ref="H60">
      <text>
        <t xml:space="preserve">======
ID#AAABjx7qQLw
    (2025-05-21 11:33:25)
0115 chloe: 匯款匯入US$1153.04</t>
      </text>
    </comment>
    <comment authorId="0" ref="J481">
      <text>
        <t xml:space="preserve">======
ID#AAABjx7qQLo
SHIPPING  AS BELOW    (2025-05-21 11:33:25)
103A Mary Street, Richmond, VIC, 3121, Australia
Contact: Jim MacDouall
Phone: +61 417 714 528</t>
      </text>
    </comment>
    <comment authorId="0" ref="H824">
      <text>
        <t xml:space="preserve">======
ID#AAABjx7qQLY
    (2025-05-21 11:33:25)
ALICE:11/28一銀通知客戶匯入USD6665沖PI-20191023001 USD660+PI-20191024001 USD6005合計共USD6665元整</t>
      </text>
    </comment>
    <comment authorId="0" ref="H448">
      <text>
        <t xml:space="preserve">======
ID#AAABjx7qQLQ
    (2025-05-21 11:33:25)
Alice:7/3-水單匯入USD135</t>
      </text>
    </comment>
    <comment authorId="0" ref="H197">
      <text>
        <t xml:space="preserve">======
ID#AAABjx7qQK0
    (2025-05-21 11:33:25)
ALICE:6/5水單通知USD11998沖PI-20190131D-2</t>
      </text>
    </comment>
    <comment authorId="0" ref="H188">
      <text>
        <t xml:space="preserve">======
ID#AAABjx7qQKw
    (2025-05-21 11:33:25)
alice:2019/04/25水單通知匯入USD1931*30.86=NT59591元整  無手續費 沖(125+1400+14+42+350)</t>
      </text>
    </comment>
    <comment authorId="0" ref="H50">
      <text>
        <t xml:space="preserve">======
ID#AAABjx7qQJ8
    (2025-05-21 11:33:25)
0305 chloe:匯款匯入US2520</t>
      </text>
    </comment>
    <comment authorId="0" ref="H294">
      <text>
        <t xml:space="preserve">======
ID#AAABjx7qQJ0
    (2025-05-21 11:33:25)
ALICE:5/27-銀行匯入NT69487</t>
      </text>
    </comment>
    <comment authorId="0" ref="H653">
      <text>
        <t xml:space="preserve">======
ID#AAABjx7qQJo
    (2025-05-21 11:33:25)
ALICE:8/23玉山銀行匯入USD1245沖PI-20190815B USD1245元整</t>
      </text>
    </comment>
    <comment authorId="0" ref="H859">
      <text>
        <t xml:space="preserve">======
ID#AAABjx7qQJg
    (2025-05-21 11:33:25)
在此輸入ALICE:1/15一銀收到USD8853(內含手續費USD53.7)沖PI-20191029002 USD4275+PI-20191029003 USD2235+PI-20191029004 USD1988+PI-20191105002 USD355</t>
      </text>
    </comment>
    <comment authorId="0" ref="E470">
      <text>
        <t xml:space="preserve">======
ID#AAABjx7qQI0
    (2025-05-21 11:33:25)
客戶下單: 719_MT8070iE  
廠商實際進貨:  719_MT8071iE (客人接受此料,不換料)</t>
      </text>
    </comment>
    <comment authorId="0" ref="H143">
      <text>
        <t xml:space="preserve">======
ID#AAABjx7qQIw
    (2025-05-21 11:33:25)
0201 chloe: 匯款匯入NT111130</t>
      </text>
    </comment>
    <comment authorId="0" ref="K818">
      <text>
        <t xml:space="preserve">======
ID#AAABjx7qQIo
    (2025-05-21 11:33:25)
Chloe 1106: MOXA回覆交期，有可能會延遲兩天</t>
      </text>
    </comment>
    <comment authorId="0" ref="H848">
      <text>
        <t xml:space="preserve">======
ID#AAABjx7qQIc
    (2025-05-21 11:33:25)
ALICE:10/28-合庫收款USD2852(含手續費USD17.56) 沖PI-20191024002 USD2852</t>
      </text>
    </comment>
    <comment authorId="0" ref="G53">
      <text>
        <t xml:space="preserve">======
ID#AAABjx7qQIE
    (2025-05-21 11:33:25)
w/5%VAT</t>
      </text>
    </comment>
    <comment authorId="0" ref="Z1">
      <text>
        <t xml:space="preserve">======
ID#AAABjx7qQHg
    (2025-05-21 11:33:25)
國內=臺灣境內
國外=境外</t>
      </text>
    </comment>
    <comment authorId="0" ref="D103">
      <text>
        <t xml:space="preserve">======
ID#AAABjx7qQHI
    (2025-05-21 11:33:25)
1/21 Keiju: 出貨前拍照</t>
      </text>
    </comment>
    <comment authorId="0" ref="E196">
      <text>
        <t xml:space="preserve">======
ID#AAABjx7qQFk
    (2025-05-21 11:33:25)
自製品TS32GSSD420K ，戎克料號:14-TS0-SDMN032-001A</t>
      </text>
    </comment>
    <comment authorId="0" ref="H546">
      <text>
        <t xml:space="preserve">======
ID#AAABjx7qQFU
    (2025-05-21 11:33:25)
ALICE:8/27玉山銀行匯入USD9443沖PI-20190604A.PI-20190628A.PI-20190604A-F合計共USD9443元整</t>
      </text>
    </comment>
    <comment authorId="0" ref="H595">
      <text>
        <t xml:space="preserve">======
ID#AAABjx7qQFI
    (2025-05-21 11:33:25)
ALICE:11/8玉山銀行收款USD2137沖PI-20190719B-3 USD1737+沖PI-20190719B-2 USD400=USD2137元整 (註:PI-20190719B-3尚餘117未收)
ALICE:11/14-Hectronic匯入USD254(內含手續費USD16.57)沖PI-20190910B USD137 + 沖PI-20190719B-3 USD117</t>
      </text>
    </comment>
    <comment authorId="0" ref="D232">
      <text>
        <t xml:space="preserve">======
ID#AAABjx7qQEI
    (2025-05-21 11:33:25)
190109 Tammy: 抽驗即可, 謝謝</t>
      </text>
    </comment>
    <comment authorId="0" ref="D233">
      <text>
        <t xml:space="preserve">======
ID#AAABjx7qQDc
    (2025-05-21 11:33:25)
0306 請Tammy 下單  
0305 客人有revise order</t>
      </text>
    </comment>
    <comment authorId="0" ref="H620">
      <text>
        <t xml:space="preserve">======
ID#AAABjx7qQDM
    (2025-05-21 11:33:25)
ALICE:9/26玉山水單匯入USD16657沖PI-20190704A USD655.沖PI-20190704A-F USD96.沖PI20190717E USD11479.沖PI-20190726B USD4245.沖PI-20190726B-F 182總沖16657</t>
      </text>
    </comment>
    <comment authorId="0" ref="H261">
      <text>
        <t xml:space="preserve">======
ID#AAABjx7qQDA
    (2025-05-21 11:33:25)
9/16-玉水水單USD4250沖PI-20190227E USD4250</t>
      </text>
    </comment>
    <comment authorId="0" ref="G285">
      <text>
        <t xml:space="preserve">======
ID#AAABjx7qQCY
    (2025-05-21 11:33:25)
190303 w/5% VAT</t>
      </text>
    </comment>
    <comment authorId="0" ref="K10">
      <text>
        <t xml:space="preserve">======
ID#AAABjx7qQCM
    (2025-05-21 11:33:25)
1120Amy: Vecow 年底前交貨, 收到超恩貨+2-3 days出貨Ti2</t>
      </text>
    </comment>
    <comment authorId="0" ref="J482">
      <text>
        <t xml:space="preserve">======
ID#AAABjx7qQB8
SHIPPING  AS BELOW    (2025-05-21 11:33:25)
103A Mary Street, Richmond, VIC, 3121, Australia
Contact: Jim MacDouall
Phone: +61 417 714 528</t>
      </text>
    </comment>
    <comment authorId="0" ref="J362">
      <text>
        <t xml:space="preserve">======
ID#AAABjx7qQBs
    (2025-05-21 11:33:25)
CUSTOMER ACCOUNT 
G504 ㄧ年內可退回進口做核銷</t>
      </text>
    </comment>
    <comment authorId="0" ref="H273">
      <text>
        <t xml:space="preserve">======
ID#AAABjx7qQBU
    (2025-05-21 11:33:25)
ALICE:11/22第一銀行收到匯入USD8500(內含銀行手續費USD6.57) PI-20190227G USD4250+PI-20190227H USD4250 總計USD8500</t>
      </text>
    </comment>
    <comment authorId="0" ref="H263">
      <text>
        <t xml:space="preserve">======
ID#AAABjx7qQBM
    (2025-05-21 11:33:25)
9/16-玉水水單USD4250沖PI-20190227E USD4250</t>
      </text>
    </comment>
    <comment authorId="0" ref="D850">
      <text>
        <t xml:space="preserve">======
ID#AAABjx7qQAY
    (2025-05-21 11:33:25)
10/24 cathy:請yvonne 下單</t>
      </text>
    </comment>
    <comment authorId="0" ref="K848">
      <text>
        <t xml:space="preserve">======
ID#AAABjx7qP_0
    (2025-05-21 11:33:25)
10/28 cathy:通知客人交期</t>
      </text>
    </comment>
    <comment authorId="0" ref="H681">
      <text>
        <t xml:space="preserve">======
ID#AAABjx7qP_g
    (2025-05-21 11:33:25)
ALICE:8/30-玉山銀行匯入USD2236沖PI20190829A USD2236元整</t>
      </text>
    </comment>
    <comment authorId="0" ref="H820">
      <text>
        <t xml:space="preserve">======
ID#AAABjx7qP_Q
    (2025-05-21 11:33:25)
ALICE:10/16玉山銀行匯入USD1285沖PI-20191014001 USD1285元</t>
      </text>
    </comment>
    <comment authorId="0" ref="H257">
      <text>
        <t xml:space="preserve">======
ID#AAABjx7qP_M
    (2025-05-21 11:33:25)
alice:8/19-水單匯入USD8500，沖PI-20190227D</t>
      </text>
    </comment>
    <comment authorId="0" ref="K909">
      <text>
        <t xml:space="preserve">======
ID#AAABjx7qP_E
    (2025-05-21 11:33:25)
1114 cathy 客人指定出貨時間</t>
      </text>
    </comment>
    <comment authorId="0" ref="K55">
      <text>
        <t xml:space="preserve">======
ID#AAABjx7qP-Q
    (2025-05-21 11:33:25)
0121出貨前6pcs拍照 
Vecow 年底前交貨, 收到超恩貨+2-3 days出貨Ti2</t>
      </text>
    </comment>
    <comment authorId="0" ref="K418">
      <text>
        <t xml:space="preserve">======
ID#AAABjx7qP-U
    (2025-05-21 11:33:25)
需5/21到客戶</t>
      </text>
    </comment>
    <comment authorId="0" ref="K70">
      <text>
        <t xml:space="preserve">======
ID#AAABjx7qP-A
    (2025-05-21 11:33:25)
190108 Tammy：先由MOXA出到IBASE，等IBASE測完後，IBASE寄回戎克，暨時跟著其他TPOLE的貨一起出，並請款
0129 chloe:貨在Chloe手上，待Tammy告知後續消退還是寄出
0221 Tammy: 重新訂購CP-132EL-I-DB9M</t>
      </text>
    </comment>
    <comment authorId="0" ref="H568">
      <text>
        <t xml:space="preserve">======
ID#AAABjx7qP9c
    (2025-05-21 11:33:25)
ALICE:8/22玉山銀行匯入NT1,596,000+NT1,978=NT1,597,978元整，沖PI-20190717C NT1,586,124 ，沖PI-20190813C NT11,854</t>
      </text>
    </comment>
    <comment authorId="0" ref="H458">
      <text>
        <t xml:space="preserve">======
ID#AAABjx7qP9M
    (2025-05-21 11:33:25)
ALICE:5/28-銀行電文通知匯入USD916</t>
      </text>
    </comment>
    <comment authorId="0" ref="E451">
      <text>
        <t xml:space="preserve">======
ID#AAABjx7qP8w
    (2025-05-21 11:33:24)
20170104 Santiago: 和之前訂單一樣, w/o adapter</t>
      </text>
    </comment>
    <comment authorId="0" ref="K868">
      <text>
        <t xml:space="preserve">======
ID#AAABjx7qP8o
    (2025-05-21 11:33:24)
10/30 cathy:通知客人交期</t>
      </text>
    </comment>
    <comment authorId="0" ref="D617">
      <text>
        <t xml:space="preserve">======
ID#AAABjx7qP8c
    (2025-05-21 11:33:24)
1. 用溢收款項扣除
2. 7/26 信件通知超恩先Booking , 待請Yvonne 下單</t>
      </text>
    </comment>
    <comment authorId="0" ref="D847">
      <text>
        <t xml:space="preserve">======
ID#AAABjx7qP8I
    (2025-05-21 11:33:24)
10/24 請chloe 下單</t>
      </text>
    </comment>
    <comment authorId="0" ref="H291">
      <text>
        <t xml:space="preserve">======
ID#AAABjx7qP8E
    (2025-05-21 11:33:24)
alice:2019/05/17水單通知USD19768沖3/4A $1995.3/4A-1$4152.3/4A-1-F $232.3/8B-F $57.12/21A-2-F $144.3/4A-1 $189.10/22C-2 $10227.12/21A-1 $2772.如上總計共USD19768</t>
      </text>
    </comment>
    <comment authorId="0" ref="H818">
      <text>
        <t xml:space="preserve">======
ID#AAABjx7qP7w
    (2025-05-21 11:33:24)
ALICE:10/16玉山銀行匯入USD1285沖PI-20191014001 USD1285元</t>
      </text>
    </comment>
    <comment authorId="0" ref="H311">
      <text>
        <t xml:space="preserve">======
ID#AAABjx7qP7M
    (2025-05-21 11:33:24)
alice:6/20銀行水單匯入USD4462 沖PI20190107A.PI-20190318B.PI-20190508B.PI-20181022C-2-F</t>
      </text>
    </comment>
    <comment authorId="0" ref="H585">
      <text>
        <t xml:space="preserve">======
ID#AAABjx7qP7I
    (2025-05-21 11:33:24)
ALICE:7/26玉山銀行水單通知匯入USD9754沖PI-20190524B(2000+350).沖PI20190524B-1(3010).沖PI-20190703A(60+70).沖PI20190719B-1 228+1600 PI-20190719B-2 304  PI-20190719B-5 532. PI-20190719B-3 1600</t>
      </text>
    </comment>
    <comment authorId="0" ref="H196">
      <text>
        <t xml:space="preserve">======
ID#AAABjx7qP7E
    (2025-05-21 11:33:24)
ALICE:6/5水單通知USD11998沖PI-20190131D-2</t>
      </text>
    </comment>
    <comment authorId="0" ref="H790">
      <text>
        <t xml:space="preserve">======
ID#AAABjx7qP68
    (2025-05-21 11:33:24)
ALICE:2020/02/03合庫收款NT858362元整，沖PI-20191001A
 NT147153+PI-20191112006 NT711239元整</t>
      </text>
    </comment>
    <comment authorId="0" ref="H287">
      <text>
        <t xml:space="preserve">======
ID#AAABjx7qP6s
    (2025-05-21 11:33:24)
alice:2019/05/17水單通知USD19768沖3/4A $1995.3/4A-1$4152.3/4A-1-F $232.3/8B-F $57.12/21A-2-F $144.3/4A-1 $189.10/22C-2 $10227.12/21A-1 $2772.如上總計共USD19768</t>
      </text>
    </comment>
    <comment authorId="0" ref="H930">
      <text>
        <t xml:space="preserve">======
ID#AAABjx7qP58
    (2025-05-21 11:33:24)
ALICE:2/24一銀收到USD12104沖PI-20191127001 USD6784+PI-20191104001 USD2014+PI-20191213001 USD3306</t>
      </text>
    </comment>
    <comment authorId="0" ref="D495">
      <text>
        <t xml:space="preserve">======
ID#AAABjx7qP5o
    (2025-05-21 11:33:24)
在此輸入
0606 客人說要再確認
0610 通知Tammy 下單,客人有急需</t>
      </text>
    </comment>
    <comment authorId="0" ref="G745">
      <text>
        <t xml:space="preserve">======
ID#AAABjx7qP5I
    (2025-05-21 11:33:24)
190718 Tammy: w/5%</t>
      </text>
    </comment>
    <comment authorId="0" ref="E462">
      <text>
        <t xml:space="preserve">======
ID#AAABjx7qP48
    (2025-05-21 11:33:24)
在此輸入
20190603 San: RTPC150-H0006U (標準品)+AR coating,→供應商料號:
RTPC150-H0006U
20190828 Cathy: notice client LCD*2PCS defect -&gt; accept</t>
      </text>
    </comment>
    <comment authorId="0" ref="H264">
      <text>
        <t xml:space="preserve">======
ID#AAABjx7qP44
    (2025-05-21 11:33:24)
9/16-玉水水單USD4250沖PI-20190227E USD4250</t>
      </text>
    </comment>
    <comment authorId="0" ref="H176">
      <text>
        <t xml:space="preserve">======
ID#AAABjx7qP4M
    (2025-05-21 11:33:24)
0328 chloe:收到支票 NT133576
待4/1解款
0403 chloe 解款</t>
      </text>
    </comment>
    <comment authorId="0" ref="H234">
      <text>
        <t xml:space="preserve">======
ID#AAABjx7qP4I
    (2025-05-21 11:33:24)
0312 chloe:匯款匯入US2055-11(手續費)</t>
      </text>
    </comment>
    <comment authorId="0" ref="K67">
      <text>
        <t xml:space="preserve">======
ID#AAABjx7qP34
    (2025-05-21 11:33:24)
0116 chloe:待收到客戶水單或是匯款才能放行出貨</t>
      </text>
    </comment>
    <comment authorId="0" ref="K552">
      <text>
        <t xml:space="preserve">======
ID#AAABjx7qP3s
    (2025-05-21 11:33:24)
0722 Santiago同意先出貨。</t>
      </text>
    </comment>
    <comment authorId="0" ref="U135">
      <text>
        <t xml:space="preserve">======
ID#AAABjx7qP1k
    (2025-05-21 11:33:24)
ALICE:2019/05/02-水單匯入USD21462.5-(匯出手續費USD10+匯入手續費USD10.73)=USD21441.77*30.84=NT661264</t>
      </text>
    </comment>
    <comment authorId="0" ref="H168">
      <text>
        <t xml:space="preserve">======
ID#AAABjx7qP1o
    (2025-05-21 11:33:24)
0322 chloe:匯入US8750</t>
      </text>
    </comment>
    <comment authorId="0" ref="H912">
      <text>
        <t xml:space="preserve">======
ID#AAABjx7qP1c
    (2025-05-21 11:33:24)
ALICE:11/21一銀匯入USD1305(含銀行手續費)沖PI-20191119001 USD1305</t>
      </text>
    </comment>
    <comment authorId="0" ref="H624">
      <text>
        <t xml:space="preserve">======
ID#AAABjx7qP1I
    (2025-05-21 11:33:24)
ALICE:8/1銀行水單通知匯入USD8538.6沖PI-20190731A</t>
      </text>
    </comment>
    <comment authorId="0" ref="E874">
      <text>
        <t xml:space="preserve">======
ID#AAABjx7qPz8
    (2025-05-21 11:33:24)
10/31 san同意給客人兩年保固&amp;做FOB</t>
      </text>
    </comment>
    <comment authorId="0" ref="D664">
      <text>
        <t xml:space="preserve">======
ID#AAABjx7qPzk
    (2025-05-21 11:33:24)
0820 Cathy: santi mail 告知提供PI給客人，待客戶簽回
0902 Cathy: double confirm with client if they will place an order 
0910 請chloe 下單
0920  Cathy : 詢問客人交期有否辦法接受(物料無法cancel)</t>
      </text>
    </comment>
    <comment authorId="0" ref="U139">
      <text>
        <t xml:space="preserve">======
ID#AAABjx7qPy8
    (2025-05-21 11:33:24)
alice:2019/04/25水單通知匯入USD1931*30.86=NT59591元整  無手續費 沖(125+1400+14+42+350)</t>
      </text>
    </comment>
    <comment authorId="0" ref="D630">
      <text>
        <t xml:space="preserve">======
ID#AAABjx7qPx8
    (2025-05-21 11:33:24)
0806 詢問客人</t>
      </text>
    </comment>
    <comment authorId="0" ref="H205">
      <text>
        <t xml:space="preserve">======
ID#AAABjx7qPxY
    (2025-05-21 11:33:24)
alice:2019/04/03-收到水單匯入USD765*30.78</t>
      </text>
    </comment>
    <comment authorId="0" ref="E85">
      <text>
        <t xml:space="preserve">======
ID#AAABjx7qPxE
    (2025-05-21 11:33:24)
256GB 2.5" SSD M3M MP808 Samsung eMMC ET(-25℃~+85℃)</t>
      </text>
    </comment>
    <comment authorId="0" ref="H36">
      <text>
        <t xml:space="preserve">======
ID#AAABjx7qPxA
    (2025-05-21 11:33:24)
0225 chloe:匯款匯入5948-10(手續費)</t>
      </text>
    </comment>
    <comment authorId="0" ref="K130">
      <text>
        <t xml:space="preserve">======
ID#AAABjx7qPwg
    (2025-05-21 11:33:24)
0307 san告知提前交期</t>
      </text>
    </comment>
    <comment authorId="0" ref="H149">
      <text>
        <t xml:space="preserve">======
ID#AAABjx7qPwQ
    (2025-05-21 11:33:24)
0307 chloe:匯款匯入US39896-37(手續費)</t>
      </text>
    </comment>
    <comment authorId="0" ref="G670">
      <text>
        <t xml:space="preserve">======
ID#AAABjx7qPwU
    (2025-05-21 11:33:24)
190215 w/5% vat</t>
      </text>
    </comment>
    <comment authorId="0" ref="H538">
      <text>
        <t xml:space="preserve">======
ID#AAABjx7qPuo
    (2025-05-21 11:33:24)
Alice:7/8匯入NT170334 
Alice:8/6匯入NT186707
Alice:8/6匯入NT32231
總計389272+匯款手續費30=389302沖PI-20190523A 202565.沖PI20190702A 186737元整</t>
      </text>
    </comment>
    <comment authorId="0" ref="D548">
      <text>
        <t xml:space="preserve">======
ID#AAABjx7qPuI
    (2025-05-21 11:33:24)
7/8請 chloe 協助下單</t>
      </text>
    </comment>
    <comment authorId="0" ref="H835">
      <text>
        <t xml:space="preserve">======
ID#AAABjx7qPuE
    (2025-05-21 11:33:24)
ALICE:1/7第一銀行USD3228 沖PI-20191007006 1501+PI-20191007007 USD1727+PI-20191128002 USD20總沖USD3248</t>
      </text>
    </comment>
    <comment authorId="0" ref="H647">
      <text>
        <t xml:space="preserve">======
ID#AAABjx7qPts
    (2025-05-21 11:33:24)
ALICE:8/22玉山銀行匯入NT1,596,000+NT1,978=NT1,597,978元整，沖PI-20190717C NT1,586,124 ，沖PI-20190813C NT11,854</t>
      </text>
    </comment>
    <comment authorId="0" ref="K496">
      <text>
        <t xml:space="preserve">======
ID#AAABjx7qPtY
    (2025-05-21 11:33:24)
0722 Santiago同意先出貨。
0701 詢問預計7/11匯款&amp; 運輸方式</t>
      </text>
    </comment>
    <comment authorId="0" ref="K398">
      <text>
        <t xml:space="preserve">======
ID#AAABjx7qPtU
    (2025-05-21 11:33:24)
貨交台灣
新北市汐止市合順街18巷23弄11號5摟</t>
      </text>
    </comment>
    <comment authorId="0" ref="H49">
      <text>
        <t xml:space="preserve">======
ID#AAABjx7qPsk
    (2025-05-21 11:33:24)
0306 chloe:匯款匯入US$14480.6(含20190119A RG58 cable Sample)</t>
      </text>
    </comment>
    <comment authorId="0" ref="H864">
      <text>
        <t xml:space="preserve">======
ID#AAABjx7qPsg
    (2025-05-21 11:33:24)
ALICE:12/13一銀USD收到KH匯入USD1562.8(內含手續費USD28.61)沖PI-20191017004 USD1347+PI-20191030001 USD215.8合計總沖USD1562.8</t>
      </text>
    </comment>
    <comment authorId="0" ref="K94">
      <text>
        <t xml:space="preserve">======
ID#AAABjx7qPsA
    (2025-05-21 11:33:24)
0212 San: 用DHL箱子把2個貨箱放成一個箱子</t>
      </text>
    </comment>
    <comment authorId="0" ref="O125">
      <text>
        <t xml:space="preserve">======
ID#AAABjx7qPrs
    (2025-05-21 11:33:24)
匯率30.685
TOTAL:25582.2</t>
      </text>
    </comment>
    <comment authorId="0" ref="H349">
      <text>
        <t xml:space="preserve">======
ID#AAABjx7qPrU
    (2025-05-21 11:33:24)
Alice:6/17-水單匯入USD10046沖PI-201904096B.PI-20190418A.PI-20190422A.PI-20190307A</t>
      </text>
    </comment>
    <comment authorId="0" ref="H114">
      <text>
        <t xml:space="preserve">======
ID#AAABjx7qPrM
    (2025-05-21 11:33:24)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45">
      <text>
        <t xml:space="preserve">======
ID#AAABjx7qPrQ
    (2025-05-21 11:33:24)
0212 Mary:匯款匯入US$14,150</t>
      </text>
    </comment>
    <comment authorId="0" ref="H245">
      <text>
        <t xml:space="preserve">======
ID#AAABjx7qPrE
    (2025-05-21 11:33:24)
ALICE:2019/05/20-收到玉山銀行電文通知USD12750元整</t>
      </text>
    </comment>
    <comment authorId="0" ref="D866">
      <text>
        <t xml:space="preserve">======
ID#AAABjx7qPqw
    (2025-05-21 11:33:24)
10/30 CATHY:請CHLOE協助下單</t>
      </text>
    </comment>
    <comment authorId="0" ref="H953">
      <text>
        <t xml:space="preserve">======
ID#AAABjx7qPqo
    (2025-05-21 11:33:24)
ALICE:2/24一銀收到USD12104沖PI-20191127001 USD6784+PI-20191104001 USD2014+PI-20191213001 USD3306</t>
      </text>
    </comment>
    <comment authorId="0" ref="H878">
      <text>
        <t xml:space="preserve">======
ID#AAABjx7qPqk
    (2025-05-21 11:33:24)
ALICE:1/15一銀收到USD8853(內含手續費USD53.7)沖PI-20191029002 USD4275+PI-20191029003 USD2235+PI-20191029004 USD1988+PI-20191105002 USD355</t>
      </text>
    </comment>
    <comment authorId="0" ref="H856">
      <text>
        <t xml:space="preserve">======
ID#AAABjx7qPqc
    (2025-05-21 11:33:24)
ALICE:1/15一銀收到USD8853(內含手續費USD53.7)沖PI-20191029002 USD4275+PI-20191029003 USD2235+PI-20191029004 USD1988+PI-20191105002 USD355</t>
      </text>
    </comment>
    <comment authorId="0" ref="U217">
      <text>
        <t xml:space="preserve">======
ID#AAABjx7qPp0
    (2025-05-21 11:33:24)
ALICE:5/3-電文USD16646(沖10450+4616+1580(4850中的1580))</t>
      </text>
    </comment>
    <comment authorId="0" ref="H175">
      <text>
        <t xml:space="preserve">======
ID#AAABjx7qPpc
    (2025-05-21 11:33:24)
0419 chloe: 20190415 收到162,635-30(手續費)</t>
      </text>
    </comment>
    <comment authorId="0" ref="D474">
      <text>
        <t xml:space="preserve">======
ID#AAABjx7qPpM
    (2025-05-21 11:33:24)
0603 通知Tammy下單</t>
      </text>
    </comment>
    <comment authorId="0" ref="H209">
      <text>
        <t xml:space="preserve">======
ID#AAABjx7qPos
    (2025-05-21 11:33:24)
ALICE:5/3收到USD12965.5(沖PI-20190121B.PI20190217A.PI-20190131C.PI-20190313A.PI-20190306A)</t>
      </text>
    </comment>
    <comment authorId="0" ref="I521">
      <text>
        <t xml:space="preserve">======
ID#AAABjx7qPok
    (2025-05-21 11:33:24)
Cathy/Santiago</t>
      </text>
    </comment>
    <comment authorId="0" ref="H243">
      <text>
        <t xml:space="preserve">======
ID#AAABjx7qPog
    (2025-05-21 11:33:24)
0403 chloe:匯款匯入247,928</t>
      </text>
    </comment>
    <comment authorId="0" ref="U12">
      <text>
        <t xml:space="preserve">======
ID#AAABjx7qPoQ
    (2025-05-21 11:33:24)
ALICE:2019/05/02-水單匯入USD21462.5-(匯出手續費USD10+匯入手續費USD10.73)=USD21441.77*30.84=NT661264</t>
      </text>
    </comment>
    <comment authorId="0" ref="H162">
      <text>
        <t xml:space="preserve">======
ID#AAABjx7qPnw
    (2025-05-21 11:33:24)
0227 chloe:匯款匯入NT48,676-30(手續費)</t>
      </text>
    </comment>
    <comment authorId="0" ref="K819">
      <text>
        <t xml:space="preserve">======
ID#AAABjx7qPnc
    (2025-05-21 11:33:24)
Chloe 1106: MOXA回覆交期，有可能會延遲兩天</t>
      </text>
    </comment>
    <comment authorId="0" ref="E55">
      <text>
        <t xml:space="preserve">======
ID#AAABjx7qPnU
    (2025-05-21 11:33:24)
在此輸入
vecow offer 195
Jetone 只有i5-8500 at $218</t>
      </text>
    </comment>
    <comment authorId="0" ref="U301">
      <text>
        <t xml:space="preserve">======
ID#AAABjx7qPnE
    (2025-05-21 11:33:24)
ALICE:2019/05/02-水單匯入USD21462.5-(匯出手續費USD10+匯入手續費USD10.73)=USD21441.77*30.84=NT661264</t>
      </text>
    </comment>
    <comment authorId="0" ref="H283">
      <text>
        <t xml:space="preserve">======
ID#AAABjx7qPm0
    (2025-05-21 11:33:24)
190303 客人應付貨款要扣掉NT$33313元 
3/22 chloe: 應付貨款145224- 33313
=111911(0322 已付)</t>
      </text>
    </comment>
    <comment authorId="0" ref="H165">
      <text>
        <t xml:space="preserve">======
ID#AAABjx7qPmI
    (2025-05-21 11:33:24)
0327 chloe:匯款匯入US$4165-20(手續費)</t>
      </text>
    </comment>
    <comment authorId="0" ref="H655">
      <text>
        <t xml:space="preserve">======
ID#AAABjx7qPls
    (2025-05-21 11:33:24)
ALICE:8/30-玉山銀行水單通知USD3464沖PI20190524B-2 USD3010.沖PI-20190524B-F USD454合計共USD3464元整</t>
      </text>
    </comment>
    <comment authorId="0" ref="J469">
      <text>
        <t xml:space="preserve">======
ID#AAABjx7qPlo
    (2025-05-21 11:33:24)
DHL Account Number : 956287207 for Freight ( AVIHS Technologies )</t>
      </text>
    </comment>
    <comment authorId="0" ref="D820">
      <text>
        <t xml:space="preserve">======
ID#AAABjx7qPlk
    (2025-05-21 11:33:24)
10/14 cathy: 請Tammy 下單</t>
      </text>
    </comment>
    <comment authorId="0" ref="H389">
      <text>
        <t xml:space="preserve">======
ID#AAABjx7qPlU
    (2025-05-21 11:33:24)
Alice:6/17-水單匯入USD10046沖PI-201904096B.PI-20190418A.PI-20190422A.PI-20190307A</t>
      </text>
    </comment>
    <comment authorId="0" ref="K795">
      <text>
        <t xml:space="preserve">======
ID#AAABjx7qPkc
    (2025-05-21 11:33:24)
1128yvonne:客戶通知要等ISD-1210-T*10pcs到貨一併出。</t>
      </text>
    </comment>
    <comment authorId="0" ref="H269">
      <text>
        <t xml:space="preserve">======
ID#AAABjx7qPkY
    (2025-05-21 11:33:24)
ALICE:11/22第一銀行收到匯入USD8500(內含銀行手續費USD6.57) PI-20190227G USD4250+PI-20190227H USD4250 總計USD8500</t>
      </text>
    </comment>
    <comment authorId="0" ref="I882">
      <text>
        <t xml:space="preserve">======
ID#AAABjx7qPjk
    (2025-05-21 11:33:24)
Cathy/Yvonne</t>
      </text>
    </comment>
    <comment authorId="0" ref="D654">
      <text>
        <t xml:space="preserve">======
ID#AAABjx7qPjc
    (2025-05-21 11:33:24)
0827:BANK通知此票進貨檢驗由曦立代驗</t>
      </text>
    </comment>
    <comment authorId="0" ref="E806">
      <text>
        <t xml:space="preserve">======
ID#AAABjx7qPjg
    (2025-05-21 11:33:24)
20191118 San: 補單</t>
      </text>
    </comment>
    <comment authorId="0" ref="G839">
      <text>
        <t xml:space="preserve">======
ID#AAABjx7qPjU
    (2025-05-21 11:33:24)
10/18 san告知本次不會收molding fee,但會加收labor fee(usd 20)+AG film (usd 26)</t>
      </text>
    </comment>
    <comment authorId="0" ref="E737">
      <text>
        <t xml:space="preserve">======
ID#AAABjx7qPjQ
    (2025-05-21 11:33:24)
9/18 CHLOE告知市面上已無庫存</t>
      </text>
    </comment>
    <comment authorId="0" ref="H26">
      <text>
        <t xml:space="preserve">======
ID#AAABjx7qPi4
    (2025-05-21 11:33:24)
0128 Mary: 匯款匯入 US$11,920(同H25)</t>
      </text>
    </comment>
    <comment authorId="0" ref="H378">
      <text>
        <t xml:space="preserve">======
ID#AAABjx7qPh8
    (2025-05-21 11:33:24)
alice:7/4-水單匯入USD4316.9沖PI-20190422B.沖PI-20190507B.沖PI-20190513A</t>
      </text>
    </comment>
    <comment authorId="0" ref="K475">
      <text>
        <t xml:space="preserve">======
ID#AAABjx7qPhs
    (2025-05-21 11:33:24)
0722 Santiago同意先出貨。
0701 詢問預計7/11匯款&amp; 運輸方式</t>
      </text>
    </comment>
    <comment authorId="0" ref="H736">
      <text>
        <t xml:space="preserve">======
ID#AAABjx7qPho
    (2025-05-21 11:33:24)
20190918 SAN同意讓客人於下次下單給款</t>
      </text>
    </comment>
    <comment authorId="0" ref="D636">
      <text>
        <t xml:space="preserve">======
ID#AAABjx7qPhM
    (2025-05-21 11:33:24)
8/1請chole 提供庫存給yvonne寄出</t>
      </text>
    </comment>
    <comment authorId="0" ref="V372">
      <text>
        <t xml:space="preserve">======
ID#AAABjx7qPhE
    (2025-05-21 11:33:24)
Alice:2019/04/30-銀行通知水單匯入USD1577-匯出手續費USD40=USD1537*30.85=NT47416</t>
      </text>
    </comment>
    <comment authorId="0" ref="V12">
      <text>
        <t xml:space="preserve">======
ID#AAABjx7qPgk
    (2025-05-21 11:33:24)
ALICE:2019/05/02-水單匯入USD21462.5-(匯出手續費USD10+匯入手續費USD10.73)=USD21441.77*30.84=NT661264</t>
      </text>
    </comment>
    <comment authorId="0" ref="I587">
      <text>
        <t xml:space="preserve">======
ID#AAABjx7qPgg
    (2025-05-21 11:33:24)
Cathy/Santiago</t>
      </text>
    </comment>
    <comment authorId="0" ref="U510">
      <text>
        <t xml:space="preserve">======
ID#AAABjx7qPgQ
    (2025-05-21 11:33:24)
6/13-玉山匯入USD4942-應付3539=1403轉預收貨款   銀行淨收4895.64*31.47</t>
      </text>
    </comment>
    <comment authorId="0" ref="K147">
      <text>
        <t xml:space="preserve">======
ID#AAABjx7qPgI
    (2025-05-21 11:33:24)
0212 Cathy: 原出貨日為2/14，已mail告知san變更出貨日</t>
      </text>
    </comment>
    <comment authorId="0" ref="H503">
      <text>
        <t xml:space="preserve">======
ID#AAABjx7qPfo
    (2025-05-21 11:33:24)
ALICE:8/2-水單匯入USD541元整，沖PI-20190606D USD416+沖PI-20190617A USD125</t>
      </text>
    </comment>
    <comment authorId="0" ref="K535">
      <text>
        <t xml:space="preserve">======
ID#AAABjx7qPfg
    (2025-05-21 11:33:24)
Yvonne:原訂7/4出口116950876，收走後退回更換文件，改新提單出口。</t>
      </text>
    </comment>
    <comment authorId="0" ref="H125">
      <text>
        <t xml:space="preserve">======
ID#AAABjx7qPe4
    (2025-05-21 11:33:24)
0215 Mary:匯款匯入US$21,605+6,990</t>
      </text>
    </comment>
    <comment authorId="0" ref="U406">
      <text>
        <t xml:space="preserve">======
ID#AAABjx7qPew
    (2025-05-21 11:33:24)
ALICE:6/17-玉山匯入17810沖PI-20190508A.沖PI-20190604C</t>
      </text>
    </comment>
    <comment authorId="0" ref="K850">
      <text>
        <t xml:space="preserve">======
ID#AAABjx7qPeI
    (2025-05-21 11:33:24)
10/28 cathy:通知客人交期</t>
      </text>
    </comment>
    <comment authorId="0" ref="H126">
      <text>
        <t xml:space="preserve">======
ID#AAABjx7qPdM
    (2025-05-21 11:33:24)
0215 Mary:匯款匯入US$21,605+6,990</t>
      </text>
    </comment>
    <comment authorId="0" ref="K444">
      <text>
        <t xml:space="preserve">======
ID#AAABjx7qPcc
    (2025-05-21 11:33:24)
0530 San: 客戶已匯款. 下週三款項會到, 可先出</t>
      </text>
    </comment>
    <comment authorId="0" ref="H123">
      <text>
        <t xml:space="preserve">======
ID#AAABjx7qPb0
    (2025-05-21 11:33:24)
ALICE:201904/10水單匯入USD11416*30.78
沖(229+2394+326+34+5274+3066+103)=11426</t>
      </text>
    </comment>
    <comment authorId="0" ref="H921">
      <text>
        <t xml:space="preserve">======
ID#AAABjx7qPbY
    (2025-05-21 11:33:24)
ALICE:1/20-第一USD收款USD1308(手續費0)沖PI-20191203001 USD77+PI-20191126001 USD1231 總計USD1308元整</t>
      </text>
    </comment>
    <comment authorId="0" ref="H578">
      <text>
        <t xml:space="preserve">======
ID#AAABjx7qPbM
    (2025-05-21 11:33:24)
ALICE:9/26玉山水單匯入USD16657沖PI-20190704A USD655.沖PI-20190704A-F USD96.沖PI20190717E USD11479.沖PI-20190726B USD4245.沖PI-20190726B-F 182總沖16657</t>
      </text>
    </comment>
    <comment authorId="0" ref="U445">
      <text>
        <t xml:space="preserve">======
ID#AAABjx7qPbQ
    (2025-05-21 11:33:24)
ALICE:5月應付77875-應收4900對沖=故應付予閎亮72975</t>
      </text>
    </comment>
    <comment authorId="0" ref="H107">
      <text>
        <t xml:space="preserve">======
ID#AAABjx7qPbI
    (2025-05-21 11:33:24)
0128 Mary: 匯款匯入 US$5,260(同H103)</t>
      </text>
    </comment>
    <comment authorId="0" ref="H474">
      <text>
        <t xml:space="preserve">======
ID#AAABjx7qPas
    (2025-05-21 11:33:24)
ALICE:7/19-電文匯入USD16000元整，沖PI-20190603A USD10450+236+2308+3006(4850中的)</t>
      </text>
    </comment>
    <comment authorId="0" ref="D757">
      <text>
        <t xml:space="preserve">======
ID#AAABjx7qPak
    (2025-05-21 11:33:24)
0926 與vivian確認庫存or Yvonne 下單</t>
      </text>
    </comment>
    <comment authorId="0" ref="H113">
      <text>
        <t xml:space="preserve">======
ID#AAABjx7qPac
    (2025-05-21 11:33:24)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315">
      <text>
        <t xml:space="preserve">======
ID#AAABjx7qPaM
    (2025-05-21 11:33:24)
alice:5/10-水單通知usd3751-匯出手續費20-匯入手續費6.46=USD3724.54*30.94=NT115,237元整
沖20190320B USD1270
沖20190322A USD2481
合計總沖USD3751元整</t>
      </text>
    </comment>
    <comment authorId="0" ref="D644">
      <text>
        <t xml:space="preserve">======
ID#AAABjx7qPaE
    (2025-05-21 11:33:24)
在此輸入
需要分兩次出貨
8/21請yvonne 協助下單
9/3 告知會再這兩日匯款</t>
      </text>
    </comment>
    <comment authorId="0" ref="K472">
      <text>
        <t xml:space="preserve">======
ID#AAABjx7qPaI
    (2025-05-21 11:33:24)
0722 Santiago同意先出貨。</t>
      </text>
    </comment>
    <comment authorId="0" ref="D94">
      <text>
        <t xml:space="preserve">======
ID#AAABjx7qPZE
    (2025-05-21 11:33:24)
1/21 Keiju: 已納入生產排程</t>
      </text>
    </comment>
    <comment authorId="0" ref="E332">
      <text>
        <t xml:space="preserve">======
ID#AAABjx7qPY4
    (2025-05-21 11:33:24)
7/23Amy: Santiago agree to reduce 50% price if the goods not approved by end customer ( issue credit note: 20190627)</t>
      </text>
    </comment>
    <comment authorId="0" ref="H98">
      <text>
        <t xml:space="preserve">======
ID#AAABjx7qPY8
    (2025-05-21 11:33:24)
0329 chloe:匯款匯入US$340.5</t>
      </text>
    </comment>
    <comment authorId="0" ref="H406">
      <text>
        <t xml:space="preserve">======
ID#AAABjx7qPYY
    (2025-05-21 11:33:24)
ALICE:6/17-玉山匯入17810沖PI-20190508A.沖PI-20190604C</t>
      </text>
    </comment>
    <comment authorId="0" ref="H111">
      <text>
        <t xml:space="preserve">======
ID#AAABjx7qPYI
    (2025-05-21 11:33:24)
0128 Mary: 匯款匯入 US$5,260(同H103)</t>
      </text>
    </comment>
    <comment authorId="0" ref="J813">
      <text>
        <t xml:space="preserve">======
ID#AAABjx7qPXw
    (2025-05-21 11:33:24)
客人自行安排取貨 
0527待客人確認</t>
      </text>
    </comment>
    <comment authorId="0" ref="F535">
      <text>
        <t xml:space="preserve">======
ID#AAABjx7qPXk
    (2025-05-21 11:33:24)
7/29 AMY: Order 28 pcs but ADVANTECH CANCELLED ORDER DUE TO EOL</t>
      </text>
    </comment>
    <comment authorId="0" ref="U371">
      <text>
        <t xml:space="preserve">======
ID#AAABjx7qPXY
    (2025-05-21 11:33:24)
Alice:2019/04/30-銀行通知水單匯入USD1577-匯出手續費USD40=USD1537*30.85=NT47416</t>
      </text>
    </comment>
    <comment authorId="0" ref="E529">
      <text>
        <t xml:space="preserve">======
ID#AAABjx7qPXI
    (2025-05-21 11:33:24)
4/19 w/Optical Bonding, High Bridhtness 1000 nits, 9-36V PB-409,
Additional 2 USB port, SSD Key</t>
      </text>
    </comment>
    <comment authorId="0" ref="H733">
      <text>
        <t xml:space="preserve">======
ID#AAABjx7qPXM
    (2025-05-21 11:33:24)
ALICE:10/24玉山水單匯入USD478沖PI-20190913A USD478</t>
      </text>
    </comment>
    <comment authorId="0" ref="H336">
      <text>
        <t xml:space="preserve">======
ID#AAABjx7qPW4
    (2025-05-21 11:33:24)
ALICE:2019/04/08-水單匯入USB1543-手續費USD11=USD1532</t>
      </text>
    </comment>
    <comment authorId="0" ref="D397">
      <text>
        <t xml:space="preserve">======
ID#AAABjx7qPWc
    (2025-05-21 11:33:24)
0502 mail請Tammy 下單</t>
      </text>
    </comment>
    <comment authorId="0" ref="F520">
      <text>
        <t xml:space="preserve">======
ID#AAABjx7qPWM
    (2025-05-21 11:33:24)
0820 cathy: 客人revise 提供數量</t>
      </text>
    </comment>
    <comment authorId="0" ref="H70">
      <text>
        <t xml:space="preserve">======
ID#AAABjx7qPVw
    (2025-05-21 11:33:24)
0329 chloe:匯款匯入US$340.5</t>
      </text>
    </comment>
    <comment authorId="0" ref="E541">
      <text>
        <t xml:space="preserve">======
ID#AAABjx7qPVs
    (2025-05-21 11:33:24)
AB-6810404112111210850</t>
      </text>
    </comment>
    <comment authorId="0" ref="H298">
      <text>
        <t xml:space="preserve">======
ID#AAABjx7qPVc
    (2025-05-21 11:33:24)
ALICE:5/3收到USD12965.5(沖PI-20190121B.PI20190217A.PI-20190131C.PI-20190313A.PI-20190306A)</t>
      </text>
    </comment>
    <comment authorId="0" ref="G525">
      <text>
        <t xml:space="preserve">======
ID#AAABjx7qPVU
    (2025-05-21 11:33:24)
180221 Tammy: project price for over 50pcs/lot</t>
      </text>
    </comment>
    <comment authorId="0" ref="H871">
      <text>
        <t xml:space="preserve">======
ID#AAABjx7qPVI
    (2025-05-21 11:33:24)
ALICE:1/3第一NT收到閎亮匯入NT14181沖PI-20191031001 USD466.2</t>
      </text>
    </comment>
    <comment authorId="0" ref="J903">
      <text>
        <t xml:space="preserve">======
ID#AAABjx7qPVM
    (2025-05-21 11:33:24)
客人自取</t>
      </text>
    </comment>
    <comment authorId="0" ref="K609">
      <text>
        <t xml:space="preserve">======
ID#AAABjx7qPVE
    (2025-05-21 11:33:24)
0722 客人告知急，但也同時告知款項要先來</t>
      </text>
    </comment>
    <comment authorId="0" ref="F48">
      <text>
        <t xml:space="preserve">======
ID#AAABjx7qPUk
    (2025-05-21 11:33:24)
在此輸入
庫存2台
20181221 Chole 提供2pcs</t>
      </text>
    </comment>
    <comment authorId="0" ref="E521">
      <text>
        <t xml:space="preserve">======
ID#AAABjx7qPUc
    (2025-05-21 11:33:24)
20190620
 Santiago:
-&gt; 待客戶將 7' LCD (AA070ME01)寄來後， 寄曦立光電做貼合</t>
      </text>
    </comment>
    <comment authorId="0" ref="H720">
      <text>
        <t xml:space="preserve">======
ID#AAABjx7qPT0
    (2025-05-21 11:33:24)
ALICE:11/14-Hectronic匯入USD244(內含手續費USD6.57)沖PI-20190910B USD137 + 沖PI-20190719B-3 USD107</t>
      </text>
    </comment>
    <comment authorId="0" ref="K77">
      <text>
        <t xml:space="preserve">======
ID#AAABjx7qPTs
    (2025-05-21 11:33:24)
6/20 amy: this shipment DOA, the RMA Return date is 04/30, so A/R should be count from 4/30, due date is 6/15</t>
      </text>
    </comment>
    <comment authorId="0" ref="H13">
      <text>
        <t xml:space="preserve">======
ID#AAABjx7qPTo
    (2025-05-21 11:33:24)
ALICE:2019/05/02-水單匯入USD21462.5</t>
      </text>
    </comment>
    <comment authorId="0" ref="J492">
      <text>
        <t xml:space="preserve">======
ID#AAABjx7qPTg
    (2025-05-21 11:33:24)
客人自行安排取貨 
0527待客人確認</t>
      </text>
    </comment>
    <comment authorId="0" ref="D489">
      <text>
        <t xml:space="preserve">======
ID#AAABjx7qPSc
    (2025-05-21 11:33:24)
0605 請TAMMY 下單</t>
      </text>
    </comment>
    <comment authorId="0" ref="H558">
      <text>
        <t xml:space="preserve">======
ID#AAABjx7qPRs
    (2025-05-21 11:33:24)
ALICE:9/25玉山水單USD652沖PI-20190805A USD652元整</t>
      </text>
    </comment>
    <comment authorId="0" ref="H430">
      <text>
        <t xml:space="preserve">======
ID#AAABjx7qPRA
    (2025-05-21 11:33:24)
ALICE:7/17水單匯入USD9362沖PI-20190508B-F 92元.PI-20190508B-1 130元. PI-20190509C 9140元整</t>
      </text>
    </comment>
    <comment authorId="0" ref="H38">
      <text>
        <t xml:space="preserve">======
ID#AAABjx7qPQo
    (2025-05-21 11:33:24)
0225 chloe:匯款匯入5948-10(手續費)</t>
      </text>
    </comment>
    <comment authorId="0" ref="I879">
      <text>
        <t xml:space="preserve">======
ID#AAABjx7qPQQ
    (2025-05-21 11:33:24)
Cathy/Yvonne</t>
      </text>
    </comment>
    <comment authorId="0" ref="H4">
      <text>
        <t xml:space="preserve">======
ID#AAABjx7qPPw
    (2025-05-21 11:33:24)
0306 chloe:匯款匯入US$14480.6(含20190119A RG58 cable Sample)</t>
      </text>
    </comment>
    <comment authorId="0" ref="H832">
      <text>
        <t xml:space="preserve">======
ID#AAABjx7qPPU
    (2025-05-21 11:33:24)
ALICE:12/13一銀USD收到KH匯入USD1562.8(內含手續費USD28.61)沖PI-20191017004 USD1347+PI-20191030001 USD215.8合計總沖USD1562.8</t>
      </text>
    </comment>
    <comment authorId="0" ref="H888">
      <text>
        <t xml:space="preserve">======
ID#AAABjx7qPO4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D472">
      <text>
        <t xml:space="preserve">======
ID#AAABjx7qPN8
    (2025-05-21 11:33:24)
0603 通知Tammy下單</t>
      </text>
    </comment>
    <comment authorId="0" ref="G569">
      <text>
        <t xml:space="preserve">======
ID#AAABjx7qPNc
    (2025-05-21 11:33:24)
190718 Tammy: w/5%</t>
      </text>
    </comment>
    <comment authorId="0" ref="K608">
      <text>
        <t xml:space="preserve">======
ID#AAABjx7qPNQ
    (2025-05-21 11:33:24)
0722 客人告知急，但也同時告知款項要先來</t>
      </text>
    </comment>
    <comment authorId="0" ref="H360">
      <text>
        <t xml:space="preserve">======
ID#AAABjx7qPNM
    (2025-05-21 11:33:24)
Alice:2019/05/21-銀行水單通知USD960-匯款手續費USD6.35=USD953.65*31.51=NT30050元整</t>
      </text>
    </comment>
    <comment authorId="0" ref="H802">
      <text>
        <t xml:space="preserve">======
ID#AAABjx7qPMI
    (2025-05-21 11:33:24)
ALICE:11/20一銀匯入USD5837沖PI-20190930A USD3945+PI-20191003A USD137+PI-20191005A USD1755</t>
      </text>
    </comment>
    <comment authorId="0" ref="U96">
      <text>
        <t xml:space="preserve">======
ID#AAABjx7qPME
    (2025-05-21 11:33:24)
ALICE:PI-20190111A訂單總計USD4578，水單2019/02/27匯入USD4571.49*30.73=NT140,482
手續費USD6.51*30.73=NT200元整</t>
      </text>
    </comment>
    <comment authorId="0" ref="H484">
      <text>
        <t xml:space="preserve">======
ID#AAABjx7qPLw
    (2025-05-21 11:33:24)
0823 chloe 查詢  7/5 已沖銷
應收應付對沖</t>
      </text>
    </comment>
    <comment authorId="0" ref="K870">
      <text>
        <t xml:space="preserve">======
ID#AAABjx7qPLk
    (2025-05-21 11:33:24)
10/30 cathy:通知客人交期</t>
      </text>
    </comment>
    <comment authorId="0" ref="H136">
      <text>
        <t xml:space="preserve">======
ID#AAABjx7qPLQ
    (2025-05-21 11:33:24)
ALICE:2019/05/02-水單匯入USD21462.5</t>
      </text>
    </comment>
    <comment authorId="0" ref="E951">
      <text>
        <t xml:space="preserve">======
ID#AAABjx7qPKs
    (2025-05-21 11:33:24)
1216yvonne:跟宸曜買線請BANK做好要出貨的線。</t>
      </text>
    </comment>
    <comment authorId="0" ref="E372">
      <text>
        <t xml:space="preserve">======
ID#AAABjx7qPJE
    (2025-05-21 11:33:24)
4/19 w/Optical Bonding, High Bridhtness 1000 nits, 9-36V PB-409,
Additional 2 USB port, SSD Key</t>
      </text>
    </comment>
    <comment authorId="0" ref="H838">
      <text>
        <t xml:space="preserve">======
ID#AAABjx7qPI4
    (2025-05-21 11:33:24)
ALICE:1/7第一銀行USD3228 沖PI-20191007006 1501+PI-20191007007 USD1727+PI-20191128002 USD20總沖USD3248</t>
      </text>
    </comment>
    <comment authorId="0" ref="K68">
      <text>
        <t xml:space="preserve">======
ID#AAABjx7qPIs
    (2025-05-21 11:33:24)
0116 chloe:待收到客戶水單或是匯款才能放行出貨</t>
      </text>
    </comment>
    <comment authorId="0" ref="U131">
      <text>
        <t xml:space="preserve">======
ID#AAABjx7qPIo
    (2025-05-21 11:33:24)
ALICE:2019/05/02-水單匯入USD21462.5-(匯出手續費USD10+匯入手續費USD10.73)=USD21441.77*30.84=NT661264</t>
      </text>
    </comment>
    <comment authorId="0" ref="H106">
      <text>
        <t xml:space="preserve">======
ID#AAABjx7qPIU
    (2025-05-21 11:33:24)
0128 Mary: 匯款匯入 US$5,260</t>
      </text>
    </comment>
    <comment authorId="0" ref="H809">
      <text>
        <t xml:space="preserve">======
ID#AAABjx7qPII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H433">
      <text>
        <t xml:space="preserve">======
ID#AAABjx7qPIA
    (2025-05-21 11:33:24)
alice:7/4-水單匯入USD4316.9沖PI-20190422B.沖PI-20190507B.沖PI-20190513A</t>
      </text>
    </comment>
    <comment authorId="0" ref="D709">
      <text>
        <t xml:space="preserve">======
ID#AAABjx7qPHw
    (2025-05-21 11:33:24)
0906 請Chloe 協助下單</t>
      </text>
    </comment>
    <comment authorId="0" ref="H130">
      <text>
        <t xml:space="preserve">======
ID#AAABjx7qPH4
    (2025-05-21 11:33:24)
0327 chloe:匯款匯入42,592-10(手續費)</t>
      </text>
    </comment>
    <comment authorId="0" ref="K180">
      <text>
        <t xml:space="preserve">======
ID#AAABjx7qPHk
    (2025-05-21 11:33:24)
0318 san: 出貨前檢查 (bank/eric/san）
0321 amy: 請注意出貨地Denmark及包裝protection ( plastic bag inside &amp; outer carton/film well packed)</t>
      </text>
    </comment>
    <comment authorId="0" ref="B726">
      <text>
        <t xml:space="preserve">======
ID#AAABjx7qPHc
    (2025-05-21 11:33:24)
新開發客戶</t>
      </text>
    </comment>
    <comment authorId="0" ref="H356">
      <text>
        <t xml:space="preserve">======
ID#AAABjx7qPF0
    (2025-05-21 11:33:24)
ALICE:20190425收到銀行水單匯入通知USD1556*30.81=NT47940(無手續費)</t>
      </text>
    </comment>
    <comment authorId="0" ref="K874">
      <text>
        <t xml:space="preserve">======
ID#AAABjx7qPF4
    (2025-05-21 11:33:24)
1105 mail告知客人交期</t>
      </text>
    </comment>
    <comment authorId="0" ref="J478">
      <text>
        <t xml:space="preserve">======
ID#AAABjx7qPFs
SHIPPING  AS BELOW    (2025-05-21 11:33:24)
103A Mary Street, Richmond, VIC, 3121, Australia
Contact: Jim MacDouall
Phone: +61 417 714 528</t>
      </text>
    </comment>
    <comment authorId="0" ref="K103">
      <text>
        <t xml:space="preserve">======
ID#AAABjx7qPFk
    (2025-05-21 11:33:24)
0226 Cathy: 詢問alan 出雪梨
0121 Sant: 出貨前拍照</t>
      </text>
    </comment>
    <comment authorId="0" ref="H369">
      <text>
        <t xml:space="preserve">======
ID#AAABjx7qPFc
    (2025-05-21 11:33:24)
alice:2019/05/14電文通知USD16645沖(PI20190418C 金額總計15865+PI20190218A 4850中的(780)</t>
      </text>
    </comment>
    <comment authorId="0" ref="H672">
      <text>
        <t xml:space="preserve">======
ID#AAABjx7qPEg
    (2025-05-21 11:33:24)
ALICE:10/31-合庫匯入NT49350沖季宣49378</t>
      </text>
    </comment>
    <comment authorId="0" ref="J735">
      <text>
        <t xml:space="preserve">======
ID#AAABjx7qPEc
    (2025-05-21 11:33:24)
190919 但未知FEDEX服務，出貨前再確認
191008 Economy service</t>
      </text>
    </comment>
    <comment authorId="0" ref="K763">
      <text>
        <t xml:space="preserve">======
ID#AAABjx7qPEM
    (2025-05-21 11:33:24)
1015YVONNE:隨貨寄目錄,並通知san</t>
      </text>
    </comment>
    <comment authorId="0" ref="B362">
      <text>
        <t xml:space="preserve">======
ID#AAABjx7qPCA
    (2025-05-21 11:33:24)
9/10 轉寄Captec Canada ( freight pay by Accuview )</t>
      </text>
    </comment>
    <comment authorId="0" ref="H42">
      <text>
        <t xml:space="preserve">======
ID#AAABjx7qPB8
    (2025-05-21 11:33:24)
0225 chloe:0225 匯款匯入多此筆款項</t>
      </text>
    </comment>
    <comment authorId="0" ref="H935">
      <text>
        <t xml:space="preserve">======
ID#AAABjx7qPB0
    (2025-05-21 11:33:24)
ALICE:1/7第一銀行USD3228 沖PI-20191007006 1501+PI-20191007007 USD1727+PI-20191128002 USD20總沖USD3248</t>
      </text>
    </comment>
    <comment authorId="0" ref="K594">
      <text>
        <t xml:space="preserve">======
ID#AAABjx7qPBU
    (2025-05-21 11:33:24)
1004跟客人確認交期 
10/14客人希望星期四收到</t>
      </text>
    </comment>
    <comment authorId="0" ref="H947">
      <text>
        <t xml:space="preserve">======
ID#AAABjx7qPBE
    (2025-05-21 11:33:24)
ALICE:2020/01/08亞郁匯入NT46486沖PI-20191112005 USD270.9+PI-20191205001 USD1169.7+PI-20191211002 USD97.65</t>
      </text>
    </comment>
    <comment authorId="0" ref="H817">
      <text>
        <t xml:space="preserve">======
ID#AAABjx7qPBI
    (2025-05-21 11:33:24)
ALICE:10/15玉山銀行收到匯入款USD2440(手續費USD)26.53沖PI-20191007012總計USD2440元整</t>
      </text>
    </comment>
    <comment authorId="0" ref="H232">
      <text>
        <t xml:space="preserve">======
ID#AAABjx7qPBA
    (2025-05-21 11:33:24)
ALICE:2019/04/12水單USD11670*30.81(3035+135+5420+2730+310+40)</t>
      </text>
    </comment>
    <comment authorId="0" ref="H770">
      <text>
        <t xml:space="preserve">======
ID#AAABjx7qPA0
    (2025-05-21 11:33:24)
ALICE:11/20一銀匯入USD5837沖PI-20190930A USD3945+PI-20191003A USD137+PI-20191005A USD1755</t>
      </text>
    </comment>
    <comment authorId="0" ref="U485">
      <text>
        <t xml:space="preserve">======
ID#AAABjx7qPAw
    (2025-05-21 11:33:24)
ALICE:6/17-玉山匯入17810沖PI-20190508A.沖PI-20190604C</t>
      </text>
    </comment>
    <comment authorId="0" ref="K16">
      <text>
        <t xml:space="preserve">======
ID#AAABjx7qPAs
    (2025-05-21 11:33:24)
1120Amy: Vecow 年底前交貨, 收到超恩貨+2-3 days出貨Ti2</t>
      </text>
    </comment>
    <comment authorId="0" ref="H299">
      <text>
        <t xml:space="preserve">======
ID#AAABjx7qPAU
    (2025-05-21 11:33:24)
ALICE:5/3收到USD12965.5(沖PI-20190121B.PI20190217A.PI-20190131C.PI-20190313A.PI-20190306A)</t>
      </text>
    </comment>
    <comment authorId="0" ref="H749">
      <text>
        <t xml:space="preserve">======
ID#AAABjx7qPAA
    (2025-05-21 11:33:24)
ALICE:11/4玉山銀行收到匯入款USD407沖PI-20190919A USD407元整</t>
      </text>
    </comment>
    <comment authorId="0" ref="H152">
      <text>
        <t xml:space="preserve">======
ID#AAABjx7qO_o
    (2025-05-21 11:33:24)
0327 chloe:匯款匯入US$4165-20(手續費)</t>
      </text>
    </comment>
    <comment authorId="0" ref="H763">
      <text>
        <t xml:space="preserve">======
ID#AAABjx7qO_U
    (2025-05-21 11:33:24)
ALICE:11/20一銀匯入USD5837沖PI-20190930A USD3945+PI-20191003A USD137+PI-20191005A USD1755</t>
      </text>
    </comment>
    <comment authorId="0" ref="D642">
      <text>
        <t xml:space="preserve">======
ID#AAABjx7qO_E
    (2025-05-21 11:33:24)
在此輸入
需要分兩次出貨
8/21請yvonne 協助下單
9/3 告知會再這兩日匯款</t>
      </text>
    </comment>
    <comment authorId="0" ref="J853">
      <text>
        <t xml:space="preserve">======
ID#AAABjx7qO-4
    (2025-05-21 11:33:24)
191027 UPS服務要和客人確認</t>
      </text>
    </comment>
    <comment authorId="0" ref="H638">
      <text>
        <t xml:space="preserve">======
ID#AAABjx7qO-o
    (2025-05-21 11:33:24)
8/6 Amy EXCHAGE REATE: 31.57
8/28玉山銀行已收到台灣脈動匯入款NT59,621(含手續費10)</t>
      </text>
    </comment>
    <comment authorId="0" ref="U331">
      <text>
        <t xml:space="preserve">======
ID#AAABjx7qO-k
    (2025-05-21 11:33:24)
ALICE:成交總額USD702.1 ，2019/04/19水單匯入USD702.1-手續費USD6.5=USD695.6*30.78=NT21411元整</t>
      </text>
    </comment>
    <comment authorId="0" ref="H117">
      <text>
        <t xml:space="preserve">======
ID#AAABjx7qO-c
    (2025-05-21 11:33:24)
ALICE:5/3收到USD12965.5(沖PI-20190121B.PI20190217A.PI-20190131C.PI-20190313A.PI-20190306A)</t>
      </text>
    </comment>
    <comment authorId="0" ref="H656">
      <text>
        <t xml:space="preserve">======
ID#AAABjx7qO80
    (2025-05-21 11:33:24)
ALICE:9/26玉山銀行匯入USD1212元整，沖PI-20190819A USD1092，沖PI-20190814C USD120</t>
      </text>
    </comment>
    <comment authorId="0" ref="H355">
      <text>
        <t xml:space="preserve">======
ID#AAABjx7qO8c
    (2025-05-21 11:33:24)
ALICE:6/25-新漢匯入46434(合庫)</t>
      </text>
    </comment>
    <comment authorId="0" ref="H272">
      <text>
        <t xml:space="preserve">======
ID#AAABjx7qO8Q
    (2025-05-21 11:33:24)
ALICE:11/22第一銀行收到匯入USD8500(內含銀行手續費USD6.57) PI-20190227G USD4250+PI-20190227H USD4250 總計USD8500</t>
      </text>
    </comment>
    <comment authorId="0" ref="K661">
      <text>
        <t xml:space="preserve">======
ID#AAABjx7qO8A
    (2025-05-21 11:33:24)
1028 cathy 告知客人交期要延到12月底 
0920 請客人確認moxa交期可否接受</t>
      </text>
    </comment>
    <comment authorId="0" ref="H305">
      <text>
        <t xml:space="preserve">======
ID#AAABjx7qO7o
    (2025-05-21 11:33:24)
ALICE:5/3收到USD12965.5(沖PI-20190121B.PI20190217A.PI-20190131C.PI-20190313A.PI-20190306A)</t>
      </text>
    </comment>
    <comment authorId="0" ref="D248">
      <text>
        <t xml:space="preserve">======
ID#AAABjx7qO7Q
    (2025-05-21 11:33:24)
190109 Tammy: 抽驗即可, 謝謝</t>
      </text>
    </comment>
    <comment authorId="0" ref="H726">
      <text>
        <t xml:space="preserve">======
ID#AAABjx7qO7U
    (2025-05-21 11:33:24)
ALICE:9/12玉山水單匯入USD1463沖PI-20190910C USD1463元整</t>
      </text>
    </comment>
    <comment authorId="0" ref="D721">
      <text>
        <t xml:space="preserve">======
ID#AAABjx7qO7M
    (2025-05-21 11:33:24)
0910 Cathy: 已請chloe &amp; Bank 協助</t>
      </text>
    </comment>
    <comment authorId="0" ref="E57">
      <text>
        <t xml:space="preserve">======
ID#AAABjx7qO7E
    (2025-05-21 11:33:24)
在此輸入
vecow offer 195
Jetone 只有i5-8500 at $218</t>
      </text>
    </comment>
    <comment authorId="0" ref="H523">
      <text>
        <t xml:space="preserve">======
ID#AAABjx7qO68
    (2025-05-21 11:33:24)
ALICE:11/6-玉山銀行收到Hectronic匯入款USD19840沖PI-20190620A-3 USD7440.PI-20190620A-2 USD12400</t>
      </text>
    </comment>
    <comment authorId="0" ref="O2">
      <text>
        <t xml:space="preserve">======
ID#AAABjx7qO60
    (2025-05-21 11:33:24)
發票已給會計</t>
      </text>
    </comment>
    <comment authorId="0" ref="H679">
      <text>
        <t xml:space="preserve">======
ID#AAABjx7qO6I
    (2025-05-21 11:33:24)
ALICE:10/8-玉山水單匯入USD1566沖PI-20190828A USD1566</t>
      </text>
    </comment>
    <comment authorId="0" ref="E59">
      <text>
        <t xml:space="preserve">======
ID#AAABjx7qO58
    (2025-05-21 11:33:24)
1224 chloe:樣品庫存</t>
      </text>
    </comment>
    <comment authorId="0" ref="D533">
      <text>
        <t xml:space="preserve">======
ID#AAABjx7qO5M
    (2025-05-21 11:33:24)
0626 通知Tammy 下單</t>
      </text>
    </comment>
    <comment authorId="0" ref="H739">
      <text>
        <t xml:space="preserve">======
ID#AAABjx7qO44
    (2025-05-21 11:33:24)
20190918 SAN同意讓客人於下次下單給款</t>
      </text>
    </comment>
    <comment authorId="0" ref="K4">
      <text>
        <t xml:space="preserve">======
ID#AAABjx7qO4s
    (2025-05-21 11:33:24)
Vecow 年底前交貨, 收到超恩貨+2-3 days出貨Ti2</t>
      </text>
    </comment>
    <comment authorId="0" ref="G746">
      <text>
        <t xml:space="preserve">======
ID#AAABjx7qO3w
    (2025-05-21 11:33:24)
190718 Tammy: w/5%</t>
      </text>
    </comment>
    <comment authorId="0" ref="D677">
      <text>
        <t xml:space="preserve">======
ID#AAABjx7qO3s
    (2025-05-21 11:33:24)
0828 請chloe 協助下單</t>
      </text>
    </comment>
    <comment authorId="0" ref="H310">
      <text>
        <t xml:space="preserve">======
ID#AAABjx7qO3k
    (2025-05-21 11:33:24)
alice:6/20銀行水單匯入USD4462 沖PI20190107A.PI-20190318B.PI-20190508B.PI-20181022C-2-F</t>
      </text>
    </comment>
    <comment authorId="0" ref="E539">
      <text>
        <t xml:space="preserve">======
ID#AAABjx7qO3Y
    (2025-05-21 11:33:24)
20170104 Santiago: 和之前訂單一樣, w/o adapter</t>
      </text>
    </comment>
    <comment authorId="0" ref="K796">
      <text>
        <t xml:space="preserve">======
ID#AAABjx7qO3E
    (2025-05-21 11:33:24)
10/30 cathy:通知客人交期</t>
      </text>
    </comment>
    <comment authorId="0" ref="H239">
      <text>
        <t xml:space="preserve">======
ID#AAABjx7qO3I
    (2025-05-21 11:33:24)
ALICE:201904/10水單匯入USD11416*30.78
沖(229+2394+326+34+5274+3066+103)=11426</t>
      </text>
    </comment>
    <comment authorId="0" ref="K156">
      <text>
        <t xml:space="preserve">======
ID#AAABjx7qO2g
0312 chloe 代寫    (2025-05-21 11:33:24)
先出，已向客戶要求付款</t>
      </text>
    </comment>
    <comment authorId="0" ref="H535">
      <text>
        <t xml:space="preserve">======
ID#AAABjx7qO2k
    (2025-05-21 11:33:24)
ALICE:8/8水單匯入USD2240沖PI-20190628B</t>
      </text>
    </comment>
    <comment authorId="0" ref="H764">
      <text>
        <t xml:space="preserve">======
ID#AAABjx7qO2c
    (2025-05-21 11:33:24)
ALICE:11/20一銀匯入USD5837沖PI-20190930A USD3945+PI-20191003A USD137+PI-20191005A USD1755</t>
      </text>
    </comment>
    <comment authorId="0" ref="K150">
      <text>
        <t xml:space="preserve">======
ID#AAABjx7qO0U
    (2025-05-21 11:33:24)
0131 Cathy:走簡易報關
0130 chloe:
1)用樣品出去，單價US$5
2)待客戶寄回時再看如何跟廣積消退</t>
      </text>
    </comment>
    <comment authorId="0" ref="D875">
      <text>
        <t xml:space="preserve">======
ID#AAABjx7qO0I
    (2025-05-21 11:33:24)
11/1 Cathy: 原Evaluation
PI-20190912A</t>
      </text>
    </comment>
    <comment authorId="0" ref="U20">
      <text>
        <t xml:space="preserve">======
ID#AAABjx7qO0E
    (2025-05-21 11:33:24)
ALICE:PI-20181031-1總計USD1864+PI-20181031A-1-F總計USD610+PI-20181109A總計USD6776+PI20181031A-2總計2000，上述四筆訂單總計USD11250，於2019/02/12水單匯入USD11233.5*30.77=NT345655
匯出手續費USD10+匯入手續費USD6.5=USD16.5*30.77=手續費總計NT508元整</t>
      </text>
    </comment>
    <comment authorId="0" ref="J909">
      <text>
        <t xml:space="preserve">======
ID#AAABjx7qO0A
    (2025-05-21 11:33:24)
客人自取</t>
      </text>
    </comment>
    <comment authorId="0" ref="H101">
      <text>
        <t xml:space="preserve">======
ID#AAABjx7qOz4
    (2025-05-21 11:33:24)
0311  chloe:匯款匯入US1134-20(手續費)</t>
      </text>
    </comment>
    <comment authorId="0" ref="X1">
      <text>
        <t xml:space="preserve">======
ID#AAABjx7qOzs
    (2025-05-21 11:33:24)
已結案
取消
獎金計算中...Chloe拉狀態
進行中(空白)
進行中-&gt;獎金計算中-&gt;已結案</t>
      </text>
    </comment>
    <comment authorId="0" ref="V119">
      <text>
        <t xml:space="preserve">======
ID#AAABjx7qOzo
    (2025-05-21 11:33:24)
ALICE:2019/02/01-應收總額USD38286 實收USD38266-手續費USD19.13=USD38246.87*30.69=NT1,173,796元整</t>
      </text>
    </comment>
    <comment authorId="0" ref="H55">
      <text>
        <t xml:space="preserve">======
ID#AAABjx7qOzE
    (2025-05-21 11:33:24)
alice:2019/05/17水單通知USD19768沖3/4A $1995.3/4A-1$4152.3/4A-1-F $232.3/8B-F $57.12/21A-2-F $144.3/4A-1 $189.10/22C-2 $10227.12/21A-1 $2772.如上總計共USD19768</t>
      </text>
    </comment>
    <comment authorId="0" ref="I594">
      <text>
        <t xml:space="preserve">======
ID#AAABjx7qOzA
    (2025-05-21 11:33:24)
Cathy/Santiago</t>
      </text>
    </comment>
    <comment authorId="0" ref="H813">
      <text>
        <t xml:space="preserve">======
ID#AAABjx7qOyk
    (2025-05-21 11:33:24)
ALICE:10/14匯入USD557-手續費USD17.53=USD539.47沖PI-20191008002 USD557元整</t>
      </text>
    </comment>
    <comment authorId="0" ref="H431">
      <text>
        <t xml:space="preserve">======
ID#AAABjx7qOyg
    (2025-05-21 11:33:24)
alice:7/4-水單匯入USD4316.9沖PI-20190422B.沖PI-20190507B.沖PI-20190513A</t>
      </text>
    </comment>
    <comment authorId="0" ref="G576">
      <text>
        <t xml:space="preserve">======
ID#AAABjx7qOyU
    (2025-05-21 11:33:24)
190718 Tammy: w/5%</t>
      </text>
    </comment>
    <comment authorId="0" ref="H259">
      <text>
        <t xml:space="preserve">======
ID#AAABjx7qOx8
    (2025-05-21 11:33:24)
alice:8/19-水單匯入USD8500，沖PI-20190227D</t>
      </text>
    </comment>
    <comment authorId="0" ref="E404">
      <text>
        <t xml:space="preserve">======
ID#AAABjx7qOxo
    (2025-05-21 11:33:24)
下單請用FPM2150GR3B1601E-T
出貨文件上秀:
FPM-2150G-R3BE
(FPM2150GRB1601E-T)</t>
      </text>
    </comment>
    <comment authorId="0" ref="H127">
      <text>
        <t xml:space="preserve">======
ID#AAABjx7qOxY
    (2025-05-21 11:33:24)
0215 Mary:匯款匯入US$21,605+6,990</t>
      </text>
    </comment>
    <comment authorId="0" ref="H646">
      <text>
        <t xml:space="preserve">======
ID#AAABjx7qOxM
    (2025-05-21 11:33:24)
ALICE:9/10玉山匯入NT108650沖PI20190719A.PI-20190722B.PI-20190725A.PI20190813B</t>
      </text>
    </comment>
    <comment authorId="0" ref="H460">
      <text>
        <t xml:space="preserve">======
ID#AAABjx7qOw0
    (2025-05-21 11:33:24)
ALICE:7/26玉山銀行水單通知匯入USD9754沖PI-20190524B(2000+350).沖PI20190524B-1(3010).沖PI-20190703A(60+70).沖PI20190719B-1 228+1600 PI-20190719B-2 304  PI-20190719B-5 532. PI-20190719B-3 1600</t>
      </text>
    </comment>
    <comment authorId="0" ref="H493">
      <text>
        <t xml:space="preserve">======
ID#AAABjx7qOwM
    (2025-05-21 11:33:24)
ALICE:7/18-收到應收票據 票號AK4244790 到期日108/7/30 支票總額54452元整</t>
      </text>
    </comment>
    <comment authorId="0" ref="H251">
      <text>
        <t xml:space="preserve">======
ID#AAABjx7qOv4
    (2025-05-21 11:33:24)
ALICE:6/17水單匯入USD16108 沖PI-20190227B 8500，沖PI-20190409A 7608</t>
      </text>
    </comment>
    <comment authorId="0" ref="E79">
      <text>
        <t xml:space="preserve">======
ID#AAABjx7qOvo
    (2025-05-21 11:33:24)
256GB 2.5" SSD M3M MP808 Samsung eMMC ET(-25℃~+85℃)</t>
      </text>
    </comment>
    <comment authorId="0" ref="D564">
      <text>
        <t xml:space="preserve">======
ID#AAABjx7qOvY
    (2025-05-21 11:33:24)
190109 Tammy: 抽驗即可, 謝謝</t>
      </text>
    </comment>
    <comment authorId="0" ref="D589">
      <text>
        <t xml:space="preserve">======
ID#AAABjx7qOu8
    (2025-05-21 11:33:24)
20190604 Robin accept W/O AG、AR treatment this time</t>
      </text>
    </comment>
    <comment authorId="0" ref="H236">
      <text>
        <t xml:space="preserve">======
ID#AAABjx7qOuE
    (2025-05-21 11:33:24)
0225 chloe:客戶水單2/25，待我司銀行通知入帳
0226 chloe:匯款匯入6471-11(匯款手續費)</t>
      </text>
    </comment>
    <comment authorId="0" ref="H142">
      <text>
        <t xml:space="preserve">======
ID#AAABjx7qOt8
    (2025-05-21 11:33:24)
0311  chloe:匯款匯入US1134-20(手續費)</t>
      </text>
    </comment>
    <comment authorId="0" ref="H869">
      <text>
        <t xml:space="preserve">======
ID#AAABjx7qOtw
    (2025-05-21 11:33:24)
ALICE:11/4玉山銀行匯入USD1523沖PI-20191030004 USD1523</t>
      </text>
    </comment>
    <comment authorId="0" ref="H23">
      <text>
        <t xml:space="preserve">======
ID#AAABjx7qOtg
    (2025-05-21 11:33:24)
1227 chloe:匯款匯入US$53334</t>
      </text>
    </comment>
    <comment authorId="0" ref="K438">
      <text>
        <t xml:space="preserve">======
ID#AAABjx7qOtQ
    (2025-05-21 11:33:24)
0530 San: 客戶已匯款. 下週三款項會到, 可先出</t>
      </text>
    </comment>
    <comment authorId="0" ref="H868">
      <text>
        <t xml:space="preserve">======
ID#AAABjx7qOtU
    (2025-05-21 11:33:24)
ALICE:11/4玉山銀行匯入USD1523沖PI-20191030004 USD1523</t>
      </text>
    </comment>
    <comment authorId="0" ref="V10">
      <text>
        <t xml:space="preserve">======
ID#AAABjx7qOsw
    (2025-05-21 11:33:24)
ALICE:2019/05/02-水單匯入USD21462.5-(匯出手續費USD10+匯入手續費USD10.73)=USD21441.77*30.84=NT661264</t>
      </text>
    </comment>
    <comment authorId="0" ref="H109">
      <text>
        <t xml:space="preserve">======
ID#AAABjx7qOsc
    (2025-05-21 11:33:24)
0128 Mary: 匯款匯入 US$5,260(同H103)</t>
      </text>
    </comment>
    <comment authorId="0" ref="H517">
      <text>
        <t xml:space="preserve">======
ID#AAABjx7qOsI
    (2025-05-21 11:33:24)
ALICE:6/27水單匯入USD8652.87沖PI20190515C 1394.5.PI-20190625C 46.37.PI-20190508C 6408.PI-20190619B 804共四張PI合計8652.87</t>
      </text>
    </comment>
    <comment authorId="0" ref="I883">
      <text>
        <t xml:space="preserve">======
ID#AAABjx7qOqk
    (2025-05-21 11:33:24)
Cathy/Yvonne</t>
      </text>
    </comment>
    <comment authorId="0" ref="G282">
      <text>
        <t xml:space="preserve">======
ID#AAABjx7qOqU
    (2025-05-21 11:33:24)
190303 w/5% VAT</t>
      </text>
    </comment>
    <comment authorId="0" ref="J491">
      <text>
        <t xml:space="preserve">======
ID#AAABjx7qOqM
    (2025-05-21 11:33:24)
客人自行安排取貨 
0527待客人確認</t>
      </text>
    </comment>
    <comment authorId="0" ref="D942">
      <text>
        <t xml:space="preserve">======
ID#AAABjx7qOqE
    (2025-05-21 11:33:24)
San: 只附3M 膠給客戶就好. 因為膠帶是要貼在LCD上. 非Touch</t>
      </text>
    </comment>
    <comment authorId="0" ref="D477">
      <text>
        <t xml:space="preserve">======
ID#AAABjx7qOp4
    (2025-05-21 11:33:24)
0603 通知Tammy下單</t>
      </text>
    </comment>
    <comment authorId="0" ref="K566">
      <text>
        <t xml:space="preserve">======
ID#AAABjx7qOpw
    (2025-05-21 11:33:24)
190718 Tammy: 發票寄出前，請先提供確認，謝謝。</t>
      </text>
    </comment>
    <comment authorId="0" ref="H709">
      <text>
        <t xml:space="preserve">======
ID#AAABjx7qOpM
    (2025-05-21 11:33:24)
ALICE:10/5-玉山NT匯入59340沖PI20190821C.PI-20190829B.PI-20190906A合計共NT59355元整</t>
      </text>
    </comment>
    <comment authorId="0" ref="V308">
      <text>
        <t xml:space="preserve">======
ID#AAABjx7qOpE
    (2025-05-21 11:33:24)
ALICE:2019/05/02-水單匯入USD21462.5-(匯出手續費USD10+匯入手續費USD10.73)=USD21441.77*30.84=NT661264</t>
      </text>
    </comment>
    <comment authorId="0" ref="H828">
      <text>
        <t xml:space="preserve">======
ID#AAABjx7qOo4
    (2025-05-21 11:33:24)
ALICE:12/10-亞郁匯入NT86152沖PI-20191016001.PI-20191017001.PI-20191030002.PI-20191112005 USD270.9</t>
      </text>
    </comment>
    <comment authorId="0" ref="D256">
      <text>
        <t xml:space="preserve">======
ID#AAABjx7qOoc
    (2025-05-21 11:33:24)
190109 Tammy: 抽驗即可, 謝謝</t>
      </text>
    </comment>
    <comment authorId="0" ref="J873">
      <text>
        <t xml:space="preserve">======
ID#AAABjx7qOoQ
    (2025-05-21 11:33:24)
FOB 
代客人提供forwarder</t>
      </text>
    </comment>
    <comment authorId="0" ref="K494">
      <text>
        <t xml:space="preserve">======
ID#AAABjx7qOn8
    (2025-05-21 11:33:24)
0701 確認客人有需要此貨，待這兩天匯款&amp;Shipping info.</t>
      </text>
    </comment>
    <comment authorId="0" ref="H20">
      <text>
        <t xml:space="preserve">======
ID#AAABjx7qOng
    (2025-05-21 11:33:24)
0213 Mary:匯款匯入US$11,250
12/25 Amy: MOQ Charage TI2 first, will retabe $2000 once shipping qty reach 100pcs</t>
      </text>
    </comment>
    <comment authorId="0" ref="H131">
      <text>
        <t xml:space="preserve">======
ID#AAABjx7qOnQ
    (2025-05-21 11:33:24)
ALICE:2019/05/02-水單匯入USD21462.5</t>
      </text>
    </comment>
    <comment authorId="0" ref="K18">
      <text>
        <t xml:space="preserve">======
ID#AAABjx7qOnE
    (2025-05-21 11:33:24)
0117 改走TNT, 請沛勁由機場取回戎克
0111Cathy: 因電池需申報，目前拉下放於Forwarder，帶IBASE 提供電池相關文件</t>
      </text>
    </comment>
    <comment authorId="0" ref="H591">
      <text>
        <t xml:space="preserve">======
ID#AAABjx7qOmk
    (2025-05-21 11:33:24)
ALICE:7/26玉山銀行水單通知匯入USD9754沖PI-20190524B(2000+350).沖PI20190524B-1(3010).沖PI-20190703A(60+70).沖PI20190719B-1 228+1600 PI-20190719B-2 304  PI-20190719B-5 532. PI-20190719B-3 1600</t>
      </text>
    </comment>
    <comment authorId="0" ref="H845">
      <text>
        <t xml:space="preserve">======
ID#AAABjx7qOmg
    (2025-05-21 11:33:24)
ALICE:10/29玉山水單匯入USD4240沖PI-20191018001</t>
      </text>
    </comment>
    <comment authorId="0" ref="K764">
      <text>
        <t xml:space="preserve">======
ID#AAABjx7qOls
    (2025-05-21 11:33:24)
1015YVONNE:隨貨寄目錄,並通知san</t>
      </text>
    </comment>
    <comment authorId="0" ref="E199">
      <text>
        <t xml:space="preserve">======
ID#AAABjx7qOlY
    (2025-05-21 11:33:24)
自製品DRAM-TS512MSK64W6H戎克料號13-TS0-D30N004-001A</t>
      </text>
    </comment>
    <comment authorId="0" ref="E788">
      <text>
        <t xml:space="preserve">======
ID#AAABjx7qOkw
    (2025-05-21 11:33:24)
20170104 Santiago: 和之前訂單一樣, w/o adapter</t>
      </text>
    </comment>
    <comment authorId="0" ref="H454">
      <text>
        <t xml:space="preserve">======
ID#AAABjx7qOkg
    (2025-05-21 11:33:24)
alice:6/14-玉山匯入USD1346-手續費31.36=USD1314.64*31.47</t>
      </text>
    </comment>
    <comment authorId="0" ref="H465">
      <text>
        <t xml:space="preserve">======
ID#AAABjx7qOkU
    (2025-05-21 11:33:24)
ALICE:8/30-玉山銀行水單通知USD3464沖PI20190524B-2 USD3010.沖PI-20190524B-F USD454合計共USD3464元整</t>
      </text>
    </comment>
    <comment authorId="0" ref="E203">
      <text>
        <t xml:space="preserve">======
ID#AAABjx7qOkE
    (2025-05-21 11:33:24)
自製品DRAM-TS512MSK64W6H戎克料號13-TS0-D30N004-001A</t>
      </text>
    </comment>
    <comment authorId="0" ref="H607">
      <text>
        <t xml:space="preserve">======
ID#AAABjx7qOjo
    (2025-05-21 11:33:24)
ALICE:8/27-玉山匯入USD1544元整，沖PI-20190722C USD1544</t>
      </text>
    </comment>
    <comment authorId="0" ref="H456">
      <text>
        <t xml:space="preserve">======
ID#AAABjx7qOjk
    (2025-05-21 11:33:24)
alice:6/14-玉山匯入USD1346-手續費31.36=USD1314.64*31.47</t>
      </text>
    </comment>
    <comment authorId="0" ref="H865">
      <text>
        <t xml:space="preserve">======
ID#AAABjx7qOjU
    (2025-05-21 11:33:24)
ALICE:12/10-亞郁匯入NT86152沖PI-20191016001.PI-20191017001.PI-20191030002.PI-20191112005 USD270.9</t>
      </text>
    </comment>
    <comment authorId="0" ref="H254">
      <text>
        <t xml:space="preserve">======
ID#AAABjx7qOhQ
    (2025-05-21 11:33:24)
alice:7/22水單匯入USD8500沖PI-20190227C</t>
      </text>
    </comment>
    <comment authorId="0" ref="G325">
      <text>
        <t xml:space="preserve">======
ID#AAABjx7qOg0
    (2025-05-21 11:33:24)
w/5%VAT</t>
      </text>
    </comment>
    <comment authorId="0" ref="D742">
      <text>
        <t xml:space="preserve">======
ID#AAABjx7qOgc
    (2025-05-21 11:33:24)
0820 確認客人，還在合併其他物料下單
0917 要求revise PI No.待PI 簽回
0920 cathy:客人突然告知已匯款，chloe下單，待需告知客人何時可以取貨</t>
      </text>
    </comment>
    <comment authorId="0" ref="I591">
      <text>
        <t xml:space="preserve">======
ID#AAABjx7qOgI
    (2025-05-21 11:33:24)
Cathy/Santiago</t>
      </text>
    </comment>
    <comment authorId="0" ref="K885">
      <text>
        <t xml:space="preserve">======
ID#AAABjx7qOgE
    (2025-05-21 11:33:24)
11/8 cathy: 請告知可提供最快交期 
1223yvonne:Santiago同意放貨</t>
      </text>
    </comment>
    <comment authorId="0" ref="H16">
      <text>
        <t xml:space="preserve">======
ID#AAABjx7qOf8
    (2025-05-21 11:33:24)
alice:2019/05/17水單通知USD19768沖3/4A $1995.3/4A-1$4152.3/4A-1-F $232.3/8B-F $57.12/21A-2-F $144.3/4A-1 $189.10/22C-2 $10227.12/21A-1 $2772.如上總計共USD19768</t>
      </text>
    </comment>
    <comment authorId="0" ref="H724">
      <text>
        <t xml:space="preserve">======
ID#AAABjx7qOf4
    (2025-05-21 11:33:24)
ALICE:9/12玉山水單匯入USD1463沖PI-20190910C USD1463元整</t>
      </text>
    </comment>
    <comment authorId="0" ref="H914">
      <text>
        <t xml:space="preserve">======
ID#AAABjx7qOf0
    (2025-05-21 11:33:24)
ALICE:1/30一銀收到KH匯入USD2352(內含手續費USD26.62)沖PI-20191115001 USD709+PI-20191115002 USD75+PI-20191120002 USD150+PI-20191123002 USD870+PI-20191224001 USD411+PI-20191216001 USD137)</t>
      </text>
    </comment>
    <comment authorId="0" ref="H958">
      <text>
        <t xml:space="preserve">======
ID#AAABjx7qOfw
    (2025-05-21 11:33:24)
ALICE:12/24電文通知匯入款USD909(已內含手續費)沖PI20191218001 USD924故尚餘USD15元未收</t>
      </text>
    </comment>
    <comment authorId="0" ref="U13">
      <text>
        <t xml:space="preserve">======
ID#AAABjx7qOfs
    (2025-05-21 11:33:24)
ALICE:2019/05/02-水單匯入USD21462.5-(匯出手續費USD10+匯入手續費USD10.73)=USD21441.77*30.84=NT661264</t>
      </text>
    </comment>
    <comment authorId="0" ref="D45">
      <text>
        <t xml:space="preserve">======
ID#AAABjx7qOfg
    (2025-05-21 11:33:24)
181212 由1212A改為1212C</t>
      </text>
    </comment>
    <comment authorId="0" ref="H731">
      <text>
        <t xml:space="preserve">======
ID#AAABjx7qOfY
    (2025-05-21 11:33:24)
ALICE:10/24玉山水單匯入USD478沖PI-20190913A USD478</t>
      </text>
    </comment>
    <comment authorId="0" ref="H857">
      <text>
        <t xml:space="preserve">======
ID#AAABjx7qOfQ
    (2025-05-21 11:33:24)
ALICE:1/15一銀收到USD8853(內含手續費USD53.7)沖PI-20191029002 USD4275+PI-20191029003 USD2235+PI-20191029004 USD1988+PI-20191105002 USD355</t>
      </text>
    </comment>
    <comment authorId="0" ref="H338">
      <text>
        <t xml:space="preserve">======
ID#AAABjx7qOe8
    (2025-05-21 11:33:24)
ALICE:2019/04/08-水單匯入USB1543-手續費USD11=USD1532</t>
      </text>
    </comment>
    <comment authorId="0" ref="K570">
      <text>
        <t xml:space="preserve">======
ID#AAABjx7qOew
    (2025-05-21 11:33:24)
190718 Tammy: 發票寄出前，請先提供確認，謝謝。</t>
      </text>
    </comment>
    <comment authorId="0" ref="H542">
      <text>
        <t xml:space="preserve">======
ID#AAABjx7qOeo
    (2025-05-21 11:33:24)
ALICE:7/26玉山銀行水單通知匯入USD9754沖PI-20190524B(2000+350).沖PI20190524B-1(3010).沖PI-20190703A(60+70).沖PI20190719B-1 228+1600 PI-20190719B-2 304  PI-20190719B-5 532. PI-20190719B-3 1600</t>
      </text>
    </comment>
    <comment authorId="0" ref="D597">
      <text>
        <t xml:space="preserve">======
ID#AAABjx7qOes
    (2025-05-21 11:33:24)
20190604 Robin accept W/O AG、AR treatment this time</t>
      </text>
    </comment>
    <comment authorId="0" ref="H944">
      <text>
        <t xml:space="preserve">======
ID#AAABjx7qOeM
    (2025-05-21 11:33:24)
ALICE:2020/01/08亞郁匯入NT46486沖PI-20191112005 USD270.9+PI-20191205001 USD1169.7+PI-20191211002 USD97.65</t>
      </text>
    </comment>
    <comment authorId="0" ref="E783">
      <text>
        <t xml:space="preserve">======
ID#AAABjx7qOeI
    (2025-05-21 11:33:24)
0313 chloe: 戎克備有庫存，見半成品庫存表</t>
      </text>
    </comment>
    <comment authorId="0" ref="K401">
      <text>
        <t xml:space="preserve">======
ID#AAABjx7qOd0
    (2025-05-21 11:33:24)
貨交台灣
新北市汐止市合順街18巷23弄11號5摟</t>
      </text>
    </comment>
    <comment authorId="0" ref="H598">
      <text>
        <t xml:space="preserve">======
ID#AAABjx7qOdc
    (2025-05-21 11:33:24)
ALICE:1/7第一銀行USD3228 沖PI-20191007006 1501+PI-20191007007 USD1727+PI-20191128002 USD20總沖USD3248</t>
      </text>
    </comment>
    <comment authorId="0" ref="D584">
      <text>
        <t xml:space="preserve">======
ID#AAABjx7qOdQ
    (2025-05-21 11:33:24)
20190604 Robin accept W/O AG、AR treatment this time</t>
      </text>
    </comment>
    <comment authorId="0" ref="K288">
      <text>
        <t xml:space="preserve">======
ID#AAABjx7qOcg
    (2025-05-21 11:33:24)
0401 Bruce告知一組LED閃爍，後無反應，請廠商來看。</t>
      </text>
    </comment>
    <comment authorId="0" ref="E134">
      <text>
        <t xml:space="preserve">======
ID#AAABjx7qOcY
    (2025-05-21 11:33:24)
256GB 2.5" SSD M3M MP808 Samsung eMMC ET(-25℃~+85℃)</t>
      </text>
    </comment>
    <comment authorId="0" ref="K54">
      <text>
        <t xml:space="preserve">======
ID#AAABjx7qOb8
    (2025-05-21 11:33:24)
0121出貨前6pcs拍照 
Vecow 年底前交貨, 收到超恩貨+2-3 days出貨Ti2</t>
      </text>
    </comment>
    <comment authorId="0" ref="H952">
      <text>
        <t xml:space="preserve">======
ID#AAABjx7qOb4
    (2025-05-21 11:33:24)
ALICE:2/24一銀收到USD12104沖PI-20191127001 USD6784+PI-20191104001 USD2014+PI-20191213001 USD3306</t>
      </text>
    </comment>
    <comment authorId="0" ref="K11">
      <text>
        <t xml:space="preserve">======
ID#AAABjx7qOas
    (2025-05-21 11:33:24)
0311 Cathy: 生管告知Q18A525005*1PCS 無法開機。廠商取回處理
1120Amy: Vecow 年底前交貨, 收到超恩貨+2-3 days出貨Ti2</t>
      </text>
    </comment>
    <comment authorId="0" ref="H631">
      <text>
        <t xml:space="preserve">======
ID#AAABjx7qOaY
    (2025-05-21 11:33:24)
ALICE:8/2-水單匯入USD1529.4沖PI-20190801B USD1529.4</t>
      </text>
    </comment>
    <comment authorId="0" ref="K592">
      <text>
        <t xml:space="preserve">======
ID#AAABjx7qOaQ
    (2025-05-21 11:33:24)
1004跟客人確認交期 
10/14客人希望星期四收到</t>
      </text>
    </comment>
    <comment authorId="0" ref="D363">
      <text>
        <t xml:space="preserve">======
ID#AAABjx7qOaM
    (2025-05-21 11:33:24)
0417 通知tammy 協助下單,並告知客人有否其他訂單一併下單</t>
      </text>
    </comment>
    <comment authorId="0" ref="D473">
      <text>
        <t xml:space="preserve">======
ID#AAABjx7qOaI
    (2025-05-21 11:33:24)
0603 通知Tammy下單</t>
      </text>
    </comment>
    <comment authorId="0" ref="E504">
      <text>
        <t xml:space="preserve">======
ID#AAABjx7qOZo
    (2025-05-21 11:33:24)
0313 chloe: 戎克備有庫存，見半成品庫存表</t>
      </text>
    </comment>
    <comment authorId="0" ref="D556">
      <text>
        <t xml:space="preserve">======
ID#AAABjx7qOZs
    (2025-05-21 11:33:24)
0712 請chloe協助下單</t>
      </text>
    </comment>
    <comment authorId="0" ref="H51">
      <text>
        <t xml:space="preserve">======
ID#AAABjx7qOZg
    (2025-05-21 11:33:24)
0221 Mary:匯款匯入US$11594</t>
      </text>
    </comment>
    <comment authorId="0" ref="H343">
      <text>
        <t xml:space="preserve">======
ID#AAABjx7qOZM
    (2025-05-21 11:33:24)
ALICE:5/16-銀行水單通知USD5169(沖PO0131D-1 4285.PI-0320-B 175.PI-4/8-A 709)共三筆</t>
      </text>
    </comment>
    <comment authorId="0" ref="H915">
      <text>
        <t xml:space="preserve">======
ID#AAABjx7qOYE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 故PI-20191122001 USD1218已沖795+308=1103 故尚餘USD115未收
12/12-因PI-20191112002原訂單總額USD4818後來改價為USD4686故多收的USD132拿來沖PI-20191122001 USD132 故USD61中餘尚USD44未收</t>
      </text>
    </comment>
    <comment authorId="0" ref="H317">
      <text>
        <t xml:space="preserve">======
ID#AAABjx7qOX8
    (2025-05-21 11:33:24)
ALICE:6/10--黃山ATM轉入18788</t>
      </text>
    </comment>
    <comment authorId="0" ref="H409">
      <text>
        <t xml:space="preserve">======
ID#AAABjx7qOXg
    (2025-05-21 11:33:24)
alice:6/20銀行水單匯入USD4462 沖PI20190107A.PI-20190318B.PI-20190508B.PI-20181022C-2-F</t>
      </text>
    </comment>
    <comment authorId="0" ref="D536">
      <text>
        <t xml:space="preserve">======
ID#AAABjx7qOW4
    (2025-05-21 11:33:24)
0701 通知Chloe 協助下單</t>
      </text>
    </comment>
    <comment authorId="0" ref="H861">
      <text>
        <t xml:space="preserve">======
ID#AAABjx7qOWo
    (2025-05-21 11:33:24)
ALICE:1/15一銀收到USD8853(內含手續費USD53.7)沖PI-20191029002 USD4275+PI-20191029003 USD2235+PI-20191029004 USD1988+PI-20191105002 USD355</t>
      </text>
    </comment>
    <comment authorId="0" ref="G436">
      <text>
        <t xml:space="preserve">======
ID#AAABjx7qOWk
    (2025-05-21 11:33:24)
190513 w/ 5%VAT</t>
      </text>
    </comment>
    <comment authorId="0" ref="H896">
      <text>
        <t xml:space="preserve">======
ID#AAABjx7qOWg
    (2025-05-21 11:33:24)
ALICE:2020/01/08亞郁匯入NT46486沖PI-20191112005 USD270.9+PI-20191205001 USD1169.7+PI-20191211002 USD97.65</t>
      </text>
    </comment>
    <comment authorId="0" ref="V444">
      <text>
        <t xml:space="preserve">======
ID#AAABjx7qOWc
    (2025-05-21 11:33:24)
ALICE:5/30水單匯入USD3743.66*31.57 (手續費USD6.34*31.57)</t>
      </text>
    </comment>
    <comment authorId="0" ref="H815">
      <text>
        <t xml:space="preserve">======
ID#AAABjx7qOWQ
    (2025-05-21 11:33:24)
ALICE:10/15玉山銀行收到匯入款USD2440(手續費USD)26.53沖PI-20191007012總計USD2440元整</t>
      </text>
    </comment>
    <comment authorId="0" ref="D475">
      <text>
        <t xml:space="preserve">======
ID#AAABjx7qOWM
    (2025-05-21 11:33:24)
0603 通知Tammy下單</t>
      </text>
    </comment>
    <comment authorId="0" ref="H178">
      <text>
        <t xml:space="preserve">======
ID#AAABjx7qOV8
    (2025-05-21 11:33:24)
0327 chloe:匯款匯入US4578-6.51(手續費)</t>
      </text>
    </comment>
    <comment authorId="0" ref="H266">
      <text>
        <t xml:space="preserve">======
ID#AAABjx7qOV0
    (2025-05-21 11:33:24)
ALICE:10/21玉山銀行匯入USD4250沖PI-20190227F USD4250</t>
      </text>
    </comment>
    <comment authorId="0" ref="D446">
      <text>
        <t xml:space="preserve">======
ID#AAABjx7qOVY
    (2025-05-21 11:33:24)
0612 通知要核銷
0521 通知Tammy 下單
0520 亞郁已給PO單
0614  物料寄回Elgens  
0617 請Yvonne 寄回moxa nicky(貨&amp; 折讓單)</t>
      </text>
    </comment>
    <comment authorId="0" ref="H489">
      <text>
        <t xml:space="preserve">======
ID#AAABjx7qOUo
    (2025-05-21 11:33:24)
ALICE:7/8-電文通知USD2300沖PI-20190604D.PI-20190611A</t>
      </text>
    </comment>
    <comment authorId="0" ref="H564">
      <text>
        <t xml:space="preserve">======
ID#AAABjx7qOUc
    (2025-05-21 11:33:24)
alice:11/19-一銀Hatteland電文通知匯入USD58800 沖PI-20190717A USD58800</t>
      </text>
    </comment>
    <comment authorId="0" ref="H240">
      <text>
        <t xml:space="preserve">======
ID#AAABjx7qOUY
    (2025-05-21 11:33:24)
ALICE:201904/10水單匯入USD11416*30.78
沖(229+2394+326+34+5274+3066+103)=11426</t>
      </text>
    </comment>
    <comment authorId="0" ref="H502">
      <text>
        <t xml:space="preserve">======
ID#AAABjx7qOUE
    (2025-05-21 11:33:24)
ALICE:8/2-水單匯入USD541元整，沖PI-20190606D USD416+沖PI-20190617A USD125</t>
      </text>
    </comment>
    <comment authorId="0" ref="K93">
      <text>
        <t xml:space="preserve">======
ID#AAABjx7qOUA
    (2025-05-21 11:33:24)
0212 San: 用DHL箱子把2個貨箱放成一個箱子</t>
      </text>
    </comment>
    <comment authorId="0" ref="E653">
      <text>
        <t xml:space="preserve">======
ID#AAABjx7qOTc
    (2025-05-21 11:33:24)
1003Kishore: 告知需要加Gasket</t>
      </text>
    </comment>
    <comment authorId="0" ref="H62">
      <text>
        <t xml:space="preserve">======
ID#AAABjx7qOTE
    (2025-05-21 11:33:24)
0124 chloe:匯款匯入US$48799</t>
      </text>
    </comment>
    <comment authorId="0" ref="E558">
      <text>
        <t xml:space="preserve">======
ID#AAABjx7qOS8
    (2025-05-21 11:33:24)
下單請用FPM2150GR3B1601E-T
出貨文件上秀:
FPM-2150G-R3BE
(FPM2150GRB1601E-T)</t>
      </text>
    </comment>
    <comment authorId="0" ref="H892">
      <text>
        <t xml:space="preserve">======
ID#AAABjx7qOSo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D276">
      <text>
        <t xml:space="preserve">======
ID#AAABjx7qOR8
    (2025-05-21 11:33:24)
190109 Tammy: 抽驗即可, 謝謝</t>
      </text>
    </comment>
    <comment authorId="0" ref="E520">
      <text>
        <t xml:space="preserve">======
ID#AAABjx7qORw
0620 Santiago    (2025-05-21 11:33:24)
-&gt; 待客戶將 7' LCD (AA070ME01)寄來後， 寄曦立光電做貼合</t>
      </text>
    </comment>
    <comment authorId="0" ref="O139">
      <text>
        <t xml:space="preserve">======
ID#AAABjx7qORs
    (2025-05-21 11:33:24)
0311 chloe:含PO20190124B</t>
      </text>
    </comment>
    <comment authorId="0" ref="K595">
      <text>
        <t xml:space="preserve">======
ID#AAABjx7qORk
    (2025-05-21 11:33:24)
1004跟客人確認交期 
10/14客人希望星期四收到</t>
      </text>
    </comment>
    <comment authorId="0" ref="H112">
      <text>
        <t xml:space="preserve">======
ID#AAABjx7qOPY
    (2025-05-21 11:33:24)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313">
      <text>
        <t xml:space="preserve">======
ID#AAABjx7qOPQ
    (2025-05-21 11:33:24)
3/22 chloe:匯入US394-15(手續費)</t>
      </text>
    </comment>
    <comment authorId="0" ref="H617">
      <text>
        <t xml:space="preserve">======
ID#AAABjx7qOPE
    (2025-05-21 11:33:24)
ALICE:7/15-客戶多付NT10540元沖PI-20190726A金額NT2995(故結餘預收貨款NT7545元整)</t>
      </text>
    </comment>
    <comment authorId="0" ref="H755">
      <text>
        <t xml:space="preserve">======
ID#AAABjx7qOOo
    (2025-05-21 11:33:24)
ALICE:9/24玉山水單通知USD1407.5沖PI-20190923A USD1407.5元整</t>
      </text>
    </comment>
    <comment authorId="0" ref="K663">
      <text>
        <t xml:space="preserve">======
ID#AAABjx7qONw
    (2025-05-21 11:33:24)
1028 cathy 告知客人交期要延到12月底 
0920 請客人確認moxa交期可否接受</t>
      </text>
    </comment>
    <comment authorId="0" ref="H600">
      <text>
        <t xml:space="preserve">======
ID#AAABjx7qONQ
    (2025-05-21 11:33:24)
ALICE:9/23玉山銀行水單通知匯入USD14587沖PI-20190626A 334.5 沖PI-20190703B 8550.沖PI20190719C 5212.5.沖PI-20190722A 210.沖PI-20190801C 280 合計總沖USD14587元整</t>
      </text>
    </comment>
    <comment authorId="0" ref="E612">
      <text>
        <t xml:space="preserve">======
ID#AAABjx7qOM8
    (2025-05-21 11:33:24)
0724 chloe:EU ADAPTER</t>
      </text>
    </comment>
    <comment authorId="0" ref="D678">
      <text>
        <t xml:space="preserve">======
ID#AAABjx7qOMk
    (2025-05-21 11:33:24)
0828 請chloe 協助下單</t>
      </text>
    </comment>
    <comment authorId="0" ref="H636">
      <text>
        <t xml:space="preserve">======
ID#AAABjx7qOME
    (2025-05-21 11:33:24)
ALICE:10/1玉山收到閎亮匯入款NT14645(手續費15)沖PI-20190801E.沖PI-20190820B 合計共NT14660元整</t>
      </text>
    </comment>
    <comment authorId="0" ref="J912">
      <text>
        <t xml:space="preserve">======
ID#AAABjx7qOLw
    (2025-05-21 11:33:24)
DHL Account Number : 956287207 for Freight ( AVIHS Technologies )</t>
      </text>
    </comment>
    <comment authorId="0" ref="H301">
      <text>
        <t xml:space="preserve">======
ID#AAABjx7qOLQ
    (2025-05-21 11:33:24)
ALICE:2019/05/02-水單匯入USD21462.5</t>
      </text>
    </comment>
    <comment authorId="0" ref="G1">
      <text>
        <t xml:space="preserve">======
ID#AAABjx7qOK4
    (2025-05-21 11:33:24)
20181001 San: 美金
20190718 chloe:
單價- 
國內單價(含稅)
國外單價(不含稅)</t>
      </text>
    </comment>
    <comment authorId="0" ref="H807">
      <text>
        <t xml:space="preserve">======
ID#AAABjx7qOKw
    (2025-05-21 11:33:24)
ALICE:10/24玉山水單匯入USD13256沖PI-20191007010 USD13256</t>
      </text>
    </comment>
    <comment authorId="0" ref="H276">
      <text>
        <t xml:space="preserve">======
ID#AAABjx7qOKY
    (2025-05-21 11:33:24)
ALICE:11/22第一銀行收到匯入USD8500(內含銀行手續費USD6.57) PI-20190227G USD4250+PI-20190227H USD4250 總計USD8500</t>
      </text>
    </comment>
    <comment authorId="0" ref="D471">
      <text>
        <t xml:space="preserve">======
ID#AAABjx7qOKI
    (2025-05-21 11:33:24)
0531 請TAMMY下單</t>
      </text>
    </comment>
    <comment authorId="0" ref="K57">
      <text>
        <t xml:space="preserve">======
ID#AAABjx7qOKA
    (2025-05-21 11:33:24)
032５
2/12 Jay reply 2/19 by partial 3 pcs
Reply to Ti2 ship date: 2/21</t>
      </text>
    </comment>
    <comment authorId="0" ref="H605">
      <text>
        <t xml:space="preserve">======
ID#AAABjx7qOJ8
    (2025-05-21 11:33:24)
ALICE:9/23玉山銀行水單通知匯入USD14587沖PI-20190626A 334.5 沖PI-20190703B 8550.沖PI20190719C 5212.5.沖PI-20190722A 210.沖PI-20190801C 280 合計總沖USD14587元整</t>
      </text>
    </comment>
    <comment authorId="0" ref="H531">
      <text>
        <t xml:space="preserve">======
ID#AAABjx7qOJ0
    (2025-05-21 11:33:24)
ALICE:9/23玉山銀行水單通知匯入USD14587沖PI-20190626A 334.5 沖PI-20190703B 8550.沖PI20190719C 5212.5.沖PI-20190722A 210.沖PI-20190801C 280 合計總沖USD14587元整</t>
      </text>
    </comment>
    <comment authorId="0" ref="I838">
      <text>
        <t xml:space="preserve">======
ID#AAABjx7qOJw
    (2025-05-21 11:33:24)
Cathy/Santiago</t>
      </text>
    </comment>
    <comment authorId="0" ref="K794">
      <text>
        <t xml:space="preserve">======
ID#AAABjx7qOJQ
    (2025-05-21 11:33:24)
1128yvonne:客戶通知要等ISD-1210-T*10pcs到貨一併出。</t>
      </text>
    </comment>
    <comment authorId="0" ref="H880">
      <text>
        <t xml:space="preserve">======
ID#AAABjx7qOJE
    (2025-05-21 11:33:24)
12/18-合庫匯入USD10954(內含手續費USD18.65)沖PI-20191108001 USD10954(12600)故尚餘USD1646尚未支付
ALICE:2020/01/10-SA匯入USD37024-沖PI-20191108001 (5904+2010+440+20104+950+6270)+1346(12600中的1346)=USD37024  
結餘12600餘300未收
ALICE:2020/1/20一銀收款USD10000(沖PI-20191108001 此筆USD300)結清</t>
      </text>
    </comment>
    <comment authorId="0" ref="H574">
      <text>
        <t xml:space="preserve">======
ID#AAABjx7qOIw
    (2025-05-21 11:33:24)
ALICE:8/22玉山銀行匯入NT1,596,000+NT1,978=NT1,597,978元整，沖PI-20190717C NT1,586,124 ，沖PI-20190813C NT11,854</t>
      </text>
    </comment>
    <comment authorId="0" ref="D720">
      <text>
        <t xml:space="preserve">======
ID#AAABjx7qOIg
    (2025-05-21 11:33:24)
0910 Cathy: 已請chloe &amp; Bank 協助</t>
      </text>
    </comment>
    <comment authorId="0" ref="K179">
      <text>
        <t xml:space="preserve">======
ID#AAABjx7qOIQ
    (2025-05-21 11:33:24)
0212 San: 用DHL箱子把2個貨箱放成一個箱子</t>
      </text>
    </comment>
    <comment authorId="0" ref="F20">
      <text>
        <t xml:space="preserve">======
ID#AAABjx7qOII
    (2025-05-21 11:33:24)
1/14原通知TI2MOQ數量是100PC, NEXT TIME WILL BE 300 PCS</t>
      </text>
    </comment>
    <comment authorId="0" ref="K593">
      <text>
        <t xml:space="preserve">======
ID#AAABjx7qOHw
    (2025-05-21 11:33:24)
1004跟客人確認交期 
10/14客人希望星期四收到</t>
      </text>
    </comment>
    <comment authorId="0" ref="U356">
      <text>
        <t xml:space="preserve">======
ID#AAABjx7qOH4
    (2025-05-21 11:33:24)
ALICE:20190425收到銀行水單匯入通知USD1556*30.81=NT47940(無手續費)</t>
      </text>
    </comment>
    <comment authorId="0" ref="H153">
      <text>
        <t xml:space="preserve">======
ID#AAABjx7qOHs
    (2025-05-21 11:33:24)
0327 chloe:匯款匯入US$4165-20(手續費)</t>
      </text>
    </comment>
    <comment authorId="0" ref="K69">
      <text>
        <t xml:space="preserve">======
ID#AAABjx7qOG8
    (2025-05-21 11:33:24)
0116 chloe:待收到客戶水單或是匯款才能放行出貨</t>
      </text>
    </comment>
    <comment authorId="0" ref="K823">
      <text>
        <t xml:space="preserve">======
ID#AAABjx7qOGk
    (2025-05-21 11:33:24)
在此輸入
在此輸入
11/12 芳慎需星期五中午前收到 
原交期 11/14</t>
      </text>
    </comment>
    <comment authorId="0" ref="K867">
      <text>
        <t xml:space="preserve">======
ID#AAABjx7qOGM
    (2025-05-21 11:33:24)
10/30 cathy:通知客人交期</t>
      </text>
    </comment>
    <comment authorId="0" ref="H444">
      <text>
        <t xml:space="preserve">======
ID#AAABjx7qOGE
    (2025-05-21 11:33:24)
alice:5/30-銀行水單USD3750</t>
      </text>
    </comment>
    <comment authorId="0" ref="H461">
      <text>
        <t xml:space="preserve">======
ID#AAABjx7qOFQ
    (2025-05-21 11:33:24)
ALICE:7/26玉山銀行水單通知匯入USD9754沖PI-20190524B(2000+350).沖PI20190524B-1(3010).沖PI-20190703A(60+70).沖PI20190719B-1 228+1600 PI-20190719B-2 304  PI-20190719B-5 532. PI-20190719B-3 1600</t>
      </text>
    </comment>
    <comment authorId="0" ref="E730">
      <text>
        <t xml:space="preserve">======
ID#AAABjx7qOEo
    (2025-05-21 11:33:24)
有做IEC60945</t>
      </text>
    </comment>
    <comment authorId="0" ref="D122">
      <text>
        <t xml:space="preserve">======
ID#AAABjx7qOEc
    (2025-05-21 11:33:24)
1/25宸曜這批無法協駔組裝SSD &amp; DRAM, 需自行組裝, 並請確認SATA Cable、DRAM處需點膠加強.</t>
      </text>
    </comment>
    <comment authorId="0" ref="E522">
      <text>
        <t xml:space="preserve">======
ID#AAABjx7qOEU
    (2025-05-21 11:33:24)
20190620
 Santiago:
-&gt; 待客戶將 7' LCD (AA070ME01)寄來後， 寄曦立光電做貼合</t>
      </text>
    </comment>
    <comment authorId="0" ref="K415">
      <text>
        <t xml:space="preserve">======
ID#AAABjx7qOEM
    (2025-05-21 11:33:24)
Customer request shipment asap.  Please help what we can do.  Thanks.</t>
      </text>
    </comment>
    <comment authorId="0" ref="H819">
      <text>
        <t xml:space="preserve">======
ID#AAABjx7qODk
    (2025-05-21 11:33:24)
ALICE:10/16玉山銀行匯入USD1285沖PI-20191014001 USD1285元</t>
      </text>
    </comment>
    <comment authorId="0" ref="H518">
      <text>
        <t xml:space="preserve">======
ID#AAABjx7qODQ
    (2025-05-21 11:33:24)
ALICE:9/3玉山銀行水單通知USD5580沖PI-20190620A-1</t>
      </text>
    </comment>
    <comment authorId="0" ref="R221">
      <text>
        <t xml:space="preserve">======
ID#AAABjx7qODE
alice    (2025-05-21 11:33:24)
出口報單報關日期108/03/26-CG//08/376/2Y449報單金額USD5053*30.825=155759</t>
      </text>
    </comment>
    <comment authorId="0" ref="H619">
      <text>
        <t xml:space="preserve">======
ID#AAABjx7qOC8
    (2025-05-21 11:33:24)
ALICE:9/26玉山水單匯入USD16657沖PI-20190704A USD655.沖PI-20190704A-F USD96.沖PI20190717E USD11479.沖PI-20190726B USD4245.沖PI-20190726B-F 182總沖16657</t>
      </text>
    </comment>
    <comment authorId="0" ref="K280">
      <text>
        <t xml:space="preserve">======
ID#AAABjx7qOCs
    (2025-05-21 11:33:24)
0401 santi 告知改4/8出貨</t>
      </text>
    </comment>
    <comment authorId="0" ref="H853">
      <text>
        <t xml:space="preserve">======
ID#AAABjx7qOCE
    (2025-05-21 11:33:24)
ALICE:12/9-一銀匯入USD4215(內含手續費USD6.57)沖PI-20191027001 USD4215元整</t>
      </text>
    </comment>
    <comment authorId="0" ref="H325">
      <text>
        <t xml:space="preserve">======
ID#AAABjx7qOBo
    (2025-05-21 11:33:24)
ALICE:5/27-銀行匯入NT69487</t>
      </text>
    </comment>
    <comment authorId="0" ref="D123">
      <text>
        <t xml:space="preserve">======
ID#AAABjx7qOBY
    (2025-05-21 11:33:24)
1/25宸曜這批無法協駔組裝SSD &amp; DRAM, 需自行組裝, 並請確認SATA Cable、DRAM處需點膠加強.</t>
      </text>
    </comment>
    <comment authorId="0" ref="H159">
      <text>
        <t xml:space="preserve">======
ID#AAABjx7qOBU
    (2025-05-21 11:33:24)
0307 chloe:匯款匯入US39896-37(手續費)</t>
      </text>
    </comment>
    <comment authorId="0" ref="H867">
      <text>
        <t xml:space="preserve">======
ID#AAABjx7qOBE
    (2025-05-21 11:33:24)
ALICE:11/4玉山銀行匯入USD1523沖PI-20191030004 USD1523</t>
      </text>
    </comment>
    <comment authorId="0" ref="B725">
      <text>
        <t xml:space="preserve">======
ID#AAABjx7qOA0
    (2025-05-21 11:33:24)
新開發客戶</t>
      </text>
    </comment>
    <comment authorId="0" ref="G672">
      <text>
        <t xml:space="preserve">======
ID#AAABjx7qOAc
    (2025-05-21 11:33:24)
190215 w/5% vat</t>
      </text>
    </comment>
    <comment authorId="0" ref="H844">
      <text>
        <t xml:space="preserve">======
ID#AAABjx7qOAU
    (2025-05-21 11:33:24)
ALICE:1/7第一銀行USD3228 沖PI-20191007006 1501+PI-20191007007 USD1727+PI-20191128002 USD20總沖USD3248</t>
      </text>
    </comment>
    <comment authorId="0" ref="G376">
      <text>
        <t xml:space="preserve">======
ID#AAABjx7qN_s
    (2025-05-21 11:33:24)
180221 Tammy: project price for over 50pcs/lot</t>
      </text>
    </comment>
    <comment authorId="0" ref="H545">
      <text>
        <t xml:space="preserve">======
ID#AAABjx7qN_o
    (2025-05-21 11:33:24)
alice:7/23水單匯入USD1020</t>
      </text>
    </comment>
    <comment authorId="0" ref="H565">
      <text>
        <t xml:space="preserve">======
ID#AAABjx7qN_c
    (2025-05-21 11:33:24)
ALICE:8/22玉山銀行匯入NT1,596,000+NT1,978=NT1,597,978元整，沖PI-20190717C NT1,586,124 ，沖PI-20190813C NT11,854</t>
      </text>
    </comment>
    <comment authorId="0" ref="K743">
      <text>
        <t xml:space="preserve">======
ID#AAABjx7qN-w
    (2025-05-21 11:33:24)
0926yvonne:0925收走</t>
      </text>
    </comment>
    <comment authorId="0" ref="G435">
      <text>
        <t xml:space="preserve">======
ID#AAABjx7qN-M
    (2025-05-21 11:33:23)
190513 w/ 5%VAT</t>
      </text>
    </comment>
    <comment authorId="0" ref="H849">
      <text>
        <t xml:space="preserve">======
ID#AAABjx7qN98
    (2025-05-21 11:33:23)
ALICE:10/28-合庫收款USD2852(含手續費USD17.56) 沖PI-20191024002 USD2852</t>
      </text>
    </comment>
    <comment authorId="0" ref="H228">
      <text>
        <t xml:space="preserve">======
ID#AAABjx7qN90
    (2025-05-21 11:33:23)
ALICE:2019/04/12水單USD11670*30.81(3035+135+5420+2730+310+40)</t>
      </text>
    </comment>
    <comment authorId="0" ref="K866">
      <text>
        <t xml:space="preserve">======
ID#AAABjx7qN9w
    (2025-05-21 11:33:23)
chloe
1028: 原先告知10/30
1104: 尚未告知MOXA！！原倉庫(木新路)收貨至11/14止，11/15暫停收貨 ，
11/18之後送貨請送至新倉庫:新北市新店區寶橋路235巷118號2AF</t>
      </text>
    </comment>
    <comment authorId="0" ref="H443">
      <text>
        <t xml:space="preserve">======
ID#AAABjx7qN9g
    (2025-05-21 11:33:23)
ALICE:6/27水單匯入USD8652.87沖PI20190515C 1394.5.PI-20190625C 46.37.PI-20190508C 6408.PI-20190619B 804共四張PI合計8652.87</t>
      </text>
    </comment>
    <comment authorId="0" ref="G284">
      <text>
        <t xml:space="preserve">======
ID#AAABjx7qN9A
    (2025-05-21 11:33:23)
190303 w/5% VAT</t>
      </text>
    </comment>
    <comment authorId="0" ref="H316">
      <text>
        <t xml:space="preserve">======
ID#AAABjx7qN8g
    (2025-05-21 11:33:23)
ALICE:5/16-銀行水單通知USD5169(沖PO0131D-1 4285.PI-0320-B 175.PI-4/8-A 709)共三筆</t>
      </text>
    </comment>
    <comment authorId="0" ref="U438">
      <text>
        <t xml:space="preserve">======
ID#AAABjx7qN8c
    (2025-05-21 11:33:23)
ALICE:5/30水單匯入USD3743.66*31.57 (手續費USD6.34*31.57)</t>
      </text>
    </comment>
    <comment authorId="0" ref="H505">
      <text>
        <t xml:space="preserve">======
ID#AAABjx7qN8M
    (2025-05-21 11:33:23)
alice:7/31-水單匯入USD2124沖PI-20190131D-2 857.沖PI-20190610A 565.沖PI-20190607A 444.沖PI-20190612A 258</t>
      </text>
    </comment>
    <comment authorId="0" ref="K849">
      <text>
        <t xml:space="preserve">======
ID#AAABjx7qN74
    (2025-05-21 11:33:23)
10/28 cathy:通知客人交期</t>
      </text>
    </comment>
    <comment authorId="0" ref="H214">
      <text>
        <t xml:space="preserve">======
ID#AAABjx7qN70
    (2025-05-21 11:33:23)
ALICE:2019/04/08-收到水單USD31764-手續費USD12=USD31752
詳4/8-客戶回覆沖帳明細mail(12540+944+2010+5770+10500=31764)</t>
      </text>
    </comment>
    <comment authorId="0" ref="H530">
      <text>
        <t xml:space="preserve">======
ID#AAABjx7qN7Q
    (2025-05-21 11:33:23)
ALICE:6/27水單匯入USD8652.87沖PI20190515C 1394.5.PI-20190625C 46.37.PI-20190508C 6408.PI-20190619B 804共四張PI合計8652.87</t>
      </text>
    </comment>
    <comment authorId="0" ref="D388">
      <text>
        <t xml:space="preserve">======
ID#AAABjx7qN7M
    (2025-05-21 11:33:23)
0426 已mail倉管提供物料</t>
      </text>
    </comment>
    <comment authorId="0" ref="E342">
      <text>
        <t xml:space="preserve">======
ID#AAABjx7qN7I
    (2025-05-21 11:33:23)
1224 chloe:樣品庫存</t>
      </text>
    </comment>
    <comment authorId="0" ref="H65">
      <text>
        <t xml:space="preserve">======
ID#AAABjx7qN6k
    (2025-05-21 11:33:23)
0124 chloe:匯款匯入US$48799</t>
      </text>
    </comment>
    <comment authorId="0" ref="H220">
      <text>
        <t xml:space="preserve">======
ID#AAABjx7qN58
    (2025-05-21 11:33:23)
ALICE:201904/10水單匯入USD11416*30.78
沖(229+2394+326+34+5274+3066+103)=11426</t>
      </text>
    </comment>
    <comment authorId="0" ref="H496">
      <text>
        <t xml:space="preserve">======
ID#AAABjx7qN44
    (2025-05-21 11:33:23)
0829 chloe: 貨款尚未收到，因應ERP 先計算獎金
alice:11/1玉山銀行收入SA匯入款10500沖PI-20190606C 10500</t>
      </text>
    </comment>
    <comment authorId="0" ref="D252">
      <text>
        <t xml:space="preserve">======
ID#AAABjx7qN4s
    (2025-05-21 11:33:23)
190109 Tammy: 抽驗即可, 謝謝</t>
      </text>
    </comment>
    <comment authorId="0" ref="H164">
      <text>
        <t xml:space="preserve">======
ID#AAABjx7qN4c
    (2025-05-21 11:33:23)
0307 chloe:匯款匯入US39896-37(手續費)</t>
      </text>
    </comment>
    <comment authorId="0" ref="E423">
      <text>
        <t xml:space="preserve">======
ID#AAABjx7qN4M
    (2025-05-21 11:33:23)
24"Panel PC &amp; VESA 裝入同一外箱</t>
      </text>
    </comment>
    <comment authorId="0" ref="D643">
      <text>
        <t xml:space="preserve">======
ID#AAABjx7qN4A
    (2025-05-21 11:33:23)
在此輸入
需要分兩次出貨
8/21請yvonne 協助下單
9/3 告知會再這兩日匯款</t>
      </text>
    </comment>
    <comment authorId="0" ref="G917">
      <text>
        <t xml:space="preserve">======
ID#AAABjx7qN30
    (2025-05-21 11:33:23)
190718 Tammy: w/5%</t>
      </text>
    </comment>
    <comment authorId="0" ref="I871">
      <text>
        <t xml:space="preserve">======
ID#AAABjx7qN3w
    (2025-05-21 11:33:23)
原cathy</t>
      </text>
    </comment>
    <comment authorId="0" ref="H195">
      <text>
        <t xml:space="preserve">======
ID#AAABjx7qN3E
    (2025-05-21 11:33:23)
ALICE:5/16-銀行水單通知USD5169(沖PO0131D-1 4285.PI-0320-B 175.PI-4/8-A 709)共三筆</t>
      </text>
    </comment>
    <comment authorId="0" ref="U1">
      <text>
        <t xml:space="preserve">======
ID#AAABjx7qN2w
    (2025-05-21 11:33:23)
銀行淨收款</t>
      </text>
    </comment>
    <comment authorId="0" ref="H385">
      <text>
        <t xml:space="preserve">======
ID#AAABjx7qN2k
    (2025-05-21 11:33:23)
ALICE:5/6-銀行電文通知USD12495.8(沖PI-20190422C.PI-20190424A)</t>
      </text>
    </comment>
    <comment authorId="0" ref="K742">
      <text>
        <t xml:space="preserve">======
ID#AAABjx7qN14
    (2025-05-21 11:33:23)
0926yvonne:0925收走</t>
      </text>
    </comment>
    <comment authorId="0" ref="H657">
      <text>
        <t xml:space="preserve">======
ID#AAABjx7qN1U
    (2025-05-21 11:33:23)
ALICE:9/26玉山銀行匯入USD1212元整，沖PI-20190819A USD1092，沖PI-20190814C USD120</t>
      </text>
    </comment>
    <comment authorId="0" ref="B729">
      <text>
        <t xml:space="preserve">======
ID#AAABjx7qN1E
    (2025-05-21 11:33:23)
新開發客戶</t>
      </text>
    </comment>
    <comment authorId="0" ref="E439">
      <text>
        <t xml:space="preserve">======
ID#AAABjx7qN04
    (2025-05-21 11:33:23)
190517 Karen: w/EU adapter</t>
      </text>
    </comment>
    <comment authorId="0" ref="H414">
      <text>
        <t xml:space="preserve">======
ID#AAABjx7qN0w
    (2025-05-21 11:33:23)
ALICE:6/27水單匯入USD8652.87沖PI20190515C 1394.5.PI-20190625C 46.37.PI-20190508C 6408.PI-20190619B 804共四張PI合計8652.87</t>
      </text>
    </comment>
    <comment authorId="0" ref="H215">
      <text>
        <t xml:space="preserve">======
ID#AAABjx7qN0k
    (2025-05-21 11:33:23)
ALICE:2019/04/08-水單匯入USD31764-手續費USD12元=USD31752
沖帳明細詳4/8-客戶MAIL沖帳明細(12540+944+2010+5770+10500=31764)</t>
      </text>
    </comment>
    <comment authorId="0" ref="H295">
      <text>
        <t xml:space="preserve">======
ID#AAABjx7qNz0
    (2025-05-21 11:33:23)
ALICE:5/3收到USD12965.5(沖PI-20190121B.PI20190217A.PI-20190131C.PI-20190313A.PI-20190306A)</t>
      </text>
    </comment>
    <comment authorId="0" ref="E238">
      <text>
        <t xml:space="preserve">======
ID#AAABjx7qNzw
    (2025-05-21 11:33:23)
190226 w/o adapter</t>
      </text>
    </comment>
    <comment authorId="0" ref="H229">
      <text>
        <t xml:space="preserve">======
ID#AAABjx7qNzo
    (2025-05-21 11:33:23)
ALICE:2019/04/12水單USD11670*30.81(3035+135+5420+2730+310+40)</t>
      </text>
    </comment>
    <comment authorId="0" ref="H840">
      <text>
        <t xml:space="preserve">======
ID#AAABjx7qNzk
    (2025-05-21 11:33:23)
ALICE:1/7第一銀行USD3228 沖PI-20191007006 1501+PI-20191007007 USD1727+PI-20191128002 USD20總沖USD3248</t>
      </text>
    </comment>
    <comment authorId="0" ref="H581">
      <text>
        <t xml:space="preserve">======
ID#AAABjx7qNx4
    (2025-05-21 11:33:23)
ALICE:8/27玉山銀行匯入USD9443沖PI-20190604A.PI-20190628A.PI-20190604A-F合計共USD9443元整</t>
      </text>
    </comment>
    <comment authorId="0" ref="O70">
      <text>
        <t xml:space="preserve">======
ID#AAABjx7qNxs
    (2025-05-21 11:33:23)
2/1開折讓單1,808</t>
      </text>
    </comment>
    <comment authorId="0" ref="E641">
      <text>
        <t xml:space="preserve">======
ID#AAABjx7qNxQ
    (2025-05-21 11:33:23)
0802 chloe: EU Adaper</t>
      </text>
    </comment>
    <comment authorId="0" ref="H949">
      <text>
        <t xml:space="preserve">======
ID#AAABjx7qNw4
    (2025-05-21 11:33:23)
ALICE:2/24一銀收到USD12104沖PI-20191127001 USD6784+PI-20191104001 USD2014+PI-20191213001 USD3306</t>
      </text>
    </comment>
    <comment authorId="0" ref="G355">
      <text>
        <t xml:space="preserve">======
ID#AAABjx7qNw0
    (2025-05-21 11:33:23)
w/5%VAT</t>
      </text>
    </comment>
    <comment authorId="0" ref="H651">
      <text>
        <t xml:space="preserve">======
ID#AAABjx7qNws
    (2025-05-21 11:33:23)
ALICE:8/22玉山匯入USD4512.6沖PI-20190815A USD4512.6</t>
      </text>
    </comment>
    <comment authorId="0" ref="L69">
      <text>
        <t xml:space="preserve">======
ID#AAABjx7qNwk
0226 chloe    (2025-05-21 11:33:23)
原金額 US58.8 (2/28 已付款)
但後續哲讓修改產品顧</t>
      </text>
    </comment>
    <comment authorId="0" ref="H554">
      <text>
        <t xml:space="preserve">======
ID#AAABjx7qNwM
    (2025-05-21 11:33:23)
Alice:8/8-水單匯入USD4555元整，沖PI-20190708A 2540.PI-20190711A 1355.PI-20190712A 660</t>
      </text>
    </comment>
    <comment authorId="0" ref="U360">
      <text>
        <t xml:space="preserve">======
ID#AAABjx7qNwI
    (2025-05-21 11:33:23)
Alice:2019/05/21-銀行水單通知USD960-匯款手續費USD6.35=USD953.65*31.51=NT30050元整</t>
      </text>
    </comment>
    <comment authorId="0" ref="H561">
      <text>
        <t xml:space="preserve">======
ID#AAABjx7qNvw
    (2025-05-21 11:33:23)
alice:11/19-一銀Hatteland電文通知匯入USD58800 沖PI-20190717A USD58800</t>
      </text>
    </comment>
    <comment authorId="0" ref="D812">
      <text>
        <t xml:space="preserve">======
ID#AAABjx7qNvo
    (2025-05-21 11:33:23)
10/8 cathy: 通知下單</t>
      </text>
    </comment>
    <comment authorId="0" ref="K56">
      <text>
        <t xml:space="preserve">======
ID#AAABjx7qNvQ
    (2025-05-21 11:33:23)
0121出貨前6pcs拍照 
Vecow 年底前交貨, 收到超恩貨+2-3 days出貨Ti2</t>
      </text>
    </comment>
    <comment authorId="0" ref="H100">
      <text>
        <t xml:space="preserve">======
ID#AAABjx7qNu8
    (2025-05-21 11:33:23)
0311  chloe:匯款匯入US1134-20(手續費)</t>
      </text>
    </comment>
    <comment authorId="0" ref="H597">
      <text>
        <t xml:space="preserve">======
ID#AAABjx7qNu4
    (2025-05-21 11:33:23)
ALICE:1/7第一銀行USD3228 沖PI-20191007006 1501+PI-20191007007 USD1727+PI-20191128002 USD20總沖USD3248</t>
      </text>
    </comment>
    <comment authorId="0" ref="G50">
      <text>
        <t xml:space="preserve">======
ID#AAABjx7qNu0
    (2025-05-21 11:33:23)
170323 w/ 5%VAT</t>
      </text>
    </comment>
    <comment authorId="0" ref="H326">
      <text>
        <t xml:space="preserve">======
ID#AAABjx7qNuw
    (2025-05-21 11:33:23)
0403 chloe:匯款匯入247,928</t>
      </text>
    </comment>
    <comment authorId="0" ref="H373">
      <text>
        <t xml:space="preserve">======
ID#AAABjx7qNuI
    (2025-05-21 11:33:23)
ALICE:5/17收到銀行電文通知USD1668-11匯款手續費=USD1657</t>
      </text>
    </comment>
    <comment authorId="0" ref="H649">
      <text>
        <t xml:space="preserve">======
ID#AAABjx7qNtk
    (2025-05-21 11:33:23)
ALICE:9/26玉山銀行匯入USD1212元整，沖PI-20190819A USD1092，沖PI-20190814C USD120</t>
      </text>
    </comment>
    <comment authorId="0" ref="H529">
      <text>
        <t xml:space="preserve">======
ID#AAABjx7qNtM
    (2025-05-21 11:33:23)
6/14-預收USD1403
6/28-銀行匯入USD6257 與6/14合計共7660，PI為7670故尚餘USD10元未收與chloe確認轉手續費處理</t>
      </text>
    </comment>
    <comment authorId="0" ref="H533">
      <text>
        <t xml:space="preserve">======
ID#AAABjx7qNsg
    (2025-05-21 11:33:23)
ALICE:8/6-玉山匯入55253元整，沖PI-20190626B 17487.沖PI-20190701A 32692.沖PI-20190716A 5089</t>
      </text>
    </comment>
    <comment authorId="0" ref="H614">
      <text>
        <t xml:space="preserve">======
ID#AAABjx7qNsA
    (2025-05-21 11:33:23)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500">
      <text>
        <t xml:space="preserve">======
ID#AAABjx7qNqk
    (2025-05-21 11:33:23)
ALICE:8/2-水單匯入USD541元整，沖PI-20190606D USD416+沖PI-20190617A USD125</t>
      </text>
    </comment>
    <comment authorId="0" ref="H510">
      <text>
        <t xml:space="preserve">======
ID#AAABjx7qNp0
    (2025-05-21 11:33:23)
ALICE:6/13-玉山匯入USD4942-應付3539=1403轉預收貨款   銀行淨收4895.64*31.47</t>
      </text>
    </comment>
    <comment authorId="0" ref="H798">
      <text>
        <t xml:space="preserve">======
ID#AAABjx7qNpo
    (2025-05-21 11:33:23)
ALICE:10/7-玉山銀行收到匯入款USD801-手續費USD6.48=USD794.52沖PI-20191002A USD801元整</t>
      </text>
    </comment>
    <comment authorId="0" ref="K104">
      <text>
        <t xml:space="preserve">======
ID#AAABjx7qNo4
    (2025-05-21 11:33:23)
0226 Cathy: 詢問alan 出雪梨
0121 Sant: 出貨前拍照</t>
      </text>
    </comment>
    <comment authorId="0" ref="H735">
      <text>
        <t xml:space="preserve">======
ID#AAABjx7qNow
    (2025-05-21 11:33:23)
ALICE:10/22玉山匯入USD1405沖PI-20190913B USD1405</t>
      </text>
    </comment>
    <comment authorId="0" ref="H302">
      <text>
        <t xml:space="preserve">======
ID#AAABjx7qNo0
    (2025-05-21 11:33:23)
0312 chloe:匯款匯入 US172-32(手續費)</t>
      </text>
    </comment>
    <comment authorId="0" ref="H866">
      <text>
        <t xml:space="preserve">======
ID#AAABjx7qNog
    (2025-05-21 11:33:23)
ALICE:12/10-亞郁匯入NT86152沖PI-20191016001.PI-20191017001.PI-20191030002.PI-20191112005 USD270.9</t>
      </text>
    </comment>
    <comment authorId="0" ref="I885">
      <text>
        <t xml:space="preserve">======
ID#AAABjx7qNoQ
    (2025-05-21 11:33:23)
Cathy/Yvonne</t>
      </text>
    </comment>
    <comment authorId="0" ref="H207">
      <text>
        <t xml:space="preserve">======
ID#AAABjx7qNnc
    (2025-05-21 11:33:23)
Alice:2019/05/08水單匯入USD12400-匯款手續費(10+6.47)*30.9=NT382,651</t>
      </text>
    </comment>
    <comment authorId="0" ref="H667">
      <text>
        <t xml:space="preserve">======
ID#AAABjx7qNnA
    (2025-05-21 11:33:23)
ALICE:10/25-新漢匯入合庫NT46584手續費15</t>
      </text>
    </comment>
    <comment authorId="0" ref="H567">
      <text>
        <t xml:space="preserve">======
ID#AAABjx7qNm0
    (2025-05-21 11:33:23)
ALICE:8/22玉山銀行匯入NT1,596,000+NT1,978=NT1,597,978元整，沖PI-20190717C NT1,586,124 ，沖PI-20190813C NT11,854</t>
      </text>
    </comment>
    <comment authorId="0" ref="K820">
      <text>
        <t xml:space="preserve">======
ID#AAABjx7qNm4
    (2025-05-21 11:33:23)
Chloe 1106: MOXA回覆交期，有可能會延遲兩天</t>
      </text>
    </comment>
    <comment authorId="0" ref="I843">
      <text>
        <t xml:space="preserve">======
ID#AAABjx7qNmg
    (2025-05-21 11:33:23)
Cathy/Santiago</t>
      </text>
    </comment>
    <comment authorId="0" ref="H89">
      <text>
        <t xml:space="preserve">======
ID#AAABjx7qNmQ
    (2025-05-21 11:33:23)
0124 chloe:匯款匯入US$48799</t>
      </text>
    </comment>
    <comment authorId="0" ref="D869">
      <text>
        <t xml:space="preserve">======
ID#AAABjx7qNmE
    (2025-05-21 11:33:23)
10/30 Cathy:請yvonne 協助下單</t>
      </text>
    </comment>
    <comment authorId="0" ref="H480">
      <text>
        <t xml:space="preserve">======
ID#AAABjx7qNl0
    (2025-05-21 11:33:23)
ALICE:8/27玉山銀行匯入USD9443沖PI-20190604A.PI-20190628A.PI-20190604A-F合計共USD9443元整</t>
      </text>
    </comment>
    <comment authorId="0" ref="H250">
      <text>
        <t xml:space="preserve">======
ID#AAABjx7qNlU
    (2025-05-21 11:33:23)
ALICE:6/17水單匯入USD16108 沖PI-20190227B 8500，沖PI-20190409A 7608</t>
      </text>
    </comment>
    <comment authorId="0" ref="H951">
      <text>
        <t xml:space="preserve">======
ID#AAABjx7qNkU
    (2025-05-21 11:33:23)
ALICE:2/24一銀收到USD12104沖PI-20191127001 USD6784+PI-20191104001 USD2014+PI-20191213001 USD3306</t>
      </text>
    </comment>
    <comment authorId="0" ref="K768">
      <text>
        <t xml:space="preserve">======
ID#AAABjx7qNkI
    (2025-05-21 11:33:23)
1015YVONNE:隨貨寄目錄,並通知san</t>
      </text>
    </comment>
    <comment authorId="0" ref="K473">
      <text>
        <t xml:space="preserve">======
ID#AAABjx7qNkE
    (2025-05-21 11:33:23)
0722 Santiago同意先出貨。
0701 詢問預計7/11匯款&amp; 運輸方式</t>
      </text>
    </comment>
    <comment authorId="0" ref="V18">
      <text>
        <t xml:space="preserve">======
ID#AAABjx7qNjA
    (2025-05-21 11:33:23)
alice:PI-20181026B成交總額USD13350，PI-20181212C成交總額USD800，上述兩筆訂單總計USD14150元整，2019/02/12水單匯入UAD14150*30.76=NT435,254元整(全額到付)</t>
      </text>
    </comment>
    <comment authorId="0" ref="H948">
      <text>
        <t xml:space="preserve">======
ID#AAABjx7qNiw
    (2025-05-21 11:33:23)
ALICE:2/24一銀收到USD12104沖PI-20191127001 USD6784+PI-20191104001 USD2014+PI-20191213001 USD3306</t>
      </text>
    </comment>
    <comment authorId="0" ref="H35">
      <text>
        <t xml:space="preserve">======
ID#AAABjx7qNig
    (2025-05-21 11:33:23)
0225 chloe:匯款匯入5948-10(手續費)</t>
      </text>
    </comment>
    <comment authorId="0" ref="H485">
      <text>
        <t xml:space="preserve">======
ID#AAABjx7qNiM
    (2025-05-21 11:33:23)
ALICE:6/17-玉山匯入17810沖PI-20190508A.沖PI-20190604C</t>
      </text>
    </comment>
    <comment authorId="0" ref="H432">
      <text>
        <t xml:space="preserve">======
ID#AAABjx7qNhw
    (2025-05-21 11:33:23)
alice:7/4-水單匯入USD4316.9沖PI-20190422B.沖PI-20190507B.沖PI-20190513A</t>
      </text>
    </comment>
    <comment authorId="0" ref="I592">
      <text>
        <t xml:space="preserve">======
ID#AAABjx7qNhs
    (2025-05-21 11:33:23)
Cathy/Santiago</t>
      </text>
    </comment>
    <comment authorId="0" ref="E237">
      <text>
        <t xml:space="preserve">======
ID#AAABjx7qNhk
    (2025-05-21 11:33:23)
190226 w/o adapter</t>
      </text>
    </comment>
    <comment authorId="0" ref="F400">
      <text>
        <t xml:space="preserve">======
ID#AAABjx7qNhU
    (2025-05-21 11:33:23)
在此輸入
7/15 30 pcs ADVANTECH INFORM EOL CANCEL ORDER</t>
      </text>
    </comment>
    <comment authorId="0" ref="J913">
      <text>
        <t xml:space="preserve">======
ID#AAABjx7qNhM
    (2025-05-21 11:33:23)
DHL Account Number : 956287207 for Freight ( AVIHS Technologies )</t>
      </text>
    </comment>
    <comment authorId="0" ref="H470">
      <text>
        <t xml:space="preserve">======
ID#AAABjx7qNhE
    (2025-05-21 11:33:23)
alice:6/3銀行電文通知匯入USD795待水單結匯</t>
      </text>
    </comment>
    <comment authorId="0" ref="U11">
      <text>
        <t xml:space="preserve">======
ID#AAABjx7qNgw
    (2025-05-21 11:33:23)
ALICE:2019/05/02-水單匯入USD21462.5-(匯出手續費USD10+匯入手續費USD10.73)=USD21441.77*30.84=NT661264</t>
      </text>
    </comment>
    <comment authorId="0" ref="D621">
      <text>
        <t xml:space="preserve">======
ID#AAABjx7qNgs
    (2025-05-21 11:33:23)
0730 CATHY 通知客人待款項來才會幫下單</t>
      </text>
    </comment>
    <comment authorId="0" ref="H392">
      <text>
        <t xml:space="preserve">======
ID#AAABjx7qNgc
    (2025-05-21 11:33:23)
ALICE:5/27-水單匯入USD4578*31.43</t>
      </text>
    </comment>
    <comment authorId="0" ref="E704">
      <text>
        <t xml:space="preserve">======
ID#AAABjx7qNgI
    (2025-05-21 11:33:23)
EU電源</t>
      </text>
    </comment>
    <comment authorId="0" ref="H104">
      <text>
        <t xml:space="preserve">======
ID#AAABjx7qNfw
    (2025-05-21 11:33:23)
ALICE:2019/05/02-水單匯入USD21462.5</t>
      </text>
    </comment>
    <comment authorId="0" ref="H413">
      <text>
        <t xml:space="preserve">======
ID#AAABjx7qNfM
    (2025-05-21 11:33:23)
ALICE:7/17水單匯入USD9362沖PI-20190508B-F 92元.PI-20190508B-1 130元. PI-20190509C 9140元整</t>
      </text>
    </comment>
    <comment authorId="0" ref="G415">
      <text>
        <t xml:space="preserve">======
ID#AAABjx7qNfI
    (2025-05-21 11:33:23)
6/4 Amy: Aantiago agree to offer Special price following local low price.  請尋低價能用即可</t>
      </text>
    </comment>
    <comment authorId="0" ref="H224">
      <text>
        <t xml:space="preserve">======
ID#AAABjx7qNfE
    (2025-05-21 11:33:23)
0225 chloe:匯款匯入 US2630- US40(第三地銀行手續費)</t>
      </text>
    </comment>
    <comment authorId="0" ref="H899">
      <text>
        <t xml:space="preserve">======
ID#AAABjx7qNe4
    (2025-05-21 11:33:23)
ALICE:2020/02/03合庫收款NT858362元整，沖PI-20191001A
 NT147153+PI-20191112006 NT711239元整</t>
      </text>
    </comment>
    <comment authorId="0" ref="J479">
      <text>
        <t xml:space="preserve">======
ID#AAABjx7qNes
SHIPPING  AS BELOW    (2025-05-21 11:33:23)
103A Mary Street, Richmond, VIC, 3121, Australia
Contact: Jim MacDouall
Phone: +61 417 714 528</t>
      </text>
    </comment>
    <comment authorId="0" ref="E542">
      <text>
        <t xml:space="preserve">======
ID#AAABjx7qNek
    (2025-05-21 11:33:23)
AB-3815004012111210850</t>
      </text>
    </comment>
    <comment authorId="0" ref="H94">
      <text>
        <t xml:space="preserve">======
ID#AAABjx7qNeM
    (2025-05-21 11:33:23)
0227 chloe:匯款匯入US4578</t>
      </text>
    </comment>
    <comment authorId="0" ref="H438">
      <text>
        <t xml:space="preserve">======
ID#AAABjx7qNds
    (2025-05-21 11:33:23)
alice:5/30-銀行水單USD3750</t>
      </text>
    </comment>
    <comment authorId="0" ref="D903">
      <text>
        <t xml:space="preserve">======
ID#AAABjx7qNdc
    (2025-05-21 11:33:23)
1114 Cathy:請Yvonne 下單</t>
      </text>
    </comment>
    <comment authorId="0" ref="H99">
      <text>
        <t xml:space="preserve">======
ID#AAABjx7qNdA
    (2025-05-21 11:33:23)
0311  chloe:匯款匯入US1134-20(手續費)</t>
      </text>
    </comment>
    <comment authorId="0" ref="D97">
      <text>
        <t xml:space="preserve">======
ID#AAABjx7qNc8
    (2025-05-21 11:33:23)
1/17 倉管Keiju: 已領出30, 交給業助</t>
      </text>
    </comment>
    <comment authorId="0" ref="H328">
      <text>
        <t xml:space="preserve">======
ID#AAABjx7qNcg
    (2025-05-21 11:33:23)
alice:2019/05/17水單通知USD19768沖3/4A $1995.3/4A-1$4152.3/4A-1-F $232.3/8B-F $57.12/21A-2-F $144.3/4A-1 $189.10/22C-2 $10227.12/21A-1 $2772.如上總計共USD19768</t>
      </text>
    </comment>
    <comment authorId="0" ref="D591">
      <text>
        <t xml:space="preserve">======
ID#AAABjx7qNcQ
    (2025-05-21 11:33:23)
20190604 Robin accept W/O AG、AR treatment this time</t>
      </text>
    </comment>
    <comment authorId="0" ref="E48">
      <text>
        <t xml:space="preserve">======
ID#AAABjx7qNbw
    (2025-05-21 11:33:23)
12 13AMY: 20PCS, 宸曜折扣價$293</t>
      </text>
    </comment>
    <comment authorId="0" ref="D828">
      <text>
        <t xml:space="preserve">======
ID#AAABjx7qNbo
    (2025-05-21 11:33:23)
10/17 CATHY:請Tammy 下單</t>
      </text>
    </comment>
    <comment authorId="0" ref="H235">
      <text>
        <t xml:space="preserve">======
ID#AAABjx7qNbg
    (2025-05-21 11:33:23)
0329 chloe:匯款匯入US$340.5</t>
      </text>
    </comment>
    <comment authorId="0" ref="D886">
      <text>
        <t xml:space="preserve">======
ID#AAABjx7qNa4
    (2025-05-21 11:33:23)
11/8 cathy: 請Chloe 請協助下單</t>
      </text>
    </comment>
    <comment authorId="0" ref="H891">
      <text>
        <t xml:space="preserve">======
ID#AAABjx7qNaw
    (2025-05-21 11:33:23)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H11">
      <text>
        <t xml:space="preserve">======
ID#AAABjx7qNao
    (2025-05-21 11:33:23)
ALICE:2019/05/02-水單匯入USD21462.5</t>
      </text>
    </comment>
    <comment authorId="0" ref="H491">
      <text>
        <t xml:space="preserve">======
ID#AAABjx7qNY4
    (2025-05-21 11:33:23)
alice:6/10-銀行匯入USD754-手續費USD17.37=USD736.63*31.373</t>
      </text>
    </comment>
    <comment authorId="0" ref="H333">
      <text>
        <t xml:space="preserve">======
ID#AAABjx7qNYo
    (2025-05-21 11:33:23)
Chloe:2019/4/19 水單匯入USB702.10-手續費USD 0=USD702.10</t>
      </text>
    </comment>
    <comment authorId="0" ref="H147">
      <text>
        <t xml:space="preserve">======
ID#AAABjx7qNYk
    (2025-05-21 11:33:23)
0327 chloe:匯款匯入42,592-10(手續費)
0408 Alice:匯款匯入USD3,950(手續費USD12)</t>
      </text>
    </comment>
    <comment authorId="0" ref="H608">
      <text>
        <t xml:space="preserve">======
ID#AAABjx7qNYU
    (2025-05-21 11:33:23)
ALICE:8/27-玉山匯入USD1544元整，沖PI-20190722C USD1544</t>
      </text>
    </comment>
    <comment authorId="0" ref="H381">
      <text>
        <t xml:space="preserve">======
ID#AAABjx7qNYQ
    (2025-05-21 11:33:23)
ALICE:5/6-銀行電文通知USD12495.8(沖PI-20190422C.PI-20190424A)</t>
      </text>
    </comment>
    <comment authorId="0" ref="D823">
      <text>
        <t xml:space="preserve">======
ID#AAABjx7qNXE
    (2025-05-21 11:33:23)
10/15 CATHY: 請YVONNE下單</t>
      </text>
    </comment>
    <comment authorId="0" ref="K205">
      <text>
        <t xml:space="preserve">======
ID#AAABjx7qNWk
    (2025-05-21 11:33:23)
0402 San 告知先放貨，貨款後追</t>
      </text>
    </comment>
    <comment authorId="0" ref="H703">
      <text>
        <t xml:space="preserve">======
ID#AAABjx7qNV0
    (2025-05-21 11:33:23)
alice:9/6玉山水單通知usd4763.4沖pi-20190904a usd4763.4</t>
      </text>
    </comment>
    <comment authorId="0" ref="I804">
      <text>
        <t xml:space="preserve">======
ID#AAABjx7qNVQ
    (2025-05-21 11:33:23)
Cathy/Santiago</t>
      </text>
    </comment>
    <comment authorId="0" ref="E753">
      <text>
        <t xml:space="preserve">======
ID#AAABjx7qNUk
    (2025-05-21 11:33:23)
EU Adaper</t>
      </text>
    </comment>
    <comment authorId="0" ref="H359">
      <text>
        <t xml:space="preserve">======
ID#AAABjx7qNUA
    (2025-05-21 11:33:23)
Alice:2019/05/21-銀行水單通知USD960-匯款手續費USD6.35=USD953.65*31.51=NT30050元整</t>
      </text>
    </comment>
    <comment authorId="0" ref="E611">
      <text>
        <t xml:space="preserve">======
ID#AAABjx7qNTM
    (2025-05-21 11:33:23)
0724  chloe: w/o adapter</t>
      </text>
    </comment>
    <comment authorId="0" ref="G241">
      <text>
        <t xml:space="preserve">======
ID#AAABjx7qNTE
    (2025-05-21 11:33:23)
170323 w/ 5%VAT</t>
      </text>
    </comment>
    <comment authorId="0" ref="I585">
      <text>
        <t xml:space="preserve">======
ID#AAABjx7qNS8
    (2025-05-21 11:33:23)
Cathy/Santiago</t>
      </text>
    </comment>
    <comment authorId="0" ref="H339">
      <text>
        <t xml:space="preserve">======
ID#AAABjx7qNSA
    (2025-05-21 11:33:23)
ALICE:2019/04/08-水單匯入USB1543-手續費USD11=USD1532</t>
      </text>
    </comment>
    <comment authorId="0" ref="H238">
      <text>
        <t xml:space="preserve">======
ID#AAABjx7qNR8
    (2025-05-21 11:33:23)
0225 chloe:客戶水單2/25，待我司銀行通知入帳
0226 chloe:匯款匯入6471-11(匯款手續費)</t>
      </text>
    </comment>
    <comment authorId="0" ref="J358">
      <text>
        <t xml:space="preserve">======
ID#AAABjx7qNR0
    (2025-05-21 11:33:23)
190411 但未知FEDEX服務，出貨前再確認
190506 Fedex Intl. Economy</t>
      </text>
    </comment>
    <comment authorId="0" ref="D880">
      <text>
        <t xml:space="preserve">======
ID#AAABjx7qNRs
    (2025-05-21 11:33:23)
11/8 cathy: 請Chloe 請協助下單</t>
      </text>
    </comment>
    <comment authorId="0" ref="H40">
      <text>
        <t xml:space="preserve">======
ID#AAABjx7qNRE
    (2025-05-21 11:33:23)
0225 chloe:匯款匯入5948-10(手續費)</t>
      </text>
    </comment>
    <comment authorId="0" ref="G574">
      <text>
        <t xml:space="preserve">======
ID#AAABjx7qNQw
    (2025-05-21 11:33:23)
190718 Tammy: w/5%</t>
      </text>
    </comment>
    <comment authorId="0" ref="G568">
      <text>
        <t xml:space="preserve">======
ID#AAABjx7qNQY
    (2025-05-21 11:33:23)
190718 Tammy: w/5%</t>
      </text>
    </comment>
    <comment authorId="0" ref="H87">
      <text>
        <t xml:space="preserve">======
ID#AAABjx7qNPE
    (2025-05-21 11:33:23)
ALICE:201904/10水單匯入USD11416*30.78
沖(229+2394+326+34+5274+3066+103)=11426</t>
      </text>
    </comment>
    <comment authorId="0" ref="H82">
      <text>
        <t xml:space="preserve">======
ID#AAABjx7qNO8
    (2025-05-21 11:33:23)
ALICE:201904/10水單匯入USD11416*30.78
沖(229+2394+326+34+5274+3066+103)=11426</t>
      </text>
    </comment>
    <comment authorId="0" ref="H540">
      <text>
        <t xml:space="preserve">======
ID#AAABjx7qNO4
    (2025-05-21 11:33:23)
Alice:7/8匯入NT170334 
Alice:8/6匯入NT186707
Alice:8/6匯入NT32231
總計389272+匯款手續費30=389302沖PI-20190523A 202565.沖PI20190702A 186737元整</t>
      </text>
    </comment>
    <comment authorId="0" ref="H177">
      <text>
        <t xml:space="preserve">======
ID#AAABjx7qNOw
    (2025-05-21 11:33:23)
0327 chloe:匯款匯入US4578-6.51(手續費)</t>
      </text>
    </comment>
    <comment authorId="0" ref="H623">
      <text>
        <t xml:space="preserve">======
ID#AAABjx7qNOk
    (2025-05-21 11:33:23)
ALICE:8/1銀行水單通知匯入USD8538.6沖PI-20190731A</t>
      </text>
    </comment>
    <comment authorId="0" ref="D825">
      <text>
        <t xml:space="preserve">======
ID#AAABjx7qNOM
    (2025-05-21 11:33:23)
10/23 cathy: 請chloe 下單</t>
      </text>
    </comment>
    <comment authorId="0" ref="F676">
      <text>
        <t xml:space="preserve">======
ID#AAABjx7qNNw
    (2025-05-21 11:33:23)
0829 Cathy: 客戶Revise 數量15-&gt; 10pcs</t>
      </text>
    </comment>
    <comment authorId="0" ref="U444">
      <text>
        <t xml:space="preserve">======
ID#AAABjx7qNNc
    (2025-05-21 11:33:23)
ALICE:5/30水單匯入USD3743.66*31.57 (手續費USD6.34*31.57)</t>
      </text>
    </comment>
    <comment authorId="0" ref="H434">
      <text>
        <t xml:space="preserve">======
ID#AAABjx7qNNU
    (2025-05-21 11:33:23)
alice:7/4-水單匯入USD4316.9沖PI-20190422B.沖PI-20190507B.沖PI-20190513A</t>
      </text>
    </comment>
    <comment authorId="0" ref="H785">
      <text>
        <t xml:space="preserve">======
ID#AAABjx7qNNE
    (2025-05-21 11:33:23)
ALICE:12/4-TPOLE匯入一銀USD2242(全額到付)沖PI-20190923B 125+PI-20190930B USD1872+PI-20191014006 USD150+PI-20191026001 USD95合計總沖USD2242元整</t>
      </text>
    </comment>
    <comment authorId="0" ref="D911">
      <text>
        <t xml:space="preserve">======
ID#AAABjx7qNNA
    (2025-05-21 11:33:23)
CATHY: 20191119 客人新增項目 
11/19 請chloe 下單</t>
      </text>
    </comment>
    <comment authorId="0" ref="H586">
      <text>
        <t xml:space="preserve">======
ID#AAABjx7qNM8
    (2025-05-21 11:33:23)
ALICE:1/7第一銀行USD3228 沖PI-20191007006 1501+PI-20191007007 USD1727+PI-20191128002 USD20總沖USD3248</t>
      </text>
    </comment>
    <comment authorId="0" ref="O446">
      <text>
        <t xml:space="preserve">======
ID#AAABjx7qNM4
    (2025-05-21 11:33:23)
ALICE:原成本5/23-QS18393167 $12617(含稅)
因客戶退換貨，故此筆與客戶取消
6/18-與MOXA辦理整筆退貨，再開立15%退貨手續費6/18-QS18394028 金額1909含稅</t>
      </text>
    </comment>
    <comment authorId="0" ref="K894">
      <text>
        <t xml:space="preserve">======
ID#AAABjx7qNMw
    (2025-05-21 11:33:23)
1115YVONNE:SANTIAGO通知延遲一周出貨。
1127yvonne:bank通知補寄SSD給客戶</t>
      </text>
    </comment>
    <comment authorId="0" ref="H376">
      <text>
        <t xml:space="preserve">======
ID#AAABjx7qNMs
    (2025-05-21 11:33:23)
Alice:6/17-水單匯入USD10046沖PI-201904096B.PI-20190418A.PI-20190422A.PI-20190307A</t>
      </text>
    </comment>
    <comment authorId="0" ref="G946">
      <text>
        <t xml:space="preserve">======
ID#AAABjx7qNMk
    (2025-05-21 11:33:23)
TPM收NTD 43,950
出口 (USD rate 34.1)  ,NTD 22,116/34.1=USD 648.56
進口  (USD rate 34.37) , ,NTD 21,834/34.37=USD 635.26</t>
      </text>
    </comment>
    <comment authorId="0" ref="H132">
      <text>
        <t xml:space="preserve">======
ID#AAABjx7qNMg
    (2025-05-21 11:33:23)
ALICE:2019/05/02-水單匯入USD21462.5</t>
      </text>
    </comment>
    <comment authorId="0" ref="J811">
      <text>
        <t xml:space="preserve">======
ID#AAABjx7qNMI
    (2025-05-21 11:33:23)
客人自行安排取貨 
0527待客人確認</t>
      </text>
    </comment>
    <comment authorId="0" ref="H663">
      <text>
        <t xml:space="preserve">======
ID#AAABjx7qNLg
    (2025-05-21 11:33:23)
ALICE:9/27玉山銀行匯入USD3962元整，沖PI-2190820A 應收USD3962實收3922差額USD40元(手續費)</t>
      </text>
    </comment>
    <comment authorId="0" ref="K556">
      <text>
        <t xml:space="preserve">======
ID#AAABjx7qNLk
    (2025-05-21 11:33:23)
0722 Santiago同意先出貨。</t>
      </text>
    </comment>
    <comment authorId="0" ref="D865">
      <text>
        <t xml:space="preserve">======
ID#AAABjx7qNK4
    (2025-05-21 11:33:23)
10/30 CATHY:請CHLOE協助下單</t>
      </text>
    </comment>
    <comment authorId="0" ref="D611">
      <text>
        <t xml:space="preserve">======
ID#AAABjx7qNKc
    (2025-05-21 11:33:23)
7/23 Amy: COC requested together with shipment/ PO Number indicated on each shipping documents / Invoice &amp; Packing list together with shipment</t>
      </text>
    </comment>
    <comment authorId="0" ref="H765">
      <text>
        <t xml:space="preserve">======
ID#AAABjx7qNKY
    (2025-05-21 11:33:23)
ALICE:11/20一銀匯入USD5837沖PI-20190930A USD3945+PI-20191003A USD137+PI-20191005A USD1755</t>
      </text>
    </comment>
    <comment authorId="0" ref="J904">
      <text>
        <t xml:space="preserve">======
ID#AAABjx7qNJ8
    (2025-05-21 11:33:23)
客人自取</t>
      </text>
    </comment>
    <comment authorId="0" ref="E654">
      <text>
        <t xml:space="preserve">======
ID#AAABjx7qNJ4
    (2025-05-21 11:33:23)
0815 進料時有含三條線
0827 發現來料異常 進AA150XT01</t>
      </text>
    </comment>
    <comment authorId="0" ref="H457">
      <text>
        <t xml:space="preserve">======
ID#AAABjx7qNJw
    (2025-05-21 11:33:23)
ALICE:5/28-銀行電文通知匯入USD916</t>
      </text>
    </comment>
    <comment authorId="0" ref="E121">
      <text>
        <t xml:space="preserve">======
ID#AAABjx7qNJs
    (2025-05-21 11:33:23)
NeouSys 1/23 於 Line group 報價$283</t>
      </text>
    </comment>
    <comment authorId="0" ref="U398">
      <text>
        <t xml:space="preserve">======
ID#AAABjx7qNJk
    (2025-05-21 11:33:23)
Alice:2019/05/16-收到銀行合庫匯入通知NT194,325元整(沖PI-20190502C.PI-20190507A)手續費0</t>
      </text>
    </comment>
    <comment authorId="0" ref="V360">
      <text>
        <t xml:space="preserve">======
ID#AAABjx7qNJU
    (2025-05-21 11:33:23)
Alice:2019/05/21-銀行水單通知USD960-匯款手續費USD6.35=USD953.65*31.51=NT30050元整</t>
      </text>
    </comment>
    <comment authorId="0" ref="G567">
      <text>
        <t xml:space="preserve">======
ID#AAABjx7qNI4
    (2025-05-21 11:33:23)
190718 Tammy: w/5%</t>
      </text>
    </comment>
    <comment authorId="0" ref="D910">
      <text>
        <t xml:space="preserve">======
ID#AAABjx7qNIw
    (2025-05-21 11:33:23)
CATHY: 20191119 客人新增項目 
11/19 請chloe 下單</t>
      </text>
    </comment>
    <comment authorId="0" ref="H230">
      <text>
        <t xml:space="preserve">======
ID#AAABjx7qNIU
    (2025-05-21 11:33:23)
ALICE:2019/04/12水單USD11670*30.81(3035+135+5420+2730+310+40)</t>
      </text>
    </comment>
    <comment authorId="0" ref="K770">
      <text>
        <t xml:space="preserve">======
ID#AAABjx7qNIM
    (2025-05-21 11:33:23)
1015YVONNE:隨貨寄目錄,並通知san</t>
      </text>
    </comment>
    <comment authorId="0" ref="H368">
      <text>
        <t xml:space="preserve">======
ID#AAABjx7qNH0
    (2025-05-21 11:33:23)
alice:2019/05/14電文通知USD16645沖(PI20190418C 金額總計15865+PI20190218A 4850中的(780)</t>
      </text>
    </comment>
    <comment authorId="0" ref="H792">
      <text>
        <t xml:space="preserve">======
ID#AAABjx7qNHg
    (2025-05-21 11:33:23)
ALICE:10/9-匯入USD6974沖PI-20191001B USD6974元整</t>
      </text>
    </comment>
    <comment authorId="0" ref="D718">
      <text>
        <t xml:space="preserve">======
ID#AAABjx7qNHU
    (2025-05-21 11:33:23)
Transfer from PI-20190412A  Accview</t>
      </text>
    </comment>
    <comment authorId="0" ref="H954">
      <text>
        <t xml:space="preserve">======
ID#AAABjx7qNG0
    (2025-05-21 11:33:23)
ALICE:2/24一銀收到USD12104沖PI-20191127001 USD6784+PI-20191104001 USD2014+PI-20191213001 USD3306</t>
      </text>
    </comment>
    <comment authorId="0" ref="H687">
      <text>
        <t xml:space="preserve">======
ID#AAABjx7qNGM
    (2025-05-21 11:33:23)
ALICE:10/22玉山銀行匯入USD6469沖PI-20190905A USD495.PI-20190905A-F USD45.PI-20190902A 5929合計總沖USD6469</t>
      </text>
    </comment>
    <comment authorId="0" ref="V96">
      <text>
        <t xml:space="preserve">======
ID#AAABjx7qNE4
    (2025-05-21 11:33:23)
ALICE:PI-20190111A訂單總計USD4578，水單2019/02/27匯入USD4571.49*30.73=NT140,482
手續費USD6.51*30.73=NT200元整</t>
      </text>
    </comment>
    <comment authorId="0" ref="H80">
      <text>
        <t xml:space="preserve">======
ID#AAABjx7qNEk
    (2025-05-21 11:33:23)
alice:6/20銀行水單匯入USD4462 沖PI20190107A.PI-20190318B.PI-20190508B.PI-20181022C-2-F</t>
      </text>
    </comment>
    <comment authorId="0" ref="H664">
      <text>
        <t xml:space="preserve">======
ID#AAABjx7qNEQ
    (2025-05-21 11:33:23)
ALICE:9/27玉山銀行匯入USD3962元整，沖PI-2190820A 應收USD3962實收3922差額USD40元(手續費)</t>
      </text>
    </comment>
    <comment authorId="0" ref="G571">
      <text>
        <t xml:space="preserve">======
ID#AAABjx7qNEI
    (2025-05-21 11:33:23)
190718 Tammy: w/5%</t>
      </text>
    </comment>
    <comment authorId="0" ref="H140">
      <text>
        <t xml:space="preserve">======
ID#AAABjx7qND8
    (2025-05-21 11:33:23)
0311  chloe:匯款匯入US1134-20(手續費)</t>
      </text>
    </comment>
    <comment authorId="0" ref="K75">
      <text>
        <t xml:space="preserve">======
ID#AAABjx7qND0
    (2025-05-21 11:33:23)
6/20 amy: this shipment DOA, the RMA Return date is 04/30, so A/R should be count from 4/30, due date is 6/15</t>
      </text>
    </comment>
    <comment authorId="0" ref="H321">
      <text>
        <t xml:space="preserve">======
ID#AAABjx7qNDg
    (2025-05-21 11:33:23)
alice:5/10-水單通知usd3751-匯出手續費20-匯入手續費6.46=USD3724.54*30.94=NT115,237元整
沖20190320B USD1270
沖20190322A USD2481
合計總沖USD3751元整</t>
      </text>
    </comment>
    <comment authorId="0" ref="H289">
      <text>
        <t xml:space="preserve">======
ID#AAABjx7qNDc
    (2025-05-21 11:33:23)
alice:2019/05/17水單通知USD19768沖3/4A $1995.3/4A-1$4152.3/4A-1-F $232.3/8B-F $57.12/21A-2-F $144.3/4A-1 $189.10/22C-2 $10227.12/21A-1 $2772.如上總計共USD19768</t>
      </text>
    </comment>
    <comment authorId="0" ref="H777">
      <text>
        <t xml:space="preserve">======
ID#AAABjx7qNC8
    (2025-05-21 11:33:23)
ALICE:12/4-TPOLE匯入一銀USD2242(全額到付)沖PI-20190923B 125+PI-20190930B USD1872+PI-20191014006 USD150+PI-20191026001 USD95合計總沖USD2242元整</t>
      </text>
    </comment>
    <comment authorId="0" ref="K607">
      <text>
        <t xml:space="preserve">======
ID#AAABjx7qNCs
    (2025-05-21 11:33:23)
0722 客人告知急，但也同時告知款項要先來</t>
      </text>
    </comment>
    <comment authorId="0" ref="H911">
      <text>
        <t xml:space="preserve">======
ID#AAABjx7qNCg
    (2025-05-21 11:33:23)
Alice:11/14電文通知匯入USD1676 沖PI-20191114002 USD1676 待銀行水單沖帳</t>
      </text>
    </comment>
    <comment authorId="0" ref="D468">
      <text>
        <t xml:space="preserve">======
ID#AAABjx7qNCU
    (2025-05-21 11:33:23)
在此輸入
0530 已請Tammy 下單 ，客戶告知預計 5/31 匯款</t>
      </text>
    </comment>
    <comment authorId="0" ref="V223">
      <text>
        <t xml:space="preserve">======
ID#AAABjx7qNCM
    (2025-05-21 11:33:23)
ALICE:2019/05/02-水單匯入USD21462.5-(匯出手續費USD10+匯入手續費USD10.73)=USD21441.77*30.84=NT661264</t>
      </text>
    </comment>
    <comment authorId="0" ref="K740">
      <text>
        <t xml:space="preserve">======
ID#AAABjx7qNCI
    (2025-05-21 11:33:23)
1003:PGS告知客戶走周末班機，因此安排10/4收貨。</t>
      </text>
    </comment>
    <comment authorId="0" ref="D74">
      <text>
        <t xml:space="preserve">======
ID#AAABjx7qNCA
    (2025-05-21 11:33:23)
190109 Tammy: 抽驗即可, 謝謝</t>
      </text>
    </comment>
    <comment authorId="0" ref="H895">
      <text>
        <t xml:space="preserve">======
ID#AAABjx7qNBk
    (2025-05-21 11:33:23)
ALICE:12/10-亞郁匯入NT86152沖PI-20191016001.PI-20191017001.PI-20191030002.PI-20191112005 USD270.9</t>
      </text>
    </comment>
    <comment authorId="0" ref="I842">
      <text>
        <t xml:space="preserve">======
ID#AAABjx7qNBU
    (2025-05-21 11:33:23)
Cathy/Santiago</t>
      </text>
    </comment>
    <comment authorId="0" ref="K416">
      <text>
        <t xml:space="preserve">======
ID#AAABjx7qNAY
    (2025-05-21 11:33:23)
Customer request shipment asap.  Please help what we can do.  Thanks.</t>
      </text>
    </comment>
    <comment authorId="0" ref="H14">
      <text>
        <t xml:space="preserve">======
ID#AAABjx7qNAU
    (2025-05-21 11:33:23)
alice:2019/05/17水單通知USD19768沖3/4A $1995.3/4A-1$4152.3/4A-1-F $232.3/8B-F $57.12/21A-2-F $144.3/4A-1 $189.10/22C-2 $10227.12/21A-1 $2772.如上總計共USD19768</t>
      </text>
    </comment>
    <comment authorId="0" ref="H583">
      <text>
        <t xml:space="preserve">======
ID#AAABjx7qM_0
    (2025-05-21 11:33:23)
ALICE:9/10玉山匯入NT108650沖PI20190719A.PI-20190722B.PI-20190725A.PI20190813B</t>
      </text>
    </comment>
    <comment authorId="0" ref="J820">
      <text>
        <t xml:space="preserve">======
ID#AAABjx7qM-8
    (2025-05-21 11:33:23)
using UPS express then</t>
      </text>
    </comment>
    <comment authorId="0" ref="H416">
      <text>
        <t xml:space="preserve">======
ID#AAABjx7qM-o
    (2025-05-21 11:33:23)
ALICE:6/27水單匯入USD8652.87沖PI20190515C 1394.5.PI-20190625C 46.37.PI-20190508C 6408.PI-20190619B 804共四張PI合計8652.87</t>
      </text>
    </comment>
    <comment authorId="0" ref="H88">
      <text>
        <t xml:space="preserve">======
ID#AAABjx7qM-c
    (2025-05-21 11:33:23)
0128 Mary: 匯款匯入 US $1,149</t>
      </text>
    </comment>
    <comment authorId="0" ref="G317">
      <text>
        <t xml:space="preserve">======
ID#AAABjx7qM-I
    (2025-05-21 11:33:23)
190321 w/5% VAT</t>
      </text>
    </comment>
    <comment authorId="0" ref="J360">
      <text>
        <t xml:space="preserve">======
ID#AAABjx7qM98
    (2025-05-21 11:33:23)
190411 但未知FEDEX服務，出貨前再確認
190506 Fedex Intl. Economy</t>
      </text>
    </comment>
    <comment authorId="0" ref="B445">
      <text>
        <t xml:space="preserve">======
ID#AAABjx7qM9c
    (2025-05-21 11:33:23)
月結30天</t>
      </text>
    </comment>
    <comment authorId="0" ref="H37">
      <text>
        <t xml:space="preserve">======
ID#AAABjx7qM9A
    (2025-05-21 11:33:23)
0225 chloe:匯款匯入5948-10(手續費)</t>
      </text>
    </comment>
    <comment authorId="0" ref="H120">
      <text>
        <t xml:space="preserve">======
ID#AAABjx7qM8Y
    (2025-05-21 11:33:23)
ALICE:201904/10水單匯入USD11416*30.78
沖(229+2394+326+34+5274+3066+103)=11426</t>
      </text>
    </comment>
    <comment authorId="0" ref="F522">
      <text>
        <t xml:space="preserve">======
ID#AAABjx7qM7s
    (2025-05-21 11:33:23)
8/20 cathy: 客人revise 客供數量</t>
      </text>
    </comment>
    <comment authorId="0" ref="D716">
      <text>
        <t xml:space="preserve">======
ID#AAABjx7qM7Y
    (2025-05-21 11:33:23)
在此輸入
0909 客人待O/A肯放USD 10000 才要下單
1001 告知改由Aditeh付款</t>
      </text>
    </comment>
    <comment authorId="0" ref="H808">
      <text>
        <t xml:space="preserve">======
ID#AAABjx7qM7M
    (2025-05-21 11:33:23)
ALICE:10/24玉山水單匯入USD13256沖PI-20191007010 USD13256</t>
      </text>
    </comment>
    <comment authorId="0" ref="D717">
      <text>
        <t xml:space="preserve">======
ID#AAABjx7qM7E
    (2025-05-21 11:33:23)
在此輸入
0909 客人待O/A肯放USD 10000 才要下單
1001 告知改由Aditeh付款</t>
      </text>
    </comment>
    <comment authorId="0" ref="H555">
      <text>
        <t xml:space="preserve">======
ID#AAABjx7qM68
    (2025-05-21 11:33:23)
ALICE:2019/08/14匯入USD60</t>
      </text>
    </comment>
    <comment authorId="0" ref="H799">
      <text>
        <t xml:space="preserve">======
ID#AAABjx7qM6Q
    (2025-05-21 11:33:23)
ALICE:10/7-玉山銀行收到匯入款USD801-手續費USD6.48=USD794.52沖PI-20191002A USD801元整</t>
      </text>
    </comment>
    <comment authorId="0" ref="H312">
      <text>
        <t xml:space="preserve">======
ID#AAABjx7qM4g
    (2025-05-21 11:33:23)
alice:6/20銀行水單匯入USD4462 沖PI20190107A.PI-20190318B.PI-20190508B.PI-20181022C-2-F</t>
      </text>
    </comment>
    <comment authorId="0" ref="H928">
      <text>
        <t xml:space="preserve">======
ID#AAABjx7qM38
    (2025-05-21 11:33:23)
ALICE:1/20-第一USD收款USD1308(手續費0)沖PI-20191203001 USD77+PI-20191126001 USD1231 總計USD1308元整</t>
      </text>
    </comment>
    <comment authorId="0" ref="H442">
      <text>
        <t xml:space="preserve">======
ID#AAABjx7qM3w
    (2025-05-21 11:33:23)
ALICE:6/27水單匯入USD8652.87沖PI20190515C 1394.5.PI-20190625C 46.37.PI-20190508C 6408.PI-20190619B 804共四張PI合計8652.87</t>
      </text>
    </comment>
    <comment authorId="0" ref="E52">
      <text>
        <t xml:space="preserve">======
ID#AAABjx7qM3s
20181218 Santiago    (2025-05-21 11:33:23)
-&gt; 待客戶將 7' LCD (AA070ME01)寄來後， 寄曦立光電做貼合</t>
      </text>
    </comment>
    <comment authorId="0" ref="D547">
      <text>
        <t xml:space="preserve">======
ID#AAABjx7qM3U
    (2025-05-21 11:33:23)
7/8請 chloe 協助下單</t>
      </text>
    </comment>
    <comment authorId="0" ref="D635">
      <text>
        <t xml:space="preserve">======
ID#AAABjx7qM3I
    (2025-05-21 11:33:23)
0730 CATHY 通知客人待款項來才會幫下單</t>
      </text>
    </comment>
    <comment authorId="0" ref="K278">
      <text>
        <t xml:space="preserve">======
ID#AAABjx7qM28
    (2025-05-21 11:33:23)
0401 santi 告知改4/8出貨</t>
      </text>
    </comment>
    <comment authorId="0" ref="H97">
      <text>
        <t xml:space="preserve">======
ID#AAABjx7qM20
    (2025-05-21 11:33:23)
0329 chloe:匯款匯入US$340.5</t>
      </text>
    </comment>
    <comment authorId="0" ref="H710">
      <text>
        <t xml:space="preserve">======
ID#AAABjx7qM2g
    (2025-05-21 11:33:23)
ALICE:9/24玉山銀行水單匯入USD5713沖PI-20190906B USD5713</t>
      </text>
    </comment>
    <comment authorId="0" ref="F523">
      <text>
        <t xml:space="preserve">======
ID#AAABjx7qM2c
    (2025-05-21 11:33:23)
8/20 cathy: 客人revise 客供數量</t>
      </text>
    </comment>
    <comment authorId="0" ref="H358">
      <text>
        <t xml:space="preserve">======
ID#AAABjx7qM0M
    (2025-05-21 11:33:23)
Alice:2019/05/21-銀行水單通知USD960-匯款手續費USD6.35=USD953.65*31.51=NT30050元整</t>
      </text>
    </comment>
    <comment authorId="0" ref="H526">
      <text>
        <t xml:space="preserve">======
ID#AAABjx7qM0I
    (2025-05-21 11:33:23)
6/14-預收USD1403
6/28-銀行匯入USD6257 與6/14合計共7660，PI為7670故尚餘USD10元未收與chloe確認轉手續費處理</t>
      </text>
    </comment>
    <comment authorId="0" ref="H138">
      <text>
        <t xml:space="preserve">======
ID#AAABjx7qM0E
    (2025-05-21 11:33:23)
ALICE:2019/04/12水單匯入usd7548*30.83元整</t>
      </text>
    </comment>
    <comment authorId="0" ref="K15">
      <text>
        <t xml:space="preserve">======
ID#AAABjx7qM0A
    (2025-05-21 11:33:23)
1120Amy: Vecow 年底前交貨, 收到超恩貨+2-3 days出貨Ti2</t>
      </text>
    </comment>
    <comment authorId="0" ref="H769">
      <text>
        <t xml:space="preserve">======
ID#AAABjx7qMyc
    (2025-05-21 11:33:23)
ALICE:11/20一銀匯入USD5837沖PI-20190930A USD3945+PI-20191003A USD137+PI-20191005A USD1755</t>
      </text>
    </comment>
    <comment authorId="0" ref="E334">
      <text>
        <t xml:space="preserve">======
ID#AAABjx7qMyI
    (2025-05-21 11:33:23)
0401待amy 確認spec</t>
      </text>
    </comment>
    <comment authorId="0" ref="G566">
      <text>
        <t xml:space="preserve">======
ID#AAABjx7qMxw
    (2025-05-21 11:33:23)
190718 Tammy: w/5%</t>
      </text>
    </comment>
    <comment authorId="0" ref="J819">
      <text>
        <t xml:space="preserve">======
ID#AAABjx7qMx8
    (2025-05-21 11:33:23)
using UPS express then</t>
      </text>
    </comment>
    <comment authorId="0" ref="V371">
      <text>
        <t xml:space="preserve">======
ID#AAABjx7qMxs
    (2025-05-21 11:33:23)
Alice:2019/04/30-銀行通知水單匯入USD1577-匯出手續費USD40=USD1537*30.85=NT47416</t>
      </text>
    </comment>
    <comment authorId="0" ref="E294">
      <text>
        <t xml:space="preserve">======
ID#AAABjx7qMxo
    (2025-05-21 11:33:23)
TAICB1033667		TAICB1033678		TAICB1033679		TAICB1033703	
TAICB1033715		TAICB1033727		TAICB1033739		TAICB1033751	
TAICB1033763		TAICB1033811</t>
      </text>
    </comment>
    <comment authorId="0" ref="D679">
      <text>
        <t xml:space="preserve">======
ID#AAABjx7qMxU
    (2025-05-21 11:33:23)
0828 請chloe 協助下單
0829 CATHY: 客戶新增項目</t>
      </text>
    </comment>
    <comment authorId="0" ref="K178">
      <text>
        <t xml:space="preserve">======
ID#AAABjx7qMww
    (2025-05-21 11:33:23)
0212 San: 用DHL箱子把2個貨箱放成一個箱子</t>
      </text>
    </comment>
    <comment authorId="0" ref="G572">
      <text>
        <t xml:space="preserve">======
ID#AAABjx7qMwc
    (2025-05-21 11:33:23)
190718 Tammy: w/5%</t>
      </text>
    </comment>
    <comment authorId="0" ref="H450">
      <text>
        <t xml:space="preserve">======
ID#AAABjx7qMwE
    (2025-05-21 11:33:23)
Alice:7/8匯入NT170334 
Alice:8/6匯入NT186707
Alice:8/6匯入NT32231
總計389272+匯款手續費30=389302沖PI-20190523A 202565.沖PI20190702A 186737元整</t>
      </text>
    </comment>
    <comment authorId="0" ref="H684">
      <text>
        <t xml:space="preserve">======
ID#AAABjx7qMvs
    (2025-05-21 11:33:23)
ALICE:10/22玉山銀行匯入USD6469沖PI-20190905A USD495.PI-20190905A-F USD45.PI-20190902A 5929合計總沖USD6469</t>
      </text>
    </comment>
    <comment authorId="0" ref="K476">
      <text>
        <t xml:space="preserve">======
ID#AAABjx7qMvM
    (2025-05-21 11:33:23)
0722 Santiago同意先出貨。
0701 詢問預計7/11匯款&amp; 運輸方式</t>
      </text>
    </comment>
    <comment authorId="0" ref="U372">
      <text>
        <t xml:space="preserve">======
ID#AAABjx7qMvE
    (2025-05-21 11:33:23)
Alice:2019/04/30-銀行通知水單匯入USD1577-匯出手續費USD40=USD1537*30.85=NT47416</t>
      </text>
    </comment>
    <comment authorId="0" ref="E441">
      <text>
        <t xml:space="preserve">======
ID#AAABjx7qMvI
    (2025-05-21 11:33:23)
190517 Karen: w/o adapter</t>
      </text>
    </comment>
    <comment authorId="0" ref="H118">
      <text>
        <t xml:space="preserve">======
ID#AAABjx7qMuw
    (2025-05-21 11:33:23)
ALICE:5/3收到USD12965.5(沖PI-20190121B.PI20190217A.PI-20190131C.PI-20190313A.PI-20190306A)</t>
      </text>
    </comment>
    <comment authorId="0" ref="H218">
      <text>
        <t xml:space="preserve">======
ID#AAABjx7qMuo
    (2025-05-21 11:33:23)
5/30-銀行電文通知usd15853沖PI-20190218A 4400,PI20190218A 8975,PI-20190218A 2478(4850中的2478)</t>
      </text>
    </comment>
    <comment authorId="0" ref="K76">
      <text>
        <t xml:space="preserve">======
ID#AAABjx7qMuc
    (2025-05-21 11:33:23)
6/20 amy: this shipment DOA, the RMA Return date is 04/30, so A/R should be count from 4/30, due date is 6/15</t>
      </text>
    </comment>
    <comment authorId="0" ref="H874">
      <text>
        <t xml:space="preserve">======
ID#AAABjx7qMt4
    (2025-05-21 11:33:23)
ALICE:11/8-玉山銀行收到Dadasol匯入USD7021沖PI-20191101002 USD7021</t>
      </text>
    </comment>
    <comment authorId="0" ref="D851">
      <text>
        <t xml:space="preserve">======
ID#AAABjx7qMt0
    (2025-05-21 11:33:23)
1126yvonne:前人訂單編號KEY錯，幫忙修正20191025001</t>
      </text>
    </comment>
    <comment authorId="0" ref="H476">
      <text>
        <t xml:space="preserve">======
ID#AAABjx7qMtY
    (2025-05-21 11:33:23)
ALICE:7/19-電文匯入USD16000元整，沖PI-20190603A USD10450+236+2308+3006(4850中的)</t>
      </text>
    </comment>
    <comment authorId="0" ref="H659">
      <text>
        <t xml:space="preserve">======
ID#AAABjx7qMs8
    (2025-05-21 11:33:23)
ALICE:10/17玉山匯入款usd1332沖PI-20190819A USD1332</t>
      </text>
    </comment>
    <comment authorId="0" ref="U51">
      <text>
        <t xml:space="preserve">======
ID#AAABjx7qMsE
    (2025-05-21 11:33:23)
ALICE:訂單PI-20181218成交總額USD11594，2016/02/21水(單USD11577.5*30.79=NT356,471元整，匯出手續費10+匯入手續費6.5*30.79=手續費額NT508元整</t>
      </text>
    </comment>
    <comment authorId="0" ref="H398">
      <text>
        <t xml:space="preserve">======
ID#AAABjx7qMr4
    (2025-05-21 11:33:23)
Alice:2019/05/16-收到銀行合庫匯入通知NT194,325元整(沖PI-20190502C.PI-20190507A)手續費0</t>
      </text>
    </comment>
    <comment authorId="0" ref="H296">
      <text>
        <t xml:space="preserve">======
ID#AAABjx7qMrs
    (2025-05-21 11:33:23)
ALICE:5/3收到USD12965.5(沖PI-20190121B.PI20190217A.PI-20190131C.PI-20190313A.PI-20190306A)</t>
      </text>
    </comment>
    <comment authorId="0" ref="D554">
      <text>
        <t xml:space="preserve">======
ID#AAABjx7qMrk
    (2025-05-21 11:33:23)
0711 請Chloe協助下單</t>
      </text>
    </comment>
    <comment authorId="0" ref="H204">
      <text>
        <t xml:space="preserve">======
ID#AAABjx7qMrM
    (2025-05-21 11:33:23)
0327 chloe:匯款匯入US$21425-20(手續費)</t>
      </text>
    </comment>
    <comment authorId="0" ref="K800">
      <text>
        <t xml:space="preserve">======
ID#AAABjx7qMq8
    (2025-05-21 11:33:23)
1015YVONNE:隨貨寄目錄,並通知san</t>
      </text>
    </comment>
    <comment authorId="0" ref="E194">
      <text>
        <t xml:space="preserve">======
ID#AAABjx7qMqo
    (2025-05-21 11:33:23)
自製品DRAM-TS512MSK64W6H戎克料號13-TS0-D30N004-001A</t>
      </text>
    </comment>
    <comment authorId="0" ref="O189">
      <text>
        <t xml:space="preserve">======
ID#AAABjx7qMqM
    (2025-05-21 11:33:23)
0311 chloe:含PO20190124B</t>
      </text>
    </comment>
    <comment authorId="0" ref="K575">
      <text>
        <t xml:space="preserve">======
ID#AAABj82dpQc
    (2025-05-21 11:33:23)
190718 Tammy: 發票寄出前，請先提供確認，謝謝。</t>
      </text>
    </comment>
    <comment authorId="0" ref="H801">
      <text>
        <t xml:space="preserve">======
ID#AAABj82dpQQ
    (2025-05-21 11:33:23)
ALICE:11/20一銀匯入USD5837沖PI-20190930A USD3945+PI-20191003A USD137+PI-20191005A USD1755</t>
      </text>
    </comment>
    <comment authorId="0" ref="E518">
      <text>
        <t xml:space="preserve">======
ID#AAABj82dpPw
0620 Santiago    (2025-05-21 11:33:23)
-&gt; 待客戶將 7' LCD (AA070ME01)寄來後， 寄曦立光電做貼合</t>
      </text>
    </comment>
    <comment authorId="0" ref="H576">
      <text>
        <t xml:space="preserve">======
ID#AAABj82dpPk
    (2025-05-21 11:33:23)
ALICE:8/22玉山銀行匯入NT1,596,000+NT1,978=NT1,597,978元整，沖PI-20190717C NT1,586,124 ，沖PI-20190813C NT11,854</t>
      </text>
    </comment>
    <comment authorId="0" ref="H213">
      <text>
        <t xml:space="preserve">======
ID#AAABj82dpPc
    (2025-05-21 11:33:23)
5/30-銀行電文通知usd15853沖PI-20190218A 4400,PI20190218A 8975,PI-20190218A 2478(4850中的2478)</t>
      </text>
    </comment>
    <comment authorId="0" ref="H25">
      <text>
        <t xml:space="preserve">======
ID#AAABj82dpPU
    (2025-05-21 11:33:23)
0128 Mary: 匯款匯入 US$11,920(同H25)</t>
      </text>
    </comment>
    <comment authorId="0" ref="H634">
      <text>
        <t xml:space="preserve">======
ID#AAABj82dpPA
    (2025-05-21 11:33:23)
ALICE:9/23玉山銀行水單通知匯入USD14587沖PI-20190626A 334.5 沖PI-20190703B 8550.沖PI20190719C 5212.5.沖PI-20190722A 210.沖PI-20190801C 280 合計總沖USD14587元整</t>
      </text>
    </comment>
    <comment authorId="0" ref="J734">
      <text>
        <t xml:space="preserve">======
ID#AAABj82dpO4
    (2025-05-21 11:33:23)
190919 但未知FEDEX服務，出貨前再確認
191008 Economy service</t>
      </text>
    </comment>
    <comment authorId="0" ref="H722">
      <text>
        <t xml:space="preserve">======
ID#AAABj82dpOg
    (2025-05-21 11:33:23)
ALICE:11/14-Hectronic匯入USD244(內含手續費USD6.57)沖PI-20190910B USD137 + 沖PI-20190719B-3 USD107</t>
      </text>
    </comment>
    <comment authorId="0" ref="H293">
      <text>
        <t xml:space="preserve">======
ID#AAABj82dpOQ
    (2025-05-21 11:33:23)
0312 chloe:匯款匯入US2055-11(手續費)</t>
      </text>
    </comment>
    <comment authorId="0" ref="H357">
      <text>
        <t xml:space="preserve">======
ID#AAABj82dpOU
    (2025-05-21 11:33:23)
ALICE:20190425收到銀行水單匯入通知USD1556*30.81=NT47940(無手續費)</t>
      </text>
    </comment>
    <comment authorId="0" ref="H191">
      <text>
        <t xml:space="preserve">======
ID#AAABj82dpNs
    (2025-05-21 11:33:23)
ALICE:5/3收到USD12965.5(沖PI-20190121B.PI20190217A.PI-20190131C.PI-20190313A.PI-20190306A)</t>
      </text>
    </comment>
    <comment authorId="0" ref="H660">
      <text>
        <t xml:space="preserve">======
ID#AAABj82dpM0
    (2025-05-21 11:33:23)
ALICE:10/1玉山收到閎亮匯入款NT14645(手續費15)沖PI-20190801E.沖PI-20190820B 合計共NT14660元整</t>
      </text>
    </comment>
    <comment authorId="0" ref="K212">
      <text>
        <t xml:space="preserve">======
ID#AAABj82dpM4
    (2025-05-21 11:33:23)
0401 santi 告知改4/8出貨</t>
      </text>
    </comment>
    <comment authorId="0" ref="H417">
      <text>
        <t xml:space="preserve">======
ID#AAABj82dpMg
    (2025-05-21 11:33:23)
ALICE:6/27水單匯入USD8652.87沖PI20190515C 1394.5.PI-20190625C 46.37.PI-20190508C 6408.PI-20190619B 804共四張PI合計8652.87   發現不是金屬接頭故折讓usd771(於6/27已收，轉預收貨款)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K801">
      <text>
        <t xml:space="preserve">======
ID#AAABj82dpMk
    (2025-05-21 11:33:23)
1015YVONNE:隨貨寄目錄,並通知san</t>
      </text>
    </comment>
    <comment authorId="0" ref="V34">
      <text>
        <t xml:space="preserve">======
ID#AAABj82dpMY
    (2025-05-21 11:33:23)
ALCIE:2019/02/25水單匯入 PI-20181212A-F 訂單總計USD1500，PI-20181212A訂單總計USD1198，PI-20181212B訂單總計USD3251，合計三筆訂單USD5949元整，實收2/25水單匯入USD5938-手續費USD6.5=USD5931.5*30.76=NT182,453元整</t>
      </text>
    </comment>
    <comment authorId="0" ref="G162">
      <text>
        <t xml:space="preserve">======
ID#AAABj82dpL4
    (2025-05-21 11:33:23)
190215 w/5% vat</t>
      </text>
    </comment>
    <comment authorId="0" ref="J711">
      <text>
        <t xml:space="preserve">======
ID#AAABj82dpLg
    (2025-05-21 11:33:23)
Forwarder Details: -
FETA FREIGHT SYSTEMS (TAIWAN ) LTD. 
JUDY KAO 
 Tel: +886-3-399-2033 EXT: 135
Direct: +886-3-3992106
Fax: +886-3-3992036/2055
E-mail: judykao@ffsi.com.tw
Skype:judykao-mlattao</t>
      </text>
    </comment>
    <comment authorId="0" ref="K304">
      <text>
        <t xml:space="preserve">======
ID#AAABj82dpLc
    (2025-05-21 11:33:23)
0325 Cathy:客人無回應是否要與新訂單一併出貨，尚未收到運費</t>
      </text>
    </comment>
    <comment authorId="0" ref="H830">
      <text>
        <t xml:space="preserve">======
ID#AAABj82dpK0
    (2025-05-21 11:33:23)
ALICE:12/13一銀USD收到KH匯入USD1562.8(內含手續費USD28.61)沖PI-20191017004 USD1347+PI-20191030001 USD215.8合計總沖USD1562.8</t>
      </text>
    </comment>
    <comment authorId="0" ref="H727">
      <text>
        <t xml:space="preserve">======
ID#AAABj82dpKI
    (2025-05-21 11:33:23)
ALICE:9/12玉山水單匯入USD1463沖PI-20190910C USD1463元整</t>
      </text>
    </comment>
    <comment authorId="0" ref="H231">
      <text>
        <t xml:space="preserve">======
ID#AAABj82dpJ8
    (2025-05-21 11:33:23)
ALICE:2019/04/12水單USD11670*30.81(3035+135+5420+2730+310+40)</t>
      </text>
    </comment>
    <comment authorId="0" ref="D868">
      <text>
        <t xml:space="preserve">======
ID#AAABj82dpJ0
    (2025-05-21 11:33:23)
10/30 Cathy:請yvonne 協助下單</t>
      </text>
    </comment>
    <comment authorId="0" ref="H342">
      <text>
        <t xml:space="preserve">======
ID#AAABj82dpJw
    (2025-05-21 11:33:23)
alice:2019/05/17水單通知USD19768沖3/4A $1995.3/4A-1$4152.3/4A-1-F $232.3/8B-F $57.12/21A-2-F $144.3/4A-1 $189.10/22C-2 $10227.12/21A-1 $2772.如上總計共USD19768</t>
      </text>
    </comment>
    <comment authorId="0" ref="H29">
      <text>
        <t xml:space="preserve">======
ID#AAABj82dpJc
    (2025-05-21 11:33:23)
0128 Mary: 匯款匯入 US$11,920(同H25)</t>
      </text>
    </comment>
    <comment authorId="0" ref="J874">
      <text>
        <t xml:space="preserve">======
ID#AAABj82dpJg
    (2025-05-21 11:33:23)
FOB 
代客人提供forwarder</t>
      </text>
    </comment>
    <comment authorId="0" ref="H278">
      <text>
        <t xml:space="preserve">======
ID#AAABj82dpI8
    (2025-05-21 11:33:23)
ALICE:2019/04/08-水單匯入USD31764-手續費USD12=USD31752
詳4/8-客戶MAIL沖帳明細(12540+944+2010+5770+10500=31764)</t>
      </text>
    </comment>
    <comment authorId="0" ref="G730">
      <text>
        <t xml:space="preserve">======
ID#AAABj82dpI4
    (2025-05-21 11:33:23)
20191030客人告知想直接買入。</t>
      </text>
    </comment>
    <comment authorId="0" ref="E643">
      <text>
        <t xml:space="preserve">======
ID#AAABj82dpI0
    (2025-05-21 11:33:23)
下單Nport W2150A-EU BAND w/EU adaptor</t>
      </text>
    </comment>
    <comment authorId="0" ref="H2">
      <text>
        <t xml:space="preserve">======
ID#AAABj82dpIw
    (2025-05-21 11:33:23)
0104 chloe:匯款匯入US$3195.35</t>
      </text>
    </comment>
    <comment authorId="0" ref="H676">
      <text>
        <t xml:space="preserve">======
ID#AAABj82dpIk
    (2025-05-21 11:33:23)
ALICE:10/8-玉山水單匯入USD1566沖PI-20190828A USD1566</t>
      </text>
    </comment>
    <comment authorId="0" ref="H384">
      <text>
        <t xml:space="preserve">======
ID#AAABj82dpIo
    (2025-05-21 11:33:23)
ALICE:5/6-銀行電文通知USD12495.8(沖PI-20190422C.PI-20190424A)</t>
      </text>
    </comment>
    <comment authorId="0" ref="H1">
      <text>
        <t xml:space="preserve">======
ID#AAABj82dpII
20181001 San    (2025-05-21 11:33:23)
美金
20190718 chloe:
總價- 
國內單價(含稅)
國外單價(不含稅)</t>
      </text>
    </comment>
    <comment authorId="0" ref="K122">
      <text>
        <t xml:space="preserve">======
ID#AAABj82dpIA
    (2025-05-21 11:33:23)
在此輸入
0220 Bruce: 告知預計2/25可出貨</t>
      </text>
    </comment>
    <comment authorId="0" ref="U18">
      <text>
        <t xml:space="preserve">======
ID#AAABj82dpH8
    (2025-05-21 11:33:23)
alice:PI-20181026B成交總額USD13350，PI-20181212C成交總額USD800，上述兩筆訂單總計USD14150元整，2019/02/12水單匯入UAD14150*30.76=NT435,254元整(全額到付)</t>
      </text>
    </comment>
    <comment authorId="0" ref="H72">
      <text>
        <t xml:space="preserve">======
ID#AAABj82dpGw
    (2025-05-21 11:33:23)
0305 chloe:匯款匯入US8750</t>
      </text>
    </comment>
    <comment authorId="0" ref="D552">
      <text>
        <t xml:space="preserve">======
ID#AAABj82dpG0
    (2025-05-21 11:33:23)
0711 請Chloe協助下單</t>
      </text>
    </comment>
    <comment authorId="0" ref="B727">
      <text>
        <t xml:space="preserve">======
ID#AAABj82dpGk
    (2025-05-21 11:33:23)
新開發客戶</t>
      </text>
    </comment>
    <comment authorId="0" ref="H621">
      <text>
        <t xml:space="preserve">======
ID#AAABj82dpGU
    (2025-05-21 11:33:23)
alice:8/19匯入USD16000沖PI-20190730A 10500，沖PI20190603A 1844(4850)，沖PI20190603A 3656(7040)</t>
      </text>
    </comment>
    <comment authorId="0" ref="E736">
      <text>
        <t xml:space="preserve">======
ID#AAABj82dpGM
    (2025-05-21 11:33:23)
DG141005</t>
      </text>
    </comment>
    <comment authorId="0" ref="D606">
      <text>
        <t xml:space="preserve">======
ID#AAABj82dpFY
    (2025-05-21 11:33:23)
0722 請chloe下單</t>
      </text>
    </comment>
    <comment authorId="0" ref="J457">
      <text>
        <t xml:space="preserve">======
ID#AAABj82dpEw
    (2025-05-21 11:33:23)
客人自行安排取貨 
0527待客人確認</t>
      </text>
    </comment>
    <comment authorId="0" ref="H133">
      <text>
        <t xml:space="preserve">======
ID#AAABj82dpEE
    (2025-05-21 11:33:23)
ALICE:2019/05/02-水單匯入USD21462.5</t>
      </text>
    </comment>
  </commentList>
  <extLst>
    <ext uri="GoogleSheetsCustomDataVersion2">
      <go:sheetsCustomData xmlns:go="http://customooxmlschemas.google.com/" r:id="rId1" roundtripDataSignature="AMtx7mgZlM3ZqX9Wme7eaWmYaMzLSqgOC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407">
      <text>
        <t xml:space="preserve">======
ID#AAABjx7qWcQ
    (2025-05-21 11:33:27)
0508 Cathy 下單</t>
      </text>
    </comment>
    <comment authorId="0" ref="E776">
      <text>
        <t xml:space="preserve">======
ID#AAABjx7qWb8
    (2025-05-21 11:33:27)
0313 chloe: 戎克備有庫存，見半成品庫存表</t>
      </text>
    </comment>
    <comment authorId="0" ref="M41">
      <text>
        <t xml:space="preserve">======
ID#AAABjx7qWcI
    (2025-05-21 11:33:27)
1214 ask  stock</t>
      </text>
    </comment>
    <comment authorId="0" ref="N586">
      <text>
        <t xml:space="preserve">======
ID#AAABjx7qWb4
    (2025-05-21 11:33:27)
0917 chloe:已先告知曦立排單</t>
      </text>
    </comment>
    <comment authorId="0" ref="H533">
      <text>
        <t xml:space="preserve">======
ID#AAABjx7qWb0
    (2025-05-21 11:33:27)
ALICE:8/6-玉山匯入55253元整，沖PI-20190626B 17487.沖PI-20190701A 32692.沖PI-20190716A 5089</t>
      </text>
    </comment>
    <comment authorId="0" ref="K148">
      <text>
        <t xml:space="preserve">======
ID#AAABjx7qWbg
    (2025-05-21 11:33:27)
0212 Cathy: 原出貨日為2/14，已mail告知san變更出貨日</t>
      </text>
    </comment>
    <comment authorId="0" ref="D252">
      <text>
        <t xml:space="preserve">======
ID#AAABjx7qWbY
    (2025-05-21 11:33:27)
190109 Tammy: 抽驗即可, 謝謝</t>
      </text>
    </comment>
    <comment authorId="0" ref="D910">
      <text>
        <t xml:space="preserve">======
ID#AAABjx7qWbQ
    (2025-05-21 11:33:27)
CATHY: 20191119 客人新增項目 
11/19 請chloe 下單</t>
      </text>
    </comment>
    <comment authorId="0" ref="H368">
      <text>
        <t xml:space="preserve">======
ID#AAABjx7qWa8
    (2025-05-21 11:33:27)
alice:2019/05/14電文通知USD16645沖(PI20190418C 金額總計15865+PI20190218A 4850中的(780)</t>
      </text>
    </comment>
    <comment authorId="0" ref="H288">
      <text>
        <t xml:space="preserve">======
ID#AAABjx7qWa0
    (2025-05-21 11:33:27)
alice:2019/05/17水單通知USD19768沖3/4A $1995.3/4A-1$4152.3/4A-1-F $232.3/8B-F $57.12/21A-2-F $144.3/4A-1 $189.10/22C-2 $10227.12/21A-1 $2772.如上總計共USD19768</t>
      </text>
    </comment>
    <comment authorId="0" ref="L379">
      <text>
        <t xml:space="preserve">======
ID#AAABjx7qWag
    (2025-05-21 11:33:27)
0422 Tammy 告知 與4/29貨一起走</t>
      </text>
    </comment>
    <comment authorId="0" ref="H749">
      <text>
        <t xml:space="preserve">======
ID#AAABjx7qWaI
    (2025-05-21 11:33:27)
ALICE:11/4玉山銀行收到匯入款USD407沖PI-20190919A USD407元整</t>
      </text>
    </comment>
    <comment authorId="0" ref="AC1">
      <text>
        <t xml:space="preserve">======
ID#AAABjx7qWZw
    (2025-05-21 11:33:27)
此欄位針對某些特定客戶. 要求使用出貨前一天的匯率. 才開發票的客戶. 例如 Z 和 Pharms</t>
      </text>
    </comment>
    <comment authorId="0" ref="H512">
      <text>
        <t xml:space="preserve">======
ID#AAABjx7qWZc
    (2025-05-21 11:33:27)
ALICE:6/20銀行匯入USD328</t>
      </text>
    </comment>
    <comment authorId="0" ref="L359">
      <text>
        <t xml:space="preserve">======
ID#AAABjx7qWZY
    (2025-05-21 11:33:27)
0417 ivy revise 交期</t>
      </text>
    </comment>
    <comment authorId="0" ref="E134">
      <text>
        <t xml:space="preserve">======
ID#AAABjx7qWZQ
    (2025-05-21 11:33:27)
256GB 2.5" SSD M3M MP808 Samsung eMMC ET(-25℃~+85℃)</t>
      </text>
    </comment>
    <comment authorId="0" ref="F406">
      <text>
        <t xml:space="preserve">======
ID#AAABjx7qWZI
    (2025-05-21 11:33:27)
0513 santi 告知修改數量</t>
      </text>
    </comment>
    <comment authorId="0" ref="N457">
      <text>
        <t xml:space="preserve">======
ID#AAABjx7qWYw
    (2025-05-21 11:33:27)
0524 CATHY下單</t>
      </text>
    </comment>
    <comment authorId="0" ref="AF222">
      <text>
        <t xml:space="preserve">======
ID#AAABjx7qWYg
alice    (2025-05-21 11:33:27)
出口報單報關日期108/03/26-CG//08/376/2Y449報單金額USD5053*30.825=155759</t>
      </text>
    </comment>
    <comment authorId="0" ref="J664">
      <text>
        <t xml:space="preserve">======
ID#AAABjx7qWYQ
    (2025-05-21 11:33:27)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</text>
    </comment>
    <comment authorId="0" ref="D829">
      <text>
        <t xml:space="preserve">======
ID#AAABjx7qWX4
    (2025-05-21 11:33:27)
10/17 CATHY:請Tammy 下單</t>
      </text>
    </comment>
    <comment authorId="0" ref="X719">
      <text>
        <t xml:space="preserve">======
ID#AAABjx7qWXs
    (2025-05-21 11:33:27)
ALICE: TI2 PI-20190905A-F 運費998
             Santiago寄目錄到NEw era運費1385
             Santiago寄目錄到captec 運費1385</t>
      </text>
    </comment>
    <comment authorId="0" ref="H229">
      <text>
        <t xml:space="preserve">======
ID#AAABjx7qWXQ
    (2025-05-21 11:33:27)
ALICE:2019/04/12水單USD11670*30.81(3035+135+5420+2730+310+40)</t>
      </text>
    </comment>
    <comment authorId="0" ref="L573">
      <text>
        <t xml:space="preserve">======
ID#AAABjx7qWXI
0724 chloe    (2025-05-21 11:33:27)
貨到請通知Chloe及生管，需更換標籤
謝謝</t>
      </text>
    </comment>
    <comment authorId="0" ref="L415">
      <text>
        <t xml:space="preserve">======
ID#AAABjx7qWW8
    (2025-05-21 11:33:27)
5/10 chloe 下單
●貨到請交給chloe
●發票請交由採購-chloe</t>
      </text>
    </comment>
    <comment authorId="0" ref="H813">
      <text>
        <t xml:space="preserve">======
ID#AAABjx7qWWw
    (2025-05-21 11:33:27)
ALICE:10/14匯入USD557-手續費USD17.53=USD539.47沖PI-20191008002 USD557元整</t>
      </text>
    </comment>
    <comment authorId="0" ref="H840">
      <text>
        <t xml:space="preserve">======
ID#AAABjx7qWWs
    (2025-05-21 11:33:27)
ALICE:1/7第一銀行USD3228 沖PI-20191007006 1501+PI-20191007007 USD1727+PI-20191128002 USD20總沖USD3248</t>
      </text>
    </comment>
    <comment authorId="0" ref="D711">
      <text>
        <t xml:space="preserve">======
ID#AAABjx7qWWY
    (2025-05-21 11:33:27)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</text>
    </comment>
    <comment authorId="0" ref="J457">
      <text>
        <t xml:space="preserve">======
ID#AAABjx7qWWM
    (2025-05-21 11:33:27)
客人自行安排取貨 
0527待客人確認</t>
      </text>
    </comment>
    <comment authorId="0" ref="H952">
      <text>
        <t xml:space="preserve">======
ID#AAABjx7qWV8
    (2025-05-21 11:33:27)
ALICE:2/24一銀收到USD12104沖PI-20191127001 USD6784+PI-20191104001 USD2014+PI-20191213001 USD3306</t>
      </text>
    </comment>
    <comment authorId="0" ref="K212">
      <text>
        <t xml:space="preserve">======
ID#AAABjx7qWVg
    (2025-05-21 11:33:27)
0401 santi 告知改4/8出貨</t>
      </text>
    </comment>
    <comment authorId="0" ref="H390">
      <text>
        <t xml:space="preserve">======
ID#AAABjx7qWVM
    (2025-05-21 11:33:27)
ALICE:5/27-水單匯入USD4578*31.43</t>
      </text>
    </comment>
    <comment authorId="0" ref="L8">
      <text>
        <t xml:space="preserve">======
ID#AAABjx7qWVI
    (2025-05-21 11:33:27)
1108 chloe:詢問過大PM (Santiago) 告知暫Hold</t>
      </text>
    </comment>
    <comment authorId="0" ref="H160">
      <text>
        <t xml:space="preserve">======
ID#AAABjx7qWU4
    (2025-05-21 11:33:27)
0307 chloe:匯款匯入US39896-37(手續費)</t>
      </text>
    </comment>
    <comment authorId="0" ref="D851">
      <text>
        <t xml:space="preserve">======
ID#AAABjx7qWU0
    (2025-05-21 11:33:27)
1126yvonne:前人訂單編號KEY錯，幫忙修正20191025001</t>
      </text>
    </comment>
    <comment authorId="0" ref="H239">
      <text>
        <t xml:space="preserve">======
ID#AAABjx7qWUo
    (2025-05-21 11:33:27)
ALICE:201904/10水單匯入USD11416*30.78
沖(229+2394+326+34+5274+3066+103)=11426</t>
      </text>
    </comment>
    <comment authorId="0" ref="E519">
      <text>
        <t xml:space="preserve">======
ID#AAABjx7qWUg
    (2025-05-21 11:33:27)
20190620
 Santiago:
-&gt; 待客戶將 7' LCD (AA070ME01)寄來後， 寄曦立光電做貼合</t>
      </text>
    </comment>
    <comment authorId="0" ref="L661">
      <text>
        <t xml:space="preserve">======
ID#AAABjx7qWUk
    (2025-05-21 11:33:27)
chloe: 1107 Pull in 12/27 那週交貨→廠商尚未回覆</t>
      </text>
    </comment>
    <comment authorId="0" ref="R481">
      <text>
        <t xml:space="preserve">======
ID#AAABjx7qWUE
    (2025-05-21 11:33:27)
戎克庫存成本</t>
      </text>
    </comment>
    <comment authorId="0" ref="H524">
      <text>
        <t xml:space="preserve">======
ID#AAABjx7qWTs
    (2025-05-21 11:33:27)
ALICE:10/1玉山水單匯入USD12075沖PI20190625A USD12075</t>
      </text>
    </comment>
    <comment authorId="0" ref="H14">
      <text>
        <t xml:space="preserve">======
ID#AAABjx7qWTo
    (2025-05-21 11:33:27)
alice:2019/05/17水單通知USD19768沖3/4A $1995.3/4A-1$4152.3/4A-1-F $232.3/8B-F $57.12/21A-2-F $144.3/4A-1 $189.10/22C-2 $10227.12/21A-1 $2772.如上總計共USD19768</t>
      </text>
    </comment>
    <comment authorId="0" ref="H134">
      <text>
        <t xml:space="preserve">======
ID#AAABjx7qWTk
    (2025-05-21 11:33:27)
ALICE:2019/05/02-水單匯入USD21462.5</t>
      </text>
    </comment>
    <comment authorId="0" ref="K873">
      <text>
        <t xml:space="preserve">======
ID#AAABjx7qWTM
    (2025-05-21 11:33:27)
1105 mail告知客人交期</t>
      </text>
    </comment>
    <comment authorId="0" ref="J469">
      <text>
        <t xml:space="preserve">======
ID#AAABjx7qWTI
    (2025-05-21 11:33:27)
DHL Account Number : 956287207 for Freight ( AVIHS Technologies )</t>
      </text>
    </comment>
    <comment authorId="0" ref="I602">
      <text>
        <t xml:space="preserve">======
ID#AAABjx7qWSw
    (2025-05-21 11:33:27)
Cathy/Santiago</t>
      </text>
    </comment>
    <comment authorId="0" ref="H511">
      <text>
        <t xml:space="preserve">======
ID#AAABjx7qWS0
    (2025-05-21 11:33:27)
ALICE:7/8-電文通知USD2300沖PI-20190604D.PI-20190611A</t>
      </text>
    </comment>
    <comment authorId="0" ref="H468">
      <text>
        <t xml:space="preserve">======
ID#AAABjx7qWSc
    (2025-05-21 11:33:27)
ALICE:5/31銀行電文通知匯入款USD531+匯出手續費USD11=USD542</t>
      </text>
    </comment>
    <comment authorId="0" ref="H116">
      <text>
        <t xml:space="preserve">======
ID#AAABjx7qWSY
    (2025-05-21 11:33:27)
ALICE:5/3收到USD12965.5(沖PI-20190121B.PI20190217A.PI-20190131C.PI-20190313A.PI-20190306A)</t>
      </text>
    </comment>
    <comment authorId="0" ref="H949">
      <text>
        <t xml:space="preserve">======
ID#AAABjx7qWSA
    (2025-05-21 11:33:27)
ALICE:2/24一銀收到USD12104沖PI-20191127001 USD6784+PI-20191104001 USD2014+PI-20191213001 USD3306</t>
      </text>
    </comment>
    <comment authorId="0" ref="K287">
      <text>
        <t xml:space="preserve">======
ID#AAABjx7qWRw
    (2025-05-21 11:33:27)
0401 Bruce告知一組LED閃爍，後無反應，請廠商來看。</t>
      </text>
    </comment>
    <comment authorId="0" ref="M827">
      <text>
        <t xml:space="preserve">======
ID#AAABjx7qWRU
    (2025-05-21 11:33:27)
1025 chloe: 因應 6 PCS 驗退；4 PCS 良品寄回</t>
      </text>
    </comment>
    <comment authorId="0" ref="I592">
      <text>
        <t xml:space="preserve">======
ID#AAABjx7qWRA
    (2025-05-21 11:33:27)
Cathy/Santiago</t>
      </text>
    </comment>
    <comment authorId="0" ref="L755">
      <text>
        <t xml:space="preserve">======
ID#AAABjx7qWQ4
    (2025-05-21 11:33:27)
Chloe 1106: MOXA回覆交期，有可能會延遲兩天</t>
      </text>
    </comment>
    <comment authorId="0" ref="L247">
      <text>
        <t xml:space="preserve">======
ID#AAABjx7qWQ0
    (2025-05-21 11:33:27)
0416 Cathy: 新漢ivy 通知到貨</t>
      </text>
    </comment>
    <comment authorId="0" ref="L15">
      <text>
        <t xml:space="preserve">======
ID#AAABjx7qWQs
    (2025-05-21 11:33:27)
0325 Cathy:廠商告知確定交期,已請他們協助提前
0119 Cathy:缺主板+CPU
9/26 Cindy:Intel 年底交貨</t>
      </text>
    </comment>
    <comment authorId="0" ref="H823">
      <text>
        <t xml:space="preserve">======
ID#AAABjx7qWQg
    (2025-05-21 11:33:27)
ALICE:12/12收到應收票據，到期日108/12/30-AN0560117 NT132075(郵寄28元)沖PI-20191015001</t>
      </text>
    </comment>
    <comment authorId="0" ref="J911">
      <text>
        <t xml:space="preserve">======
ID#AAABjx7qWQE
    (2025-05-21 11:33:27)
客人自取</t>
      </text>
    </comment>
    <comment authorId="0" ref="L6">
      <text>
        <t xml:space="preserve">======
ID#AAABjx7qWQA
    (2025-05-21 11:33:27)
1108 chloe:詢問過大PM (Santiago) 告知暫Hold</t>
      </text>
    </comment>
    <comment authorId="0" ref="H800">
      <text>
        <t xml:space="preserve">======
ID#AAABjx7qWP4
    (2025-05-21 11:33:27)
ALICE:11/20一銀匯入USD5837沖PI-20190930A USD3945+PI-20191003A USD137+PI-20191005A USD1755</t>
      </text>
    </comment>
    <comment authorId="0" ref="E342">
      <text>
        <t xml:space="preserve">======
ID#AAABjx7qWPw
    (2025-05-21 11:33:27)
1224 chloe:樣品庫存</t>
      </text>
    </comment>
    <comment authorId="0" ref="D721">
      <text>
        <t xml:space="preserve">======
ID#AAABjx7qWPg
    (2025-05-21 11:33:27)
0910 Cathy: 已請chloe &amp; Bank 協助</t>
      </text>
    </comment>
    <comment authorId="0" ref="H85">
      <text>
        <t xml:space="preserve">======
ID#AAABjx7qWPY
    (2025-05-21 11:33:27)
ALICE:201904/10水單匯入USD11416*30.78
沖(229+2394+326+34+5274+3066+103)=11426</t>
      </text>
    </comment>
    <comment authorId="0" ref="N591">
      <text>
        <t xml:space="preserve">======
ID#AAABjx7qWPQ
    (2025-05-21 11:33:27)
0801 chloe: 0731 開案</t>
      </text>
    </comment>
    <comment authorId="0" ref="S105">
      <text>
        <t xml:space="preserve">======
ID#AAABjx7qWOw
    (2025-05-21 11:33:27)
14314</t>
      </text>
    </comment>
    <comment authorId="0" ref="H503">
      <text>
        <t xml:space="preserve">======
ID#AAABjx7qWN4
    (2025-05-21 11:33:27)
ALICE:8/2-水單匯入USD541元整，沖PI-20190606D USD416+沖PI-20190617A USD125</t>
      </text>
    </comment>
    <comment authorId="0" ref="AI280">
      <text>
        <t xml:space="preserve">======
ID#AAABjx7qWNo
    (2025-05-21 11:33:27)
ALICE:5/3-電文USD16646(沖10450+4616+1580(4850中的1580))</t>
      </text>
    </comment>
    <comment authorId="0" ref="N315">
      <text>
        <t xml:space="preserve">======
ID#AAABjx7qWNg
    (2025-05-21 11:33:27)
0321 Cathy:下單</t>
      </text>
    </comment>
    <comment authorId="0" ref="H630">
      <text>
        <t xml:space="preserve">======
ID#AAABjx7qWNI
    (2025-05-21 11:33:27)
ALICE:8/21-銀行匯入USD374沖PI-20190801A USD334.沖PI-20190801A-1 USD40</t>
      </text>
    </comment>
    <comment authorId="0" ref="H564">
      <text>
        <t xml:space="preserve">======
ID#AAABjx7qWMY
    (2025-05-21 11:33:27)
alice:11/19-一銀Hatteland電文通知匯入USD58800 沖PI-20190717A USD58800</t>
      </text>
    </comment>
    <comment authorId="0" ref="H43">
      <text>
        <t xml:space="preserve">======
ID#AAABjx7qWMU
    (2025-05-21 11:33:27)
0225 chloe:匯款匯入5948-10(手續費)</t>
      </text>
    </comment>
    <comment authorId="0" ref="N675">
      <text>
        <t xml:space="preserve">======
ID#AAABjx7qWLQ
    (2025-05-21 11:33:27)
尚未下單，曦立告知或許有良率問題它們可能會吸收掉</t>
      </text>
    </comment>
    <comment authorId="0" ref="H486">
      <text>
        <t xml:space="preserve">======
ID#AAABjx7qWLM
    (2025-05-21 11:33:27)
ALICE:7/8-電文通知USD2300沖PI-20190604D.PI-20190611A</t>
      </text>
    </comment>
    <comment authorId="0" ref="H83">
      <text>
        <t xml:space="preserve">======
ID#AAABjx7qWK8
    (2025-05-21 11:33:27)
ALICE:201904/10水單匯入USD11416*30.78
沖(229+2394+326+34+5274+3066+103)=11426</t>
      </text>
    </comment>
    <comment authorId="0" ref="N536">
      <text>
        <t xml:space="preserve">======
ID#AAABjx7qWK0
    (2025-05-21 11:33:27)
20190703143500</t>
      </text>
    </comment>
    <comment authorId="0" ref="H246">
      <text>
        <t xml:space="preserve">======
ID#AAABjx7qWKo
    (2025-05-21 11:33:27)
ALICE:2019/05/20-收到玉山銀行電文通知USD12750元整</t>
      </text>
    </comment>
    <comment authorId="0" ref="K10">
      <text>
        <t xml:space="preserve">======
ID#AAABjx7qWJ0
    (2025-05-21 11:33:27)
1120Amy: Vecow 年底前交貨, 收到超恩貨+2-3 days出貨Ti2</t>
      </text>
    </comment>
    <comment authorId="0" ref="K397">
      <text>
        <t xml:space="preserve">======
ID#AAABjx7qWJw
    (2025-05-21 11:33:27)
貨交台灣
新北市汐止市合順街18巷23弄11號5摟</t>
      </text>
    </comment>
    <comment authorId="0" ref="E84">
      <text>
        <t xml:space="preserve">======
ID#AAABjx7qWJs
    (2025-05-21 11:33:27)
0301 chloe:原定DDS8GHIMBFC
 (8GB DDR3L DRAM Normal Temp)</t>
      </text>
    </comment>
    <comment authorId="0" ref="K216">
      <text>
        <t xml:space="preserve">======
ID#AAABjx7qWJo
    (2025-05-21 11:33:27)
0401 santi 告知改4/8出貨</t>
      </text>
    </comment>
    <comment authorId="0" ref="L142">
      <text>
        <t xml:space="preserve">======
ID#AAABjx7qWIs
    (2025-05-21 11:33:27)
0125 Cathy:供應商有庫存</t>
      </text>
    </comment>
    <comment authorId="0" ref="H163">
      <text>
        <t xml:space="preserve">======
ID#AAABjx7qWIo
    (2025-05-21 11:33:27)
ALICE:5/3收到USD12965.5(沖PI-20190121B.PI20190217A.PI-20190131C.PI-20190313A.PI-20190306A)</t>
      </text>
    </comment>
    <comment authorId="0" ref="H856">
      <text>
        <t xml:space="preserve">======
ID#AAABjx7qWIU
    (2025-05-21 11:33:27)
ALICE:1/15一銀收到USD8853(內含手續費USD53.7)沖PI-20191029002 USD4275+PI-20191029003 USD2235+PI-20191029004 USD1988+PI-20191105002 USD355</t>
      </text>
    </comment>
    <comment authorId="0" ref="K884">
      <text>
        <t xml:space="preserve">======
ID#AAABjx7qWIE
    (2025-05-21 11:33:27)
11/8 cathy: 請告知可提供最快交期 
1223yvonne:Santiago同意放貨</t>
      </text>
    </comment>
    <comment authorId="0" ref="S734">
      <text>
        <t xml:space="preserve">======
ID#AAABjx7qWIA
    (2025-05-21 11:33:27)
戎克庫存成本(2019/10/03查詢)</t>
      </text>
    </comment>
    <comment authorId="0" ref="D825">
      <text>
        <t xml:space="preserve">======
ID#AAABjx7qWHw
    (2025-05-21 11:33:27)
10/23 cathy: 請chloe 下單</t>
      </text>
    </comment>
    <comment authorId="0" ref="Q155">
      <text>
        <t xml:space="preserve">======
ID#AAABjx7qWHM
    (2025-05-21 11:33:27)
0213 Cathy: 廠商告知未滿5k，運費usd3 ,san approve</t>
      </text>
    </comment>
    <comment authorId="0" ref="G284">
      <text>
        <t xml:space="preserve">======
ID#AAABjx7qWG0
    (2025-05-21 11:33:27)
190303 w/5% VAT</t>
      </text>
    </comment>
    <comment authorId="0" ref="E294">
      <text>
        <t xml:space="preserve">======
ID#AAABjx7qWGc
    (2025-05-21 11:33:27)
TAICB1033667		TAICB1033678		TAICB1033679		TAICB1033703	
TAICB1033715		TAICB1033727		TAICB1033739		TAICB1033751	
TAICB1033763		TAICB1033811</t>
      </text>
    </comment>
    <comment authorId="0" ref="N627">
      <text>
        <t xml:space="preserve">======
ID#AAABjx7qWFU
    (2025-05-21 11:33:27)
0801 chloe下單
請Nicky提供 S/N</t>
      </text>
    </comment>
    <comment authorId="0" ref="L174">
      <text>
        <t xml:space="preserve">======
ID#AAABjx7qWFM
    (2025-05-21 11:33:27)
0318 Cathy: 今天告知交期 
0311 Cathy: 超恩告知缺主板
主板預計3/15到超恩，還需測試。
若無問題預計3/21出貨，若有問題待下批，預計4/8後出貨</t>
      </text>
    </comment>
    <comment authorId="0" ref="E480">
      <text>
        <t xml:space="preserve">======
ID#AAABjx7qWEw
    (2025-05-21 11:33:27)
6/10 Amy: MI3EM5125602EN (原舊訂單料號)或 MI3MB1125604SN (目前敏博報價單料號)
256G SSD Normal Temp.</t>
      </text>
    </comment>
    <comment authorId="0" ref="E539">
      <text>
        <t xml:space="preserve">======
ID#AAABjx7qWEo
    (2025-05-21 11:33:27)
20170104 Santiago: 和之前訂單一樣, w/o adapter</t>
      </text>
    </comment>
    <comment authorId="0" ref="S590">
      <text>
        <t xml:space="preserve">======
ID#AAABjx7qWEs
    (2025-05-21 11:33:27)
客供料，無成本</t>
      </text>
    </comment>
    <comment authorId="0" ref="N403">
      <text>
        <t xml:space="preserve">======
ID#AAABjx7qWEk
    (2025-05-21 11:33:27)
0507 Cathy下單</t>
      </text>
    </comment>
    <comment authorId="0" ref="D154">
      <text>
        <t xml:space="preserve">======
ID#AAABjx7qWEA
    (2025-05-21 11:33:27)
San: 只附3M 膠給客戶就好. 因為膠帶是要貼在LCD上. 非Touch</t>
      </text>
    </comment>
    <comment authorId="0" ref="D588">
      <text>
        <t xml:space="preserve">======
ID#AAABjx7qWDw
    (2025-05-21 11:33:27)
20190604 Robin accept W/O AG、AR treatment this time</t>
      </text>
    </comment>
    <comment authorId="0" ref="H293">
      <text>
        <t xml:space="preserve">======
ID#AAABjx7qWDs
    (2025-05-21 11:33:27)
0312 chloe:匯款匯入US2055-11(手續費)</t>
      </text>
    </comment>
    <comment authorId="0" ref="S416">
      <text>
        <t xml:space="preserve">======
ID#AAABjx7qWDY
    (2025-05-21 11:33:27)
0813 chloe OK</t>
      </text>
    </comment>
    <comment authorId="0" ref="K473">
      <text>
        <t xml:space="preserve">======
ID#AAABjx7qWDI
    (2025-05-21 11:33:27)
0722 Santiago同意先出貨。
0701 詢問預計7/11匯款&amp; 運輸方式</t>
      </text>
    </comment>
    <comment authorId="0" ref="I881">
      <text>
        <t xml:space="preserve">======
ID#AAABjx7qWDA
    (2025-05-21 11:33:27)
Cathy/Yvonne</t>
      </text>
    </comment>
    <comment authorId="0" ref="N104">
      <text>
        <t xml:space="preserve">======
ID#AAABjx7qWCw
    (2025-05-21 11:33:27)
0213 Cathy: 從新下單，快遞回台</t>
      </text>
    </comment>
    <comment authorId="0" ref="AF221">
      <text>
        <t xml:space="preserve">======
ID#AAABjx7qWCo
alice    (2025-05-21 11:33:27)
出口報單報關日期108/03/26-CG//08/376/2Y449報單金額USD5053*30.825=155759</t>
      </text>
    </comment>
    <comment authorId="0" ref="D865">
      <text>
        <t xml:space="preserve">======
ID#AAABjx7qWCg
    (2025-05-21 11:33:27)
10/30 CATHY:請CHLOE協助下單</t>
      </text>
    </comment>
    <comment authorId="0" ref="H285">
      <text>
        <t xml:space="preserve">======
ID#AAABjx7qWCU
    (2025-05-21 11:33:27)
190303 客人應付貨款要扣掉NT$33313元 
3/22 chloe: 應付貨款145224- 33313
=111911(0322 已付)</t>
      </text>
    </comment>
    <comment authorId="0" ref="H903">
      <text>
        <t xml:space="preserve">======
ID#AAABjx7qWCM
    (2025-05-21 11:33:27)
Alice:11/14電文通知匯入USD1676 沖PI-20191114002 USD1676 待銀行水單沖帳</t>
      </text>
    </comment>
    <comment authorId="0" ref="K802">
      <text>
        <t xml:space="preserve">======
ID#AAABjx7qWCI
    (2025-05-21 11:33:27)
1015YVONNE:隨貨寄目錄,並通知san</t>
      </text>
    </comment>
    <comment authorId="0" ref="L148">
      <text>
        <t xml:space="preserve">======
ID#AAABjx7qWBs
    (2025-05-21 11:33:27)
Cathy: 廠商告知3/8下午到貨</t>
      </text>
    </comment>
    <comment authorId="0" ref="P704">
      <text>
        <t xml:space="preserve">======
ID#AAABjx7qWBg
    (2025-05-21 11:33:27)
以色列專案價</t>
      </text>
    </comment>
    <comment authorId="0" ref="K910">
      <text>
        <t xml:space="preserve">======
ID#AAABjx7qWBk
    (2025-05-21 11:33:27)
1114 cathy 客人指定出貨時間</t>
      </text>
    </comment>
    <comment authorId="0" ref="H733">
      <text>
        <t xml:space="preserve">======
ID#AAABjx7qWBU
    (2025-05-21 11:33:27)
ALICE:10/24玉山水單匯入USD478沖PI-20190913A USD478</t>
      </text>
    </comment>
    <comment authorId="0" ref="H318">
      <text>
        <t xml:space="preserve">======
ID#AAABjx7qWBI
    (2025-05-21 11:33:27)
alice:5/10-水單通知usd3751-匯出手續費20-匯入手續費6.46=USD3724.54*30.94=NT115,237元整
沖20190320B USD1270
沖20190322A USD2481
合計總沖USD3751元整</t>
      </text>
    </comment>
    <comment authorId="0" ref="H795">
      <text>
        <t xml:space="preserve">======
ID#AAABjx7qWAo
    (2025-05-21 11:33:27)
ALICE:1/9-一銀水單USD1590沖PI-20191001E USD1590</t>
      </text>
    </comment>
    <comment authorId="0" ref="H770">
      <text>
        <t xml:space="preserve">======
ID#AAABjx7qWAQ
    (2025-05-21 11:33:27)
ALICE:11/20一銀匯入USD5837沖PI-20190930A USD3945+PI-20191003A USD137+PI-20191005A USD1755</t>
      </text>
    </comment>
    <comment authorId="0" ref="H198">
      <text>
        <t xml:space="preserve">======
ID#AAABjx7qWAM
    (2025-05-21 11:33:27)
alice:7/31-水單匯入USD2124沖PI-20190131D-2 857.沖PI-20190610A 565.沖PI-20190607A 444.沖PI-20190612A 258</t>
      </text>
    </comment>
    <comment authorId="0" ref="S837">
      <text>
        <t xml:space="preserve">======
ID#AAABjx7qV_w
    (2025-05-21 11:33:27)
發票3 PCS(TL53407799)
發票8 PCS(TL53407800)</t>
      </text>
    </comment>
    <comment authorId="0" ref="N406">
      <text>
        <t xml:space="preserve">======
ID#AAABjx7qV_c
    (2025-05-21 11:33:27)
0508 Cathy下單 
0513 詢問可否</t>
      </text>
    </comment>
    <comment authorId="0" ref="H423">
      <text>
        <t xml:space="preserve">======
ID#AAABjx7qV-w
    (2025-05-21 11:33:27)
ALICE:5/27-水單匯入USD4578*31.43</t>
      </text>
    </comment>
    <comment authorId="0" ref="Z893">
      <text>
        <t xml:space="preserve">======
ID#AAABjx7qV-c
    (2025-05-21 11:33:27)
11/20 cathy: 詢問Chole,告知走G502 正式報關</t>
      </text>
    </comment>
    <comment authorId="0" ref="N420">
      <text>
        <t xml:space="preserve">======
ID#AAABjx7qV-Q
    (2025-05-21 11:33:27)
0513 Cathy 下單</t>
      </text>
    </comment>
    <comment authorId="0" ref="H29">
      <text>
        <t xml:space="preserve">======
ID#AAABjx7qV-I
    (2025-05-21 11:33:27)
0128 Mary: 匯款匯入 US$11,920(同H25)</t>
      </text>
    </comment>
    <comment authorId="0" ref="AI13">
      <text>
        <t xml:space="preserve">======
ID#AAABjx7qV-M
    (2025-05-21 11:33:27)
ALICE:2019/05/02-水單匯入USD21462.5-(匯出手續費USD10+匯入手續費USD10.73)=USD21441.77*30.84=NT661264</t>
      </text>
    </comment>
    <comment authorId="0" ref="H959">
      <text>
        <t xml:space="preserve">======
ID#AAABjx7qV-A
    (2025-05-21 11:33:27)
ALICE:12/24電文通知匯入款USD909(已內含手續費)沖PI20191218001 USD924故尚餘USD15元未收</t>
      </text>
    </comment>
    <comment authorId="0" ref="H757">
      <text>
        <t xml:space="preserve">======
ID#AAABjx7qV94
    (2025-05-21 11:33:27)
alice:11/11收到芳慎支票 到期日108/11/30-an0560111 金額80622元整</t>
      </text>
    </comment>
    <comment authorId="0" ref="N896">
      <text>
        <t xml:space="preserve">======
ID#AAABjx7qV90
    (2025-05-21 11:33:27)
不含Adapter</t>
      </text>
    </comment>
    <comment authorId="0" ref="H225">
      <text>
        <t xml:space="preserve">======
ID#AAABjx7qV9o
    (2025-05-21 11:33:27)
0225 chloe:匯款匯入 US2630- US40(第三地銀行手續費)</t>
      </text>
    </comment>
    <comment authorId="0" ref="H414">
      <text>
        <t xml:space="preserve">======
ID#AAABjx7qV9s
    (2025-05-21 11:33:27)
ALICE:6/27水單匯入USD8652.87沖PI20190515C 1394.5.PI-20190625C 46.37.PI-20190508C 6408.PI-20190619B 804共四張PI合計8652.87</t>
      </text>
    </comment>
    <comment authorId="0" ref="L620">
      <text>
        <t xml:space="preserve">======
ID#AAABjx7qV9c
    (2025-05-21 11:33:27)
YVONNE;交給VIVIAN入庫等安裝</t>
      </text>
    </comment>
    <comment authorId="0" ref="D621">
      <text>
        <t xml:space="preserve">======
ID#AAABjx7qV9M
    (2025-05-21 11:33:27)
0730 CATHY 通知客人待款項來才會幫下單</t>
      </text>
    </comment>
    <comment authorId="0" ref="N492">
      <text>
        <t xml:space="preserve">======
ID#AAABjx7qV9Q
    (2025-05-21 11:33:27)
在此輸入
6/5 Cathy 下單
6/10 REVISE PO</t>
      </text>
    </comment>
    <comment authorId="0" ref="K69">
      <text>
        <t xml:space="preserve">======
ID#AAABjx7qV8k
    (2025-05-21 11:33:27)
0116 chloe:待收到客戶水單或是匯款才能放行出貨</t>
      </text>
    </comment>
    <comment authorId="0" ref="H393">
      <text>
        <t xml:space="preserve">======
ID#AAABjx7qV8c
    (2025-05-21 11:33:27)
ALICE:5/27-水單匯入USD4578*31.43</t>
      </text>
    </comment>
    <comment authorId="0" ref="S914">
      <text>
        <t xml:space="preserve">======
ID#AAABjx7qV8g
    (2025-05-21 11:33:27)
含手續費+郵電費共1000</t>
      </text>
    </comment>
    <comment authorId="0" ref="Q311">
      <text>
        <t xml:space="preserve">======
ID#AAABjx7qV8Y
    (2025-05-21 11:33:27)
R:30.82</t>
      </text>
    </comment>
    <comment authorId="0" ref="N165">
      <text>
        <t xml:space="preserve">======
ID#AAABjx7qV8M
    (2025-05-21 11:33:27)
0211下單</t>
      </text>
    </comment>
    <comment authorId="0" ref="H501">
      <text>
        <t xml:space="preserve">======
ID#AAABjx7qV74
    (2025-05-21 11:33:27)
ALICE:8/2-水單匯入USD541元整，沖PI-20190606D USD416+沖PI-20190617A USD125</t>
      </text>
    </comment>
    <comment authorId="0" ref="H789">
      <text>
        <t xml:space="preserve">======
ID#AAABjx7qV7o
    (2025-05-21 11:33:27)
ALICE:12/2-合庫匯入NT328647(內含手續費NT30元整)沖PI-20191001A USD10084.2+PI-20191112006 USD714元整</t>
      </text>
    </comment>
    <comment authorId="0" ref="D875">
      <text>
        <t xml:space="preserve">======
ID#AAABjx7qV7E
    (2025-05-21 11:33:27)
11/1 Cathy: 原Evaluation
PI-20190912A</t>
      </text>
    </comment>
    <comment authorId="0" ref="H504">
      <text>
        <t xml:space="preserve">======
ID#AAABjx7qV6g
    (2025-05-21 11:33:27)
ALICE:8/2-水單匯入USD541元整，沖PI-20190606D USD416+沖PI-20190617A USD125</t>
      </text>
    </comment>
    <comment authorId="0" ref="L845">
      <text>
        <t xml:space="preserve">======
ID#AAABjx7qV58
    (2025-05-21 11:33:27)
1021YVONNE:已通知超恩進速確認交期，明日給回覆。
1023YVONNE:超恩確認交期1029。</t>
      </text>
    </comment>
    <comment authorId="0" ref="H755">
      <text>
        <t xml:space="preserve">======
ID#AAABjx7qV54
    (2025-05-21 11:33:27)
ALICE:9/24玉山水單通知USD1407.5沖PI-20190923A USD1407.5元整</t>
      </text>
    </comment>
    <comment authorId="0" ref="J358">
      <text>
        <t xml:space="preserve">======
ID#AAABjx7qV5Q
    (2025-05-21 11:33:27)
190411 但未知FEDEX服務，出貨前再確認
190506 Fedex Intl. Economy</t>
      </text>
    </comment>
    <comment authorId="0" ref="L17">
      <text>
        <t xml:space="preserve">======
ID#AAABjx7qV44
    (2025-05-21 11:33:27)
0325 Cathy:廠商告知確定交期,已請他們協助提前
0119 Cathy:缺主板+CPU
9/26 Cindy:Intel 年底交貨</t>
      </text>
    </comment>
    <comment authorId="0" ref="H267">
      <text>
        <t xml:space="preserve">======
ID#AAABjx7qV4w
    (2025-05-21 11:33:27)
ALICE:10/21玉山銀行匯入USD4250沖PI-20190227F USD4250</t>
      </text>
    </comment>
    <comment authorId="0" ref="L248">
      <text>
        <t xml:space="preserve">======
ID#AAABjx7qV40
    (2025-05-21 11:33:27)
0419 ivy revise (提前交期) 原4/29</t>
      </text>
    </comment>
    <comment authorId="0" ref="D547">
      <text>
        <t xml:space="preserve">======
ID#AAABjx7qV4k
    (2025-05-21 11:33:27)
7/8請 chloe 協助下單</t>
      </text>
    </comment>
    <comment authorId="0" ref="D717">
      <text>
        <t xml:space="preserve">======
ID#AAABjx7qV4Q
    (2025-05-21 11:33:27)
在此輸入
0909 客人待O/A肯放USD 10000 才要下單
1001 告知改由Aditeh付款</t>
      </text>
    </comment>
    <comment authorId="0" ref="H720">
      <text>
        <t xml:space="preserve">======
ID#AAABjx7qV4M
    (2025-05-21 11:33:27)
ALICE:11/14-Hectronic匯入USD244(內含手續費USD6.57)沖PI-20190910B USD137 + 沖PI-20190719B-3 USD107</t>
      </text>
    </comment>
    <comment authorId="0" ref="N572">
      <text>
        <t xml:space="preserve">======
ID#AAABjx7qV30
    (2025-05-21 11:33:27)
取消PO-20190717C，分批下單
用下採購單日期當作虛擬PI</t>
      </text>
    </comment>
    <comment authorId="0" ref="H90">
      <text>
        <t xml:space="preserve">======
ID#AAABjx7qV34
    (2025-05-21 11:33:27)
0124 chloe:匯款匯入US$48799</t>
      </text>
    </comment>
    <comment authorId="0" ref="H499">
      <text>
        <t xml:space="preserve">======
ID#AAABjx7qV3w
    (2025-05-21 11:33:27)
ALICE:8/2-水單匯入USD541元整，沖PI-20190606D USD416+沖PI-20190617A USD125</t>
      </text>
    </comment>
    <comment authorId="0" ref="M40">
      <text>
        <t xml:space="preserve">======
ID#AAABjx7qV3o
    (2025-05-21 11:33:27)
1214 ask  stock</t>
      </text>
    </comment>
    <comment authorId="0" ref="L524">
      <text>
        <t xml:space="preserve">======
ID#AAABjx7qV3s
    (2025-05-21 11:33:27)
0801Tammy通知更改</t>
      </text>
    </comment>
    <comment authorId="0" ref="N553">
      <text>
        <t xml:space="preserve">======
ID#AAABjx7qV3Q
    (2025-05-21 11:33:27)
0711 下單，交期待回覆</t>
      </text>
    </comment>
    <comment authorId="0" ref="AJ221">
      <text>
        <t xml:space="preserve">======
ID#AAABjx7qV3I
    (2025-05-21 11:33:27)
ALICE:PI-20190219A訂單總額USD495，2019/02/25水單匯入USD488.5*30.76=NT15,026元整
，手續費USD6.5*30.76=NT200元整</t>
      </text>
    </comment>
    <comment authorId="0" ref="G294">
      <text>
        <t xml:space="preserve">======
ID#AAABjx7qV3A
    (2025-05-21 11:33:27)
w/5%VAT</t>
      </text>
    </comment>
    <comment authorId="0" ref="D397">
      <text>
        <t xml:space="preserve">======
ID#AAABjx7qV3E
    (2025-05-21 11:33:27)
0502 mail請Tammy 下單</t>
      </text>
    </comment>
    <comment authorId="0" ref="H343">
      <text>
        <t xml:space="preserve">======
ID#AAABjx7qV28
    (2025-05-21 11:33:27)
ALICE:5/16-銀行水單通知USD5169(沖PO0131D-1 4285.PI-0320-B 175.PI-4/8-A 709)共三筆</t>
      </text>
    </comment>
    <comment authorId="0" ref="K674">
      <text>
        <t xml:space="preserve">======
ID#AAABjx7qV24
    (2025-05-21 11:33:27)
0826YVONNE:寄出，g504樣品出口，簡易報關。</t>
      </text>
    </comment>
    <comment authorId="0" ref="K661">
      <text>
        <t xml:space="preserve">======
ID#AAABjx7qV2g
    (2025-05-21 11:33:27)
1028 cathy 告知客人交期要延到12月底 
0920 請客人確認moxa交期可否接受</t>
      </text>
    </comment>
    <comment authorId="0" ref="H896">
      <text>
        <t xml:space="preserve">======
ID#AAABjx7qV2Q
    (2025-05-21 11:33:27)
ALICE:2020/01/08亞郁匯入NT46486沖PI-20191112005 USD270.9+PI-20191205001 USD1169.7+PI-20191211002 USD97.65</t>
      </text>
    </comment>
    <comment authorId="0" ref="H102">
      <text>
        <t xml:space="preserve">======
ID#AAABjx7qV18
    (2025-05-21 11:33:27)
0306 chloe:匯款匯入US$14480.6(含20190119A RG58 cable Sample)</t>
      </text>
    </comment>
    <comment authorId="0" ref="H455">
      <text>
        <t xml:space="preserve">======
ID#AAABjx7qV14
    (2025-05-21 11:33:27)
alice:6/14-玉山匯入USD1346-手續費31.36=USD1314.64*31.47</t>
      </text>
    </comment>
    <comment authorId="0" ref="H2">
      <text>
        <t xml:space="preserve">======
ID#AAABjx7qV1w
    (2025-05-21 11:33:27)
0104 chloe:匯款匯入US$3195.35</t>
      </text>
    </comment>
    <comment authorId="0" ref="K120">
      <text>
        <t xml:space="preserve">======
ID#AAABjx7qV1o
    (2025-05-21 11:33:27)
在此輸入
0220 Bruce: 告知預計2/25可出貨</t>
      </text>
    </comment>
    <comment authorId="0" ref="G575">
      <text>
        <t xml:space="preserve">======
ID#AAABjx7qV1s
    (2025-05-21 11:33:27)
190718 Tammy: w/5%</t>
      </text>
    </comment>
    <comment authorId="0" ref="L947">
      <text>
        <t xml:space="preserve">======
ID#AAABjx7qV1k
    (2025-05-21 11:33:27)
1213 chloe: 通知可能會到一月中出貨</t>
      </text>
    </comment>
    <comment authorId="0" ref="H661">
      <text>
        <t xml:space="preserve">======
ID#AAABjx7qV1c
    (2025-05-21 11:33:27)
ALICE:9/27玉山銀行匯入USD3962元整，沖PI-2190820A 應收USD3962實收3922差額USD40元(手續費)</t>
      </text>
    </comment>
    <comment authorId="0" ref="L105">
      <text>
        <t xml:space="preserve">======
ID#AAABjx7qV1Q
0213 Cathy    (2025-05-21 11:33:27)
1.發現下單錯誤(下成8101，已與廠商詢問有否750-375
物料
2.廠商告知750-375 交期2w ，若走快遞2/19到，會產生快遞費用約1k</t>
      </text>
    </comment>
    <comment authorId="0" ref="K662">
      <text>
        <t xml:space="preserve">======
ID#AAABjx7qV04
    (2025-05-21 11:33:27)
1028 cathy 告知客人交期要延到12月底 
0920 請客人確認moxa交期可否接受</t>
      </text>
    </comment>
    <comment authorId="0" ref="H96">
      <text>
        <t xml:space="preserve">======
ID#AAABjx7qV00
    (2025-05-21 11:33:27)
0227 chloe:匯款匯入US4578*30.73-手續費NT200=NT140482</t>
      </text>
    </comment>
    <comment authorId="0" ref="H631">
      <text>
        <t xml:space="preserve">======
ID#AAABjx7qV0Q
    (2025-05-21 11:33:27)
ALICE:8/2-水單匯入USD1529.4沖PI-20190801B USD1529.4</t>
      </text>
    </comment>
    <comment authorId="0" ref="K768">
      <text>
        <t xml:space="preserve">======
ID#AAABjx7qV0E
    (2025-05-21 11:33:27)
1015YVONNE:隨貨寄目錄,並通知san</t>
      </text>
    </comment>
    <comment authorId="0" ref="AI136">
      <text>
        <t xml:space="preserve">======
ID#AAABjx7qV0A
    (2025-05-21 11:33:27)
ALICE:2019/05/02-水單匯入USD21462.5-(匯出手續費USD10+匯入手續費USD10.73)=USD21441.77*30.84=NT661264</t>
      </text>
    </comment>
    <comment authorId="0" ref="D387">
      <text>
        <t xml:space="preserve">======
ID#AAABjx7qVzw
    (2025-05-21 11:33:27)
0426 Cathy 通知Tammy 下單</t>
      </text>
    </comment>
    <comment authorId="0" ref="N835">
      <text>
        <t xml:space="preserve">======
ID#AAABjx7qVzY
    (2025-05-21 11:33:27)
Chloe 1111 : 20(訂貨數量)
-4(實際貼膜)=16
16-5(客戶另外自行購買)=11(入庫)
※此單 (5PCS*350)*1.05=1838</t>
      </text>
    </comment>
    <comment authorId="0" ref="AI12">
      <text>
        <t xml:space="preserve">======
ID#AAABjx7qVzU
    (2025-05-21 11:33:27)
ALICE:2019/05/02-水單匯入USD21462.5-(匯出手續費USD10+匯入手續費USD10.73)=USD21441.77*30.84=NT661264</t>
      </text>
    </comment>
    <comment authorId="0" ref="H312">
      <text>
        <t xml:space="preserve">======
ID#AAABjx7qVzQ
    (2025-05-21 11:33:27)
alice:6/20銀行水單匯入USD4462 沖PI20190107A.PI-20190318B.PI-20190508B.PI-20181022C-2-F</t>
      </text>
    </comment>
    <comment authorId="0" ref="H641">
      <text>
        <t xml:space="preserve">======
ID#AAABjx7qVys
    (2025-05-21 11:33:27)
Alice:2019/08/13水單匯入USD2968沖PI-20190812A</t>
      </text>
    </comment>
    <comment authorId="0" ref="I590">
      <text>
        <t xml:space="preserve">======
ID#AAABjx7qVyo
    (2025-05-21 11:33:27)
Cathy/Santiago</t>
      </text>
    </comment>
    <comment authorId="0" ref="G746">
      <text>
        <t xml:space="preserve">======
ID#AAABjx7qVyU
    (2025-05-21 11:33:27)
190718 Tammy: w/5%</t>
      </text>
    </comment>
    <comment authorId="0" ref="S190">
      <text>
        <t xml:space="preserve">======
ID#AAABjx7qVyA
    (2025-05-21 11:33:27)
NRE費用，不算入獎金</t>
      </text>
    </comment>
    <comment authorId="0" ref="K54">
      <text>
        <t xml:space="preserve">======
ID#AAABjx7qVx8
    (2025-05-21 11:33:27)
0121出貨前6pcs拍照 
Vecow 年底前交貨, 收到超恩貨+2-3 days出貨Ti2</t>
      </text>
    </comment>
    <comment authorId="0" ref="K554">
      <text>
        <t xml:space="preserve">======
ID#AAABjx7qVxs
    (2025-05-21 11:33:27)
0722 Santiago同意先出貨。</t>
      </text>
    </comment>
    <comment authorId="0" ref="AI445">
      <text>
        <t xml:space="preserve">======
ID#AAABjx7qVxg
    (2025-05-21 11:33:27)
ALICE:5月應付77875-應收4900對沖=故應付予閎亮72975</t>
      </text>
    </comment>
    <comment authorId="0" ref="K215">
      <text>
        <t xml:space="preserve">======
ID#AAABjx7qVxU
    (2025-05-21 11:33:27)
0401 santi 告知改4/8出貨</t>
      </text>
    </comment>
    <comment authorId="0" ref="H164">
      <text>
        <t xml:space="preserve">======
ID#AAABjx7qVw4
    (2025-05-21 11:33:27)
0307 chloe:匯款匯入US39896-37(手續費)</t>
      </text>
    </comment>
    <comment authorId="0" ref="L3">
      <text>
        <t xml:space="preserve">======
ID#AAABjx7qVwg
    (2025-05-21 11:33:27)
1/7 廠商確認交期 
9/26 Cindy:Intel 年底交貨</t>
      </text>
    </comment>
    <comment authorId="0" ref="E522">
      <text>
        <t xml:space="preserve">======
ID#AAABjx7qVwc
    (2025-05-21 11:33:27)
20190620
 Santiago:
-&gt; 待客戶將 7' LCD (AA070ME01)寄來後， 寄曦立光電做貼合</t>
      </text>
    </comment>
    <comment authorId="0" ref="K865">
      <text>
        <t xml:space="preserve">======
ID#AAABjx7qVwY
    (2025-05-21 11:33:27)
chloe
1028: 原先告知10/30
1104: 尚未告知MOXA！！原倉庫(木新路)收貨至11/14止，11/15暫停收貨 ，
11/18之後送貨請送至新倉庫:新北市新店區寶橋路235巷118號2AF</t>
      </text>
    </comment>
    <comment authorId="0" ref="D812">
      <text>
        <t xml:space="preserve">======
ID#AAABjx7qVwU
    (2025-05-21 11:33:27)
10/8 cathy: 通知下單</t>
      </text>
    </comment>
    <comment authorId="0" ref="H34">
      <text>
        <t xml:space="preserve">======
ID#AAABjx7qVwQ
    (2025-05-21 11:33:27)
0225 chloe:匯款匯入5948-10(手續費)</t>
      </text>
    </comment>
    <comment authorId="0" ref="D176">
      <text>
        <t xml:space="preserve">======
ID#AAABjx7qVv8
    (2025-05-21 11:33:27)
0212 San: 毛利太低, 不用再換標籤</t>
      </text>
    </comment>
    <comment authorId="0" ref="H958">
      <text>
        <t xml:space="preserve">======
ID#AAABjx7qVv0
    (2025-05-21 11:33:27)
ALICE:12/24電文通知匯入款USD909(已內含手續費)沖PI20191218001 USD924故尚餘USD15元未收</t>
      </text>
    </comment>
    <comment authorId="0" ref="AI18">
      <text>
        <t xml:space="preserve">======
ID#AAABjx7qVvs
    (2025-05-21 11:33:27)
alice:PI-20181026B成交總額USD13350，PI-20181212C成交總額USD800，上述兩筆訂單總計USD14150元整，2019/02/12水單匯入UAD14150*30.76=NT435,254元整(全額到付)</t>
      </text>
    </comment>
    <comment authorId="0" ref="R464">
      <text>
        <t xml:space="preserve">======
ID#AAABjx7qVvk
0604 chloe    (2025-05-21 11:33:27)
客供料，無成本</t>
      </text>
    </comment>
    <comment authorId="0" ref="S235">
      <text>
        <t xml:space="preserve">======
ID#AAABjx7qVvg
    (2025-05-21 11:33:27)
chloe: Check OK</t>
      </text>
    </comment>
    <comment authorId="0" ref="N538">
      <text>
        <t xml:space="preserve">======
ID#AAABjx7qVvY
    (2025-05-21 11:33:27)
20190703143513-0001</t>
      </text>
    </comment>
    <comment authorId="0" ref="H842">
      <text>
        <t xml:space="preserve">======
ID#AAABjx7qVvA
    (2025-05-21 11:33:27)
ALICE:1/7第一銀行USD3228 沖PI-20191007006 1501+PI-20191007007 USD1727+PI-20191128002 USD20總沖USD3248</t>
      </text>
    </comment>
    <comment authorId="0" ref="D608">
      <text>
        <t xml:space="preserve">======
ID#AAABjx7qVvE
    (2025-05-21 11:33:27)
0723 請chloe下單</t>
      </text>
    </comment>
    <comment authorId="0" ref="H787">
      <text>
        <t xml:space="preserve">======
ID#AAABjx7qVuw
    (2025-05-21 11:33:27)
ALICE:12/2-合庫匯入NT328647(內含手續費NT30元整)沖PI-20191001A USD10084.2+PI-20191112006 USD714元整</t>
      </text>
    </comment>
    <comment authorId="0" ref="D804">
      <text>
        <t xml:space="preserve">======
ID#AAABjx7qVuM
    (2025-05-21 11:33:27)
10/8 cathy
：貨運公司臨時告知產生</t>
      </text>
    </comment>
    <comment authorId="0" ref="L151">
      <text>
        <t xml:space="preserve">======
ID#AAABjx7qVtM
    (2025-05-21 11:33:27)
0129 廠商1/29寄出給客戶
0128廠商有Stock</t>
      </text>
    </comment>
    <comment authorId="0" ref="S804">
      <text>
        <t xml:space="preserve">======
ID#AAABjx7qVs0
    (2025-05-21 11:33:27)
發票3 PCS(TL53407799)
發票8 PCS(TL53407800)</t>
      </text>
    </comment>
    <comment authorId="0" ref="H72">
      <text>
        <t xml:space="preserve">======
ID#AAABjx7qVsg
    (2025-05-21 11:33:27)
0305 chloe:匯款匯入US8750</t>
      </text>
    </comment>
    <comment authorId="0" ref="H12">
      <text>
        <t xml:space="preserve">======
ID#AAABjx7qVsQ
    (2025-05-21 11:33:27)
ALICE:2019/05/02-水單匯入USD21462.5</t>
      </text>
    </comment>
    <comment authorId="0" ref="L462">
      <text>
        <t xml:space="preserve">======
ID#AAABjx7qVr0
    (2025-05-21 11:33:27)
0604 chloe: 下單→0711 追料交期待下周告知
※貨到請通知Chloe</t>
      </text>
    </comment>
    <comment authorId="0" ref="AJ301">
      <text>
        <t xml:space="preserve">======
ID#AAABjx7qVrc
    (2025-05-21 11:33:27)
ALICE:2019/05/02-水單匯入USD21462.5-(匯出手續費USD10+匯入手續費USD10.73)=USD21441.77*30.84=NT661264</t>
      </text>
    </comment>
    <comment authorId="0" ref="H435">
      <text>
        <t xml:space="preserve">======
ID#AAABjx7qVrU
    (2025-05-21 11:33:27)
ALICE:7/1電文通知匯入USD3717</t>
      </text>
    </comment>
    <comment authorId="0" ref="J798">
      <text>
        <t xml:space="preserve">======
ID#AAABjx7qVq0
    (2025-05-21 11:33:27)
using UPS express then</t>
      </text>
    </comment>
    <comment authorId="0" ref="H765">
      <text>
        <t xml:space="preserve">======
ID#AAABjx7qVqw
    (2025-05-21 11:33:27)
ALICE:11/20一銀匯入USD5837沖PI-20190930A USD3945+PI-20191003A USD137+PI-20191005A USD1755</t>
      </text>
    </comment>
    <comment authorId="0" ref="H270">
      <text>
        <t xml:space="preserve">======
ID#AAABjx7qVqo
    (2025-05-21 11:33:27)
ALICE:11/22第一銀行收到匯入USD8500(內含銀行手續費USD6.57) PI-20190227G USD4250+PI-20190227H USD4250 總計USD8500</t>
      </text>
    </comment>
    <comment authorId="0" ref="D591">
      <text>
        <t xml:space="preserve">======
ID#AAABjx7qVqg
    (2025-05-21 11:33:27)
20190604 Robin accept W/O AG、AR treatment this time</t>
      </text>
    </comment>
    <comment authorId="0" ref="H4">
      <text>
        <t xml:space="preserve">======
ID#AAABjx7qVqM
    (2025-05-21 11:33:27)
0306 chloe:匯款匯入US$14480.6(含20190119A RG58 cable Sample)</t>
      </text>
    </comment>
    <comment authorId="0" ref="Q522">
      <text>
        <t xml:space="preserve">======
ID#AAABjx7qVpw
    (2025-05-21 11:33:27)
0621
chloe:客供料，無成本價</t>
      </text>
    </comment>
    <comment authorId="0" ref="H763">
      <text>
        <t xml:space="preserve">======
ID#AAABjx7qVpo
    (2025-05-21 11:33:27)
ALICE:11/20一銀匯入USD5837沖PI-20190930A USD3945+PI-20191003A USD137+PI-20191005A USD1755</t>
      </text>
    </comment>
    <comment authorId="0" ref="H254">
      <text>
        <t xml:space="preserve">======
ID#AAABjx7qVpk
    (2025-05-21 11:33:27)
alice:7/22水單匯入USD8500沖PI-20190227C</t>
      </text>
    </comment>
    <comment authorId="0" ref="R482">
      <text>
        <t xml:space="preserve">======
ID#AAABjx7qVpY
    (2025-05-21 11:33:27)
戎克庫存成本</t>
      </text>
    </comment>
    <comment authorId="0" ref="D93">
      <text>
        <t xml:space="preserve">======
ID#AAABjx7qVpE
    (2025-05-21 11:33:27)
1/21 Keiju: 已納入生產排程</t>
      </text>
    </comment>
    <comment authorId="0" ref="L273">
      <text>
        <t xml:space="preserve">======
ID#AAABjx7qVpA
    (2025-05-21 11:33:27)
1016YVONNE:TAMMY通知要提前與PI-20190227G一起出貨</t>
      </text>
    </comment>
    <comment authorId="0" ref="H82">
      <text>
        <t xml:space="preserve">======
ID#AAABjx7qVog
    (2025-05-21 11:33:27)
ALICE:201904/10水單匯入USD11416*30.78
沖(229+2394+326+34+5274+3066+103)=11426</t>
      </text>
    </comment>
    <comment authorId="0" ref="N453">
      <text>
        <t xml:space="preserve">======
ID#AAABjx7qVoQ
    (2025-05-21 11:33:27)
0528 Cathy 下單</t>
      </text>
    </comment>
    <comment authorId="0" ref="K763">
      <text>
        <t xml:space="preserve">======
ID#AAABjx7qVnw
    (2025-05-21 11:33:27)
1015YVONNE:隨貨寄目錄,並通知san</t>
      </text>
    </comment>
    <comment authorId="0" ref="K796">
      <text>
        <t xml:space="preserve">======
ID#AAABjx7qVno
    (2025-05-21 11:33:27)
10/30 cathy:通知客人交期</t>
      </text>
    </comment>
    <comment authorId="0" ref="I589">
      <text>
        <t xml:space="preserve">======
ID#AAABjx7qVnc
    (2025-05-21 11:33:27)
Cathy/Santiago</t>
      </text>
    </comment>
    <comment authorId="0" ref="H53">
      <text>
        <t xml:space="preserve">======
ID#AAABjx7qVnY
    (2025-05-21 11:33:27)
0225 chloe:匯款匯入NT46249-15(手續費)</t>
      </text>
    </comment>
    <comment authorId="0" ref="N220">
      <text>
        <t xml:space="preserve">======
ID#AAABjx7qVmY
    (2025-05-21 11:33:27)
0219 Cathy 下單</t>
      </text>
    </comment>
    <comment authorId="0" ref="H546">
      <text>
        <t xml:space="preserve">======
ID#AAABjx7qVmI
    (2025-05-21 11:33:27)
ALICE:8/27玉山銀行匯入USD9443沖PI-20190604A.PI-20190628A.PI-20190604A-F合計共USD9443元整</t>
      </text>
    </comment>
    <comment authorId="0" ref="H603">
      <text>
        <t xml:space="preserve">======
ID#AAABjx7qVmE
    (2025-05-21 11:33:27)
ALICE:9/23玉山銀行水單通知匯入USD14587沖PI-20190626A 334.5 沖PI-20190703B 8550.沖PI20190719C 5212.5.沖PI-20190722A 210.沖PI-20190801C 280 合計總沖USD14587元整</t>
      </text>
    </comment>
    <comment authorId="0" ref="L263">
      <text>
        <t xml:space="preserve">======
ID#AAABjx7qVlY
    (2025-05-21 11:33:27)
0819yvonne:由於捷毅delay，故交期延至8/30
0826:新漢通知提早0826送貨</t>
      </text>
    </comment>
    <comment authorId="0" ref="D669">
      <text>
        <t xml:space="preserve">======
ID#AAABjx7qVlM
    (2025-05-21 11:33:27)
8/21 請chloe協助下單</t>
      </text>
    </comment>
    <comment authorId="0" ref="H585">
      <text>
        <t xml:space="preserve">======
ID#AAABjx7qVlA
    (2025-05-21 11:33:27)
ALICE:7/26玉山銀行水單通知匯入USD9754沖PI-20190524B(2000+350).沖PI20190524B-1(3010).沖PI-20190703A(60+70).沖PI20190719B-1 228+1600 PI-20190719B-2 304  PI-20190719B-5 532. PI-20190719B-3 1600</t>
      </text>
    </comment>
    <comment authorId="0" ref="J491">
      <text>
        <t xml:space="preserve">======
ID#AAABjx7qVk0
    (2025-05-21 11:33:27)
客人自行安排取貨 
0527待客人確認</t>
      </text>
    </comment>
    <comment authorId="0" ref="H678">
      <text>
        <t xml:space="preserve">======
ID#AAABjx7qVkU
    (2025-05-21 11:33:27)
ALICE:10/8-玉山水單匯入USD1566沖PI-20190828A USD1566</t>
      </text>
    </comment>
    <comment authorId="0" ref="H799">
      <text>
        <t xml:space="preserve">======
ID#AAABjx7qVj8
    (2025-05-21 11:33:27)
ALICE:10/7-玉山銀行收到匯入款USD801-手續費USD6.48=USD794.52沖PI-20191002A USD801元整</t>
      </text>
    </comment>
    <comment authorId="0" ref="L439">
      <text>
        <t xml:space="preserve">======
ID#AAABjx7qVj0
    (2025-05-21 11:33:27)
5/16 Amy
1. need COC (自我認證產證with shipment)
2. invoice &amp; P/L with PO#19000180
3. invoice &amp; P/L together with shipment</t>
      </text>
    </comment>
    <comment authorId="0" ref="S2">
      <text>
        <t xml:space="preserve">======
ID#AAABjx7qVjw
    (2025-05-21 11:33:27)
100 pcs
單價 40</t>
      </text>
    </comment>
    <comment authorId="0" ref="L287">
      <text>
        <t xml:space="preserve">======
ID#AAABjx7qVjo
    (2025-05-21 11:33:27)
0401 Bruce告知一組LED閃爍，後無反應，請廠商來看。
0328 cathy: 廠商通知提前出貨</t>
      </text>
    </comment>
    <comment authorId="0" ref="L836">
      <text>
        <t xml:space="preserve">======
ID#AAABjx7qVjQ
    (2025-05-21 11:33:27)
0724 chloe:貨到請通知Chloe
0904 Cathy : 客人告知預計10/4 &amp;10/18。但也非確定時間
0906 Cathy: 客人告知可能時間
0916 Vivian 檢驗外觀ok
0925YVONNE:大榮寄出15995542754</t>
      </text>
    </comment>
    <comment authorId="0" ref="E334">
      <text>
        <t xml:space="preserve">======
ID#AAABjx7qVjM
    (2025-05-21 11:33:27)
0401待amy 確認spec</t>
      </text>
    </comment>
    <comment authorId="0" ref="H888">
      <text>
        <t xml:space="preserve">======
ID#AAABjx7qVjI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H379">
      <text>
        <t xml:space="preserve">======
ID#AAABjx7qVi4
    (2025-05-21 11:33:27)
alice:7/4-水單匯入USD4316.9沖PI-20190422B.沖PI-20190507B.沖PI-20190513A</t>
      </text>
    </comment>
    <comment authorId="0" ref="N569">
      <text>
        <t xml:space="preserve">======
ID#AAABjx7qVi8
    (2025-05-21 11:33:27)
取消PO-20190717C，分批下單
用下採購單日期當作虛擬PI</t>
      </text>
    </comment>
    <comment authorId="0" ref="E914">
      <text>
        <t xml:space="preserve">======
ID#AAABjx7qViY
    (2025-05-21 11:33:27)
搭配歐規電源</t>
      </text>
    </comment>
    <comment authorId="0" ref="C985">
      <text>
        <t xml:space="preserve">======
ID#AAABjx7qViU
    (2025-05-21 11:33:27)
每月1日-遇假日遞延
(台銀收盤即期買進賣出/2)</t>
      </text>
    </comment>
    <comment authorId="0" ref="H286">
      <text>
        <t xml:space="preserve">======
ID#AAABjx7qVh0
    (2025-05-21 11:33:27)
alice:2019/05/17水單通知USD19768沖3/4A $1995.3/4A-1$4152.3/4A-1-F $232.3/8B-F $57.12/21A-2-F $144.3/4A-1 $189.10/22C-2 $10227.12/21A-1 $2772.如上總計共USD19768</t>
      </text>
    </comment>
    <comment authorId="0" ref="N564">
      <text>
        <t xml:space="preserve">======
ID#AAABjx7qVhU
    (2025-05-21 11:33:27)
0717:YVONNE下單</t>
      </text>
    </comment>
    <comment authorId="0" ref="N49">
      <text>
        <t xml:space="preserve">======
ID#AAABjx7qVg0
    (2025-05-21 11:33:27)
Cathy:20181217下PO</t>
      </text>
    </comment>
    <comment authorId="0" ref="M839">
      <text>
        <t xml:space="preserve">======
ID#AAABjx7qVgk
    (2025-05-21 11:33:27)
10/21 eric下單40pcs　</t>
      </text>
    </comment>
    <comment authorId="0" ref="E542">
      <text>
        <t xml:space="preserve">======
ID#AAABjx7qVgU
    (2025-05-21 11:33:27)
AB-3815004012111210850</t>
      </text>
    </comment>
    <comment authorId="0" ref="H625">
      <text>
        <t xml:space="preserve">======
ID#AAABjx7qVgM
    (2025-05-21 11:33:27)
ALICE:8/1銀行水單通知匯入USD8538.6沖PI-20190731A</t>
      </text>
    </comment>
    <comment authorId="0" ref="N839">
      <text>
        <t xml:space="preserve">======
ID#AAABjx7qVgI
    (2025-05-21 11:33:27)
Chloe 1111 : 40(訂貨數量)
-7(實際貼膜)=33
33-2(損耗)=31PCS(入庫)
※此單 (9 PCS*300)*1.05=2835</t>
      </text>
    </comment>
    <comment authorId="0" ref="S239">
      <text>
        <t xml:space="preserve">======
ID#AAABjx7qVgE
    (2025-05-21 11:33:27)
Chloe-5/3-MAIL回覆總成本為2786.7(內含三筆訂單PI-20190118A-F.PI-20181221A-1-F.PI-20190123B-F)</t>
      </text>
    </comment>
    <comment authorId="0" ref="K130">
      <text>
        <t xml:space="preserve">======
ID#AAABjx7qVgA
    (2025-05-21 11:33:27)
0307 san告知提前交期</t>
      </text>
    </comment>
    <comment authorId="0" ref="H680">
      <text>
        <t xml:space="preserve">======
ID#AAABjx7qVf8
    (2025-05-21 11:33:27)
ALICE:8/30-玉山銀行匯入USD2236沖PI20190829A USD2236元整</t>
      </text>
    </comment>
    <comment authorId="0" ref="L636">
      <text>
        <t xml:space="preserve">======
ID#AAABjx7qVf4
    (2025-05-21 11:33:27)
20190802放置Yvonne桌上</t>
      </text>
    </comment>
    <comment authorId="0" ref="H492">
      <text>
        <t xml:space="preserve">======
ID#AAABjx7qVf0
    (2025-05-21 11:33:27)
alice:6/10-銀行匯入USD754-手續費USD17.37=USD736.63*31.373</t>
      </text>
    </comment>
    <comment authorId="0" ref="H433">
      <text>
        <t xml:space="preserve">======
ID#AAABjx7qVfo
    (2025-05-21 11:33:27)
alice:7/4-水單匯入USD4316.9沖PI-20190422B.沖PI-20190507B.沖PI-20190513A</t>
      </text>
    </comment>
    <comment authorId="0" ref="E654">
      <text>
        <t xml:space="preserve">======
ID#AAABjx7qVfg
    (2025-05-21 11:33:27)
0815 進料時有含三條線
0827 發現來料異常 進AA150XT01</t>
      </text>
    </comment>
    <comment authorId="0" ref="H176">
      <text>
        <t xml:space="preserve">======
ID#AAABjx7qVfc
    (2025-05-21 11:33:27)
0328 chloe:收到支票 NT133576
待4/1解款
0403 chloe 解款</t>
      </text>
    </comment>
    <comment authorId="0" ref="X189">
      <text>
        <t xml:space="preserve">======
ID#AAABjx7qVfM
    (2025-05-21 11:33:27)
0311 chloe:含PO20190124B</t>
      </text>
    </comment>
    <comment authorId="0" ref="D554">
      <text>
        <t xml:space="preserve">======
ID#AAABjx7qVe0
    (2025-05-21 11:33:27)
0711 請Chloe協助下單</t>
      </text>
    </comment>
    <comment authorId="0" ref="N351">
      <text>
        <t xml:space="preserve">======
ID#AAABjx7qVeg
    (2025-05-21 11:33:27)
0422 chloe:入庫10 PCS，剩餘3PCS請入庫</t>
      </text>
    </comment>
    <comment authorId="0" ref="D256">
      <text>
        <t xml:space="preserve">======
ID#AAABjx7qVeU
    (2025-05-21 11:33:27)
190109 Tammy: 抽驗即可, 謝謝</t>
      </text>
    </comment>
    <comment authorId="0" ref="L659">
      <text>
        <t xml:space="preserve">======
ID#AAABjx7qVeQ
    (2025-05-21 11:33:27)
0822 PULL IN 中</t>
      </text>
    </comment>
    <comment authorId="0" ref="H645">
      <text>
        <t xml:space="preserve">======
ID#AAABjx7qVeI
    (2025-05-21 11:33:27)
ALICE:9/10玉山匯入NT108650沖PI20190719A.PI-20190722B.PI-20190725A.PI20190813B</t>
      </text>
    </comment>
    <comment authorId="0" ref="J813">
      <text>
        <t xml:space="preserve">======
ID#AAABjx7qVeM
    (2025-05-21 11:33:27)
客人自行安排取貨 
0527待客人確認</t>
      </text>
    </comment>
    <comment authorId="0" ref="H495">
      <text>
        <t xml:space="preserve">======
ID#AAABjx7qVeE
    (2025-05-21 11:33:27)
ALICE:7/10-水單匯入USD646沖PI-20190606B</t>
      </text>
    </comment>
    <comment authorId="0" ref="H702">
      <text>
        <t xml:space="preserve">======
ID#AAABjx7qVd8
    (2025-05-21 11:33:27)
alice:9/6玉山水單通知usd4763.4沖pi-20190904a usd4763.4</t>
      </text>
    </comment>
    <comment authorId="0" ref="H323">
      <text>
        <t xml:space="preserve">======
ID#AAABjx7qVdw
    (2025-05-21 11:33:27)
alice:5/10-水單通知usd3751-匯出手續費20-匯入手續費6.46=USD3724.54*30.94=NT115,237元整
沖20190320B USD1270
沖20190322A USD2481
合計總沖USD3751元整</t>
      </text>
    </comment>
    <comment authorId="0" ref="H86">
      <text>
        <t xml:space="preserve">======
ID#AAABjx7qVdU
    (2025-05-21 11:33:27)
ALICE:201904/10水單匯入USD11416*30.78
沖(229+2394+326+34+5274+3066+103)=11426</t>
      </text>
    </comment>
    <comment authorId="0" ref="N189">
      <text>
        <t xml:space="preserve">======
ID#AAABjx7qVc4
    (2025-05-21 11:33:27)
2/21 Tammy
客人訂單還未簽回，請暫停進料及備料
3/6 Bruce:
Tammy通知可繼續生產</t>
      </text>
    </comment>
    <comment authorId="0" ref="P794">
      <text>
        <t xml:space="preserve">======
ID#AAABjx7qVcs
    (2025-05-21 11:33:27)
專案報價(20191000280038 )</t>
      </text>
    </comment>
    <comment authorId="0" ref="H825">
      <text>
        <t xml:space="preserve">======
ID#AAABjx7qVcQ
    (2025-05-21 11:33:27)
ALICE:11/28一銀通知客戶匯入USD6665沖PI-20191023001 USD660+PI-20191024001 USD6005合計共USD6665元整</t>
      </text>
    </comment>
    <comment authorId="0" ref="AJ18">
      <text>
        <t xml:space="preserve">======
ID#AAABjx7qVcE
    (2025-05-21 11:33:27)
alice:PI-20181026B成交總額USD13350，PI-20181212C成交總額USD800，上述兩筆訂單總計USD14150元整，2019/02/12水單匯入UAD14150*30.76=NT435,254元整(全額到付)</t>
      </text>
    </comment>
    <comment authorId="0" ref="N540">
      <text>
        <t xml:space="preserve">======
ID#AAABjx7qVcA
    (2025-05-21 11:33:27)
20190703143513-0001</t>
      </text>
    </comment>
    <comment authorId="0" ref="D45">
      <text>
        <t xml:space="preserve">======
ID#AAABjx7qVbs
    (2025-05-21 11:33:27)
181212 由1212A改為1212C</t>
      </text>
    </comment>
    <comment authorId="0" ref="H745">
      <text>
        <t xml:space="preserve">======
ID#AAABjx7qVa0
    (2025-05-21 11:33:27)
ALICE:10/5玉山NT 思碩匯入NT66001元整，沖PI-20190917C 共NT66001元整</t>
      </text>
    </comment>
    <comment authorId="0" ref="H928">
      <text>
        <t xml:space="preserve">======
ID#AAABjx7qVas
    (2025-05-21 11:33:27)
ALICE:1/20-第一USD收款USD1308(手續費0)沖PI-20191203001 USD77+PI-20191126001 USD1231 總計USD1308元整</t>
      </text>
    </comment>
    <comment authorId="0" ref="D957">
      <text>
        <t xml:space="preserve">======
ID#AAABjx7qVac
    (2025-05-21 11:33:27)
20191218 請Yvonne 下單</t>
      </text>
    </comment>
    <comment authorId="0" ref="J470">
      <text>
        <t xml:space="preserve">======
ID#AAABjx7qVaM
    (2025-05-21 11:33:27)
客人自行安排取貨 
0527待客人確認</t>
      </text>
    </comment>
    <comment authorId="0" ref="K886">
      <text>
        <t xml:space="preserve">======
ID#AAABjx7qVZ8
    (2025-05-21 11:33:27)
11/8 cathy: 請告知可提供最快交期 
1223yvonne:Santiago同意放貨</t>
      </text>
    </comment>
    <comment authorId="0" ref="H933">
      <text>
        <t xml:space="preserve">======
ID#AAABjx7qVZ4
    (2025-05-21 11:33:27)
ALICE:2/24一銀收到USD12104沖PI-20191127001 USD6784+PI-20191104001 USD2014+PI-20191213001 USD3306</t>
      </text>
    </comment>
    <comment authorId="0" ref="N39">
      <text>
        <t xml:space="preserve">======
ID#AAABjx7qVZc
    (2025-05-21 11:33:27)
cathy:20181217下PO
12/18 Support 價格</t>
      </text>
    </comment>
    <comment authorId="0" ref="D341">
      <text>
        <t xml:space="preserve">======
ID#AAABjx7qVZM
    (2025-05-21 11:33:27)
4/3 Amy: 請依照PI開立台幣發票. Thanks.</t>
      </text>
    </comment>
    <comment authorId="0" ref="H215">
      <text>
        <t xml:space="preserve">======
ID#AAABjx7qVY4
    (2025-05-21 11:33:27)
ALICE:2019/04/08-水單匯入USD31764-手續費USD12元=USD31752
沖帳明細詳4/8-客戶MAIL沖帳明細(12540+944+2010+5770+10500=31764)</t>
      </text>
    </comment>
    <comment authorId="0" ref="L16">
      <text>
        <t xml:space="preserve">======
ID#AAABjx7qVY8
    (2025-05-21 11:33:27)
0325 Cathy:廠商告知確定交期,已請他們協助提前
0119 Cathy:缺主板+CPU
9/26 Cindy:Intel 年底交貨</t>
      </text>
    </comment>
    <comment authorId="0" ref="I839">
      <text>
        <t xml:space="preserve">======
ID#AAABjx7qVYY
    (2025-05-21 11:33:27)
Cathy/Santiago</t>
      </text>
    </comment>
    <comment authorId="0" ref="K147">
      <text>
        <t xml:space="preserve">======
ID#AAABjx7qVX4
    (2025-05-21 11:33:27)
0212 Cathy: 原出貨日為2/14，已mail告知san變更出貨日</t>
      </text>
    </comment>
    <comment authorId="0" ref="N101">
      <text>
        <t xml:space="preserve">======
ID#AAABjx7qVXo
    (2025-05-21 11:33:27)
0118下單</t>
      </text>
    </comment>
    <comment authorId="0" ref="S240">
      <text>
        <t xml:space="preserve">======
ID#AAABjx7qVW0
    (2025-05-21 11:33:27)
Chloe-5/3-MAIL回覆總成本為2786.7(內含三筆訂單PI-20190118A-F.PI-20181221A-1-F.PI-20190123B-F)</t>
      </text>
    </comment>
    <comment authorId="0" ref="H98">
      <text>
        <t xml:space="preserve">======
ID#AAABjx7qVWs
    (2025-05-21 11:33:27)
0329 chloe:匯款匯入US$340.5</t>
      </text>
    </comment>
    <comment authorId="0" ref="H173">
      <text>
        <t xml:space="preserve">======
ID#AAABjx7qVWo
    (2025-05-21 11:33:27)
0327 chloe:匯款匯入US$4165-20(手續費)</t>
      </text>
    </comment>
    <comment authorId="0" ref="L857">
      <text>
        <t xml:space="preserve">======
ID#AAABjx7qVWg
    (2025-05-21 11:33:27)
1107YVONNE:致電超恩確認交期，但EVA回覆目前原廠還無法提供，已PUSH。
1111YVONNE:JAY確認11/15出貨。</t>
      </text>
    </comment>
    <comment authorId="0" ref="H127">
      <text>
        <t xml:space="preserve">======
ID#AAABjx7qVWU
    (2025-05-21 11:33:27)
0215 Mary:匯款匯入US$21,605+6,990</t>
      </text>
    </comment>
    <comment authorId="0" ref="L619">
      <text>
        <t xml:space="preserve">======
ID#AAABjx7qVVc
    (2025-05-21 11:33:27)
0801:致電BRUCE回覆8/5才能確認交期。
0805:BRUCE回覆8/12出貨。</t>
      </text>
    </comment>
    <comment authorId="0" ref="N642">
      <text>
        <t xml:space="preserve">======
ID#AAABjx7qVVQ
    (2025-05-21 11:33:27)
yvonne下單</t>
      </text>
    </comment>
    <comment authorId="0" ref="L13">
      <text>
        <t xml:space="preserve">======
ID#AAABjx7qVUI
    (2025-05-21 11:33:27)
0119 Cathy:缺主板+CPU
9/26 Cindy:Intel 年底交貨</t>
      </text>
    </comment>
    <comment authorId="0" ref="D474">
      <text>
        <t xml:space="preserve">======
ID#AAABjx7qVUM
    (2025-05-21 11:33:27)
0603 通知Tammy下單</t>
      </text>
    </comment>
    <comment authorId="0" ref="N231">
      <text>
        <t xml:space="preserve">======
ID#AAABjx7qVT8
    (2025-05-21 11:33:27)
0222 Cathy下單</t>
      </text>
    </comment>
    <comment authorId="0" ref="N666">
      <text>
        <t xml:space="preserve">======
ID#AAABjx7qVTg
    (2025-05-21 11:33:27)
0823YVONNE下單</t>
      </text>
    </comment>
    <comment authorId="0" ref="H839">
      <text>
        <t xml:space="preserve">======
ID#AAABjx7qVTc
    (2025-05-21 11:33:27)
ALICE:1/7第一銀行USD3228 沖PI-20191007006 1501+PI-20191007007 USD1727+PI-20191128002 USD20總沖USD3248</t>
      </text>
    </comment>
    <comment authorId="0" ref="H250">
      <text>
        <t xml:space="preserve">======
ID#AAABjx7qVTM
    (2025-05-21 11:33:27)
ALICE:6/17水單匯入USD16108 沖PI-20190227B 8500，沖PI-20190409A 7608</t>
      </text>
    </comment>
    <comment authorId="0" ref="N176">
      <text>
        <t xml:space="preserve">======
ID#AAABjx7qVTA
    (2025-05-21 11:33:27)
0212下單</t>
      </text>
    </comment>
    <comment authorId="0" ref="H556">
      <text>
        <t xml:space="preserve">======
ID#AAABjx7qVS4
    (2025-05-21 11:33:27)
Alice:8/8-水單匯入USD4555元整，沖PI-20190708A 2540.PI-20190711A 1355.PI-20190712A 660</t>
      </text>
    </comment>
    <comment authorId="0" ref="K428">
      <text>
        <t xml:space="preserve">======
ID#AAABjx7qVSo
    (2025-05-21 11:33:27)
5/23 Amy: please inform sales for pick up from Vecow, need shipment on 6/6</t>
      </text>
    </comment>
    <comment authorId="0" ref="K226">
      <text>
        <t xml:space="preserve">======
ID#AAABjx7qVSQ
    (2025-05-21 11:33:27)
2/20 waiting for production control confirm L/T</t>
      </text>
    </comment>
    <comment authorId="0" ref="H581">
      <text>
        <t xml:space="preserve">======
ID#AAABjx7qVSU
    (2025-05-21 11:33:27)
ALICE:8/27玉山銀行匯入USD9443沖PI-20190604A.PI-20190628A.PI-20190604A-F合計共USD9443元整</t>
      </text>
    </comment>
    <comment authorId="0" ref="K150">
      <text>
        <t xml:space="preserve">======
ID#AAABjx7qVSI
    (2025-05-21 11:33:27)
0131 Cathy:走簡易報關
0130 chloe:
1)用樣品出去，單價US$5
2)待客戶寄回時再看如何跟廣積消退</t>
      </text>
    </comment>
    <comment authorId="0" ref="N537">
      <text>
        <t xml:space="preserve">======
ID#AAABjx7qVSM
    (2025-05-21 11:33:27)
0701 Cathy 下單</t>
      </text>
    </comment>
    <comment authorId="0" ref="H670">
      <text>
        <t xml:space="preserve">======
ID#AAABjx7qVSE
    (2025-05-21 11:33:27)
ALICE:10/31-合庫匯入NT49350沖季宣49378</t>
      </text>
    </comment>
    <comment authorId="0" ref="H292">
      <text>
        <t xml:space="preserve">======
ID#AAABjx7qVRY
    (2025-05-21 11:33:27)
0312 chloe:匯款匯入US2055-11(手續費)</t>
      </text>
    </comment>
    <comment authorId="0" ref="H146">
      <text>
        <t xml:space="preserve">======
ID#AAABjx7qVRQ
    (2025-05-21 11:33:27)
0307 chloe:匯款匯入US39896-37(手續費)</t>
      </text>
    </comment>
    <comment authorId="0" ref="I520">
      <text>
        <t xml:space="preserve">======
ID#AAABjx7qVRE
    (2025-05-21 11:33:27)
Cathy/Santiago</t>
      </text>
    </comment>
    <comment authorId="0" ref="H19">
      <text>
        <t xml:space="preserve">======
ID#AAABjx7qVRA
    (2025-05-21 11:33:27)
0212 Mary:匯款匯入US$14,150</t>
      </text>
    </comment>
    <comment authorId="0" ref="H668">
      <text>
        <t xml:space="preserve">======
ID#AAABjx7qVQ4
    (2025-05-21 11:33:27)
ALICE:10/5-玉山NT匯入59340沖PI20190821C.PI-20190829B.PI-20190906A合計共NT59355元整</t>
      </text>
    </comment>
    <comment authorId="0" ref="H615">
      <text>
        <t xml:space="preserve">======
ID#AAABjx7qVQg
    (2025-05-21 11:33:27)
ALICE:7/29玉山銀行水單匯入USD17325</t>
      </text>
    </comment>
    <comment authorId="0" ref="AI96">
      <text>
        <t xml:space="preserve">======
ID#AAABjx7qVQE
    (2025-05-21 11:33:27)
ALICE:PI-20190111A訂單總計USD4578，水單2019/02/27匯入USD4571.49*30.73=NT140,482
手續費USD6.51*30.73=NT200元整</t>
      </text>
    </comment>
    <comment authorId="0" ref="D614">
      <text>
        <t xml:space="preserve">======
ID#AAABjx7qVQA
    (2025-05-21 11:33:27)
7/23 Amy: COC requested together with shipment/ PO Number indicated on each shipping documents / Invoice &amp; Packing list together with shipment</t>
      </text>
    </comment>
    <comment authorId="0" ref="H846">
      <text>
        <t xml:space="preserve">======
ID#AAABjx7qVP4
    (2025-05-21 11:33:27)
ALICE:11/28一銀通知客戶匯入USD6665沖PI-20191023001 USD660+PI-20191024001 USD6005合計共USD6665元整</t>
      </text>
    </comment>
    <comment authorId="0" ref="K291">
      <text>
        <t xml:space="preserve">======
ID#AAABjx7qVPc
    (2025-05-21 11:33:27)
0401 Bruce告知一組LED閃爍，後無反應，請廠商來看。</t>
      </text>
    </comment>
    <comment authorId="0" ref="N432">
      <text>
        <t xml:space="preserve">======
ID#AAABjx7qVPU
    (2025-05-21 11:33:27)
0514 Cathy 下單</t>
      </text>
    </comment>
    <comment authorId="0" ref="R498">
      <text>
        <t xml:space="preserve">======
ID#AAABjx7qVPM
    (2025-05-21 11:33:27)
庫存金額</t>
      </text>
    </comment>
    <comment authorId="0" ref="H91">
      <text>
        <t xml:space="preserve">======
ID#AAABjx7qVPA
    (2025-05-21 11:33:27)
0225  chloe:匯款匯入439676-30(手續費)</t>
      </text>
    </comment>
    <comment authorId="0" ref="H573">
      <text>
        <t xml:space="preserve">======
ID#AAABjx7qVO4
    (2025-05-21 11:33:27)
ALICE:8/22玉山銀行匯入NT1,596,000+NT1,978=NT1,597,978元整，沖PI-20190717C NT1,586,124 ，沖PI-20190813C NT11,854</t>
      </text>
    </comment>
    <comment authorId="0" ref="K556">
      <text>
        <t xml:space="preserve">======
ID#AAABjx7qVOQ
    (2025-05-21 11:33:27)
0722 Santiago同意先出貨。</t>
      </text>
    </comment>
    <comment authorId="0" ref="H867">
      <text>
        <t xml:space="preserve">======
ID#AAABjx7qVOM
    (2025-05-21 11:33:27)
ALICE:11/4玉山銀行匯入USD1523沖PI-20191030004 USD1523</t>
      </text>
    </comment>
    <comment authorId="0" ref="H119">
      <text>
        <t xml:space="preserve">======
ID#AAABjx7qVNI
    (2025-05-21 11:33:27)
0201 chloe:匯款匯入38286-20(手續費)</t>
      </text>
    </comment>
    <comment authorId="0" ref="H63">
      <text>
        <t xml:space="preserve">======
ID#AAABjx7qVNE
    (2025-05-21 11:33:27)
0124 chloe:匯款匯入US$48799</t>
      </text>
    </comment>
    <comment authorId="0" ref="N322">
      <text>
        <t xml:space="preserve">======
ID#AAABjx7qVMs
    (2025-05-21 11:33:27)
0326 Cathy:下單</t>
      </text>
    </comment>
    <comment authorId="0" ref="H71">
      <text>
        <t xml:space="preserve">======
ID#AAABjx7qVMk
    (2025-05-21 11:33:27)
0305 chloe:匯款匯入US8750</t>
      </text>
    </comment>
    <comment authorId="0" ref="G576">
      <text>
        <t xml:space="preserve">======
ID#AAABjx7qVMU
    (2025-05-21 11:33:27)
190718 Tammy: w/5%</t>
      </text>
    </comment>
    <comment authorId="0" ref="H934">
      <text>
        <t xml:space="preserve">======
ID#AAABjx7qVMI
    (2025-05-21 11:33:27)
ALICE:2/24一銀收到USD12104沖PI-20191127001 USD6784+PI-20191104001 USD2014+PI-20191213001 USD3306</t>
      </text>
    </comment>
    <comment authorId="0" ref="H193">
      <text>
        <t xml:space="preserve">======
ID#AAABjx7qVME
    (2025-05-21 11:33:27)
ALICE:5/16-銀行水單通知USD5169(沖PO0131D-1 4285.PI-0320-B 175.PI-4/8-A 709)共三筆</t>
      </text>
    </comment>
    <comment authorId="0" ref="I836">
      <text>
        <t xml:space="preserve">======
ID#AAABjx7qVLg
    (2025-05-21 11:33:27)
Cathy/Santiago</t>
      </text>
    </comment>
    <comment authorId="0" ref="J663">
      <text>
        <t xml:space="preserve">======
ID#AAABjx7qVLQ
    (2025-05-21 11:33:27)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</text>
    </comment>
    <comment authorId="0" ref="D208">
      <text>
        <t xml:space="preserve">======
ID#AAABjx7qVLI
    (2025-05-21 11:33:27)
0127 San: 銷退貨用, 故單價先計算為0, 但給廠商的PO 仍然為US255 / 1 pcs</t>
      </text>
    </comment>
    <comment authorId="0" ref="X446">
      <text>
        <t xml:space="preserve">======
ID#AAABjx7qVK4
    (2025-05-21 11:33:27)
ALICE:原成本5/23-QS18393167 $12617(含稅)
因客戶退換貨，故此筆與客戶取消
6/18-與MOXA辦理整筆退貨，再開立15%退貨手續費6/18-QS18394028 金額1909含稅</t>
      </text>
    </comment>
    <comment authorId="0" ref="J545">
      <text>
        <t xml:space="preserve">======
ID#AAABjx7qVKw
    (2025-05-21 11:33:27)
AMY:EORI-Number DE7019688, on Shipping Mark</t>
      </text>
    </comment>
    <comment authorId="0" ref="H497">
      <text>
        <t xml:space="preserve">======
ID#AAABjx7qVK0
    (2025-05-21 11:33:27)
ALICE:8/2-水單匯入USD541元整，沖PI-20190606D USD416+沖PI-20190617A USD125</t>
      </text>
    </comment>
    <comment authorId="0" ref="H223">
      <text>
        <t xml:space="preserve">======
ID#AAABjx7qVKs
    (2025-05-21 11:33:27)
ALICE:2019/05/02-水單匯入USD21462.5</t>
      </text>
    </comment>
    <comment authorId="0" ref="H956">
      <text>
        <t xml:space="preserve">======
ID#AAABjx7qVKc
    (2025-05-21 11:33:27)
ALICE:1/30一銀收到KH匯入USD2352(內含手續費USD26.62)沖PI-20191115001 USD709+PI-20191115002 USD75+PI-20191120002 USD150+PI-20191123002 USD870+PI-20191224001 USD411+PI-20191216001 USD137)</t>
      </text>
    </comment>
    <comment authorId="0" ref="L1">
      <text>
        <t xml:space="preserve">======
ID#AAABjx7qVKM
●0818 chloe    (2025-05-21 11:33:27)
1)理貨人員貨到後再將此反黑
2)理貨人員請在出貨單簽名及日期
廠商到貨公司日期
黑色=實到
紅色=預計
● 抵達戎克反黑
1) 理貨人員
2)倉管人員
3)採購</t>
      </text>
    </comment>
    <comment authorId="0" ref="H915">
      <text>
        <t xml:space="preserve">======
ID#AAABjx7qVKA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 故PI-20191122001 USD1218已沖795+308=1103 故尚餘USD115未收
12/12-因PI-20191112002原訂單總額USD4818後來改價為USD4686故多收的USD132拿來沖PI-20191122001 USD132 故USD61中餘尚USD44未收</t>
      </text>
    </comment>
    <comment authorId="0" ref="AI308">
      <text>
        <t xml:space="preserve">======
ID#AAABjx7qVJ8
    (2025-05-21 11:33:27)
ALICE:2019/05/02-水單匯入USD21462.5-(匯出手續費USD10+匯入手續費USD10.73)=USD21441.77*30.84=NT661264</t>
      </text>
    </comment>
    <comment authorId="0" ref="AN1">
      <text>
        <t xml:space="preserve">======
ID#AAABjx7qVJI
    (2025-05-21 11:33:27)
國內=臺灣境內
國外=境外</t>
      </text>
    </comment>
    <comment authorId="0" ref="H517">
      <text>
        <t xml:space="preserve">======
ID#AAABjx7qVI4
    (2025-05-21 11:33:27)
ALICE:6/27水單匯入USD8652.87沖PI20190515C 1394.5.PI-20190625C 46.37.PI-20190508C 6408.PI-20190619B 804共四張PI合計8652.87</t>
      </text>
    </comment>
    <comment authorId="0" ref="R721">
      <text>
        <t xml:space="preserve">======
ID#AAABjx7qVI8
    (2025-05-21 11:33:27)
0911 chloe:廠商贈送樣品</t>
      </text>
    </comment>
    <comment authorId="0" ref="S591">
      <text>
        <t xml:space="preserve">======
ID#AAABjx7qVIw
    (2025-05-21 11:33:27)
發票3 PCS(TL53407799)
發票8 PCS(TL53407800)</t>
      </text>
    </comment>
    <comment authorId="0" ref="N151">
      <text>
        <t xml:space="preserve">======
ID#AAABjx7qVIk
    (2025-05-21 11:33:27)
0128下單</t>
      </text>
    </comment>
    <comment authorId="0" ref="N286">
      <text>
        <t xml:space="preserve">======
ID#AAABjx7qVIU
    (2025-05-21 11:33:27)
0307 Cathy下單</t>
      </text>
    </comment>
    <comment authorId="0" ref="H854">
      <text>
        <t xml:space="preserve">======
ID#AAABjx7qVII
    (2025-05-21 11:33:27)
ALICE:12/9-一銀匯入USD4215(內含手續費USD6.57)沖PI-20191027001 USD4215元整</t>
      </text>
    </comment>
    <comment authorId="0" ref="N358">
      <text>
        <t xml:space="preserve">======
ID#AAABjx7qVH8
    (2025-05-21 11:33:27)
0412 Cathy 下單</t>
      </text>
    </comment>
    <comment authorId="0" ref="K221">
      <text>
        <t xml:space="preserve">======
ID#AAABjx7qVIE
    (2025-05-21 11:33:27)
0318 san: 出貨前檢查 (bank/eric/san）</t>
      </text>
    </comment>
    <comment authorId="0" ref="H45">
      <text>
        <t xml:space="preserve">======
ID#AAABjx7qVH0
    (2025-05-21 11:33:27)
0212 Mary:匯款匯入US$14,150</t>
      </text>
    </comment>
    <comment authorId="0" ref="H875">
      <text>
        <t xml:space="preserve">======
ID#AAABjx7qVHs
    (2025-05-21 11:33:27)
ALICE:2020/01/02-第一USD匯入USD1450(內含手續費USD21.67)沖PI-20191101001 USD1450</t>
      </text>
    </comment>
    <comment authorId="0" ref="N722">
      <text>
        <t xml:space="preserve">======
ID#AAABjx7qVHc
    (2025-05-21 11:33:27)
0917 Bank告知，後續會換成10.1"給戎克(因17"的有問題)</t>
      </text>
    </comment>
    <comment authorId="0" ref="H748">
      <text>
        <t xml:space="preserve">======
ID#AAABjx7qVHU
    (2025-05-21 11:33:27)
ALICE:11/4玉山銀行收到匯入款USD407沖PI-20190919A USD407元整</t>
      </text>
    </comment>
    <comment authorId="0" ref="H812">
      <text>
        <t xml:space="preserve">======
ID#AAABjx7qVHM
    (2025-05-21 11:33:27)
ALICE:10/14匯入USD557-手續費USD17.53=USD539.47沖PI-20191008002 USD557元整</t>
      </text>
    </comment>
    <comment authorId="0" ref="E527">
      <text>
        <t xml:space="preserve">======
ID#AAABjx7qVHA
    (2025-05-21 11:33:27)
4/19 w/Optical Bonding, High Bridhtness 1000 nits, 9-36V PB-409,
Additional 2 USB port, SSD Key</t>
      </text>
    </comment>
    <comment authorId="0" ref="H918">
      <text>
        <t xml:space="preserve">======
ID#AAABjx7qVGs
    (2025-05-21 11:33:27)
ALICE:1/30一銀收到KH匯入USD2352(內含手續費USD26.62)沖PI-20191115001 USD709+PI-20191115002 USD75+PI-20191120002 USD150+PI-20191123002 USD870+PI-20191224001 USD411+PI-20191216001 USD137)</t>
      </text>
    </comment>
    <comment authorId="0" ref="P740">
      <text>
        <t xml:space="preserve">======
ID#AAABjx7qVGw
    (2025-05-21 11:33:27)
專案價</t>
      </text>
    </comment>
    <comment authorId="0" ref="K222">
      <text>
        <t xml:space="preserve">======
ID#AAABjx7qVGk
    (2025-05-21 11:33:27)
0318 san: 出貨前檢查 (bank/eric/san）</t>
      </text>
    </comment>
    <comment authorId="0" ref="H925">
      <text>
        <t xml:space="preserve">======
ID#AAABjx7qVGE
    (2025-05-21 11:33:27)
ALICE:1/20-第一USD收款USD1308(手續費0)沖PI-20191203001 USD77+PI-20191126001 USD1231 總計USD1308元整</t>
      </text>
    </comment>
    <comment authorId="0" ref="H628">
      <text>
        <t xml:space="preserve">======
ID#AAABjx7qVGA
    (2025-05-21 11:33:27)
ALICE:8/21-銀行匯入USD374沖PI-20190801A USD334.沖PI-20190801A-1 USD40</t>
      </text>
    </comment>
    <comment authorId="0" ref="H226">
      <text>
        <t xml:space="preserve">======
ID#AAABjx7qVFw
    (2025-05-21 11:33:27)
0225 chloe:匯款匯入 US2630- US40(第三地銀行手續費)</t>
      </text>
    </comment>
    <comment authorId="0" ref="L654">
      <text>
        <t xml:space="preserve">======
ID#AAABjx7qVFo
    (2025-05-21 11:33:27)
0815YVONNE:進口營業稅1011，出口時須做"外貨轉售出口"，抵銷營業稅金。須付上進口報單CX08709MP3UU</t>
      </text>
    </comment>
    <comment authorId="0" ref="H572">
      <text>
        <t xml:space="preserve">======
ID#AAABjx7qVFY
    (2025-05-21 11:33:27)
ALICE:8/22玉山銀行匯入NT1,596,000+NT1,978=NT1,597,978元整，沖PI-20190717C NT1,586,124 ，沖PI-20190813C NT11,854</t>
      </text>
    </comment>
    <comment authorId="0" ref="H46">
      <text>
        <t xml:space="preserve">======
ID#AAABjx7qVE8
    (2025-05-21 11:33:27)
0306 chloe:匯款匯入US$14480.6(含20190119A RG58 cable Sample)</t>
      </text>
    </comment>
    <comment authorId="0" ref="K723">
      <text>
        <t xml:space="preserve">======
ID#AAABjx7qVEk
    (2025-05-21 11:33:27)
0916 cathy : revise 交期&amp;通知客人</t>
      </text>
    </comment>
    <comment authorId="0" ref="L51">
      <text>
        <t xml:space="preserve">======
ID#AAABjx7qVEU
    (2025-05-21 11:33:27)
●Hectronic 將會寄出7" LCD 再交由曦立貼合
● 送出7" LCD 後 詢問曦立貼合交期</t>
      </text>
    </comment>
    <comment authorId="0" ref="H866">
      <text>
        <t xml:space="preserve">======
ID#AAABjx7qVEM
    (2025-05-21 11:33:27)
ALICE:12/10-亞郁匯入NT86152沖PI-20191016001.PI-20191017001.PI-20191030002.PI-20191112005 USD270.9</t>
      </text>
    </comment>
    <comment authorId="0" ref="U69">
      <text>
        <t xml:space="preserve">======
ID#AAABjx7qVEI
0226 chloe    (2025-05-21 11:33:27)
原金額 US58.8 (2/28 已付款)
但後續哲讓修改產品顧</t>
      </text>
    </comment>
    <comment authorId="0" ref="H195">
      <text>
        <t xml:space="preserve">======
ID#AAABjx7qVD0
    (2025-05-21 11:33:27)
ALICE:5/16-銀行水單通知USD5169(沖PO0131D-1 4285.PI-0320-B 175.PI-4/8-A 709)共三筆</t>
      </text>
    </comment>
    <comment authorId="0" ref="E46">
      <text>
        <t xml:space="preserve">======
ID#AAABjx7qVDs
    (2025-05-21 11:33:27)
1213 AMY: 專案價110
190115 Karen: 序號TAHIB1115411
TAHIB1115476
TAHKB1054532
TAHKB1054552
TAHKB1054567
TAHKB1054570
TAHKB1054573
TAHKB1054589
TAHKB1054590
TAHKB1054627
TAHKB1054645
TAHKB1054661
TAHKB1054692
TAHKB1054709
TAHKB1054716
TAHKB1054724
TAHKB1054726
TAHKB1054778
TAHKB1054814
TAHKB1054845
TAHKB1054859
TAHKB1055105</t>
      </text>
    </comment>
    <comment authorId="0" ref="H821">
      <text>
        <t xml:space="preserve">======
ID#AAABjx7qVDk
    (2025-05-21 11:33:27)
ALICE:12/4-TPOLE匯入一銀USD2242(全額到付)沖PI-20190923B 125+PI-20190930B USD1872+PI-20191014006 USD150+PI-20191026001 USD95合計總沖USD2242元整</t>
      </text>
    </comment>
    <comment authorId="0" ref="L595">
      <text>
        <t xml:space="preserve">======
ID#AAABjx7qVDg
    (2025-05-21 11:33:27)
0724 chloe:貨到請通知Chloe
(準備送曦立貼合)
0925YVONNE:大榮寄出15995542754</t>
      </text>
    </comment>
    <comment authorId="0" ref="S464">
      <text>
        <t xml:space="preserve">======
ID#AAABjx7qVDA
0604 chloe    (2025-05-21 11:33:27)
客供料，無成本</t>
      </text>
    </comment>
    <comment authorId="0" ref="AH1">
      <text>
        <t xml:space="preserve">======
ID#AAABjx7qVC4
    (2025-05-21 11:33:27)
銀行水單通知匯入日期</t>
      </text>
    </comment>
    <comment authorId="0" ref="H943">
      <text>
        <t xml:space="preserve">======
ID#AAABjx7qVCk
    (2025-05-21 11:33:27)
ALICE:2020/01/08亞郁匯入NT46486沖PI-20191112005 USD270.9+PI-20191205001 USD1169.7+PI-20191211002 USD97.65</t>
      </text>
    </comment>
    <comment authorId="0" ref="H443">
      <text>
        <t xml:space="preserve">======
ID#AAABjx7qVB8
    (2025-05-21 11:33:27)
ALICE:6/27水單匯入USD8652.87沖PI20190515C 1394.5.PI-20190625C 46.37.PI-20190508C 6408.PI-20190619B 804共四張PI合計8652.87</t>
      </text>
    </comment>
    <comment authorId="0" ref="K797">
      <text>
        <t xml:space="preserve">======
ID#AAABjx7qVB0
    (2025-05-21 11:33:27)
10/30 cathy:通知客人交期</t>
      </text>
    </comment>
    <comment authorId="0" ref="N876">
      <text>
        <t xml:space="preserve">======
ID#AAABjx7qVBo
    (2025-05-21 11:33:27)
1115 chloe: 修改為美金報價</t>
      </text>
    </comment>
    <comment authorId="0" ref="H269">
      <text>
        <t xml:space="preserve">======
ID#AAABjx7qVBg
    (2025-05-21 11:33:27)
ALICE:11/22第一銀行收到匯入USD8500(內含銀行手續費USD6.57) PI-20190227G USD4250+PI-20190227H USD4250 總計USD8500</t>
      </text>
    </comment>
    <comment authorId="0" ref="K794">
      <text>
        <t xml:space="preserve">======
ID#AAABjx7qVBY
    (2025-05-21 11:33:27)
1128yvonne:客戶通知要等ISD-1210-T*10pcs到貨一併出。</t>
      </text>
    </comment>
    <comment authorId="0" ref="K225">
      <text>
        <t xml:space="preserve">======
ID#AAABjx7qVA4
    (2025-05-21 11:33:27)
2/20 waiting for production control confirm L/T</t>
      </text>
    </comment>
    <comment authorId="0" ref="H99">
      <text>
        <t xml:space="preserve">======
ID#AAABjx7qVAo
    (2025-05-21 11:33:27)
0311  chloe:匯款匯入US1134-20(手續費)</t>
      </text>
    </comment>
    <comment authorId="0" ref="H711">
      <text>
        <t xml:space="preserve">======
ID#AAABjx7qVAc
    (2025-05-21 11:33:27)
ALICE:9/24玉山銀行水單匯入USD5713沖PI-20190906B USD5713</t>
      </text>
    </comment>
    <comment authorId="0" ref="H889">
      <text>
        <t xml:space="preserve">======
ID#AAABjx7qVAA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AI103">
      <text>
        <t xml:space="preserve">======
ID#AAABjx7qU_4
    (2025-05-21 11:33:27)
ALICE:2019/05/02-水單匯入USD21462.5-(匯出手續費USD10+匯入手續費USD10.73)=USD21441.77*30.84=NT661264</t>
      </text>
    </comment>
    <comment authorId="0" ref="H359">
      <text>
        <t xml:space="preserve">======
ID#AAABjx7qU_0
    (2025-05-21 11:33:27)
Alice:2019/05/21-銀行水單通知USD960-匯款手續費USD6.35=USD953.65*31.51=NT30050元整</t>
      </text>
    </comment>
    <comment authorId="0" ref="L400">
      <text>
        <t xml:space="preserve">======
ID#AAABjx7qU_s
    (2025-05-21 11:33:27)
6/6 IC EOL</t>
      </text>
    </comment>
    <comment authorId="0" ref="N552">
      <text>
        <t xml:space="preserve">======
ID#AAABjx7qU_w
    (2025-05-21 11:33:27)
0711 下單，交期待回覆</t>
      </text>
    </comment>
    <comment authorId="0" ref="N651">
      <text>
        <t xml:space="preserve">======
ID#AAABjx7qU_U
    (2025-05-21 11:33:27)
0822 告知急單
0822 下單
0822 通知業務交期變更 8/30</t>
      </text>
    </comment>
    <comment authorId="0" ref="AJ132">
      <text>
        <t xml:space="preserve">======
ID#AAABjx7qU_M
    (2025-05-21 11:33:27)
ALICE:2019/05/02-水單匯入USD21462.5-(匯出手續費USD10+匯入手續費USD10.73)=USD21441.77*30.84=NT661264</t>
      </text>
    </comment>
    <comment authorId="0" ref="H493">
      <text>
        <t xml:space="preserve">======
ID#AAABjx7qU-8
    (2025-05-21 11:33:27)
ALICE:7/18-收到應收票據 票號AK4244790 到期日108/7/30 支票總額54452元整</t>
      </text>
    </comment>
    <comment authorId="0" ref="H483">
      <text>
        <t xml:space="preserve">======
ID#AAABjx7qU-Y
    (2025-05-21 11:33:27)
ALICE:8/27玉山銀行匯入USD9443沖PI-20190604A.PI-20190628A.PI-20190604A-F合計共USD9443元整</t>
      </text>
    </comment>
    <comment authorId="0" ref="L494">
      <text>
        <t xml:space="preserve">======
ID#AAABjx7qU9I
    (2025-05-21 11:33:27)
0709 chloe:7/9已完成退貨，無須收取15%
0709 chloe: 退回</t>
      </text>
    </comment>
    <comment authorId="0" ref="H171">
      <text>
        <t xml:space="preserve">======
ID#AAABjx7qU8g
    (2025-05-21 11:33:27)
0322 chloe:匯入US8750</t>
      </text>
    </comment>
    <comment authorId="0" ref="P716">
      <text>
        <t xml:space="preserve">======
ID#AAABjx7qU8c
    (2025-05-21 11:33:27)
0911 chloe:使用以色列專案價</t>
      </text>
    </comment>
    <comment authorId="0" ref="H932">
      <text>
        <t xml:space="preserve">======
ID#AAABjx7qU8Q
    (2025-05-21 11:33:27)
ALICE:2/24一銀收到USD12104沖PI-20191127001 USD6784+PI-20191104001 USD2014+PI-20191213001 USD3306</t>
      </text>
    </comment>
    <comment authorId="0" ref="N705">
      <text>
        <t xml:space="preserve">======
ID#AAABjx7qU8M
    (2025-05-21 11:33:27)
0905YVONNE下單</t>
      </text>
    </comment>
    <comment authorId="0" ref="H639">
      <text>
        <t xml:space="preserve">======
ID#AAABjx7qU8A
    (2025-05-21 11:33:27)
ALICE:9/9電文通知ALCOM PI-20190808A匯入USD1180</t>
      </text>
    </comment>
    <comment authorId="0" ref="K518">
      <text>
        <t xml:space="preserve">======
ID#AAABjx7qU7M
    (2025-05-21 11:33:27)
O/A超支，已通知業務。</t>
      </text>
    </comment>
    <comment authorId="0" ref="H535">
      <text>
        <t xml:space="preserve">======
ID#AAABjx7qU7Q
    (2025-05-21 11:33:27)
ALICE:8/8水單匯入USD2240沖PI-20190628B</t>
      </text>
    </comment>
    <comment authorId="0" ref="H731">
      <text>
        <t xml:space="preserve">======
ID#AAABjx7qU68
    (2025-05-21 11:33:27)
ALICE:10/24玉山水單匯入USD478沖PI-20190913A USD478</t>
      </text>
    </comment>
    <comment authorId="0" ref="H206">
      <text>
        <t xml:space="preserve">======
ID#AAABjx7qU64
    (2025-05-21 11:33:27)
Alice:2019/05/08水單匯入USD12400-匯款手續費(10+6.47)*30.9=NT382,651</t>
      </text>
    </comment>
    <comment authorId="0" ref="U122">
      <text>
        <t xml:space="preserve">======
ID#AAABjx7qU60
    (2025-05-21 11:33:27)
預付款</t>
      </text>
    </comment>
    <comment authorId="0" ref="P793">
      <text>
        <t xml:space="preserve">======
ID#AAABjx7qU6Q
    (2025-05-21 11:33:27)
專案報價(20191000280038 )</t>
      </text>
    </comment>
    <comment authorId="0" ref="D477">
      <text>
        <t xml:space="preserve">======
ID#AAABjx7qU54
    (2025-05-21 11:33:27)
0603 通知Tammy下單</t>
      </text>
    </comment>
    <comment authorId="0" ref="H648">
      <text>
        <t xml:space="preserve">======
ID#AAABjx7qU50
    (2025-05-21 11:33:27)
alice:10/3合庫匯入NT303467(手續費30)沖PI-20190814A 303497元整</t>
      </text>
    </comment>
    <comment authorId="0" ref="H853">
      <text>
        <t xml:space="preserve">======
ID#AAABjx7qU5k
    (2025-05-21 11:33:27)
ALICE:12/9-一銀匯入USD4215(內含手續費USD6.57)沖PI-20191027001 USD4215元整</t>
      </text>
    </comment>
    <comment authorId="0" ref="I655">
      <text>
        <t xml:space="preserve">======
ID#AAABjx7qU5U
    (2025-05-21 11:33:27)
Cathy/Santiago</t>
      </text>
    </comment>
    <comment authorId="0" ref="H339">
      <text>
        <t xml:space="preserve">======
ID#AAABjx7qU5A
    (2025-05-21 11:33:26)
ALICE:2019/04/08-水單匯入USB1543-手續費USD11=USD1532</t>
      </text>
    </comment>
    <comment authorId="0" ref="K877">
      <text>
        <t xml:space="preserve">======
ID#AAABjx7qU4w
    (2025-05-21 11:33:26)
11/12 芳慎需星期五中午前收到 
原交期 11/14</t>
      </text>
    </comment>
    <comment authorId="0" ref="D489">
      <text>
        <t xml:space="preserve">======
ID#AAABjx7qU4c
    (2025-05-21 11:33:26)
0605 請TAMMY 下單</t>
      </text>
    </comment>
    <comment authorId="0" ref="H863">
      <text>
        <t xml:space="preserve">======
ID#AAABjx7qU4Q
    (2025-05-21 11:33:26)
ALICE:12/13一銀USD收到KH匯入USD1562.8(內含手續費USD28.61)沖PI-20191017004 USD1347+PI-20191030001 USD215.8合計總沖USD1562.8</t>
      </text>
    </comment>
    <comment authorId="0" ref="K2">
      <text>
        <t xml:space="preserve">======
ID#AAABjx7qU4M
    (2025-05-21 11:33:26)
EX : 2018 ...剩多少 PCS
20181231 止  剩 90 PCS</t>
      </text>
    </comment>
    <comment authorId="0" ref="K94">
      <text>
        <t xml:space="preserve">======
ID#AAABjx7qU4A
    (2025-05-21 11:33:26)
0212 San: 用DHL箱子把2個貨箱放成一個箱子</t>
      </text>
    </comment>
    <comment authorId="0" ref="H666">
      <text>
        <t xml:space="preserve">======
ID#AAABjx7qU30
    (2025-05-21 11:33:26)
ALICE:10/9-玉山匯入USD700-手續費USD24.49=USD673.51沖PI-20190821A USD700元整</t>
      </text>
    </comment>
    <comment authorId="0" ref="H132">
      <text>
        <t xml:space="preserve">======
ID#AAABjx7qU3o
    (2025-05-21 11:33:26)
ALICE:2019/05/02-水單匯入USD21462.5</t>
      </text>
    </comment>
    <comment authorId="0" ref="K57">
      <text>
        <t xml:space="preserve">======
ID#AAABjx7qU3g
    (2025-05-21 11:33:26)
032５
2/12 Jay reply 2/19 by partial 3 pcs
Reply to Ti2 ship date: 2/21</t>
      </text>
    </comment>
    <comment authorId="0" ref="H885">
      <text>
        <t xml:space="preserve">======
ID#AAABjx7qU3Y
    (2025-05-21 11:33:26)
ALICE:2020/1/20一銀收款USD10000(沖PI-20191108001 此筆USD9700)結清</t>
      </text>
    </comment>
    <comment authorId="0" ref="N595">
      <text>
        <t xml:space="preserve">======
ID#AAABjx7qU3I
    (2025-05-21 11:33:26)
0801 chloe: 0731 開案</t>
      </text>
    </comment>
    <comment authorId="0" ref="H487">
      <text>
        <t xml:space="preserve">======
ID#AAABjx7qU20
    (2025-05-21 11:33:26)
ALICE:7/8-電文通知USD2300沖PI-20190604D.PI-20190611A</t>
      </text>
    </comment>
    <comment authorId="0" ref="H906">
      <text>
        <t xml:space="preserve">======
ID#AAABjx7qU2o
    (2025-05-21 11:33:26)
Alice:11/14電文通知匯入USD1676 沖PI-20191114002 USD1676 待銀行水單沖帳</t>
      </text>
    </comment>
    <comment authorId="0" ref="H168">
      <text>
        <t xml:space="preserve">======
ID#AAABjx7qU2Y
    (2025-05-21 11:33:26)
0322 chloe:匯入US8750</t>
      </text>
    </comment>
    <comment authorId="0" ref="F495">
      <text>
        <t xml:space="preserve">======
ID#AAABjx7qU2Q
    (2025-05-21 11:33:26)
1 pcs</t>
      </text>
    </comment>
    <comment authorId="0" ref="K800">
      <text>
        <t xml:space="preserve">======
ID#AAABjx7qU2I
    (2025-05-21 11:33:26)
1015YVONNE:隨貨寄目錄,並通知san</t>
      </text>
    </comment>
    <comment authorId="0" ref="H145">
      <text>
        <t xml:space="preserve">======
ID#AAABjx7qU2E
    (2025-05-21 11:33:26)
0307 chloe:匯款匯入US39896-37(手續費)</t>
      </text>
    </comment>
    <comment authorId="0" ref="N634">
      <text>
        <t xml:space="preserve">======
ID#AAABjx7qU1w
    (2025-05-21 11:33:26)
0805yvonne下單</t>
      </text>
    </comment>
    <comment authorId="0" ref="I597">
      <text>
        <t xml:space="preserve">======
ID#AAABjx7qU0w
    (2025-05-21 11:33:26)
Cathy/Santiago</t>
      </text>
    </comment>
    <comment authorId="0" ref="H101">
      <text>
        <t xml:space="preserve">======
ID#AAABjx7qU0s
    (2025-05-21 11:33:26)
0311  chloe:匯款匯入US1134-20(手續費)</t>
      </text>
    </comment>
    <comment authorId="0" ref="L68">
      <text>
        <t xml:space="preserve">======
ID#AAABjx7qU0k
    (2025-05-21 11:33:26)
0107 再次確認廠商交期(無變動),已mail告知Chris預計出貨時間為1月底或2月初 
1228 Cathy: 廠商告知no stock,有提前交期會告知</t>
      </text>
    </comment>
    <comment authorId="0" ref="N866">
      <text>
        <t xml:space="preserve">======
ID#AAABjx7qU0M
    (2025-05-21 11:33:26)
chloe 
1030 下單</t>
      </text>
    </comment>
    <comment authorId="0" ref="E295">
      <text>
        <t xml:space="preserve">======
ID#AAABjx7qUzw
    (2025-05-21 11:33:26)
下單請用FPM2150GR3B1601E-T
出貨文件上秀:
FPM-2150G-R3BE
(FPM2150GRB1601E-T)</t>
      </text>
    </comment>
    <comment authorId="0" ref="L824">
      <text>
        <t xml:space="preserve">======
ID#AAABjx7qUzs
    (2025-05-21 11:33:26)
Chloe 1106: MOXA回覆交期，有可能會延遲兩天</t>
      </text>
    </comment>
    <comment authorId="0" ref="E946">
      <text>
        <t xml:space="preserve">======
ID#AAABjx7qUzk
    (2025-05-21 11:33:26)
2019年SPS合展</t>
      </text>
    </comment>
    <comment authorId="0" ref="L825">
      <text>
        <t xml:space="preserve">======
ID#AAABjx7qUzI
    (2025-05-21 11:33:26)
Chloe 1106: MOXA回覆交期，有可能會延遲兩天</t>
      </text>
    </comment>
    <comment authorId="0" ref="N599">
      <text>
        <t xml:space="preserve">======
ID#AAABjx7qUyQ
    (2025-05-21 11:33:26)
0723YVONNE下單</t>
      </text>
    </comment>
    <comment authorId="0" ref="H869">
      <text>
        <t xml:space="preserve">======
ID#AAABjx7qUx8
    (2025-05-21 11:33:26)
ALICE:11/4玉山銀行匯入USD1523沖PI-20191030004 USD1523</t>
      </text>
    </comment>
    <comment authorId="0" ref="D906">
      <text>
        <t xml:space="preserve">======
ID#AAABjx7qUxw
    (2025-05-21 11:33:26)
1114 Cathy:請Yvonne 下單</t>
      </text>
    </comment>
    <comment authorId="0" ref="H446">
      <text>
        <t xml:space="preserve">======
ID#AAABjx7qUxs
    (2025-05-21 11:33:26)
NTD 2114 (以下旬匯率31.52換算美金) 
ALICE:7/3收到支票 6/30即期票，票號CP0072748 金額30489元整，沖PI-20190508D 16425元，沖PI-20190520A 14092元。(原PI-20190520A退貨，故應收2114手續費) 多收部份轉預收11978元整</t>
      </text>
    </comment>
    <comment authorId="0" ref="H431">
      <text>
        <t xml:space="preserve">======
ID#AAABjx7qUxo
    (2025-05-21 11:33:26)
alice:7/4-水單匯入USD4316.9沖PI-20190422B.沖PI-20190507B.沖PI-20190513A</t>
      </text>
    </comment>
    <comment authorId="0" ref="D595">
      <text>
        <t xml:space="preserve">======
ID#AAABjx7qUxY
    (2025-05-21 11:33:26)
20190604 Robin accept W/O AG、AR treatment this time</t>
      </text>
    </comment>
    <comment authorId="0" ref="H170">
      <text>
        <t xml:space="preserve">======
ID#AAABjx7qUxA
    (2025-05-21 11:33:26)
0322 chloe:匯入US8750</t>
      </text>
    </comment>
    <comment authorId="0" ref="H961">
      <text>
        <t xml:space="preserve">======
ID#AAABjx7qUwo
    (2025-05-21 11:33:26)
ALICE:1/30一銀收到KH匯入USD2352(內含手續費USD26.62)沖PI-20191115001 USD709+PI-20191115002 USD75+PI-20191120002 USD150+PI-20191123002 USD870+PI-20191224001 USD411+PI-20191216001 USD137)</t>
      </text>
    </comment>
    <comment authorId="0" ref="H589">
      <text>
        <t xml:space="preserve">======
ID#AAABjx7qUwk
    (2025-05-21 11:33:26)
ALICE:11/8玉山銀行收款USD2137沖PI-20190719B-3 USD1737+沖PI-20190719B-2 USD400=USD2137元整</t>
      </text>
    </comment>
    <comment authorId="0" ref="N391">
      <text>
        <t xml:space="preserve">======
ID#AAABjx7qUwY
    (2025-05-21 11:33:26)
0502 Cathy 下單</t>
      </text>
    </comment>
    <comment authorId="0" ref="AI20">
      <text>
        <t xml:space="preserve">======
ID#AAABjx7qUwI
    (2025-05-21 11:33:26)
ALICE:PI-20181031-1總計USD1864+PI-20181031A-1-F總計USD610+PI-20181109A總計USD6776+PI20181031A-2總計2000，上述四筆訂單總計USD11250，於2019/02/12水單匯入USD11233.5*30.77=NT345655
匯出手續費USD10+匯入手續費USD6.5=USD16.5*30.77=手續費總計NT508元整</t>
      </text>
    </comment>
    <comment authorId="0" ref="H219">
      <text>
        <t xml:space="preserve">======
ID#AAABjx7qUwA
    (2025-05-21 11:33:26)
ALICE:201904/10水單匯入USD11416*30.78
沖(229+2394+326+34+5274+3066+103)=11426</t>
      </text>
    </comment>
    <comment authorId="0" ref="H461">
      <text>
        <t xml:space="preserve">======
ID#AAABjx7qUvg
    (2025-05-21 11:33:26)
ALICE:7/26玉山銀行水單通知匯入USD9754沖PI-20190524B(2000+350).沖PI20190524B-1(3010).沖PI-20190703A(60+70).沖PI20190719B-1 228+1600 PI-20190719B-2 304  PI-20190719B-5 532. PI-20190719B-3 1600</t>
      </text>
    </comment>
    <comment authorId="0" ref="D663">
      <text>
        <t xml:space="preserve">======
ID#AAABjx7qUvc
    (2025-05-21 11:33:26)
0820 Cathy: santi mail 告知提供PI給客人，待客戶簽回
0902 Cathy: double confirm with client if they will place an order 
0910 請chloe 下單
0920  Cathy : 詢問客人交期有否辦法接受(物料無法cancel)</t>
      </text>
    </comment>
    <comment authorId="0" ref="K673">
      <text>
        <t xml:space="preserve">======
ID#AAABjx7qUvQ
    (2025-05-21 11:33:26)
0826YVONNE:寄出，g504樣品出口，簡易報關。</t>
      </text>
    </comment>
    <comment authorId="0" ref="H329">
      <text>
        <t xml:space="preserve">======
ID#AAABjx7qUvA
    (2025-05-21 11:33:26)
Chloe:2019/4/19 水單匯入USB702.10-手續費USD 0=USD702.10</t>
      </text>
    </comment>
    <comment authorId="0" ref="H457">
      <text>
        <t xml:space="preserve">======
ID#AAABjx7qUus
    (2025-05-21 11:33:26)
ALICE:5/28-銀行電文通知匯入USD916</t>
      </text>
    </comment>
    <comment authorId="0" ref="K565">
      <text>
        <t xml:space="preserve">======
ID#AAABjx7qUuk
    (2025-05-21 11:33:26)
190718 Tammy: 發票寄出前，請先提供確認，謝謝。</t>
      </text>
    </comment>
    <comment authorId="0" ref="H358">
      <text>
        <t xml:space="preserve">======
ID#AAABjx7qUuc
    (2025-05-21 11:33:26)
Alice:2019/05/21-銀行水單通知USD960-匯款手續費USD6.35=USD953.65*31.51=NT30050元整</t>
      </text>
    </comment>
    <comment authorId="0" ref="H384">
      <text>
        <t xml:space="preserve">======
ID#AAABjx7qUuQ
    (2025-05-21 11:33:26)
ALICE:5/6-銀行電文通知USD12495.8(沖PI-20190422C.PI-20190424A)</t>
      </text>
    </comment>
    <comment authorId="0" ref="K793">
      <text>
        <t xml:space="preserve">======
ID#AAABjx7qUuU
    (2025-05-21 11:33:26)
1128yvonne:客戶通知要等ISD-1210-T*10pcs到貨一併出。</t>
      </text>
    </comment>
    <comment authorId="0" ref="H852">
      <text>
        <t xml:space="preserve">======
ID#AAABjx7qUt0
    (2025-05-21 11:33:26)
ALICE:12/4-TPOLE匯入一銀USD2242(全額到付)沖PI-20190923B 125+PI-20190930B USD1872+PI-20191014006 USD150+PI-20191026001 USD95合計總沖USD2242元整</t>
      </text>
    </comment>
    <comment authorId="0" ref="S224">
      <text>
        <t xml:space="preserve">======
ID#AAABjx7qUt4
    (2025-05-21 11:33:26)
BOM表5670未稅</t>
      </text>
    </comment>
    <comment authorId="0" ref="H398">
      <text>
        <t xml:space="preserve">======
ID#AAABjx7qUss
    (2025-05-21 11:33:26)
Alice:2019/05/16-收到銀行合庫匯入通知NT194,325元整(沖PI-20190502C.PI-20190507A)手續費0</t>
      </text>
    </comment>
    <comment authorId="0" ref="L464">
      <text>
        <t xml:space="preserve">======
ID#AAABjx7qUs0
    (2025-05-21 11:33:26)
0708chloe: 1 PCS 曦立告知出現亮點</t>
      </text>
    </comment>
    <comment authorId="0" ref="H583">
      <text>
        <t xml:space="preserve">======
ID#AAABjx7qUsQ
    (2025-05-21 11:33:26)
ALICE:9/10玉山匯入NT108650沖PI20190719A.PI-20190722B.PI-20190725A.PI20190813B</t>
      </text>
    </comment>
    <comment authorId="0" ref="D276">
      <text>
        <t xml:space="preserve">======
ID#AAABjx7qUsI
    (2025-05-21 11:33:26)
190109 Tammy: 抽驗即可, 謝謝</t>
      </text>
    </comment>
    <comment authorId="0" ref="D486">
      <text>
        <t xml:space="preserve">======
ID#AAABjx7qUsA
    (2025-05-21 11:33:26)
0605 請TAMMY 下單</t>
      </text>
    </comment>
    <comment authorId="0" ref="H313">
      <text>
        <t xml:space="preserve">======
ID#AAABjx7qUr8
    (2025-05-21 11:33:26)
3/22 chloe:匯入US394-15(手續費)</t>
      </text>
    </comment>
    <comment authorId="0" ref="D97">
      <text>
        <t xml:space="preserve">======
ID#AAABjx7qUr4
    (2025-05-21 11:33:26)
1/17 倉管Keiju: 已領出30, 交給業助</t>
      </text>
    </comment>
    <comment authorId="0" ref="I675">
      <text>
        <t xml:space="preserve">======
ID#AAABjx7qUro
    (2025-05-21 11:33:26)
Cathy/Santiago</t>
      </text>
    </comment>
    <comment authorId="0" ref="H221">
      <text>
        <t xml:space="preserve">======
ID#AAABjx7qUrk
    (2025-05-21 11:33:26)
0225 chloe:匯款匯入US$495*30.76=NT15226-手續費NT200=NT15,026</t>
      </text>
    </comment>
    <comment authorId="0" ref="G414">
      <text>
        <t xml:space="preserve">======
ID#AAABjx7qUrc
    (2025-05-21 11:33:26)
6/4 Amy: Aantiago agree to offer Special price following local low price.  請尋低價能用即可</t>
      </text>
    </comment>
    <comment authorId="0" ref="J481">
      <text>
        <t xml:space="preserve">======
ID#AAABjx7qUrQ
SHIPPING  AS BELOW    (2025-05-21 11:33:26)
103A Mary Street, Richmond, VIC, 3121, Australia
Contact: Jim MacDouall
Phone: +61 417 714 528</t>
      </text>
    </comment>
    <comment authorId="0" ref="N520">
      <text>
        <t xml:space="preserve">======
ID#AAABjx7qUrE
    (2025-05-21 11:33:26)
0621 chloe: 一次性下單400 PCS  價格NT1358</t>
      </text>
    </comment>
    <comment authorId="0" ref="H807">
      <text>
        <t xml:space="preserve">======
ID#AAABjx7qTs0
    (2025-05-21 11:33:26)
ALICE:10/24玉山水單匯入USD13256沖PI-20191007010 USD13256</t>
      </text>
    </comment>
    <comment authorId="0" ref="L98">
      <text>
        <t xml:space="preserve">======
ID#AAABjx7qTso
    (2025-05-21 11:33:26)
下單交期:2/19
請與倉管領料</t>
      </text>
    </comment>
    <comment authorId="0" ref="N563">
      <text>
        <t xml:space="preserve">======
ID#AAABjx7qTsM
    (2025-05-21 11:33:26)
0717:YVONNE下單</t>
      </text>
    </comment>
    <comment authorId="0" ref="H232">
      <text>
        <t xml:space="preserve">======
ID#AAABjx7qTsI
    (2025-05-21 11:33:26)
ALICE:2019/04/12水單USD11670*30.81(3035+135+5420+2730+310+40)</t>
      </text>
    </comment>
    <comment authorId="0" ref="L288">
      <text>
        <t xml:space="preserve">======
ID#AAABjx7qTr8
    (2025-05-21 11:33:26)
0311 Amy 提供*4pcs</t>
      </text>
    </comment>
    <comment authorId="0" ref="K19">
      <text>
        <t xml:space="preserve">======
ID#AAABjx7qTr4
    (2025-05-21 11:33:26)
0117 改走TNT, 請沛勁由機場取回戎克
0111Cathy: 因電池需申報，目前拉下放於Forwarder，帶IBASE 提供電池相關文件</t>
      </text>
    </comment>
    <comment authorId="0" ref="N208">
      <text>
        <t xml:space="preserve">======
ID#AAABjx7qTro
    (2025-05-21 11:33:26)
0215 cathy下單</t>
      </text>
    </comment>
    <comment authorId="0" ref="H430">
      <text>
        <t xml:space="preserve">======
ID#AAABjx7qTrk
    (2025-05-21 11:33:26)
ALICE:7/17水單匯入USD9362沖PI-20190508B-F 92元.PI-20190508B-1 130元. PI-20190509C 9140元整</t>
      </text>
    </comment>
    <comment authorId="0" ref="N31">
      <text>
        <t xml:space="preserve">======
ID#AAABjx7qTrg
    (2025-05-21 11:33:26)
在此輸入
Cathy: 20181217下PO</t>
      </text>
    </comment>
    <comment authorId="0" ref="E612">
      <text>
        <t xml:space="preserve">======
ID#AAABjx7qTq8
    (2025-05-21 11:33:26)
0724 chloe:EU ADAPTER</t>
      </text>
    </comment>
    <comment authorId="0" ref="H762">
      <text>
        <t xml:space="preserve">======
ID#AAABjx7qTqk
    (2025-05-21 11:33:26)
ALICE:11/20一銀匯入USD5837沖PI-20190930A USD3945+PI-20191003A USD137+PI-20191005A USD1755</t>
      </text>
    </comment>
    <comment authorId="0" ref="K608">
      <text>
        <t xml:space="preserve">======
ID#AAABjx7qTqc
    (2025-05-21 11:33:26)
0722 客人告知急，但也同時告知款項要先來</t>
      </text>
    </comment>
    <comment authorId="0" ref="K16">
      <text>
        <t xml:space="preserve">======
ID#AAABjx7qTqY
    (2025-05-21 11:33:26)
1120Amy: Vecow 年底前交貨, 收到超恩貨+2-3 days出貨Ti2</t>
      </text>
    </comment>
    <comment authorId="0" ref="H353">
      <text>
        <t xml:space="preserve">======
ID#AAABjx7qTqU
    (2025-05-21 11:33:26)
Alice:6/17-水單匯入USD10046沖PI-201904096B.PI-20190418A.PI-20190422A.PI-20190307A</t>
      </text>
    </comment>
    <comment authorId="0" ref="H858">
      <text>
        <t xml:space="preserve">======
ID#AAABjx7qTqE
    (2025-05-21 11:33:26)
ALICE:1/15一銀收到USD8853(內含手續費USD53.7)沖PI-20191029002 USD4275+PI-20191029003 USD2235+PI-20191029004 USD1988+PI-20191105002 USD355</t>
      </text>
    </comment>
    <comment authorId="0" ref="K653">
      <text>
        <t xml:space="preserve">======
ID#AAABjx7qTqI
    (2025-05-21 11:33:26)
0910 cathy:與san確認可否於10/9 or 10/11 出貨 -&gt;  chloe approve 可於10/9出貨 
1001 :出貨前請Santiago拍照</t>
      </text>
    </comment>
    <comment authorId="0" ref="N155">
      <text>
        <t xml:space="preserve">======
ID#AAABjx7qTps
    (2025-05-21 11:33:26)
0212 下單</t>
      </text>
    </comment>
    <comment authorId="0" ref="H3">
      <text>
        <t xml:space="preserve">======
ID#AAABjx7qTpk
    (2025-05-21 11:33:26)
0306 chloe:匯款匯入US$14480.6(含20190119A RG58 cable Sample)</t>
      </text>
    </comment>
    <comment authorId="0" ref="H41">
      <text>
        <t xml:space="preserve">======
ID#AAABjx7qTpA
    (2025-05-21 11:33:26)
0225 chloe:匯款匯入5948-10(手續費)</t>
      </text>
    </comment>
    <comment authorId="0" ref="H205">
      <text>
        <t xml:space="preserve">======
ID#AAABjx7qTok
    (2025-05-21 11:33:26)
alice:2019/04/03-收到水單匯入USD765*30.78</t>
      </text>
    </comment>
    <comment authorId="0" ref="K621">
      <text>
        <t xml:space="preserve">======
ID#AAABjx7qToY
    (2025-05-21 11:33:26)
0830 Cathy: Tejinder 告知9/2那週會匯款
0903 Cathy: Chloe告知目前先將進貨日改為9/20，待收到款項在pull in MOXA 
0924:CHLOE同意出200PCS</t>
      </text>
    </comment>
    <comment authorId="0" ref="H797">
      <text>
        <t xml:space="preserve">======
ID#AAABjx7qToE
    (2025-05-21 11:33:26)
ALICE:10/7-玉山銀行收到匯入款USD801-手續費USD6.48=USD794.52沖PI-20191002A USD801元整</t>
      </text>
    </comment>
    <comment authorId="0" ref="N749">
      <text>
        <t xml:space="preserve">======
ID#AAABjx7qToA
    (2025-05-21 11:33:26)
0923YVONNE下單</t>
      </text>
    </comment>
    <comment authorId="0" ref="L559">
      <text>
        <t xml:space="preserve">======
ID#AAABjx7qTn4
    (2025-05-21 11:33:26)
0812yvonne:因颱風延誤至8/13</t>
      </text>
    </comment>
    <comment authorId="0" ref="K60">
      <text>
        <t xml:space="preserve">======
ID#AAABjx7qTno
    (2025-05-21 11:33:26)
0115 Cathy: Chloe 告知已收到款項，可出貨  
12/24 AMY: Waiting customer T/T</t>
      </text>
    </comment>
    <comment authorId="0" ref="D54">
      <text>
        <t xml:space="preserve">======
ID#AAABjx7qTnU
    (2025-05-21 11:33:26)
1/21 Keiju: 出貨前拍照</t>
      </text>
    </comment>
    <comment authorId="0" ref="H166">
      <text>
        <t xml:space="preserve">======
ID#AAABjx7qTnE
    (2025-05-21 11:33:26)
0327 chloe:匯款匯入US$4165-20(手續費)</t>
      </text>
    </comment>
    <comment authorId="0" ref="D824">
      <text>
        <t xml:space="preserve">======
ID#AAABjx7qTms
    (2025-05-21 11:33:26)
10/23 cathy: 請chloe 下單</t>
      </text>
    </comment>
    <comment authorId="0" ref="H683">
      <text>
        <t xml:space="preserve">======
ID#AAABjx7qTmw
    (2025-05-21 11:33:26)
ALICE:10/22玉山銀行匯入USD6469沖PI-20190905A USD495.PI-20190905A-F USD45.PI-20190902A 5929合計總沖USD6469</t>
      </text>
    </comment>
    <comment authorId="0" ref="L149">
      <text>
        <t xml:space="preserve">======
ID#AAABjx7qTmo
    (2025-05-21 11:33:26)
Cathy: 廠商告知3/8下午到貨</t>
      </text>
    </comment>
    <comment authorId="0" ref="N512">
      <text>
        <t xml:space="preserve">======
ID#AAABjx7qTmk
    (2025-05-21 11:33:26)
0617 Cathy 下單</t>
      </text>
    </comment>
    <comment authorId="0" ref="H871">
      <text>
        <t xml:space="preserve">======
ID#AAABjx7qTmU
    (2025-05-21 11:33:26)
ALICE:1/3第一NT收到閎亮匯入NT14181沖PI-20191031001 USD466.2</t>
      </text>
    </comment>
    <comment authorId="0" ref="AI1">
      <text>
        <t xml:space="preserve">======
ID#AAABjx7qTmQ
    (2025-05-21 11:33:26)
銀行淨收款</t>
      </text>
    </comment>
    <comment authorId="0" ref="D398">
      <text>
        <t xml:space="preserve">======
ID#AAABjx7qTl8
    (2025-05-21 11:33:26)
0502 mail請Tammy 下單</t>
      </text>
    </comment>
    <comment authorId="0" ref="L526">
      <text>
        <t xml:space="preserve">======
ID#AAABjx7qTlw
0617 chloe    (2025-05-21 11:33:26)
貨到請交由chloe
0708 chloe:已交由生管</t>
      </text>
    </comment>
    <comment authorId="0" ref="H15">
      <text>
        <t xml:space="preserve">======
ID#AAABjx7qTlo
    (2025-05-21 11:33:26)
alice:2019/05/17水單通知USD19768沖3/4A $1995.3/4A-1$4152.3/4A-1-F $232.3/8B-F $57.12/21A-2-F $144.3/4A-1 $189.10/22C-2 $10227.12/21A-1 $2772.如上總計共USD19768</t>
      </text>
    </comment>
    <comment authorId="0" ref="H806">
      <text>
        <t xml:space="preserve">======
ID#AAABjx7qTlM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L246">
      <text>
        <t xml:space="preserve">======
ID#AAABjx7qTk0
    (2025-05-21 11:33:26)
0419 ivy revise (提前交期) 原4/29</t>
      </text>
    </comment>
    <comment authorId="0" ref="K290">
      <text>
        <t xml:space="preserve">======
ID#AAABjx7qTks
    (2025-05-21 11:33:26)
0401 Bruce告知一組LED閃爍，後無反應，請廠商來看。</t>
      </text>
    </comment>
    <comment authorId="0" ref="AI398">
      <text>
        <t xml:space="preserve">======
ID#AAABjx7qTkc
    (2025-05-21 11:33:26)
Alice:2019/05/16-收到銀行合庫匯入通知NT194,325元整(沖PI-20190502C.PI-20190507A)手續費0</t>
      </text>
    </comment>
    <comment authorId="0" ref="D488">
      <text>
        <t xml:space="preserve">======
ID#AAABjx7qTkQ
    (2025-05-21 11:33:26)
0605 請TAMMY 下單</t>
      </text>
    </comment>
    <comment authorId="0" ref="K12">
      <text>
        <t xml:space="preserve">======
ID#AAABjx7qTj0
    (2025-05-21 11:33:26)
1120Amy: Vecow 年底前交貨, 收到超恩貨+2-3 days出貨Ti2</t>
      </text>
    </comment>
    <comment authorId="0" ref="L599">
      <text>
        <t xml:space="preserve">======
ID#AAABjx7qTjs
    (2025-05-21 11:33:26)
0801Tammy通知更改</t>
      </text>
    </comment>
    <comment authorId="0" ref="H58">
      <text>
        <t xml:space="preserve">======
ID#AAABjx7qTjk
    (2025-05-21 11:33:26)
ALICE:201904/10水單匯入USD11416*30.78
沖(229+2394+326+34+5274+3066+103)=11426</t>
      </text>
    </comment>
    <comment authorId="0" ref="E404">
      <text>
        <t xml:space="preserve">======
ID#AAABjx7qTjg
    (2025-05-21 11:33:26)
下單請用FPM2150GR3B1601E-T
出貨文件上秀:
FPM-2150G-R3BE
(FPM2150GRB1601E-T)</t>
      </text>
    </comment>
    <comment authorId="0" ref="H607">
      <text>
        <t xml:space="preserve">======
ID#AAABjx7qTjI
    (2025-05-21 11:33:26)
ALICE:8/27-玉山匯入USD1544元整，沖PI-20190722C USD1544</t>
      </text>
    </comment>
    <comment authorId="0" ref="H784">
      <text>
        <t xml:space="preserve">======
ID#AAABjx7qTjA
    (2025-05-21 11:33:26)
ALICE:12/4-TPOLE匯入一銀USD2242(全額到付)沖PI-20190923B 125+PI-20190930B USD1872+PI-20191014006 USD150+PI-20191026001 USD95合計總沖USD2242元整</t>
      </text>
    </comment>
    <comment authorId="0" ref="E523">
      <text>
        <t xml:space="preserve">======
ID#AAABjx7qTi4
0620 Santiago    (2025-05-21 11:33:26)
-&gt; 待客戶將 7' LCD (AA070ME01)寄來後， 寄曦立光電做貼合</t>
      </text>
    </comment>
    <comment authorId="0" ref="H610">
      <text>
        <t xml:space="preserve">======
ID#AAABjx7qTiI
    (2025-05-21 11:33:26)
ALICE:8/30玉山銀行水單匯入USD603元整，沖PI-20190715A USD135+沖PI-20190722D USD468=合計總沖USD603元整</t>
      </text>
    </comment>
    <comment authorId="0" ref="D798">
      <text>
        <t xml:space="preserve">======
ID#AAABjx7qTiM
    (2025-05-21 11:33:26)
10/3 請Chloe下單</t>
      </text>
    </comment>
    <comment authorId="0" ref="M37">
      <text>
        <t xml:space="preserve">======
ID#AAABjx7qThw
    (2025-05-21 11:33:26)
1214 cathy: mail 詢問Quote</t>
      </text>
    </comment>
    <comment authorId="0" ref="Q914">
      <text>
        <t xml:space="preserve">======
ID#AAABjx7qThc
    (2025-05-21 11:33:26)
國外下單(不含稅)</t>
      </text>
    </comment>
    <comment authorId="0" ref="H570">
      <text>
        <t xml:space="preserve">======
ID#AAABjx7qTgw
    (2025-05-21 11:33:26)
ALICE:8/22玉山銀行匯入NT1,596,000+NT1,978=NT1,597,978元整，沖PI-20190717C NT1,586,124 ，沖PI-20190813C NT11,854</t>
      </text>
    </comment>
    <comment authorId="0" ref="H528">
      <text>
        <t xml:space="preserve">======
ID#AAABjx7qTf8
    (2025-05-21 11:33:26)
6/14-預收USD1403
6/28-銀行匯入USD6257 與6/14合計共7660，PI為7670故尚餘USD10元未收與chloe確認轉手續費處理</t>
      </text>
    </comment>
    <comment authorId="0" ref="D868">
      <text>
        <t xml:space="preserve">======
ID#AAABjx7qTf4
    (2025-05-21 11:33:26)
10/30 Cathy:請yvonne 協助下單</t>
      </text>
    </comment>
    <comment authorId="0" ref="K825">
      <text>
        <t xml:space="preserve">======
ID#AAABjx7qTfs
    (2025-05-21 11:33:26)
10/28 cathy: 通知客人交期pending 
10/15 cathy: 10/22 需update 交期給客人</t>
      </text>
    </comment>
    <comment authorId="0" ref="H838">
      <text>
        <t xml:space="preserve">======
ID#AAABjx7qTfo
    (2025-05-21 11:33:26)
ALICE:1/7第一銀行USD3228 沖PI-20191007006 1501+PI-20191007007 USD1727+PI-20191128002 USD20總沖USD3248</t>
      </text>
    </comment>
    <comment authorId="0" ref="S585">
      <text>
        <t xml:space="preserve">======
ID#AAABjx7qTfY
    (2025-05-21 11:33:26)
發票3 PCS(TL53407799)
發票8 PCS(TL53407800)</t>
      </text>
    </comment>
    <comment authorId="0" ref="N885">
      <text>
        <t xml:space="preserve">======
ID#AAABjx7qTfE
    (2025-05-21 11:33:26)
專案價申請中</t>
      </text>
    </comment>
    <comment authorId="0" ref="H808">
      <text>
        <t xml:space="preserve">======
ID#AAABjx7qTew
    (2025-05-21 11:33:26)
ALICE:10/24玉山水單匯入USD13256沖PI-20191007010 USD13256</t>
      </text>
    </comment>
    <comment authorId="0" ref="AJ331">
      <text>
        <t xml:space="preserve">======
ID#AAABjx7qTek
    (2025-05-21 11:33:26)
ALICE:成交總額USD702.1 ，2019/04/18水單匯入USD702.1-手續費USD6.5=USD695.6*30.78=NT21411元整</t>
      </text>
    </comment>
    <comment authorId="0" ref="A181">
      <text>
        <t xml:space="preserve">======
ID#AAABjx7qTeg
    (2025-05-21 11:33:26)
3/22 Amy: line disappear, add it on 3/22</t>
      </text>
    </comment>
    <comment authorId="0" ref="H815">
      <text>
        <t xml:space="preserve">======
ID#AAABjx7qTd8
    (2025-05-21 11:33:26)
ALICE:10/15玉山銀行收到匯入款USD2440(手續費USD)26.53沖PI-20191007012總計USD2440元整</t>
      </text>
    </comment>
    <comment authorId="0" ref="H942">
      <text>
        <t xml:space="preserve">======
ID#AAABjx7qTd4
    (2025-05-21 11:33:26)
ALICE:1/20-第一USD收款USD1308(手續費0)沖PI-20191203001 USD77+PI-20191126001 USD1231 總計USD1308元整</t>
      </text>
    </comment>
    <comment authorId="0" ref="F440">
      <text>
        <t xml:space="preserve">======
ID#AAABjx7qTdw
    (2025-05-21 11:33:26)
在此輸入</t>
      </text>
    </comment>
    <comment authorId="0" ref="K798">
      <text>
        <t xml:space="preserve">======
ID#AAABjx7qTdU
    (2025-05-21 11:33:26)
10/30 cathy:通知客人交期</t>
      </text>
    </comment>
    <comment authorId="0" ref="H712">
      <text>
        <t xml:space="preserve">======
ID#AAABjx7qTdI
    (2025-05-21 11:33:26)
ALICE:9/24玉山銀行水單匯入USD5713沖PI-20190906B USD5713</t>
      </text>
    </comment>
    <comment authorId="0" ref="N557">
      <text>
        <t xml:space="preserve">======
ID#AAABjx7qTdA
    (2025-05-21 11:33:26)
0716 YVONNE下單</t>
      </text>
    </comment>
    <comment authorId="0" ref="H818">
      <text>
        <t xml:space="preserve">======
ID#AAABjx7qTcs
    (2025-05-21 11:33:26)
ALICE:10/16玉山銀行匯入USD1285沖PI-20191014001 USD1285元</t>
      </text>
    </comment>
    <comment authorId="0" ref="H595">
      <text>
        <t xml:space="preserve">======
ID#AAABjx7qTcg
    (2025-05-21 11:33:26)
ALICE:11/8玉山銀行收款USD2137沖PI-20190719B-3 USD1737+沖PI-20190719B-2 USD400=USD2137元整 (註:PI-20190719B-3尚餘117未收)
ALICE:11/14-Hectronic匯入USD254(內含手續費USD16.57)沖PI-20190910B USD137 + 沖PI-20190719B-3 USD117</t>
      </text>
    </comment>
    <comment authorId="0" ref="I883">
      <text>
        <t xml:space="preserve">======
ID#AAABjx7qTcQ
    (2025-05-21 11:33:26)
Cathy/Yvonne</t>
      </text>
    </comment>
    <comment authorId="0" ref="AA594">
      <text>
        <t xml:space="preserve">======
ID#AAABjx7qTcI
    (2025-05-21 11:33:26)
0920 客人寄Tracking NO 
1Z7365590444025689 1Z7365590444025698</t>
      </text>
    </comment>
    <comment authorId="0" ref="H496">
      <text>
        <t xml:space="preserve">======
ID#AAABjx7qTb0
    (2025-05-21 11:33:26)
0829 chloe: 貨款尚未收到，因應ERP 先計算獎金
alice:11/1玉山銀行收入SA匯入款10500沖PI-20190606C 10500</t>
      </text>
    </comment>
    <comment authorId="0" ref="N493">
      <text>
        <t xml:space="preserve">======
ID#AAABjx7qTbw
    (2025-05-21 11:33:26)
0606 CATHY下單</t>
      </text>
    </comment>
    <comment authorId="0" ref="I838">
      <text>
        <t xml:space="preserve">======
ID#AAABjx7qTbk
    (2025-05-21 11:33:26)
Cathy/Santiago</t>
      </text>
    </comment>
    <comment authorId="0" ref="H548">
      <text>
        <t xml:space="preserve">======
ID#AAABjx7qTbc
    (2025-05-21 11:33:26)
Alice:8/8-水單匯入USD4555元整，沖PI-20190708A 2540.PI-20190711A 1355.PI-20190712A 660</t>
      </text>
    </comment>
    <comment authorId="0" ref="E669">
      <text>
        <t xml:space="preserve">======
ID#AAABjx7qTbI
    (2025-05-21 11:33:26)
Chole 告知上次下單為US Adaptor</t>
      </text>
    </comment>
    <comment authorId="0" ref="I882">
      <text>
        <t xml:space="preserve">======
ID#AAABjx7qTbM
    (2025-05-21 11:33:26)
Cathy/Yvonne</t>
      </text>
    </comment>
    <comment authorId="0" ref="N491">
      <text>
        <t xml:space="preserve">======
ID#AAABjx7qTas
    (2025-05-21 11:33:26)
在此輸入
6/5 Cathy 下單
6/10 REVISE PO</t>
      </text>
    </comment>
    <comment authorId="0" ref="S59">
      <text>
        <t xml:space="preserve">======
ID#AAABjx7qTaY
    (2025-05-21 11:33:26)
chloe: 7592.607
(@29.81 * 84.9/PC )</t>
      </text>
    </comment>
    <comment authorId="0" ref="H155">
      <text>
        <t xml:space="preserve">======
ID#AAABjx7qTaQ
    (2025-05-21 11:33:26)
alice:6/14-玉山匯入USD1346-手續費31.36=USD1314.64*31.47</t>
      </text>
    </comment>
    <comment authorId="0" ref="H710">
      <text>
        <t xml:space="preserve">======
ID#AAABjx7qTZ0
    (2025-05-21 11:33:26)
ALICE:9/24玉山銀行水單匯入USD5713沖PI-20190906B USD5713</t>
      </text>
    </comment>
    <comment authorId="0" ref="AI51">
      <text>
        <t xml:space="preserve">======
ID#AAABjx7qTZg
    (2025-05-21 11:33:26)
ALICE:訂單PI-20181218成交總額USD11594，2016/02/21水(單USD11577.5*30.79=NT356,471元整，匯出手續費10+匯入手續費6.5*30.79=手續費額NT508元整</t>
      </text>
    </comment>
    <comment authorId="0" ref="Q952">
      <text>
        <t xml:space="preserve">======
ID#AAABjx7qTZM
    (2025-05-21 11:33:26)
廠商 2條樣品贈送，1條購買</t>
      </text>
    </comment>
    <comment authorId="0" ref="D722">
      <text>
        <t xml:space="preserve">======
ID#AAABjx7qTY8
    (2025-05-21 11:33:26)
0910 Cathy: 已請chloe &amp; Bank 協助</t>
      </text>
    </comment>
    <comment authorId="0" ref="D589">
      <text>
        <t xml:space="preserve">======
ID#AAABjx7qTYw
    (2025-05-21 11:33:26)
20190604 Robin accept W/O AG、AR treatment this time</t>
      </text>
    </comment>
    <comment authorId="0" ref="D419">
      <text>
        <t xml:space="preserve">======
ID#AAABjx7qTYs
    (2025-05-21 11:33:26)
在此輸入
0508 Vilas promise will give another 50pcs end of this year.
1001 告知改為Aditech 付款</t>
      </text>
    </comment>
    <comment authorId="0" ref="K289">
      <text>
        <t xml:space="preserve">======
ID#AAABjx7qTX8
    (2025-05-21 11:33:26)
0401 Bruce告知一組LED閃爍，後無反應，請廠商來看。</t>
      </text>
    </comment>
    <comment authorId="0" ref="AI301">
      <text>
        <t xml:space="preserve">======
ID#AAABjx7qTXo
    (2025-05-21 11:33:26)
ALICE:2019/05/02-水單匯入USD21462.5-(匯出手續費USD10+匯入手續費USD10.73)=USD21441.77*30.84=NT661264</t>
      </text>
    </comment>
    <comment authorId="0" ref="D676">
      <text>
        <t xml:space="preserve">======
ID#AAABjx7qTXU
    (2025-05-21 11:33:26)
0828 請chloe 協助下單</t>
      </text>
    </comment>
    <comment authorId="0" ref="H622">
      <text>
        <t xml:space="preserve">======
ID#AAABjx7qTXA
    (2025-05-21 11:33:26)
ALICE:9/26玉山水單匯入USD16657沖PI-20190704A USD655.沖PI-20190704A-F USD96.沖PI20190717E USD11479.沖PI-20190726B USD4245.沖PI-20190726B-F 182總沖16657</t>
      </text>
    </comment>
    <comment authorId="0" ref="Q456">
      <text>
        <t xml:space="preserve">======
ID#AAABjx7qTWo
    (2025-05-21 11:33:26)
0618 chloe:銀行手續費</t>
      </text>
    </comment>
    <comment authorId="0" ref="E737">
      <text>
        <t xml:space="preserve">======
ID#AAABjx7qTV4
    (2025-05-21 11:33:26)
9/18 CHLOE告知市面上已無庫存</t>
      </text>
    </comment>
    <comment authorId="0" ref="H345">
      <text>
        <t xml:space="preserve">======
ID#AAABjx7qTVw
    (2025-05-21 11:33:26)
ALICE:6/17水單匯入USD16108 沖PI-20190227B 8500，沖PI-20190409A 7608</t>
      </text>
    </comment>
    <comment authorId="0" ref="E788">
      <text>
        <t xml:space="preserve">======
ID#AAABjx7qTVs
    (2025-05-21 11:33:26)
20170104 Santiago: 和之前訂單一樣, w/o adapter</t>
      </text>
    </comment>
    <comment authorId="0" ref="K848">
      <text>
        <t xml:space="preserve">======
ID#AAABjx7qTVo
    (2025-05-21 11:33:26)
10/28 cathy:通知客人交期</t>
      </text>
    </comment>
    <comment authorId="0" ref="K224">
      <text>
        <t xml:space="preserve">======
ID#AAABjx7qTVA
    (2025-05-21 11:33:26)
2/20 waiting for production control confirm L/T</t>
      </text>
    </comment>
    <comment authorId="0" ref="P702">
      <text>
        <t xml:space="preserve">======
ID#AAABjx7qTU8
    (2025-05-21 11:33:26)
以色列專案價</t>
      </text>
    </comment>
    <comment authorId="0" ref="AJ131">
      <text>
        <t xml:space="preserve">======
ID#AAABjx7qTUg
    (2025-05-21 11:33:26)
ALICE:2019/05/02-水單匯入USD21462.5-(匯出手續費USD10+匯入手續費USD10.73)=USD21441.77*30.84=NT661264</t>
      </text>
    </comment>
    <comment authorId="0" ref="H568">
      <text>
        <t xml:space="preserve">======
ID#AAABjx7qTUU
    (2025-05-21 11:33:26)
ALICE:8/22玉山銀行匯入NT1,596,000+NT1,978=NT1,597,978元整，沖PI-20190717C NT1,586,124 ，沖PI-20190813C NT11,854</t>
      </text>
    </comment>
    <comment authorId="0" ref="G671">
      <text>
        <t xml:space="preserve">======
ID#AAABjx7qTUE
    (2025-05-21 11:33:26)
190215 w/5% vat</t>
      </text>
    </comment>
    <comment authorId="0" ref="D446">
      <text>
        <t xml:space="preserve">======
ID#AAABjx7qTTo
    (2025-05-21 11:33:26)
0612 通知要核銷
0521 通知Tammy 下單
0520 亞郁已給PO單
0614  物料寄回Elgens  
0617 請Yvonne 寄回moxa nicky(貨&amp; 折讓單)</t>
      </text>
    </comment>
    <comment authorId="0" ref="H588">
      <text>
        <t xml:space="preserve">======
ID#AAABjx7qTTY
    (2025-05-21 11:33:26)
ALICE:7/26玉山銀行水單通知匯入USD9754沖PI-20190524B(2000+350).沖PI20190524B-1(3010).沖PI-20190703A(60+70).沖PI20190719B-1 228+1600 PI-20190719B-2 304  PI-20190719B-5 532. PI-20190719B-3 1600</t>
      </text>
    </comment>
    <comment authorId="0" ref="H341">
      <text>
        <t xml:space="preserve">======
ID#AAABjx7qTS0
    (2025-05-21 11:33:26)
ALICE:5/13-CHLOE5通知5/10 戎克台幣匯款匯入</t>
      </text>
    </comment>
    <comment authorId="0" ref="N884">
      <text>
        <t xml:space="preserve">======
ID#AAABjx7qTSw
    (2025-05-21 11:33:26)
專案價申請中</t>
      </text>
    </comment>
    <comment authorId="0" ref="J564">
      <text>
        <t xml:space="preserve">======
ID#AAABjx7qTSc
    (2025-05-21 11:33:26)
190717 Tammy: 收到貨款後, 才出貨</t>
      </text>
    </comment>
    <comment authorId="0" ref="H558">
      <text>
        <t xml:space="preserve">======
ID#AAABjx7qTSM
    (2025-05-21 11:33:26)
ALICE:9/25玉山水單USD652沖PI-20190805A USD652元整</t>
      </text>
    </comment>
    <comment authorId="0" ref="J819">
      <text>
        <t xml:space="preserve">======
ID#AAABjx7qTRo
    (2025-05-21 11:33:26)
using UPS express then</t>
      </text>
    </comment>
    <comment authorId="0" ref="K569">
      <text>
        <t xml:space="preserve">======
ID#AAABjx7qTRE
    (2025-05-21 11:33:26)
190718 Tammy: 發票寄出前，請先提供確認，謝謝。</t>
      </text>
    </comment>
    <comment authorId="0" ref="H600">
      <text>
        <t xml:space="preserve">======
ID#AAABjx7qTQ4
    (2025-05-21 11:33:26)
ALICE:9/23玉山銀行水單通知匯入USD14587沖PI-20190626A 334.5 沖PI-20190703B 8550.沖PI20190719C 5212.5.沖PI-20190722A 210.沖PI-20190801C 280 合計總沖USD14587元整</t>
      </text>
    </comment>
    <comment authorId="0" ref="H470">
      <text>
        <t xml:space="preserve">======
ID#AAABjx7qTQw
    (2025-05-21 11:33:26)
alice:6/3銀行電文通知匯入USD795待水單結匯</t>
      </text>
    </comment>
    <comment authorId="0" ref="G436">
      <text>
        <t xml:space="preserve">======
ID#AAABjx7qTQ0
    (2025-05-21 11:33:26)
190513 w/ 5%VAT</t>
      </text>
    </comment>
    <comment authorId="0" ref="K820">
      <text>
        <t xml:space="preserve">======
ID#AAABjx7qTQo
    (2025-05-21 11:33:26)
Chloe 1106: MOXA回覆交期，有可能會延遲兩天</t>
      </text>
    </comment>
    <comment authorId="0" ref="H636">
      <text>
        <t xml:space="preserve">======
ID#AAABjx7qTQk
    (2025-05-21 11:33:26)
ALICE:10/1玉山收到閎亮匯入款NT14645(手續費15)沖PI-20190801E.沖PI-20190820B 合計共NT14660元整</t>
      </text>
    </comment>
    <comment authorId="0" ref="H445">
      <text>
        <t xml:space="preserve">======
ID#AAABjx7qTQU
    (2025-05-21 11:33:26)
ALICE:5月應付77875-應收4900對沖=故應付予閎亮72975</t>
      </text>
    </comment>
    <comment authorId="0" ref="H575">
      <text>
        <t xml:space="preserve">======
ID#AAABjx7qTQE
    (2025-05-21 11:33:26)
ALICE:8/22玉山銀行匯入NT1,596,000+NT1,978=NT1,597,978元整，沖PI-20190717C NT1,586,124 ，沖PI-20190813C NT11,854</t>
      </text>
    </comment>
    <comment authorId="0" ref="L67">
      <text>
        <t xml:space="preserve">======
ID#AAABjx7qTP8
    (2025-05-21 11:33:26)
0104 chloe:已告知凌飛Consign料件延遲
1227 chloe: 若研華能1/9前給予則可提前出貨</t>
      </text>
    </comment>
    <comment authorId="0" ref="AI356">
      <text>
        <t xml:space="preserve">======
ID#AAABjx7qTP4
    (2025-05-21 11:33:26)
ALICE:20190425收到銀行水單匯入通知USD1556*30.81=NT47940(無手續費)</t>
      </text>
    </comment>
    <comment authorId="0" ref="H315">
      <text>
        <t xml:space="preserve">======
ID#AAABjx7qTPw
    (2025-05-21 11:33:26)
alice:5/10-水單通知usd3751-匯出手續費20-匯入手續費6.46=USD3724.54*30.94=NT115,237元整
沖20190320B USD1270
沖20190322A USD2481
合計總沖USD3751元整</t>
      </text>
    </comment>
    <comment authorId="0" ref="H791">
      <text>
        <t xml:space="preserve">======
ID#AAABjx7qTPk
    (2025-05-21 11:33:26)
ALICE:10/9-匯入USD6974沖PI-20191001B USD6974元整</t>
      </text>
    </comment>
    <comment authorId="0" ref="S371">
      <text>
        <t xml:space="preserve">======
ID#AAABjx7qTPQ
    (2025-05-21 11:33:26)
原2764
6/4-Chloe通知
雄鉅與老大已談妥
請將6/5 應付雄鉅帳款扣除此筆金額NT2781</t>
      </text>
    </comment>
    <comment authorId="0" ref="X102">
      <text>
        <t xml:space="preserve">======
ID#AAABjx7qTOc
    (2025-05-21 11:33:26)
含提單:3658076855 Cable寄出費用</t>
      </text>
    </comment>
    <comment authorId="0" ref="L584">
      <text>
        <t xml:space="preserve">======
ID#AAABjx7qTOI
    (2025-05-21 11:33:26)
0724 chloe:貨到請通知Chloe
0904 Cathy : 客人告知預計10/4 &amp;10/18。但也非確定時間
0906 Cathy: 客人告知可能時間
0916 Vivian 檢驗外觀ok
0925YVONNE:大榮寄出15995542754</t>
      </text>
    </comment>
    <comment authorId="0" ref="H316">
      <text>
        <t xml:space="preserve">======
ID#AAABjx7qTNg
    (2025-05-21 11:33:26)
ALICE:5/16-銀行水單通知USD5169(沖PO0131D-1 4285.PI-0320-B 175.PI-4/8-A 709)共三筆</t>
      </text>
    </comment>
    <comment authorId="0" ref="H872">
      <text>
        <t xml:space="preserve">======
ID#AAABjx7qTNc
    (2025-05-21 11:33:26)
ALICE:1/3第一NT收到閎亮匯入NT14181沖PI-20191031001 USD466.2</t>
      </text>
    </comment>
    <comment authorId="0" ref="H87">
      <text>
        <t xml:space="preserve">======
ID#AAABjx7qTNM
    (2025-05-21 11:33:26)
ALICE:201904/10水單匯入USD11416*30.78
沖(229+2394+326+34+5274+3066+103)=11426</t>
      </text>
    </comment>
    <comment authorId="0" ref="K280">
      <text>
        <t xml:space="preserve">======
ID#AAABjx7qTNQ
    (2025-05-21 11:33:26)
0401 santi 告知改4/8出貨</t>
      </text>
    </comment>
    <comment authorId="0" ref="H377">
      <text>
        <t xml:space="preserve">======
ID#AAABjx7qTNA
    (2025-05-21 11:33:26)
alice:7/4-水單匯入USD4316.9沖PI-20190422B.沖PI-20190507B.沖PI-20190513A</t>
      </text>
    </comment>
    <comment authorId="0" ref="N385">
      <text>
        <t xml:space="preserve">======
ID#AAABjx7qTMs
    (2025-05-21 11:33:26)
0424 Cathy下單</t>
      </text>
    </comment>
    <comment authorId="0" ref="L846">
      <text>
        <t xml:space="preserve">======
ID#AAABjx7qTMo
    (2025-05-21 11:33:26)
Chloe 1106: MOXA回覆交期，有可能會延遲兩天</t>
      </text>
    </comment>
    <comment authorId="0" ref="H955">
      <text>
        <t xml:space="preserve">======
ID#AAABjx7qTMc
    (2025-05-21 11:33:26)
12/13
與TPM 實收NTD 73,332 (未稅2000歐元)
chloe 告知當時匯款匯率抓34.92 
ALICE:12/20-匯入一銀65019+73332沖PI-20191211001+PI-20191213002</t>
      </text>
    </comment>
    <comment authorId="0" ref="D913">
      <text>
        <t xml:space="preserve">======
ID#AAABjx7qTMU
    (2025-05-21 11:33:26)
cathy: 11/19請chloe 下單</t>
      </text>
    </comment>
    <comment authorId="0" ref="S277">
      <text>
        <t xml:space="preserve">======
ID#AAABjx7qTL8
    (2025-05-21 11:33:26)
30.82</t>
      </text>
    </comment>
    <comment authorId="0" ref="L484">
      <text>
        <t xml:space="preserve">======
ID#AAABjx7qTL0
    (2025-05-21 11:33:26)
0604 chloe :領出給Yvonne</t>
      </text>
    </comment>
    <comment authorId="0" ref="N421">
      <text>
        <t xml:space="preserve">======
ID#AAABjx7qTLs
    (2025-05-21 11:33:26)
0513 Cathy 下單</t>
      </text>
    </comment>
    <comment authorId="0" ref="N433">
      <text>
        <t xml:space="preserve">======
ID#AAABjx7qTLY
    (2025-05-21 11:33:26)
0514 Cathy 下單</t>
      </text>
    </comment>
    <comment authorId="0" ref="N99">
      <text>
        <t xml:space="preserve">======
ID#AAABjx7qTLE
    (2025-05-21 11:33:26)
0118下單</t>
      </text>
    </comment>
    <comment authorId="0" ref="S446">
      <text>
        <t xml:space="preserve">======
ID#AAABjx7qTKY
    (2025-05-21 11:33:26)
ALICE:原成本5/23-QS18393167 $12617(含稅)
因客戶退換貨，故此筆與客戶取消
6/18-與MOXA辦理整筆退貨，再開立15%退貨手續費6/18-QS18394028 金額1909含稅</t>
      </text>
    </comment>
    <comment authorId="0" ref="AI372">
      <text>
        <t xml:space="preserve">======
ID#AAABjx7qTKU
    (2025-05-21 11:33:26)
Alice:2019/04/30-銀行通知水單匯入USD1577-匯出手續費USD40=USD1537*30.85=NT47416</t>
      </text>
    </comment>
    <comment authorId="0" ref="K474">
      <text>
        <t xml:space="preserve">======
ID#AAABjx7qTKA
    (2025-05-21 11:33:26)
0722 Santiago同意先出貨。
0701 詢問預計7/11匯款&amp; 運輸方式</t>
      </text>
    </comment>
    <comment authorId="0" ref="K464">
      <text>
        <t xml:space="preserve">======
ID#AAABjx7qTJw
    (2025-05-21 11:33:26)
0819YVONNE:大榮15595542162</t>
      </text>
    </comment>
    <comment authorId="0" ref="J459">
      <text>
        <t xml:space="preserve">======
ID#AAABjx7qTJQ
    (2025-05-21 11:33:26)
客人自行安排取貨 
0527待客人確認</t>
      </text>
    </comment>
    <comment authorId="0" ref="H153">
      <text>
        <t xml:space="preserve">======
ID#AAABjx7qTJI
    (2025-05-21 11:33:26)
0327 chloe:匯款匯入US$4165-20(手續費)</t>
      </text>
    </comment>
    <comment authorId="0" ref="H623">
      <text>
        <t xml:space="preserve">======
ID#AAABjx7qTI4
    (2025-05-21 11:33:26)
ALICE:8/1銀行水單通知匯入USD8538.6沖PI-20190731A</t>
      </text>
    </comment>
    <comment authorId="0" ref="K866">
      <text>
        <t xml:space="preserve">======
ID#AAABjx7qTIU
    (2025-05-21 11:33:26)
chloe
1028: 原先告知10/30
1104: 尚未告知MOXA！！原倉庫(木新路)收貨至11/14止，11/15暫停收貨 ，
11/18之後送貨請送至新倉庫:新北市新店區寶橋路235巷118號2AF</t>
      </text>
    </comment>
    <comment authorId="0" ref="F760">
      <text>
        <t xml:space="preserve">======
ID#AAABjx7qTIQ
    (2025-05-21 11:33:26)
20191028 客人告知6pcs寄回
20191008 曦立有QC 有6PCS spot</t>
      </text>
    </comment>
    <comment authorId="0" ref="J661">
      <text>
        <t xml:space="preserve">======
ID#AAABjx7qTIE
    (2025-05-21 11:33:26)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</text>
    </comment>
    <comment authorId="0" ref="D882">
      <text>
        <t xml:space="preserve">======
ID#AAABjx7qTHw
    (2025-05-21 11:33:26)
11/8 cathy: 請Chloe 請協助下單</t>
      </text>
    </comment>
    <comment authorId="0" ref="H165">
      <text>
        <t xml:space="preserve">======
ID#AAABjx7qTHc
    (2025-05-21 11:33:26)
0327 chloe:匯款匯入US$4165-20(手續費)</t>
      </text>
    </comment>
    <comment authorId="0" ref="H147">
      <text>
        <t xml:space="preserve">======
ID#AAABjx7qTHU
    (2025-05-21 11:33:26)
0327 chloe:匯款匯入42,592-10(手續費)
0408 Alice:匯款匯入USD3,950(手續費USD12)</t>
      </text>
    </comment>
    <comment authorId="0" ref="H947">
      <text>
        <t xml:space="preserve">======
ID#AAABjx7qTGQ
    (2025-05-21 11:33:26)
ALICE:2020/01/08亞郁匯入NT46486沖PI-20191112005 USD270.9+PI-20191205001 USD1169.7+PI-20191211002 USD97.65</t>
      </text>
    </comment>
    <comment authorId="0" ref="L428">
      <text>
        <t xml:space="preserve">======
ID#AAABjx7qTF4
    (2025-05-21 11:33:26)
0527:6/6 Eric pick up
0522 超恩Bruce 原交期6/3 告知交期變更為6/11 (intel  CPU 可到超恩時間6/9)  
超恩明確交期需要一週1W</t>
      </text>
    </comment>
    <comment authorId="0" ref="N409">
      <text>
        <t xml:space="preserve">======
ID#AAABjx7qTF0
    (2025-05-21 11:33:26)
0508 Cathy 下單</t>
      </text>
    </comment>
    <comment authorId="0" ref="AI10">
      <text>
        <t xml:space="preserve">======
ID#AAABjx7qTFY
    (2025-05-21 11:33:26)
ALICE:2019/05/02-水單匯入USD21462.5-(匯出手續費USD10+匯入手續費USD10.73)=USD21441.77*30.84=NT661264</t>
      </text>
    </comment>
    <comment authorId="0" ref="D292">
      <text>
        <t xml:space="preserve">======
ID#AAABjx7qTFI
    (2025-05-21 11:33:26)
0306 請Tammy 下單  
0305 客人有revise order</t>
      </text>
    </comment>
    <comment authorId="0" ref="K769">
      <text>
        <t xml:space="preserve">======
ID#AAABjx7qTE8
    (2025-05-21 11:33:26)
1015YVONNE:隨貨寄目錄,並通知san</t>
      </text>
    </comment>
    <comment authorId="0" ref="H613">
      <text>
        <t xml:space="preserve">======
ID#AAABjx7qTEo
    (2025-05-21 11:33:26)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G283">
      <text>
        <t xml:space="preserve">======
ID#AAABjx7qTEk
    (2025-05-21 11:33:26)
190303 w/5% VAT</t>
      </text>
    </comment>
    <comment authorId="0" ref="D761">
      <text>
        <t xml:space="preserve">======
ID#AAABjx7qTEU
    (2025-05-21 11:33:26)
0927 Cathy 客人增加物料，想與PI-20190909A一起走 ,請chloe 協助下單
1001 告知改由Aditech付款</t>
      </text>
    </comment>
    <comment authorId="0" ref="K824">
      <text>
        <t xml:space="preserve">======
ID#AAABjx7qTEY
    (2025-05-21 11:33:26)
10/28 cathy: 通知客人交期pending 
10/15 cathy: 10/22 需update 交期給客人</t>
      </text>
    </comment>
    <comment authorId="0" ref="J909">
      <text>
        <t xml:space="preserve">======
ID#AAABjx7qTEQ
    (2025-05-21 11:33:26)
客人自取</t>
      </text>
    </comment>
    <comment authorId="0" ref="H22">
      <text>
        <t xml:space="preserve">======
ID#AAABjx7qTEE
    (2025-05-21 11:33:26)
1227 chloe:匯款匯入US$53334</t>
      </text>
    </comment>
    <comment authorId="0" ref="J848">
      <text>
        <t xml:space="preserve">======
ID#AAABjx7qTD8
    (2025-05-21 11:33:26)
客人自取</t>
      </text>
    </comment>
    <comment authorId="0" ref="H412">
      <text>
        <t xml:space="preserve">======
ID#AAABjx7qTDg
    (2025-05-21 11:33:26)
alice:6/20銀行水單匯入USD4462 沖PI20190107A.PI-20190318B.PI-20190508B.PI-20181022C-2-F</t>
      </text>
    </comment>
    <comment authorId="0" ref="D49">
      <text>
        <t xml:space="preserve">======
ID#AAABjx7qTCQ
    (2025-05-21 11:33:26)
0115 到貨，已mail通知小葛
0115 Keiju: 已QC OK</t>
      </text>
    </comment>
    <comment authorId="0" ref="N297">
      <text>
        <t xml:space="preserve">======
ID#AAABjx7qTBU
    (2025-05-21 11:33:26)
0306 Cathy下單</t>
      </text>
    </comment>
    <comment authorId="0" ref="H276">
      <text>
        <t xml:space="preserve">======
ID#AAABjx7qTBI
    (2025-05-21 11:33:26)
ALICE:11/22第一銀行收到匯入USD8500(內含銀行手續費USD6.57) PI-20190227G USD4250+PI-20190227H USD4250 總計USD8500</t>
      </text>
    </comment>
    <comment authorId="0" ref="N316">
      <text>
        <t xml:space="preserve">======
ID#AAABjx7qTBA
    (2025-05-21 11:33:26)
0322 Cathy:Tammy 告知
下單</t>
      </text>
    </comment>
    <comment authorId="0" ref="H382">
      <text>
        <t xml:space="preserve">======
ID#AAABjx7qTA4
    (2025-05-21 11:33:26)
ALICE:5/6-銀行電文通知USD12495.8(沖PI-20190422C.PI-20190424A)</t>
      </text>
    </comment>
    <comment authorId="0" ref="G572">
      <text>
        <t xml:space="preserve">======
ID#AAABjx7qTAo
    (2025-05-21 11:33:26)
190718 Tammy: w/5%</t>
      </text>
    </comment>
    <comment authorId="0" ref="H944">
      <text>
        <t xml:space="preserve">======
ID#AAABjx7qTAg
    (2025-05-21 11:33:26)
ALICE:2020/01/08亞郁匯入NT46486沖PI-20191112005 USD270.9+PI-20191205001 USD1169.7+PI-20191211002 USD97.65</t>
      </text>
    </comment>
    <comment authorId="0" ref="S550">
      <text>
        <t xml:space="preserve">======
ID#AAABjx7qTAk
    (2025-05-21 11:33:26)
0813 chloe修正</t>
      </text>
    </comment>
    <comment authorId="0" ref="K766">
      <text>
        <t xml:space="preserve">======
ID#AAABjx7qTAQ
    (2025-05-21 11:33:26)
1015YVONNE:隨貨寄目錄,並通知san</t>
      </text>
    </comment>
    <comment authorId="0" ref="H117">
      <text>
        <t xml:space="preserve">======
ID#AAABjx7qTAU
    (2025-05-21 11:33:26)
ALICE:5/3收到USD12965.5(沖PI-20190121B.PI20190217A.PI-20190131C.PI-20190313A.PI-20190306A)</t>
      </text>
    </comment>
    <comment authorId="0" ref="J662">
      <text>
        <t xml:space="preserve">======
ID#AAABjx7qS_g
    (2025-05-21 11:33:26)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</text>
    </comment>
    <comment authorId="0" ref="AJ371">
      <text>
        <t xml:space="preserve">======
ID#AAABjx7qS-0
    (2025-05-21 11:33:26)
Alice:2019/04/30-銀行通知水單匯入USD1577-匯出手續費USD40=USD1537*30.85=NT47416</t>
      </text>
    </comment>
    <comment authorId="0" ref="H61">
      <text>
        <t xml:space="preserve">======
ID#AAABjx7qS-c
    (2025-05-21 11:33:26)
0311  chloe:匯款匯入US1134-20(手續費)</t>
      </text>
    </comment>
    <comment authorId="0" ref="S83">
      <text>
        <t xml:space="preserve">======
ID#AAABjx7qS90
    (2025-05-21 11:33:26)
chloe:含BOM表裡</t>
      </text>
    </comment>
    <comment authorId="0" ref="D709">
      <text>
        <t xml:space="preserve">======
ID#AAABjx7qS9k
    (2025-05-21 11:33:26)
0906 請Chloe 協助下單</t>
      </text>
    </comment>
    <comment authorId="0" ref="I837">
      <text>
        <t xml:space="preserve">======
ID#AAABjx7qS8o
    (2025-05-21 11:33:26)
Cathy/Santiago</t>
      </text>
    </comment>
    <comment authorId="0" ref="H705">
      <text>
        <t xml:space="preserve">======
ID#AAABjx7qS8A
    (2025-05-21 11:33:26)
ALICE:10/22玉山銀行匯入USD6469沖PI-20190905A USD495.PI-20190905A-F USD45.PI-20190902A 5929合計總沖USD6469</t>
      </text>
    </comment>
    <comment authorId="0" ref="L865">
      <text>
        <t xml:space="preserve">======
ID#AAABjx7qS7w
    (2025-05-21 11:33:26)
chloe
1028: 原先告知10/30
1104: 尚未告知MOXA！！原倉庫(木新路)收貨至11/14止，11/15暫停收貨 ，
11/18之後送貨請送至新倉庫:新北市新店區寶橋路235巷118號2AF</t>
      </text>
    </comment>
    <comment authorId="0" ref="E704">
      <text>
        <t xml:space="preserve">======
ID#AAABjx7qS78
    (2025-05-21 11:33:26)
EU電源</t>
      </text>
    </comment>
    <comment authorId="0" ref="S303">
      <text>
        <t xml:space="preserve">======
ID#AAABjx7qS7s
    (2025-05-21 11:33:26)
Chloe:銀行手續費，成本會出現在當時水單上</t>
      </text>
    </comment>
    <comment authorId="0" ref="H537">
      <text>
        <t xml:space="preserve">======
ID#AAABjx7qS7A
    (2025-05-21 11:33:26)
ALICE:7/15-匯入28508沖17968元整，客戶多付10540(CATHY回覆沖之後的帳款)</t>
      </text>
    </comment>
    <comment authorId="0" ref="L48">
      <text>
        <t xml:space="preserve">======
ID#AAABjx7qS64
1220 chloe    (2025-05-21 11:33:26)
1)宸耀出貨18台
2)倉庫2台→請洽Chloe</t>
      </text>
    </comment>
    <comment authorId="0" ref="AJ1">
      <text>
        <t xml:space="preserve">======
ID#AAABjx7qS6k
    (2025-05-21 11:33:26)
匯出手續費(客戶端銀行匯出)
匯入手續費(公司銀行匯入)</t>
      </text>
    </comment>
    <comment authorId="0" ref="K851">
      <text>
        <t xml:space="preserve">======
ID#AAABjx7qS6U
    (2025-05-21 11:33:26)
1126 YVONNE:SAN同意先放貨</t>
      </text>
    </comment>
    <comment authorId="0" ref="S636">
      <text>
        <t xml:space="preserve">======
ID#AAABjx7qS54
    (2025-05-21 11:33:26)
0604 chloe:參考庫存表0522平均庫存成本</t>
      </text>
    </comment>
    <comment authorId="0" ref="H916">
      <text>
        <t xml:space="preserve">======
ID#AAABjx7qS5w
    (2025-05-21 11:33:26)
在此輸入
12/12-因PI-20191112002原訂單總額USD4818後來改價為USD4686故多收的USD132拿來沖PI-20191122001 USD132 故USD61中餘尚USD44未收
12/25老大mail未收usd44直接手續費作掉沖銷</t>
      </text>
    </comment>
    <comment authorId="0" ref="H452">
      <text>
        <t xml:space="preserve">======
ID#AAABjx7qS5g
    (2025-05-21 11:33:26)
alice:6/14-玉山匯入USD1346-手續費31.36=USD1314.64*31.47</t>
      </text>
    </comment>
    <comment authorId="0" ref="H133">
      <text>
        <t xml:space="preserve">======
ID#AAABjx7qS5M
    (2025-05-21 11:33:26)
ALICE:2019/05/02-水單匯入USD21462.5</t>
      </text>
    </comment>
    <comment authorId="0" ref="X2">
      <text>
        <t xml:space="preserve">======
ID#AAABjx7qS5I
    (2025-05-21 11:33:26)
發票已給會計</t>
      </text>
    </comment>
    <comment authorId="0" ref="N731">
      <text>
        <t xml:space="preserve">======
ID#AAABjx7qS4Y
    (2025-05-21 11:33:26)
0916YVONNE下單</t>
      </text>
    </comment>
    <comment authorId="0" ref="H614">
      <text>
        <t xml:space="preserve">======
ID#AAABjx7qS4I
    (2025-05-21 11:33:26)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317">
      <text>
        <t xml:space="preserve">======
ID#AAABjx7qS3s
    (2025-05-21 11:33:26)
ALICE:6/10--黃山ATM轉入18788</t>
      </text>
    </comment>
    <comment authorId="0" ref="L635">
      <text>
        <t xml:space="preserve">======
ID#AAABjx7qS3w
    (2025-05-21 11:33:26)
待貨款匯入方可拉貨進入</t>
      </text>
    </comment>
    <comment authorId="0" ref="H437">
      <text>
        <t xml:space="preserve">======
ID#AAABjx7qS3Q
    (2025-05-21 11:33:26)
ALICE:7/11水單匯入USD14058沖PI-20190515A</t>
      </text>
    </comment>
    <comment authorId="0" ref="H534">
      <text>
        <t xml:space="preserve">======
ID#AAABjx7qS3M
    (2025-05-21 11:33:26)
ALICE:8/27玉山銀行匯入USD9443沖PI-20190604A.PI-20190628A.PI-20190604A-F合計共USD9443元整</t>
      </text>
    </comment>
    <comment authorId="0" ref="K642">
      <text>
        <t xml:space="preserve">======
ID#AAABjx7qS2s
    (2025-05-21 11:33:26)
在此輸入
0821 CATHY : 客人希望2W交貨(不然可能canel order)，待交期確認後，就請客人先匯款
0826 Cathy : 客人告知預計9/2匯款，請如期出貨 
0902YVONNE:待客戶匯款後出貨</t>
      </text>
    </comment>
    <comment authorId="0" ref="AI438">
      <text>
        <t xml:space="preserve">======
ID#AAABjx7qS2o
    (2025-05-21 11:33:26)
ALICE:5/30水單匯入USD3743.66*31.57 (手續費USD6.34*31.57)</t>
      </text>
    </comment>
    <comment authorId="0" ref="J710">
      <text>
        <t xml:space="preserve">======
ID#AAABjx7qS2A
    (2025-05-21 11:33:26)
Forwarder Details: -
FETA FREIGHT SYSTEMS (TAIWAN ) LTD. 
JUDY KAO 
 Tel: +886-3-399-2033 EXT: 135
Direct: +886-3-3992106
Fax: +886-3-3992036/2055
E-mail: judykao@ffsi.com.tw
Skype:judykao-mlattao</t>
      </text>
    </comment>
    <comment authorId="0" ref="H169">
      <text>
        <t xml:space="preserve">======
ID#AAABjx7qS2E
    (2025-05-21 11:33:26)
0322 chloe:匯入US8750</t>
      </text>
    </comment>
    <comment authorId="0" ref="E611">
      <text>
        <t xml:space="preserve">======
ID#AAABjx7qS1U
    (2025-05-21 11:33:26)
0724  chloe: w/o adapter</t>
      </text>
    </comment>
    <comment authorId="0" ref="L522">
      <text>
        <t xml:space="preserve">======
ID#AAABjx7qS04
    (2025-05-21 11:33:26)
0621  chloe:已通知Shipping留意客供料進口時間
0718 chloe: 告知曦立預計8月初
0820 Cathy: 客人告知display delay</t>
      </text>
    </comment>
    <comment authorId="0" ref="K826">
      <text>
        <t xml:space="preserve">======
ID#AAABjx7qS00
    (2025-05-21 11:33:26)
10/30 cathy:通知客人交期11/4 or 11/5
1028 chloe: 原先告知10/30</t>
      </text>
    </comment>
    <comment authorId="0" ref="N186">
      <text>
        <t xml:space="preserve">======
ID#AAABjx7qS0g
    (2025-05-21 11:33:26)
2/21 Tammy
客人訂單還未簽回，請暫停進料及備料
3/6 Bruce:
Tammy通知可繼續生產</t>
      </text>
    </comment>
    <comment authorId="0" ref="H665">
      <text>
        <t xml:space="preserve">======
ID#AAABjx7qS0c
    (2025-05-21 11:33:26)
ALICE:10/9-玉山匯入USD700-手續費USD24.49=USD673.51沖PI-20190821A USD700元整</t>
      </text>
    </comment>
    <comment authorId="0" ref="L564">
      <text>
        <t xml:space="preserve">======
ID#AAABjx7qS0Y
    (2025-05-21 11:33:26)
1104yvonne:tammy通知客戶急需，提前至11/15到我司。</t>
      </text>
    </comment>
    <comment authorId="0" ref="H930">
      <text>
        <t xml:space="preserve">======
ID#AAABjx7qS0Q
    (2025-05-21 11:33:26)
ALICE:2/24一銀收到USD12104沖PI-20191127001 USD6784+PI-20191104001 USD2014+PI-20191213001 USD3306</t>
      </text>
    </comment>
    <comment authorId="0" ref="N352">
      <text>
        <t xml:space="preserve">======
ID#AAABjx7qS0E
    (2025-05-21 11:33:26)
0422 chloe:入庫10 PCS，剩餘3PCS請入庫</t>
      </text>
    </comment>
    <comment authorId="0" ref="H214">
      <text>
        <t xml:space="preserve">======
ID#AAABjx7qS0A
    (2025-05-21 11:33:26)
ALICE:2019/04/08-收到水單USD31764-手續費USD12=USD31752
詳4/8-客戶回覆沖帳明細mail(12540+944+2010+5770+10500=31764)</t>
      </text>
    </comment>
    <comment authorId="0" ref="H727">
      <text>
        <t xml:space="preserve">======
ID#AAABjx7qSz4
    (2025-05-21 11:33:26)
ALICE:9/12玉山水單匯入USD1463沖PI-20190910C USD1463元整</t>
      </text>
    </comment>
    <comment authorId="0" ref="Q310">
      <text>
        <t xml:space="preserve">======
ID#AAABjx7qSzc
    (2025-05-21 11:33:26)
R:30.82</t>
      </text>
    </comment>
    <comment authorId="0" ref="I586">
      <text>
        <t xml:space="preserve">======
ID#AAABjx7qSzg
    (2025-05-21 11:33:26)
Cathy/Santiago</t>
      </text>
    </comment>
    <comment authorId="0" ref="H728">
      <text>
        <t xml:space="preserve">======
ID#AAABjx7qSzY
    (2025-05-21 11:33:26)
ALICE:9/12玉山水單匯入USD1463沖PI-20190910C USD1463元整</t>
      </text>
    </comment>
    <comment authorId="0" ref="S56">
      <text>
        <t xml:space="preserve">======
ID#AAABjx7qSzE
    (2025-05-21 11:33:26)
PO-20180514A -3 已付款</t>
      </text>
    </comment>
    <comment authorId="0" ref="D388">
      <text>
        <t xml:space="preserve">======
ID#AAABjx7qSyk
    (2025-05-21 11:33:26)
0426 已mail倉管提供物料</t>
      </text>
    </comment>
    <comment authorId="0" ref="H657">
      <text>
        <t xml:space="preserve">======
ID#AAABjx7qSyY
    (2025-05-21 11:33:26)
ALICE:9/26玉山銀行匯入USD1212元整，沖PI-20190819A USD1092，沖PI-20190814C USD120</t>
      </text>
    </comment>
    <comment authorId="0" ref="H526">
      <text>
        <t xml:space="preserve">======
ID#AAABjx7qSyU
    (2025-05-21 11:33:26)
6/14-預收USD1403
6/28-銀行匯入USD6257 與6/14合計共7660，PI為7670故尚餘USD10元未收與chloe確認轉手續費處理</t>
      </text>
    </comment>
    <comment authorId="0" ref="N601">
      <text>
        <t xml:space="preserve">======
ID#AAABjx7qSyI
    (2025-05-21 11:33:26)
Chloe 1111 : 20(訂貨數量)
-4(實際貼膜)=16
※此單 (4 PCS*350)*1.05=1470</t>
      </text>
    </comment>
    <comment authorId="0" ref="J796">
      <text>
        <t xml:space="preserve">======
ID#AAABjx7qSxc
    (2025-05-21 11:33:26)
using UPS express then</t>
      </text>
    </comment>
    <comment authorId="0" ref="H608">
      <text>
        <t xml:space="preserve">======
ID#AAABjx7qSxU
    (2025-05-21 11:33:26)
ALICE:8/27-玉山匯入USD1544元整，沖PI-20190722C USD1544</t>
      </text>
    </comment>
    <comment authorId="0" ref="L847">
      <text>
        <t xml:space="preserve">======
ID#AAABjx7qSxE
    (2025-05-21 11:33:26)
Chloe 1106: MOXA回覆交期，有可能會延遲兩天</t>
      </text>
    </comment>
    <comment authorId="0" ref="H886">
      <text>
        <t xml:space="preserve">======
ID#AAABjx7qSww
    (2025-05-21 11:33:26)
ALICE:2020/01/10-SA匯入USD37024-沖PI-20191108001 (5904+2010+440+20104+950+6270)+1346(12600中的1346)=USD37024</t>
      </text>
    </comment>
    <comment authorId="0" ref="N490">
      <text>
        <t xml:space="preserve">======
ID#AAABjx7qSwo
    (2025-05-21 11:33:26)
6/5 cathy 下單</t>
      </text>
    </comment>
    <comment authorId="0" ref="D826">
      <text>
        <t xml:space="preserve">======
ID#AAABjx7qSws
    (2025-05-21 11:33:26)
10/16 cathy 請tammy 協助下單</t>
      </text>
    </comment>
    <comment authorId="0" ref="S596">
      <text>
        <t xml:space="preserve">======
ID#AAABjx7qSwk
    (2025-05-21 11:33:26)
客供料，無成本</t>
      </text>
    </comment>
    <comment authorId="0" ref="L10">
      <text>
        <t xml:space="preserve">======
ID#AAABjx7qSwc
    (2025-05-21 11:33:26)
1114 chloe
6 PCS 在Chloe 手上
1126 Cindy: 機車快遞寄超恩20pcs</t>
      </text>
    </comment>
    <comment authorId="0" ref="D713">
      <text>
        <t xml:space="preserve">======
ID#AAABjx7qSwI
    (2025-05-21 11:33:26)
在此輸入
0909 客人待O/A肯放USD 10000 才要下單
1001 告知改由Aditeh付款</t>
      </text>
    </comment>
    <comment authorId="0" ref="N593">
      <text>
        <t xml:space="preserve">======
ID#AAABjx7qSvg
    (2025-05-21 11:33:26)
0917 chloe:已先告知曦立排單</t>
      </text>
    </comment>
    <comment authorId="0" ref="P624">
      <text>
        <t xml:space="preserve">======
ID#AAABjx7qSvc
    (2025-05-21 11:33:26)
專案價</t>
      </text>
    </comment>
    <comment authorId="0" ref="AJ241">
      <text>
        <t xml:space="preserve">======
ID#AAABjx7qSvY
    (2025-05-21 11:33:26)
ALICE:2019/04/30-銀行通知電文USD3780元整</t>
      </text>
    </comment>
    <comment authorId="0" ref="L377">
      <text>
        <t xml:space="preserve">======
ID#AAABjx7qSvE
    (2025-05-21 11:33:26)
0422 Tammy 告知 與4/29貨一起走</t>
      </text>
    </comment>
    <comment authorId="0" ref="D533">
      <text>
        <t xml:space="preserve">======
ID#AAABjx7qSu4
    (2025-05-21 11:33:26)
0626 通知Tammy 下單</t>
      </text>
    </comment>
    <comment authorId="0" ref="R495">
      <text>
        <t xml:space="preserve">======
ID#AAABjx7qSuo
    (2025-05-21 11:33:26)
銀行手續費</t>
      </text>
    </comment>
    <comment authorId="0" ref="H113">
      <text>
        <t xml:space="preserve">======
ID#AAABjx7qSug
    (2025-05-21 11:33:26)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387">
      <text>
        <t xml:space="preserve">======
ID#AAABjx7qSuY
    (2025-05-21 11:33:26)
5/28-收到芳慎支票 5/30-AK4244782台銀松江  金額3541元整</t>
      </text>
    </comment>
    <comment authorId="0" ref="H401">
      <text>
        <t xml:space="preserve">======
ID#AAABjx7qSuQ
    (2025-05-21 11:33:26)
Alice:2019/05/16-收到銀行合庫匯入通知NT194,325元整(沖PI-20190502C.PI-20190507A)手續費0</t>
      </text>
    </comment>
    <comment authorId="0" ref="H684">
      <text>
        <t xml:space="preserve">======
ID#AAABjx7qSuI
    (2025-05-21 11:33:26)
ALICE:10/22玉山銀行匯入USD6469沖PI-20190905A USD495.PI-20190905A-F USD45.PI-20190902A 5929合計總沖USD6469</t>
      </text>
    </comment>
    <comment authorId="0" ref="H227">
      <text>
        <t xml:space="preserve">======
ID#AAABjx7qSuE
    (2025-05-21 11:33:26)
ALICE:2019/04/12水單USD11670*30.81(3035+135+5420+2730+310+40)</t>
      </text>
    </comment>
    <comment authorId="0" ref="L70">
      <text>
        <t xml:space="preserve">======
ID#AAABjx7qSt0
    (2025-05-21 11:33:26)
190109: Karen: MOXA直接出到IBASE
190215: 己由IBASE寄回, 也寄回到MOXA銷退
190221 Karen: 重新下單CP-132EL-I-DB9M</t>
      </text>
    </comment>
    <comment authorId="0" ref="N343">
      <text>
        <t xml:space="preserve">======
ID#AAABjx7qSts
    (2025-05-21 11:33:26)
0408 Cathy 下單</t>
      </text>
    </comment>
    <comment authorId="0" ref="L921">
      <text>
        <t xml:space="preserve">======
ID#AAABjx7qSs8
    (2025-05-21 11:33:26)
191128 內含的CBL-M25M9x2-50,要請Bank依客人的pin define重工
1206yvonne: 到貨已交給BANK。</t>
      </text>
    </comment>
    <comment authorId="0" ref="L220">
      <text>
        <t xml:space="preserve">======
ID#AAABjx7qSss
    (2025-05-21 11:33:26)
0227 Cathy: 交期提前,原交期3/27</t>
      </text>
    </comment>
    <comment authorId="0" ref="D327">
      <text>
        <t xml:space="preserve">======
ID#AAABjx7qSsw
    (2025-05-21 11:33:26)
3026 葛:客供剩料75</t>
      </text>
    </comment>
    <comment authorId="0" ref="N168">
      <text>
        <t xml:space="preserve">======
ID#AAABjx7qSsQ
    (2025-05-21 11:33:26)
0211下單
交期暫押2/19</t>
      </text>
    </comment>
    <comment authorId="0" ref="H907">
      <text>
        <t xml:space="preserve">======
ID#AAABjx7qSsA
    (2025-05-21 11:33:26)
ALICE:1/30一銀收到KH匯入USD2352(內含手續費USD26.62)沖PI-20191115001 USD709+PI-20191115002 USD75+PI-20191120002 USD150+PI-20191123002 USD870+PI-20191224001 USD411+PI-20191216001 USD137)</t>
      </text>
    </comment>
    <comment authorId="0" ref="H319">
      <text>
        <t xml:space="preserve">======
ID#AAABjx7qSrg
    (2025-05-21 11:33:26)
alice:5/10-水單通知usd3751-匯出手續費20-匯入手續費6.46=USD3724.54*30.94=NT115,237元整
沖20190320B USD1270
沖20190322A USD2481
合計總沖USD3751元整</t>
      </text>
    </comment>
    <comment authorId="0" ref="N756">
      <text>
        <t xml:space="preserve">======
ID#AAABjx7qSrk
    (2025-05-21 11:33:26)
0926 chloe Pull in 中</t>
      </text>
    </comment>
    <comment authorId="0" ref="H265">
      <text>
        <t xml:space="preserve">======
ID#AAABjx7qSrc
    (2025-05-21 11:33:26)
ALICE:10/21玉山銀行匯入USD4250沖PI-20190227F USD4250</t>
      </text>
    </comment>
    <comment authorId="0" ref="N149">
      <text>
        <t xml:space="preserve">======
ID#AAABjx7qSrI
    (2025-05-21 11:33:26)
0128下單</t>
      </text>
    </comment>
    <comment authorId="0" ref="J360">
      <text>
        <t xml:space="preserve">======
ID#AAABjx7qSq8
    (2025-05-21 11:33:26)
190411 但未知FEDEX服務，出貨前再確認
190506 Fedex Intl. Economy</t>
      </text>
    </comment>
    <comment authorId="0" ref="X125">
      <text>
        <t xml:space="preserve">======
ID#AAABjx7qSq4
    (2025-05-21 11:33:26)
匯率30.685
TOTAL:25582.2</t>
      </text>
    </comment>
    <comment authorId="0" ref="H307">
      <text>
        <t xml:space="preserve">======
ID#AAABjx7qSqw
    (2025-05-21 11:33:26)
ALICE:5/3收到USD12965.5(沖PI-20190121B.PI20190217A.PI-20190131C.PI-20190313A.PI-20190306A)</t>
      </text>
    </comment>
    <comment authorId="0" ref="K414">
      <text>
        <t xml:space="preserve">======
ID#AAABjx7qSqo
    (2025-05-21 11:33:26)
Customer request shipment asap.  Please help what we can do.  Thanks.</t>
      </text>
    </comment>
    <comment authorId="0" ref="E55">
      <text>
        <t xml:space="preserve">======
ID#AAABjx7qSqc
    (2025-05-21 11:33:26)
在此輸入
vecow offer 195
Jetone 只有i5-8500 at $218</t>
      </text>
    </comment>
    <comment authorId="0" ref="S14">
      <text>
        <t xml:space="preserve">======
ID#AAABjx7qSqU
    (2025-05-21 11:33:26)
同P10</t>
      </text>
    </comment>
    <comment authorId="0" ref="H881">
      <text>
        <t xml:space="preserve">======
ID#AAABjx7qSp0
    (2025-05-21 11:33:26)
ALICE:2020/01/10-SA匯入USD37024-沖PI-20191108001 (5904+2010+440+20104+950+6270)+1346(12600中的1346)=USD37024</t>
      </text>
    </comment>
    <comment authorId="0" ref="L103">
      <text>
        <t xml:space="preserve">======
ID#AAABjx7qSpk
    (2025-05-21 11:33:26)
在此輸入
0219 Cathy: 原delay 交期2/21,現回覆交期2/27(補償:快遞費用不收取)
0213 cathy: 原交期2/14, 廠商通知延後2/21進</t>
      </text>
    </comment>
    <comment authorId="0" ref="AJ207">
      <text>
        <t xml:space="preserve">======
ID#AAABjx7qSpY
    (2025-05-21 11:33:26)
Alice:2019/05/08水單匯入USD12400-匯款手續費(10+6.47)*30.9=NT382,651</t>
      </text>
    </comment>
    <comment authorId="0" ref="J910">
      <text>
        <t xml:space="preserve">======
ID#AAABjx7qSpE
    (2025-05-21 11:33:26)
客人自取</t>
      </text>
    </comment>
    <comment authorId="0" ref="H878">
      <text>
        <t xml:space="preserve">======
ID#AAABjx7qSo4
    (2025-05-21 11:33:26)
ALICE:1/15一銀收到USD8853(內含手續費USD53.7)沖PI-20191029002 USD4275+PI-20191029003 USD2235+PI-20191029004 USD1988+PI-20191105002 USD355</t>
      </text>
    </comment>
    <comment authorId="0" ref="H383">
      <text>
        <t xml:space="preserve">======
ID#AAABjx7qSog
    (2025-05-21 11:33:26)
ALICE:6/19-合庫匯入NT188769元整</t>
      </text>
    </comment>
    <comment authorId="0" ref="K303">
      <text>
        <t xml:space="preserve">======
ID#AAABjx7qSok
    (2025-05-21 11:33:26)
0325 Cathy:客人無回應是否要與新訂單一併出貨，尚未收到運費</t>
      </text>
    </comment>
    <comment authorId="0" ref="H667">
      <text>
        <t xml:space="preserve">======
ID#AAABjx7qSoM
    (2025-05-21 11:33:26)
ALICE:10/25-新漢匯入合庫NT46584手續費15</t>
      </text>
    </comment>
    <comment authorId="0" ref="H249">
      <text>
        <t xml:space="preserve">======
ID#AAABjx7qSoI
    (2025-05-21 11:33:26)
ALICE:6/17水單匯入USD16108 沖PI-20190227B 8500，沖PI-20190409A 7608</t>
      </text>
    </comment>
    <comment authorId="0" ref="H95">
      <text>
        <t xml:space="preserve">======
ID#AAABjx7qSnk
    (2025-05-21 11:33:26)
0227 chloe:匯款匯入US4578</t>
      </text>
    </comment>
    <comment authorId="0" ref="AJ13">
      <text>
        <t xml:space="preserve">======
ID#AAABjx7qSnY
    (2025-05-21 11:33:26)
ALICE:2019/05/02-水單匯入USD21462.5-(匯出手續費USD10+匯入手續費USD10.73)=USD21441.77*30.84=NT661264</t>
      </text>
    </comment>
    <comment authorId="0" ref="N287">
      <text>
        <t xml:space="preserve">======
ID#AAABjx7qSnQ
    (2025-05-21 11:33:26)
0306 Cathy 下單</t>
      </text>
    </comment>
    <comment authorId="0" ref="L754">
      <text>
        <t xml:space="preserve">======
ID#AAABjx7qSnA
    (2025-05-21 11:33:26)
Chloe 1106: MOXA回覆交期，有可能會延遲兩天</t>
      </text>
    </comment>
    <comment authorId="0" ref="R484">
      <text>
        <t xml:space="preserve">======
ID#AAABjx7qSm8
    (2025-05-21 11:33:26)
0604 chloe:參考庫存表0522平均庫存成本</t>
      </text>
    </comment>
    <comment authorId="0" ref="H663">
      <text>
        <t xml:space="preserve">======
ID#AAABjx7qSmU
    (2025-05-21 11:33:26)
ALICE:9/27玉山銀行匯入USD3962元整，沖PI-2190820A 應收USD3962實收3922差額USD40元(手續費)</t>
      </text>
    </comment>
    <comment authorId="0" ref="D612">
      <text>
        <t xml:space="preserve">======
ID#AAABjx7qSmI
    (2025-05-21 11:33:26)
7/23 Amy: COC requested together with shipment/ PO Number indicated on each shipping documents / Invoice &amp; Packing list together with shipment</t>
      </text>
    </comment>
    <comment authorId="0" ref="L844">
      <text>
        <t xml:space="preserve">======
ID#AAABjx7qSmA
    (2025-05-21 11:33:26)
1119 chloe:  11/20 AG TOUCH 送曦立 IQC</t>
      </text>
    </comment>
    <comment authorId="0" ref="E199">
      <text>
        <t xml:space="preserve">======
ID#AAABjx7qSlw
    (2025-05-21 11:33:26)
自製品DRAM-TS512MSK64W6H戎克料號13-TS0-D30N004-001A</t>
      </text>
    </comment>
    <comment authorId="0" ref="H905">
      <text>
        <t xml:space="preserve">======
ID#AAABjx7qSlg
    (2025-05-21 11:33:26)
Alice:11/14電文通知匯入USD1676 沖PI-20191114002 USD1676 待銀行水單沖帳</t>
      </text>
    </comment>
    <comment authorId="0" ref="E193">
      <text>
        <t xml:space="preserve">======
ID#AAABjx7qSlM
    (2025-05-21 11:33:26)
自製品SSD-TS32GSSD420K ，戎克料號:14-TS0-SDMN032-001A</t>
      </text>
    </comment>
    <comment authorId="0" ref="G571">
      <text>
        <t xml:space="preserve">======
ID#AAABjx7qSk4
    (2025-05-21 11:33:26)
190718 Tammy: w/5%</t>
      </text>
    </comment>
    <comment authorId="0" ref="K593">
      <text>
        <t xml:space="preserve">======
ID#AAABjx7qSk8
    (2025-05-21 11:33:26)
1004跟客人確認交期 
10/14客人希望星期四收到</t>
      </text>
    </comment>
    <comment authorId="0" ref="G285">
      <text>
        <t xml:space="preserve">======
ID#AAABjx7qSkw
    (2025-05-21 11:33:26)
190303 w/5% VAT</t>
      </text>
    </comment>
    <comment authorId="0" ref="H279">
      <text>
        <t xml:space="preserve">======
ID#AAABjx7qSkQ
    (2025-05-21 11:33:26)
ALICE:2019/04/08-水單匯入USD31764-手續費USD12元=USD31752
詳4/8-客戶MAIL沖帳明細(12540+944+2010+5770+10500=31764)</t>
      </text>
    </comment>
    <comment authorId="0" ref="H887">
      <text>
        <t xml:space="preserve">======
ID#AAABjx7qSkI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H10">
      <text>
        <t xml:space="preserve">======
ID#AAABjx7qSkE
    (2025-05-21 11:33:26)
ALICE:2019/05/02-水單匯入USD21462.5</t>
      </text>
    </comment>
    <comment authorId="0" ref="E2">
      <text>
        <t xml:space="preserve">======
ID#AAABjx7qSjo
    (2025-05-21 11:33:26)
1119 chloe:4U機箱使用</t>
      </text>
    </comment>
    <comment authorId="0" ref="E59">
      <text>
        <t xml:space="preserve">======
ID#AAABjx7qSjY
    (2025-05-21 11:33:26)
1224 chloe:樣品庫存</t>
      </text>
    </comment>
    <comment authorId="0" ref="N513">
      <text>
        <t xml:space="preserve">======
ID#AAABjx7qSjQ
    (2025-05-21 11:33:26)
0614 Cathy 下單</t>
      </text>
    </comment>
    <comment authorId="0" ref="H304">
      <text>
        <t xml:space="preserve">======
ID#AAABjx7qSjA
    (2025-05-21 11:33:26)
0328 chloe:匯款匯入US28</t>
      </text>
    </comment>
    <comment authorId="0" ref="I601">
      <text>
        <t xml:space="preserve">======
ID#AAABjx7qSi8
    (2025-05-21 11:33:26)
Cathy/Santiago</t>
      </text>
    </comment>
    <comment authorId="0" ref="M150">
      <text>
        <t xml:space="preserve">======
ID#AAABjx7qSi0
    (2025-05-21 11:33:26)
0130 chloe:</t>
      </text>
    </comment>
    <comment authorId="0" ref="H514">
      <text>
        <t xml:space="preserve">======
ID#AAABjx7qSi4
    (2025-05-21 11:33:26)
ALICE:6/20銀行匯入USD328</t>
      </text>
    </comment>
    <comment authorId="0" ref="K519">
      <text>
        <t xml:space="preserve">======
ID#AAABjx7qSis
    (2025-05-21 11:33:26)
O/A超支，已通知業務。</t>
      </text>
    </comment>
    <comment authorId="0" ref="H653">
      <text>
        <t xml:space="preserve">======
ID#AAABjx7qSig
    (2025-05-21 11:33:26)
ALICE:8/23玉山銀行匯入USD1245沖PI-20190815B USD1245元整</t>
      </text>
    </comment>
    <comment authorId="0" ref="N400">
      <text>
        <t xml:space="preserve">======
ID#AAABjx7qSiY
    (2025-05-21 11:33:26)
在此輸入
在此輸入
0503 Cathy 下單
0610 kevin 告知ic EOL 故預計於6月中提供通知書給AMY 與客人解釋，沒有Solution</t>
      </text>
    </comment>
    <comment authorId="0" ref="L562">
      <text>
        <t xml:space="preserve">======
ID#AAABjx7qSiE
    (2025-05-21 11:33:26)
1104yvonne:tammy通知客戶急需，提前至11/15到我司。</t>
      </text>
    </comment>
    <comment authorId="0" ref="L653">
      <text>
        <t xml:space="preserve">======
ID#AAABjx7qSiA
    (2025-05-21 11:33:26)
0926 chloe: 回覆10/7 ，Pull IN 中</t>
      </text>
    </comment>
    <comment authorId="0" ref="N178">
      <text>
        <t xml:space="preserve">======
ID#AAABjx7qShI
    (2025-05-21 11:33:26)
0213 Cathy下單</t>
      </text>
    </comment>
    <comment authorId="0" ref="D475">
      <text>
        <t xml:space="preserve">======
ID#AAABjx7qShM
    (2025-05-21 11:33:26)
0603 通知Tammy下單</t>
      </text>
    </comment>
    <comment authorId="0" ref="K568">
      <text>
        <t xml:space="preserve">======
ID#AAABjx7qShE
    (2025-05-21 11:33:26)
190718 Tammy: 發票寄出前，請先提供確認，謝謝。</t>
      </text>
    </comment>
    <comment authorId="0" ref="H135">
      <text>
        <t xml:space="preserve">======
ID#AAABjx7qSg0
    (2025-05-21 11:33:26)
ALICE:2019/05/02-水單匯入USD21462.5</t>
      </text>
    </comment>
    <comment authorId="0" ref="N539">
      <text>
        <t xml:space="preserve">======
ID#AAABjx7qSgQ
    (2025-05-21 11:33:26)
20190703143513-0001</t>
      </text>
    </comment>
    <comment authorId="0" ref="H611">
      <text>
        <t xml:space="preserve">======
ID#AAABjx7qSfs
    (2025-05-21 11:33:26)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207">
      <text>
        <t xml:space="preserve">======
ID#AAABjx7qSfo
    (2025-05-21 11:33:26)
Alice:2019/05/08水單匯入USD12400-匯款手續費(10+6.47)*30.9=NT382,651</t>
      </text>
    </comment>
    <comment authorId="0" ref="D799">
      <text>
        <t xml:space="preserve">======
ID#AAABjx7qSfI
    (2025-05-21 11:33:26)
10/3 請Chloe下單</t>
      </text>
    </comment>
    <comment authorId="0" ref="H55">
      <text>
        <t xml:space="preserve">======
ID#AAABjx7qSe0
    (2025-05-21 11:33:26)
alice:2019/05/17水單通知USD19768沖3/4A $1995.3/4A-1$4152.3/4A-1-F $232.3/8B-F $57.12/21A-2-F $144.3/4A-1 $189.10/22C-2 $10227.12/21A-1 $2772.如上總計共USD19768</t>
      </text>
    </comment>
    <comment authorId="0" ref="S660">
      <text>
        <t xml:space="preserve">======
ID#AAABjx7qSec
    (2025-05-21 11:33:26)
0604 chloe:參考庫存表0522平均庫存成本</t>
      </text>
    </comment>
    <comment authorId="0" ref="N185">
      <text>
        <t xml:space="preserve">======
ID#AAABjx7qSeU
    (2025-05-21 11:33:26)
2/21 Tammy
客人訂單還未簽回，請暫停進料及備料
3/6 Bruce:
Tammy通知可繼續生產</t>
      </text>
    </comment>
    <comment authorId="0" ref="K905">
      <text>
        <t xml:space="preserve">======
ID#AAABjx7qSd0
    (2025-05-21 11:33:26)
1114 cathy 客人指定出貨時間</t>
      </text>
    </comment>
    <comment authorId="0" ref="K947">
      <text>
        <t xml:space="preserve">======
ID#AAABjx7qSdo
    (2025-05-21 11:33:26)
1213 chloe: 通知可能會到一月中出貨</t>
      </text>
    </comment>
    <comment authorId="0" ref="G317">
      <text>
        <t xml:space="preserve">======
ID#AAABjx7qSc4
    (2025-05-21 11:33:26)
190321 w/5% VAT</t>
      </text>
    </comment>
    <comment authorId="0" ref="H475">
      <text>
        <t xml:space="preserve">======
ID#AAABjx7qSc0
    (2025-05-21 11:33:26)
ALICE:7/19-電文匯入USD16000元整，沖PI-20190603A USD10450+236+2308+3006(4850中的)</t>
      </text>
    </comment>
    <comment authorId="0" ref="L818">
      <text>
        <t xml:space="preserve">======
ID#AAABjx7qSck
    (2025-05-21 11:33:26)
Chloe 1106: MOXA回覆交期，有可能會延遲兩天</t>
      </text>
    </comment>
    <comment authorId="0" ref="H369">
      <text>
        <t xml:space="preserve">======
ID#AAABjx7qScg
    (2025-05-21 11:33:26)
alice:2019/05/14電文通知USD16645沖(PI20190418C 金額總計15865+PI20190218A 4850中的(780)</t>
      </text>
    </comment>
    <comment authorId="0" ref="H181">
      <text>
        <t xml:space="preserve">======
ID#AAABjx7qScY
    (2025-05-21 11:33:26)
0327 chloe:匯款匯入US4578-6.51(手續費)</t>
      </text>
    </comment>
    <comment authorId="0" ref="H960">
      <text>
        <t xml:space="preserve">======
ID#AAABjx7qScQ
    (2025-05-21 11:33:26)
ALICE:1/30一銀收到KH匯入USD2352(內含手續費USD26.62)沖PI-20191115001 USD709+PI-20191115002 USD75+PI-20191120002 USD150+PI-20191123002 USD870+PI-20191224001 USD411+PI-20191216001 USD137)</t>
      </text>
    </comment>
    <comment authorId="0" ref="H230">
      <text>
        <t xml:space="preserve">======
ID#AAABjx7qSbw
    (2025-05-21 11:33:26)
ALICE:2019/04/12水單USD11670*30.81(3035+135+5420+2730+310+40)</t>
      </text>
    </comment>
    <comment authorId="0" ref="K416">
      <text>
        <t xml:space="preserve">======
ID#AAABjx7qSbs
    (2025-05-21 11:33:26)
Customer request shipment asap.  Please help what we can do.  Thanks.</t>
      </text>
    </comment>
    <comment authorId="0" ref="N182">
      <text>
        <t xml:space="preserve">======
ID#AAABjx7qSbc
    (2025-05-21 11:33:26)
2/21 Tammy
客人訂單還未簽回，請暫停進料及備料
3/6 Bruce:
Tammy通知可繼續生產</t>
      </text>
    </comment>
    <comment authorId="0" ref="D849">
      <text>
        <t xml:space="preserve">======
ID#AAABjx7qSbM
    (2025-05-21 11:33:26)
10/24 cathy:請yvonne 下單</t>
      </text>
    </comment>
    <comment authorId="0" ref="H299">
      <text>
        <t xml:space="preserve">======
ID#AAABjx7qSa8
    (2025-05-21 11:33:26)
ALICE:5/3收到USD12965.5(沖PI-20190121B.PI20190217A.PI-20190131C.PI-20190313A.PI-20190306A)</t>
      </text>
    </comment>
    <comment authorId="0" ref="L585">
      <text>
        <t xml:space="preserve">======
ID#AAABjx7qSao
    (2025-05-21 11:33:26)
0724 chloe:貨到請通知Chloe
(準備送曦立貼合)
→0923 chloe: IQC告知只有 1PCS OK，其餘送回亞磊重工
0925YVONNE:大榮寄出15995542754 1PCS
10/18 cathy: Alan告知交期</t>
      </text>
    </comment>
    <comment authorId="0" ref="N706">
      <text>
        <t xml:space="preserve">======
ID#AAABjx7qSak
    (2025-05-21 11:33:26)
0905YVONNE下單</t>
      </text>
    </comment>
    <comment authorId="0" ref="N410">
      <text>
        <t xml:space="preserve">======
ID#AAABjx7qSaI
    (2025-05-21 11:33:26)
0508 Cathy 下單</t>
      </text>
    </comment>
    <comment authorId="0" ref="G1">
      <text>
        <t xml:space="preserve">======
ID#AAABjx7qSZ8
    (2025-05-21 11:33:26)
20181001 San: 美金
20190718 chloe:
單價- 
國內單價(含稅)
國外單價(不含稅)</t>
      </text>
    </comment>
    <comment authorId="0" ref="H244">
      <text>
        <t xml:space="preserve">======
ID#AAABjx7qSZ4
    (2025-05-21 11:33:26)
0403 chloe:匯款匯入247,928</t>
      </text>
    </comment>
    <comment authorId="0" ref="N449">
      <text>
        <t xml:space="preserve">======
ID#AAABjx7qSZs
    (2025-05-21 11:33:26)
0524 CATHY 下單</t>
      </text>
    </comment>
    <comment authorId="0" ref="K743">
      <text>
        <t xml:space="preserve">======
ID#AAABjx7qSZA
    (2025-05-21 11:33:26)
0926yvonne:0925收走</t>
      </text>
    </comment>
    <comment authorId="0" ref="H289">
      <text>
        <t xml:space="preserve">======
ID#AAABjx7qSYs
    (2025-05-21 11:33:26)
alice:2019/05/17水單通知USD19768沖3/4A $1995.3/4A-1$4152.3/4A-1-F $232.3/8B-F $57.12/21A-2-F $144.3/4A-1 $189.10/22C-2 $10227.12/21A-1 $2772.如上總計共USD19768</t>
      </text>
    </comment>
    <comment authorId="0" ref="AA206">
      <text>
        <t xml:space="preserve">======
ID#AAABjx7qSYk
    (2025-05-21 11:33:26)
1913EESWGZP</t>
      </text>
    </comment>
    <comment authorId="0" ref="H471">
      <text>
        <t xml:space="preserve">======
ID#AAABjx7qSYc
    (2025-05-21 11:33:26)
ALICE:8/5收到應收票據:到期日108/07/31票號CP0073500 金額26066元整+ 7/3預收11978元整=38044
沖PI-20190531B 25268+沖PI-20190613A 12804=38072 差額28元為寄支票郵資</t>
      </text>
    </comment>
    <comment authorId="0" ref="H593">
      <text>
        <t xml:space="preserve">======
ID#AAABjx7qSYA
    (2025-05-21 11:33:26)
ALICE:11/8玉山銀行收款USD2137沖PI-20190719B-3 USD1737+沖PI-20190719B-2 USD400=USD2137元整</t>
      </text>
    </comment>
    <comment authorId="0" ref="K401">
      <text>
        <t xml:space="preserve">======
ID#AAABjx7qSX0
    (2025-05-21 11:33:26)
貨交台灣
新北市汐止市合順街18巷23弄11號5摟</t>
      </text>
    </comment>
    <comment authorId="0" ref="D850">
      <text>
        <t xml:space="preserve">======
ID#AAABjx7qSXk
    (2025-05-21 11:33:26)
10/24 cathy:請yvonne 下單</t>
      </text>
    </comment>
    <comment authorId="0" ref="H891">
      <text>
        <t xml:space="preserve">======
ID#AAABjx7qSXE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H243">
      <text>
        <t xml:space="preserve">======
ID#AAABjx7qSWs
    (2025-05-21 11:33:26)
0403 chloe:匯款匯入247,928</t>
      </text>
    </comment>
    <comment authorId="0" ref="N588">
      <text>
        <t xml:space="preserve">======
ID#AAABjx7qSW0
    (2025-05-21 11:33:26)
0801 chloe: 0731 開案</t>
      </text>
    </comment>
    <comment authorId="0" ref="K885">
      <text>
        <t xml:space="preserve">======
ID#AAABjx7qSWk
    (2025-05-21 11:33:26)
11/8 cathy: 請告知可提供最快交期 
1223yvonne:Santiago同意放貨</t>
      </text>
    </comment>
    <comment authorId="0" ref="R479">
      <text>
        <t xml:space="preserve">======
ID#AAABjx7qSWc
    (2025-05-21 11:33:26)
PD-20190605A-2</t>
      </text>
    </comment>
    <comment authorId="0" ref="N437">
      <text>
        <t xml:space="preserve">======
ID#AAABjx7qSWM
    (2025-05-21 11:33:26)
0524 CATHY 下單</t>
      </text>
    </comment>
    <comment authorId="0" ref="G667">
      <text>
        <t xml:space="preserve">======
ID#AAABjx7qSWQ
    (2025-05-21 11:33:26)
w/5%VAT</t>
      </text>
    </comment>
    <comment authorId="0" ref="P600">
      <text>
        <t xml:space="preserve">======
ID#AAABjx7qSVc
    (2025-05-21 11:33:26)
20190522 戎克庫存平均成本</t>
      </text>
    </comment>
    <comment authorId="0" ref="AI221">
      <text>
        <t xml:space="preserve">======
ID#AAABjx7qSVM
    (2025-05-21 11:33:26)
ALICE:PI-20190219A訂單總額USD495，2019/02/25水單匯入USD488.5*30.76=NT15,026元整
，手續費USD6.5*30.76=NT200元整</t>
      </text>
    </comment>
    <comment authorId="0" ref="H801">
      <text>
        <t xml:space="preserve">======
ID#AAABjx7qSVE
    (2025-05-21 11:33:26)
ALICE:11/20一銀匯入USD5837沖PI-20190930A USD3945+PI-20191003A USD137+PI-20191005A USD1755</t>
      </text>
    </comment>
    <comment authorId="0" ref="D468">
      <text>
        <t xml:space="preserve">======
ID#AAABjx7qSU8
    (2025-05-21 11:33:26)
在此輸入
0530 已請Tammy 下單 ，客戶告知預計 5/31 匯款</t>
      </text>
    </comment>
    <comment authorId="0" ref="H26">
      <text>
        <t xml:space="preserve">======
ID#AAABjx7qSUs
    (2025-05-21 11:33:26)
0128 Mary: 匯款匯入 US$11,920(同H25)</t>
      </text>
    </comment>
    <comment authorId="0" ref="M28">
      <text>
        <t xml:space="preserve">======
ID#AAABjx7qSUc
    (2025-05-21 11:33:26)
20181219 預計12/26到新漢</t>
      </text>
    </comment>
    <comment authorId="0" ref="L43">
      <text>
        <t xml:space="preserve">======
ID#AAABjx7qSUQ
    (2025-05-21 11:33:26)
1220 chloe:由生管填上大約交期?</t>
      </text>
    </comment>
    <comment authorId="0" ref="L445">
      <text>
        <t xml:space="preserve">======
ID#AAABjx7qSUI
    (2025-05-21 11:33:26)
0521 chloe : 交由Yvonne</t>
      </text>
    </comment>
    <comment authorId="0" ref="S82">
      <text>
        <t xml:space="preserve">======
ID#AAABjx7qSUE
    (2025-05-21 11:33:26)
見BOM(含稅)
Chloe OK</t>
      </text>
    </comment>
    <comment authorId="0" ref="D942">
      <text>
        <t xml:space="preserve">======
ID#AAABjx7qSTc
    (2025-05-21 11:33:26)
San: 只附3M 膠給客戶就好. 因為膠帶是要貼在LCD上. 非Touch</t>
      </text>
    </comment>
    <comment authorId="0" ref="K553">
      <text>
        <t xml:space="preserve">======
ID#AAABjx7qSTQ
    (2025-05-21 11:33:26)
0722 Santiago同意先出貨。</t>
      </text>
    </comment>
    <comment authorId="0" ref="H191">
      <text>
        <t xml:space="preserve">======
ID#AAABjx7qSTA
    (2025-05-21 11:33:26)
ALICE:5/3收到USD12965.5(沖PI-20190121B.PI20190217A.PI-20190131C.PI-20190313A.PI-20190306A)</t>
      </text>
    </comment>
    <comment authorId="0" ref="N103">
      <text>
        <t xml:space="preserve">======
ID#AAABjx7qSSc
    (2025-05-21 11:33:26)
0119已簽回wago報價單(下單)</t>
      </text>
    </comment>
    <comment authorId="0" ref="N505">
      <text>
        <t xml:space="preserve">======
ID#AAABjx7qSSQ
    (2025-05-21 11:33:26)
0610 cathy 下單</t>
      </text>
    </comment>
    <comment authorId="0" ref="H833">
      <text>
        <t xml:space="preserve">======
ID#AAABjx7qSSM
    (2025-05-21 11:33:26)
ALICE:12/13一銀USD收到KH匯入USD1562.8(內含手續費USD28.61)沖PI-20191017004 USD1347+PI-20191030001 USD215.8合計總沖USD1562.8</t>
      </text>
    </comment>
    <comment authorId="0" ref="H39">
      <text>
        <t xml:space="preserve">======
ID#AAABjx7qSSI
    (2025-05-21 11:33:26)
0225 chloe:匯款匯入5948-10(手續費)</t>
      </text>
    </comment>
    <comment authorId="0" ref="H857">
      <text>
        <t xml:space="preserve">======
ID#AAABjx7qSSA
    (2025-05-21 11:33:26)
ALICE:1/15一銀收到USD8853(內含手續費USD53.7)沖PI-20191029002 USD4275+PI-20191029003 USD2235+PI-20191029004 USD1988+PI-20191105002 USD355</t>
      </text>
    </comment>
    <comment authorId="0" ref="H402">
      <text>
        <t xml:space="preserve">======
ID#AAABjx7qSR8
    (2025-05-21 11:33:26)
alice:7/4-水單匯入USD4316.9沖PI-20190422B.沖PI-20190507B.沖PI-20190513A</t>
      </text>
    </comment>
    <comment authorId="0" ref="N392">
      <text>
        <t xml:space="preserve">======
ID#AAABjx7qSRs
    (2025-05-21 11:33:26)
0503 Cathy 下單</t>
      </text>
    </comment>
    <comment authorId="0" ref="K575">
      <text>
        <t xml:space="preserve">======
ID#AAABjx7qSRY
    (2025-05-21 11:33:26)
190718 Tammy: 發票寄出前，請先提供確認，謝謝。</t>
      </text>
    </comment>
    <comment authorId="0" ref="F48">
      <text>
        <t xml:space="preserve">======
ID#AAABjx7qSRA
    (2025-05-21 11:33:26)
在此輸入
庫存2台
20181221 Chole 提供2pcs</t>
      </text>
    </comment>
    <comment authorId="0" ref="H120">
      <text>
        <t xml:space="preserve">======
ID#AAABjx7qSQ8
    (2025-05-21 11:33:26)
ALICE:201904/10水單匯入USD11416*30.78
沖(229+2394+326+34+5274+3066+103)=11426</t>
      </text>
    </comment>
    <comment authorId="0" ref="D796">
      <text>
        <t xml:space="preserve">======
ID#AAABjx7qSQw
    (2025-05-21 11:33:26)
10/3 請Chloe下單</t>
      </text>
    </comment>
    <comment authorId="0" ref="K156">
      <text>
        <t xml:space="preserve">======
ID#AAABjx7qSQU
0312 chloe 代寫    (2025-05-21 11:33:26)
先出，已向客戶要求付款</t>
      </text>
    </comment>
    <comment authorId="0" ref="E189">
      <text>
        <t xml:space="preserve">======
ID#AAABjx7qSQA
    (2025-05-21 11:33:26)
0313 chloe: 戎克備有庫存，見半成品庫存表</t>
      </text>
    </comment>
    <comment authorId="0" ref="H56">
      <text>
        <t xml:space="preserve">======
ID#AAABjx7qSP0
    (2025-05-21 11:33:26)
alice:2019/05/17水單通知USD19768沖3/4A $1995.3/4A-1$4152.3/4A-1-F $232.3/8B-F $57.12/21A-2-F $144.3/4A-1 $189.10/22C-2 $10227.12/21A-1 $2772.如上總計共USD19768</t>
      </text>
    </comment>
    <comment authorId="0" ref="J482">
      <text>
        <t xml:space="preserve">======
ID#AAABjx7qSPc
SHIPPING  AS BELOW    (2025-05-21 11:33:26)
103A Mary Street, Richmond, VIC, 3121, Australia
Contact: Jim MacDouall
Phone: +61 417 714 528</t>
      </text>
    </comment>
    <comment authorId="0" ref="H462">
      <text>
        <t xml:space="preserve">======
ID#AAABjx7qSPM
    (2025-05-21 11:33:26)
ALICE:7/26玉山銀行水單通知匯入USD9754沖PI-20190524B(2000+350).沖PI20190524B-1(3010).沖PI-20190703A(60+70).沖PI20190719B-1 228+1600 PI-20190719B-2 304  PI-20190719B-5 532. PI-20190719B-3 1600</t>
      </text>
    </comment>
    <comment authorId="0" ref="J811">
      <text>
        <t xml:space="preserve">======
ID#AAABjx7qSPA
    (2025-05-21 11:33:26)
客人自行安排取貨 
0527待客人確認</t>
      </text>
    </comment>
    <comment authorId="0" ref="H441">
      <text>
        <t xml:space="preserve">======
ID#AAABjx7qSO8
    (2025-05-21 11:33:26)
ALICE:6/27水單匯入USD8652.87沖PI20190515C 1394.5.PI-20190625C 46.37.PI-20190508C 6408.PI-20190619B 804共四張PI合計8652.87</t>
      </text>
    </comment>
    <comment authorId="0" ref="X187">
      <text>
        <t xml:space="preserve">======
ID#AAABjx7qSO4
    (2025-05-21 11:33:26)
0311 chloe:含PO20190124B</t>
      </text>
    </comment>
    <comment authorId="0" ref="H870">
      <text>
        <t xml:space="preserve">======
ID#AAABjx7qSOo
    (2025-05-21 11:33:26)
ALICE:11/4玉山銀行匯入USD1523沖PI-20191030004 USD1523</t>
      </text>
    </comment>
    <comment authorId="0" ref="H440">
      <text>
        <t xml:space="preserve">======
ID#AAABjx7qSOk
    (2025-05-21 11:33:26)
ALICE:6/27水單匯入USD8652.87沖PI20190515C 1394.5.PI-20190625C 46.37.PI-20190508C 6408.PI-20190619B 804共四張PI合計8652.87</t>
      </text>
    </comment>
    <comment authorId="0" ref="H563">
      <text>
        <t xml:space="preserve">======
ID#AAABjx7qSOg
    (2025-05-21 11:33:26)
alice:11/19-一銀Hatteland電文通知匯入USD58800 沖PI-20190717A USD58800</t>
      </text>
    </comment>
    <comment authorId="0" ref="E441">
      <text>
        <t xml:space="preserve">======
ID#AAABjx7qSOY
    (2025-05-21 11:33:26)
190517 Karen: w/o adapter</t>
      </text>
    </comment>
    <comment authorId="0" ref="E56">
      <text>
        <t xml:space="preserve">======
ID#AAABjx7qSOE
    (2025-05-21 11:33:26)
1224 chloe:樣品庫存</t>
      </text>
    </comment>
    <comment authorId="0" ref="F523">
      <text>
        <t xml:space="preserve">======
ID#AAABjx7qSOI
    (2025-05-21 11:33:26)
8/20 cathy: 客人revise 客供數量</t>
      </text>
    </comment>
    <comment authorId="0" ref="H638">
      <text>
        <t xml:space="preserve">======
ID#AAABjx7qSOA
    (2025-05-21 11:33:26)
8/6 Amy EXCHAGE REATE: 31.57
8/28玉山銀行已收到台灣脈動匯入款NT59,621(含手續費10)</t>
      </text>
    </comment>
    <comment authorId="0" ref="D536">
      <text>
        <t xml:space="preserve">======
ID#AAABjx7qSN0
    (2025-05-21 11:33:26)
0701 通知Chloe 協助下單</t>
      </text>
    </comment>
    <comment authorId="0" ref="H278">
      <text>
        <t xml:space="preserve">======
ID#AAABjx7qSNw
    (2025-05-21 11:33:26)
ALICE:2019/04/08-水單匯入USD31764-手續費USD12=USD31752
詳4/8-客戶MAIL沖帳明細(12540+944+2010+5770+10500=31764)</t>
      </text>
    </comment>
    <comment authorId="0" ref="H346">
      <text>
        <t xml:space="preserve">======
ID#AAABjx7qSNg
    (2025-05-21 11:33:26)
Alice:6/17-水單匯入USD10046沖PI-201904096B.PI-20190418A.PI-20190422A.PI-20190307A</t>
      </text>
    </comment>
    <comment authorId="0" ref="L823">
      <text>
        <t xml:space="preserve">======
ID#AAABjx7qSNI
    (2025-05-21 11:33:26)
1104 Jimmy 告知交期改為 11/11
1023YVONNE:JIMMY告知要分批出貨。
1112yvonne:jimmy延遲出貨，改到11/14</t>
      </text>
    </comment>
    <comment authorId="0" ref="N886">
      <text>
        <t xml:space="preserve">======
ID#AAABjx7qSNE
    (2025-05-21 11:33:26)
專案價申請中</t>
      </text>
    </comment>
    <comment authorId="0" ref="L311">
      <text>
        <t xml:space="preserve">======
ID#AAABjx7qSMo
    (2025-05-21 11:33:26)
0410 Cathy: 與業助bruce 確認交期ok</t>
      </text>
    </comment>
    <comment authorId="0" ref="H25">
      <text>
        <t xml:space="preserve">======
ID#AAABjx7qSMc
    (2025-05-21 11:33:26)
0128 Mary: 匯款匯入 US$11,920(同H25)</t>
      </text>
    </comment>
    <comment authorId="0" ref="L380">
      <text>
        <t xml:space="preserve">======
ID#AAABjx7qSMM
    (2025-05-21 11:33:26)
0422 Tammy 告知 與4/29貨一起走</t>
      </text>
    </comment>
    <comment authorId="0" ref="D866">
      <text>
        <t xml:space="preserve">======
ID#AAABjx7qSLw
    (2025-05-21 11:33:26)
10/30 CATHY:請CHLOE協助下單</t>
      </text>
    </comment>
    <comment authorId="0" ref="H190">
      <text>
        <t xml:space="preserve">======
ID#AAABjx7qSLQ
    (2025-05-21 11:33:26)
ALICE:5/3收到USD12965.5(沖PI-20190121B.PI20190217A.PI-20190131C.PI-20190313A.PI-20190306A)</t>
      </text>
    </comment>
    <comment authorId="0" ref="K896">
      <text>
        <t xml:space="preserve">======
ID#AAABjx7qSLI
    (2025-05-21 11:33:26)
chloe
1028: 原先告知10/30
1104: 尚未告知MOXA！！原倉庫(木新路)收貨至11/14止，11/15暫停收貨 ，
11/18之後送貨請送至新倉庫:新北市新店區寶橋路235巷118號2AF</t>
      </text>
    </comment>
    <comment authorId="0" ref="K177">
      <text>
        <t xml:space="preserve">======
ID#AAABjx7qSLE
    (2025-05-21 11:33:26)
0212 San: 用DHL箱子把2個貨箱放成一個箱子</t>
      </text>
    </comment>
    <comment authorId="0" ref="K180">
      <text>
        <t xml:space="preserve">======
ID#AAABjx7qSK4
    (2025-05-21 11:33:26)
0318 san: 出貨前檢查 (bank/eric/san）
0321 amy: 請注意出貨地Denmark及包裝protection ( plastic bag inside &amp; outer carton/film well packed)</t>
      </text>
    </comment>
    <comment authorId="0" ref="R467">
      <text>
        <t xml:space="preserve">======
ID#AAABjx7qSK0
0604 chloe    (2025-05-21 11:33:26)
客供料，無成本</t>
      </text>
    </comment>
    <comment authorId="0" ref="B724">
      <text>
        <t xml:space="preserve">======
ID#AAABjx7qSKo
    (2025-05-21 11:33:26)
新開發客戶</t>
      </text>
    </comment>
    <comment authorId="0" ref="D617">
      <text>
        <t xml:space="preserve">======
ID#AAABjx7qSKU
    (2025-05-21 11:33:26)
1. 用溢收款項扣除
2. 7/26 信件通知超恩先Booking , 待請Yvonne 下單</t>
      </text>
    </comment>
    <comment authorId="0" ref="H411">
      <text>
        <t xml:space="preserve">======
ID#AAABjx7qSKQ
    (2025-05-21 11:33:26)
alice:6/20銀行水單匯入USD4462 沖PI20190107A.PI-20190318B.PI-20190508B.PI-20181022C-2-F</t>
      </text>
    </comment>
    <comment authorId="0" ref="H370">
      <text>
        <t xml:space="preserve">======
ID#AAABjx7qSKA
    (2025-05-21 11:33:26)
alice:2019/05/14電文通知USD16645沖(PI20190418C 金額總計15865+PI20190218A 4850中的(780)</t>
      </text>
    </comment>
    <comment authorId="0" ref="H682">
      <text>
        <t xml:space="preserve">======
ID#AAABjx7qSJs
    (2025-05-21 11:33:26)
ALICE:10/5-玉山NT匯入59340沖PI20190821C.PI-20190829B.PI-20190906A合計共NT59355元整</t>
      </text>
    </comment>
    <comment authorId="0" ref="H606">
      <text>
        <t xml:space="preserve">======
ID#AAABjx7qSJc
    (2025-05-21 11:33:26)
ALICE:9/10玉山匯入NT108650沖PI20190719A.PI-20190722B.PI-20190725A.PI20190813B</t>
      </text>
    </comment>
    <comment authorId="0" ref="N188">
      <text>
        <t xml:space="preserve">======
ID#AAABjx7qSIw
    (2025-05-21 11:33:26)
2/21 Tammy
客人訂單還未簽回，請暫停進料及備料
3/6 Bruce:
Tammy通知可繼續生產</t>
      </text>
    </comment>
    <comment authorId="0" ref="H143">
      <text>
        <t xml:space="preserve">======
ID#AAABjx7qSIs
    (2025-05-21 11:33:26)
0201 chloe: 匯款匯入NT111130</t>
      </text>
    </comment>
    <comment authorId="0" ref="H582">
      <text>
        <t xml:space="preserve">======
ID#AAABjx7qSIU
    (2025-05-21 11:33:26)
ALICE:9/10玉山匯入NT108650沖PI20190719A.PI-20190722B.PI-20190725A.PI20190813B</t>
      </text>
    </comment>
    <comment authorId="0" ref="I880">
      <text>
        <t xml:space="preserve">======
ID#AAABjx7qSH8
    (2025-05-21 11:33:26)
Cathy/Yvonne</t>
      </text>
    </comment>
    <comment authorId="0" ref="H271">
      <text>
        <t xml:space="preserve">======
ID#AAABjx7qSHs
    (2025-05-21 11:33:26)
ALICE:11/22第一銀行收到匯入USD8500(內含銀行手續費USD6.57) PI-20190227G USD4250+PI-20190227H USD4250 總計USD8500</t>
      </text>
    </comment>
    <comment authorId="0" ref="L57">
      <text>
        <t xml:space="preserve">======
ID#AAABjx7qSHM
    (2025-05-21 11:33:26)
0318 Cathy:廠商告知預計4/3寄出 
2/12 Jay reply 2/19 by partial 3 pcs
Reply to Ti2 ship date: 2/21</t>
      </text>
    </comment>
    <comment authorId="0" ref="H617">
      <text>
        <t xml:space="preserve">======
ID#AAABjx7qSGo
    (2025-05-21 11:33:26)
ALICE:7/15-客戶多付NT10540元沖PI-20190726A金額NT2995(故結餘預收貨款NT7545元整)</t>
      </text>
    </comment>
    <comment authorId="0" ref="D823">
      <text>
        <t xml:space="preserve">======
ID#AAABjx7qSGs
    (2025-05-21 11:33:26)
10/15 CATHY: 請YVONNE下單</t>
      </text>
    </comment>
    <comment authorId="0" ref="J853">
      <text>
        <t xml:space="preserve">======
ID#AAABjx7qSGc
    (2025-05-21 11:33:26)
191027 UPS服務要和客人確認</t>
      </text>
    </comment>
    <comment authorId="0" ref="N404">
      <text>
        <t xml:space="preserve">======
ID#AAABjx7qSF0
    (2025-05-21 11:33:26)
0507 Cathy下單</t>
      </text>
    </comment>
    <comment authorId="0" ref="N429">
      <text>
        <t xml:space="preserve">======
ID#AAABjx7qSFo
    (2025-05-21 11:33:26)
0510 CATHY 下單</t>
      </text>
    </comment>
    <comment authorId="0" ref="AI241">
      <text>
        <t xml:space="preserve">======
ID#AAABjx7qSFc
    (2025-05-21 11:33:26)
ALICE:2019/04/30-銀行通知電文USD3780元整</t>
      </text>
    </comment>
    <comment authorId="0" ref="N177">
      <text>
        <t xml:space="preserve">======
ID#AAABjx7qSFY
    (2025-05-21 11:33:26)
0213 Cathy下單</t>
      </text>
    </comment>
    <comment authorId="0" ref="M760">
      <text>
        <t xml:space="preserve">======
ID#AAABjx7qSFU
    (2025-05-21 11:33:26)
tracking number:1Z7365590444032546.</t>
      </text>
    </comment>
    <comment authorId="0" ref="S205">
      <text>
        <t xml:space="preserve">======
ID#AAABjx7qSFI
    (2025-05-21 11:33:26)
Chloe OK</t>
      </text>
    </comment>
    <comment authorId="0" ref="H876">
      <text>
        <t xml:space="preserve">======
ID#AAABjx7qSFA
    (2025-05-21 11:33:26)
alice:11/5-合庫收款USD960(內含手續費USD17.59)沖PI20191104002 USD960</t>
      </text>
    </comment>
    <comment authorId="0" ref="H798">
      <text>
        <t xml:space="preserve">======
ID#AAABjx7qSE0
    (2025-05-21 11:33:26)
ALICE:10/7-玉山銀行收到匯入款USD801-手續費USD6.48=USD794.52沖PI-20191002A USD801元整</t>
      </text>
    </comment>
    <comment authorId="0" ref="K302">
      <text>
        <t xml:space="preserve">======
ID#AAABjx7qSEo
    (2025-05-21 11:33:26)
0325 Cathy:客人無回應是否要與新訂單一併出貨，尚未收到運費</t>
      </text>
    </comment>
    <comment authorId="0" ref="AJ103">
      <text>
        <t xml:space="preserve">======
ID#AAABjx7qSEE
    (2025-05-21 11:33:26)
ALICE:2019/05/02-水單匯入USD21462.5-(匯出手續費USD10+匯入手續費USD10.73)=USD21441.77*30.84=NT661264</t>
      </text>
    </comment>
    <comment authorId="0" ref="N324">
      <text>
        <t xml:space="preserve">======
ID#AAABjx7qSD0
    (2025-05-21 11:33:25)
0326 Cathy:下單</t>
      </text>
    </comment>
    <comment authorId="0" ref="N306">
      <text>
        <t xml:space="preserve">======
ID#AAABjx7qSDk
    (2025-05-21 11:33:25)
0315 Cathy 下單</t>
      </text>
    </comment>
    <comment authorId="0" ref="D677">
      <text>
        <t xml:space="preserve">======
ID#AAABjx7qSDU
    (2025-05-21 11:33:25)
0828 請chloe 協助下單</t>
      </text>
    </comment>
    <comment authorId="0" ref="H892">
      <text>
        <t xml:space="preserve">======
ID#AAABjx7qSC8
    (2025-05-21 11:33:25)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H167">
      <text>
        <t xml:space="preserve">======
ID#AAABjx7qSCk
    (2025-05-21 11:33:25)
0327 chloe:匯款匯入US$4165-20(手續費)</t>
      </text>
    </comment>
    <comment authorId="0" ref="K178">
      <text>
        <t xml:space="preserve">======
ID#AAABjx7qSCo
    (2025-05-21 11:33:25)
0212 San: 用DHL箱子把2個貨箱放成一個箱子</t>
      </text>
    </comment>
    <comment authorId="0" ref="J818">
      <text>
        <t xml:space="preserve">======
ID#AAABjx7qSCI
    (2025-05-21 11:33:25)
using UPS express then</t>
      </text>
    </comment>
    <comment authorId="0" ref="H851">
      <text>
        <t xml:space="preserve">======
ID#AAABjx7qSCM
    (2025-05-21 11:33:25)
2/15已收款</t>
      </text>
    </comment>
    <comment authorId="0" ref="B417">
      <text>
        <t xml:space="preserve">======
ID#AAABjx7qSBw
    (2025-05-21 11:33:25)
5/21 Amy: change quantity to 6 ( previous is 3)</t>
      </text>
    </comment>
    <comment authorId="0" ref="H308">
      <text>
        <t xml:space="preserve">======
ID#AAABjx7qSBY
    (2025-05-21 11:33:25)
ALICE:2019/05/02-水單匯入USD21462.5</t>
      </text>
    </comment>
    <comment authorId="0" ref="H371">
      <text>
        <t xml:space="preserve">======
ID#AAABjx7qSAY
    (2025-05-21 11:33:25)
Alice:2019/04/30-銀行通知水單匯入USD1577-匯出手續費USD40=USD1537*30.85=NT47416</t>
      </text>
    </comment>
    <comment authorId="0" ref="H287">
      <text>
        <t xml:space="preserve">======
ID#AAABjx7qSAU
    (2025-05-21 11:33:25)
alice:2019/05/17水單通知USD19768沖3/4A $1995.3/4A-1$4152.3/4A-1-F $232.3/8B-F $57.12/21A-2-F $144.3/4A-1 $189.10/22C-2 $10227.12/21A-1 $2772.如上總計共USD19768</t>
      </text>
    </comment>
    <comment authorId="0" ref="L520">
      <text>
        <t xml:space="preserve">======
ID#AAABjx7qSAQ
    (2025-05-21 11:33:25)
1007 chloe: 告知曦立期望交期
1018 Nancy: 告知11/8 應該沒問題</t>
      </text>
    </comment>
    <comment authorId="0" ref="N310">
      <text>
        <t xml:space="preserve">======
ID#AAABjx7qSAI
    (2025-05-21 11:33:25)
0325 Cathy 下單</t>
      </text>
    </comment>
    <comment authorId="0" ref="H598">
      <text>
        <t xml:space="preserve">======
ID#AAABjx7qR_0
    (2025-05-21 11:33:25)
ALICE:1/7第一銀行USD3228 沖PI-20191007006 1501+PI-20191007007 USD1727+PI-20191128002 USD20總沖USD3248</t>
      </text>
    </comment>
    <comment authorId="0" ref="K77">
      <text>
        <t xml:space="preserve">======
ID#AAABjx7qR_w
    (2025-05-21 11:33:25)
6/20 amy: this shipment DOA, the RMA Return date is 04/30, so A/R should be count from 4/30, due date is 6/15</t>
      </text>
    </comment>
    <comment authorId="0" ref="H566">
      <text>
        <t xml:space="preserve">======
ID#AAABjx7qR_g
    (2025-05-21 11:33:25)
ALICE:8/22玉山銀行匯入NT1,596,000+NT1,978=NT1,597,978元整，沖PI-20190717C NT1,586,124 ，沖PI-20190813C NT11,854</t>
      </text>
    </comment>
    <comment authorId="0" ref="K67">
      <text>
        <t xml:space="preserve">======
ID#AAABjx7qR_Y
    (2025-05-21 11:33:25)
0116 chloe:待收到客戶水單或是匯款才能放行出貨</t>
      </text>
    </comment>
    <comment authorId="0" ref="H405">
      <text>
        <t xml:space="preserve">======
ID#AAABjx7qR_U
    (2025-05-21 11:33:25)
alice:7/4-水單匯入USD4316.9沖PI-20190422B.沖PI-20190507B.沖PI-20190513A</t>
      </text>
    </comment>
    <comment authorId="0" ref="H601">
      <text>
        <t xml:space="preserve">======
ID#AAABjx7qR_Q
    (2025-05-21 11:33:25)
ALICE:1/7第一銀行USD3228 沖PI-20191007006 1501+PI-20191007007 USD1727+PI-20191128002 USD20總沖USD3248</t>
      </text>
    </comment>
    <comment authorId="0" ref="H571">
      <text>
        <t xml:space="preserve">======
ID#AAABjx7qR_I
    (2025-05-21 11:33:25)
ALICE:8/22玉山銀行匯入NT1,596,000+NT1,978=NT1,597,978元整，沖PI-20190717C NT1,586,124 ，沖PI-20190813C NT11,854</t>
      </text>
    </comment>
    <comment authorId="0" ref="D548">
      <text>
        <t xml:space="preserve">======
ID#AAABjx7qR_E
    (2025-05-21 11:33:25)
7/8請 chloe 協助下單</t>
      </text>
    </comment>
    <comment authorId="0" ref="H945">
      <text>
        <t xml:space="preserve">======
ID#AAABjx7qR-w
Amy pass 資料    (2025-05-21 11:33:25)
NTD 19,213 (美金 Rate: 31.57)+ 52 歐 -2pcs 通行證 (rate: 34) NTD 1,768,TOTAL NTD21,069
ALICE:12/20-匯入一銀65019+73332沖PI-20191211001+PI-20191213002</t>
      </text>
    </comment>
    <comment authorId="0" ref="H100">
      <text>
        <t xml:space="preserve">======
ID#AAABjx7qR-c
    (2025-05-21 11:33:25)
0311  chloe:匯款匯入US1134-20(手續費)</t>
      </text>
    </comment>
    <comment authorId="0" ref="E506">
      <text>
        <t xml:space="preserve">======
ID#AAABjx7qR-U
    (2025-05-21 11:33:25)
下單請用FPM2150GR3B1601E-T
出貨文件上秀:
FPM-2150G-R3BE
(FPM2150GRB1601E-T)</t>
      </text>
    </comment>
    <comment authorId="0" ref="I879">
      <text>
        <t xml:space="preserve">======
ID#AAABjx7qR-Y
    (2025-05-21 11:33:25)
Cathy/Yvonne</t>
      </text>
    </comment>
    <comment authorId="0" ref="D716">
      <text>
        <t xml:space="preserve">======
ID#AAABjx7qR-E
    (2025-05-21 11:33:25)
在此輸入
0909 客人待O/A肯放USD 10000 才要下單
1001 告知改由Aditeh付款</t>
      </text>
    </comment>
    <comment authorId="0" ref="P659">
      <text>
        <t xml:space="preserve">======
ID#AAABjx7qR9k
    (2025-05-21 11:33:25)
0820 chloe:專案價</t>
      </text>
    </comment>
    <comment authorId="0" ref="K628">
      <text>
        <t xml:space="preserve">======
ID#AAABjx7qR9Q
    (2025-05-21 11:33:25)
8/22 Cathy: mail 請Yvonne 出貨時依照客人需要invoice</t>
      </text>
    </comment>
    <comment authorId="0" ref="H754">
      <text>
        <t xml:space="preserve">======
ID#AAABjx7qR9E
    (2025-05-21 11:33:25)
ALICE:9/24玉山水單通知USD1407.5沖PI-20190923A USD1407.5元整</t>
      </text>
    </comment>
    <comment authorId="0" ref="H49">
      <text>
        <t xml:space="preserve">======
ID#AAABjx7qR8k
    (2025-05-21 11:33:25)
0306 chloe:匯款匯入US$14480.6(含20190119A RG58 cable Sample)</t>
      </text>
    </comment>
    <comment authorId="0" ref="H94">
      <text>
        <t xml:space="preserve">======
ID#AAABjx7qR8M
    (2025-05-21 11:33:25)
0227 chloe:匯款匯入US4578</t>
      </text>
    </comment>
    <comment authorId="0" ref="P536">
      <text>
        <t xml:space="preserve">======
ID#AAABjx7qR7w
    (2025-05-21 11:33:25)
MOXA chloe給予 專案價格</t>
      </text>
    </comment>
    <comment authorId="0" ref="H914">
      <text>
        <t xml:space="preserve">======
ID#AAABjx7qR7o
    (2025-05-21 11:33:25)
ALICE:1/30一銀收到KH匯入USD2352(內含手續費USD26.62)沖PI-20191115001 USD709+PI-20191115002 USD75+PI-20191120002 USD150+PI-20191123002 USD870+PI-20191224001 USD411+PI-20191216001 USD137)</t>
      </text>
    </comment>
    <comment authorId="0" ref="H439">
      <text>
        <t xml:space="preserve">======
ID#AAABjx7qR7g
    (2025-05-21 11:33:25)
ALICE:6/27水單匯入USD8652.87沖PI20190515C 1394.5.PI-20190625C 46.37.PI-20190508C 6408.PI-20190619B 804共四張PI合計8652.87</t>
      </text>
    </comment>
    <comment authorId="0" ref="H922">
      <text>
        <t xml:space="preserve">======
ID#AAABjx7qR7Y
    (2025-05-21 11:33:25)
ALICE:1/20-第一USD收款USD1308(手續費0)沖PI-20191203001 USD77+PI-20191126001 USD1231 總計USD1308元整</t>
      </text>
    </comment>
    <comment authorId="0" ref="K5">
      <text>
        <t xml:space="preserve">======
ID#AAABjx7qR7A
    (2025-05-21 11:33:25)
Vecow 年底前交貨, 收到超恩貨+2-3 days出貨Ti2</t>
      </text>
    </comment>
    <comment authorId="0" ref="K819">
      <text>
        <t xml:space="preserve">======
ID#AAABjx7qR7E
    (2025-05-21 11:33:25)
Chloe 1106: MOXA回覆交期，有可能會延遲兩天</t>
      </text>
    </comment>
    <comment authorId="0" ref="H529">
      <text>
        <t xml:space="preserve">======
ID#AAABjx7qR60
    (2025-05-21 11:33:25)
6/14-預收USD1403
6/28-銀行匯入USD6257 與6/14合計共7660，PI為7670故尚餘USD10元未收與chloe確認轉手續費處理</t>
      </text>
    </comment>
    <comment authorId="0" ref="H709">
      <text>
        <t xml:space="preserve">======
ID#AAABjx7qR6o
    (2025-05-21 11:33:25)
ALICE:10/5-玉山NT匯入59340沖PI20190821C.PI-20190829B.PI-20190906A合計共NT59355元整</t>
      </text>
    </comment>
    <comment authorId="0" ref="H444">
      <text>
        <t xml:space="preserve">======
ID#AAABjx7qR6U
    (2025-05-21 11:33:25)
alice:5/30-銀行水單USD3750</t>
      </text>
    </comment>
    <comment authorId="0" ref="D646">
      <text>
        <t xml:space="preserve">======
ID#AAABjx7qR54
    (2025-05-21 11:33:25)
0813 請chloe 協助下單</t>
      </text>
    </comment>
    <comment authorId="0" ref="AJ137">
      <text>
        <t xml:space="preserve">======
ID#AAABjx7qR50
    (2025-05-21 11:33:25)
ALICE:2019/05/02-水單匯入USD21462.5-(匯出手續費USD10+匯入手續費USD10.73)=USD21441.77*30.84=NT661264</t>
      </text>
    </comment>
    <comment authorId="0" ref="R603">
      <text>
        <t xml:space="preserve">======
ID#AAABjx7qR5U
    (2025-05-21 11:33:25)
04-JX0-BFPF156-001A 金額 2400+烤漆無報價</t>
      </text>
    </comment>
    <comment authorId="0" ref="K102">
      <text>
        <t xml:space="preserve">======
ID#AAABjx7qR5A
    (2025-05-21 11:33:25)
Vecow 年底前交貨, 收到超恩貨+2-3 days出貨Ti2</t>
      </text>
    </comment>
    <comment authorId="0" ref="D594">
      <text>
        <t xml:space="preserve">======
ID#AAABjx7qR48
    (2025-05-21 11:33:25)
20190604 Robin accept W/O AG、AR treatment this time</t>
      </text>
    </comment>
    <comment authorId="0" ref="E70">
      <text>
        <t xml:space="preserve">======
ID#AAABjx7qR44
    (2025-05-21 11:33:25)
190215 原訂CP-132UL-DB9M銷退, 換CP-132EL-I-DB9M</t>
      </text>
    </comment>
    <comment authorId="0" ref="N320">
      <text>
        <t xml:space="preserve">======
ID#AAABjx7qR4o
    (2025-05-21 11:33:25)
0326 Cathy:下單</t>
      </text>
    </comment>
    <comment authorId="0" ref="N665">
      <text>
        <t xml:space="preserve">======
ID#AAABjx7qR4U
    (2025-05-21 11:33:25)
0823YVONNE下單</t>
      </text>
    </comment>
    <comment authorId="0" ref="M208">
      <text>
        <t xml:space="preserve">======
ID#AAABjx7qR4E
    (2025-05-21 11:33:25)
0130 chloe:</t>
      </text>
    </comment>
    <comment authorId="0" ref="H513">
      <text>
        <t xml:space="preserve">======
ID#AAABjx7qR34
    (2025-05-21 11:33:25)
alice:7/31-水單匯入USD2124沖PI-20190131D-2 857.沖PI-20190610A 565.沖PI-20190607A 444.沖PI-20190612A 258</t>
      </text>
    </comment>
    <comment authorId="0" ref="S334">
      <text>
        <t xml:space="preserve">======
ID#AAABjx7qR3k
    (2025-05-21 11:33:25)
5/3-CHLOE MAIL通知
 DC Jack cable 1M→樣品</t>
      </text>
    </comment>
    <comment authorId="0" ref="AI133">
      <text>
        <t xml:space="preserve">======
ID#AAABjx7qR3Y
    (2025-05-21 11:33:25)
ALICE:2019/05/02-水單匯入USD21462.5-(匯出手續費USD10+匯入手續費USD10.73)=USD21441.77*30.84=NT661264</t>
      </text>
    </comment>
    <comment authorId="0" ref="E196">
      <text>
        <t xml:space="preserve">======
ID#AAABjx7qR3M
    (2025-05-21 11:33:25)
自製品TS32GSSD420K ，戎克料號:14-TS0-SDMN032-001A</t>
      </text>
    </comment>
    <comment authorId="0" ref="L358">
      <text>
        <t xml:space="preserve">======
ID#AAABjx7qR28
    (2025-05-21 11:33:25)
0424 Cathy: 新漢ivy 告知已收到</t>
      </text>
    </comment>
    <comment authorId="0" ref="P711">
      <text>
        <t xml:space="preserve">======
ID#AAABjx7qR2c
    (2025-05-21 11:33:25)
20190900279290 專案價格</t>
      </text>
    </comment>
    <comment authorId="0" ref="J876">
      <text>
        <t xml:space="preserve">======
ID#AAABjx7qR2Q
    (2025-05-21 11:33:25)
客人自取</t>
      </text>
    </comment>
    <comment authorId="0" ref="H883">
      <text>
        <t xml:space="preserve">======
ID#AAABjx7qR10
    (2025-05-21 11:33:25)
ALICE:2020/01/10-SA匯入USD37024-沖PI-20191108001 (5904+2010+440+20104+950+6270)+1346(12600中的1346)=USD37024</t>
      </text>
    </comment>
    <comment authorId="0" ref="G569">
      <text>
        <t xml:space="preserve">======
ID#AAABjx7qR14
    (2025-05-21 11:33:25)
190718 Tammy: w/5%</t>
      </text>
    </comment>
    <comment authorId="0" ref="H352">
      <text>
        <t xml:space="preserve">======
ID#AAABjx7qR1Y
    (2025-05-21 11:33:25)
Alice:6/17-水單匯入USD10046沖PI-201904096B.PI-20190418A.PI-20190422A.PI-20190307A</t>
      </text>
    </comment>
    <comment authorId="0" ref="H47">
      <text>
        <t xml:space="preserve">======
ID#AAABjx7qR1M
    (2025-05-21 11:33:25)
0306 chloe:匯款匯入US$14480.6(含20190119A RG58 cable Sample)</t>
      </text>
    </comment>
    <comment authorId="0" ref="AJ34">
      <text>
        <t xml:space="preserve">======
ID#AAABjx7qR1I
    (2025-05-21 11:33:25)
ALCIE:2019/02/25水單匯入 PI-20181212A-F 訂單總計USD1500，PI-20181212A訂單總計USD1198，PI-20181212B訂單總計USD3251，合計三筆訂單USD5949元整，實收2/25水單匯入USD5938-手續費USD6.5=USD5931.5*30.76=NT182,453元整</t>
      </text>
    </comment>
    <comment authorId="0" ref="K643">
      <text>
        <t xml:space="preserve">======
ID#AAABjx7qR1A
    (2025-05-21 11:33:25)
0821 CATHY : 客人希望2W交貨(不然可能canel order)，待交期確認後，就請客人先匯款
0826 Cathy : 客人告知預計9/2匯款，請如期出貨</t>
      </text>
    </comment>
    <comment authorId="0" ref="R636">
      <text>
        <t xml:space="preserve">======
ID#AAABjx7qR08
    (2025-05-21 11:33:25)
0604 chloe:參考庫存表0522平均庫存成本</t>
      </text>
    </comment>
    <comment authorId="0" ref="K213">
      <text>
        <t xml:space="preserve">======
ID#AAABjx7qR0s
    (2025-05-21 11:33:25)
0401 santi 告知改4/8出貨</t>
      </text>
    </comment>
    <comment authorId="0" ref="L243">
      <text>
        <t xml:space="preserve">======
ID#AAABjx7qR0g
    (2025-05-21 11:33:25)
0313 Cathy: moxa提供發票</t>
      </text>
    </comment>
    <comment authorId="0" ref="D362">
      <text>
        <t xml:space="preserve">======
ID#AAABjx7qR0Q
    (2025-05-21 11:33:25)
transfer to Captec Evaluation PI-20190910A</t>
      </text>
    </comment>
    <comment authorId="0" ref="X139">
      <text>
        <t xml:space="preserve">======
ID#AAABjx7qR0A
    (2025-05-21 11:33:25)
0311 chloe:含PO20190124B</t>
      </text>
    </comment>
    <comment authorId="0" ref="H722">
      <text>
        <t xml:space="preserve">======
ID#AAABjx7qRzw
    (2025-05-21 11:33:25)
ALICE:11/14-Hectronic匯入USD244(內含手續費USD6.57)沖PI-20190910B USD137 + 沖PI-20190719B-3 USD107</t>
      </text>
    </comment>
    <comment authorId="0" ref="S952">
      <text>
        <t xml:space="preserve">======
ID#AAABjx7qRzs
    (2025-05-21 11:33:25)
廠商 2條樣品贈送，1條購買</t>
      </text>
    </comment>
    <comment authorId="0" ref="D645">
      <text>
        <t xml:space="preserve">======
ID#AAABjx7qRzg
    (2025-05-21 11:33:25)
0813 請chloe 協助下單</t>
      </text>
    </comment>
    <comment authorId="0" ref="N758">
      <text>
        <t xml:space="preserve">======
ID#AAABjx7qRzY
    (2025-05-21 11:33:25)
1025 chloe 詢問交期中→尚未能提前
Pull in 中，看11月初有沒有機會</t>
      </text>
    </comment>
    <comment authorId="0" ref="N711">
      <text>
        <t xml:space="preserve">======
ID#AAABjx7qRzU
    (2025-05-21 11:33:25)
0920 chloe:待凱西告知可下單
0923  chloe: Cathy通知下單</t>
      </text>
    </comment>
    <comment authorId="0" ref="N210">
      <text>
        <t xml:space="preserve">======
ID#AAABjx7qRyc
    (2025-05-21 11:33:25)
0219 Cathy下單</t>
      </text>
    </comment>
    <comment authorId="0" ref="H18">
      <text>
        <t xml:space="preserve">======
ID#AAABjx7qRyQ
    (2025-05-21 11:33:25)
0212 Mary:匯款匯入US$14,150</t>
      </text>
    </comment>
    <comment authorId="0" ref="N166">
      <text>
        <t xml:space="preserve">======
ID#AAABjx7qRyI
    (2025-05-21 11:33:25)
0211 下單</t>
      </text>
    </comment>
    <comment authorId="0" ref="H162">
      <text>
        <t xml:space="preserve">======
ID#AAABjx7qRx0
    (2025-05-21 11:33:25)
0227 chloe:匯款匯入NT48,676-30(手續費)</t>
      </text>
    </comment>
    <comment authorId="0" ref="D515">
      <text>
        <t xml:space="preserve">======
ID#AAABjx7qRxY
    (2025-05-21 11:33:25)
0613 請TAMMY 下單</t>
      </text>
    </comment>
    <comment authorId="0" ref="AI371">
      <text>
        <t xml:space="preserve">======
ID#AAABjx7qRw4
    (2025-05-21 11:33:25)
Alice:2019/04/30-銀行通知水單匯入USD1577-匯出手續費USD40=USD1537*30.85=NT47416</t>
      </text>
    </comment>
    <comment authorId="0" ref="I593">
      <text>
        <t xml:space="preserve">======
ID#AAABjx7qRwc
    (2025-05-21 11:33:25)
Cathy/Santiago</t>
      </text>
    </comment>
    <comment authorId="0" ref="N36">
      <text>
        <t xml:space="preserve">======
ID#AAABjx7qRwQ
    (2025-05-21 11:33:25)
cathy:20181217下PO
12/18 Support 價格</t>
      </text>
    </comment>
    <comment authorId="0" ref="P710">
      <text>
        <t xml:space="preserve">======
ID#AAABjx7qRwU
    (2025-05-21 11:33:25)
20190900279290  專案價格</t>
      </text>
    </comment>
    <comment authorId="0" ref="H66">
      <text>
        <t xml:space="preserve">======
ID#AAABjx7qRwE
    (2025-05-21 11:33:25)
0124 chloe:匯款匯入US$48799</t>
      </text>
    </comment>
    <comment authorId="0" ref="I587">
      <text>
        <t xml:space="preserve">======
ID#AAABjx7qRv8
    (2025-05-21 11:33:25)
Cathy/Santiago</t>
      </text>
    </comment>
    <comment authorId="0" ref="H428">
      <text>
        <t xml:space="preserve">======
ID#AAABjx7qRvk
    (2025-05-21 11:33:25)
ALICE:7/17水單匯入USD9362沖PI-20190508B-F 92元.PI-20190508B-1 130元. PI-20190509C 9140元整</t>
      </text>
    </comment>
    <comment authorId="0" ref="J546">
      <text>
        <t xml:space="preserve">======
ID#AAABjx7qRvY
SHIPPING  AS BELOW    (2025-05-21 11:33:25)
103A Mary Street, Richmond, VIC, 3121, Australia
Contact: Jim MacDouall
Phone: +61 417 714 528</t>
      </text>
    </comment>
    <comment authorId="0" ref="H422">
      <text>
        <t xml:space="preserve">======
ID#AAABjx7qRvM
    (2025-05-21 11:33:25)
ALICE:5/27-水單匯入USD4578*31.43</t>
      </text>
    </comment>
    <comment authorId="0" ref="AI357">
      <text>
        <t xml:space="preserve">======
ID#AAABjx7qRvE
    (2025-05-21 11:33:25)
ALICE:20190425收到銀行水單匯入通知USD1556*30.81=NT47940(無手續費)</t>
      </text>
    </comment>
    <comment authorId="0" ref="L4">
      <text>
        <t xml:space="preserve">======
ID#AAABjx7qRvI
    (2025-05-21 11:33:25)
1/7 廠商確認交期 
9/26 Cindy:Intel 年底交貨</t>
      </text>
    </comment>
    <comment authorId="0" ref="L827">
      <text>
        <t xml:space="preserve">======
ID#AAABjx7qRu4
    (2025-05-21 11:33:25)
1021yvonne:今日寄出</t>
      </text>
    </comment>
    <comment authorId="0" ref="H451">
      <text>
        <t xml:space="preserve">======
ID#AAABjx7qRu0
    (2025-05-21 11:33:25)
Alice:7/8匯入NT170334 
Alice:8/6匯入NT186707
Alice:8/6匯入NT32231
總計389272+匯款手續費30=389302沖PI-20190523A 202565.沖PI20190702A 186737元整</t>
      </text>
    </comment>
    <comment authorId="0" ref="N45">
      <text>
        <t xml:space="preserve">======
ID#AAABjx7qRuw
    (2025-05-21 11:33:25)
181212 由1212A改為1212C</t>
      </text>
    </comment>
    <comment authorId="0" ref="E243">
      <text>
        <t xml:space="preserve">======
ID#AAABjx7qRug
    (2025-05-21 11:33:25)
20170104 Santiago: 和之前訂單一樣, w/o adapter</t>
      </text>
    </comment>
    <comment authorId="0" ref="Z52">
      <text>
        <t xml:space="preserve">======
ID#AAABjx7qRtk
    (2025-05-21 11:33:25)
1221 chloe:進口稅金由國外支付</t>
      </text>
    </comment>
    <comment authorId="0" ref="H376">
      <text>
        <t xml:space="preserve">======
ID#AAABjx7qRtY
    (2025-05-21 11:33:25)
Alice:6/17-水單匯入USD10046沖PI-201904096B.PI-20190418A.PI-20190422A.PI-20190307A</t>
      </text>
    </comment>
    <comment authorId="0" ref="F971">
      <text>
        <t xml:space="preserve">======
ID#AAABjx7qRs0
    (2025-05-21 11:33:25)
每月15日-遇假日遞延
(台銀收盤即期買進賣出/2)</t>
      </text>
    </comment>
    <comment authorId="0" ref="H154">
      <text>
        <t xml:space="preserve">======
ID#AAABjx7qRsk
    (2025-05-21 11:33:25)
0304 chloe:匯款匯入US 154</t>
      </text>
    </comment>
    <comment authorId="0" ref="N123">
      <text>
        <t xml:space="preserve">======
ID#AAABjx7qRsI
    (2025-05-21 11:33:25)
0125 下單
待chloe匯款</t>
      </text>
    </comment>
    <comment authorId="0" ref="K1">
      <text>
        <t xml:space="preserve">======
ID#AAABjx7qRsA
    (2025-05-21 11:33:25)
紅字=預計出貨日
黑字=實際出貨日</t>
      </text>
    </comment>
    <comment authorId="0" ref="K549">
      <text>
        <t xml:space="preserve">======
ID#AAABjx7qRr4
    (2025-05-21 11:33:25)
0722 Santiago同意先出貨。</t>
      </text>
    </comment>
    <comment authorId="0" ref="N183">
      <text>
        <t xml:space="preserve">======
ID#AAABjx7qRrw
    (2025-05-21 11:33:25)
2/21 Tammy
客人訂單還未簽回，請暫停進料及備料
3/6 Bruce:
Tammy通知可繼續生產</t>
      </text>
    </comment>
    <comment authorId="0" ref="F49">
      <text>
        <t xml:space="preserve">======
ID#AAABjx7qRrs
    (2025-05-21 11:33:25)
庫存2台</t>
      </text>
    </comment>
    <comment authorId="0" ref="D582">
      <text>
        <t xml:space="preserve">======
ID#AAABjx7qRrg
    (2025-05-21 11:33:25)
0719 請chloe 協助下單</t>
      </text>
    </comment>
    <comment authorId="0" ref="D958">
      <text>
        <t xml:space="preserve">======
ID#AAABjx7qRrU
    (2025-05-21 11:33:25)
20191218 請Yvonne 下單</t>
      </text>
    </comment>
    <comment authorId="0" ref="H388">
      <text>
        <t xml:space="preserve">======
ID#AAABjx7qRqI
    (2025-05-21 11:33:25)
5/28-收到芳慎支票 5/30-AK4244782台銀松江  金額3541元整</t>
      </text>
    </comment>
    <comment authorId="0" ref="E197">
      <text>
        <t xml:space="preserve">======
ID#AAABjx7qRqA
    (2025-05-21 11:33:25)
自製品DRAM-TS512MSK64W6H戎克料號13-TS0-D30N004-001A</t>
      </text>
    </comment>
    <comment authorId="0" ref="K415">
      <text>
        <t xml:space="preserve">======
ID#AAABjx7qRpw
    (2025-05-21 11:33:25)
Customer request shipment asap.  Please help what we can do.  Thanks.</t>
      </text>
    </comment>
    <comment authorId="0" ref="D476">
      <text>
        <t xml:space="preserve">======
ID#AAABjx7qRpo
    (2025-05-21 11:33:25)
0603 通知Tammy下單</t>
      </text>
    </comment>
    <comment authorId="0" ref="D742">
      <text>
        <t xml:space="preserve">======
ID#AAABjx7qRpM
    (2025-05-21 11:33:25)
0820 確認客人，還在合併其他物料下單
0917 要求revise PI No.待PI 簽回
0920 cathy:客人突然告知已匯款，chloe下單，待需告知客人何時可以取貨</t>
      </text>
    </comment>
    <comment authorId="0" ref="H124">
      <text>
        <t xml:space="preserve">======
ID#AAABjx7qRoo
    (2025-05-21 11:33:25)
ALICE:201904/10水單匯入USD11416*30.78
沖(229+2394+326+34+5274+3066+103)=11426</t>
      </text>
    </comment>
    <comment authorId="0" ref="L528">
      <text>
        <t xml:space="preserve">======
ID#AAABjx7qRoM
0617 chloe    (2025-05-21 11:33:25)
貨到請交由chloe
0708 chloe:已交由生管</t>
      </text>
    </comment>
    <comment authorId="0" ref="K58">
      <text>
        <t xml:space="preserve">======
ID#AAABjx7qRn8
    (2025-05-21 11:33:25)
032５
2/12 Jay reply 2/19 by partial 3 pcs
Reply to Ti2 ship date: 2/21</t>
      </text>
    </comment>
    <comment authorId="0" ref="H845">
      <text>
        <t xml:space="preserve">======
ID#AAABjx7qRng
    (2025-05-21 11:33:25)
ALICE:10/29玉山水單匯入USD4240沖PI-20191018001</t>
      </text>
    </comment>
    <comment authorId="0" ref="H68">
      <text>
        <t xml:space="preserve">======
ID#AAABjx7qRnQ
    (2025-05-21 11:33:25)
0117 chloe:匯款匯入US$1,866.00</t>
      </text>
    </comment>
    <comment authorId="0" ref="H844">
      <text>
        <t xml:space="preserve">======
ID#AAABjx7qRmg
    (2025-05-21 11:33:25)
ALICE:1/7第一銀行USD3228 沖PI-20191007006 1501+PI-20191007007 USD1727+PI-20191128002 USD20總沖USD3248</t>
      </text>
    </comment>
    <comment authorId="0" ref="H65">
      <text>
        <t xml:space="preserve">======
ID#AAABjx7qRmQ
    (2025-05-21 11:33:25)
0124 chloe:匯款匯入US$48799</t>
      </text>
    </comment>
    <comment authorId="0" ref="D912">
      <text>
        <t xml:space="preserve">======
ID#AAABjx7qRmI
    (2025-05-21 11:33:25)
cathy: 11/19請chloe 下單</t>
      </text>
    </comment>
    <comment authorId="0" ref="H233">
      <text>
        <t xml:space="preserve">======
ID#AAABjx7qRlY
    (2025-05-21 11:33:25)
0312 chloe:匯款匯入US2055-11(手續費)</t>
      </text>
    </comment>
    <comment authorId="0" ref="D870">
      <text>
        <t xml:space="preserve">======
ID#AAABjx7qRlM
    (2025-05-21 11:33:25)
10/30 Cathy:請yvonne 協助下單</t>
      </text>
    </comment>
    <comment authorId="0" ref="H704">
      <text>
        <t xml:space="preserve">======
ID#AAABjx7qRlQ
    (2025-05-21 11:33:25)
alice:9/6玉山水單通知usd4763.4沖pi-20190904a usd4763.4</t>
      </text>
    </comment>
    <comment authorId="0" ref="H735">
      <text>
        <t xml:space="preserve">======
ID#AAABjx7qRkk
    (2025-05-21 11:33:25)
ALICE:10/22玉山匯入USD1405沖PI-20190913B USD1405</t>
      </text>
    </comment>
    <comment authorId="0" ref="H80">
      <text>
        <t xml:space="preserve">======
ID#AAABjx7qRkg
    (2025-05-21 11:33:25)
alice:6/20銀行水單匯入USD4462 沖PI20190107A.PI-20190318B.PI-20190508B.PI-20181022C-2-F</t>
      </text>
    </comment>
    <comment authorId="0" ref="K477">
      <text>
        <t xml:space="preserve">======
ID#AAABjx7qRj8
    (2025-05-21 11:33:25)
0722 Santiago同意先出貨。
0701 詢問預計7/11匯款&amp; 運輸方式</t>
      </text>
    </comment>
    <comment authorId="0" ref="D496">
      <text>
        <t xml:space="preserve">======
ID#AAABjx7qRj4
    (2025-05-21 11:33:25)
0606請Tammy 下單</t>
      </text>
    </comment>
    <comment authorId="0" ref="H310">
      <text>
        <t xml:space="preserve">======
ID#AAABjx7qRjk
    (2025-05-21 11:33:25)
alice:6/20銀行水單匯入USD4462 沖PI20190107A.PI-20190318B.PI-20190508B.PI-20181022C-2-F</t>
      </text>
    </comment>
    <comment authorId="0" ref="D616">
      <text>
        <t xml:space="preserve">======
ID#AAABjx7qRjQ
    (2025-05-21 11:33:25)
0725 請chole協助下單</t>
      </text>
    </comment>
    <comment authorId="0" ref="I522">
      <text>
        <t xml:space="preserve">======
ID#AAABjx7qRjM
    (2025-05-21 11:33:25)
Cathy/Santiago</t>
      </text>
    </comment>
    <comment authorId="0" ref="H826">
      <text>
        <t xml:space="preserve">======
ID#AAABjx7qRjE
    (2025-05-21 11:33:25)
ALICE:12/10-亞郁匯入NT86152沖PI-20191016001.PI-20191017001.PI-20191030002.PI-20191112005 USD270.9</t>
      </text>
    </comment>
    <comment authorId="0" ref="E971">
      <text>
        <t xml:space="preserve">======
ID#AAABjx7qRi8
    (2025-05-21 11:33:25)
每月1日-遇假日遞延
(台銀收盤即期買進賣出/2)</t>
      </text>
    </comment>
    <comment authorId="0" ref="K105">
      <text>
        <t xml:space="preserve">======
ID#AAABjx7qRi0
    (2025-05-21 11:33:25)
0121 Sant: 出貨前拍照</t>
      </text>
    </comment>
    <comment authorId="0" ref="H555">
      <text>
        <t xml:space="preserve">======
ID#AAABjx7qRi4
    (2025-05-21 11:33:25)
ALICE:2019/08/14匯入USD60</t>
      </text>
    </comment>
    <comment authorId="0" ref="H409">
      <text>
        <t xml:space="preserve">======
ID#AAABjx7qRik
    (2025-05-21 11:33:25)
alice:6/20銀行水單匯入USD4462 沖PI20190107A.PI-20190318B.PI-20190508B.PI-20181022C-2-F</t>
      </text>
    </comment>
    <comment authorId="0" ref="AK1">
      <text>
        <t xml:space="preserve">======
ID#AAABjx7qRiU
    (2025-05-21 11:33:25)
財務確認清帳填寫
已清帳=應收金額結清
空白=尚有餘款未收</t>
      </text>
    </comment>
    <comment authorId="0" ref="H320">
      <text>
        <t xml:space="preserve">======
ID#AAABjx7qRiQ
    (2025-05-21 11:33:25)
alice:5/10-水單通知usd3751-匯出手續費20-匯入手續費6.46=USD3724.54*30.94=NT115,237元整
沖20190320B USD1270
沖20190322A USD2481
合計總沖USD3751元整</t>
      </text>
    </comment>
    <comment authorId="0" ref="N485">
      <text>
        <t xml:space="preserve">======
ID#AAABjx7qRiI
    (2025-05-21 11:33:25)
0604 Cathy 下單</t>
      </text>
    </comment>
    <comment authorId="0" ref="K288">
      <text>
        <t xml:space="preserve">======
ID#AAABjx7qRhw
    (2025-05-21 11:33:25)
0401 Bruce告知一組LED閃爍，後無反應，請廠商來看。</t>
      </text>
    </comment>
    <comment authorId="0" ref="E921">
      <text>
        <t xml:space="preserve">======
ID#AAABjx7qRhk
    (2025-05-21 11:33:25)
191128 內含的CBL-M25M9x2-50,要請Bank依客人的pin define重工</t>
      </text>
    </comment>
    <comment authorId="0" ref="H539">
      <text>
        <t xml:space="preserve">======
ID#AAABjx7qRhY
    (2025-05-21 11:33:25)
Alice:7/8匯入NT170334 
Alice:8/6匯入NT186707
Alice:8/6匯入NT32231
總計389272+匯款手續費30=389302沖PI-20190523A 202565.沖PI20190702A 186737元整</t>
      </text>
    </comment>
    <comment authorId="0" ref="H325">
      <text>
        <t xml:space="preserve">======
ID#AAABjx7qRg0
    (2025-05-21 11:33:25)
ALICE:5/27-銀行匯入NT69487</t>
      </text>
    </comment>
    <comment authorId="0" ref="H599">
      <text>
        <t xml:space="preserve">======
ID#AAABjx7qRgo
    (2025-05-21 11:33:25)
ALICE:9/23玉山銀行水單通知匯入USD14587沖PI-20190626A 334.5 沖PI-20190703B 8550.沖PI20190719C 5212.5.沖PI-20190722A 210.沖PI-20190801C 280 合計總沖USD14587元整</t>
      </text>
    </comment>
    <comment authorId="0" ref="H843">
      <text>
        <t xml:space="preserve">======
ID#AAABjx7qRgA
    (2025-05-21 11:33:25)
ALICE:1/7第一銀行USD3228 沖PI-20191007006 1501+PI-20191007007 USD1727+PI-20191128002 USD20總沖USD3248</t>
      </text>
    </comment>
    <comment authorId="0" ref="E529">
      <text>
        <t xml:space="preserve">======
ID#AAABjx7qRfc
    (2025-05-21 11:33:25)
4/19 w/Optical Bonding, High Bridhtness 1000 nits, 9-36V PB-409,
Additional 2 USB port, SSD Key</t>
      </text>
    </comment>
    <comment authorId="0" ref="AI134">
      <text>
        <t xml:space="preserve">======
ID#AAABjx7qRfQ
    (2025-05-21 11:33:25)
ALICE:2019/05/02-水單匯入USD21462.5-(匯出手續費USD10+匯入手續費USD10.73)=USD21441.77*30.84=NT661264</t>
      </text>
    </comment>
    <comment authorId="0" ref="N152">
      <text>
        <t xml:space="preserve">======
ID#AAABjx7qRfI
    (2025-05-21 11:33:25)
0131下單</t>
      </text>
    </comment>
    <comment authorId="0" ref="H363">
      <text>
        <t xml:space="preserve">======
ID#AAABjx7qRe4
    (2025-05-21 11:33:25)
ALICE:5/17收到銀行電文通知USD1668-11匯款手續費=USD1657</t>
      </text>
    </comment>
    <comment authorId="0" ref="Z446">
      <text>
        <t xml:space="preserve">======
ID#AAABjx7qRek
    (2025-05-21 11:33:25)
消退，原發票號碼:PS36525714</t>
      </text>
    </comment>
    <comment authorId="0" ref="H527">
      <text>
        <t xml:space="preserve">======
ID#AAABjx7qReM
    (2025-05-21 11:33:25)
6/14-預收USD1403
6/28-銀行匯入USD6257 與6/14合計共7660，PI為7670故尚餘USD10元未收與chloe確認轉手續費處理</t>
      </text>
    </comment>
    <comment authorId="0" ref="K68">
      <text>
        <t xml:space="preserve">======
ID#AAABjx7qReE
    (2025-05-21 11:33:25)
0116 chloe:待收到客戶水單或是匯款才能放行出貨</t>
      </text>
    </comment>
    <comment authorId="0" ref="L828">
      <text>
        <t xml:space="preserve">======
ID#AAABjx7qRd4
    (2025-05-21 11:33:25)
chloe
1028: 原先告知10/30
1104: 尚未告知MOXA！！原倉庫(木新路)收貨至11/14止，11/15暫停收貨 ，
11/18之後送貨請送至新倉庫:新北市新店區寶橋路235巷118號2AF</t>
      </text>
    </comment>
    <comment authorId="0" ref="L9">
      <text>
        <t xml:space="preserve">======
ID#AAABjx7qRdc
    (2025-05-21 11:33:25)
1108 chloe:詢問過大PM (Santiago) 告知暫Hold</t>
      </text>
    </comment>
    <comment authorId="0" ref="H929">
      <text>
        <t xml:space="preserve">======
ID#AAABjx7qRdY
    (2025-05-21 11:33:25)
ALICE:1/20-第一USD收款USD1308(手續費0)沖PI-20191203001 USD77+PI-20191126001 USD1231 總計USD1308元整</t>
      </text>
    </comment>
    <comment authorId="0" ref="N380">
      <text>
        <t xml:space="preserve">======
ID#AAABjx7qRdQ
    (2025-05-21 11:33:25)
0422 Cathy 下單</t>
      </text>
    </comment>
    <comment authorId="0" ref="D985">
      <text>
        <t xml:space="preserve">======
ID#AAABjx7qRdI
    (2025-05-21 11:33:25)
每月15日-遇假日遞延
(台銀收盤即期買進賣出/2)</t>
      </text>
    </comment>
    <comment authorId="0" ref="L594">
      <text>
        <t xml:space="preserve">======
ID#AAABjx7qRdA
    (2025-05-21 11:33:25)
在此輸入
0724 chloe:貨到請通知Chloe
0904 Cathy : 客人告知預計10/4 &amp;10/18。但也非確定時間
0906 Cathy: 客人告知可能時間
0920 Cathy:客人告知已收到,預計9/20寄出
0925YVONNE:大榮寄出15995542754</t>
      </text>
    </comment>
    <comment authorId="0" ref="H84">
      <text>
        <t xml:space="preserve">======
ID#AAABjx7qRYI
    (2025-05-21 11:33:25)
ALICE:201904/10水單匯入USD11416*30.78
沖(229+2394+326+34+5274+3066+103)=11426</t>
      </text>
    </comment>
    <comment authorId="0" ref="D867">
      <text>
        <t xml:space="preserve">======
ID#AAABjx7qRYM
    (2025-05-21 11:33:25)
10/30 Cathy:請yvonne 協助下單</t>
      </text>
    </comment>
    <comment authorId="0" ref="L704">
      <text>
        <t xml:space="preserve">======
ID#AAABjx7qRWQ
    (2025-05-21 11:33:25)
待PULL IN中</t>
      </text>
    </comment>
    <comment authorId="0" ref="H337">
      <text>
        <t xml:space="preserve">======
ID#AAABjx7qRWM
    (2025-05-21 11:33:25)
ALICE:2019/04/08-水單匯入USB1543-手續費USD11=USD1532</t>
      </text>
    </comment>
    <comment authorId="0" ref="H413">
      <text>
        <t xml:space="preserve">======
ID#AAABjx7qRV8
    (2025-05-21 11:33:25)
ALICE:7/17水單匯入USD9362沖PI-20190508B-F 92元.PI-20190508B-1 130元. PI-20190509C 9140元整</t>
      </text>
    </comment>
    <comment authorId="0" ref="K59">
      <text>
        <t xml:space="preserve">======
ID#AAABjx7qRVM
    (2025-05-21 11:33:25)
032５
2/12 Jay reply 2/19 by partial 3 pcs
Reply to Ti2 ship date: 2/21</t>
      </text>
    </comment>
    <comment authorId="0" ref="D820">
      <text>
        <t xml:space="preserve">======
ID#AAABjx7qRVQ
    (2025-05-21 11:33:25)
10/14 cathy: 請Tammy 下單</t>
      </text>
    </comment>
    <comment authorId="0" ref="H331">
      <text>
        <t xml:space="preserve">======
ID#AAABjx7qRU0
    (2025-05-21 11:33:25)
Chloe:2019/4/19 水單匯入USB702.10-手續費USD 0=USD702.10</t>
      </text>
    </comment>
    <comment authorId="0" ref="Q590">
      <text>
        <t xml:space="preserve">======
ID#AAABjx7qRUs
    (2025-05-21 11:33:25)
客供料，無成本</t>
      </text>
    </comment>
    <comment authorId="0" ref="D643">
      <text>
        <t xml:space="preserve">======
ID#AAABjx7qRUo
    (2025-05-21 11:33:25)
在此輸入
需要分兩次出貨
8/21請yvonne 協助下單
9/3 告知會再這兩日匯款</t>
      </text>
    </comment>
    <comment authorId="0" ref="H508">
      <text>
        <t xml:space="preserve">======
ID#AAABjx7qRUk
    (2025-05-21 11:33:25)
ALICE:6/13-玉山匯入USD4942-應付3539=1403轉預收貨款   銀行淨收4895.64*31.47</t>
      </text>
    </comment>
    <comment authorId="0" ref="H438">
      <text>
        <t xml:space="preserve">======
ID#AAABjx7qRT4
    (2025-05-21 11:33:25)
alice:5/30-銀行水單USD3750</t>
      </text>
    </comment>
    <comment authorId="0" ref="H291">
      <text>
        <t xml:space="preserve">======
ID#AAABjx7qRTw
    (2025-05-21 11:33:25)
alice:2019/05/17水單通知USD19768沖3/4A $1995.3/4A-1$4152.3/4A-1-F $232.3/8B-F $57.12/21A-2-F $144.3/4A-1 $189.10/22C-2 $10227.12/21A-1 $2772.如上總計共USD19768</t>
      </text>
    </comment>
    <comment authorId="0" ref="H122">
      <text>
        <t xml:space="preserve">======
ID#AAABjx7qRTo
    (2025-05-21 11:33:25)
ALICE:201904/10水單匯入USD11416*30.78
沖(229+2394+326+34+5274+3066+103)=11426</t>
      </text>
    </comment>
    <comment authorId="0" ref="H224">
      <text>
        <t xml:space="preserve">======
ID#AAABjx7qRTk
    (2025-05-21 11:33:25)
0225 chloe:匯款匯入 US2630- US40(第三地銀行手續費)</t>
      </text>
    </comment>
    <comment authorId="0" ref="J711">
      <text>
        <t xml:space="preserve">======
ID#AAABjx7qRTY
    (2025-05-21 11:33:25)
Forwarder Details: -
FETA FREIGHT SYSTEMS (TAIWAN ) LTD. 
JUDY KAO 
 Tel: +886-3-399-2033 EXT: 135
Direct: +886-3-3992106
Fax: +886-3-3992036/2055
E-mail: judykao@ffsi.com.tw
Skype:judykao-mlattao</t>
      </text>
    </comment>
    <comment authorId="0" ref="G955">
      <text>
        <t xml:space="preserve">======
ID#AAABjx7qRS8
    (2025-05-21 11:33:25)
12/13
與TPM 實收NTD 73,332 (未稅2000歐元)
chloe 告知當時匯款匯率抓34.92</t>
      </text>
    </comment>
    <comment authorId="0" ref="H89">
      <text>
        <t xml:space="preserve">======
ID#AAABjx7qRS4
    (2025-05-21 11:33:25)
0124 chloe:匯款匯入US$48799</t>
      </text>
    </comment>
    <comment authorId="0" ref="N47">
      <text>
        <t xml:space="preserve">======
ID#AAABjx7qRS0
    (2025-05-21 11:33:25)
詢價→
創見:TS1GSK64W6H
敏博:DDS8GHIMBFC US$58.2(NT$1,796)</t>
      </text>
    </comment>
    <comment authorId="0" ref="L416">
      <text>
        <t xml:space="preserve">======
ID#AAABjx7qRSg
    (2025-05-21 11:33:25)
5/21 Amy: 1. need COC by Elgens
2. All shipping document w/ PO No.
3 Above documents attached with the goods</t>
      </text>
    </comment>
    <comment authorId="0" ref="U51">
      <text>
        <t xml:space="preserve">======
ID#AAABjx7qRSE
    (2025-05-21 11:33:25)
當月底結，隔月五號付款</t>
      </text>
    </comment>
    <comment authorId="0" ref="AI132">
      <text>
        <t xml:space="preserve">======
ID#AAABjx7qRSI
    (2025-05-21 11:33:25)
ALICE:2019/05/02-水單匯入USD21462.5-(匯出手續費USD10+匯入手續費USD10.73)=USD21441.77*30.84=NT661264</t>
      </text>
    </comment>
    <comment authorId="0" ref="AI510">
      <text>
        <t xml:space="preserve">======
ID#AAABjx7qRRs
    (2025-05-21 11:33:25)
6/13-玉山匯入USD4942-應付3539=1403轉預收貨款   銀行淨收4895.64*31.47</t>
      </text>
    </comment>
    <comment authorId="0" ref="H479">
      <text>
        <t xml:space="preserve">======
ID#AAABjx7qRRo
    (2025-05-21 11:33:25)
ALICE:8/27玉山銀行匯入USD9443沖PI-20190604A.PI-20190628A.PI-20190604A-F合計共USD9443元整</t>
      </text>
    </comment>
    <comment authorId="0" ref="H27">
      <text>
        <t xml:space="preserve">======
ID#AAABjx7qRRk
    (2025-05-21 11:33:25)
0128 Mary: 匯款匯入 US$11,920(同H25)</t>
      </text>
    </comment>
    <comment authorId="0" ref="H632">
      <text>
        <t xml:space="preserve">======
ID#AAABjx7qRRg
    (2025-05-21 11:33:25)
ALICE:8/2-水單匯入USD1529.4沖PI-20190801B USD1529.4</t>
      </text>
    </comment>
    <comment authorId="0" ref="E82">
      <text>
        <t xml:space="preserve">======
ID#AAABjx7qRRQ
    (2025-05-21 11:33:25)
1122AMY: 3pin power connector 改為RG58 power connector
寬螢幕及修改版鐵殼+鋁三 角椎</t>
      </text>
    </comment>
    <comment authorId="0" ref="H277">
      <text>
        <t xml:space="preserve">======
ID#AAABjx7qRRA
    (2025-05-21 11:33:25)
3/22 chloe:匯款匯入NT2868</t>
      </text>
    </comment>
    <comment authorId="0" ref="L590">
      <text>
        <t xml:space="preserve">======
ID#AAABjx7qRQs
    (2025-05-21 11:33:25)
0724 chloe:貨到請通知Chloe
0904 Cathy : 客人告知預計10/4 &amp;10/18。但也非確定時間
0906 Cathy: 客人告知可能時間
0916 Vivian 檢驗外觀ok
0925YVONNE:大榮寄出15995542754</t>
      </text>
    </comment>
    <comment authorId="0" ref="H241">
      <text>
        <t xml:space="preserve">======
ID#AAABjx7qRQQ
    (2025-05-21 11:33:25)
Alice:2019/04/30-銀行通知電文USD3780元整</t>
      </text>
    </comment>
    <comment authorId="0" ref="D234">
      <text>
        <t xml:space="preserve">======
ID#AAABjx7qRQA
    (2025-05-21 11:33:25)
0306 請Tammy 下單  
0305 客人有revise order</t>
      </text>
    </comment>
    <comment authorId="0" ref="K429">
      <text>
        <t xml:space="preserve">======
ID#AAABjx7qRP8
    (2025-05-21 11:33:25)
5/23 Amy: please inform sales for pick up from Vecow, need shipment on 6/6</t>
      </text>
    </comment>
    <comment authorId="0" ref="D611">
      <text>
        <t xml:space="preserve">======
ID#AAABjx7qRP4
    (2025-05-21 11:33:25)
7/23 Amy: COC requested together with shipment/ PO Number indicated on each shipping documents / Invoice &amp; Packing list together with shipment</t>
      </text>
    </comment>
    <comment authorId="0" ref="H456">
      <text>
        <t xml:space="preserve">======
ID#AAABjx7qRPo
    (2025-05-21 11:33:25)
alice:6/14-玉山匯入USD1346-手續費31.36=USD1314.64*31.47</t>
      </text>
    </comment>
    <comment authorId="0" ref="N707">
      <text>
        <t xml:space="preserve">======
ID#AAABjx7qRPg
    (2025-05-21 11:33:25)
0905YVONNE下單</t>
      </text>
    </comment>
    <comment authorId="0" ref="H756">
      <text>
        <t xml:space="preserve">======
ID#AAABjx7qRPU
    (2025-05-21 11:33:25)
ALICE:12/4-TPOLE匯入一銀USD2242(全額到付)沖PI-20190923B 125+PI-20190930B USD1872+PI-20191014006 USD150+PI-20191026001 USD95合計總沖USD2242元整</t>
      </text>
    </comment>
    <comment authorId="0" ref="N580">
      <text>
        <t xml:space="preserve">======
ID#AAABjx7qRPA
    (2025-05-21 11:33:25)
0718YVONNE下單</t>
      </text>
    </comment>
    <comment authorId="0" ref="H553">
      <text>
        <t xml:space="preserve">======
ID#AAABjx7qRO4
    (2025-05-21 11:33:25)
Alice:8/8-水單匯入USD4555元整，沖PI-20190708A 2540.PI-20190711A 1355.PI-20190712A 660</t>
      </text>
    </comment>
    <comment authorId="0" ref="E874">
      <text>
        <t xml:space="preserve">======
ID#AAABjx7qROs
    (2025-05-21 11:33:25)
10/31 san同意給客人兩年保固&amp;做FOB</t>
      </text>
    </comment>
    <comment authorId="0" ref="E451">
      <text>
        <t xml:space="preserve">======
ID#AAABjx7qROg
    (2025-05-21 11:33:25)
20170104 Santiago: 和之前訂單一樣, w/o adapter</t>
      </text>
    </comment>
    <comment authorId="0" ref="H921">
      <text>
        <t xml:space="preserve">======
ID#AAABjx7qROQ
    (2025-05-21 11:33:25)
ALICE:1/20-第一USD收款USD1308(手續費0)沖PI-20191203001 USD77+PI-20191126001 USD1231 總計USD1308元整</t>
      </text>
    </comment>
    <comment authorId="0" ref="AI223">
      <text>
        <t xml:space="preserve">======
ID#AAABjx7qRNs
    (2025-05-21 11:33:25)
ALICE:2019/05/02-水單匯入USD21462.5-(匯出手續費USD10+匯入手續費USD10.73)=USD21441.77*30.84=NT661264</t>
      </text>
    </comment>
    <comment authorId="0" ref="H551">
      <text>
        <t xml:space="preserve">======
ID#AAABjx7qRNM
    (2025-05-21 11:33:25)
alice:7/12-水單匯入USD831沖PI-20190710B</t>
      </text>
    </comment>
    <comment authorId="0" ref="E206">
      <text>
        <t xml:space="preserve">======
ID#AAABjx7qRMg
0214 Santiago    (2025-05-21 11:33:25)
-&gt; 待客戶將 7' LCD (AA070ME01)寄來後， 寄曦立光電做貼合</t>
      </text>
    </comment>
    <comment authorId="0" ref="Q565">
      <text>
        <t xml:space="preserve">======
ID#AAABjx7qRMk
    (2025-05-21 11:33:25)
無成本</t>
      </text>
    </comment>
    <comment authorId="0" ref="H569">
      <text>
        <t xml:space="preserve">======
ID#AAABjx7qRMY
    (2025-05-21 11:33:25)
ALICE:8/22玉山銀行匯入NT1,596,000+NT1,978=NT1,597,978元整，沖PI-20190717C NT1,586,124 ，沖PI-20190813C NT11,854</t>
      </text>
    </comment>
    <comment authorId="0" ref="D607">
      <text>
        <t xml:space="preserve">======
ID#AAABjx7qRME
    (2025-05-21 11:33:25)
0722 請chloe下單</t>
      </text>
    </comment>
    <comment authorId="0" ref="H510">
      <text>
        <t xml:space="preserve">======
ID#AAABjx7qRMA
    (2025-05-21 11:33:25)
ALICE:6/13-玉山匯入USD4942-應付3539=1403轉預收貨款   銀行淨收4895.64*31.47</t>
      </text>
    </comment>
    <comment authorId="0" ref="G208">
      <text>
        <t xml:space="preserve">======
ID#AAABjx7qRLw
    (2025-05-21 11:33:25)
0127 San: 銷退貨用, 故單價先計算為0, 但給廠商的PO 仍然為US255 / 1 pcs</t>
      </text>
    </comment>
    <comment authorId="0" ref="E202">
      <text>
        <t xml:space="preserve">======
ID#AAABjx7qRLM
    (2025-05-21 11:33:25)
自製品TS32GSSD420K ，戎克料號:14-TS0-SDMN032-001A</t>
      </text>
    </comment>
    <comment authorId="0" ref="B729">
      <text>
        <t xml:space="preserve">======
ID#AAABjx7qRLQ
    (2025-05-21 11:33:25)
新開發客戶</t>
      </text>
    </comment>
    <comment authorId="0" ref="L378">
      <text>
        <t xml:space="preserve">======
ID#AAABjx7qRLI
    (2025-05-21 11:33:25)
0422 Tammy 告知 與4/29貨一起走</t>
      </text>
    </comment>
    <comment authorId="0" ref="E541">
      <text>
        <t xml:space="preserve">======
ID#AAABjx7qRLA
    (2025-05-21 11:33:25)
AB-6810404112111210850</t>
      </text>
    </comment>
    <comment authorId="0" ref="D678">
      <text>
        <t xml:space="preserve">======
ID#AAABjx7qRKw
    (2025-05-21 11:33:25)
0828 請chloe 協助下單</t>
      </text>
    </comment>
    <comment authorId="0" ref="H306">
      <text>
        <t xml:space="preserve">======
ID#AAABjx7qRKY
    (2025-05-21 11:33:25)
ALICE:5/3收到USD12965.5(沖PI-20190121B.PI20190217A.PI-20190131C.PI-20190313A.PI-20190306A)</t>
      </text>
    </comment>
    <comment authorId="0" ref="H213">
      <text>
        <t xml:space="preserve">======
ID#AAABjx7qRKE
    (2025-05-21 11:33:25)
5/30-銀行電文通知usd15853沖PI-20190218A 4400,PI20190218A 8975,PI-20190218A 2478(4850中的2478)</t>
      </text>
    </comment>
    <comment authorId="0" ref="S333">
      <text>
        <t xml:space="preserve">======
ID#AAABjx7qRJw
    (2025-05-21 11:33:25)
ALICE:成本@620(未稅)+運費100(未稅)=720(未稅)+稅金36=756(含稅)</t>
      </text>
    </comment>
    <comment authorId="0" ref="N170">
      <text>
        <t xml:space="preserve">======
ID#AAABjx7qRJk
    (2025-05-21 11:33:25)
0211下單
交期暫押2/22</t>
      </text>
    </comment>
    <comment authorId="0" ref="L588">
      <text>
        <t xml:space="preserve">======
ID#AAABjx7qRJU
    (2025-05-21 11:33:25)
0724 chloe:貨到請通知Chloe
(準備送曦立貼合)</t>
      </text>
    </comment>
    <comment authorId="0" ref="H373">
      <text>
        <t xml:space="preserve">======
ID#AAABjx7qRJE
    (2025-05-21 11:33:25)
ALICE:5/17收到銀行電文通知USD1668-11匯款手續費=USD1657</t>
      </text>
    </comment>
    <comment authorId="0" ref="H880">
      <text>
        <t xml:space="preserve">======
ID#AAABjx7qRIg
    (2025-05-21 11:33:25)
12/18-合庫匯入USD10954(內含手續費USD18.65)沖PI-20191108001 USD10954(12600)故尚餘USD1646尚未支付
ALICE:2020/01/10-SA匯入USD37024-沖PI-20191108001 (5904+2010+440+20104+950+6270)+1346(12600中的1346)=USD37024  
結餘12600餘300未收
ALICE:2020/1/20一銀收款USD10000(沖PI-20191108001 此筆USD300)結清</t>
      </text>
    </comment>
    <comment authorId="0" ref="H238">
      <text>
        <t xml:space="preserve">======
ID#AAABjx7qRIc
    (2025-05-21 11:33:25)
0225 chloe:客戶水單2/25，待我司銀行通知入帳
0226 chloe:匯款匯入6471-11(匯款手續費)</t>
      </text>
    </comment>
    <comment authorId="0" ref="H21">
      <text>
        <t xml:space="preserve">======
ID#AAABjx7qRIQ
    (2025-05-21 11:33:25)
1227 chloe:匯款匯入US$53334</t>
      </text>
    </comment>
    <comment authorId="0" ref="D811">
      <text>
        <t xml:space="preserve">======
ID#AAABjx7qRIU
    (2025-05-21 11:33:25)
10/8 cathy: 通知下單</t>
      </text>
    </comment>
    <comment authorId="0" ref="AJ133">
      <text>
        <t xml:space="preserve">======
ID#AAABjx7qRH0
    (2025-05-21 11:33:25)
ALICE:2019/05/02-水單匯入USD21462.5-(匯出手續費USD10+匯入手續費USD10.73)=USD21441.77*30.84=NT661264</t>
      </text>
    </comment>
    <comment authorId="0" ref="H481">
      <text>
        <t xml:space="preserve">======
ID#AAABjx7qRHw
    (2025-05-21 11:33:25)
ALICE:8/27玉山銀行匯入USD9443沖PI-20190604A.PI-20190628A.PI-20190604A-F合計共USD9443元整</t>
      </text>
    </comment>
    <comment authorId="0" ref="H935">
      <text>
        <t xml:space="preserve">======
ID#AAABjx7qRHk
    (2025-05-21 11:33:25)
ALICE:1/7第一銀行USD3228 沖PI-20191007006 1501+PI-20191007007 USD1727+PI-20191128002 USD20總沖USD3248</t>
      </text>
    </comment>
    <comment authorId="0" ref="U70">
      <text>
        <t xml:space="preserve">======
ID#AAABjx7qRHU
    (2025-05-21 11:33:25)
chloe 2/26 先匯出 58.8</t>
      </text>
    </comment>
    <comment authorId="0" ref="P679">
      <text>
        <t xml:space="preserve">======
ID#AAABjx7qRHQ
    (2025-05-21 11:33:25)
往後使用以色列專案價</t>
      </text>
    </comment>
    <comment authorId="0" ref="H924">
      <text>
        <t xml:space="preserve">======
ID#AAABjx7qRHE
    (2025-05-21 11:33:25)
ALICE:1/20-第一USD收款USD1308(手續費0)沖PI-20191203001 USD77+PI-20191126001 USD1231 總計USD1308元整</t>
      </text>
    </comment>
    <comment authorId="0" ref="D232">
      <text>
        <t xml:space="preserve">======
ID#AAABjx7qRG4
    (2025-05-21 11:33:25)
190109 Tammy: 抽驗即可, 謝謝</t>
      </text>
    </comment>
    <comment authorId="0" ref="K11">
      <text>
        <t xml:space="preserve">======
ID#AAABjx7qRGM
    (2025-05-21 11:33:25)
0311 Cathy: 生管告知Q18A525005*1PCS 無法開機。廠商取回處理
1120Amy: Vecow 年底前交貨, 收到超恩貨+2-3 days出貨Ti2</t>
      </text>
    </comment>
    <comment authorId="0" ref="J903">
      <text>
        <t xml:space="preserve">======
ID#AAABjx7qRFM
    (2025-05-21 11:33:25)
客人自取</t>
      </text>
    </comment>
    <comment authorId="0" ref="L591">
      <text>
        <t xml:space="preserve">======
ID#AAABjx7qRFQ
    (2025-05-21 11:33:25)
0724 chloe:貨到請通知Chloe
(準備送曦立貼合)
0927 chloe: 確定 10/9，PULL IN 中</t>
      </text>
    </comment>
    <comment authorId="0" ref="E736">
      <text>
        <t xml:space="preserve">======
ID#AAABjx7qRE8
    (2025-05-21 11:33:25)
DG141005</t>
      </text>
    </comment>
    <comment authorId="0" ref="L877">
      <text>
        <t xml:space="preserve">======
ID#AAABjx7qREs
    (2025-05-21 11:33:25)
11/4 Cathy: Jimmy 告知交期</t>
      </text>
    </comment>
    <comment authorId="0" ref="L860">
      <text>
        <t xml:space="preserve">======
ID#AAABjx7qREc
    (2025-05-21 11:33:25)
1029YVONNE:未滿20PCS須拉回我司組裝</t>
      </text>
    </comment>
    <comment authorId="0" ref="H547">
      <text>
        <t xml:space="preserve">======
ID#AAABjx7qREQ
    (2025-05-21 11:33:25)
Alice:8/8-水單匯入USD4555元整，沖PI-20190708A 2540.PI-20190711A 1355.PI-20190712A 660</t>
      </text>
    </comment>
    <comment authorId="0" ref="G570">
      <text>
        <t xml:space="preserve">======
ID#AAABjx7qREI
    (2025-05-21 11:33:25)
190718 Tammy: w/5%</t>
      </text>
    </comment>
    <comment authorId="0" ref="L663">
      <text>
        <t xml:space="preserve">======
ID#AAABjx7qREA
    (2025-05-21 11:33:25)
chloe: 1107 Pull in 12/27 那週交貨→廠商尚未回覆</t>
      </text>
    </comment>
    <comment authorId="0" ref="F494">
      <text>
        <t xml:space="preserve">======
ID#AAABjx7qRDk
    (2025-05-21 11:33:25)
6pcs</t>
      </text>
    </comment>
    <comment authorId="0" ref="H175">
      <text>
        <t xml:space="preserve">======
ID#AAABjx7qRDc
    (2025-05-21 11:33:25)
0419 chloe: 20190415 收到162,635-30(手續費)</t>
      </text>
    </comment>
    <comment authorId="0" ref="R736">
      <text>
        <t xml:space="preserve">======
ID#AAABjx7qRDU
    (2025-05-21 11:33:25)
0916 chloe:樣品無下單</t>
      </text>
    </comment>
    <comment authorId="0" ref="H911">
      <text>
        <t xml:space="preserve">======
ID#AAABjx7qRC4
    (2025-05-21 11:33:25)
Alice:11/14電文通知匯入USD1676 沖PI-20191114002 USD1676 待銀行水單沖帳</t>
      </text>
    </comment>
    <comment authorId="0" ref="AJ136">
      <text>
        <t xml:space="preserve">======
ID#AAABjx7qRC0
    (2025-05-21 11:33:25)
ALICE:2019/05/02-水單匯入USD21462.5-(匯出手續費USD10+匯入手續費USD10.73)=USD21441.77*30.84=NT661264</t>
      </text>
    </comment>
    <comment authorId="0" ref="H391">
      <text>
        <t xml:space="preserve">======
ID#AAABjx7qRCg
    (2025-05-21 11:33:25)
ALICE:5/27-水單匯入USD4578*31.43</t>
      </text>
    </comment>
    <comment authorId="0" ref="N344">
      <text>
        <t xml:space="preserve">======
ID#AAABjx7qRCY
    (2025-05-21 11:33:25)
0410 Cathy 下單</t>
      </text>
    </comment>
    <comment authorId="0" ref="D123">
      <text>
        <t xml:space="preserve">======
ID#AAABjx7qRCQ
    (2025-05-21 11:33:25)
1/25宸曜這批無法協駔組裝SSD &amp; DRAM, 需自行組裝, 並請確認SATA Cable、DRAM處需點膠加強.</t>
      </text>
    </comment>
    <comment authorId="0" ref="H688">
      <text>
        <t xml:space="preserve">======
ID#AAABjx7qRCA
    (2025-05-21 11:33:25)
ALICE:10/22玉山銀行匯入USD6469沖PI-20190905A USD495.PI-20190905A-F USD45.PI-20190902A 5929合計總沖USD6469</t>
      </text>
    </comment>
    <comment authorId="0" ref="H469">
      <text>
        <t xml:space="preserve">======
ID#AAABjx7qRB8
    (2025-05-21 11:33:25)
ALICE:5/31銀行電文通知匯入款USD531+匯出手續費USD11=USD542</t>
      </text>
    </comment>
    <comment authorId="0" ref="L826">
      <text>
        <t xml:space="preserve">======
ID#AAABjx7qRB0
    (2025-05-21 11:33:25)
1030 cathy: 亞郁通知下班前收到貨
1028 chloe: 原先告知10/30</t>
      </text>
    </comment>
    <comment authorId="0" ref="H203">
      <text>
        <t xml:space="preserve">======
ID#AAABjx7qRBo
    (2025-05-21 11:33:25)
0327 chloe:匯款匯入US$21425-20(手續費)</t>
      </text>
    </comment>
    <comment authorId="0" ref="D473">
      <text>
        <t xml:space="preserve">======
ID#AAABjx7qRBI
    (2025-05-21 11:33:25)
0603 通知Tammy下單</t>
      </text>
    </comment>
    <comment authorId="0" ref="L94">
      <text>
        <t xml:space="preserve">======
ID#AAABjx7qRBA
    (2025-05-21 11:33:25)
0114 chloe:待L85/L86 有交期後再下單</t>
      </text>
    </comment>
    <comment authorId="0" ref="N895">
      <text>
        <t xml:space="preserve">======
ID#AAABjx7qRBE
    (2025-05-21 11:33:25)
不含Adapter</t>
      </text>
    </comment>
    <comment authorId="0" ref="E517">
      <text>
        <t xml:space="preserve">======
ID#AAABjx7qRA4
    (2025-05-21 11:33:25)
190620 Karen: EU ADAPTER</t>
      </text>
    </comment>
    <comment authorId="0" ref="H832">
      <text>
        <t xml:space="preserve">======
ID#AAABjx7qRAg
    (2025-05-21 11:33:25)
ALICE:12/13一銀USD收到KH匯入USD1562.8(內含手續費USD28.61)沖PI-20191017004 USD1347+PI-20191030001 USD215.8合計總沖USD1562.8</t>
      </text>
    </comment>
    <comment authorId="0" ref="H649">
      <text>
        <t xml:space="preserve">======
ID#AAABjx7qRAY
    (2025-05-21 11:33:25)
ALICE:9/26玉山銀行匯入USD1212元整，沖PI-20190819A USD1092，沖PI-20190814C USD120</t>
      </text>
    </comment>
    <comment authorId="0" ref="J873">
      <text>
        <t xml:space="preserve">======
ID#AAABjx7qRAQ
    (2025-05-21 11:33:25)
FOB 
代客人提供forwarder</t>
      </text>
    </comment>
    <comment authorId="0" ref="L819">
      <text>
        <t xml:space="preserve">======
ID#AAABjx7qQ_4
    (2025-05-21 11:33:25)
Chloe 1106: MOXA回覆交期，有可能會延遲兩天</t>
      </text>
    </comment>
    <comment authorId="0" ref="H814">
      <text>
        <t xml:space="preserve">======
ID#AAABjx7qQ_o
    (2025-05-21 11:33:25)
ALICE:10/15玉山銀行收到匯入款USD2440(手續費USD)26.53沖PI-20191007012總計USD2440元整</t>
      </text>
    </comment>
    <comment authorId="0" ref="G647">
      <text>
        <t xml:space="preserve">======
ID#AAABjx7qQ_Q
    (2025-05-21 11:33:25)
190718 Tammy: w/5%</t>
      </text>
    </comment>
    <comment authorId="0" ref="H488">
      <text>
        <t xml:space="preserve">======
ID#AAABjx7qQ-g
    (2025-05-21 11:33:25)
ALICE:7/8-電文通知USD2300沖PI-20190604D.PI-20190611A</t>
      </text>
    </comment>
    <comment authorId="0" ref="H332">
      <text>
        <t xml:space="preserve">======
ID#AAABjx7qQ-c
    (2025-05-21 11:33:25)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802">
      <text>
        <t xml:space="preserve">======
ID#AAABjx7qQ-E
    (2025-05-21 11:33:25)
ALICE:11/20一銀匯入USD5837沖PI-20190930A USD3945+PI-20191003A USD137+PI-20191005A USD1755</t>
      </text>
    </comment>
    <comment authorId="0" ref="H651">
      <text>
        <t xml:space="preserve">======
ID#AAABjx7qQ94
    (2025-05-21 11:33:25)
ALICE:8/22玉山匯入USD4512.6沖PI-20190815A USD4512.6</t>
      </text>
    </comment>
    <comment authorId="0" ref="J562">
      <text>
        <t xml:space="preserve">======
ID#AAABjx7qQ9o
    (2025-05-21 11:33:25)
190717 Tammy: 收到貨款後, 才出貨</t>
      </text>
    </comment>
    <comment authorId="0" ref="E639">
      <text>
        <t xml:space="preserve">======
ID#AAABjx7qQ9g
    (2025-05-21 11:33:25)
0814 chloe :w/o Cable</t>
      </text>
    </comment>
    <comment authorId="0" ref="N592">
      <text>
        <t xml:space="preserve">======
ID#AAABjx7qQ9A
    (2025-05-21 11:33:25)
0801 chloe: 0731 開案</t>
      </text>
    </comment>
    <comment authorId="0" ref="N232">
      <text>
        <t xml:space="preserve">======
ID#AAABjx7qQ88
    (2025-05-21 11:33:25)
0222 Cathy 下單</t>
      </text>
    </comment>
    <comment authorId="0" ref="H489">
      <text>
        <t xml:space="preserve">======
ID#AAABjx7qQ8w
    (2025-05-21 11:33:25)
ALICE:7/8-電文通知USD2300沖PI-20190604D.PI-20190611A</t>
      </text>
    </comment>
    <comment authorId="0" ref="G670">
      <text>
        <t xml:space="preserve">======
ID#AAABjx7qQ8o
    (2025-05-21 11:33:25)
190215 w/5% vat</t>
      </text>
    </comment>
    <comment authorId="0" ref="G162">
      <text>
        <t xml:space="preserve">======
ID#AAABjx7qQ8Q
    (2025-05-21 11:33:25)
190215 w/5% vat</t>
      </text>
    </comment>
    <comment authorId="0" ref="H5">
      <text>
        <t xml:space="preserve">======
ID#AAABjx7qQ7A
    (2025-05-21 11:33:25)
0306 chloe:匯款匯入US$14480.6(含20190119A RG58 cable Sample)</t>
      </text>
    </comment>
    <comment authorId="0" ref="D58">
      <text>
        <t xml:space="preserve">======
ID#AAABjx7qQ64
    (2025-05-21 11:33:25)
1/21 Keiju: 出貨前拍照</t>
      </text>
    </comment>
    <comment authorId="0" ref="N681">
      <text>
        <t xml:space="preserve">======
ID#AAABjx7qQ6c
    (2025-05-21 11:33:25)
0831 chloe 修改料號，待Nicky回覆</t>
      </text>
    </comment>
    <comment authorId="0" ref="H130">
      <text>
        <t xml:space="preserve">======
ID#AAABjx7qQ6Y
    (2025-05-21 11:33:25)
0327 chloe:匯款匯入42,592-10(手續費)</t>
      </text>
    </comment>
    <comment authorId="0" ref="K552">
      <text>
        <t xml:space="preserve">======
ID#AAABjx7qQ58
    (2025-05-21 11:33:25)
0722 Santiago同意先出貨。</t>
      </text>
    </comment>
    <comment authorId="0" ref="N532">
      <text>
        <t xml:space="preserve">======
ID#AAABjx7qQ5s
    (2025-05-21 11:33:25)
0628 Cathy 下單</t>
      </text>
    </comment>
    <comment authorId="0" ref="D94">
      <text>
        <t xml:space="preserve">======
ID#AAABjx7qQ5I
    (2025-05-21 11:33:25)
1/21 Keiju: 已納入生產排程</t>
      </text>
    </comment>
    <comment authorId="0" ref="D881">
      <text>
        <t xml:space="preserve">======
ID#AAABjx7qQ44
    (2025-05-21 11:33:25)
11/8 cathy: 請Chloe 請協助下單</t>
      </text>
    </comment>
    <comment authorId="0" ref="I804">
      <text>
        <t xml:space="preserve">======
ID#AAABjx7qQ40
    (2025-05-21 11:33:25)
Cathy/Santiago</t>
      </text>
    </comment>
    <comment authorId="0" ref="H515">
      <text>
        <t xml:space="preserve">======
ID#AAABjx7qQ4w
    (2025-05-21 11:33:25)
ALICE:8/5收到應收票據:到期日108/07/31票號CP0073500 金額26066元整+ 7/3預收11978元整=38044
沖PI-20190531B 25268+沖PI-20190613A 12804=38072 差額28元為寄支票郵資</t>
      </text>
    </comment>
    <comment authorId="0" ref="L52">
      <text>
        <t xml:space="preserve">======
ID#AAABjx7qQ4s
    (2025-05-21 11:33:25)
1221 chloe:到貨後
1)通知Chloe
2)並將外箱客戶名稱貼紙撕除
3)LCD寄至曦立光電</t>
      </text>
    </comment>
    <comment authorId="0" ref="D553">
      <text>
        <t xml:space="preserve">======
ID#AAABjx7qQ4M
    (2025-05-21 11:33:25)
0711 請Chloe協助下單</t>
      </text>
    </comment>
    <comment authorId="0" ref="D48">
      <text>
        <t xml:space="preserve">======
ID#AAABjx7qQ4A
    (2025-05-21 11:33:25)
0115 到貨，已mail通知小葛
0115 Keiju: 已QC OK</t>
      </text>
    </comment>
    <comment authorId="0" ref="K121">
      <text>
        <t xml:space="preserve">======
ID#AAABjx7qQ3g
    (2025-05-21 11:33:25)
在此輸入
0220 Bruce: 告知預計2/25可出貨</t>
      </text>
    </comment>
    <comment authorId="0" ref="N298">
      <text>
        <t xml:space="preserve">======
ID#AAABjx7qQ3I
    (2025-05-21 11:33:25)
0306 Cathy下單</t>
      </text>
    </comment>
    <comment authorId="0" ref="H729">
      <text>
        <t xml:space="preserve">======
ID#AAABjx7qQ28
    (2025-05-21 11:33:25)
ALICE:9/12玉山水單匯入USD1463沖PI-20190910C USD1463元整</t>
      </text>
    </comment>
    <comment authorId="0" ref="H635">
      <text>
        <t xml:space="preserve">======
ID#AAABjx7qQ2w
    (2025-05-21 11:33:25)
alice:9/18玉山銀行水單匯入USD11500沖PI-20190801D USD11500</t>
      </text>
    </comment>
    <comment authorId="0" ref="E646">
      <text>
        <t xml:space="preserve">======
ID#AAABjx7qQ2c
    (2025-05-21 11:33:25)
US Adaptor</t>
      </text>
    </comment>
    <comment authorId="0" ref="N710">
      <text>
        <t xml:space="preserve">======
ID#AAABjx7qQ2U
    (2025-05-21 11:33:25)
0920 chloe:待凱西告知可下單
0923  chloe: Cathy通知下單</t>
      </text>
    </comment>
    <comment authorId="0" ref="R483">
      <text>
        <t xml:space="preserve">======
ID#AAABjx7qQ1A
    (2025-05-21 11:33:25)
PD-20190605A-4</t>
      </text>
    </comment>
    <comment authorId="0" ref="D260">
      <text>
        <t xml:space="preserve">======
ID#AAABjx7qQ0w
    (2025-05-21 11:33:25)
190109 Tammy: 抽驗即可, 謝謝</t>
      </text>
    </comment>
    <comment authorId="0" ref="S832">
      <text>
        <t xml:space="preserve">======
ID#AAABjx7qQ0U
    (2025-05-21 11:33:25)
Alice:成本已含在TM150TDSG71-MT-5W 盛仕組裝材料成本中</t>
      </text>
    </comment>
    <comment authorId="0" ref="H211">
      <text>
        <t xml:space="preserve">======
ID#AAABjx7qQ0M
    (2025-05-21 11:33:25)
ALICE:5/3收到USD12965.5(沖PI-20190121B.PI20190217A.PI-20190131C.PI-20190313A.PI-20190306A)</t>
      </text>
    </comment>
    <comment authorId="0" ref="G945">
      <text>
        <t xml:space="preserve">======
ID#AAABjx7qQ0A
Amy pass 資料    (2025-05-21 11:33:25)
NTD 19,213 (美金 Rate: 31.57)+ 52 歐 -2pcs 通行證 (rate: 34) NTD 1,768,
TOTAL 向TPM收 NTD21,069</t>
      </text>
    </comment>
    <comment authorId="0" ref="H365">
      <text>
        <t xml:space="preserve">======
ID#AAABjx7qQz4
    (2025-05-21 11:33:25)
Alice:6/17-水單匯入USD10046沖PI-201904096B.PI-20190418A.PI-20190422A.PI-20190307A</t>
      </text>
    </comment>
    <comment authorId="0" ref="H721">
      <text>
        <t xml:space="preserve">======
ID#AAABjx7qQz0
    (2025-05-21 11:33:25)
ALICE:11/14-Hectronic匯入USD244(內含手續費USD6.57)沖PI-20190910B USD137 + 沖PI-20190719B-3 USD107</t>
      </text>
    </comment>
    <comment authorId="0" ref="H612">
      <text>
        <t xml:space="preserve">======
ID#AAABjx7qQzs
    (2025-05-21 11:33:25)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P658">
      <text>
        <t xml:space="preserve">======
ID#AAABjx7qQzM
    (2025-05-21 11:33:25)
0820 chloe:專案價</t>
      </text>
    </comment>
    <comment authorId="0" ref="R734">
      <text>
        <t xml:space="preserve">======
ID#AAABjx7qQyw
    (2025-05-21 11:33:25)
戎克庫存成本(2019/10/03查詢)</t>
      </text>
    </comment>
    <comment authorId="0" ref="I872">
      <text>
        <t xml:space="preserve">======
ID#AAABjx7qQy4
    (2025-05-21 11:33:25)
原cathy</t>
      </text>
    </comment>
    <comment authorId="0" ref="H93">
      <text>
        <t xml:space="preserve">======
ID#AAABjx7qQy0
    (2025-05-21 11:33:25)
0227 chloe:匯款匯入US4578</t>
      </text>
    </comment>
    <comment authorId="0" ref="G566">
      <text>
        <t xml:space="preserve">======
ID#AAABjx7qQys
    (2025-05-21 11:33:25)
190718 Tammy: w/5%</t>
      </text>
    </comment>
    <comment authorId="0" ref="AI104">
      <text>
        <t xml:space="preserve">======
ID#AAABjx7qQyc
    (2025-05-21 11:33:25)
ALICE:2019/05/02-水單匯入USD21462.5-(匯出手續費USD10+匯入手續費USD10.73)=USD21441.77*30.84=NT661264</t>
      </text>
    </comment>
    <comment authorId="0" ref="K592">
      <text>
        <t xml:space="preserve">======
ID#AAABjx7qQyg
    (2025-05-21 11:33:25)
1004跟客人確認交期 
10/14客人希望星期四收到</t>
      </text>
    </comment>
    <comment authorId="0" ref="AJ134">
      <text>
        <t xml:space="preserve">======
ID#AAABjx7qQxQ
    (2025-05-21 11:33:25)
ALICE:2019/05/02-水單匯入USD21462.5-(匯出手續費USD10+匯入手續費USD10.73)=USD21441.77*30.84=NT661264</t>
      </text>
    </comment>
    <comment authorId="0" ref="K590">
      <text>
        <t xml:space="preserve">======
ID#AAABjx7qQxA
    (2025-05-21 11:33:25)
cathy: 10/15已回覆客人交期</t>
      </text>
    </comment>
    <comment authorId="0" ref="N454">
      <text>
        <t xml:space="preserve">======
ID#AAABjx7qQxE
    (2025-05-21 11:33:25)
0528 Cathy 下單</t>
      </text>
    </comment>
    <comment authorId="0" ref="L277">
      <text>
        <t xml:space="preserve">======
ID#AAABjx7qQw8
    (2025-05-21 11:33:25)
0304 Cathy: 3/6直送客戶</t>
      </text>
    </comment>
    <comment authorId="0" ref="N494">
      <text>
        <t xml:space="preserve">======
ID#AAABjx7qQw4
    (2025-05-21 11:33:25)
0702 chloe:MOXA貨７天可以不付額外費用退回，
２０１９０６０６Ｂ　７／２ＭＯＸＡ出貨，７／３貨到戎克，
但此單有退回的可能，請再和ＭＯＸＡ確認，最晚的退貨時間，
以避免被扣１５％的費用，謝謝。</t>
      </text>
    </comment>
    <comment authorId="0" ref="K56">
      <text>
        <t xml:space="preserve">======
ID#AAABjx7qQww
    (2025-05-21 11:33:25)
0121出貨前6pcs拍照 
Vecow 年底前交貨, 收到超恩貨+2-3 days出貨Ti2</t>
      </text>
    </comment>
    <comment authorId="0" ref="D905">
      <text>
        <t xml:space="preserve">======
ID#AAABjx7qQwI
    (2025-05-21 11:33:25)
1114 Cathy:請Yvonne 下單
1119 Cathy: 客人告知取消此項，已與研華amy 告知</t>
      </text>
    </comment>
    <comment authorId="0" ref="D848">
      <text>
        <t xml:space="preserve">======
ID#AAABjx7qQv0
    (2025-05-21 11:33:25)
10/24 cathy:請yvonne 下單</t>
      </text>
    </comment>
    <comment authorId="0" ref="L895">
      <text>
        <t xml:space="preserve">======
ID#AAABjx7qQvs
    (2025-05-21 11:33:25)
chloe
1028: 原先告知10/30
1104: 尚未告知MOXA！！原倉庫(木新路)收貨至11/14止，11/15暫停收貨 ，
11/18之後送貨請送至新倉庫:新北市新店區寶橋路235巷118號2AF</t>
      </text>
    </comment>
    <comment authorId="0" ref="H478">
      <text>
        <t xml:space="preserve">======
ID#AAABjx7qQvE
    (2025-05-21 11:33:25)
ALICE:8/27玉山銀行匯入USD9443沖PI-20190604A.PI-20190628A.PI-20190604A-F合計共USD9443元整</t>
      </text>
    </comment>
    <comment authorId="0" ref="H234">
      <text>
        <t xml:space="preserve">======
ID#AAABjx7qQu0
    (2025-05-21 11:33:25)
0312 chloe:匯款匯入US2055-11(手續費)</t>
      </text>
    </comment>
    <comment authorId="0" ref="L721">
      <text>
        <t xml:space="preserve">======
ID#AAABjx7qQus
    (2025-05-21 11:33:25)
0912YVONNE:CHLOE通知，貨到讓BANK確認後在出。
0925YVONNE:已由VIVIAN代確認。</t>
      </text>
    </comment>
    <comment authorId="0" ref="G53">
      <text>
        <t xml:space="preserve">======
ID#AAABjx7qQug
    (2025-05-21 11:33:25)
w/5%VAT</t>
      </text>
    </comment>
    <comment authorId="0" ref="H240">
      <text>
        <t xml:space="preserve">======
ID#AAABjx7qQuU
    (2025-05-21 11:33:25)
ALICE:201904/10水單匯入USD11416*30.78
沖(229+2394+326+34+5274+3066+103)=11426</t>
      </text>
    </comment>
    <comment authorId="0" ref="H296">
      <text>
        <t xml:space="preserve">======
ID#AAABjx7qQuQ
    (2025-05-21 11:33:25)
ALICE:5/3收到USD12965.5(沖PI-20190121B.PI20190217A.PI-20190131C.PI-20190313A.PI-20190306A)</t>
      </text>
    </comment>
    <comment authorId="0" ref="H187">
      <text>
        <t xml:space="preserve">======
ID#AAABjx7qQt4
    (2025-05-21 11:33:25)
alice:2019/04/25水單通知匯入USD1931*30.86=NT59591元整  無手續費 沖(125+1400+14+42+350)</t>
      </text>
    </comment>
    <comment authorId="0" ref="D662">
      <text>
        <t xml:space="preserve">======
ID#AAABjx7qQts
    (2025-05-21 11:33:25)
0820 Cathy: santi mail 告知提供PI給客人，待客戶簽回
0902 Cathy: double confirm with client if they will place an order 
0910 請chloe 下單
0920  Cathy : 詢問客人交期有否辦法接受(物料無法cancel)</t>
      </text>
    </comment>
    <comment authorId="0" ref="X35">
      <text>
        <t xml:space="preserve">======
ID#AAABjx7qQtc
    (2025-05-21 11:33:25)
INVOICE 已開立</t>
      </text>
    </comment>
    <comment authorId="0" ref="H16">
      <text>
        <t xml:space="preserve">======
ID#AAABjx7qQtY
    (2025-05-21 11:33:25)
alice:2019/05/17水單通知USD19768沖3/4A $1995.3/4A-1$4152.3/4A-1-F $232.3/8B-F $57.12/21A-2-F $144.3/4A-1 $189.10/22C-2 $10227.12/21A-1 $2772.如上總計共USD19768</t>
      </text>
    </comment>
    <comment authorId="0" ref="M330">
      <text>
        <t xml:space="preserve">======
ID#AAABjx7qQtI
    (2025-05-21 11:33:25)
0425 chloe: 戎克樣品借入</t>
      </text>
    </comment>
    <comment authorId="0" ref="B727">
      <text>
        <t xml:space="preserve">======
ID#AAABjx7qQs4
    (2025-05-21 11:33:25)
新開發客戶</t>
      </text>
    </comment>
    <comment authorId="0" ref="N360">
      <text>
        <t xml:space="preserve">======
ID#AAABjx7qQsk
    (2025-05-21 11:33:25)
0412 Cathy 下單</t>
      </text>
    </comment>
    <comment authorId="0" ref="I521">
      <text>
        <t xml:space="preserve">======
ID#AAABjx7qQsc
    (2025-05-21 11:33:25)
Cathy/Santiago</t>
      </text>
    </comment>
    <comment authorId="0" ref="H913">
      <text>
        <t xml:space="preserve">======
ID#AAABjx7qQr8
    (2025-05-21 11:33:25)
ALICE:11/21一銀匯入USD1305(含銀行手續費)沖PI-20191119001 USD1305</t>
      </text>
    </comment>
    <comment authorId="0" ref="N187">
      <text>
        <t xml:space="preserve">======
ID#AAABjx7qQrw
    (2025-05-21 11:33:25)
2/21 Tammy
客人訂單還未簽回，請暫停進料及備料
3/6 Bruce:
Tammy通知可繼續生產</t>
      </text>
    </comment>
    <comment authorId="0" ref="H796">
      <text>
        <t xml:space="preserve">======
ID#AAABjx7qQrs
    (2025-05-21 11:33:25)
ALICE:10/7-玉山銀行收到匯入款USD801-手續費USD6.48=USD794.52沖PI-20191002A USD801元整</t>
      </text>
    </comment>
    <comment authorId="0" ref="N733">
      <text>
        <t xml:space="preserve">======
ID#AAABjx7qQrc
    (2025-05-21 11:33:25)
0916YVONNE下單</t>
      </text>
    </comment>
    <comment authorId="0" ref="H474">
      <text>
        <t xml:space="preserve">======
ID#AAABjx7qQrQ
    (2025-05-21 11:33:25)
ALICE:7/19-電文匯入USD16000元整，沖PI-20190603A USD10450+236+2308+3006(4850中的)</t>
      </text>
    </comment>
    <comment authorId="0" ref="S404">
      <text>
        <t xml:space="preserve">======
ID#AAABjx7qQq4
    (2025-05-21 11:33:25)
15824</t>
      </text>
    </comment>
    <comment authorId="0" ref="H137">
      <text>
        <t xml:space="preserve">======
ID#AAABjx7qQqI
    (2025-05-21 11:33:25)
ALICE:2019/05/02-水單匯入USD21462.5</t>
      </text>
    </comment>
    <comment authorId="0" ref="D710">
      <text>
        <t xml:space="preserve">======
ID#AAABjx7qQqA
    (2025-05-21 11:33:25)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</text>
    </comment>
    <comment authorId="0" ref="D644">
      <text>
        <t xml:space="preserve">======
ID#AAABjx7qQp8
    (2025-05-21 11:33:25)
在此輸入
需要分兩次出貨
8/21請yvonne 協助下單
9/3 告知會再這兩日匯款</t>
      </text>
    </comment>
    <comment authorId="0" ref="H742">
      <text>
        <t xml:space="preserve">======
ID#AAABjx7qQp0
    (2025-05-21 11:33:25)
ALICE:9/19玉山水單匯入USD440沖PI-20190917B 440</t>
      </text>
    </comment>
    <comment authorId="0" ref="N377">
      <text>
        <t xml:space="preserve">======
ID#AAABjx7qQpw
    (2025-05-21 11:33:25)
0422 Cathy 下單</t>
      </text>
    </comment>
    <comment authorId="0" ref="N652">
      <text>
        <t xml:space="preserve">======
ID#AAABjx7qQpg
    (2025-05-21 11:33:25)
0822 告知急單
0822 下單</t>
      </text>
    </comment>
    <comment authorId="0" ref="G241">
      <text>
        <t xml:space="preserve">======
ID#AAABjx7qQpI
    (2025-05-21 11:33:25)
170323 w/ 5%VAT</t>
      </text>
    </comment>
    <comment authorId="0" ref="N585">
      <text>
        <t xml:space="preserve">======
ID#AAABjx7qQo4
    (2025-05-21 11:33:25)
0801 chloe: 0731 開案</t>
      </text>
    </comment>
    <comment authorId="0" ref="L441">
      <text>
        <t xml:space="preserve">======
ID#AAABjx7qQo0
    (2025-05-21 11:33:25)
5/16 Amy
1. need COC (自我認證產證with shipment)
2. invoice &amp; P/L with PO#19000180
3. invoice &amp; P/L together with shipment</t>
      </text>
    </comment>
    <comment authorId="0" ref="H424">
      <text>
        <t xml:space="preserve">======
ID#AAABjx7qQoo
    (2025-05-21 11:33:25)
ALICE:5/27-水單匯入USD4578*31.43</t>
      </text>
    </comment>
    <comment authorId="0" ref="H650">
      <text>
        <t xml:space="preserve">======
ID#AAABjx7qQoY
    (2025-05-21 11:33:25)
ALICE:9/26玉山水單匯入USD16657沖PI-20190704A USD655.沖PI-20190704A-F USD96.沖PI20190717E USD11479.沖PI-20190726B USD4245.沖PI-20190726B-F 182總沖16657</t>
      </text>
    </comment>
    <comment authorId="0" ref="E955">
      <text>
        <t xml:space="preserve">======
ID#AAABjx7qQoU
    (2025-05-21 11:33:25)
2020 年 Embedded 攤位費用</t>
      </text>
    </comment>
    <comment authorId="0" ref="J238">
      <text>
        <t xml:space="preserve">======
ID#AAABjx7qQoM
    (2025-05-21 11:33:25)
Forwarder Details: -
FETA FREIGHT SYSTEMS (TAIWAN ) LTD. 
JUDY KAO 
 Tel: +886-3-399-2033 EXT: 135
Direct: +886-3-3992106
Fax: +886-3-3992036/2055
E-mail: judykao@ffsi.com.tw
Skype:judykao-mlattao</t>
      </text>
    </comment>
    <comment authorId="0" ref="X124">
      <text>
        <t xml:space="preserve">======
ID#AAABjx7qQoA
    (2025-05-21 11:33:25)
共三筆運費
1)1836940674  PI-20190123B-F</t>
      </text>
    </comment>
    <comment authorId="0" ref="E105">
      <text>
        <t xml:space="preserve">======
ID#AAABjx7qQns
0213 Cathy    (2025-05-21 11:33:25)
1. 發現下單錯誤(下成8101，已與廠商詢問有否750-375物料
2. 請廠商協助詢問有否客戶需求
0215 cathy:廠商告知申請到不出貨(可cancel)</t>
      </text>
    </comment>
    <comment authorId="0" ref="J480">
      <text>
        <t xml:space="preserve">======
ID#AAABjx7qQnQ
SHIPPING  AS BELOW    (2025-05-21 11:33:25)
103A Mary Street, Richmond, VIC, 3121, Australia
Contact: Jim MacDouall
Phone: +61 417 714 528</t>
      </text>
    </comment>
    <comment authorId="0" ref="P639">
      <text>
        <t xml:space="preserve">======
ID#AAABjx7qQm4
    (2025-05-21 11:33:25)
For Alcom 私下談妥價格，無法用於其他專案</t>
      </text>
    </comment>
    <comment authorId="0" ref="D103">
      <text>
        <t xml:space="preserve">======
ID#AAABjx7qQm0
    (2025-05-21 11:33:25)
1/21 Keiju: 出貨前拍照</t>
      </text>
    </comment>
    <comment authorId="0" ref="G917">
      <text>
        <t xml:space="preserve">======
ID#AAABjx7qQmk
    (2025-05-21 11:33:25)
190718 Tammy: w/5%</t>
      </text>
    </comment>
    <comment authorId="0" ref="H579">
      <text>
        <t xml:space="preserve">======
ID#AAABjx7qQmI
    (2025-05-21 11:33:25)
ALICE:9/26玉山水單匯入USD16657沖PI-20190704A USD655.沖PI-20190704A-F USD96.沖PI20190717E USD11479.沖PI-20190726B USD4245.沖PI-20190726B-F 182總沖16657</t>
      </text>
    </comment>
    <comment authorId="0" ref="H604">
      <text>
        <t xml:space="preserve">======
ID#AAABjx7qQl0
    (2025-05-21 11:33:25)
ALICE:9/23玉山銀行水單通知匯入USD14587沖PI-20190626A 334.5 沖PI-20190703B 8550.沖PI20190719C 5212.5.沖PI-20190722A 210.沖PI-20190801C 280 合計總沖USD14587元整</t>
      </text>
    </comment>
    <comment authorId="0" ref="H817">
      <text>
        <t xml:space="preserve">======
ID#AAABjx7qQlo
    (2025-05-21 11:33:25)
ALICE:10/15玉山銀行收到匯入款USD2440(手續費USD)26.53沖PI-20191007012總計USD2440元整</t>
      </text>
    </comment>
    <comment authorId="0" ref="K894">
      <text>
        <t xml:space="preserve">======
ID#AAABjx7qQlE
    (2025-05-21 11:33:25)
1115YVONNE:SANTIAGO通知延遲一周出貨。
1127yvonne:bank通知補寄SSD給客戶</t>
      </text>
    </comment>
    <comment authorId="0" ref="AF180">
      <text>
        <t xml:space="preserve">======
ID#AAABjx7qQk8
alice    (2025-05-21 11:33:25)
出口報單報關日期108/03/26-CG//08/376/2Y449報單金額USD5053*30.825=155759</t>
      </text>
    </comment>
    <comment authorId="0" ref="L757">
      <text>
        <t xml:space="preserve">======
ID#AAABjx7qQks
    (2025-05-21 11:33:25)
0926yvonne下單</t>
      </text>
    </comment>
    <comment authorId="0" ref="R614">
      <text>
        <t xml:space="preserve">======
ID#AAABjx7qQko
    (2025-05-21 11:33:25)
戎克庫存成本</t>
      </text>
    </comment>
    <comment authorId="0" ref="H485">
      <text>
        <t xml:space="preserve">======
ID#AAABjx7qQkc
    (2025-05-21 11:33:25)
ALICE:6/17-玉山匯入17810沖PI-20190508A.沖PI-20190604C</t>
      </text>
    </comment>
    <comment authorId="0" ref="H830">
      <text>
        <t xml:space="preserve">======
ID#AAABjx7qQkY
    (2025-05-21 11:33:25)
ALICE:12/13一銀USD收到KH匯入USD1562.8(內含手續費USD28.61)沖PI-20191017004 USD1347+PI-20191030001 USD215.8合計總沖USD1562.8</t>
      </text>
    </comment>
    <comment authorId="0" ref="H347">
      <text>
        <t xml:space="preserve">======
ID#AAABjx7qQkM
    (2025-05-21 11:33:25)
Alice:6/17-水單匯入USD10046沖PI-201904096B.PI-20190418A.PI-20190422A.PI-20190307A</t>
      </text>
    </comment>
    <comment authorId="0" ref="D264">
      <text>
        <t xml:space="preserve">======
ID#AAABjx7qQkE
    (2025-05-21 11:33:25)
190109 Tammy: 抽驗即可, 謝謝</t>
      </text>
    </comment>
    <comment authorId="0" ref="H334">
      <text>
        <t xml:space="preserve">======
ID#AAABjx7qQjw
    (2025-05-21 11:33:25)
Chloe:2019/4/19 水單匯入USB702.10-手續費USD 0=USD702.10</t>
      </text>
    </comment>
    <comment authorId="0" ref="H112">
      <text>
        <t xml:space="preserve">======
ID#AAABjx7qQjs
    (2025-05-21 11:33:25)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N578">
      <text>
        <t xml:space="preserve">======
ID#AAABjx7qQjc
    (2025-05-21 11:33:25)
0718YVONNE下單</t>
      </text>
    </comment>
    <comment authorId="0" ref="K472">
      <text>
        <t xml:space="preserve">======
ID#AAABjx7qQjY
    (2025-05-21 11:33:25)
0722 Santiago同意先出貨。</t>
      </text>
    </comment>
    <comment authorId="0" ref="H530">
      <text>
        <t xml:space="preserve">======
ID#AAABjx7qQjQ
    (2025-05-21 11:33:25)
ALICE:6/27水單匯入USD8652.87沖PI20190515C 1394.5.PI-20190625C 46.37.PI-20190508C 6408.PI-20190619B 804共四張PI合計8652.87</t>
      </text>
    </comment>
    <comment authorId="0" ref="H301">
      <text>
        <t xml:space="preserve">======
ID#AAABjx7qQjI
    (2025-05-21 11:33:25)
ALICE:2019/05/02-水單匯入USD21462.5</t>
      </text>
    </comment>
    <comment authorId="0" ref="H432">
      <text>
        <t xml:space="preserve">======
ID#AAABjx7qQig
    (2025-05-21 11:33:25)
alice:7/4-水單匯入USD4316.9沖PI-20190422B.沖PI-20190507B.沖PI-20190513A</t>
      </text>
    </comment>
    <comment authorId="0" ref="N119">
      <text>
        <t xml:space="preserve">======
ID#AAABjx7qQic
    (2025-05-21 11:33:25)
1/25 下單&amp;回簽報價單</t>
      </text>
    </comment>
    <comment authorId="0" ref="J913">
      <text>
        <t xml:space="preserve">======
ID#AAABjx7qQiY
    (2025-05-21 11:33:25)
DHL Account Number : 956287207 for Freight ( AVIHS Technologies )</t>
      </text>
    </comment>
    <comment authorId="0" ref="H272">
      <text>
        <t xml:space="preserve">======
ID#AAABjx7qQhs
    (2025-05-21 11:33:25)
ALICE:11/22第一銀行收到匯入USD8500(內含銀行手續費USD6.57) PI-20190227G USD4250+PI-20190227H USD4250 總計USD8500</t>
      </text>
    </comment>
    <comment authorId="0" ref="K96">
      <text>
        <t xml:space="preserve">======
ID#AAABjx7qQhA
    (2025-05-21 11:33:25)
0212 San: 用DHL箱子把2個貨箱放成一個箱子</t>
      </text>
    </comment>
    <comment authorId="0" ref="Z826">
      <text>
        <t xml:space="preserve">======
ID#AAABjx7qQgI
    (2025-05-21 11:33:25)
1107yvonne:TL36541251作廢
發票日期Alice同意改開11月份</t>
      </text>
    </comment>
    <comment authorId="0" ref="D286">
      <text>
        <t xml:space="preserve">======
ID#AAABjx7qQfc
    (2025-05-21 11:33:25)
3026 葛:客供剩料75</t>
      </text>
    </comment>
    <comment authorId="0" ref="H262">
      <text>
        <t xml:space="preserve">======
ID#AAABjx7qQfI
    (2025-05-21 11:33:25)
9/16-玉水水單USD4250沖PI-20190227E USD4250</t>
      </text>
    </comment>
    <comment authorId="0" ref="H861">
      <text>
        <t xml:space="preserve">======
ID#AAABjx7qQe0
    (2025-05-21 11:33:25)
ALICE:1/15一銀收到USD8853(內含手續費USD53.7)沖PI-20191029002 USD4275+PI-20191029003 USD2235+PI-20191029004 USD1988+PI-20191105002 USD355</t>
      </text>
    </comment>
    <comment authorId="0" ref="E446">
      <text>
        <t xml:space="preserve">======
ID#AAABjx7qQew
    (2025-05-21 11:33:25)
客戶告知美規
0618  (客戶下單錯誤，核銷。酌收退貨手續費15%)  NTD2114</t>
      </text>
    </comment>
    <comment authorId="0" ref="X432">
      <text>
        <t xml:space="preserve">======
ID#AAABjx7qQeo
    (2025-05-21 11:33:25)
0514 Cathy 下單</t>
      </text>
    </comment>
    <comment authorId="0" ref="H427">
      <text>
        <t xml:space="preserve">======
ID#AAABjx7qQeY
    (2025-05-21 11:33:25)
ALICE:7/17水單匯入USD9362沖PI-20190508B-F 92元.PI-20190508B-1 130元. PI-20190509C 9140元整</t>
      </text>
    </comment>
    <comment authorId="0" ref="N412">
      <text>
        <t xml:space="preserve">======
ID#AAABjx7qQeQ
    (2025-05-21 11:33:25)
0508 Cathy 下單</t>
      </text>
    </comment>
    <comment authorId="0" ref="AJ135">
      <text>
        <t xml:space="preserve">======
ID#AAABjx7qQeE
    (2025-05-21 11:33:25)
ALICE:2019/05/02-水單匯入USD21462.5-(匯出手續費USD10+匯入手續費USD10.73)=USD21441.77*30.84=NT661264</t>
      </text>
    </comment>
    <comment authorId="0" ref="H948">
      <text>
        <t xml:space="preserve">======
ID#AAABjx7qQdo
    (2025-05-21 11:33:25)
ALICE:2/24一銀收到USD12104沖PI-20191127001 USD6784+PI-20191104001 USD2014+PI-20191213001 USD3306</t>
      </text>
    </comment>
    <comment authorId="0" ref="H300">
      <text>
        <t xml:space="preserve">======
ID#AAABjx7qQdg
    (2025-05-21 11:33:25)
ALICE:201904/10水單匯入USD11416*30.78
沖(229+2394+326+34+5274+3066+103)=11426</t>
      </text>
    </comment>
    <comment authorId="0" ref="H201">
      <text>
        <t xml:space="preserve">======
ID#AAABjx7qQdc
    (2025-05-21 11:33:25)
alice:7/31-水單匯入USD2124沖PI-20190131D-2 857.沖PI-20190610A 565.沖PI-20190607A 444.沖PI-20190612A 258</t>
      </text>
    </comment>
    <comment authorId="0" ref="AJ372">
      <text>
        <t xml:space="preserve">======
ID#AAABjx7qQdY
    (2025-05-21 11:33:25)
Alice:2019/04/30-銀行通知水單匯入USD1577-匯出手續費USD40=USD1537*30.85=NT47416</t>
      </text>
    </comment>
    <comment authorId="0" ref="D418">
      <text>
        <t xml:space="preserve">======
ID#AAABjx7qQdA
    (2025-05-21 11:33:25)
0508請TAMMY 下單</t>
      </text>
    </comment>
    <comment authorId="0" ref="D471">
      <text>
        <t xml:space="preserve">======
ID#AAABjx7qQck
    (2025-05-21 11:33:25)
0531 請TAMMY下單</t>
      </text>
    </comment>
    <comment authorId="0" ref="K847">
      <text>
        <t xml:space="preserve">======
ID#AAABjx7qQcY
    (2025-05-21 11:33:25)
10/28 cathy: 通知客人交期pending 
10/15 cathy: 10/22 需update 交期給客人</t>
      </text>
    </comment>
    <comment authorId="0" ref="H679">
      <text>
        <t xml:space="preserve">======
ID#AAABjx7qQcA
    (2025-05-21 11:33:25)
ALICE:10/8-玉山水單匯入USD1566沖PI-20190828A USD1566</t>
      </text>
    </comment>
    <comment authorId="0" ref="H449">
      <text>
        <t xml:space="preserve">======
ID#AAABjx7qQb0
    (2025-05-21 11:33:25)
13,800.00</t>
      </text>
    </comment>
    <comment authorId="0" ref="I842">
      <text>
        <t xml:space="preserve">======
ID#AAABjx7qQbs
    (2025-05-21 11:33:25)
Cathy/Santiago</t>
      </text>
    </comment>
    <comment authorId="0" ref="AJ438">
      <text>
        <t xml:space="preserve">======
ID#AAABjx7qQbM
    (2025-05-21 11:33:25)
ALICE:5/30水單匯入USD3743.66*31.57 (手續費USD6.34*31.57)</t>
      </text>
    </comment>
    <comment authorId="0" ref="D585">
      <text>
        <t xml:space="preserve">======
ID#AAABjx7qQas
    (2025-05-21 11:33:25)
20190604 Robin accept W/O AG、AR treatment this time</t>
      </text>
    </comment>
    <comment authorId="0" ref="H473">
      <text>
        <t xml:space="preserve">======
ID#AAABjx7qQao
    (2025-05-21 11:33:25)
alice:8/19匯入USD16000沖PI-20190730A 10500，沖PI20190603A 1844(4850)，沖PI20190603A 3656(7040)
ALICE:9/16玉山水單匯入USD14454沖PI-20190603A USD14454</t>
      </text>
    </comment>
    <comment authorId="0" ref="AD446">
      <text>
        <t xml:space="preserve">======
ID#AAABjx7qQaM
    (2025-05-21 11:33:25)
原寄出日期:2019/05/27</t>
      </text>
    </comment>
    <comment authorId="0" ref="K589">
      <text>
        <t xml:space="preserve">======
ID#AAABjx7qQaA
    (2025-05-21 11:33:25)
cathy: 10/15已回覆客人交期</t>
      </text>
    </comment>
    <comment authorId="0" ref="G875">
      <text>
        <t xml:space="preserve">======
ID#AAABjx7qQZ4
    (2025-05-21 11:33:25)
20191109 san revise 價格1995-&gt;1450</t>
      </text>
    </comment>
    <comment authorId="0" ref="J905">
      <text>
        <t xml:space="preserve">======
ID#AAABjx7qQZw
    (2025-05-21 11:33:25)
客人自取</t>
      </text>
    </comment>
    <comment authorId="0" ref="N229">
      <text>
        <t xml:space="preserve">======
ID#AAABjx7qQZk
    (2025-05-21 11:33:25)
0222 Cathy 下單</t>
      </text>
    </comment>
    <comment authorId="0" ref="D846">
      <text>
        <t xml:space="preserve">======
ID#AAABjx7qQZo
    (2025-05-21 11:33:25)
10/24 請chloe 下單</t>
      </text>
    </comment>
    <comment authorId="0" ref="P726">
      <text>
        <t xml:space="preserve">======
ID#AAABjx7qQZY
    (2025-05-21 11:33:25)
0911 chloe :使用以色列專案價</t>
      </text>
    </comment>
    <comment authorId="0" ref="N465">
      <text>
        <t xml:space="preserve">======
ID#AAABjx7qQZE
    (2025-05-21 11:33:25)
0802 chloe:兩片有點狀物問題，退回
重工
客戶確定OK，故允收</t>
      </text>
    </comment>
    <comment authorId="0" ref="H76">
      <text>
        <t xml:space="preserve">======
ID#AAABjx7qQY4
    (2025-05-21 11:33:25)
alice:6/20銀行水單匯入USD4462 沖PI20190107A.PI-20190318B.PI-20190508B.PI-20181022C-2-F</t>
      </text>
    </comment>
    <comment authorId="0" ref="H64">
      <text>
        <t xml:space="preserve">======
ID#AAABjx7qQYc
    (2025-05-21 11:33:25)
0124 chloe:匯款匯入US$48799</t>
      </text>
    </comment>
    <comment authorId="0" ref="F520">
      <text>
        <t xml:space="preserve">======
ID#AAABjx7qQYY
    (2025-05-21 11:33:25)
0820 cathy: 客人revise 提供數量</t>
      </text>
    </comment>
    <comment authorId="0" ref="AI331">
      <text>
        <t xml:space="preserve">======
ID#AAABjx7qQYQ
    (2025-05-21 11:33:25)
ALICE:成交總額USD702.1 ，2019/04/19水單匯入USD702.1-手續費USD6.5=USD695.6*30.78=NT21411元整</t>
      </text>
    </comment>
    <comment authorId="0" ref="H24">
      <text>
        <t xml:space="preserve">======
ID#AAABjx7qQYU
    (2025-05-21 11:33:25)
0128 Mary: 匯款匯入 US$11,920</t>
      </text>
    </comment>
    <comment authorId="0" ref="H11">
      <text>
        <t xml:space="preserve">======
ID#AAABjx7qQXY
    (2025-05-21 11:33:25)
ALICE:2019/05/02-水單匯入USD21462.5</t>
      </text>
    </comment>
    <comment authorId="0" ref="K79">
      <text>
        <t xml:space="preserve">======
ID#AAABjx7qQXU
    (2025-05-21 11:33:25)
6/20 amy: this shipment DOA, the RMA Return date is 04/30, so A/R should be count from 4/30, due date is 6/15</t>
      </text>
    </comment>
    <comment authorId="0" ref="K418">
      <text>
        <t xml:space="preserve">======
ID#AAABjx7qQXI
    (2025-05-21 11:33:25)
需5/21到客戶</t>
      </text>
    </comment>
    <comment authorId="0" ref="I584">
      <text>
        <t xml:space="preserve">======
ID#AAABjx7qQXM
    (2025-05-21 11:33:25)
Cathy/Santiago</t>
      </text>
    </comment>
    <comment authorId="0" ref="H182">
      <text>
        <t xml:space="preserve">======
ID#AAABjx7qQWk
    (2025-05-21 11:33:25)
alice:2019/04/25水單通知匯入USD1931*30.86=NT59591元整  無手續費 沖(125+1400+14+42+350)</t>
      </text>
    </comment>
    <comment authorId="0" ref="H108">
      <text>
        <t xml:space="preserve">======
ID#AAABjx7qQWE
    (2025-05-21 11:33:25)
0128 Mary: 匯款匯入 US$5,260(同H103)</t>
      </text>
    </comment>
    <comment authorId="0" ref="D682">
      <text>
        <t xml:space="preserve">======
ID#AAABjx7qQVw
    (2025-05-21 11:33:25)
0829 Cathy: 請chloe協助下單</t>
      </text>
    </comment>
    <comment authorId="0" ref="AA518">
      <text>
        <t xml:space="preserve">======
ID#AAABjx7qQVk
    (2025-05-21 11:33:25)
1Z1913EE0492122142
1Z1913EE0492858358
 新增說明</t>
      </text>
    </comment>
    <comment authorId="0" ref="H768">
      <text>
        <t xml:space="preserve">======
ID#AAABjx7qQVQ
    (2025-05-21 11:33:25)
ALICE:11/20一銀匯入USD5837沖PI-20190930A USD3945+PI-20191003A USD137+PI-20191005A USD1755</t>
      </text>
    </comment>
    <comment authorId="0" ref="P703">
      <text>
        <t xml:space="preserve">======
ID#AAABjx7qQVM
    (2025-05-21 11:33:25)
以色列專案價</t>
      </text>
    </comment>
    <comment authorId="0" ref="H385">
      <text>
        <t xml:space="preserve">======
ID#AAABjx7qQVE
    (2025-05-21 11:33:25)
ALICE:5/6-銀行電文通知USD12495.8(沖PI-20190422C.PI-20190424A)</t>
      </text>
    </comment>
    <comment authorId="0" ref="G355">
      <text>
        <t xml:space="preserve">======
ID#AAABjx7qQU0
    (2025-05-21 11:33:25)
w/5%VAT</t>
      </text>
    </comment>
    <comment authorId="0" ref="H794">
      <text>
        <t xml:space="preserve">======
ID#AAABjx7qQUo
    (2025-05-21 11:33:25)
ALICE:1/9-一銀水單USD1590沖PI-20191001E USD1590</t>
      </text>
    </comment>
    <comment authorId="0" ref="AJ104">
      <text>
        <t xml:space="preserve">======
ID#AAABjx7qQUY
    (2025-05-21 11:33:25)
ALICE:2019/05/02-水單匯入USD21462.5-(匯出手續費USD10+匯入手續費USD10.73)=USD21441.77*30.84=NT661264</t>
      </text>
    </comment>
    <comment authorId="0" ref="N184">
      <text>
        <t xml:space="preserve">======
ID#AAABjx7qQUI
    (2025-05-21 11:33:25)
2/21 Tammy
客人訂單還未簽回，請暫停進料及備料
3/6 Bruce:
Tammy通知可繼續生產</t>
      </text>
    </comment>
    <comment authorId="0" ref="S495">
      <text>
        <t xml:space="preserve">======
ID#AAABjx7qQT0
    (2025-05-21 11:33:25)
銀行手續費</t>
      </text>
    </comment>
    <comment authorId="0" ref="L261">
      <text>
        <t xml:space="preserve">======
ID#AAABjx7qQTE
    (2025-05-21 11:33:25)
0815 捷毅通知延後交期</t>
      </text>
    </comment>
    <comment authorId="0" ref="H148">
      <text>
        <t xml:space="preserve">======
ID#AAABjx7qQTI
    (2025-05-21 11:33:25)
0307 chloe:匯款匯入US39896-37(手續費)</t>
      </text>
    </comment>
    <comment authorId="0" ref="I843">
      <text>
        <t xml:space="preserve">======
ID#AAABjx7qQS4
    (2025-05-21 11:33:25)
Cathy/Santiago</t>
      </text>
    </comment>
    <comment authorId="0" ref="H752">
      <text>
        <t xml:space="preserve">======
ID#AAABjx7qQS8
    (2025-05-21 11:33:25)
ALICE:9/24玉山水單通知USD1407.5沖PI-20190923A USD1407.5元整</t>
      </text>
    </comment>
    <comment authorId="0" ref="D584">
      <text>
        <t xml:space="preserve">======
ID#AAABjx7qQSs
    (2025-05-21 11:33:25)
20190604 Robin accept W/O AG、AR treatment this time</t>
      </text>
    </comment>
    <comment authorId="0" ref="N359">
      <text>
        <t xml:space="preserve">======
ID#AAABjx7qQSA
    (2025-05-21 11:33:25)
0412 Cathy 下單</t>
      </text>
    </comment>
    <comment authorId="0" ref="P677">
      <text>
        <t xml:space="preserve">======
ID#AAABjx7qQRw
    (2025-05-21 11:33:25)
往後使用以色列專案價</t>
      </text>
    </comment>
    <comment authorId="0" ref="H884">
      <text>
        <t xml:space="preserve">======
ID#AAABjx7qQRs
    (2025-05-21 11:33:25)
ALICE:2020/01/10-SA匯入USD37024-沖PI-20191108001 (5904+2010+440+20104+950+6270)+1346(12600中的1346)=USD37024</t>
      </text>
    </comment>
    <comment authorId="0" ref="H62">
      <text>
        <t xml:space="preserve">======
ID#AAABjx7qQRo
    (2025-05-21 11:33:25)
0124 chloe:匯款匯入US$48799</t>
      </text>
    </comment>
    <comment authorId="0" ref="H38">
      <text>
        <t xml:space="preserve">======
ID#AAABjx7qQRc
    (2025-05-21 11:33:25)
0225 chloe:匯款匯入5948-10(手續費)</t>
      </text>
    </comment>
    <comment authorId="0" ref="H333">
      <text>
        <t xml:space="preserve">======
ID#AAABjx7qQRY
    (2025-05-21 11:33:25)
Chloe:2019/4/19 水單匯入USB702.10-手續費USD 0=USD702.10</t>
      </text>
    </comment>
    <comment authorId="0" ref="H640">
      <text>
        <t xml:space="preserve">======
ID#AAABjx7qQRU
    (2025-05-21 11:33:25)
ALICE:9/9電文通知ALCOM PI-20190808A匯入USD1180</t>
      </text>
    </comment>
    <comment authorId="0" ref="H77">
      <text>
        <t xml:space="preserve">======
ID#AAABjx7qQRI
    (2025-05-21 11:33:25)
alice:6/20銀行水單匯入USD4462 沖PI20190107A.PI-20190318B.PI-20190508B.PI-20181022C-2-F</t>
      </text>
    </comment>
    <comment authorId="0" ref="AI225">
      <text>
        <t xml:space="preserve">======
ID#AAABjx7qQQw
    (2025-05-21 11:33:25)
ALICE:2019/02/25-水單USD2590-匯入手續費USD6.5=USD2583.5*30.76=NT79468元整</t>
      </text>
    </comment>
    <comment authorId="0" ref="H644">
      <text>
        <t xml:space="preserve">======
ID#AAABjx7qQQY
    (2025-05-21 11:33:25)
ALICE:9/10玉山水單匯入USD5607元，沖PI-20190813A USD5147.沖PI-20190813A-1 460，合計總沖USD5607元整</t>
      </text>
    </comment>
    <comment authorId="0" ref="N411">
      <text>
        <t xml:space="preserve">======
ID#AAABjx7qQQM
    (2025-05-21 11:33:25)
0508 Cathy 下單</t>
      </text>
    </comment>
    <comment authorId="0" ref="J912">
      <text>
        <t xml:space="preserve">======
ID#AAABjx7qQPk
    (2025-05-21 11:33:25)
DHL Account Number : 956287207 for Freight ( AVIHS Technologies )</t>
      </text>
    </comment>
    <comment authorId="0" ref="G627">
      <text>
        <t xml:space="preserve">======
ID#AAABjx7qQOw
    (2025-05-21 11:33:25)
w/5%VAT</t>
      </text>
    </comment>
    <comment authorId="0" ref="D552">
      <text>
        <t xml:space="preserve">======
ID#AAABjx7qQOo
    (2025-05-21 11:33:25)
0711 請Chloe協助下單</t>
      </text>
    </comment>
    <comment authorId="0" ref="K123">
      <text>
        <t xml:space="preserve">======
ID#AAABjx7qQNo
    (2025-05-21 11:33:25)
在此輸入
0220 Bruce: 告知預計2/25可出貨</t>
      </text>
    </comment>
    <comment authorId="0" ref="G672">
      <text>
        <t xml:space="preserve">======
ID#AAABjx7qQNs
    (2025-05-21 11:33:25)
190215 w/5% vat</t>
      </text>
    </comment>
    <comment authorId="0" ref="S87">
      <text>
        <t xml:space="preserve">======
ID#AAABjx7qQNc
    (2025-05-21 11:33:25)
chloe:含BOM表裡</t>
      </text>
    </comment>
    <comment authorId="0" ref="H561">
      <text>
        <t xml:space="preserve">======
ID#AAABjx7qQNI
    (2025-05-21 11:33:25)
alice:11/19-一銀Hatteland電文通知匯入USD58800 沖PI-20190717A USD58800</t>
      </text>
    </comment>
    <comment authorId="0" ref="H282">
      <text>
        <t xml:space="preserve">======
ID#AAABjx7qQM0
    (2025-05-21 11:33:25)
190303 客人應付貨款要扣掉NT$33313元 
3/22 chloe: 應付貨款145224- 33313
=111911(0322 已付)</t>
      </text>
    </comment>
    <comment authorId="0" ref="G435">
      <text>
        <t xml:space="preserve">======
ID#AAABjx7qQMs
    (2025-05-21 11:33:25)
190513 w/ 5%VAT</t>
      </text>
    </comment>
    <comment authorId="0" ref="H931">
      <text>
        <t xml:space="preserve">======
ID#AAABjx7qQMk
    (2025-05-21 11:33:25)
ALICE:2/24一銀收到USD12104沖PI-20191127001 USD6784+PI-20191104001 USD2014+PI-20191213001 USD3306</t>
      </text>
    </comment>
    <comment authorId="0" ref="H829">
      <text>
        <t xml:space="preserve">======
ID#AAABjx7qQMQ
    (2025-05-21 11:33:25)
ALICE:12/10-亞郁匯入NT86152沖PI-20191016001.PI-20191017001.PI-20191030002.PI-20191112005 USD270.9</t>
      </text>
    </comment>
    <comment authorId="0" ref="H245">
      <text>
        <t xml:space="preserve">======
ID#AAABjx7qQMA
    (2025-05-21 11:33:25)
ALICE:2019/05/20-收到玉山銀行電文通知USD12750元整</t>
      </text>
    </comment>
    <comment authorId="0" ref="G599">
      <text>
        <t xml:space="preserve">======
ID#AAABjx7qQLg
    (2025-05-21 11:33:25)
180221 Tammy: project price for over 50pcs/lot</t>
      </text>
    </comment>
    <comment authorId="0" ref="H820">
      <text>
        <t xml:space="preserve">======
ID#AAABjx7qQLk
    (2025-05-21 11:33:25)
ALICE:10/16玉山銀行匯入USD1285沖PI-20191014001 USD1285元</t>
      </text>
    </comment>
    <comment authorId="0" ref="N628">
      <text>
        <t xml:space="preserve">======
ID#AAABjx7qQKk
    (2025-05-21 11:33:25)
chloe: 0820 告知可下單</t>
      </text>
    </comment>
    <comment authorId="0" ref="J850">
      <text>
        <t xml:space="preserve">======
ID#AAABjx7qQKo
    (2025-05-21 11:33:25)
客人自取</t>
      </text>
    </comment>
    <comment authorId="0" ref="S484">
      <text>
        <t xml:space="preserve">======
ID#AAABjx7qQKY
    (2025-05-21 11:33:25)
0604 chloe:參考庫存表0522平均庫存成本</t>
      </text>
    </comment>
    <comment authorId="0" ref="K571">
      <text>
        <t xml:space="preserve">======
ID#AAABjx7qQKI
    (2025-05-21 11:33:25)
190718 Tammy: 發票寄出前，請先提供確認，謝謝。</t>
      </text>
    </comment>
    <comment authorId="0" ref="H580">
      <text>
        <t xml:space="preserve">======
ID#AAABjx7qQJs
    (2025-05-21 11:33:25)
ALICE:9/26玉山水單匯入USD16657沖PI-20190704A USD655.沖PI-20190704A-F USD96.沖PI20190717E USD11479.沖PI-20190726B USD4245.沖PI-20190726B-F 182總沖16657</t>
      </text>
    </comment>
    <comment authorId="0" ref="G415">
      <text>
        <t xml:space="preserve">======
ID#AAABjx7qQJk
    (2025-05-21 11:33:25)
6/4 Amy: Aantiago agree to offer Special price following local low price.  請尋低價能用即可</t>
      </text>
    </comment>
    <comment authorId="0" ref="H550">
      <text>
        <t xml:space="preserve">======
ID#AAABjx7qQJc
    (2025-05-21 11:33:25)
ALICE:7/9玉山銀行通知水單匯入USD40</t>
      </text>
    </comment>
    <comment authorId="0" ref="D613">
      <text>
        <t xml:space="preserve">======
ID#AAABjx7qQJQ
    (2025-05-21 11:33:25)
7/23 Amy: COC requested together with shipment/ PO Number indicated on each shipping documents / Invoice &amp; Packing list together with shipment</t>
      </text>
    </comment>
    <comment authorId="0" ref="N228">
      <text>
        <t xml:space="preserve">======
ID#AAABjx7qQJM
    (2025-05-21 11:33:25)
0222 Cathy 下單</t>
      </text>
    </comment>
    <comment authorId="0" ref="H681">
      <text>
        <t xml:space="preserve">======
ID#AAABjx7qQIY
    (2025-05-21 11:33:25)
ALICE:8/30-玉山銀行匯入USD2236沖PI20190829A USD2236元整</t>
      </text>
    </comment>
    <comment authorId="0" ref="H1">
      <text>
        <t xml:space="preserve">======
ID#AAABjx7qQII
20181001 San    (2025-05-21 11:33:25)
美金
20190718 chloe:
總價- 
國內單價(含稅)
國外單價(不含稅)</t>
      </text>
    </comment>
    <comment authorId="0" ref="K594">
      <text>
        <t xml:space="preserve">======
ID#AAABjx7qQIA
    (2025-05-21 11:33:25)
1004跟客人確認交期 
10/14客人希望星期四收到</t>
      </text>
    </comment>
    <comment authorId="0" ref="H467">
      <text>
        <t xml:space="preserve">======
ID#AAABjx7qQH0
    (2025-05-21 11:33:25)
ALICE:8/30-玉山銀行水單通知USD3464沖PI20190524B-2 USD3010.沖PI-20190524B-F USD454合計共USD3464元整</t>
      </text>
    </comment>
    <comment authorId="0" ref="H957">
      <text>
        <t xml:space="preserve">======
ID#AAABjx7qQH4
    (2025-05-21 11:33:25)
ALICE:12/24電文通知匯入款USD909(已內含手續費)沖PI20191218001 USD924故尚餘USD15元未收</t>
      </text>
    </comment>
    <comment authorId="0" ref="N455">
      <text>
        <t xml:space="preserve">======
ID#AAABjx7qQHw
    (2025-05-21 11:33:25)
0528 Cathy 下單</t>
      </text>
    </comment>
    <comment authorId="0" ref="E806">
      <text>
        <t xml:space="preserve">======
ID#AAABjx7qQHQ
    (2025-05-21 11:33:25)
20191118 San: 補單</t>
      </text>
    </comment>
    <comment authorId="0" ref="N179">
      <text>
        <t xml:space="preserve">======
ID#AAABjx7qQHE
    (2025-05-21 11:33:25)
0213 Cathy下單</t>
      </text>
    </comment>
    <comment authorId="0" ref="N554">
      <text>
        <t xml:space="preserve">======
ID#AAABjx7qQHA
    (2025-05-21 11:33:25)
0711 下單，交期待回覆</t>
      </text>
    </comment>
    <comment authorId="0" ref="H366">
      <text>
        <t xml:space="preserve">======
ID#AAABjx7qQGs
    (2025-05-21 11:33:25)
Alice:6/17-水單匯入USD10046沖PI-201904096B.PI-20190418A.PI-20190422A.PI-20190307A</t>
      </text>
    </comment>
    <comment authorId="0" ref="AM1">
      <text>
        <t xml:space="preserve">======
ID#AAABjx7qQGg
    (2025-05-21 11:33:25)
專案=需部門協調組裝
買賣=買賣
維修=RMA</t>
      </text>
    </comment>
    <comment authorId="0" ref="N405">
      <text>
        <t xml:space="preserve">======
ID#AAABjx7qQGU
    (2025-05-21 11:33:25)
0507 Cathy下單</t>
      </text>
    </comment>
    <comment authorId="0" ref="G282">
      <text>
        <t xml:space="preserve">======
ID#AAABjx7qQGI
    (2025-05-21 11:33:25)
190303 w/5% VAT</t>
      </text>
    </comment>
    <comment authorId="0" ref="Q600">
      <text>
        <t xml:space="preserve">======
ID#AAABjx7qQGM
    (2025-05-21 11:33:25)
20190522 戎克庫存平均成本</t>
      </text>
    </comment>
    <comment authorId="0" ref="J712">
      <text>
        <t xml:space="preserve">======
ID#AAABjx7qQFg
    (2025-05-21 11:33:25)
Forwarder Details: -
FETA FREIGHT SYSTEMS (TAIWAN ) LTD. 
JUDY KAO 
 Tel: +886-3-399-2033 EXT: 135
Direct: +886-3-3992106
Fax: +886-3-3992036/2055
E-mail: judykao@ffsi.com.tw
Skype:judykao-mlattao</t>
      </text>
    </comment>
    <comment authorId="0" ref="K795">
      <text>
        <t xml:space="preserve">======
ID#AAABjx7qQEw
    (2025-05-21 11:33:25)
1128yvonne:客戶通知要等ISD-1210-T*10pcs到貨一併出。</t>
      </text>
    </comment>
    <comment authorId="0" ref="H472">
      <text>
        <t xml:space="preserve">======
ID#AAABjx7qQEs
    (2025-05-21 11:33:25)
ALICE:7/19-電文匯入USD16000元整，沖PI-20190603A USD10450+236+2308+3006(4850中的)
alice:8/19匯入USD16000沖PI-20190730A 10500，沖PI20190603A 1844(4850)，沖PI20190603A 3656(7040)</t>
      </text>
    </comment>
    <comment authorId="0" ref="S595">
      <text>
        <t xml:space="preserve">======
ID#AAABjx7qQEY
    (2025-05-21 11:33:25)
發票3 PCS(TL53407799)</t>
      </text>
    </comment>
    <comment authorId="0" ref="D743">
      <text>
        <t xml:space="preserve">======
ID#AAABjx7qQEM
    (2025-05-21 11:33:25)
0820 確認客人，還在合併其他物料下單
0917 要求revise PI No.待PI 簽回
0920 cathy:客人突然告知已匯款，chloe下單，待需告知客人何時可以取貨</t>
      </text>
    </comment>
    <comment authorId="0" ref="H404">
      <text>
        <t xml:space="preserve">======
ID#AAABjx7qQEA
    (2025-05-21 11:33:25)
alice:7/4-水單匯入USD4316.9沖PI-20190422B.沖PI-20190507B.沖PI-20190513A</t>
      </text>
    </comment>
    <comment authorId="0" ref="G601">
      <text>
        <t xml:space="preserve">======
ID#AAABjx7qQD4
    (2025-05-21 11:33:25)
10/18 san告知本次不會收molding fee,但會加收labor fee(usd 20)+AG film (usd 26)</t>
      </text>
    </comment>
    <comment authorId="0" ref="H828">
      <text>
        <t xml:space="preserve">======
ID#AAABjx7qQD8
    (2025-05-21 11:33:25)
ALICE:12/10-亞郁匯入NT86152沖PI-20191016001.PI-20191017001.PI-20191030002.PI-20191112005 USD270.9</t>
      </text>
    </comment>
    <comment authorId="0" ref="H597">
      <text>
        <t xml:space="preserve">======
ID#AAABjx7qQDs
    (2025-05-21 11:33:25)
ALICE:1/7第一銀行USD3228 沖PI-20191007006 1501+PI-20191007007 USD1727+PI-20191128002 USD20總沖USD3248</t>
      </text>
    </comment>
    <comment authorId="0" ref="E521">
      <text>
        <t xml:space="preserve">======
ID#AAABjx7qQDg
    (2025-05-21 11:33:25)
20190620
 Santiago:
-&gt; 待客戶將 7' LCD (AA070ME01)寄來後， 寄曦立光電做貼合</t>
      </text>
    </comment>
    <comment authorId="0" ref="L289">
      <text>
        <t xml:space="preserve">======
ID#AAABjx7qQDE
    (2025-05-21 11:33:25)
0401 Bruce告知一組LED閃爍，後無反應，請廠商來看。
0328 cathy: 廠商通知提前出貨</t>
      </text>
    </comment>
    <comment authorId="0" ref="J138">
      <text>
        <t xml:space="preserve">======
ID#AAABjx7qQC8
    (2025-05-21 11:33:25)
在此輸入
customer will confirm again by shipment
2/20: Customer inform should be TNT A/C. already ship by previous informaiton of DHL ( 2/</t>
      </text>
    </comment>
    <comment authorId="0" ref="L71">
      <text>
        <t xml:space="preserve">======
ID#AAABjx7qQC4
    (2025-05-21 11:33:25)
0125 Ca:Tammy通之1/31出貨 
0123 Cathy: Tammy告知交期維持1/29，若1/28客戶無匯款，將改到年後進貨 
0119 Cathy: 提前交期29-&gt;25</t>
      </text>
    </comment>
    <comment authorId="0" ref="AJ12">
      <text>
        <t xml:space="preserve">======
ID#AAABjx7qQCk
    (2025-05-21 11:33:25)
ALICE:2019/05/02-水單匯入USD21462.5-(匯出手續費USD10+匯入手續費USD10.73)=USD21441.77*30.84=NT661264</t>
      </text>
    </comment>
    <comment authorId="0" ref="E710">
      <text>
        <t xml:space="preserve">======
ID#AAABjx7qQCc
    (2025-05-21 11:33:25)
20170104 Santiago: 和之前訂單一樣, w/o adapter</t>
      </text>
    </comment>
    <comment authorId="0" ref="R353">
      <text>
        <t xml:space="preserve">======
ID#AAABjx7qQCQ
    (2025-05-21 11:33:25)
庫存金額</t>
      </text>
    </comment>
    <comment authorId="0" ref="H646">
      <text>
        <t xml:space="preserve">======
ID#AAABjx7qQCA
    (2025-05-21 11:33:25)
ALICE:9/10玉山匯入NT108650沖PI20190719A.PI-20190722B.PI-20190725A.PI20190813B</t>
      </text>
    </comment>
    <comment authorId="0" ref="D744">
      <text>
        <t xml:space="preserve">======
ID#AAABjx7qQBI
    (2025-05-21 11:33:25)
0820 確認客人，還在合併其他物料下單
0917 要求revise PI No.待PI 簽回
0920 cathy:客人突然告知已匯款，chloe下單，待需告知客人何時可以取貨</t>
      </text>
    </comment>
    <comment authorId="0" ref="H97">
      <text>
        <t xml:space="preserve">======
ID#AAABjx7qQA8
    (2025-05-21 11:33:25)
0329 chloe:匯款匯入US$340.5</t>
      </text>
    </comment>
    <comment authorId="0" ref="S182">
      <text>
        <t xml:space="preserve">======
ID#AAABjx7qQAo
    (2025-05-21 11:33:25)
02-BE-00059 NT676 成本</t>
      </text>
    </comment>
    <comment authorId="0" ref="I844">
      <text>
        <t xml:space="preserve">======
ID#AAABjx7qQAU
    (2025-05-21 11:33:25)
Cathy/Santiago</t>
      </text>
    </comment>
    <comment authorId="0" ref="K570">
      <text>
        <t xml:space="preserve">======
ID#AAABjx7qQAI
    (2025-05-21 11:33:25)
190718 Tammy: 發票寄出前，請先提供確認，謝謝。</t>
      </text>
    </comment>
    <comment authorId="0" ref="H803">
      <text>
        <t xml:space="preserve">======
ID#AAABjx7qQAM
    (2025-05-21 11:33:25)
ALICE:11/20一銀匯入USD5837沖PI-20190930A USD3945+PI-20191003A USD137+PI-20191005A USD1755</t>
      </text>
    </comment>
    <comment authorId="0" ref="N452">
      <text>
        <t xml:space="preserve">======
ID#AAABjx7qQAA
    (2025-05-21 11:33:25)
0528 Cathy 下單</t>
      </text>
    </comment>
    <comment authorId="0" ref="D549">
      <text>
        <t xml:space="preserve">======
ID#AAABjx7qQAE
    (2025-05-21 11:33:25)
7/8請 chloe 協助下單</t>
      </text>
    </comment>
    <comment authorId="0" ref="N121">
      <text>
        <t xml:space="preserve">======
ID#AAABjx7qP_8
    (2025-05-21 11:33:25)
0125下單</t>
      </text>
    </comment>
    <comment authorId="0" ref="K607">
      <text>
        <t xml:space="preserve">======
ID#AAABjx7qP_o
    (2025-05-21 11:33:25)
0722 客人告知急，但也同時告知款項要先來</t>
      </text>
    </comment>
    <comment authorId="0" ref="H48">
      <text>
        <t xml:space="preserve">======
ID#AAABjx7qP_k
    (2025-05-21 11:33:25)
0306 chloe:匯款匯入US$14480.6(含20190119A RG58 cable Sample)</t>
      </text>
    </comment>
    <comment authorId="0" ref="L141">
      <text>
        <t xml:space="preserve">======
ID#AAABjx7qP_Y
    (2025-05-21 11:33:25)
0125 Cathy:供應商有庫存</t>
      </text>
    </comment>
    <comment authorId="0" ref="H104">
      <text>
        <t xml:space="preserve">======
ID#AAABjx7qP_U
    (2025-05-21 11:33:25)
ALICE:2019/05/02-水單匯入USD21462.5</t>
      </text>
    </comment>
    <comment authorId="0" ref="J735">
      <text>
        <t xml:space="preserve">======
ID#AAABjx7qP-o
    (2025-05-21 11:33:25)
190919 但未知FEDEX服務，出貨前再確認
191008 Economy service</t>
      </text>
    </comment>
    <comment authorId="0" ref="G172">
      <text>
        <t xml:space="preserve">======
ID#AAABjx7qP-E
    (2025-05-21 11:33:25)
180828 w/ vat 5%</t>
      </text>
    </comment>
    <comment authorId="0" ref="H106">
      <text>
        <t xml:space="preserve">======
ID#AAABjx7qP94
    (2025-05-21 11:33:25)
0128 Mary: 匯款匯入 US$5,260</t>
      </text>
    </comment>
    <comment authorId="0" ref="H855">
      <text>
        <t xml:space="preserve">======
ID#AAABjx7qP9s
    (2025-05-21 11:33:25)
alice:12/6-一銀通知匯入款7090(內含手續費USD28.57)沖PI-20191029001</t>
      </text>
    </comment>
    <comment authorId="0" ref="N345">
      <text>
        <t xml:space="preserve">======
ID#AAABjx7qP9k
    (2025-05-21 11:33:25)
0410 Cathy 下單</t>
      </text>
    </comment>
    <comment authorId="0" ref="K595">
      <text>
        <t xml:space="preserve">======
ID#AAABjx7qP9g
    (2025-05-21 11:33:25)
1004跟客人確認交期 
10/14客人希望星期四收到</t>
      </text>
    </comment>
    <comment authorId="0" ref="H766">
      <text>
        <t xml:space="preserve">======
ID#AAABjx7qP9Y
    (2025-05-21 11:33:25)
ALICE:11/20一銀匯入USD5837沖PI-20190930A USD3945+PI-20191003A USD137+PI-20191005A USD1755</t>
      </text>
    </comment>
    <comment authorId="0" ref="I523">
      <text>
        <t xml:space="preserve">======
ID#AAABjx7qP9U
    (2025-05-21 11:33:25)
Cathy/Santiago</t>
      </text>
    </comment>
    <comment authorId="0" ref="H506">
      <text>
        <t xml:space="preserve">======
ID#AAABjx7qP9Q
    (2025-05-21 11:33:25)
alice:7/31-水單匯入USD2124沖PI-20190131D-2 857.沖PI-20190610A 565.沖PI-20190607A 444.沖PI-20190612A 258</t>
      </text>
    </comment>
    <comment authorId="0" ref="L465">
      <text>
        <t xml:space="preserve">======
ID#AAABjx7qP88
    (2025-05-21 11:33:25)
0604 chloe: 下單→0711 追料交期待下周告知
※貨到請通知Chloe</t>
      </text>
    </comment>
    <comment authorId="0" ref="K18">
      <text>
        <t xml:space="preserve">======
ID#AAABjx7qP8g
    (2025-05-21 11:33:24)
0117 改走TNT, 請沛勁由機場取回戎克
0111Cathy: 因電池需申報，目前拉下放於Forwarder，帶IBASE 提供電池相關文件</t>
      </text>
    </comment>
    <comment authorId="0" ref="L829">
      <text>
        <t xml:space="preserve">======
ID#AAABjx7qP8A
    (2025-05-21 11:33:24)
chloe
1028: 原先告知10/30
1104: 尚未告知MOXA！！原倉庫(木新路)收貨至11/14止，11/15暫停收貨 ，
11/18之後送貨請送至新倉庫:新北市新店區寶橋路235巷118號2AF</t>
      </text>
    </comment>
    <comment authorId="0" ref="H805">
      <text>
        <t xml:space="preserve">======
ID#AAABjx7qP7k
    (2025-05-21 11:33:24)
ALICE:10/24玉山水單匯入USD13256沖PI-20191007010 USD13256</t>
      </text>
    </comment>
    <comment authorId="0" ref="AJ139">
      <text>
        <t xml:space="preserve">======
ID#AAABjx7qP7A
    (2025-05-21 11:33:24)
alice:2019/04/25水單通知匯入USD1931*30.86=NT59591元整  無手續費 沖(125+1400+14+42+350)</t>
      </text>
    </comment>
    <comment authorId="0" ref="H723">
      <text>
        <t xml:space="preserve">======
ID#AAABjx7qP64
    (2025-05-21 11:33:24)
ALICE:9/12玉山水單匯入USD1463沖PI-20190910C USD1463元整</t>
      </text>
    </comment>
    <comment authorId="0" ref="H309">
      <text>
        <t xml:space="preserve">======
ID#AAABjx7qP6Q
    (2025-05-21 11:33:24)
alice:2019/04/25水單通知匯入USD1931*30.86=NT59591元整  無手續費 沖(125+1400+14+42+350)</t>
      </text>
    </comment>
    <comment authorId="0" ref="L291">
      <text>
        <t xml:space="preserve">======
ID#AAABjx7qP5w
    (2025-05-21 11:33:24)
0306 Chloe提供</t>
      </text>
    </comment>
    <comment authorId="0" ref="N37">
      <text>
        <t xml:space="preserve">======
ID#AAABjx7qP5s
    (2025-05-21 11:33:24)
cathy:20181217下PO
12/18 Support 價格</t>
      </text>
    </comment>
    <comment authorId="0" ref="N428">
      <text>
        <t xml:space="preserve">======
ID#AAABjx7qP50
    (2025-05-21 11:33:24)
0510 CATHY 下單</t>
      </text>
    </comment>
    <comment authorId="0" ref="B416">
      <text>
        <t xml:space="preserve">======
ID#AAABjx7qP5k
    (2025-05-21 11:33:24)
5/21 Amy: change quantity to 6 ( previous is 3)</t>
      </text>
    </comment>
    <comment authorId="0" ref="D593">
      <text>
        <t xml:space="preserve">======
ID#AAABjx7qP5U
    (2025-05-21 11:33:24)
20190604 Robin accept W/O AG、AR treatment this time</t>
      </text>
    </comment>
    <comment authorId="0" ref="G50">
      <text>
        <t xml:space="preserve">======
ID#AAABjx7qP5Q
    (2025-05-21 11:33:24)
170323 w/ 5%VAT</t>
      </text>
    </comment>
    <comment authorId="0" ref="K122">
      <text>
        <t xml:space="preserve">======
ID#AAABjx7qP5E
    (2025-05-21 11:33:24)
在此輸入
0220 Bruce: 告知預計2/25可出貨</t>
      </text>
    </comment>
    <comment authorId="0" ref="H747">
      <text>
        <t xml:space="preserve">======
ID#AAABjx7qP4s
    (2025-05-21 11:33:24)
ALICE:11/4玉山銀行收到匯入款USD407沖PI-20190919A USD407元整</t>
      </text>
    </comment>
    <comment authorId="0" ref="N571">
      <text>
        <t xml:space="preserve">======
ID#AAABjx7qP4k
    (2025-05-21 11:33:24)
取消PO-20190717C，分批下單
用下採購單日期當作虛擬PI</t>
      </text>
    </comment>
    <comment authorId="0" ref="S508">
      <text>
        <t xml:space="preserve">======
ID#AAABjx7qP4c
    (2025-05-21 11:33:24)
8/15 chloe 核對OK</t>
      </text>
    </comment>
    <comment authorId="0" ref="E85">
      <text>
        <t xml:space="preserve">======
ID#AAABjx7qP4Q
    (2025-05-21 11:33:24)
256GB 2.5" SSD M3M MP808 Samsung eMMC ET(-25℃~+85℃)</t>
      </text>
    </comment>
    <comment authorId="0" ref="J237">
      <text>
        <t xml:space="preserve">======
ID#AAABjx7qP3w
    (2025-05-21 11:33:24)
Forwarder Details: -
FETA FREIGHT SYSTEMS (TAIWAN ) LTD. 
JUDY KAO 
 Tel: +886-3-399-2033 EXT: 135
Direct: +886-3-3992106
Fax: +886-3-3992036/2055
E-mail: judykao@ffsi.com.tw
Skype:judykao-mlattao</t>
      </text>
    </comment>
    <comment authorId="0" ref="H281">
      <text>
        <t xml:space="preserve">======
ID#AAABjx7qP3c
    (2025-05-21 11:33:24)
190303 客人應付貨款要扣掉NT$33313元 
3/22 chloe: 應付貨款145224- 33313
=111911(0322 已付)</t>
      </text>
    </comment>
    <comment authorId="0" ref="D642">
      <text>
        <t xml:space="preserve">======
ID#AAABjx7qP3Y
    (2025-05-21 11:33:24)
在此輸入
需要分兩次出貨
8/21請yvonne 協助下單
9/3 告知會再這兩日匯款</t>
      </text>
    </comment>
    <comment authorId="0" ref="H436">
      <text>
        <t xml:space="preserve">======
ID#AAABjx7qP3I
    (2025-05-21 11:33:24)
ALICE:8/23-水單匯入USD3717沖PI-20190513C USD3717</t>
      </text>
    </comment>
    <comment authorId="0" ref="H78">
      <text>
        <t xml:space="preserve">======
ID#AAABjx7qP3A
    (2025-05-21 11:33:24)
alice:6/20銀行水單匯入USD4462 沖PI20190107A.PI-20190318B.PI-20190508B.PI-20181022C-2-F</t>
      </text>
    </comment>
    <comment authorId="0" ref="N524">
      <text>
        <t xml:space="preserve">======
ID#AAABjx7qP2s
    (2025-05-21 11:33:24)
0626下單</t>
      </text>
    </comment>
    <comment authorId="0" ref="H217">
      <text>
        <t xml:space="preserve">======
ID#AAABjx7qP2Y
    (2025-05-21 11:33:24)
ALICE:5/3-電文USD16646(沖10450+4616+1580(4850中的1580))</t>
      </text>
    </comment>
    <comment authorId="0" ref="H389">
      <text>
        <t xml:space="preserve">======
ID#AAABjx7qP2M
    (2025-05-21 11:33:24)
Alice:6/17-水單匯入USD10046沖PI-201904096B.PI-20190418A.PI-20190422A.PI-20190307A</t>
      </text>
    </comment>
    <comment authorId="0" ref="H59">
      <text>
        <t xml:space="preserve">======
ID#AAABjx7qP2A
    (2025-05-21 11:33:24)
ALICE:201904/10水單匯入USD11416*30.78
沖(229+2394+326+34+5274+3066+103)=11426</t>
      </text>
    </comment>
    <comment authorId="0" ref="H767">
      <text>
        <t xml:space="preserve">======
ID#AAABjx7qP18
    (2025-05-21 11:33:24)
ALICE:11/20一銀匯入USD5837沖PI-20190930A USD3945+PI-20191003A USD137+PI-20191005A USD1755</t>
      </text>
    </comment>
    <comment authorId="0" ref="H290">
      <text>
        <t xml:space="preserve">======
ID#AAABjx7qP14
    (2025-05-21 11:33:24)
alice:2019/05/17水單通知USD19768沖3/4A $1995.3/4A-1$4152.3/4A-1-F $232.3/8B-F $57.12/21A-2-F $144.3/4A-1 $189.10/22C-2 $10227.12/21A-1 $2772.如上總計共USD19768</t>
      </text>
    </comment>
    <comment authorId="0" ref="D903">
      <text>
        <t xml:space="preserve">======
ID#AAABjx7qP10
    (2025-05-21 11:33:24)
1114 Cathy:請Yvonne 下單</t>
      </text>
    </comment>
    <comment authorId="0" ref="P656">
      <text>
        <t xml:space="preserve">======
ID#AAABjx7qP08
    (2025-05-21 11:33:24)
0820 chloe:專案價</t>
      </text>
    </comment>
    <comment authorId="0" ref="N431">
      <text>
        <t xml:space="preserve">======
ID#AAABjx7qP0w
    (2025-05-21 11:33:24)
0514 Cathy 下單</t>
      </text>
    </comment>
    <comment authorId="0" ref="H57">
      <text>
        <t xml:space="preserve">======
ID#AAABjx7qP0Y
    (2025-05-21 11:33:24)
ALICE:201904/10水單匯入USD11416*30.78
沖(229+2394+326+34+5274+3066+103)=11426</t>
      </text>
    </comment>
    <comment authorId="0" ref="H330">
      <text>
        <t xml:space="preserve">======
ID#AAABjx7qP0Q
    (2025-05-21 11:33:24)
Chloe:2019/4/19 水單匯入USB702.10-手續費USD 0=USD702.10</t>
      </text>
    </comment>
    <comment authorId="0" ref="H624">
      <text>
        <t xml:space="preserve">======
ID#AAABjx7qPzg
    (2025-05-21 11:33:24)
ALICE:8/1銀行水單通知匯入USD8538.6沖PI-20190731A</t>
      </text>
    </comment>
    <comment authorId="0" ref="G946">
      <text>
        <t xml:space="preserve">======
ID#AAABjx7qPzU
    (2025-05-21 11:33:24)
TPM收NTD 43,950
出口 (USD rate 34.1)  ,NTD 22,116/34.1=USD 648.56
進口  (USD rate 34.37) , ,NTD 21,834/34.37=USD 635.26</t>
      </text>
    </comment>
    <comment authorId="0" ref="J797">
      <text>
        <t xml:space="preserve">======
ID#AAABjx7qPzM
    (2025-05-21 11:33:24)
using UPS express then</t>
      </text>
    </comment>
    <comment authorId="0" ref="K75">
      <text>
        <t xml:space="preserve">======
ID#AAABjx7qPys
    (2025-05-21 11:33:24)
6/20 amy: this shipment DOA, the RMA Return date is 04/30, so A/R should be count from 4/30, due date is 6/15</t>
      </text>
    </comment>
    <comment authorId="0" ref="H322">
      <text>
        <t xml:space="preserve">======
ID#AAABjx7qPyo
    (2025-05-21 11:33:24)
alice:5/10-水單通知usd3751-匯出手續費20-匯入手續費6.46=USD3724.54*30.94=NT115,237元整
沖20190320B USD1270
沖20190322A USD2481
合計總沖USD3751元整</t>
      </text>
    </comment>
    <comment authorId="0" ref="H917">
      <text>
        <t xml:space="preserve">======
ID#AAABjx7qPyE
    (2025-05-21 11:33:24)
12/30-第一銀行收款NT43191</t>
      </text>
    </comment>
    <comment authorId="0" ref="E783">
      <text>
        <t xml:space="preserve">======
ID#AAABjx7qPyU
    (2025-05-21 11:33:24)
0313 chloe: 戎克備有庫存，見半成品庫存表</t>
      </text>
    </comment>
    <comment authorId="0" ref="H860">
      <text>
        <t xml:space="preserve">======
ID#AAABjx7qPxs
    (2025-05-21 11:33:24)
ALICE:1/15一銀收到USD8853(內含手續費USD53.7)沖PI-20191029002 USD4275+PI-20191029003 USD2235+PI-20191029004 USD1988+PI-20191105002 USD355</t>
      </text>
    </comment>
    <comment authorId="0" ref="H216">
      <text>
        <t xml:space="preserve">======
ID#AAABjx7qPxc
    (2025-05-21 11:33:24)
ALICE:2019/04/08-水單匯入USD31764-手續費USD12=USD31752
沖帳明細詳4/8-客戶MAIL沖帳明細(12540+944+2010+5770+10500=31764)</t>
      </text>
    </comment>
    <comment authorId="0" ref="L822">
      <text>
        <t xml:space="preserve">======
ID#AAABjx7qPxQ
    (2025-05-21 11:33:24)
1104 Jimmy 告知交期改為 11/11
1023YVONNE:JIMMY告知要分批出貨。
1112yvonne:jimmy延遲出貨，改到11/14</t>
      </text>
    </comment>
    <comment authorId="0" ref="K93">
      <text>
        <t xml:space="preserve">======
ID#AAABjx7qPxM
    (2025-05-21 11:33:24)
0212 San: 用DHL箱子把2個貨箱放成一個箱子</t>
      </text>
    </comment>
    <comment authorId="0" ref="N309">
      <text>
        <t xml:space="preserve">======
ID#AAABjx7qPw4
    (2025-05-21 11:33:24)
0319 Cathy 下單</t>
      </text>
    </comment>
    <comment authorId="0" ref="L525">
      <text>
        <t xml:space="preserve">======
ID#AAABjx7qPwY
    (2025-05-21 11:33:24)
0801Tammy通知更改</t>
      </text>
    </comment>
    <comment authorId="0" ref="H873">
      <text>
        <t xml:space="preserve">======
ID#AAABjx7qPwA
    (2025-05-21 11:33:24)
ALICE:11/8-玉山銀行收到Dadasol匯入USD7021沖PI-20191101002 USD7021</t>
      </text>
    </comment>
    <comment authorId="0" ref="N277">
      <text>
        <t xml:space="preserve">======
ID#AAABjx7qPvw
    (2025-05-21 11:33:24)
0304 Cathy: 下單</t>
      </text>
    </comment>
    <comment authorId="0" ref="N750">
      <text>
        <t xml:space="preserve">======
ID#AAABjx7qPvs
    (2025-05-21 11:33:24)
0923YVONNE下單</t>
      </text>
    </comment>
    <comment authorId="0" ref="H344">
      <text>
        <t xml:space="preserve">======
ID#AAABjx7qPvo
    (2025-05-21 11:33:24)
ALICE:6/17水單匯入USD16108 沖PI-20190227B 8500，沖PI-20190409A 7608</t>
      </text>
    </comment>
    <comment authorId="0" ref="Q521">
      <text>
        <t xml:space="preserve">======
ID#AAABjx7qPvc
    (2025-05-21 11:33:24)
0621
chloe:客供料，無成本價</t>
      </text>
    </comment>
    <comment authorId="0" ref="K4">
      <text>
        <t xml:space="preserve">======
ID#AAABjx7qPvQ
    (2025-05-21 11:33:24)
Vecow 年底前交貨, 收到超恩貨+2-3 days出貨Ti2</t>
      </text>
    </comment>
    <comment authorId="0" ref="H793">
      <text>
        <t xml:space="preserve">======
ID#AAABjx7qPvE
    (2025-05-21 11:33:24)
ALICE:1/9-一銀水單USD1590沖PI-20191001E USD1590</t>
      </text>
    </comment>
    <comment authorId="0" ref="H618">
      <text>
        <t xml:space="preserve">======
ID#AAABjx7qPus
    (2025-05-21 11:33:24)
ALICE:9/26玉山水單匯入USD16657沖PI-20190704A USD655.沖PI-20190704A-F USD96.沖PI20190717E USD11479.沖PI-20190726B USD4245.沖PI-20190726B-F 182總沖16657</t>
      </text>
    </comment>
    <comment authorId="0" ref="H354">
      <text>
        <t xml:space="preserve">======
ID#AAABjx7qPuk
    (2025-05-21 11:33:24)
alice:6/20銀行水單匯入USD4462 沖PI20190107A.PI-20190318B.PI-20190508B.PI-20181022C-2-F</t>
      </text>
    </comment>
    <comment authorId="0" ref="Z673">
      <text>
        <t xml:space="preserve">======
ID#AAABjx7qPuY
    (2025-05-21 11:33:24)
簡易報關出口</t>
      </text>
    </comment>
    <comment authorId="0" ref="D664">
      <text>
        <t xml:space="preserve">======
ID#AAABjx7qPuQ
    (2025-05-21 11:33:24)
0820 Cathy: santi mail 告知提供PI給客人，待客戶簽回
0902 Cathy: double confirm with client if they will place an order 
0910 請chloe 下單
0920  Cathy : 詢問客人交期有否辦法接受(物料無法cancel)</t>
      </text>
    </comment>
    <comment authorId="0" ref="B726">
      <text>
        <t xml:space="preserve">======
ID#AAABjx7qPuA
    (2025-05-21 11:33:24)
新開發客戶</t>
      </text>
    </comment>
    <comment authorId="0" ref="H490">
      <text>
        <t xml:space="preserve">======
ID#AAABjx7qPt0
    (2025-05-21 11:33:24)
alice:6/10-銀行匯入USD754-手續費USD17.37=USD736.63*31.373</t>
      </text>
    </comment>
    <comment authorId="0" ref="H778">
      <text>
        <t xml:space="preserve">======
ID#AAABjx7qPtk
    (2025-05-21 11:33:24)
ALICE:12/4-TPOLE匯入一銀USD2242(全額到付)沖PI-20190923B 125+PI-20190930B USD1872+PI-20191014006 USD150+PI-20191026001 USD95合計總沖USD2242元整</t>
      </text>
    </comment>
    <comment authorId="0" ref="G638">
      <text>
        <t xml:space="preserve">======
ID#AAABjx7qPtc
    (2025-05-21 11:33:24)
8/6 Amy EXCHAGE REATE: 31.57</t>
      </text>
    </comment>
    <comment authorId="0" ref="B728">
      <text>
        <t xml:space="preserve">======
ID#AAABjx7qPtM
    (2025-05-21 11:33:24)
新開發客戶</t>
      </text>
    </comment>
    <comment authorId="0" ref="H850">
      <text>
        <t xml:space="preserve">======
ID#AAABjx7qPs8
    (2025-05-21 11:33:24)
ALICE:10/28-合庫收款USD2852(含手續費USD17.56) 沖PI-20191024002 USD2852</t>
      </text>
    </comment>
    <comment authorId="0" ref="K572">
      <text>
        <t xml:space="preserve">======
ID#AAABjx7qPsw
    (2025-05-21 11:33:24)
190718 Tammy: 發票寄出前，請先提供確認，謝謝。</t>
      </text>
    </comment>
    <comment authorId="0" ref="N575">
      <text>
        <t xml:space="preserve">======
ID#AAABjx7qPs0
    (2025-05-21 11:33:24)
取消PO-20190717C，分批下單</t>
      </text>
    </comment>
    <comment authorId="0" ref="N138">
      <text>
        <t xml:space="preserve">======
ID#AAABjx7qPss
    (2025-05-21 11:33:24)
0125 下單</t>
      </text>
    </comment>
    <comment authorId="0" ref="H355">
      <text>
        <t xml:space="preserve">======
ID#AAABjx7qPsU
    (2025-05-21 11:33:24)
ALICE:6/25-新漢匯入46434(合庫)</t>
      </text>
    </comment>
    <comment authorId="0" ref="M835">
      <text>
        <t xml:space="preserve">======
ID#AAABjx7qPsY
    (2025-05-21 11:33:24)
10/21 eric下單40pcs　</t>
      </text>
    </comment>
    <comment authorId="0" ref="S721">
      <text>
        <t xml:space="preserve">======
ID#AAABjx7qPsI
    (2025-05-21 11:33:24)
0911 chloe:廠商贈送樣品</t>
      </text>
    </comment>
    <comment authorId="0" ref="K718">
      <text>
        <t xml:space="preserve">======
ID#AAABjx7qPr0
    (2025-05-21 11:33:24)
ACCUVIEW  SEND TO CAPTEC</t>
      </text>
    </comment>
    <comment authorId="0" ref="H459">
      <text>
        <t xml:space="preserve">======
ID#AAABjx7qPrY
    (2025-05-21 11:33:24)
ALICE:5/28-銀行電文通知匯入USD916</t>
      </text>
    </comment>
    <comment authorId="0" ref="S389">
      <text>
        <t xml:space="preserve">======
ID#AAABjx7qPrI
    (2025-05-21 11:33:24)
廣積維修成本(含稅)</t>
      </text>
    </comment>
    <comment authorId="0" ref="N545">
      <text>
        <t xml:space="preserve">======
ID#AAABjx7qPq8
    (2025-05-21 11:33:24)
0704 CATHY 下單</t>
      </text>
    </comment>
    <comment authorId="0" ref="H655">
      <text>
        <t xml:space="preserve">======
ID#AAABjx7qPqM
    (2025-05-21 11:33:24)
ALICE:8/30-玉山銀行水單通知USD3464沖PI20190524B-2 USD3010.沖PI-20190524B-F USD454合計共USD3464元整</t>
      </text>
    </comment>
    <comment authorId="0" ref="J849">
      <text>
        <t xml:space="preserve">======
ID#AAABjx7qPps
    (2025-05-21 11:33:24)
客人自取</t>
      </text>
    </comment>
    <comment authorId="0" ref="L360">
      <text>
        <t xml:space="preserve">======
ID#AAABjx7qPpo
    (2025-05-21 11:33:24)
0417 ivy revise 交期</t>
      </text>
    </comment>
    <comment authorId="0" ref="L752">
      <text>
        <t xml:space="preserve">======
ID#AAABjx7qPpI
    (2025-05-21 11:33:24)
Chloe 1106: MOXA回覆交期，有可能會延遲兩天</t>
      </text>
    </comment>
    <comment authorId="0" ref="H403">
      <text>
        <t xml:space="preserve">======
ID#AAABjx7qPpA
    (2025-05-21 11:33:24)
alice:7/4-水單匯入USD4316.9沖PI-20190422B.沖PI-20190507B.沖PI-20190513A</t>
      </text>
    </comment>
    <comment authorId="0" ref="L12">
      <text>
        <t xml:space="preserve">======
ID#AAABjx7qPpE
    (2025-05-21 11:33:24)
0119 Cathy:缺主板+CPU
9/26 Cindy:Intel 年底交貨</t>
      </text>
    </comment>
    <comment authorId="0" ref="I744">
      <text>
        <t xml:space="preserve">======
ID#AAABjx7qPow
    (2025-05-21 11:33:24)
原cathy</t>
      </text>
    </comment>
    <comment authorId="0" ref="H703">
      <text>
        <t xml:space="preserve">======
ID#AAABjx7qPoo
    (2025-05-21 11:33:24)
alice:9/6玉山水單通知usd4763.4沖pi-20190904a usd4763.4</t>
      </text>
    </comment>
    <comment authorId="0" ref="N861">
      <text>
        <t xml:space="preserve">======
ID#AAABjx7qPoY
    (2025-05-21 11:33:24)
1101 chloe:已申請借轉銷，待發票給予</t>
      </text>
    </comment>
    <comment authorId="0" ref="I884">
      <text>
        <t xml:space="preserve">======
ID#AAABjx7qPoE
    (2025-05-21 11:33:24)
Cathy/Yvonne</t>
      </text>
    </comment>
    <comment authorId="0" ref="H33">
      <text>
        <t xml:space="preserve">======
ID#AAABjx7qPn4
    (2025-05-21 11:33:24)
0225 chloe:匯款匯入5948-10(手續費)</t>
      </text>
    </comment>
    <comment authorId="0" ref="K742">
      <text>
        <t xml:space="preserve">======
ID#AAABjx7qPnk
    (2025-05-21 11:33:24)
0926yvonne:0925收走</t>
      </text>
    </comment>
    <comment authorId="0" ref="L93">
      <text>
        <t xml:space="preserve">======
ID#AAABjx7qPng
    (2025-05-21 11:33:24)
0114 chloe:待L85/L86 有交期後再下單</t>
      </text>
    </comment>
    <comment authorId="0" ref="H834">
      <text>
        <t xml:space="preserve">======
ID#AAABjx7qPnI
    (2025-05-21 11:33:24)
ALICE:12/13一銀USD收到KH匯入USD1562.8(內含手續費USD28.61)沖PI-20191017004 USD1347+PI-20191030001 USD215.8合計總沖USD1562.8</t>
      </text>
    </comment>
    <comment authorId="0" ref="H946">
      <text>
        <t xml:space="preserve">======
ID#AAABjx7qPmk
    (2025-05-21 11:33:24)
TPM收NTD 43,950
出口 (USD rate 34.1)  ,NTD 22,116/34.1=USD 648.56
進口  (USD rate 34.37) , ,NTD 21,834/34.37=USD 635.26
ALICE:12/20-匯入一銀65019+73332沖PI-20191211001+PI-20191213002</t>
      </text>
    </comment>
    <comment authorId="0" ref="P712">
      <text>
        <t xml:space="preserve">======
ID#AAABjx7qPmc
    (2025-05-21 11:33:24)
20190900279290 專案價格(3PCS)</t>
      </text>
    </comment>
    <comment authorId="0" ref="H228">
      <text>
        <t xml:space="preserve">======
ID#AAABjx7qPmE
    (2025-05-21 11:33:24)
ALICE:2019/04/12水單USD11670*30.81(3035+135+5420+2730+310+40)</t>
      </text>
    </comment>
    <comment authorId="0" ref="H180">
      <text>
        <t xml:space="preserve">======
ID#AAABjx7qPl0
    (2025-05-21 11:33:24)
0327 chloe:匯款匯入US4578-6.51(手續費)</t>
      </text>
    </comment>
    <comment authorId="0" ref="H520">
      <text>
        <t xml:space="preserve">======
ID#AAABjx7qPlc
    (2025-05-21 11:33:24)
ALICE:11/6-玉山銀行收到Hectronic匯入款USD19840沖PI-20190620A-3 USD7440.PI-20190620A-2 USD12400</t>
      </text>
    </comment>
    <comment authorId="0" ref="AI360">
      <text>
        <t xml:space="preserve">======
ID#AAABjx7qPlQ
    (2025-05-21 11:33:24)
Alice:2019/05/21-銀行水單通知USD960-匯款手續費USD6.35=USD953.65*31.51=NT30050元整</t>
      </text>
    </comment>
    <comment authorId="0" ref="H518">
      <text>
        <t xml:space="preserve">======
ID#AAABjx7qPlI
    (2025-05-21 11:33:24)
ALICE:9/3玉山銀行水單通知USD5580沖PI-20190620A-1</t>
      </text>
    </comment>
    <comment authorId="0" ref="H295">
      <text>
        <t xml:space="preserve">======
ID#AAABjx7qPlA
    (2025-05-21 11:33:24)
ALICE:5/3收到USD12965.5(沖PI-20190121B.PI20190217A.PI-20190131C.PI-20190313A.PI-20190306A)</t>
      </text>
    </comment>
    <comment authorId="0" ref="E643">
      <text>
        <t xml:space="preserve">======
ID#AAABjx7qPk0
    (2025-05-21 11:33:24)
下單Nport W2150A-EU BAND w/EU adaptor</t>
      </text>
    </comment>
    <comment authorId="0" ref="K828">
      <text>
        <t xml:space="preserve">======
ID#AAABjx7qPks
    (2025-05-21 11:33:24)
chloe
1028: 原先告知10/30
1104: 尚未告知MOXA！！原倉庫(木新路)收貨至11/14止，11/15暫停收貨 ，
11/18之後送貨請送至新倉庫:新北市新店區寶橋路235巷118號2AF</t>
      </text>
    </comment>
    <comment authorId="0" ref="K909">
      <text>
        <t xml:space="preserve">======
ID#AAABjx7qPkk
    (2025-05-21 11:33:24)
1114 cathy 客人指定出貨時間</t>
      </text>
    </comment>
    <comment authorId="0" ref="K3">
      <text>
        <t xml:space="preserve">======
ID#AAABjx7qPkE
    (2025-05-21 11:33:24)
Vecow 年底前交貨, 收到超恩貨+2-3 days出貨Ti2</t>
      </text>
    </comment>
    <comment authorId="0" ref="H531">
      <text>
        <t xml:space="preserve">======
ID#AAABjx7qPjw
    (2025-05-21 11:33:24)
ALICE:9/23玉山銀行水單通知匯入USD14587沖PI-20190626A 334.5 沖PI-20190703B 8550.沖PI20190719C 5212.5.沖PI-20190722A 210.沖PI-20190801C 280 合計總沖USD14587元整</t>
      </text>
    </comment>
    <comment authorId="0" ref="G745">
      <text>
        <t xml:space="preserve">======
ID#AAABjx7qPjs
    (2025-05-21 11:33:24)
190718 Tammy: w/5%</t>
      </text>
    </comment>
    <comment authorId="0" ref="H266">
      <text>
        <t xml:space="preserve">======
ID#AAABjx7qPjo
    (2025-05-21 11:33:24)
ALICE:10/21玉山銀行匯入USD4250沖PI-20190227F USD4250</t>
      </text>
    </comment>
    <comment authorId="0" ref="E79">
      <text>
        <t xml:space="preserve">======
ID#AAABjx7qPjM
    (2025-05-21 11:33:24)
256GB 2.5" SSD M3M MP808 Samsung eMMC ET(-25℃~+85℃)</t>
      </text>
    </comment>
    <comment authorId="0" ref="E470">
      <text>
        <t xml:space="preserve">======
ID#AAABjx7qPiw
    (2025-05-21 11:33:24)
客戶下單: 719_MT8070iE  
廠商實際進貨:  719_MT8071iE (客人接受此料,不換料)</t>
      </text>
    </comment>
    <comment authorId="0" ref="AI137">
      <text>
        <t xml:space="preserve">======
ID#AAABjx7qPiY
    (2025-05-21 11:33:24)
ALICE:2019/05/02-水單匯入USD21462.5-(匯出手續費USD10+匯入手續費USD10.73)=USD21441.77*30.84=NT661264</t>
      </text>
    </comment>
    <comment authorId="0" ref="D74">
      <text>
        <t xml:space="preserve">======
ID#AAABjx7qPiE
    (2025-05-21 11:33:24)
190109 Tammy: 抽驗即可, 謝謝</t>
      </text>
    </comment>
    <comment authorId="0" ref="H17">
      <text>
        <t xml:space="preserve">======
ID#AAABjx7qPhw
    (2025-05-21 11:33:24)
alice:2019/05/17水單通知USD19768沖3/4A $1995.3/4A-1$4152.3/4A-1-F $232.3/8B-F $57.12/21A-2-F $144.3/4A-1 $189.10/22C-2 $10227.12/21A-1 $2772.如上總計共USD19768</t>
      </text>
    </comment>
    <comment authorId="0" ref="D828">
      <text>
        <t xml:space="preserve">======
ID#AAABjx7qPhk
    (2025-05-21 11:33:24)
10/17 CATHY:請Tammy 下單</t>
      </text>
    </comment>
    <comment authorId="0" ref="L440">
      <text>
        <t xml:space="preserve">======
ID#AAABjx7qPhg
    (2025-05-21 11:33:24)
5/16 Amy
1. need COC (自我認證產證with shipment)
2. invoice &amp; P/L with PO#19000180
3. invoice &amp; P/L together with shipment</t>
      </text>
    </comment>
    <comment authorId="0" ref="AC446">
      <text>
        <t xml:space="preserve">======
ID#AAABjx7qPhQ
    (2025-05-21 11:33:24)
原發票金額:14092</t>
      </text>
    </comment>
    <comment authorId="0" ref="R504">
      <text>
        <t xml:space="preserve">======
ID#AAABjx7qPhI
    (2025-05-21 11:33:24)
庫存金額</t>
      </text>
    </comment>
    <comment authorId="0" ref="H498">
      <text>
        <t xml:space="preserve">======
ID#AAABjx7qPg0
    (2025-05-21 11:33:24)
ALICE:8/2-水單匯入USD541元整，沖PI-20190606D USD416+沖PI-20190617A USD125</t>
      </text>
    </comment>
    <comment authorId="0" ref="H882">
      <text>
        <t xml:space="preserve">======
ID#AAABjx7qPgo
    (2025-05-21 11:33:24)
ALICE:2020/01/10-SA匯入USD37024-沖PI-20191108001 (5904+2010+440+20104+950+6270)+1346(12600中的1346)=USD37024</t>
      </text>
    </comment>
    <comment authorId="0" ref="E504">
      <text>
        <t xml:space="preserve">======
ID#AAABjx7qPgY
    (2025-05-21 11:33:24)
0313 chloe: 戎克備有庫存，見半成品庫存表</t>
      </text>
    </comment>
    <comment authorId="0" ref="I594">
      <text>
        <t xml:space="preserve">======
ID#AAABjx7qPgA
    (2025-05-21 11:33:24)
Cathy/Santiago</t>
      </text>
    </comment>
    <comment authorId="0" ref="B725">
      <text>
        <t xml:space="preserve">======
ID#AAABjx7qPfw
    (2025-05-21 11:33:24)
新開發客戶</t>
      </text>
    </comment>
    <comment authorId="0" ref="H103">
      <text>
        <t xml:space="preserve">======
ID#AAABjx7qPf0
    (2025-05-21 11:33:24)
ALICE:2019/05/02-水單匯入USD21462.5</t>
      </text>
    </comment>
    <comment authorId="0" ref="N506">
      <text>
        <t xml:space="preserve">======
ID#AAABjx7qPf4
    (2025-05-21 11:33:24)
0613 Cathy 下單</t>
      </text>
    </comment>
    <comment authorId="0" ref="H719">
      <text>
        <t xml:space="preserve">======
ID#AAABjx7qPfI
    (2025-05-21 11:33:24)
ALICE:10/22玉山銀行匯入USD6469沖PI-20190905A USD495.PI-20190905A-F USD45.PI-20190902A 5929合計總沖USD6469</t>
      </text>
    </comment>
    <comment authorId="0" ref="J236">
      <text>
        <t xml:space="preserve">======
ID#AAABjx7qPfA
    (2025-05-21 11:33:24)
Forwarder Details: -
FETA FREIGHT SYSTEMS (TAIWAN ) LTD. 
JUDY KAO 
 Tel: +886-3-399-2033 EXT: 135
Direct: +886-3-3992106
Fax: +886-3-3992036/2055
E-mail: judykao@ffsi.com.tw
Skype:judykao-mlattao</t>
      </text>
    </comment>
    <comment authorId="0" ref="H777">
      <text>
        <t xml:space="preserve">======
ID#AAABjx7qPfE
    (2025-05-21 11:33:24)
ALICE:12/4-TPOLE匯入一銀USD2242(全額到付)沖PI-20190923B 125+PI-20190930B USD1872+PI-20191014006 USD150+PI-20191026001 USD95合計總沖USD2242元整</t>
      </text>
    </comment>
    <comment authorId="0" ref="H174">
      <text>
        <t xml:space="preserve">======
ID#AAABjx7qPeM
    (2025-05-21 11:33:24)
0419 chloe: 20190415 收到162,635-30(手續費)</t>
      </text>
    </comment>
    <comment authorId="0" ref="P456">
      <text>
        <t xml:space="preserve">======
ID#AAABjx7qPdo
    (2025-05-21 11:33:24)
0618 chloe:銀行手續費</t>
      </text>
    </comment>
    <comment authorId="0" ref="H397">
      <text>
        <t xml:space="preserve">======
ID#AAABjx7qPdU
    (2025-05-21 11:33:24)
Alice:2019/05/16-收到銀行合庫匯入通知NT194,325元整(沖PI-20190502C.PI-20190507A)手續費0</t>
      </text>
    </comment>
    <comment authorId="0" ref="F400">
      <text>
        <t xml:space="preserve">======
ID#AAABjx7qPc4
    (2025-05-21 11:33:24)
在此輸入
7/15 30 pcs ADVANTECH INFORM EOL CANCEL ORDER</t>
      </text>
    </comment>
    <comment authorId="0" ref="H549">
      <text>
        <t xml:space="preserve">======
ID#AAABjx7qPcw
    (2025-05-21 11:33:24)
Alice:8/8-水單匯入USD4555元整，沖PI-20190708A 2540.PI-20190711A 1355.PI-20190712A 660</t>
      </text>
    </comment>
    <comment authorId="0" ref="X433">
      <text>
        <t xml:space="preserve">======
ID#AAABjx7qPcg
    (2025-05-21 11:33:24)
0514 Cathy 下單</t>
      </text>
    </comment>
    <comment authorId="0" ref="M312">
      <text>
        <t xml:space="preserve">======
ID#AAABjx7qPcQ
    (2025-05-21 11:33:24)
0325 Cathy: Bruce 告知有庫存9pcs</t>
      </text>
    </comment>
    <comment authorId="0" ref="J799">
      <text>
        <t xml:space="preserve">======
ID#AAABjx7qPb4
    (2025-05-21 11:33:24)
using UPS express then</t>
      </text>
    </comment>
    <comment authorId="0" ref="L224">
      <text>
        <t xml:space="preserve">======
ID#AAABjx7qPb8
    (2025-05-21 11:33:24)
2/20 waiting for production control confirm L/T</t>
      </text>
    </comment>
    <comment authorId="0" ref="L951">
      <text>
        <t xml:space="preserve">======
ID#AAABjx7qPbg
    (2025-05-21 11:33:24)
1225YVONNE:已將線交給bank。</t>
      </text>
    </comment>
    <comment authorId="0" ref="K823">
      <text>
        <t xml:space="preserve">======
ID#AAABjx7qPbU
    (2025-05-21 11:33:24)
在此輸入
在此輸入
11/12 芳慎需星期五中午前收到 
原交期 11/14</t>
      </text>
    </comment>
    <comment authorId="0" ref="L388">
      <text>
        <t xml:space="preserve">======
ID#AAABjx7qPbE
    (2025-05-21 11:33:24)
0426已提供給yvonne</t>
      </text>
    </comment>
    <comment authorId="0" ref="L796">
      <text>
        <t xml:space="preserve">======
ID#AAABjx7qPaw
    (2025-05-21 11:33:24)
Chloe 1106: MOXA回覆交期，有可能會延遲兩天</t>
      </text>
    </comment>
    <comment authorId="0" ref="N402">
      <text>
        <t xml:space="preserve">======
ID#AAABjx7qPa4
    (2025-05-21 11:33:24)
0507 Cathy下單</t>
      </text>
    </comment>
    <comment authorId="0" ref="L800">
      <text>
        <t xml:space="preserve">======
ID#AAABjx7qPa0
    (2025-05-21 11:33:24)
1014YVONNE:廠商寄錯貨，已請他們從新出貨</t>
      </text>
    </comment>
    <comment authorId="0" ref="H350">
      <text>
        <t xml:space="preserve">======
ID#AAABjx7qPag
    (2025-05-21 11:33:24)
Alice:6/17-水單匯入USD10046沖PI-201904096B.PI-20190418A.PI-20190422A.PI-20190307A</t>
      </text>
    </comment>
    <comment authorId="0" ref="H360">
      <text>
        <t xml:space="preserve">======
ID#AAABjx7qPaQ
    (2025-05-21 11:33:24)
Alice:2019/05/21-銀行水單通知USD960-匯款手續費USD6.35=USD953.65*31.51=NT30050元整</t>
      </text>
    </comment>
    <comment authorId="0" ref="H725">
      <text>
        <t xml:space="preserve">======
ID#AAABjx7qPZU
    (2025-05-21 11:33:24)
ALICE:9/12玉山水單匯入USD1463沖PI-20190910C USD1463元整</t>
      </text>
    </comment>
    <comment authorId="0" ref="N567">
      <text>
        <t xml:space="preserve">======
ID#AAABjx7qPZA
    (2025-05-21 11:33:24)
取消PO-20190717C，分批下單
用下採購單日期當作虛擬PI</t>
      </text>
    </comment>
    <comment authorId="0" ref="L509">
      <text>
        <t xml:space="preserve">======
ID#AAABjx7qPYk
0617 chloe    (2025-05-21 11:33:24)
貨到請交由chloe
0708 chloe:已交由生管</t>
      </text>
    </comment>
    <comment authorId="0" ref="L896">
      <text>
        <t xml:space="preserve">======
ID#AAABjx7qPYo
    (2025-05-21 11:33:24)
chloe
1028: 原先告知10/30
1104: 尚未告知MOXA！！原倉庫(木新路)收貨至11/14止，11/15暫停收貨 ，
11/18之後送貨請送至新倉庫:新北市新店區寶橋路235巷118號2AF</t>
      </text>
    </comment>
    <comment authorId="0" ref="H659">
      <text>
        <t xml:space="preserve">======
ID#AAABjx7qPYc
    (2025-05-21 11:33:24)
ALICE:10/17玉山匯入款usd1332沖PI-20190819A USD1332</t>
      </text>
    </comment>
    <comment authorId="0" ref="H257">
      <text>
        <t xml:space="preserve">======
ID#AAABjx7qPYQ
    (2025-05-21 11:33:24)
alice:8/19-水單匯入USD8500，沖PI-20190227D</t>
      </text>
    </comment>
    <comment authorId="0" ref="H664">
      <text>
        <t xml:space="preserve">======
ID#AAABjx7qPYE
    (2025-05-21 11:33:24)
ALICE:9/27玉山銀行匯入USD3962元整，沖PI-2190820A 應收USD3962實收3922差額USD40元(手續費)</t>
      </text>
    </comment>
    <comment authorId="0" ref="K868">
      <text>
        <t xml:space="preserve">======
ID#AAABjx7qPX0
    (2025-05-21 11:33:24)
10/30 cathy:通知客人交期</t>
      </text>
    </comment>
    <comment authorId="0" ref="H253">
      <text>
        <t xml:space="preserve">======
ID#AAABjx7qPXo
    (2025-05-21 11:33:24)
alice:7/22水單匯入USD8500沖PI-20190227C</t>
      </text>
    </comment>
    <comment authorId="0" ref="E439">
      <text>
        <t xml:space="preserve">======
ID#AAABjx7qPXg
    (2025-05-21 11:33:24)
190517 Karen: w/EU adapter</t>
      </text>
    </comment>
    <comment authorId="0" ref="N311">
      <text>
        <t xml:space="preserve">======
ID#AAABjx7qPXQ
    (2025-05-21 11:33:24)
0325 Cathy 下單</t>
      </text>
    </comment>
    <comment authorId="0" ref="H899">
      <text>
        <t xml:space="preserve">======
ID#AAABjx7qPXE
    (2025-05-21 11:33:24)
ALICE:2020/02/03合庫收款NT858362元整，沖PI-20191001A
 NT147153+PI-20191112006 NT711239元整</t>
      </text>
    </comment>
    <comment authorId="0" ref="L430">
      <text>
        <t xml:space="preserve">======
ID#AAABjx7qPWs
    (2025-05-21 11:33:24)
5/10 交由Cathy</t>
      </text>
    </comment>
    <comment authorId="0" ref="S790">
      <text>
        <t xml:space="preserve">======
ID#AAABjx7qPWQ
    (2025-05-21 11:33:24)
ALICE:2020/02/03合庫收款NT858362元整，沖PI-20191001A
 NT147153+PI-20191112006 NT711239元整</t>
      </text>
    </comment>
    <comment authorId="0" ref="H538">
      <text>
        <t xml:space="preserve">======
ID#AAABjx7qPV4
    (2025-05-21 11:33:24)
Alice:7/8匯入NT170334 
Alice:8/6匯入NT186707
Alice:8/6匯入NT32231
總計389272+匯款手續費30=389302沖PI-20190523A 202565.沖PI20190702A 186737元整</t>
      </text>
    </comment>
    <comment authorId="0" ref="D121">
      <text>
        <t xml:space="preserve">======
ID#AAABjx7qPVg
    (2025-05-21 11:33:24)
1/25宸曜這批無法協駔組裝SSD &amp; DRAM, 需自行組裝, 並請確認SATA Cable、DRAM處需點膠加強.</t>
      </text>
    </comment>
    <comment authorId="0" ref="H627">
      <text>
        <t xml:space="preserve">======
ID#AAABjx7qPU8
    (2025-05-21 11:33:24)
ALICE:9/25合庫匯入USD47081沖PI-20190731B 47096</t>
      </text>
    </comment>
    <comment authorId="0" ref="H302">
      <text>
        <t xml:space="preserve">======
ID#AAABjx7qPUs
    (2025-05-21 11:33:24)
0312 chloe:匯款匯入 US172-32(手續費)</t>
      </text>
    </comment>
    <comment authorId="0" ref="S584">
      <text>
        <t xml:space="preserve">======
ID#AAABjx7qPU0
    (2025-05-21 11:33:24)
客供料，無成本</t>
      </text>
    </comment>
    <comment authorId="0" ref="N558">
      <text>
        <t xml:space="preserve">======
ID#AAABjx7qPUo
    (2025-05-21 11:33:24)
YVONNE0808下單</t>
      </text>
    </comment>
    <comment authorId="0" ref="H67">
      <text>
        <t xml:space="preserve">======
ID#AAABjx7qPUg
    (2025-05-21 11:33:24)
0117 chloe:匯款匯入US$1,866.00</t>
      </text>
    </comment>
    <comment authorId="0" ref="K670">
      <text>
        <t xml:space="preserve">======
ID#AAABjx7qPUU
    (2025-05-21 11:33:24)
0903:TAMMY通知SAN同意先放貨後付款</t>
      </text>
    </comment>
    <comment authorId="0" ref="N566">
      <text>
        <t xml:space="preserve">======
ID#AAABjx7qPUQ
    (2025-05-21 11:33:24)
取消PO-20190717C，分批下單
用下採購單日期當作虛擬PI</t>
      </text>
    </comment>
    <comment authorId="0" ref="H392">
      <text>
        <t xml:space="preserve">======
ID#AAABjx7qPT4
    (2025-05-21 11:33:24)
ALICE:5/27-水單匯入USD4578*31.43</t>
      </text>
    </comment>
    <comment authorId="0" ref="H111">
      <text>
        <t xml:space="preserve">======
ID#AAABjx7qPTc
    (2025-05-21 11:33:24)
0128 Mary: 匯款匯入 US$5,260(同H103)</t>
      </text>
    </comment>
    <comment authorId="0" ref="H23">
      <text>
        <t xml:space="preserve">======
ID#AAABjx7qPTU
    (2025-05-21 11:33:24)
1227 chloe:匯款匯入US$53334</t>
      </text>
    </comment>
    <comment authorId="0" ref="H305">
      <text>
        <t xml:space="preserve">======
ID#AAABjx7qPTE
    (2025-05-21 11:33:24)
ALICE:5/3收到USD12965.5(沖PI-20190121B.PI20190217A.PI-20190131C.PI-20190313A.PI-20190306A)</t>
      </text>
    </comment>
    <comment authorId="0" ref="H859">
      <text>
        <t xml:space="preserve">======
ID#AAABjx7qPSw
    (2025-05-21 11:33:24)
在此輸入ALICE:1/15一銀收到USD8853(內含手續費USD53.7)沖PI-20191029002 USD4275+PI-20191029003 USD2235+PI-20191029004 USD1988+PI-20191105002 USD355</t>
      </text>
    </comment>
    <comment authorId="0" ref="K15">
      <text>
        <t xml:space="preserve">======
ID#AAABjx7qPSk
    (2025-05-21 11:33:24)
1120Amy: Vecow 年底前交貨, 收到超恩貨+2-3 days出貨Ti2</t>
      </text>
    </comment>
    <comment authorId="0" ref="K181">
      <text>
        <t xml:space="preserve">======
ID#AAABjx7qPSg
    (2025-05-21 11:33:24)
0212 San: 用DHL箱子把2個貨箱放成一個箱子</t>
      </text>
    </comment>
    <comment authorId="0" ref="L589">
      <text>
        <t xml:space="preserve">======
ID#AAABjx7qPSM
    (2025-05-21 11:33:24)
1002 chloe: 9 PCS可出貨
1022YVONNE:到貨4PCS</t>
      </text>
    </comment>
    <comment authorId="0" ref="L878">
      <text>
        <t xml:space="preserve">======
ID#AAABjx7qPSA
    (2025-05-21 11:33:24)
1029YVONNE:未滿20PCS須拉回我司組裝</t>
      </text>
    </comment>
    <comment authorId="0" ref="J478">
      <text>
        <t xml:space="preserve">======
ID#AAABjx7qPR4
SHIPPING  AS BELOW    (2025-05-21 11:33:24)
103A Mary Street, Richmond, VIC, 3121, Australia
Contact: Jim MacDouall
Phone: +61 417 714 528</t>
      </text>
    </comment>
    <comment authorId="0" ref="K764">
      <text>
        <t xml:space="preserve">======
ID#AAABjx7qPRw
    (2025-05-21 11:33:24)
1015YVONNE:隨貨寄目錄,並通知san</t>
      </text>
    </comment>
    <comment authorId="0" ref="G525">
      <text>
        <t xml:space="preserve">======
ID#AAABjx7qPRc
    (2025-05-21 11:33:24)
180221 Tammy: project price for over 50pcs/lot</t>
      </text>
    </comment>
    <comment authorId="0" ref="L534">
      <text>
        <t xml:space="preserve">======
ID#AAABjx7qPRM
    (2025-05-21 11:33:24)
在此輸入
7/3  Amy 希望交期 7/18  
7/5 與廠商確認可否提前</t>
      </text>
    </comment>
    <comment authorId="0" ref="E897">
      <text>
        <t xml:space="preserve">======
ID#AAABjx7qPRE
    (2025-05-21 11:33:24)
20170104 Santiago: 和之前訂單一樣, w/o adapter</t>
      </text>
    </comment>
    <comment authorId="0" ref="K822">
      <text>
        <t xml:space="preserve">======
ID#AAABjx7qPQs
    (2025-05-21 11:33:24)
11/12 芳慎需星期五中午前收到 
原交期 11/14</t>
      </text>
    </comment>
    <comment authorId="0" ref="D248">
      <text>
        <t xml:space="preserve">======
ID#AAABjx7qPQg
    (2025-05-21 11:33:24)
190109 Tammy: 抽驗即可, 謝謝</t>
      </text>
    </comment>
    <comment authorId="0" ref="Q596">
      <text>
        <t xml:space="preserve">======
ID#AAABjx7qPQI
    (2025-05-21 11:33:24)
客供料，無成本</t>
      </text>
    </comment>
    <comment authorId="0" ref="E912">
      <text>
        <t xml:space="preserve">======
ID#AAABjx7qPP4
    (2025-05-21 11:33:24)
w/o adapter</t>
      </text>
    </comment>
    <comment authorId="0" ref="AJ10">
      <text>
        <t xml:space="preserve">======
ID#AAABjx7qPP0
    (2025-05-21 11:33:24)
ALICE:2019/05/02-水單匯入USD21462.5-(匯出手續費USD10+匯入手續費USD10.73)=USD21441.77*30.84=NT661264</t>
      </text>
    </comment>
    <comment authorId="0" ref="S470">
      <text>
        <t xml:space="preserve">======
ID#AAABjx7qPPo
    (2025-05-21 11:33:24)
MT8070iE @ 7000 , TOTAL : 22050
原進貨22050(含稅)，因廠商出錯貨，故7/16-進折5040(含稅)，故22050-5040=17010 待贊翔匯回5040元整</t>
      </text>
    </comment>
    <comment authorId="0" ref="D586">
      <text>
        <t xml:space="preserve">======
ID#AAABjx7qPPc
    (2025-05-21 11:33:24)
20190604 Robin accept W/O AG、AR treatment this time</t>
      </text>
    </comment>
    <comment authorId="0" ref="D714">
      <text>
        <t xml:space="preserve">======
ID#AAABjx7qPPY
    (2025-05-21 11:33:24)
在此輸入
0909 客人待O/A肯放USD 10000 才要下單
1001 告知改由Aditeh付款</t>
      </text>
    </comment>
    <comment authorId="0" ref="H744">
      <text>
        <t xml:space="preserve">======
ID#AAABjx7qPOs
    (2025-05-21 11:33:24)
ALICE:9/19玉山水單匯入USD440沖PI-20190917B 440</t>
      </text>
    </comment>
    <comment authorId="0" ref="L849">
      <text>
        <t xml:space="preserve">======
ID#AAABjx7qPOw
    (2025-05-21 11:33:24)
1028YVONNE:交期確認</t>
      </text>
    </comment>
    <comment authorId="0" ref="J492">
      <text>
        <t xml:space="preserve">======
ID#AAABjx7qPO0
    (2025-05-21 11:33:24)
客人自行安排取貨 
0527待客人確認</t>
      </text>
    </comment>
    <comment authorId="0" ref="H197">
      <text>
        <t xml:space="preserve">======
ID#AAABjx7qPOo
    (2025-05-21 11:33:24)
ALICE:6/5水單通知USD11998沖PI-20190131D-2</t>
      </text>
    </comment>
    <comment authorId="0" ref="L649">
      <text>
        <t xml:space="preserve">======
ID#AAABjx7qPOk
    (2025-05-21 11:33:24)
0819YVONNE:AMY詢價ADAM-4012但7/31已停止下單，寄來的是ADAM-4017。目前正與客戶規格書中。</t>
      </text>
    </comment>
    <comment authorId="0" ref="D150">
      <text>
        <t xml:space="preserve">======
ID#AAABjx7qPOc
    (2025-05-21 11:33:24)
0127 San: 銷退貨用, 故單價先計算為0, 但給廠商的PO 仍然為US255 / 1 pcs</t>
      </text>
    </comment>
    <comment authorId="0" ref="H786">
      <text>
        <t xml:space="preserve">======
ID#AAABjx7qPOY
    (2025-05-21 11:33:24)
ALICE:12/4-TPOLE匯入一銀USD2242(全額到付)沖PI-20190923B 125+PI-20190930B USD1872+PI-20191014006 USD150+PI-20191026001 USD95合計總沖USD2242元整</t>
      </text>
    </comment>
    <comment authorId="0" ref="H204">
      <text>
        <t xml:space="preserve">======
ID#AAABjx7qPNw
    (2025-05-21 11:33:24)
0327 chloe:匯款匯入US$21425-20(手續費)</t>
      </text>
    </comment>
    <comment authorId="0" ref="K893">
      <text>
        <t xml:space="preserve">======
ID#AAABjx7qPN0
    (2025-05-21 11:33:24)
1115YVONNE:SANTIAGO通知延遲一周出貨。</t>
      </text>
    </comment>
    <comment authorId="0" ref="F414">
      <text>
        <t xml:space="preserve">======
ID#AAABjx7qPNo
    (2025-05-21 11:33:24)
5/21 Amy: change to 16G Dram instead of 8 G Dram</t>
      </text>
    </comment>
    <comment authorId="0" ref="H658">
      <text>
        <t xml:space="preserve">======
ID#AAABjx7qPM0
    (2025-05-21 11:33:24)
ALICE:9/26玉山銀行匯入USD1212元整，沖PI-20190819A USD1092，沖PI-20190814C USD120</t>
      </text>
    </comment>
    <comment authorId="0" ref="H616">
      <text>
        <t xml:space="preserve">======
ID#AAABjx7qPMg
    (2025-05-21 11:33:24)
ALICE:9/10玉山匯入NT108650沖PI20190719A.PI-20190722B.PI-20190725A.PI20190813B</t>
      </text>
    </comment>
    <comment authorId="0" ref="H159">
      <text>
        <t xml:space="preserve">======
ID#AAABjx7qPMk
    (2025-05-21 11:33:24)
0307 chloe:匯款匯入US39896-37(手續費)</t>
      </text>
    </comment>
    <comment authorId="0" ref="L97">
      <text>
        <t xml:space="preserve">======
ID#AAABjx7qPMc
    (2025-05-21 11:33:24)
0118 Cathy: 線材30PCS在Cathy手上
0116 chloe: 庫存:33 PCS, 下單交期:2/19</t>
      </text>
    </comment>
    <comment authorId="0" ref="AJ51">
      <text>
        <t xml:space="preserve">======
ID#AAABjx7qPL4
    (2025-05-21 11:33:24)
ALICE:訂單PI-20181218成交總額USD11594，2016/02/21水(單USD11577.5*30.79=NT356,471元整，匯出手續費10+匯入手續費6.5*30.79=手續費額NT508元整</t>
      </text>
    </comment>
    <comment authorId="0" ref="D609">
      <text>
        <t xml:space="preserve">======
ID#AAABjx7qPLM
    (2025-05-21 11:33:24)
0723 請chloe下單</t>
      </text>
    </comment>
    <comment authorId="0" ref="D122">
      <text>
        <t xml:space="preserve">======
ID#AAABjx7qPLA
    (2025-05-21 11:33:24)
1/25宸曜這批無法協駔組裝SSD &amp; DRAM, 需自行組裝, 並請確認SATA Cable、DRAM處需點膠加強.</t>
      </text>
    </comment>
    <comment authorId="0" ref="H336">
      <text>
        <t xml:space="preserve">======
ID#AAABjx7qPK4
    (2025-05-21 11:33:24)
ALICE:2019/04/08-水單匯入USB1543-手續費USD11=USD1532</t>
      </text>
    </comment>
    <comment authorId="0" ref="P741">
      <text>
        <t xml:space="preserve">======
ID#AAABjx7qPK8
    (2025-05-21 11:33:24)
專案價</t>
      </text>
    </comment>
    <comment authorId="0" ref="L14">
      <text>
        <t xml:space="preserve">======
ID#AAABjx7qPKk
    (2025-05-21 11:33:24)
1114 chloe
6 PCS 在Chloe 手上
1126 Cindy: 機車快遞寄超恩20pcs</t>
      </text>
    </comment>
    <comment authorId="0" ref="L245">
      <text>
        <t xml:space="preserve">======
ID#AAABjx7qPKQ
    (2025-05-21 11:33:24)
0419 ivy revise (提前交期) 原4/29</t>
      </text>
    </comment>
    <comment authorId="0" ref="H416">
      <text>
        <t xml:space="preserve">======
ID#AAABjx7qPKI
    (2025-05-21 11:33:24)
ALICE:6/27水單匯入USD8652.87沖PI20190515C 1394.5.PI-20190625C 46.37.PI-20190508C 6408.PI-20190619B 804共四張PI合計8652.87</t>
      </text>
    </comment>
    <comment authorId="0" ref="D328">
      <text>
        <t xml:space="preserve">======
ID#AAABjx7qPKA
    (2025-05-21 11:33:24)
3026 葛:客供剩料75
0425Amy, this is DHL Freight, no. should be PI-20190304A-F ( PI NO. has been changed by someone....Delete F by mistake)</t>
      </text>
    </comment>
    <comment authorId="0" ref="L862">
      <text>
        <t xml:space="preserve">======
ID#AAABjx7qPJ4
    (2025-05-21 11:33:24)
1030YVONNE:維田回覆1118，有請廠商協助提前1114</t>
      </text>
    </comment>
    <comment authorId="0" ref="K870">
      <text>
        <t xml:space="preserve">======
ID#AAABjx7qPJo
    (2025-05-21 11:33:24)
10/30 cathy:通知客人交期</t>
      </text>
    </comment>
    <comment authorId="0" ref="D654">
      <text>
        <t xml:space="preserve">======
ID#AAABjx7qPJc
    (2025-05-21 11:33:24)
0827:BANK通知此票進貨檢驗由曦立代驗</t>
      </text>
    </comment>
    <comment authorId="0" ref="H685">
      <text>
        <t xml:space="preserve">======
ID#AAABjx7qPI0
    (2025-05-21 11:33:24)
ALICE:10/22玉山銀行匯入USD6469沖PI-20190905A USD495.PI-20190905A-F USD45.PI-20190902A 5929合計總沖USD6469</t>
      </text>
    </comment>
    <comment authorId="0" ref="H672">
      <text>
        <t xml:space="preserve">======
ID#AAABjx7qPIM
    (2025-05-21 11:33:24)
ALICE:10/31-合庫匯入NT49350沖季宣49378</t>
      </text>
    </comment>
    <comment authorId="0" ref="H109">
      <text>
        <t xml:space="preserve">======
ID#AAABjx7qPH8
    (2025-05-21 11:33:24)
0128 Mary: 匯款匯入 US$5,260(同H103)</t>
      </text>
    </comment>
    <comment authorId="0" ref="K574">
      <text>
        <t xml:space="preserve">======
ID#AAABjx7qPH0
    (2025-05-21 11:33:24)
190718 Tammy: 發票寄出前，請先提供確認，謝謝。</t>
      </text>
    </comment>
    <comment authorId="0" ref="H831">
      <text>
        <t xml:space="preserve">======
ID#AAABjx7qPHs
    (2025-05-21 11:33:24)
ALICE:12/13一銀USD收到KH匯入USD1562.8(內含手續費USD28.61)沖PI-20191017004 USD1347+PI-20191030001 USD215.8合計總沖USD1562.8</t>
      </text>
    </comment>
    <comment authorId="0" ref="H574">
      <text>
        <t xml:space="preserve">======
ID#AAABjx7qPHg
    (2025-05-21 11:33:24)
ALICE:8/22玉山銀行匯入NT1,596,000+NT1,978=NT1,597,978元整，沖PI-20190717C NT1,586,124 ，沖PI-20190813C NT11,854</t>
      </text>
    </comment>
    <comment authorId="0" ref="H218">
      <text>
        <t xml:space="preserve">======
ID#AAABjx7qPHY
    (2025-05-21 11:33:24)
5/30-銀行電文通知usd15853沖PI-20190218A 4400,PI20190218A 8975,PI-20190218A 2478(4850中的2478)</t>
      </text>
    </comment>
    <comment authorId="0" ref="H792">
      <text>
        <t xml:space="preserve">======
ID#AAABjx7qPHM
    (2025-05-21 11:33:24)
ALICE:10/9-匯入USD6974沖PI-20191001B USD6974元整</t>
      </text>
    </comment>
    <comment authorId="0" ref="H505">
      <text>
        <t xml:space="preserve">======
ID#AAABjx7qPGo
    (2025-05-21 11:33:24)
alice:7/31-水單匯入USD2124沖PI-20190131D-2 857.沖PI-20190610A 565.沖PI-20190607A 444.沖PI-20190612A 258</t>
      </text>
    </comment>
    <comment authorId="0" ref="H912">
      <text>
        <t xml:space="preserve">======
ID#AAABjx7qPGY
    (2025-05-21 11:33:24)
ALICE:11/21一銀匯入USD1305(含銀行手續費)沖PI-20191119001 USD1305</t>
      </text>
    </comment>
    <comment authorId="0" ref="E372">
      <text>
        <t xml:space="preserve">======
ID#AAABjx7qPF8
    (2025-05-21 11:33:24)
4/19 w/Optical Bonding, High Bridhtness 1000 nits, 9-36V PB-409,
Additional 2 USB port, SSD Key</t>
      </text>
    </comment>
    <comment authorId="0" ref="I591">
      <text>
        <t xml:space="preserve">======
ID#AAABjx7qPFQ
    (2025-05-21 11:33:24)
Cathy/Santiago</t>
      </text>
    </comment>
    <comment authorId="0" ref="L33">
      <text>
        <t xml:space="preserve">======
ID#AAABjx7qPFU
    (2025-05-21 11:33:24)
1220 Chloe 通知下單(Amy-usd40)
1218 chloe:有疑問，尚未下單</t>
      </text>
    </comment>
    <comment authorId="0" ref="N48">
      <text>
        <t xml:space="preserve">======
ID#AAABjx7qPFI
    (2025-05-21 11:33:24)
Cathy:20181217下PO</t>
      </text>
    </comment>
    <comment authorId="0" ref="N470">
      <text>
        <t xml:space="preserve">======
ID#AAABjx7qPFA
    (2025-05-21 11:33:24)
0531 Cathy 下單</t>
      </text>
    </comment>
    <comment authorId="0" ref="H626">
      <text>
        <t xml:space="preserve">======
ID#AAABjx7qPE4
    (2025-05-21 11:33:24)
ALICE:8/1銀行水單通知匯入USD8538.6沖PI-20190731A</t>
      </text>
    </comment>
    <comment authorId="0" ref="M38">
      <text>
        <t xml:space="preserve">======
ID#AAABjx7qPEw
    (2025-05-21 11:33:24)
1214 cathy: mail 詢問Quote</t>
      </text>
    </comment>
    <comment authorId="0" ref="M39">
      <text>
        <t xml:space="preserve">======
ID#AAABjx7qPEs
    (2025-05-21 11:33:24)
1214 cathy: mail 詢問Quote</t>
      </text>
    </comment>
    <comment authorId="0" ref="S81">
      <text>
        <t xml:space="preserve">======
ID#AAABjx7qPEo
    (2025-05-21 11:33:24)
chloe:多收款，無成本</t>
      </text>
    </comment>
    <comment authorId="0" ref="I595">
      <text>
        <t xml:space="preserve">======
ID#AAABjx7qPEY
    (2025-05-21 11:33:24)
Cathy/Santiago</t>
      </text>
    </comment>
    <comment authorId="0" ref="P714">
      <text>
        <t xml:space="preserve">======
ID#AAABjx7qPEU
    (2025-05-21 11:33:24)
0911 chloe:使用以色列專案價</t>
      </text>
    </comment>
    <comment authorId="0" ref="D818">
      <text>
        <t xml:space="preserve">======
ID#AAABjx7qPD4
    (2025-05-21 11:33:24)
10/14 cathy: 請Tammy 下單</t>
      </text>
    </comment>
    <comment authorId="0" ref="AJ20">
      <text>
        <t xml:space="preserve">======
ID#AAABjx7qPD0
    (2025-05-21 11:33:24)
ALICE:PI-20181031-1總計USD1864+PI-20181031A-1-F總計USD610+PI-20181109A總計USD6776+PI20181031A-2總計2000，上述四筆訂單總計USD11250，於2019/02/12水單匯入USD11233.5*30.77=NT345655
匯出手續費USD10+匯入手續費USD6.5=USD16.5*30.77=手續費總計NT508元整</t>
      </text>
    </comment>
    <comment authorId="0" ref="AJ225">
      <text>
        <t xml:space="preserve">======
ID#AAABjx7qPDs
    (2025-05-21 11:33:24)
ALICE:2019/02/25-水單USD2590-匯入手續費USD6.5=USD2583.5*30.76=NT79468元整
實際應收USD2630-2590=USD40匯出手續費*30.746=NT1230
匯出手續費NT1230+匯入手續費NT200=NT1430</t>
      </text>
    </comment>
    <comment authorId="0" ref="S521">
      <text>
        <t xml:space="preserve">======
ID#AAABjx7qPDo
    (2025-05-21 11:33:24)
0621
chloe:客供料，無成本價</t>
      </text>
    </comment>
    <comment authorId="0" ref="H543">
      <text>
        <t xml:space="preserve">======
ID#AAABjx7qPDU
    (2025-05-21 11:33:24)
ALICE:9/23玉山銀行水單通知匯入USD14587沖PI-20190626A 334.5 沖PI-20190703B 8550.沖PI20190719C 5212.5.沖PI-20190722A 210.沖PI-20190801C 280 合計總沖USD14587元整</t>
      </text>
    </comment>
    <comment authorId="0" ref="H509">
      <text>
        <t xml:space="preserve">======
ID#AAABjx7qPDM
    (2025-05-21 11:33:24)
ALICE:6/13-玉山匯入USD4942-應付3539=1403轉預收貨款   銀行淨收4895.64*31.47</t>
      </text>
    </comment>
    <comment authorId="0" ref="H129">
      <text>
        <t xml:space="preserve">======
ID#AAABjx7qPDI
    (2025-05-21 11:33:24)
0215 Mary:匯款匯入US$21,605+6,990</t>
      </text>
    </comment>
    <comment authorId="0" ref="K803">
      <text>
        <t xml:space="preserve">======
ID#AAABjx7qPC0
    (2025-05-21 11:33:24)
1015YVONNE:隨貨寄目錄,並通知san</t>
      </text>
    </comment>
    <comment authorId="0" ref="K849">
      <text>
        <t xml:space="preserve">======
ID#AAABjx7qPCU
    (2025-05-21 11:33:24)
10/28 cathy:通知客人交期</t>
      </text>
    </comment>
    <comment authorId="0" ref="N153">
      <text>
        <t xml:space="preserve">======
ID#AAABjx7qPCQ
    (2025-05-21 11:33:24)
0131下單</t>
      </text>
    </comment>
    <comment authorId="0" ref="K475">
      <text>
        <t xml:space="preserve">======
ID#AAABjx7qPBo
    (2025-05-21 11:33:24)
0722 Santiago同意先出貨。
0701 詢問預計7/11匯款&amp; 運輸方式</t>
      </text>
    </comment>
    <comment authorId="0" ref="N227">
      <text>
        <t xml:space="preserve">======
ID#AAABjx7qPBg
    (2025-05-21 11:33:24)
0222 Cathy 下單</t>
      </text>
    </comment>
    <comment authorId="0" ref="D494">
      <text>
        <t xml:space="preserve">======
ID#AAABjx7qPBY
    (2025-05-21 11:33:24)
在此輸入
在此輸入
0606 客人說要再確認
0610 通知Tammy 下單,客人有急需
0709 客人無法提供水單，取消寄回MOXA</t>
      </text>
    </comment>
    <comment authorId="0" ref="L262">
      <text>
        <t xml:space="preserve">======
ID#AAABjx7qPBM
    (2025-05-21 11:33:24)
0819yvonne:由於捷毅delay，故交期延至8/30
0826:新漢通知提早0826送貨</t>
      </text>
    </comment>
    <comment authorId="0" ref="K496">
      <text>
        <t xml:space="preserve">======
ID#AAABjx7qPA8
    (2025-05-21 11:33:24)
0722 Santiago同意先出貨。
0701 詢問預計7/11匯款&amp; 運輸方式</t>
      </text>
    </comment>
    <comment authorId="0" ref="H687">
      <text>
        <t xml:space="preserve">======
ID#AAABjx7qPAY
    (2025-05-21 11:33:24)
ALICE:10/22玉山銀行匯入USD6469沖PI-20190905A USD495.PI-20190905A-F USD45.PI-20190902A 5929合計總沖USD6469</t>
      </text>
    </comment>
    <comment authorId="0" ref="H565">
      <text>
        <t xml:space="preserve">======
ID#AAABjx7qPAM
    (2025-05-21 11:33:24)
ALICE:8/22玉山銀行匯入NT1,596,000+NT1,978=NT1,597,978元整，沖PI-20190717C NT1,586,124 ，沖PI-20190813C NT11,854</t>
      </text>
    </comment>
    <comment authorId="0" ref="H199">
      <text>
        <t xml:space="preserve">======
ID#AAABjx7qO_0
    (2025-05-21 11:33:24)
alice:7/31-水單匯入USD2124沖PI-20190131D-2 857.沖PI-20190610A 565.沖PI-20190607A 444.沖PI-20190612A 258</t>
      </text>
    </comment>
    <comment authorId="0" ref="H609">
      <text>
        <t xml:space="preserve">======
ID#AAABjx7qO_c
    (2025-05-21 11:33:24)
ALICE:8/27-玉山匯入USD1544元整，沖PI-20190722C USD1544</t>
      </text>
    </comment>
    <comment authorId="0" ref="E951">
      <text>
        <t xml:space="preserve">======
ID#AAABjx7qO_g
    (2025-05-21 11:33:24)
1216yvonne:跟宸曜買線請BANK做好要出貨的線。</t>
      </text>
    </comment>
    <comment authorId="0" ref="F219">
      <text>
        <t xml:space="preserve">======
ID#AAABjx7qO_I
    (2025-05-21 11:33:24)
TI2 Not yet confirm Order x 2 pcs</t>
      </text>
    </comment>
    <comment authorId="0" ref="N610">
      <text>
        <t xml:space="preserve">======
ID#AAABjx7qO-g
    (2025-05-21 11:33:24)
0723yvonne下單</t>
      </text>
    </comment>
    <comment authorId="0" ref="AL1">
      <text>
        <t xml:space="preserve">======
ID#AAABjx7qO-I
    (2025-05-21 11:33:24)
已結案
取消
獎金計算中...Chloe拉狀態
進行中(空白)
進行中-&gt;獎金計算中-&gt;已結案</t>
      </text>
    </comment>
    <comment authorId="0" ref="H121">
      <text>
        <t xml:space="preserve">======
ID#AAABjx7qO9k
    (2025-05-21 11:33:24)
ALICE:201904/10水單匯入USD11416*30.78
沖(229+2394+326+34+5274+3066+103)=11426</t>
      </text>
    </comment>
    <comment authorId="0" ref="H652">
      <text>
        <t xml:space="preserve">======
ID#AAABjx7qO9o
    (2025-05-21 11:33:24)
ALICE:8/22玉山匯入USD4512.6沖PI-20190815A USD4512.6</t>
      </text>
    </comment>
    <comment authorId="0" ref="H541">
      <text>
        <t xml:space="preserve">======
ID#AAABjx7qO9Y
    (2025-05-21 11:33:24)
ALICE:7/26玉山銀行水單通知匯入USD9754沖PI-20190524B(2000+350).沖PI20190524B-1(3010).沖PI-20190703A(60+70).沖PI20190719B-1 228+1600 PI-20190719B-2 304  PI-20190719B-5 532. PI-20190719B-3 1600</t>
      </text>
    </comment>
    <comment authorId="0" ref="E935">
      <text>
        <t xml:space="preserve">======
ID#AAABjx7qO9A
    (2025-05-21 11:33:24)
11/27 通知客人RMA品送貨地址不完整，酌收費NTD 389</t>
      </text>
    </comment>
    <comment authorId="0" ref="H378">
      <text>
        <t xml:space="preserve">======
ID#AAABjx7qO8o
    (2025-05-21 11:33:24)
alice:7/4-水單匯入USD4316.9沖PI-20190422B.沖PI-20190507B.沖PI-20190513A</t>
      </text>
    </comment>
    <comment authorId="0" ref="R499">
      <text>
        <t xml:space="preserve">======
ID#AAABjx7qO8g
    (2025-05-21 11:33:24)
庫存金額</t>
      </text>
    </comment>
    <comment authorId="0" ref="H447">
      <text>
        <t xml:space="preserve">======
ID#AAABjx7qO8U
    (2025-05-21 11:33:24)
ALICE:7/17水單匯入USD9362沖PI-20190508B-F 92元.PI-20190508B-1 130元. PI-20190509C 9140元整</t>
      </text>
    </comment>
    <comment authorId="0" ref="H151">
      <text>
        <t xml:space="preserve">======
ID#AAABjx7qO7c
    (2025-05-21 11:33:24)
0215 chloe:匯款匯入NT11592-30(手續費)</t>
      </text>
    </comment>
    <comment authorId="0" ref="E927">
      <text>
        <t xml:space="preserve">======
ID#AAABjx7qO6s
    (2025-05-21 11:33:24)
0313 chloe: 戎克備有庫存，見半成品庫存表</t>
      </text>
    </comment>
    <comment authorId="0" ref="Z894">
      <text>
        <t xml:space="preserve">======
ID#AAABjx7qO6o
    (2025-05-21 11:33:24)
11/20 cathy: 詢問Chole,告知走G502 正式報關</t>
      </text>
    </comment>
    <comment authorId="0" ref="L269">
      <text>
        <t xml:space="preserve">======
ID#AAABjx7qO6c
    (2025-05-21 11:33:24)
1016YVONNE:TAMMY通知要跟PI-20190227H一起出</t>
      </text>
    </comment>
    <comment authorId="0" ref="N534">
      <text>
        <t xml:space="preserve">======
ID#AAABjx7qO6g
    (2025-05-21 11:33:24)
0701 Cathy 下單</t>
      </text>
    </comment>
    <comment authorId="0" ref="AB1">
      <text>
        <t xml:space="preserve">======
ID#AAABjx7qO6Y
    (2025-05-21 11:33:24)
此欄位針對某些特定客戶. 要求使用出貨前一天的匯率. 才開發票的客戶. 例如 Z 和 Pharms</t>
      </text>
    </comment>
    <comment authorId="0" ref="L443">
      <text>
        <t xml:space="preserve">======
ID#AAABjx7qO6Q
    (2025-05-21 11:33:24)
5/16 Amy
1. need COC (自我認證產證with shipment)
2. invoice &amp; P/L with PO#19000180
3. invoice &amp; P/L together with shipment</t>
      </text>
    </comment>
    <comment authorId="0" ref="G567">
      <text>
        <t xml:space="preserve">======
ID#AAABjx7qO6A
    (2025-05-21 11:33:24)
190718 Tammy: w/5%</t>
      </text>
    </comment>
    <comment authorId="0" ref="D797">
      <text>
        <t xml:space="preserve">======
ID#AAABjx7qO50
    (2025-05-21 11:33:24)
10/3 請Chloe下單</t>
      </text>
    </comment>
    <comment authorId="0" ref="H220">
      <text>
        <t xml:space="preserve">======
ID#AAABjx7qO5s
    (2025-05-21 11:33:24)
ALICE:201904/10水單匯入USD11416*30.78
沖(229+2394+326+34+5274+3066+103)=11426</t>
      </text>
    </comment>
    <comment authorId="0" ref="K883">
      <text>
        <t xml:space="preserve">======
ID#AAABjx7qO5c
    (2025-05-21 11:33:24)
11/8 cathy: 請告知可提供最快交期 
1223yvonne:Santiago同意放貨</t>
      </text>
    </comment>
    <comment authorId="0" ref="K476">
      <text>
        <t xml:space="preserve">======
ID#AAABjx7qO5I
    (2025-05-21 11:33:24)
0722 Santiago同意先出貨。
0701 詢問預計7/11匯款&amp; 運輸方式</t>
      </text>
    </comment>
    <comment authorId="0" ref="N296">
      <text>
        <t xml:space="preserve">======
ID#AAABjx7qO4g
    (2025-05-21 11:33:24)
0306 Cathy下單</t>
      </text>
    </comment>
    <comment authorId="0" ref="H429">
      <text>
        <t xml:space="preserve">======
ID#AAABjx7qO4U
    (2025-05-21 11:33:24)
ALICE:7/17水單匯入USD9362沖PI-20190508B-F 92元.PI-20190508B-1 130元. PI-20190509C 9140元整</t>
      </text>
    </comment>
    <comment authorId="0" ref="H862">
      <text>
        <t xml:space="preserve">======
ID#AAABjx7qO4E
    (2025-05-21 11:33:24)
ALICE:1/15一銀收到USD8853(內含手續費USD53.7)沖PI-20191029002 USD4275+PI-20191029003 USD2235+PI-20191029004 USD1988+PI-20191105002 USD355</t>
      </text>
    </comment>
    <comment authorId="0" ref="H602">
      <text>
        <t xml:space="preserve">======
ID#AAABjx7qO3o
    (2025-05-21 11:33:24)
ALICE:1/7第一銀行USD3228 沖PI-20191007006 1501+PI-20191007007 USD1727+PI-20191128002 USD20總沖USD3248</t>
      </text>
    </comment>
    <comment authorId="0" ref="F676">
      <text>
        <t xml:space="preserve">======
ID#AAABjx7qO2w
    (2025-05-21 11:33:24)
0829 Cathy: 客戶Revise 數量15-&gt; 10pcs</t>
      </text>
    </comment>
    <comment authorId="0" ref="H732">
      <text>
        <t xml:space="preserve">======
ID#AAABjx7qO2Y
    (2025-05-21 11:33:24)
ALICE:10/24玉山水單匯入USD478沖PI-20190913A USD478</t>
      </text>
    </comment>
    <comment authorId="0" ref="H677">
      <text>
        <t xml:space="preserve">======
ID#AAABjx7qO2Q
    (2025-05-21 11:33:24)
ALICE:10/8-玉山水單匯入USD1566沖PI-20190828A USD1566</t>
      </text>
    </comment>
    <comment authorId="0" ref="H60">
      <text>
        <t xml:space="preserve">======
ID#AAABjx7qO18
    (2025-05-21 11:33:24)
0115 chloe: 匯款匯入US$1153.04</t>
      </text>
    </comment>
    <comment authorId="0" ref="H261">
      <text>
        <t xml:space="preserve">======
ID#AAABjx7qO2E
    (2025-05-21 11:33:24)
9/16-玉水水單USD4250沖PI-20190227E USD4250</t>
      </text>
    </comment>
    <comment authorId="0" ref="E48">
      <text>
        <t xml:space="preserve">======
ID#AAABjx7qO2A
    (2025-05-21 11:33:24)
12 13AMY: 20PCS, 宸曜折扣價$293</t>
      </text>
    </comment>
    <comment authorId="0" ref="H128">
      <text>
        <t xml:space="preserve">======
ID#AAABjx7qO1c
    (2025-05-21 11:33:24)
0215 Mary:匯款匯入US$21,605+6,990</t>
      </text>
    </comment>
    <comment authorId="0" ref="D757">
      <text>
        <t xml:space="preserve">======
ID#AAABjx7qO1U
    (2025-05-21 11:33:24)
0926 與vivian確認庫存or Yvonne 下單</t>
      </text>
    </comment>
    <comment authorId="0" ref="N458">
      <text>
        <t xml:space="preserve">======
ID#AAABjx7qO1I
    (2025-05-21 11:33:24)
0524 CATHY下單</t>
      </text>
    </comment>
    <comment authorId="0" ref="E520">
      <text>
        <t xml:space="preserve">======
ID#AAABjx7qO0k
0620 Santiago    (2025-05-21 11:33:24)
-&gt; 待客戶將 7' LCD (AA070ME01)寄來後， 寄曦立光電做貼合</t>
      </text>
    </comment>
    <comment authorId="0" ref="H454">
      <text>
        <t xml:space="preserve">======
ID#AAABjx7qO0g
    (2025-05-21 11:33:24)
alice:6/14-玉山匯入USD1346-手續費31.36=USD1314.64*31.47</t>
      </text>
    </comment>
    <comment authorId="0" ref="H367">
      <text>
        <t xml:space="preserve">======
ID#AAABjx7qO0c
    (2025-05-21 11:33:24)
ALICE:5/17收到銀行電文通知USD1668-11匯款手續費=USD1657</t>
      </text>
    </comment>
    <comment authorId="0" ref="I885">
      <text>
        <t xml:space="preserve">======
ID#AAABjx7qO0M
    (2025-05-21 11:33:24)
Cathy/Yvonne</t>
      </text>
    </comment>
    <comment authorId="0" ref="M36">
      <text>
        <t xml:space="preserve">======
ID#AAABjx7qOzw
    (2025-05-21 11:33:24)
1214 cathy: mail 詢問Quote</t>
      </text>
    </comment>
    <comment authorId="0" ref="K400">
      <text>
        <t xml:space="preserve">======
ID#AAABjx7qOzM
    (2025-05-21 11:33:24)
EOL Confirmed</t>
      </text>
    </comment>
    <comment authorId="0" ref="H140">
      <text>
        <t xml:space="preserve">======
ID#AAABjx7qOyo
    (2025-05-21 11:33:24)
0311  chloe:匯款匯入US1134-20(手續費)</t>
      </text>
    </comment>
    <comment authorId="0" ref="K104">
      <text>
        <t xml:space="preserve">======
ID#AAABjx7qOyY
    (2025-05-21 11:33:24)
0226 Cathy: 詢問alan 出雪梨
0121 Sant: 出貨前拍照</t>
      </text>
    </comment>
    <comment authorId="0" ref="H822">
      <text>
        <t xml:space="preserve">======
ID#AAABjx7qOx0
    (2025-05-21 11:33:24)
ALICE:12/12收到應收票據，到期日108/12/30-AN0560117 NT132075(郵寄28元)沖PI-20191015001</t>
      </text>
    </comment>
    <comment authorId="0" ref="H629">
      <text>
        <t xml:space="preserve">======
ID#AAABjx7qOxc
    (2025-05-21 11:33:24)
ALICE:8/21-銀行匯入USD374沖PI-20190801A USD334.沖PI-20190801A-1 USD40</t>
      </text>
    </comment>
    <comment authorId="0" ref="N858">
      <text>
        <t xml:space="preserve">======
ID#AAABjx7qOxg
    (2025-05-21 11:33:24)
1101 chloe:已申請借轉銷，待發票給予</t>
      </text>
    </comment>
    <comment authorId="0" ref="AI119">
      <text>
        <t xml:space="preserve">======
ID#AAABjx7qOxI
    (2025-05-21 11:33:24)
ALICE:2019/02/01-應收總額USD38286 實收USD38266-手續費USD19.13=USD38246.87*30.69=NT1,173,796元整</t>
      </text>
    </comment>
    <comment authorId="0" ref="H819">
      <text>
        <t xml:space="preserve">======
ID#AAABjx7qOxE
    (2025-05-21 11:33:24)
ALICE:10/16玉山銀行匯入USD1285沖PI-20191014001 USD1285元</t>
      </text>
    </comment>
    <comment authorId="0" ref="X434">
      <text>
        <t xml:space="preserve">======
ID#AAABjx7qOw4
    (2025-05-21 11:33:24)
0514 Cathy 下單</t>
      </text>
    </comment>
    <comment authorId="0" ref="N321">
      <text>
        <t xml:space="preserve">======
ID#AAABjx7qOwk
    (2025-05-21 11:33:24)
0326 Cathy:下單</t>
      </text>
    </comment>
    <comment authorId="0" ref="K218">
      <text>
        <t xml:space="preserve">======
ID#AAABjx7qOwg
    (2025-05-21 11:33:24)
0401 santi 告知改4/8出貨</t>
      </text>
    </comment>
    <comment authorId="0" ref="J561">
      <text>
        <t xml:space="preserve">======
ID#AAABjx7qOvk
    (2025-05-21 11:33:24)
190717 Tammy: 收到貨款後, 才出貨</t>
      </text>
    </comment>
    <comment authorId="0" ref="H669">
      <text>
        <t xml:space="preserve">======
ID#AAABjx7qOvg
    (2025-05-21 11:33:24)
ALICE:10/5-玉山NT匯入59340沖PI20190821C.PI-20190829B.PI-20190906A合計共NT59355元整</t>
      </text>
    </comment>
    <comment authorId="0" ref="H736">
      <text>
        <t xml:space="preserve">======
ID#AAABjx7qOvI
    (2025-05-21 11:33:24)
20190918 SAN同意讓客人於下次下單給款</t>
      </text>
    </comment>
    <comment authorId="0" ref="H480">
      <text>
        <t xml:space="preserve">======
ID#AAABjx7qOvE
    (2025-05-21 11:33:24)
ALICE:8/27玉山銀行匯入USD9443沖PI-20190604A.PI-20190628A.PI-20190604A-F合計共USD9443元整</t>
      </text>
    </comment>
    <comment authorId="0" ref="N38">
      <text>
        <t xml:space="preserve">======
ID#AAABjx7qOus
    (2025-05-21 11:33:24)
cathy:20181217下PO
12/18 Support 價格</t>
      </text>
    </comment>
    <comment authorId="0" ref="H31">
      <text>
        <t xml:space="preserve">======
ID#AAABjx7qOuo
    (2025-05-21 11:33:24)
0225 chloe:匯款匯入5948-10(手續費)</t>
      </text>
    </comment>
    <comment authorId="0" ref="N171">
      <text>
        <t xml:space="preserve">======
ID#AAABjx7qOuk
    (2025-05-21 11:33:24)
0211下單
交期暫押2/22</t>
      </text>
    </comment>
    <comment authorId="0" ref="H849">
      <text>
        <t xml:space="preserve">======
ID#AAABjx7qOuM
    (2025-05-21 11:33:24)
ALICE:10/28-合庫收款USD2852(含手續費USD17.56) 沖PI-20191024002 USD2852</t>
      </text>
    </comment>
    <comment authorId="0" ref="S467">
      <text>
        <t xml:space="preserve">======
ID#AAABjx7qOuI
0604 chloe    (2025-05-21 11:33:24)
客供料，無成本</t>
      </text>
    </comment>
    <comment authorId="0" ref="L11">
      <text>
        <t xml:space="preserve">======
ID#AAABjx7qOt0
    (2025-05-21 11:33:24)
0119 Cathy:缺主板+CPU
9/26 Cindy:Intel 年底交貨</t>
      </text>
    </comment>
    <comment authorId="0" ref="K179">
      <text>
        <t xml:space="preserve">======
ID#AAABjx7qOt4
    (2025-05-21 11:33:24)
0212 San: 用DHL箱子把2個貨箱放成一個箱子</t>
      </text>
    </comment>
    <comment authorId="0" ref="H591">
      <text>
        <t xml:space="preserve">======
ID#AAABjx7qOtE
    (2025-05-21 11:33:24)
ALICE:7/26玉山銀行水單通知匯入USD9754沖PI-20190524B(2000+350).沖PI20190524B-1(3010).沖PI-20190703A(60+70).沖PI20190719B-1 228+1600 PI-20190719B-2 304  PI-20190719B-5 532. PI-20190719B-3 1600</t>
      </text>
    </comment>
    <comment authorId="0" ref="H837">
      <text>
        <t xml:space="preserve">======
ID#AAABjx7qOtA
    (2025-05-21 11:33:24)
ALICE:7/26玉山銀行水單通知匯入USD9754沖PI-20190524B(2000+350).沖PI20190524B-1(3010).沖PI-20190703A(60+70).沖PI20190719B-1 228+1600 PI-20190719B-2 304  PI-20190719B-5 532. PI-20190719B-3 1600</t>
      </text>
    </comment>
    <comment authorId="0" ref="H210">
      <text>
        <t xml:space="preserve">======
ID#AAABjx7qOsk
    (2025-05-21 11:33:24)
ALICE:5/3收到USD12965.5(沖PI-20190121B.PI20190217A.PI-20190131C.PI-20190313A.PI-20190306A)</t>
      </text>
    </comment>
    <comment authorId="0" ref="H311">
      <text>
        <t xml:space="preserve">======
ID#AAABjx7qOsU
    (2025-05-21 11:33:24)
alice:6/20銀行水單匯入USD4462 沖PI20190107A.PI-20190318B.PI-20190508B.PI-20181022C-2-F</t>
      </text>
    </comment>
    <comment authorId="0" ref="K495">
      <text>
        <t xml:space="preserve">======
ID#AAABjx7qOsY
    (2025-05-21 11:33:24)
0701 確認客人有需要此貨，待這兩天匯款&amp;Shipping info.</t>
      </text>
    </comment>
    <comment authorId="0" ref="D819">
      <text>
        <t xml:space="preserve">======
ID#AAABjx7qOsE
    (2025-05-21 11:33:24)
10/14 cathy: 請Tammy 下單</t>
      </text>
    </comment>
    <comment authorId="0" ref="H743">
      <text>
        <t xml:space="preserve">======
ID#AAABjx7qOr0
    (2025-05-21 11:33:24)
ALICE:9/19玉山水單匯入USD440沖PI-20190917B 440</t>
      </text>
    </comment>
    <comment authorId="0" ref="D877">
      <text>
        <t xml:space="preserve">======
ID#AAABjx7qOrk
    (2025-05-21 11:33:24)
11/5 Cathy: 客戶mail下訂單&amp; 請Yvonne 下單</t>
      </text>
    </comment>
    <comment authorId="0" ref="H149">
      <text>
        <t xml:space="preserve">======
ID#AAABjx7qOro
    (2025-05-21 11:33:24)
0307 chloe:匯款匯入US39896-37(手續費)</t>
      </text>
    </comment>
    <comment authorId="0" ref="AI485">
      <text>
        <t xml:space="preserve">======
ID#AAABjx7qOrI
    (2025-05-21 11:33:24)
ALICE:6/17-玉山匯入17810沖PI-20190508A.沖PI-20190604C</t>
      </text>
    </comment>
    <comment authorId="0" ref="D630">
      <text>
        <t xml:space="preserve">======
ID#AAABjx7qOq4
    (2025-05-21 11:33:24)
0806 詢問客人</t>
      </text>
    </comment>
    <comment authorId="0" ref="H297">
      <text>
        <t xml:space="preserve">======
ID#AAABjx7qOq0
    (2025-05-21 11:33:24)
ALICE:5/3收到USD12965.5(沖PI-20190121B.PI20190217A.PI-20190131C.PI-20190313A.PI-20190306A)</t>
      </text>
    </comment>
    <comment authorId="0" ref="H824">
      <text>
        <t xml:space="preserve">======
ID#AAABjx7qOqo
    (2025-05-21 11:33:24)
ALICE:11/28一銀通知客戶匯入USD6665沖PI-20191023001 USD660+PI-20191024001 USD6005合計共USD6665元整</t>
      </text>
    </comment>
    <comment authorId="0" ref="L856">
      <text>
        <t xml:space="preserve">======
ID#AAABjx7qOqQ
    (2025-05-21 11:33:24)
1029YVONNE:未滿20PCS須拉回我司組裝</t>
      </text>
    </comment>
    <comment authorId="0" ref="E57">
      <text>
        <t xml:space="preserve">======
ID#AAABjx7qOp0
    (2025-05-21 11:33:24)
在此輸入
vecow offer 195
Jetone 只有i5-8500 at $218</t>
      </text>
    </comment>
    <comment authorId="0" ref="E131">
      <text>
        <t xml:space="preserve">======
ID#AAABjx7qOpU
    (2025-05-21 11:33:24)
1122AMY: 3pin power connector 改為RG58 power connector</t>
      </text>
    </comment>
    <comment authorId="0" ref="L607">
      <text>
        <t xml:space="preserve">======
ID#AAABjx7qOpQ
    (2025-05-21 11:33:24)
0722 客人告知急，但也同時告知款項要先來</t>
      </text>
    </comment>
    <comment authorId="0" ref="H634">
      <text>
        <t xml:space="preserve">======
ID#AAABjx7qOo8
    (2025-05-21 11:33:24)
ALICE:9/23玉山銀行水單通知匯入USD14587沖PI-20190626A 334.5 沖PI-20190703B 8550.沖PI20190719C 5212.5.沖PI-20190722A 210.沖PI-20190801C 280 合計總沖USD14587元整</t>
      </text>
    </comment>
    <comment authorId="0" ref="K17">
      <text>
        <t xml:space="preserve">======
ID#AAABjx7qOos
    (2025-05-21 11:33:24)
1120Amy: Vecow 年底前交貨, 收到超恩貨+2-3 days出貨Ti2</t>
      </text>
    </comment>
    <comment authorId="0" ref="N576">
      <text>
        <t xml:space="preserve">======
ID#AAABjx7qOok
    (2025-05-21 11:33:24)
取消PO-20190717C，分批下單</t>
      </text>
    </comment>
    <comment authorId="0" ref="H425">
      <text>
        <t xml:space="preserve">======
ID#AAABjx7qOoI
    (2025-05-21 11:33:24)
ALICE:7/17水單匯入USD9362沖PI-20190508B-F 92元.PI-20190508B-1 130元. PI-20190509C 9140元整</t>
      </text>
    </comment>
    <comment authorId="0" ref="P657">
      <text>
        <t xml:space="preserve">======
ID#AAABjx7qOoA
    (2025-05-21 11:33:24)
0820 chloe:專案價</t>
      </text>
    </comment>
    <comment authorId="0" ref="H275">
      <text>
        <t xml:space="preserve">======
ID#AAABjx7qOn0
    (2025-05-21 11:33:24)
ALICE:11/22第一銀行收到匯入USD8500(內含銀行手續費USD6.57) PI-20190227G USD4250+PI-20190227H USD4250 總計USD8500</t>
      </text>
    </comment>
    <comment authorId="0" ref="F827">
      <text>
        <t xml:space="preserve">======
ID#AAABjx7qOno
    (2025-05-21 11:33:24)
20191017 客人通知10/16寄出10pcs 備品(10/18到料，有請vivian QC外觀) 
20191018 客人告知良品先存於我司*4pcs 不良部分待確認處理方式
20191030 客人告知不良先寄回，良品放我司</t>
      </text>
    </comment>
    <comment authorId="0" ref="H927">
      <text>
        <t xml:space="preserve">======
ID#AAABjx7qOnY
    (2025-05-21 11:33:24)
ALICE:1/20-第一USD收款USD1308(手續費0)沖PI-20191203001 USD77+PI-20191126001 USD1231 總計USD1308元整</t>
      </text>
    </comment>
    <comment authorId="0" ref="L429">
      <text>
        <t xml:space="preserve">======
ID#AAABjx7qOnU
    (2025-05-21 11:33:24)
0527:6/6 Eric pick up
0522 超恩Bruce 原交期6/3 告知交期變更為6/11 (intel  CPU 可到超恩時間6/9)  
超恩明確交期需要一週1W</t>
      </text>
    </comment>
    <comment authorId="0" ref="H502">
      <text>
        <t xml:space="preserve">======
ID#AAABjx7qOnI
    (2025-05-21 11:33:24)
ALICE:8/2-水單匯入USD541元整，沖PI-20190606D USD416+沖PI-20190617A USD125</t>
      </text>
    </comment>
    <comment authorId="0" ref="J458">
      <text>
        <t xml:space="preserve">======
ID#AAABjx7qOmw
    (2025-05-21 11:33:24)
客人自行安排取貨 
0527待客人確認</t>
      </text>
    </comment>
    <comment authorId="0" ref="N525">
      <text>
        <t xml:space="preserve">======
ID#AAABjx7qOmU
    (2025-05-21 11:33:24)
0626下單</t>
      </text>
    </comment>
    <comment authorId="0" ref="H750">
      <text>
        <t xml:space="preserve">======
ID#AAABjx7qOmQ
    (2025-05-21 11:33:24)
ALICE:11/4玉山銀行收到匯入款USD407沖PI-20190919A USD407元整</t>
      </text>
    </comment>
    <comment authorId="0" ref="H587">
      <text>
        <t xml:space="preserve">======
ID#AAABjx7qOmM
    (2025-05-21 11:33:24)
ALICE:1/7第一銀行USD3228 沖PI-20191007006 1501+PI-20191007007 USD1727+PI-20191128002 USD20總沖USD3248</t>
      </text>
    </comment>
    <comment authorId="0" ref="D268">
      <text>
        <t xml:space="preserve">======
ID#AAABjx7qOl4
    (2025-05-21 11:33:24)
190109 Tammy: 抽驗即可, 謝謝</t>
      </text>
    </comment>
    <comment authorId="0" ref="K13">
      <text>
        <t xml:space="preserve">======
ID#AAABjx7qOlQ
    (2025-05-21 11:33:24)
1120Amy: Vecow 年底前交貨, 收到超恩貨+2-3 days出貨Ti2</t>
      </text>
    </comment>
    <comment authorId="0" ref="H35">
      <text>
        <t xml:space="preserve">======
ID#AAABjx7qOlA
    (2025-05-21 11:33:24)
0225 chloe:匯款匯入5948-10(手續費)</t>
      </text>
    </comment>
    <comment authorId="0" ref="H525">
      <text>
        <t xml:space="preserve">======
ID#AAABjx7qOk0
    (2025-05-21 11:33:24)
ALICE:10/1玉山水單匯入USD12075沖PI20190625A USD12075</t>
      </text>
    </comment>
    <comment authorId="0" ref="E203">
      <text>
        <t xml:space="preserve">======
ID#AAABjx7qOks
    (2025-05-21 11:33:24)
自製品DRAM-TS512MSK64W6H戎克料號13-TS0-D30N004-001A</t>
      </text>
    </comment>
    <comment authorId="0" ref="E121">
      <text>
        <t xml:space="preserve">======
ID#AAABjx7qOko
    (2025-05-21 11:33:24)
NeouSys 1/23 於 Line group 報價$283</t>
      </text>
    </comment>
    <comment authorId="0" ref="L168">
      <text>
        <t xml:space="preserve">======
ID#AAABjx7qOkM
    (2025-05-21 11:33:24)
0212 cathy: 廠商回覆2/22物料至新漢
0220 Cathy: VIcky 告知2/21 到新漢</t>
      </text>
    </comment>
    <comment authorId="0" ref="H785">
      <text>
        <t xml:space="preserve">======
ID#AAABjx7qOj8
    (2025-05-21 11:33:24)
ALICE:12/4-TPOLE匯入一銀USD2242(全額到付)沖PI-20190923B 125+PI-20190930B USD1872+PI-20191014006 USD150+PI-20191026001 USD95合計總沖USD2242元整</t>
      </text>
    </comment>
    <comment authorId="0" ref="AI139">
      <text>
        <t xml:space="preserve">======
ID#AAABjx7qOjQ
    (2025-05-21 11:33:24)
alice:2019/04/25水單通知匯入USD1931*30.86=NT59591元整  無手續費 沖(125+1400+14+42+350)</t>
      </text>
    </comment>
    <comment authorId="0" ref="E417">
      <text>
        <t xml:space="preserve">======
ID#AAABjx7qOjI
    (2025-05-21 11:33:24)
7/23 Amy: M12 using PLASTIC  type instead of Metal type, cost difference $257/pc ( Credit note: 20190723)</t>
      </text>
    </comment>
    <comment authorId="0" ref="D879">
      <text>
        <t xml:space="preserve">======
ID#AAABjx7qOjE
    (2025-05-21 11:33:24)
11/8 cathy: 請Chloe 請協助下單</t>
      </text>
    </comment>
    <comment authorId="0" ref="L722">
      <text>
        <t xml:space="preserve">======
ID#AAABjx7qOjA
    (2025-05-21 11:33:24)
0912YVONNE:CHLOE通知，貨到讓BANK確認後在出。</t>
      </text>
    </comment>
    <comment authorId="0" ref="K494">
      <text>
        <t xml:space="preserve">======
ID#AAABjx7qOis
    (2025-05-21 11:33:24)
0701 確認客人有需要此貨，待這兩天匯款&amp;Shipping info.</t>
      </text>
    </comment>
    <comment authorId="0" ref="AJ96">
      <text>
        <t xml:space="preserve">======
ID#AAABjx7qOig
    (2025-05-21 11:33:24)
ALICE:PI-20190111A訂單總計USD4578，水單2019/02/27匯入USD4571.49*30.73=NT140,482
手續費USD6.51*30.73=NT200元整</t>
      </text>
    </comment>
    <comment authorId="0" ref="N748">
      <text>
        <t xml:space="preserve">======
ID#AAABjx7qOiU
    (2025-05-21 11:33:24)
0923YVONNE下單</t>
      </text>
    </comment>
    <comment authorId="0" ref="I585">
      <text>
        <t xml:space="preserve">======
ID#AAABjx7qOhk
    (2025-05-21 11:33:24)
Cathy/Santiago</t>
      </text>
    </comment>
    <comment authorId="0" ref="H500">
      <text>
        <t xml:space="preserve">======
ID#AAABjx7qOhc
    (2025-05-21 11:33:24)
ALICE:8/2-水單匯入USD541元整，沖PI-20190606D USD416+沖PI-20190617A USD125</t>
      </text>
    </comment>
    <comment authorId="0" ref="G281">
      <text>
        <t xml:space="preserve">======
ID#AAABjx7qOhY
    (2025-05-21 11:33:24)
190303 w/5% VAT</t>
      </text>
    </comment>
    <comment authorId="0" ref="H280">
      <text>
        <t xml:space="preserve">======
ID#AAABjx7qOhU
    (2025-05-21 11:33:24)
ALICE:5/3-電文USD16646(沖10450+4616+1580(4850中的1580))</t>
      </text>
    </comment>
    <comment authorId="0" ref="D590">
      <text>
        <t xml:space="preserve">======
ID#AAABjx7qOgo
    (2025-05-21 11:33:24)
20190604 Robin accept W/O AG、AR treatment this time</t>
      </text>
    </comment>
    <comment authorId="0" ref="S174">
      <text>
        <t xml:space="preserve">======
ID#AAABjx7qOgg
    (2025-05-21 11:33:24)
Chloe OK</t>
      </text>
    </comment>
    <comment authorId="0" ref="D597">
      <text>
        <t xml:space="preserve">======
ID#AAABjx7qOgY
    (2025-05-21 11:33:24)
20190604 Robin accept W/O AG、AR treatment this time</t>
      </text>
    </comment>
    <comment authorId="0" ref="H926">
      <text>
        <t xml:space="preserve">======
ID#AAABjx7qOgQ
    (2025-05-21 11:33:24)
ALICE:1/20-第一USD收款USD1308(手續費0)沖PI-20191203001 USD77+PI-20191126001 USD1231 總計USD1308元整</t>
      </text>
    </comment>
    <comment authorId="0" ref="K20">
      <text>
        <t xml:space="preserve">======
ID#AAABjx7qOgA
    (2025-05-21 11:33:24)
Invoice已先給會計</t>
      </text>
    </comment>
    <comment authorId="0" ref="F220">
      <text>
        <t xml:space="preserve">======
ID#AAABjx7qOfo
    (2025-05-21 11:33:24)
TI2 Not yet confirm Order x 2 pcs</t>
      </text>
    </comment>
    <comment authorId="0" ref="P752">
      <text>
        <t xml:space="preserve">======
ID#AAABjx7qOfA
    (2025-05-21 11:33:24)
以色列專案價</t>
      </text>
    </comment>
    <comment authorId="0" ref="G366">
      <text>
        <t xml:space="preserve">======
ID#AAABjx7qOeY
    (2025-05-21 11:33:24)
180221 Tammy: project price for over 50pcs/lot</t>
      </text>
    </comment>
    <comment authorId="0" ref="K869">
      <text>
        <t xml:space="preserve">======
ID#AAABjx7qOeQ
    (2025-05-21 11:33:24)
10/30 cathy:通知客人交期</t>
      </text>
    </comment>
    <comment authorId="0" ref="X188">
      <text>
        <t xml:space="preserve">======
ID#AAABjx7qOeE
    (2025-05-21 11:33:24)
0311 chloe:含PO20190124B</t>
      </text>
    </comment>
    <comment authorId="0" ref="AA446">
      <text>
        <t xml:space="preserve">======
ID#AAABjx7qOds
    (2025-05-21 11:33:24)
原寄出單號:94408522006910116008</t>
      </text>
    </comment>
    <comment authorId="0" ref="K76">
      <text>
        <t xml:space="preserve">======
ID#AAABjx7qOdo
    (2025-05-21 11:33:24)
6/20 amy: this shipment DOA, the RMA Return date is 04/30, so A/R should be count from 4/30, due date is 6/15</t>
      </text>
    </comment>
    <comment authorId="0" ref="H259">
      <text>
        <t xml:space="preserve">======
ID#AAABjx7qOdg
    (2025-05-21 11:33:24)
alice:8/19-水單匯入USD8500，沖PI-20190227D</t>
      </text>
    </comment>
    <comment authorId="0" ref="L95">
      <text>
        <t xml:space="preserve">======
ID#AAABjx7qOdU
    (2025-05-21 11:33:24)
0114 chloe:待L85/L86 有交期後再下單</t>
      </text>
    </comment>
    <comment authorId="0" ref="L138">
      <text>
        <t xml:space="preserve">======
ID#AAABjx7qOdI
    (2025-05-21 11:33:24)
0125 Cathy: Amy 告之1/30 china 有庫存</t>
      </text>
    </comment>
    <comment authorId="0" ref="H567">
      <text>
        <t xml:space="preserve">======
ID#AAABjx7qOdE
    (2025-05-21 11:33:24)
ALICE:8/22玉山銀行匯入NT1,596,000+NT1,978=NT1,597,978元整，沖PI-20190717C NT1,586,124 ，沖PI-20190813C NT11,854</t>
      </text>
    </comment>
    <comment authorId="0" ref="P547">
      <text>
        <t xml:space="preserve">======
ID#AAABjx7qOdA
    (2025-05-21 11:33:24)
用專案價</t>
      </text>
    </comment>
    <comment authorId="0" ref="H418">
      <text>
        <t xml:space="preserve">======
ID#AAABjx7qOc0
    (2025-05-21 11:33:24)
ALICE:7/3收到支票 6/30即期票，票號CP0072748 金額30489元整，沖PI-20190508D 16425元，沖PI-20190520A 14092元。(原PI-20190520A退貨，故應收2114手續費) 多收部份轉預收11978元整</t>
      </text>
    </comment>
    <comment authorId="0" ref="S736">
      <text>
        <t xml:space="preserve">======
ID#AAABjx7qOco
    (2025-05-21 11:33:24)
1029 chloe 樣品，無費用</t>
      </text>
    </comment>
    <comment authorId="0" ref="G574">
      <text>
        <t xml:space="preserve">======
ID#AAABjx7qOcc
    (2025-05-21 11:33:24)
190718 Tammy: w/5%</t>
      </text>
    </comment>
    <comment authorId="0" ref="L242">
      <text>
        <t xml:space="preserve">======
ID#AAABjx7qOcQ
    (2025-05-21 11:33:24)
0313 Cathy: moxa提供發票</t>
      </text>
    </comment>
    <comment authorId="0" ref="D847">
      <text>
        <t xml:space="preserve">======
ID#AAABjx7qOb0
    (2025-05-21 11:33:24)
10/24 請chloe 下單</t>
      </text>
    </comment>
    <comment authorId="0" ref="H592">
      <text>
        <t xml:space="preserve">======
ID#AAABjx7qObc
    (2025-05-21 11:33:24)
ALICE:7/26玉山銀行水單通知匯入USD9754沖PI-20190524B(2000+350).沖PI20190524B-1(3010).沖PI-20190703A(60+70).沖PI20190719B-1 228+1600 PI-20190719B-2 304  PI-20190719B-5 532. PI-20190719B-3 1600</t>
      </text>
    </comment>
    <comment authorId="0" ref="H895">
      <text>
        <t xml:space="preserve">======
ID#AAABjx7qObQ
    (2025-05-21 11:33:24)
ALICE:12/10-亞郁匯入NT86152沖PI-20191016001.PI-20191017001.PI-20191030002.PI-20191112005 USD270.9</t>
      </text>
    </comment>
    <comment authorId="0" ref="U490">
      <text>
        <t xml:space="preserve">======
ID#AAABjx7qObI
    (2025-05-21 11:33:24)
0606 chloe:備註</t>
      </text>
    </comment>
    <comment authorId="0" ref="AI397">
      <text>
        <t xml:space="preserve">======
ID#AAABjx7qOa4
    (2025-05-21 11:33:24)
Alice:2019/05/16-收到銀行合庫匯入通知NT194,325元整(沖PI-20190502C.PI-20190507A)手續費0</t>
      </text>
    </comment>
    <comment authorId="0" ref="H349">
      <text>
        <t xml:space="preserve">======
ID#AAABjx7qOa0
    (2025-05-21 11:33:24)
Alice:6/17-水單匯入USD10046沖PI-201904096B.PI-20190418A.PI-20190422A.PI-20190307A</t>
      </text>
    </comment>
    <comment authorId="0" ref="H144">
      <text>
        <t xml:space="preserve">======
ID#AAABjx7qOaw
    (2025-05-21 11:33:24)
0307 chloe:匯款匯入US39896-37(手續費)</t>
      </text>
    </comment>
    <comment authorId="0" ref="D272">
      <text>
        <t xml:space="preserve">======
ID#AAABjx7qOac
    (2025-05-21 11:33:24)
190109 Tammy: 抽驗即可, 謝謝</t>
      </text>
    </comment>
    <comment authorId="0" ref="N597">
      <text>
        <t xml:space="preserve">======
ID#AAABjx7qOaE
    (2025-05-21 11:33:24)
0801 chloe: 0731 開案</t>
      </text>
    </comment>
    <comment authorId="0" ref="H562">
      <text>
        <t xml:space="preserve">======
ID#AAABjx7qOZ8
    (2025-05-21 11:33:24)
alice:11/19-一銀Hatteland電文通知匯入USD58800 沖PI-20190717A USD58800</t>
      </text>
    </comment>
    <comment authorId="0" ref="J812">
      <text>
        <t xml:space="preserve">======
ID#AAABjx7qOZ0
    (2025-05-21 11:33:24)
客人自行安排取貨 
0527待客人確認</t>
      </text>
    </comment>
    <comment authorId="0" ref="D487">
      <text>
        <t xml:space="preserve">======
ID#AAABjx7qOZQ
    (2025-05-21 11:33:24)
0605 請TAMMY 下單</t>
      </text>
    </comment>
    <comment authorId="0" ref="H753">
      <text>
        <t xml:space="preserve">======
ID#AAABjx7qOY4
    (2025-05-21 11:33:24)
ALICE:9/24玉山水單通知USD1407.5沖PI-20190923A USD1407.5元整</t>
      </text>
    </comment>
    <comment authorId="0" ref="D668">
      <text>
        <t xml:space="preserve">======
ID#AAABjx7qOYs
    (2025-05-21 11:33:24)
8/21 請chloe協助下單</t>
      </text>
    </comment>
    <comment authorId="0" ref="H919">
      <text>
        <t xml:space="preserve">======
ID#AAABjx7qOYk
    (2025-05-21 11:33:24)
ALICE:1/30一銀收到KH匯入USD2352(內含手續費USD26.62)沖PI-20191115001 USD709+PI-20191115002 USD75+PI-20191120002 USD150+PI-20191123002 USD870+PI-20191224001 USD411+PI-20191216001 USD137)</t>
      </text>
    </comment>
    <comment authorId="0" ref="D495">
      <text>
        <t xml:space="preserve">======
ID#AAABjx7qOYc
    (2025-05-21 11:33:24)
在此輸入
0606 客人說要再確認
0610 通知Tammy 下單,客人有急需</t>
      </text>
    </comment>
    <comment authorId="0" ref="H656">
      <text>
        <t xml:space="preserve">======
ID#AAABjx7qOXw
    (2025-05-21 11:33:24)
ALICE:9/26玉山銀行匯入USD1212元整，沖PI-20190819A USD1092，沖PI-20190814C USD120</t>
      </text>
    </comment>
    <comment authorId="0" ref="AI236">
      <text>
        <t xml:space="preserve">======
ID#AAABjx7qOXo
    (2025-05-21 11:33:24)
ALICE:PI-20190223訂單總計USD6471，2019/02/26水單匯入USD6453.49*30.736==NT198,354元整，匯入手續費USD6.5+匯出手續費USD11*30.736=NT538元整</t>
      </text>
    </comment>
    <comment authorId="0" ref="H864">
      <text>
        <t xml:space="preserve">======
ID#AAABjx7qOXk
    (2025-05-21 11:33:24)
ALICE:12/13一銀USD收到KH匯入USD1562.8(內含手續費USD28.61)沖PI-20191017004 USD1347+PI-20191030001 USD215.8合計總沖USD1562.8</t>
      </text>
    </comment>
    <comment authorId="0" ref="K398">
      <text>
        <t xml:space="preserve">======
ID#AAABjx7qOXc
    (2025-05-21 11:33:24)
貨交台灣
新北市汐止市合順街18巷23弄11號5摟</t>
      </text>
    </comment>
    <comment authorId="0" ref="K14">
      <text>
        <t xml:space="preserve">======
ID#AAABjx7qOXE
    (2025-05-21 11:33:24)
1120Amy: Vecow 年底前交貨, 收到超恩貨+2-3 days出貨Ti2</t>
      </text>
    </comment>
    <comment authorId="0" ref="N386">
      <text>
        <t xml:space="preserve">======
ID#AAABjx7qOW8
    (2025-05-21 11:33:24)
0325 Cathy 下單</t>
      </text>
    </comment>
    <comment authorId="0" ref="H54">
      <text>
        <t xml:space="preserve">======
ID#AAABjx7qOWI
    (2025-05-21 11:33:24)
alice:2019/05/17水單通知USD19768沖3/4A $1995.3/4A-1$4152.3/4A-1-F $232.3/8B-F $57.12/21A-2-F $144.3/4A-1 $189.10/22C-2 $10227.12/21A-1 $2772.如上總計共USD19768</t>
      </text>
    </comment>
    <comment authorId="0" ref="L523">
      <text>
        <t xml:space="preserve">======
ID#AAABjx7qOWA
    (2025-05-21 11:33:24)
1007 chloe: 告知曦立期望交期
1018 Nancy: 告知11/8 應該沒問題</t>
      </text>
    </comment>
    <comment authorId="0" ref="E945">
      <text>
        <t xml:space="preserve">======
ID#AAABjx7qOWE
    (2025-05-21 11:33:24)
2019年SPS合展</t>
      </text>
    </comment>
    <comment authorId="0" ref="D718">
      <text>
        <t xml:space="preserve">======
ID#AAABjx7qOVw
    (2025-05-21 11:33:24)
Transfer from PI-20190412A  Accview</t>
      </text>
    </comment>
    <comment authorId="0" ref="S507">
      <text>
        <t xml:space="preserve">======
ID#AAABjx7qOVs
    (2025-05-21 11:33:24)
0813 chloe OK</t>
      </text>
    </comment>
    <comment authorId="0" ref="H37">
      <text>
        <t xml:space="preserve">======
ID#AAABjx7qOVo
    (2025-05-21 11:33:24)
0225 chloe:匯款匯入5948-10(手續費)</t>
      </text>
    </comment>
    <comment authorId="0" ref="E465">
      <text>
        <t xml:space="preserve">======
ID#AAABjx7qOVM
    (2025-05-21 11:33:24)
在此輸入
20190603 San: RTPC150-H0006U (標準品)+AR coating,→供應商料號:
RTPC150-H0006U
20190828 Cathy: notice client LCD*2PCS defect -&gt; accept</t>
      </text>
    </comment>
    <comment authorId="0" ref="H247">
      <text>
        <t xml:space="preserve">======
ID#AAABjx7qOUw
    (2025-05-21 11:33:24)
ALICE:2019/05/20-收到玉山銀行電文通知USD12750元整</t>
      </text>
    </comment>
    <comment authorId="0" ref="L74">
      <text>
        <t xml:space="preserve">======
ID#AAABjx7qOUM
    (2025-05-21 11:33:24)
0125 Ca:Tammy通之1/31出貨 
0123 Cathy: Tammy告知交期維持1/29，若1/28客戶無匯款，將改到年後進貨 
0119 Cathy: 提前交期29-&gt;25</t>
      </text>
    </comment>
    <comment authorId="0" ref="E198">
      <text>
        <t xml:space="preserve">======
ID#AAABjx7qOT8
    (2025-05-21 11:33:24)
自製品TS32GSSD420K ，戎克料號:14-TS0-SDMN032-001A</t>
      </text>
    </comment>
    <comment authorId="0" ref="K829">
      <text>
        <t xml:space="preserve">======
ID#AAABjx7qOT4
    (2025-05-21 11:33:24)
chloe
1028: 原先告知10/30
1104: 尚未告知MOXA！！原倉庫(木新路)收貨至11/14止，11/15暫停收貨 ，
11/18之後送貨請送至新倉庫:新北市新店區寶橋路235巷118號2AF</t>
      </text>
    </comment>
    <comment authorId="0" ref="L309">
      <text>
        <t xml:space="preserve">======
ID#AAABjx7qOTU
    (2025-05-21 11:33:24)
0318 Cathy 詢問交期</t>
      </text>
    </comment>
    <comment authorId="0" ref="D363">
      <text>
        <t xml:space="preserve">======
ID#AAABjx7qOTM
    (2025-05-21 11:33:24)
0417 通知tammy 協助下單,並告知客人有否其他訂單一併下單</t>
      </text>
    </comment>
    <comment authorId="0" ref="H923">
      <text>
        <t xml:space="preserve">======
ID#AAABjx7qOTI
    (2025-05-21 11:33:24)
ALICE:1/20-第一USD收款USD1308(手續費0)沖PI-20191203001 USD77+PI-20191126001 USD1231 總計USD1308元整</t>
      </text>
    </comment>
    <comment authorId="0" ref="H138">
      <text>
        <t xml:space="preserve">======
ID#AAABjx7qOTA
    (2025-05-21 11:33:24)
ALICE:2019/04/12水單匯入usd7548*30.83元整</t>
      </text>
    </comment>
    <comment authorId="0" ref="J904">
      <text>
        <t xml:space="preserve">======
ID#AAABjx7qOS4
    (2025-05-21 11:33:24)
客人自取</t>
      </text>
    </comment>
    <comment authorId="0" ref="N230">
      <text>
        <t xml:space="preserve">======
ID#AAABjx7qOSk
    (2025-05-21 11:33:24)
0222 Cathy 下單</t>
      </text>
    </comment>
    <comment authorId="0" ref="H256">
      <text>
        <t xml:space="preserve">======
ID#AAABjx7qOR0
    (2025-05-21 11:33:24)
alice:7/22水單匯入USD8500沖PI-20190227C</t>
      </text>
    </comment>
    <comment authorId="0" ref="K671">
      <text>
        <t xml:space="preserve">======
ID#AAABjx7qORU
    (2025-05-21 11:33:24)
0903:TAMMY通知SAN同意先放貨後付款</t>
      </text>
    </comment>
    <comment authorId="0" ref="G19">
      <text>
        <t xml:space="preserve">======
ID#AAABjx7qORY
    (2025-05-21 11:33:24)
180221 Tammy: project price for over 50pcs/lot</t>
      </text>
    </comment>
    <comment authorId="0" ref="H283">
      <text>
        <t xml:space="preserve">======
ID#AAABjx7qORQ
    (2025-05-21 11:33:24)
190303 客人應付貨款要扣掉NT$33313元 
3/22 chloe: 應付貨款145224- 33313
=111911(0322 已付)</t>
      </text>
    </comment>
    <comment authorId="0" ref="H516">
      <text>
        <t xml:space="preserve">======
ID#AAABjx7qOQY
    (2025-05-21 11:33:24)
ALICE:8/2-水單匯入USD541元整，沖PI-20190606D USD416+沖PI-20190617A USD125</t>
      </text>
    </comment>
    <comment authorId="0" ref="K636">
      <text>
        <t xml:space="preserve">======
ID#AAABjx7qOQQ
    (2025-05-21 11:33:24)
沛勁:895256寄出</t>
      </text>
    </comment>
    <comment authorId="0" ref="M49">
      <text>
        <t xml:space="preserve">======
ID#AAABjx7qOQE
    (2025-05-21 11:33:24)
1216 chloe :下單18 PCS(專案價)+2 PCS (戎克庫存)</t>
      </text>
    </comment>
    <comment authorId="0" ref="D389">
      <text>
        <t xml:space="preserve">======
ID#AAABjx7qOQA
    (2025-05-21 11:33:24)
190429 給TPOLE的PI號RMA-20190307A</t>
      </text>
    </comment>
    <comment authorId="0" ref="E194">
      <text>
        <t xml:space="preserve">======
ID#AAABjx7qOP4
    (2025-05-21 11:33:24)
自製品DRAM-TS512MSK64W6H戎克料號13-TS0-D30N004-001A</t>
      </text>
    </comment>
    <comment authorId="0" ref="H507">
      <text>
        <t xml:space="preserve">======
ID#AAABjx7qOO4
    (2025-05-21 11:33:24)
ALICE:6/13-玉山匯入USD4942-應付3539=1403轉預收貨款   銀行淨收4895.64*31.47</t>
      </text>
    </comment>
    <comment authorId="0" ref="L444">
      <text>
        <t xml:space="preserve">======
ID#AAABjx7qOO8
    (2025-05-21 11:33:24)
0516 chloe 下單</t>
      </text>
    </comment>
    <comment authorId="0" ref="P676">
      <text>
        <t xml:space="preserve">======
ID#AAABjx7qOOw
    (2025-05-21 11:33:24)
往後使用以色列專案價</t>
      </text>
    </comment>
    <comment authorId="0" ref="K547">
      <text>
        <t xml:space="preserve">======
ID#AAABjx7qOOg
    (2025-05-21 11:33:24)
0722 Santiago同意先出貨。</t>
      </text>
    </comment>
    <comment authorId="0" ref="AJ223">
      <text>
        <t xml:space="preserve">======
ID#AAABjx7qOOY
    (2025-05-21 11:33:24)
ALICE:2019/05/02-水單匯入USD21462.5-(匯出手續費USD10+匯入手續費USD10.73)=USD21441.77*30.84=NT661264</t>
      </text>
    </comment>
    <comment authorId="0" ref="H30">
      <text>
        <t xml:space="preserve">======
ID#AAABjx7qOOQ
    (2025-05-21 11:33:24)
0225 chloe:匯款匯入5948-10(手續費)</t>
      </text>
    </comment>
    <comment authorId="0" ref="K55">
      <text>
        <t xml:space="preserve">======
ID#AAABjx7qOOI
    (2025-05-21 11:33:24)
0121出貨前6pcs拍照 
Vecow 年底前交貨, 收到超恩貨+2-3 days出貨Ti2</t>
      </text>
    </comment>
    <comment authorId="0" ref="L859">
      <text>
        <t xml:space="preserve">======
ID#AAABjx7qOOM
    (2025-05-21 11:33:24)
1029YVONNE:未滿20PCS須拉回我司組裝</t>
      </text>
    </comment>
    <comment authorId="0" ref="F521">
      <text>
        <t xml:space="preserve">======
ID#AAABjx7qON0
    (2025-05-21 11:33:24)
0820 cathy: 客人revise 提供數量</t>
      </text>
    </comment>
    <comment authorId="0" ref="AI11">
      <text>
        <t xml:space="preserve">======
ID#AAABjx7qONc
    (2025-05-21 11:33:24)
ALICE:2019/05/02-水單匯入USD21462.5-(匯出手續費USD10+匯入手續費USD10.73)=USD21441.77*30.84=NT661264</t>
      </text>
    </comment>
    <comment authorId="0" ref="H314">
      <text>
        <t xml:space="preserve">======
ID#AAABjx7qONA
    (2025-05-21 11:33:24)
3/22 chloe:匯入US394-15(手續費)</t>
      </text>
    </comment>
    <comment authorId="0" ref="H335">
      <text>
        <t xml:space="preserve">======
ID#AAABjx7qOMw
    (2025-05-21 11:33:24)
ALICE:2019/04/08-水單匯入USB1543-手續費USD11=USD1532</t>
      </text>
    </comment>
    <comment authorId="0" ref="H274">
      <text>
        <t xml:space="preserve">======
ID#AAABjx7qOMc
    (2025-05-21 11:33:24)
ALICE:11/22第一銀行收到匯入USD8500(內含銀行手續費USD6.57) PI-20190227G USD4250+PI-20190227H USD4250 總計USD8500</t>
      </text>
    </comment>
    <comment authorId="0" ref="H619">
      <text>
        <t xml:space="preserve">======
ID#AAABjx7qOL8
    (2025-05-21 11:33:24)
ALICE:9/26玉山水單匯入USD16657沖PI-20190704A USD655.沖PI-20190704A-F USD96.沖PI20190717E USD11479.沖PI-20190726B USD4245.沖PI-20190726B-F 182總沖16657</t>
      </text>
    </comment>
    <comment authorId="0" ref="L596">
      <text>
        <t xml:space="preserve">======
ID#AAABjx7qOLg
    (2025-05-21 11:33:24)
在此輸入
0724 chloe:貨到請通知Chloe
0904 Cathy : 客人告知預計10/4 &amp;10/18。但也非確定時間
0906 Cathy: 客人告知可能時間
0920 Cathy:客人告知已收到,預計9/20寄出
0925YVONNE:大榮寄出15995542754</t>
      </text>
    </comment>
    <comment authorId="0" ref="H131">
      <text>
        <t xml:space="preserve">======
ID#AAABjx7qOLc
    (2025-05-21 11:33:24)
ALICE:2019/05/02-水單匯入USD21462.5</t>
      </text>
    </comment>
    <comment authorId="0" ref="AJ11">
      <text>
        <t xml:space="preserve">======
ID#AAABjx7qOLE
    (2025-05-21 11:33:24)
ALICE:2019/05/02-水單匯入USD21462.5-(匯出手續費USD10+匯入手續費USD10.73)=USD21441.77*30.84=NT661264</t>
      </text>
    </comment>
    <comment authorId="0" ref="H788">
      <text>
        <t xml:space="preserve">======
ID#AAABjx7qOKk
    (2025-05-21 11:33:24)
ALICE:12/2-合庫匯入NT328647(內含手續費NT30元整)沖PI-20191001A USD10084.2+PI-20191112006 USD714元整</t>
      </text>
    </comment>
    <comment authorId="0" ref="H578">
      <text>
        <t xml:space="preserve">======
ID#AAABjx7qOKM
    (2025-05-21 11:33:24)
ALICE:9/26玉山水單匯入USD16657沖PI-20190704A USD655.沖PI-20190704A-F USD96.沖PI20190717E USD11479.沖PI-20190726B USD4245.沖PI-20190726B-F 182總沖16657</t>
      </text>
    </comment>
    <comment authorId="0" ref="E76">
      <text>
        <t xml:space="preserve">======
ID#AAABjx7qOJs
    (2025-05-21 11:33:24)
在此輸入
0107AMY:請注意CPU是I5-6300U, 寬螢幕及修改版鐵殼+鋁三 角椎</t>
      </text>
    </comment>
    <comment authorId="0" ref="H545">
      <text>
        <t xml:space="preserve">======
ID#AAABjx7qOJY
    (2025-05-21 11:33:24)
alice:7/23水單匯入USD1020</t>
      </text>
    </comment>
    <comment authorId="0" ref="S86">
      <text>
        <t xml:space="preserve">======
ID#AAABjx7qOJI
    (2025-05-21 11:33:24)
chloe:含BOM表裡</t>
      </text>
    </comment>
    <comment authorId="0" ref="H348">
      <text>
        <t xml:space="preserve">======
ID#AAABjx7qOIs
    (2025-05-21 11:33:24)
Alice:6/17-水單匯入USD10046沖PI-201904096B.PI-20190418A.PI-20190422A.PI-20190307A</t>
      </text>
    </comment>
    <comment authorId="0" ref="H771">
      <text>
        <t xml:space="preserve">======
ID#AAABjx7qOIE
    (2025-05-21 11:33:24)
A
ALICE:12/4-TPOLE匯入一銀USD2242(全額到付)沖PI-20190923B 125+PI-20190930B USD1872+PI-20191014006 USD150+PI-20191026001 USD95合計總沖USD2242元整</t>
      </text>
    </comment>
    <comment authorId="0" ref="D904">
      <text>
        <t xml:space="preserve">======
ID#AAABjx7qOHg
    (2025-05-21 11:33:24)
1114 Cathy:請Yvonne 下單</t>
      </text>
    </comment>
    <comment authorId="0" ref="N589">
      <text>
        <t xml:space="preserve">======
ID#AAABjx7qOHc
    (2025-05-21 11:33:24)
0917 chloe:已先告知曦立排單</t>
      </text>
    </comment>
    <comment authorId="0" ref="H386">
      <text>
        <t xml:space="preserve">======
ID#AAABjx7qOHY
    (2025-05-21 11:33:24)
alice:2019/05/17水單通知USD19768沖3/4A $1995.3/4A-1$4152.3/4A-1-F $232.3/8B-F $57.12/21A-2-F $144.3/4A-1 $189.10/22C-2 $10227.12/21A-1 $2772.如上總計共USD19768</t>
      </text>
    </comment>
    <comment authorId="0" ref="E518">
      <text>
        <t xml:space="preserve">======
ID#AAABjx7qOGY
0620 Santiago    (2025-05-21 11:33:24)
-&gt; 待客戶將 7' LCD (AA070ME01)寄來後， 寄曦立光電做貼合</t>
      </text>
    </comment>
    <comment authorId="0" ref="AJ119">
      <text>
        <t xml:space="preserve">======
ID#AAABjx7qOF8
    (2025-05-21 11:33:24)
ALICE:2019/02/01-應收總額USD38286 實收USD38266-手續費USD19.13=USD38246.87*30.69=NT1,173,796元整</t>
      </text>
    </comment>
    <comment authorId="0" ref="L797">
      <text>
        <t xml:space="preserve">======
ID#AAABjx7qOF0
    (2025-05-21 11:33:24)
Chloe 1106: MOXA回覆交期，有可能會延遲兩天</t>
      </text>
    </comment>
    <comment authorId="0" ref="H242">
      <text>
        <t xml:space="preserve">======
ID#AAABjx7qOFo
    (2025-05-21 11:33:24)
0403 chloe:匯款匯入247,928</t>
      </text>
    </comment>
    <comment authorId="0" ref="H114">
      <text>
        <t xml:space="preserve">======
ID#AAABjx7qOFc
    (2025-05-21 11:33:24)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740">
      <text>
        <t xml:space="preserve">======
ID#AAABjx7qOFU
    (2025-05-21 11:33:24)
ALICE:11/8-玉山銀行收款USD5775沖PI-20190917A 5775元整</t>
      </text>
    </comment>
    <comment authorId="0" ref="M42">
      <text>
        <t xml:space="preserve">======
ID#AAABjx7qOE0
    (2025-05-21 11:33:24)
1214 ask  stock</t>
      </text>
    </comment>
    <comment authorId="0" ref="H157">
      <text>
        <t xml:space="preserve">======
ID#AAABjx7qOEY
    (2025-05-21 11:33:24)
0307 chloe:匯款匯入US39896-37(手續費)</t>
      </text>
    </comment>
    <comment authorId="0" ref="H764">
      <text>
        <t xml:space="preserve">======
ID#AAABjx7qOEQ
    (2025-05-21 11:33:24)
ALICE:11/20一銀匯入USD5837沖PI-20190930A USD3945+PI-20191003A USD137+PI-20191005A USD1755</t>
      </text>
    </comment>
    <comment authorId="0" ref="K911">
      <text>
        <t xml:space="preserve">======
ID#AAABjx7qOEI
    (2025-05-21 11:33:24)
1114 cathy 客人指定出貨時間</t>
      </text>
    </comment>
    <comment authorId="0" ref="J483">
      <text>
        <t xml:space="preserve">======
ID#AAABjx7qOEA
SHIPPING  AS BELOW    (2025-05-21 11:33:24)
103A Mary Street, Richmond, VIC, 3121, Australia
Contact: Jim MacDouall
Phone: +61 417 714 528</t>
      </text>
    </comment>
    <comment authorId="0" ref="H156">
      <text>
        <t xml:space="preserve">======
ID#AAABjx7qOD8
    (2025-05-21 11:33:24)
0327 chloe:匯款匯入42,592-10(手續費)
0408 Alice:匯款匯入USD3,950(手續費USD12)</t>
      </text>
    </comment>
    <comment authorId="0" ref="L521">
      <text>
        <t xml:space="preserve">======
ID#AAABjx7qOD4
    (2025-05-21 11:33:24)
0621  chloe:已通知Shipping留意客供料進口時間
0718 chloe: 告知曦立預計8月初
0820 Cathy: 客人告知display delay</t>
      </text>
    </comment>
    <comment authorId="0" ref="S594">
      <text>
        <t xml:space="preserve">======
ID#AAABjx7qODg
    (2025-05-21 11:33:24)
客供料，無成本</t>
      </text>
    </comment>
    <comment authorId="0" ref="D583">
      <text>
        <t xml:space="preserve">======
ID#AAABjx7qODY
    (2025-05-21 11:33:24)
0719 請chloe 協助下單</t>
      </text>
    </comment>
    <comment authorId="0" ref="H890">
      <text>
        <t xml:space="preserve">======
ID#AAABjx7qODM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H523">
      <text>
        <t xml:space="preserve">======
ID#AAABjx7qODI
    (2025-05-21 11:33:24)
ALICE:11/6-玉山銀行收到Hectronic匯入款USD19840沖PI-20190620A-3 USD7440.PI-20190620A-2 USD12400</t>
      </text>
    </comment>
    <comment authorId="0" ref="H260">
      <text>
        <t xml:space="preserve">======
ID#AAABjx7qODA
    (2025-05-21 11:33:24)
alice:8/19-水單匯入USD8500，沖PI-20190227D</t>
      </text>
    </comment>
    <comment authorId="0" ref="L401">
      <text>
        <t xml:space="preserve">======
ID#AAABjx7qOB4
    (2025-05-21 11:33:24)
貨交台灣
新北市汐止市合順街18巷23弄11號5摟</t>
      </text>
    </comment>
    <comment authorId="0" ref="N305">
      <text>
        <t xml:space="preserve">======
ID#AAABjx7qOBM
    (2025-05-21 11:33:24)
0315 Cathy 下單</t>
      </text>
    </comment>
    <comment authorId="0" ref="L664">
      <text>
        <t xml:space="preserve">======
ID#AAABjx7qOBI
    (2025-05-21 11:33:24)
chloe: 1107 Pull in 12/27 那週交貨→廠商尚未回覆</t>
      </text>
    </comment>
    <comment authorId="0" ref="H540">
      <text>
        <t xml:space="preserve">======
ID#AAABjx7qOAs
    (2025-05-21 11:33:24)
Alice:7/8匯入NT170334 
Alice:8/6匯入NT186707
Alice:8/6匯入NT32231
總計389272+匯款手續費30=389302沖PI-20190523A 202565.沖PI20190702A 186737元整</t>
      </text>
    </comment>
    <comment authorId="0" ref="K663">
      <text>
        <t xml:space="preserve">======
ID#AAABjx7qOAw
    (2025-05-21 11:33:24)
1028 cathy 告知客人交期要延到12月底 
0920 請客人確認moxa交期可否接受</t>
      </text>
    </comment>
    <comment authorId="0" ref="H954">
      <text>
        <t xml:space="preserve">======
ID#AAABjx7qOAk
    (2025-05-21 11:33:24)
ALICE:2/24一銀收到USD12104沖PI-20191127001 USD6784+PI-20191104001 USD2014+PI-20191213001 USD3306</t>
      </text>
    </comment>
    <comment authorId="0" ref="H107">
      <text>
        <t xml:space="preserve">======
ID#AAABjx7qOAQ
    (2025-05-21 11:33:24)
0128 Mary: 匯款匯入 US$5,260(同H103)</t>
      </text>
    </comment>
    <comment authorId="0" ref="L593">
      <text>
        <t xml:space="preserve">======
ID#AAABjx7qN_8
    (2025-05-21 11:33:24)
0724 chloe: 曦立會送回10.4" LCD(貼合TOUCH)，送回請通知Chloe
0927  送曦立11 PCS， PULL IN 中</t>
      </text>
    </comment>
    <comment authorId="0" ref="L478">
      <text>
        <t xml:space="preserve">======
ID#AAABjx7qN_4
    (2025-05-21 11:33:24)
0624 chloe: 閎亮到貨時間，不含場內測試</t>
      </text>
    </comment>
    <comment authorId="0" ref="L310">
      <text>
        <t xml:space="preserve">======
ID#AAABjx7qN_0
    (2025-05-21 11:33:24)
0410 Cathy: 與業助bruce 確認交期ok</t>
      </text>
    </comment>
    <comment authorId="0" ref="D883">
      <text>
        <t xml:space="preserve">======
ID#AAABjx7qN_k
    (2025-05-21 11:33:24)
11/8 cathy: 請Chloe 請協助下單</t>
      </text>
    </comment>
    <comment authorId="0" ref="N523">
      <text>
        <t xml:space="preserve">======
ID#AAABjx7qN_U
    (2025-05-21 11:33:24)
0621 chloe: 一次性下單400 PCS  價格NT1358</t>
      </text>
    </comment>
    <comment authorId="0" ref="N219">
      <text>
        <t xml:space="preserve">======
ID#AAABjx7qN_Y
    (2025-05-21 11:33:24)
0219 Cathy 下單</t>
      </text>
    </comment>
    <comment authorId="0" ref="S839">
      <text>
        <t xml:space="preserve">======
ID#AAABjx7qN_M
    (2025-05-21 11:33:24)
Chloe 1111 : 40(訂貨數量)
-7(實際貼膜)=33
33-2(損耗)=31PCS(入庫)
※此單 (9 PCS*300)*1.05=2835</t>
      </text>
    </comment>
    <comment authorId="0" ref="G730">
      <text>
        <t xml:space="preserve">======
ID#AAABjx7qN_Q
    (2025-05-21 11:33:24)
20191030客人告知想直接買入。</t>
      </text>
    </comment>
    <comment authorId="0" ref="H746">
      <text>
        <t xml:space="preserve">======
ID#AAABjx7qN_E
    (2025-05-21 11:33:24)
ALICE:10/5玉山NT 思碩匯入NT66001元整，沖PI-20190917C 共NT66001元整</t>
      </text>
    </comment>
    <comment authorId="0" ref="I598">
      <text>
        <t xml:space="preserve">======
ID#AAABjx7qN_A
    (2025-05-21 11:33:24)
Cathy/Santiago</t>
      </text>
    </comment>
    <comment authorId="0" ref="S124">
      <text>
        <t xml:space="preserve">======
ID#AAABjx7qN-0
    (2025-05-21 11:33:24)
Chloe-5/3-MAIL回覆總成本為2786.7(內含三筆訂單PI-20190118A-F.PI-20181221A-1-F.PI-20190123B-F)</t>
      </text>
    </comment>
    <comment authorId="0" ref="S331">
      <text>
        <t xml:space="preserve">======
ID#AAABjx7qN-g
    (2025-05-21 11:33:24)
5/3-CHLOE回覆
PI-20190328A  LPC-P121S-10 成本價 NT10606.26(不含稅)</t>
      </text>
    </comment>
    <comment authorId="0" ref="E393">
      <text>
        <t xml:space="preserve">======
ID#AAABjx7qN-A
    (2025-05-21 11:33:23)
24"Panel PC &amp; VESA 裝入同一外箱</t>
      </text>
    </comment>
    <comment authorId="0" ref="K78">
      <text>
        <t xml:space="preserve">======
ID#AAABjx7qN9k
    (2025-05-21 11:33:23)
6/20 amy: this shipment DOA, the RMA Return date is 04/30, so A/R should be count from 4/30, due date is 6/15</t>
      </text>
    </comment>
    <comment authorId="0" ref="H809">
      <text>
        <t xml:space="preserve">======
ID#AAABjx7qN9U
    (2025-05-21 11:33:23)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</text>
    </comment>
    <comment authorId="0" ref="H848">
      <text>
        <t xml:space="preserve">======
ID#AAABjx7qN9Q
    (2025-05-21 11:33:23)
ALICE:10/28-合庫收款USD2852(含手續費USD17.56) 沖PI-20191024002 USD2852</t>
      </text>
    </comment>
    <comment authorId="0" ref="N732">
      <text>
        <t xml:space="preserve">======
ID#AAABjx7qN9E
    (2025-05-21 11:33:23)
0916YVONNE下單</t>
      </text>
    </comment>
    <comment authorId="0" ref="N247">
      <text>
        <t xml:space="preserve">======
ID#AAABjx7qN80
    (2025-05-21 11:33:23)
0307 Cathy下單</t>
      </text>
    </comment>
    <comment authorId="0" ref="H178">
      <text>
        <t xml:space="preserve">======
ID#AAABjx7qN84
    (2025-05-21 11:33:23)
0327 chloe:匯款匯入US4578-6.51(手續費)</t>
      </text>
    </comment>
    <comment authorId="0" ref="P795">
      <text>
        <t xml:space="preserve">======
ID#AAABjx7qN8k
    (2025-05-21 11:33:23)
專案報價(20191000280038 )</t>
      </text>
    </comment>
    <comment authorId="0" ref="D34">
      <text>
        <t xml:space="preserve">======
ID#AAABjx7qN7s
    (2025-05-21 11:33:23)
2019/01/08 Keiju: 已QC
2019/01/08 Cathy: 待小葛驗收</t>
      </text>
    </comment>
    <comment authorId="0" ref="L508">
      <text>
        <t xml:space="preserve">======
ID#AAABjx7qN7k
0617 chloe    (2025-05-21 11:33:23)
貨到請交由chloe
0708 chloe:已交由生管</t>
      </text>
    </comment>
    <comment authorId="0" ref="G839">
      <text>
        <t xml:space="preserve">======
ID#AAABjx7qN7U
    (2025-05-21 11:33:23)
10/18 san告知本次不會收molding fee,但會加收labor fee(usd 20)+AG film (usd 26)</t>
      </text>
    </comment>
    <comment authorId="0" ref="H897">
      <text>
        <t xml:space="preserve">======
ID#AAABjx7qN64
    (2025-05-21 11:33:23)
ALICE:12/2-合庫匯入NT328647(內含手續費NT30元整)沖PI-20191001A USD10084.2+PI-20191112006 USD714元整</t>
      </text>
    </comment>
    <comment authorId="0" ref="H586">
      <text>
        <t xml:space="preserve">======
ID#AAABjx7qN6w
    (2025-05-21 11:33:23)
ALICE:1/7第一銀行USD3228 沖PI-20191007006 1501+PI-20191007007 USD1727+PI-20191128002 USD20總沖USD3248</t>
      </text>
    </comment>
    <comment authorId="0" ref="H110">
      <text>
        <t xml:space="preserve">======
ID#AAABjx7qN6Y
    (2025-05-21 11:33:23)
0128 Mary: 匯款匯入 US$5,260(同H103)</t>
      </text>
    </comment>
    <comment authorId="0" ref="K591">
      <text>
        <t xml:space="preserve">======
ID#AAABjx7qN6Q
    (2025-05-21 11:33:23)
cathy: 10/15已回覆客人交期</t>
      </text>
    </comment>
    <comment authorId="0" ref="H50">
      <text>
        <t xml:space="preserve">======
ID#AAABjx7qN6M
    (2025-05-21 11:33:23)
0305 chloe:匯款匯入US2520</t>
      </text>
    </comment>
    <comment authorId="0" ref="H380">
      <text>
        <t xml:space="preserve">======
ID#AAABjx7qN5w
    (2025-05-21 11:33:23)
alice:7/4-水單匯入USD4316.9沖PI-20190422B.沖PI-20190507B.沖PI-20190513A</t>
      </text>
    </comment>
    <comment authorId="0" ref="I588">
      <text>
        <t xml:space="preserve">======
ID#AAABjx7qN5o
    (2025-05-21 11:33:23)
Cathy/Santiago</t>
      </text>
    </comment>
    <comment authorId="0" ref="K644">
      <text>
        <t xml:space="preserve">======
ID#AAABjx7qN5Q
    (2025-05-21 11:33:23)
0821 CATHY : 客人希望2W交貨(不然可能canel order)，待交期確認後，就請客人先匯款
0826 Cathy : 客人告知預計9/2匯款，請如期出貨 
0909 YVONNE:待客戶付款安排
出貨</t>
      </text>
    </comment>
    <comment authorId="0" ref="L866">
      <text>
        <t xml:space="preserve">======
ID#AAABjx7qN5M
    (2025-05-21 11:33:23)
chloe
1028: 原先告知10/30
1104: 尚未告知MOXA！！原倉庫(木新路)收貨至11/14止，11/15暫停收貨 ，
11/18之後送貨請送至新倉庫:新北市新店區寶橋路235巷118號2AF</t>
      </text>
    </comment>
    <comment authorId="0" ref="K767">
      <text>
        <t xml:space="preserve">======
ID#AAABjx7qN5I
    (2025-05-21 11:33:23)
1015YVONNE:隨貨寄目錄,並通知san</t>
      </text>
    </comment>
    <comment authorId="0" ref="D679">
      <text>
        <t xml:space="preserve">======
ID#AAABjx7qN5E
    (2025-05-21 11:33:23)
0828 請chloe 協助下單
0829 CATHY: 客戶新增項目</t>
      </text>
    </comment>
    <comment authorId="0" ref="AJ360">
      <text>
        <t xml:space="preserve">======
ID#AAABjx7qN5A
    (2025-05-21 11:33:23)
Alice:2019/05/21-銀行水單通知USD960-匯款手續費USD6.35=USD953.65*31.51=NT30050元整</t>
      </text>
    </comment>
    <comment authorId="0" ref="H458">
      <text>
        <t xml:space="preserve">======
ID#AAABjx7qN4o
    (2025-05-21 11:33:23)
ALICE:5/28-銀行電文通知匯入USD916</t>
      </text>
    </comment>
    <comment authorId="0" ref="N289">
      <text>
        <t xml:space="preserve">======
ID#AAABjx7qN4k
    (2025-05-21 11:33:23)
0306 Cathy 下單</t>
      </text>
    </comment>
    <comment authorId="0" ref="H453">
      <text>
        <t xml:space="preserve">======
ID#AAABjx7qN4Y
    (2025-05-21 11:33:23)
alice:6/14-玉山匯入USD1346-手續費31.36=USD1314.64*31.47</t>
      </text>
    </comment>
    <comment authorId="0" ref="H194">
      <text>
        <t xml:space="preserve">======
ID#AAABjx7qN4U
    (2025-05-21 11:33:23)
ALICE:5/16-銀行水單通知USD5169(沖PO0131D-1 4285.PI-0320-B 175.PI-4/8-A 709)共三筆</t>
      </text>
    </comment>
    <comment authorId="0" ref="N379">
      <text>
        <t xml:space="preserve">======
ID#AAABjx7qN4E
    (2025-05-21 11:33:23)
0422 Cathy 下單</t>
      </text>
    </comment>
    <comment authorId="0" ref="H671">
      <text>
        <t xml:space="preserve">======
ID#AAABjx7qN28
    (2025-05-21 11:33:23)
ALICE:10/31-合庫匯入NT49350沖季宣49378</t>
      </text>
    </comment>
    <comment authorId="0" ref="D29">
      <text>
        <t xml:space="preserve">======
ID#AAABjx7qN2s
    (2025-05-21 11:33:23)
0108 Cathy:1/10進廠後待小葛抽驗</t>
      </text>
    </comment>
    <comment authorId="0" ref="L55">
      <text>
        <t xml:space="preserve">======
ID#AAABjx7qN2Y
    (2025-05-21 11:33:23)
0218 Cathy: 廠商bruce告知交期延後2/25進
0122 Cathy:廠商變更交期(全球缺料)暫押3/5  
0114 Cathy:Bruce告知CPU交期導致交期可能後延
20181226 寄出6PCS DDR4 給超恩</t>
      </text>
    </comment>
    <comment authorId="0" ref="J820">
      <text>
        <t xml:space="preserve">======
ID#AAABjx7qN2Q
    (2025-05-21 11:33:23)
using UPS express then</t>
      </text>
    </comment>
    <comment authorId="0" ref="L104">
      <text>
        <t xml:space="preserve">======
ID#AAABjx7qN2A
0213 Cathy    (2025-05-21 11:33:23)
1.發現下單錯誤(下成8101，已與廠商詢問有否750-375
物料
2.廠商告知750-375 交期2w ，若走快遞2/19到，會產生快遞費用約1k
3.san同意走快遞</t>
      </text>
    </comment>
    <comment authorId="0" ref="K548">
      <text>
        <t xml:space="preserve">======
ID#AAABjx7qN1g
    (2025-05-21 11:33:23)
0722 Santiago同意先出貨。</t>
      </text>
    </comment>
    <comment authorId="0" ref="Q594">
      <text>
        <t xml:space="preserve">======
ID#AAABjx7qN1A
    (2025-05-21 11:33:23)
客供料，無成本</t>
      </text>
    </comment>
    <comment authorId="0" ref="H421">
      <text>
        <t xml:space="preserve">======
ID#AAABjx7qN0s
    (2025-05-21 11:33:23)
ALICE:5/27-水單匯入USD4578*31.43</t>
      </text>
    </comment>
    <comment authorId="0" ref="H188">
      <text>
        <t xml:space="preserve">======
ID#AAABjx7qN0o
    (2025-05-21 11:33:23)
alice:2019/04/25水單通知匯入USD1931*30.86=NT59591元整  無手續費 沖(125+1400+14+42+350)</t>
      </text>
    </comment>
    <comment authorId="0" ref="H394">
      <text>
        <t xml:space="preserve">======
ID#AAABjx7qN0c
    (2025-05-21 11:33:23)
ALICE:5/27-水單匯入USD4578*31.43</t>
      </text>
    </comment>
    <comment authorId="0" ref="K576">
      <text>
        <t xml:space="preserve">======
ID#AAABjx7qN0U
    (2025-05-21 11:33:23)
190718 Tammy: 發票寄出前，請先提供確認，謝謝。</t>
      </text>
    </comment>
    <comment authorId="0" ref="H196">
      <text>
        <t xml:space="preserve">======
ID#AAABjx7qN0M
    (2025-05-21 11:33:23)
ALICE:6/5水單通知USD11998沖PI-20190131D-2</t>
      </text>
    </comment>
    <comment authorId="0" ref="H835">
      <text>
        <t xml:space="preserve">======
ID#AAABjx7qN0I
    (2025-05-21 11:33:23)
ALICE:1/7第一銀行USD3228 沖PI-20191007006 1501+PI-20191007007 USD1727+PI-20191128002 USD20總沖USD3248</t>
      </text>
    </comment>
    <comment authorId="0" ref="H605">
      <text>
        <t xml:space="preserve">======
ID#AAABjx7qN0E
    (2025-05-21 11:33:23)
ALICE:9/23玉山銀行水單通知匯入USD14587沖PI-20190626A 334.5 沖PI-20190703B 8550.沖PI20190719C 5212.5.沖PI-20190722A 210.沖PI-20190801C 280 合計總沖USD14587元整</t>
      </text>
    </comment>
    <comment authorId="0" ref="L72">
      <text>
        <t xml:space="preserve">======
ID#AAABjx7qN0A
    (2025-05-21 11:33:23)
0125 Ca:Tammy通之1/31出貨 
0123 Cathy: Tammy告知交期維持1/29，若1/28客戶無匯款，將改到年後進貨 
0119 Cathy: 提前交期29-&gt;25</t>
      </text>
    </comment>
    <comment authorId="0" ref="H726">
      <text>
        <t xml:space="preserve">======
ID#AAABjx7qNzc
    (2025-05-21 11:33:23)
ALICE:9/12玉山水單匯入USD1463沖PI-20190910C USD1463元整</t>
      </text>
    </comment>
    <comment authorId="0" ref="D544">
      <text>
        <t xml:space="preserve">======
ID#AAABjx7qNzM
    (2025-05-21 11:33:23)
9/2 補填 (不知誰誤刪)</t>
      </text>
    </comment>
    <comment authorId="0" ref="D564">
      <text>
        <t xml:space="preserve">======
ID#AAABjx7qNzQ
    (2025-05-21 11:33:23)
190109 Tammy: 抽驗即可, 謝謝</t>
      </text>
    </comment>
    <comment authorId="0" ref="N290">
      <text>
        <t xml:space="preserve">======
ID#AAABjx7qNy4
    (2025-05-21 11:33:23)
0307 Cathy 下單</t>
      </text>
    </comment>
    <comment authorId="0" ref="H298">
      <text>
        <t xml:space="preserve">======
ID#AAABjx7qNyo
    (2025-05-21 11:33:23)
ALICE:5/3收到USD12965.5(沖PI-20190121B.PI20190217A.PI-20190131C.PI-20190313A.PI-20190306A)</t>
      </text>
    </comment>
    <comment authorId="0" ref="K609">
      <text>
        <t xml:space="preserve">======
ID#AAABjx7qNyg
    (2025-05-21 11:33:23)
0722 客人告知急，但也同時告知款項要先來</t>
      </text>
    </comment>
    <comment authorId="0" ref="L7">
      <text>
        <t xml:space="preserve">======
ID#AAABjx7qNyQ
    (2025-05-21 11:33:23)
1108 chloe:詢問過大PM (Santiago) 告知暫Hold</t>
      </text>
    </comment>
    <comment authorId="0" ref="H724">
      <text>
        <t xml:space="preserve">======
ID#AAABjx7qNyA
    (2025-05-21 11:33:23)
ALICE:9/12玉山水單匯入USD1463沖PI-20190910C USD1463元整</t>
      </text>
    </comment>
    <comment authorId="0" ref="L20">
      <text>
        <t xml:space="preserve">======
ID#AAABjx7qNxo
    (2025-05-21 11:33:23)
0104:Pull in 中
0115 chloe: Hold中，待PM告知後續</t>
      </text>
    </comment>
    <comment authorId="0" ref="D629">
      <text>
        <t xml:space="preserve">======
ID#AAABjx7qNxk
    (2025-05-21 11:33:23)
0806 詢問客人
0820 請Chole 協助下單</t>
      </text>
    </comment>
    <comment authorId="0" ref="E51">
      <text>
        <t xml:space="preserve">======
ID#AAABjx7qNxU
20181218 Santiago    (2025-05-21 11:33:23)
-&gt; 待客戶將 7' LCD (AA070ME01)寄來後， 寄曦立光電做貼合</t>
      </text>
    </comment>
    <comment authorId="0" ref="H268">
      <text>
        <t xml:space="preserve">======
ID#AAABjx7qNxM
    (2025-05-21 11:33:23)
ALICE:10/21玉山銀行匯入USD4250沖PI-20190227F USD4250</t>
      </text>
    </comment>
    <comment authorId="0" ref="J359">
      <text>
        <t xml:space="preserve">======
ID#AAABjx7qNw8
    (2025-05-21 11:33:23)
190411 但未知FEDEX服務，出貨前再確認
190506 Fedex Intl. Economy</t>
      </text>
    </comment>
    <comment authorId="0" ref="H460">
      <text>
        <t xml:space="preserve">======
ID#AAABjx7qNwc
    (2025-05-21 11:33:23)
ALICE:7/26玉山銀行水單通知匯入USD9754沖PI-20190524B(2000+350).沖PI20190524B-1(3010).沖PI-20190703A(60+70).沖PI20190719B-1 228+1600 PI-20190719B-2 304  PI-20190719B-5 532. PI-20190719B-3 1600</t>
      </text>
    </comment>
    <comment authorId="0" ref="H172">
      <text>
        <t xml:space="preserve">======
ID#AAABjx7qNwY
    (2025-05-21 11:33:23)
0312 chloe
扣除 PO20190211001 貨款
43384 -10071(此單金額)=33313(戎克尚欠)</t>
      </text>
    </comment>
    <comment authorId="0" ref="D869">
      <text>
        <t xml:space="preserve">======
ID#AAABjx7qNwU
    (2025-05-21 11:33:23)
10/30 Cathy:請yvonne 協助下單</t>
      </text>
    </comment>
    <comment authorId="0" ref="N318">
      <text>
        <t xml:space="preserve">======
ID#AAABjx7qNv4
    (2025-05-21 11:33:23)
0326 Cathy:下單</t>
      </text>
    </comment>
    <comment authorId="0" ref="Z207">
      <text>
        <t xml:space="preserve">======
ID#AAABjx7qNv0
    (2025-05-21 11:33:23)
ALICE:進口報單CU//08/570/49005
進口報關日期108/03/18
起岸價格USD657.45*30.89=NT20309元整
另支付加值型營業稅NT1015元整(我方負擔)</t>
      </text>
    </comment>
    <comment authorId="0" ref="H161">
      <text>
        <t xml:space="preserve">======
ID#AAABjx7qNvs
    (2025-05-21 11:33:23)
0227 chloe:匯款匯入NT48,676-30(手續費)</t>
      </text>
    </comment>
    <comment authorId="0" ref="H434">
      <text>
        <t xml:space="preserve">======
ID#AAABjx7qNvY
    (2025-05-21 11:33:23)
alice:7/4-水單匯入USD4316.9沖PI-20190422B.沖PI-20190507B.沖PI-20190513A</t>
      </text>
    </comment>
    <comment authorId="0" ref="H804">
      <text>
        <t xml:space="preserve">======
ID#AAABjx7qNvU
    (2025-05-21 11:33:23)
alice:10/28-玉山銀行收到Hectronic匯入USD52.59沖PI-20190620A-T</t>
      </text>
    </comment>
    <comment authorId="0" ref="H544">
      <text>
        <t xml:space="preserve">======
ID#AAABjx7qNvI
    (2025-05-21 11:33:23)
ALICE:9/26玉山水單匯入USD16657沖PI-20190704A USD655.沖PI-20190704A-F USD96.沖PI20190717E USD11479.沖PI-20190726B USD4245.沖PI-20190726B-F 182總沖16657</t>
      </text>
    </comment>
    <comment authorId="0" ref="H200">
      <text>
        <t xml:space="preserve">======
ID#AAABjx7qNvM
    (2025-05-21 11:33:23)
ALICE:6/5水單通知USD11998沖PI-20190131D-2</t>
      </text>
    </comment>
    <comment authorId="0" ref="S175">
      <text>
        <t xml:space="preserve">======
ID#AAABjx7qNuo
    (2025-05-21 11:33:23)
Chloe OK</t>
      </text>
    </comment>
    <comment authorId="0" ref="E207">
      <text>
        <t xml:space="preserve">======
ID#AAABjx7qNuM
    (2025-05-21 11:33:23)
20190214
 Santiago:
-&gt; 待客戶將 7' LCD (AA070ME01)寄來後， 寄曦立光電做貼合</t>
      </text>
    </comment>
    <comment authorId="0" ref="K149">
      <text>
        <t xml:space="preserve">======
ID#AAABjx7qNuU
    (2025-05-21 11:33:23)
0212 Cathy: 原出貨日為2/14，已mail告知san變更出貨日</t>
      </text>
    </comment>
    <comment authorId="0" ref="H70">
      <text>
        <t xml:space="preserve">======
ID#AAABjx7qNuE
    (2025-05-21 11:33:23)
0329 chloe:匯款匯入US$340.5</t>
      </text>
    </comment>
    <comment authorId="0" ref="H36">
      <text>
        <t xml:space="preserve">======
ID#AAABjx7qNuA
    (2025-05-21 11:33:23)
0225 chloe:匯款匯入5948-10(手續費)</t>
      </text>
    </comment>
    <comment authorId="0" ref="H552">
      <text>
        <t xml:space="preserve">======
ID#AAABjx7qNt0
    (2025-05-21 11:33:23)
Alice:8/8-水單匯入USD4555元整，沖PI-20190708A 2540.PI-20190711A 1355.PI-20190712A 660</t>
      </text>
    </comment>
    <comment authorId="0" ref="H676">
      <text>
        <t xml:space="preserve">======
ID#AAABjx7qNtc
    (2025-05-21 11:33:23)
ALICE:10/8-玉山水單匯入USD1566沖PI-20190828A USD1566</t>
      </text>
    </comment>
    <comment authorId="0" ref="L592">
      <text>
        <t xml:space="preserve">======
ID#AAABjx7qNtY
    (2025-05-21 11:33:23)
0724 chloe:貨到請通知Chloe
(準備送曦立貼合)
0925YVONNE:大榮寄出15995542754</t>
      </text>
    </comment>
    <comment authorId="0" ref="H192">
      <text>
        <t xml:space="preserve">======
ID#AAABjx7qNtU
    (2025-05-21 11:33:23)
ALICE:5/3收到USD12965.5(沖PI-20190121B.PI20190217A.PI-20190131C.PI-20190313A.PI-20190306A)</t>
      </text>
    </comment>
    <comment authorId="0" ref="H950">
      <text>
        <t xml:space="preserve">======
ID#AAABjx7qNtE
    (2025-05-21 11:33:23)
ALICE:2/24一銀收到USD12104沖PI-20191127001 USD6784+PI-20191104001 USD2014+PI-20191213001 USD3306</t>
      </text>
    </comment>
    <comment authorId="0" ref="L586">
      <text>
        <t xml:space="preserve">======
ID#AAABjx7qNsU
    (2025-05-21 11:33:23)
1002 chloe: 9 PCS可出貨</t>
      </text>
    </comment>
    <comment authorId="0" ref="N543">
      <text>
        <t xml:space="preserve">======
ID#AAABjx7qNsM
    (2025-05-21 11:33:23)
Yvonne0710下單</t>
      </text>
    </comment>
    <comment authorId="0" ref="R480">
      <text>
        <t xml:space="preserve">======
ID#AAABjx7qNsE
    (2025-05-21 11:33:23)
戎克庫存價格</t>
      </text>
    </comment>
    <comment authorId="0" ref="S614">
      <text>
        <t xml:space="preserve">======
ID#AAABjx7qNr4
    (2025-05-21 11:33:23)
戎克庫存成本</t>
      </text>
    </comment>
    <comment authorId="0" ref="K762">
      <text>
        <t xml:space="preserve">======
ID#AAABjx7qNrg
    (2025-05-21 11:33:23)
1015YVONNE:隨貨寄目錄,並通知san</t>
      </text>
    </comment>
    <comment authorId="0" ref="H141">
      <text>
        <t xml:space="preserve">======
ID#AAABjx7qNrc
    (2025-05-21 11:33:23)
0311  chloe:匯款匯入US1134-20(手續費)</t>
      </text>
    </comment>
    <comment authorId="0" ref="H142">
      <text>
        <t xml:space="preserve">======
ID#AAABjx7qNrU
    (2025-05-21 11:33:23)
0311  chloe:匯款匯入US1134-20(手續費)</t>
      </text>
    </comment>
    <comment authorId="0" ref="M73">
      <text>
        <t xml:space="preserve">======
ID#AAABjx7qNrY
    (2025-05-21 11:33:23)
20181219 預計12/26到新漢</t>
      </text>
    </comment>
    <comment authorId="0" ref="N211">
      <text>
        <t xml:space="preserve">======
ID#AAABjx7qNqw
    (2025-05-21 11:33:23)
0219 Cathy下單</t>
      </text>
    </comment>
    <comment authorId="0" ref="I841">
      <text>
        <t xml:space="preserve">======
ID#AAABjx7qNqU
    (2025-05-21 11:33:23)
Cathy/Santiago</t>
      </text>
    </comment>
    <comment authorId="0" ref="N518">
      <text>
        <t xml:space="preserve">======
ID#AAABjx7qNqQ
    (2025-05-21 11:33:23)
0621 chloe: 一次性下單400 PCS  價格NT1358
0701 告知 7/24 PULL IN中</t>
      </text>
    </comment>
    <comment authorId="0" ref="I871">
      <text>
        <t xml:space="preserve">======
ID#AAABjx7qNp4
    (2025-05-21 11:33:23)
原cathy</t>
      </text>
    </comment>
    <comment authorId="0" ref="D556">
      <text>
        <t xml:space="preserve">======
ID#AAABjx7qNp8
    (2025-05-21 11:33:23)
0712 請chloe協助下單</t>
      </text>
    </comment>
    <comment authorId="0" ref="K654">
      <text>
        <t xml:space="preserve">======
ID#AAABjx7qNpM
    (2025-05-21 11:33:23)
0910 cathy:與san確認可否於10/9 or 10/11 出貨 -&gt;  chloe approve 可於10/9出貨 
1001 :出貨前請Santiago拍照</t>
      </text>
    </comment>
    <comment authorId="0" ref="H417">
      <text>
        <t xml:space="preserve">======
ID#AAABjx7qNpE
    (2025-05-21 11:33:23)
ALICE:6/27水單匯入USD8652.87沖PI20190515C 1394.5.PI-20190625C 46.37.PI-20190508C 6408.PI-20190619B 804共四張PI合計8652.87   發現不是金屬接頭故折讓usd771(於6/27已收，轉預收貨款)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410">
      <text>
        <t xml:space="preserve">======
ID#AAABjx7qNpA
    (2025-05-21 11:33:23)
alice:6/20銀行水單匯入USD4462 沖PI20190107A.PI-20190318B.PI-20190508B.PI-20181022C-2-F</t>
      </text>
    </comment>
    <comment authorId="0" ref="D712">
      <text>
        <t xml:space="preserve">======
ID#AAABjx7qNo8
    (2025-05-21 11:33:23)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</text>
    </comment>
    <comment authorId="0" ref="L140">
      <text>
        <t xml:space="preserve">======
ID#AAABjx7qNoo
    (2025-05-21 11:33:23)
0125 Cathy:供應商有庫存</t>
      </text>
    </comment>
    <comment authorId="0" ref="AI34">
      <text>
        <t xml:space="preserve">======
ID#AAABjx7qNoM
    (2025-05-21 11:33:23)
ALCIE:2019/02/25水單匯入 PI-20181212A-F 訂單總計USD1500，PI-20181212A訂單總計USD1198，PI-20181212B訂單總計USD3251，合計三筆訂單USD5949元整，實收2/25水單匯入USD5938-手續費USD6.5=USD5931.5*30.76=NT182,453元整</t>
      </text>
    </comment>
    <comment authorId="0" ref="H877">
      <text>
        <t xml:space="preserve">======
ID#AAABjx7qNnM
    (2025-05-21 11:33:23)
ALICE:2020/01/10收到芳慎應收票據，票號AN0560121 到期日109/01/30 金額NT100398沖PI-20191105001</t>
      </text>
    </comment>
    <comment authorId="0" ref="F20">
      <text>
        <t xml:space="preserve">======
ID#AAABjx7qNnE
    (2025-05-21 11:33:23)
1/14原通知TI2MOQ數量是100PC, NEXT TIME WILL BE 300 PCS</t>
      </text>
    </comment>
    <comment authorId="0" ref="H415">
      <text>
        <t xml:space="preserve">======
ID#AAABjx7qNmk
    (2025-05-21 11:33:23)
ALICE:6/27水單匯入USD8652.87沖PI20190515C 1394.5.PI-20190625C 46.37.PI-20190508C 6408.PI-20190619B 804共四張PI合計8652.87</t>
      </text>
    </comment>
    <comment authorId="0" ref="H879">
      <text>
        <t xml:space="preserve">======
ID#AAABjx7qNl8
    (2025-05-21 11:33:23)
ALICE:2020/01/10-SA匯入USD37024-沖PI-20191108001 (5904+2010+440+20104+950+6270)+1346(12600中的1346)=USD37024</t>
      </text>
    </comment>
    <comment authorId="0" ref="N319">
      <text>
        <t xml:space="preserve">======
ID#AAABjx7qNl4
    (2025-05-21 11:33:23)
0326 Cathy:下單</t>
      </text>
    </comment>
    <comment authorId="0" ref="H235">
      <text>
        <t xml:space="preserve">======
ID#AAABjx7qNlw
    (2025-05-21 11:33:23)
0329 chloe:匯款匯入US$340.5</t>
      </text>
    </comment>
    <comment authorId="0" ref="H115">
      <text>
        <t xml:space="preserve">======
ID#AAABjx7qNlo
    (2025-05-21 11:33:23)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</text>
    </comment>
    <comment authorId="0" ref="H621">
      <text>
        <t xml:space="preserve">======
ID#AAABjx7qNlk
    (2025-05-21 11:33:23)
alice:8/19匯入USD16000沖PI-20190730A 10500，沖PI20190603A 1844(4850)，沖PI20190603A 3656(7040)</t>
      </text>
    </comment>
    <comment authorId="0" ref="B362">
      <text>
        <t xml:space="preserve">======
ID#AAABjx7qNlM
    (2025-05-21 11:33:23)
9/10 轉寄Captec Canada ( freight pay by Accuview )</t>
      </text>
    </comment>
    <comment authorId="0" ref="N712">
      <text>
        <t xml:space="preserve">======
ID#AAABjx7qNlA
    (2025-05-21 11:33:23)
0920 chloe:待凱西告知可下單
0923  chloe: Cathy通知下單</t>
      </text>
    </comment>
    <comment authorId="0" ref="M653">
      <text>
        <t xml:space="preserve">======
ID#AAABjx7qNlE
    (2025-05-21 11:33:23)
0816 Bank 告知貼合需4-8 weeks</t>
      </text>
    </comment>
    <comment authorId="0" ref="D96">
      <text>
        <t xml:space="preserve">======
ID#AAABjx7qNkk
    (2025-05-21 11:33:23)
1/21 Keiju: 出貨前拍照</t>
      </text>
    </comment>
    <comment authorId="0" ref="H642">
      <text>
        <t xml:space="preserve">======
ID#AAABjx7qNj8
    (2025-05-21 11:33:23)
ALICE:9/10玉山水單匯入USD5607元，沖PI-20190813A USD5147.沖PI-20190813A-1 460，合計總沖USD5607元整</t>
      </text>
    </comment>
    <comment authorId="0" ref="H32">
      <text>
        <t xml:space="preserve">======
ID#AAABjx7qNjs
    (2025-05-21 11:33:23)
0225 chloe:匯款匯入5948-10(手續費)</t>
      </text>
    </comment>
    <comment authorId="0" ref="H790">
      <text>
        <t xml:space="preserve">======
ID#AAABjx7qNjk
    (2025-05-21 11:33:23)
ALICE:2020/02/03合庫收款NT858362元整，沖PI-20191001A
 NT147153+PI-20191112006 NT711239元整</t>
      </text>
    </comment>
    <comment authorId="0" ref="H868">
      <text>
        <t xml:space="preserve">======
ID#AAABjx7qNjg
    (2025-05-21 11:33:23)
ALICE:11/4玉山銀行匯入USD1523沖PI-20191030004 USD1523</t>
      </text>
    </comment>
    <comment authorId="0" ref="L60">
      <text>
        <t xml:space="preserve">======
ID#AAABjx7qNi4
    (2025-05-21 11:33:23)
廠商告知有Stock</t>
      </text>
    </comment>
    <comment authorId="0" ref="AI206">
      <text>
        <t xml:space="preserve">======
ID#AAABjx7qNis
    (2025-05-21 11:33:23)
Alice:2019/05/08水單匯入USD12400-匯款手續費(10+6.47)*30.9=NT382,651</t>
      </text>
    </comment>
    <comment authorId="0" ref="AI135">
      <text>
        <t xml:space="preserve">======
ID#AAABjx7qNik
    (2025-05-21 11:33:23)
ALICE:2019/05/02-水單匯入USD21462.5-(匯出手續費USD10+匯入手續費USD10.73)=USD21441.77*30.84=NT661264</t>
      </text>
    </comment>
    <comment authorId="0" ref="J362">
      <text>
        <t xml:space="preserve">======
ID#AAABjx7qNic
    (2025-05-21 11:33:23)
CUSTOMER ACCOUNT 
G504 ㄧ年內可退回進口做核銷</t>
      </text>
    </comment>
    <comment authorId="0" ref="H874">
      <text>
        <t xml:space="preserve">======
ID#AAABjx7qNiU
    (2025-05-21 11:33:23)
ALICE:11/8-玉山銀行收到Dadasol匯入USD7021沖PI-20191101002 USD7021</t>
      </text>
    </comment>
    <comment authorId="0" ref="AJ308">
      <text>
        <t xml:space="preserve">======
ID#AAABjx7qNiI
    (2025-05-21 11:33:23)
ALICE:2019/05/02-水單匯入USD21462.5-(匯出手續費USD10+匯入手續費USD10.73)=USD21441.77*30.84=NT661264</t>
      </text>
    </comment>
    <comment authorId="0" ref="L574">
      <text>
        <t xml:space="preserve">======
ID#AAABjx7qNh0
0724 chloe    (2025-05-21 11:33:23)
貨到請通知Chloe及生管，需更換標籤
謝謝</t>
      </text>
    </comment>
    <comment authorId="0" ref="H255">
      <text>
        <t xml:space="preserve">======
ID#AAABjx7qNhI
    (2025-05-21 11:33:23)
alice:7/22水單匯入USD8500沖PI-20190227C</t>
      </text>
    </comment>
    <comment authorId="0" ref="L264">
      <text>
        <t xml:space="preserve">======
ID#AAABjx7qNg0
    (2025-05-21 11:33:23)
0819yvonne:由於捷毅delay，故交期延至8/30
0826:新漢通知提早0826送貨</t>
      </text>
    </comment>
    <comment authorId="0" ref="H258">
      <text>
        <t xml:space="preserve">======
ID#AAABjx7qNf0
    (2025-05-21 11:33:23)
alice:8/19-水單匯入USD8500，沖PI-20190227D</t>
      </text>
    </comment>
    <comment authorId="0" ref="M291">
      <text>
        <t xml:space="preserve">======
ID#AAABjx7qNfk
    (2025-05-21 11:33:23)
3/6 chloe 領出給Cathy</t>
      </text>
    </comment>
    <comment authorId="0" ref="E236">
      <text>
        <t xml:space="preserve">======
ID#AAABjx7qNfg
    (2025-05-21 11:33:23)
190226 w/o adapter</t>
      </text>
    </comment>
    <comment authorId="0" ref="H294">
      <text>
        <t xml:space="preserve">======
ID#AAABjx7qNfU
    (2025-05-21 11:33:23)
ALICE:5/27-銀行匯入NT69487</t>
      </text>
    </comment>
    <comment authorId="0" ref="H136">
      <text>
        <t xml:space="preserve">======
ID#AAABjx7qNfQ
    (2025-05-21 11:33:23)
ALICE:2019/05/02-水單匯入USD21462.5</t>
      </text>
    </comment>
    <comment authorId="0" ref="H222">
      <text>
        <t xml:space="preserve">======
ID#AAABjx7qNe8
    (2025-05-21 11:33:23)
0225 chloe:匯款匯入US$495*30.76=NT15226-手續費NT200=NT15,026</t>
      </text>
    </comment>
    <comment authorId="0" ref="H898">
      <text>
        <t xml:space="preserve">======
ID#AAABjx7qNec
    (2025-05-21 11:33:23)
ALICE:12/2-合庫匯入NT328647(內含手續費NT30元整)沖PI-20191001A USD10084.2+PI-20191112006 USD714元整</t>
      </text>
    </comment>
    <comment authorId="0" ref="H542">
      <text>
        <t xml:space="preserve">======
ID#AAABjx7qNeY
    (2025-05-21 11:33:23)
ALICE:7/26玉山銀行水單通知匯入USD9754沖PI-20190524B(2000+350).沖PI20190524B-1(3010).沖PI-20190703A(60+70).沖PI20190719B-1 228+1600 PI-20190719B-2 304  PI-20190719B-5 532. PI-20190719B-3 1600</t>
      </text>
    </comment>
    <comment authorId="0" ref="N209">
      <text>
        <t xml:space="preserve">======
ID#AAABjx7qNeI
    (2025-05-21 11:33:23)
0219 Cathy下單</t>
      </text>
    </comment>
    <comment authorId="0" ref="K70">
      <text>
        <t xml:space="preserve">======
ID#AAABjx7qNeA
    (2025-05-21 11:33:23)
190108 Tammy：先由MOXA出到IBASE，等IBASE測完後，IBASE寄回戎克，暨時跟著其他TPOLE的貨一起出，並請款
0129 chloe:貨在Chloe手上，待Tammy告知後續消退還是寄出
0221 Tammy: 重新訂購CP-132EL-I-DB9M</t>
      </text>
    </comment>
    <comment authorId="0" ref="H273">
      <text>
        <t xml:space="preserve">======
ID#AAABjx7qNd0
    (2025-05-21 11:33:23)
ALICE:11/22第一銀行收到匯入USD8500(內含銀行手續費USD6.57) PI-20190227G USD4250+PI-20190227H USD4250 總計USD8500</t>
      </text>
    </comment>
    <comment authorId="0" ref="H686">
      <text>
        <t xml:space="preserve">======
ID#AAABjx7qNdw
    (2025-05-21 11:33:23)
ALICE:10/22玉山銀行匯入USD6469沖PI-20190905A USD495.PI-20190905A-F USD45.PI-20190902A 5929合計總沖USD6469</t>
      </text>
    </comment>
    <comment authorId="0" ref="K566">
      <text>
        <t xml:space="preserve">======
ID#AAABjx7qNdk
    (2025-05-21 11:33:23)
190718 Tammy: 發票寄出前，請先提供確認，謝謝。</t>
      </text>
    </comment>
    <comment authorId="0" ref="K664">
      <text>
        <t xml:space="preserve">======
ID#AAABjx7qNdY
    (2025-05-21 11:33:23)
1028 cathy 告知客人交期要延到12月底 
0920 請客人確認moxa交期可否接受</t>
      </text>
    </comment>
    <comment authorId="0" ref="D596">
      <text>
        <t xml:space="preserve">======
ID#AAABjx7qNdU
    (2025-05-21 11:33:23)
20190604 Robin accept W/O AG、AR treatment this time</t>
      </text>
    </comment>
    <comment authorId="0" ref="H408">
      <text>
        <t xml:space="preserve">======
ID#AAABjx7qNdM
    (2025-05-21 11:33:23)
alice:6/20銀行水單匯入USD4462 沖PI20190107A.PI-20190318B.PI-20190508B.PI-20181022C-2-F</t>
      </text>
    </comment>
    <comment authorId="0" ref="L618">
      <text>
        <t xml:space="preserve">======
ID#AAABjx7qNcw
    (2025-05-21 11:33:23)
YVONNE0808:交給VIVIAN如庫等安裝</t>
      </text>
    </comment>
    <comment authorId="0" ref="H284">
      <text>
        <t xml:space="preserve">======
ID#AAABjx7qNcs
    (2025-05-21 11:33:23)
190303 客人應付貨款要扣掉NT$33313元 
3/22 chloe: 應付貨款145224- 33313
=111911(0322 已付)</t>
      </text>
    </comment>
    <comment authorId="0" ref="L580">
      <text>
        <t xml:space="preserve">======
ID#AAABjx7qNck
    (2025-05-21 11:33:23)
0722:Jesse送來戎克0723(沛勁寄到超恩)</t>
      </text>
    </comment>
    <comment authorId="0" ref="L707">
      <text>
        <t xml:space="preserve">======
ID#AAABjx7qNcY
    (2025-05-21 11:33:23)
0905YVONNE下單</t>
      </text>
    </comment>
    <comment authorId="0" ref="L558">
      <text>
        <t xml:space="preserve">======
ID#AAABjx7qNcA
    (2025-05-21 11:33:23)
0812yvonne:因颱風延誤至8/13</t>
      </text>
    </comment>
    <comment authorId="0" ref="H202">
      <text>
        <t xml:space="preserve">======
ID#AAABjx7qNb8
    (2025-05-21 11:33:23)
0327 chloe:匯款匯入US$21425-20(手續費)</t>
      </text>
    </comment>
    <comment authorId="0" ref="H909">
      <text>
        <t xml:space="preserve">======
ID#AAABjx7qNb0
    (2025-05-21 11:33:23)
Alice:11/14電文通知匯入USD1676 沖PI-20191114002 USD1676 待銀行水單沖帳</t>
      </text>
    </comment>
    <comment authorId="0" ref="D880">
      <text>
        <t xml:space="preserve">======
ID#AAABjx7qNb4
    (2025-05-21 11:33:23)
11/8 cathy: 請Chloe 請協助下單</t>
      </text>
    </comment>
    <comment authorId="0" ref="N390">
      <text>
        <t xml:space="preserve">======
ID#AAABjx7qNbQ
    (2025-05-21 11:33:23)
0502 Cathy 下單</t>
      </text>
    </comment>
    <comment authorId="0" ref="AJ444">
      <text>
        <t xml:space="preserve">======
ID#AAABjx7qNaU
    (2025-05-21 11:33:23)
ALICE:5/30水單匯入USD3743.66*31.57 (手續費USD6.34*31.57)</t>
      </text>
    </comment>
    <comment authorId="0" ref="H910">
      <text>
        <t xml:space="preserve">======
ID#AAABjx7qNaY
    (2025-05-21 11:33:23)
Alice:11/14電文通知匯入USD1676 沖PI-20191114002 USD1676 待銀行水單沖帳</t>
      </text>
    </comment>
    <comment authorId="0" ref="K205">
      <text>
        <t xml:space="preserve">======
ID#AAABjx7qNaM
    (2025-05-21 11:33:23)
0402 San 告知先放貨，貨款後追</t>
      </text>
    </comment>
    <comment authorId="0" ref="K770">
      <text>
        <t xml:space="preserve">======
ID#AAABjx7qNaI
    (2025-05-21 11:33:23)
1015YVONNE:隨貨寄目錄,並通知san</t>
      </text>
    </comment>
    <comment authorId="0" ref="K444">
      <text>
        <t xml:space="preserve">======
ID#AAABjx7qNaE
    (2025-05-21 11:33:23)
0530 San: 客戶已匯款. 下週三款項會到, 可先出</t>
      </text>
    </comment>
    <comment authorId="0" ref="K867">
      <text>
        <t xml:space="preserve">======
ID#AAABjx7qNaA
    (2025-05-21 11:33:23)
10/30 cathy:通知客人交期</t>
      </text>
    </comment>
    <comment authorId="0" ref="K765">
      <text>
        <t xml:space="preserve">======
ID#AAABjx7qNZ0
    (2025-05-21 11:33:23)
1015YVONNE:隨貨寄目錄,並通知san</t>
      </text>
    </comment>
    <comment authorId="0" ref="H904">
      <text>
        <t xml:space="preserve">======
ID#AAABjx7qNZs
    (2025-05-21 11:33:23)
Alice:11/14電文通知匯入USD1676 沖PI-20191114002 USD1676 待銀行水單沖帳</t>
      </text>
    </comment>
    <comment authorId="0" ref="H40">
      <text>
        <t xml:space="preserve">======
ID#AAABjx7qNZg
    (2025-05-21 11:33:23)
0225 chloe:匯款匯入5948-10(手續費)</t>
      </text>
    </comment>
    <comment authorId="0" ref="J490">
      <text>
        <t xml:space="preserve">======
ID#AAABjx7qNY8
    (2025-05-21 11:33:23)
客人自行安排取貨 
0527待客人確認</t>
      </text>
    </comment>
    <comment authorId="0" ref="L326">
      <text>
        <t xml:space="preserve">======
ID#AAABjx7qNYw
    (2025-05-21 11:33:23)
0313 Cathy: moxa提供發票</t>
      </text>
    </comment>
    <comment authorId="0" ref="S106">
      <text>
        <t xml:space="preserve">======
ID#AAABjx7qNYs
    (2025-05-21 11:33:23)
見BOM(含稅)</t>
      </text>
    </comment>
    <comment authorId="0" ref="E558">
      <text>
        <t xml:space="preserve">======
ID#AAABjx7qNYI
    (2025-05-21 11:33:23)
下單請用FPM2150GR3B1601E-T
出貨文件上秀:
FPM-2150G-R3BE
(FPM2150GRB1601E-T)</t>
      </text>
    </comment>
    <comment authorId="0" ref="L848">
      <text>
        <t xml:space="preserve">======
ID#AAABjx7qNYE
    (2025-05-21 11:33:23)
1028YVONNE:交期確認</t>
      </text>
    </comment>
    <comment authorId="0" ref="H357">
      <text>
        <t xml:space="preserve">======
ID#AAABjx7qNYA
    (2025-05-21 11:33:23)
ALICE:20190425收到銀行水單匯入通知USD1556*30.81=NT47940(無手續費)</t>
      </text>
    </comment>
    <comment authorId="0" ref="N323">
      <text>
        <t xml:space="preserve">======
ID#AAABjx7qNX4
    (2025-05-21 11:33:23)
0326 Cathy:下單</t>
      </text>
    </comment>
    <comment authorId="0" ref="E423">
      <text>
        <t xml:space="preserve">======
ID#AAABjx7qNXs
    (2025-05-21 11:33:23)
24"Panel PC &amp; VESA 裝入同一外箱</t>
      </text>
    </comment>
    <comment authorId="0" ref="H356">
      <text>
        <t xml:space="preserve">======
ID#AAABjx7qNXU
    (2025-05-21 11:33:23)
ALICE:20190425收到銀行水單匯入通知USD1556*30.81=NT47940(無手續費)</t>
      </text>
    </comment>
    <comment authorId="0" ref="F522">
      <text>
        <t xml:space="preserve">======
ID#AAABjx7qNXY
    (2025-05-21 11:33:23)
8/20 cathy: 客人revise 客供數量</t>
      </text>
    </comment>
    <comment authorId="0" ref="J2">
      <text>
        <t xml:space="preserve">======
ID#AAABjx7qNXI
    (2025-05-21 11:33:23)
1112 chloe:4U機箱案子使用</t>
      </text>
    </comment>
    <comment authorId="0" ref="S67">
      <text>
        <t xml:space="preserve">======
ID#AAABjx7qNWo
    (2025-05-21 11:33:23)
1/11及1/29 各轉一次
待凌飛退回
0227凌飛已退</t>
      </text>
    </comment>
    <comment authorId="0" ref="K214">
      <text>
        <t xml:space="preserve">======
ID#AAABjx7qNWg
    (2025-05-21 11:33:23)
0401 santi 告知改4/8出貨</t>
      </text>
    </comment>
    <comment authorId="0" ref="H381">
      <text>
        <t xml:space="preserve">======
ID#AAABjx7qNWc
    (2025-05-21 11:33:23)
ALICE:5/6-銀行電文通知USD12495.8(沖PI-20190422C.PI-20190424A)</t>
      </text>
    </comment>
    <comment authorId="0" ref="N223">
      <text>
        <t xml:space="preserve">======
ID#AAABjx7qNWY
    (2025-05-21 11:33:23)
0220 Cathy 下單</t>
      </text>
    </comment>
    <comment authorId="0" ref="H633">
      <text>
        <t xml:space="preserve">======
ID#AAABjx7qNWI
    (2025-05-21 11:33:23)
ALICE:8/2-水單匯入USD1529.4沖PI-20190801B USD1529.4</t>
      </text>
    </comment>
    <comment authorId="0" ref="K217">
      <text>
        <t xml:space="preserve">======
ID#AAABjx7qNWE
    (2025-05-21 11:33:23)
0401 santi 告知改4/8出貨</t>
      </text>
    </comment>
    <comment authorId="0" ref="H908">
      <text>
        <t xml:space="preserve">======
ID#AAABjx7qNV4
    (2025-05-21 11:33:23)
ALICE:1/30一銀收到KH匯入USD2352(內含手續費USD26.62)沖PI-20191115001 USD709+PI-20191115002 USD75+PI-20191120002 USD150+PI-20191123002 USD870+PI-20191224001 USD411+PI-20191216001 USD137)</t>
      </text>
    </comment>
    <comment authorId="0" ref="H442">
      <text>
        <t xml:space="preserve">======
ID#AAABjx7qNVc
    (2025-05-21 11:33:23)
ALICE:6/27水單匯入USD8652.87沖PI20190515C 1394.5.PI-20190625C 46.37.PI-20190508C 6408.PI-20190619B 804共四張PI合計8652.87</t>
      </text>
    </comment>
    <comment authorId="0" ref="H263">
      <text>
        <t xml:space="preserve">======
ID#AAABjx7qNVI
    (2025-05-21 11:33:23)
9/16-玉水水單USD4250沖PI-20190227E USD4250</t>
      </text>
    </comment>
    <comment authorId="0" ref="AI444">
      <text>
        <t xml:space="preserve">======
ID#AAABjx7qNVA
    (2025-05-21 11:33:23)
ALICE:5/30水單匯入USD3743.66*31.57 (手續費USD6.34*31.57)</t>
      </text>
    </comment>
    <comment authorId="0" ref="E462">
      <text>
        <t xml:space="preserve">======
ID#AAABjx7qNU0
    (2025-05-21 11:33:23)
在此輸入
20190603 San: RTPC150-H0006U (標準品)+AR coating,→供應商料號:
RTPC150-H0006U
20190828 Cathy: notice client LCD*2PCS defect -&gt; accept</t>
      </text>
    </comment>
    <comment authorId="0" ref="H73">
      <text>
        <t xml:space="preserve">======
ID#AAABjx7qNUw
    (2025-05-21 11:33:23)
0305 chloe:匯款匯入US8750</t>
      </text>
    </comment>
    <comment authorId="0" ref="K279">
      <text>
        <t xml:space="preserve">======
ID#AAABjx7qNUg
    (2025-05-21 11:33:23)
0401 santi 告知改4/8出貨</t>
      </text>
    </comment>
    <comment authorId="0" ref="K95">
      <text>
        <t xml:space="preserve">======
ID#AAABjx7qNUE
    (2025-05-21 11:33:23)
0212 San: 用DHL箱子把2個貨箱放成一個箱子</t>
      </text>
    </comment>
    <comment authorId="0" ref="H248">
      <text>
        <t xml:space="preserve">======
ID#AAABjx7qNT0
    (2025-05-21 11:33:23)
ALICE:2019/05/20-收到玉山銀行電文通知USD12750元整</t>
      </text>
    </comment>
    <comment authorId="0" ref="H482">
      <text>
        <t xml:space="preserve">======
ID#AAABjx7qNTg
    (2025-05-21 11:33:23)
ALICE:8/27玉山銀行匯入USD9443沖PI-20190604A.PI-20190628A.PI-20190604A-F合計共USD9443元整</t>
      </text>
    </comment>
    <comment authorId="0" ref="H139">
      <text>
        <t xml:space="preserve">======
ID#AAABjx7qNTk
    (2025-05-21 11:33:23)
alice:2019/04/25水單通知匯入USD1931*30.86=NT59591元整  無手續費 沖(125+1400+14+42+350)</t>
      </text>
    </comment>
    <comment authorId="0" ref="H811">
      <text>
        <t xml:space="preserve">======
ID#AAABjx7qNTA
    (2025-05-21 11:33:23)
ALICE:10/14匯入USD557-手續費USD17.53=USD539.47沖PI-20191008002 USD557元整</t>
      </text>
    </comment>
    <comment authorId="0" ref="L507">
      <text>
        <t xml:space="preserve">======
ID#AAABjx7qNSg
0617 chloe    (2025-05-21 11:33:23)
貨到請交由chloe
0708 chloe:已交由生管</t>
      </text>
    </comment>
    <comment authorId="0" ref="Q519">
      <text>
        <t xml:space="preserve">======
ID#AAABjx7qNSk
    (2025-05-21 11:33:23)
0621
chloe:客供料，無成本價</t>
      </text>
    </comment>
    <comment authorId="0" ref="K92">
      <text>
        <t xml:space="preserve">======
ID#AAABjx7qNSE
    (2025-05-21 11:33:23)
0212 San: 用DHL箱子把2個貨箱放成一個箱子</t>
      </text>
    </comment>
    <comment authorId="0" ref="E753">
      <text>
        <t xml:space="preserve">======
ID#AAABjx7qNRU
    (2025-05-21 11:33:23)
EU Adaper</t>
      </text>
    </comment>
    <comment authorId="0" ref="J468">
      <text>
        <t xml:space="preserve">======
ID#AAABjx7qNRM
    (2025-05-21 11:33:23)
DHL Account Number : 956287207 for Freight ( AVIHS Technologies )</t>
      </text>
    </comment>
    <comment authorId="0" ref="H816">
      <text>
        <t xml:space="preserve">======
ID#AAABjx7qNRQ
    (2025-05-21 11:33:23)
ALICE:10/15玉山銀行收到匯入款USD2440(手續費USD)26.53沖PI-20191007012總計USD2440元整</t>
      </text>
    </comment>
    <comment authorId="0" ref="L608">
      <text>
        <t xml:space="preserve">======
ID#AAABjx7qNRI
    (2025-05-21 11:33:23)
0722 客人告知急，但也同時告知款項要先來</t>
      </text>
    </comment>
    <comment authorId="0" ref="H327">
      <text>
        <t xml:space="preserve">======
ID#AAABjx7qNQg
    (2025-05-21 11:33:23)
alice:2019/05/17水單通知USD19768沖3/4A $1995.3/4A-1$4152.3/4A-1-F $232.3/8B-F $57.12/21A-2-F $144.3/4A-1 $189.10/22C-2 $10227.12/21A-1 $2772.如上總計共USD19768</t>
      </text>
    </comment>
    <comment authorId="0" ref="K675">
      <text>
        <t xml:space="preserve">======
ID#AAABjx7qNQk
    (2025-05-21 11:33:23)
1105 Cathy: 已有通知Armi客人可以吸收</t>
      </text>
    </comment>
    <comment authorId="0" ref="G565">
      <text>
        <t xml:space="preserve">======
ID#AAABjx7qNQQ
    (2025-05-21 11:33:23)
190718 Tammy: w/5%</t>
      </text>
    </comment>
    <comment authorId="0" ref="D886">
      <text>
        <t xml:space="preserve">======
ID#AAABjx7qNQI
    (2025-05-21 11:33:23)
11/8 cathy: 請Chloe 請協助下單</t>
      </text>
    </comment>
    <comment authorId="0" ref="J563">
      <text>
        <t xml:space="preserve">======
ID#AAABjx7qNP0
    (2025-05-21 11:33:23)
190717 Tammy: 收到貨款後, 才出貨</t>
      </text>
    </comment>
    <comment authorId="0" ref="H13">
      <text>
        <t xml:space="preserve">======
ID#AAABjx7qNPw
    (2025-05-21 11:33:23)
ALICE:2019/05/02-水單匯入USD21462.5</t>
      </text>
    </comment>
    <comment authorId="0" ref="Q584">
      <text>
        <t xml:space="preserve">======
ID#AAABjx7qNPg
    (2025-05-21 11:33:23)
客供料，無成本</t>
      </text>
    </comment>
    <comment authorId="0" ref="G568">
      <text>
        <t xml:space="preserve">======
ID#AAABjx7qNPY
    (2025-05-21 11:33:23)
190718 Tammy: w/5%</t>
      </text>
    </comment>
    <comment authorId="0" ref="H75">
      <text>
        <t xml:space="preserve">======
ID#AAABjx7qNPM
    (2025-05-21 11:33:23)
alice:6/20銀行水單匯入USD4462 沖PI20190107A.PI-20190318B.PI-20190508B.PI-20181022C-2-F</t>
      </text>
    </comment>
    <comment authorId="0" ref="N307">
      <text>
        <t xml:space="preserve">======
ID#AAABjx7qNPQ
    (2025-05-21 11:33:23)
0315 Cathy 下單</t>
      </text>
    </comment>
    <comment authorId="0" ref="N1">
      <text>
        <t xml:space="preserve">======
ID#AAABjx7qNOU
0510 chloe    (2025-05-21 11:33:23)
戎克倉庫領出，需填寫單號(填寫PI單號)</t>
      </text>
    </comment>
    <comment authorId="0" ref="K46">
      <text>
        <t xml:space="preserve">======
ID#AAABjx7qNOI
    (2025-05-21 11:33:23)
Vecow 年底前交貨, 收到超恩貨+2-3 days出貨Ti2</t>
      </text>
    </comment>
    <comment authorId="0" ref="D909">
      <text>
        <t xml:space="preserve">======
ID#AAABjx7qNNo
    (2025-05-21 11:33:23)
CATHY: 20191119 客人新增項目 
11/19 請chloe 下單</t>
      </text>
    </comment>
    <comment authorId="0" ref="H739">
      <text>
        <t xml:space="preserve">======
ID#AAABjx7qNM0
    (2025-05-21 11:33:23)
20190918 SAN同意讓客人於下次下單給款</t>
      </text>
    </comment>
    <comment authorId="0" ref="H951">
      <text>
        <t xml:space="preserve">======
ID#AAABjx7qNMo
    (2025-05-21 11:33:23)
ALICE:2/24一銀收到USD12104沖PI-20191127001 USD6784+PI-20191104001 USD2014+PI-20191213001 USD3306</t>
      </text>
    </comment>
    <comment authorId="0" ref="D911">
      <text>
        <t xml:space="preserve">======
ID#AAABjx7qNMY
    (2025-05-21 11:33:23)
CATHY: 20191119 客人新增項目 
11/19 請chloe 下單</t>
      </text>
    </comment>
    <comment authorId="0" ref="D636">
      <text>
        <t xml:space="preserve">======
ID#AAABjx7qNMU
    (2025-05-21 11:33:23)
8/1請chole 提供庫存給yvonne寄出</t>
      </text>
    </comment>
    <comment authorId="0" ref="P724">
      <text>
        <t xml:space="preserve">======
ID#AAABjx7qNMM
    (2025-05-21 11:33:23)
0911 chloe :使用以色列專案價</t>
      </text>
    </comment>
    <comment authorId="0" ref="N105">
      <text>
        <t xml:space="preserve">======
ID#AAABjx7qNL8
    (2025-05-21 11:33:23)
0119已簽回wago報價單(下單)</t>
      </text>
    </comment>
    <comment authorId="0" ref="AI207">
      <text>
        <t xml:space="preserve">======
ID#AAABjx7qNLw
    (2025-05-21 11:33:23)
Alice:2019/05/08水單匯入USD12400-匯款手續費(10+6.47)*30.9=NT382,651</t>
      </text>
    </comment>
    <comment authorId="0" ref="L662">
      <text>
        <t xml:space="preserve">======
ID#AAABjx7qNLY
    (2025-05-21 11:33:23)
chloe: 1107 Pull in 12/27 那週交貨→廠商尚未回覆</t>
      </text>
    </comment>
    <comment authorId="0" ref="L442">
      <text>
        <t xml:space="preserve">======
ID#AAABjx7qNLQ
    (2025-05-21 11:33:23)
5/16 Amy
1. need COC (自我認證產證with shipment)
2. invoice &amp; P/L with PO#19000180
3. invoice &amp; P/L together with shipment</t>
      </text>
    </comment>
    <comment authorId="0" ref="H810">
      <text>
        <t xml:space="preserve">======
ID#AAABjx7qNLI
    (2025-05-21 11:33:23)
ALICE:10/24玉山水單匯入USD13256沖PI-20191007010 USD13256</t>
      </text>
    </comment>
    <comment authorId="0" ref="E353">
      <text>
        <t xml:space="preserve">======
ID#AAABjx7qNLM
    (2025-05-21 11:33:23)
0313 chloe: 戎克備有庫存，見半成品庫存表</t>
      </text>
    </comment>
    <comment authorId="0" ref="D635">
      <text>
        <t xml:space="preserve">======
ID#AAABjx7qNLA
    (2025-05-21 11:33:23)
0730 CATHY 通知客人待款項來才會幫下單</t>
      </text>
    </comment>
    <comment authorId="0" ref="H643">
      <text>
        <t xml:space="preserve">======
ID#AAABjx7qNKw
    (2025-05-21 11:33:23)
ALICE:9/10玉山水單匯入USD5607元，沖PI-20190813A USD5147.沖PI-20190813A-1 460，合計總沖USD5607元整</t>
      </text>
    </comment>
    <comment authorId="0" ref="D885">
      <text>
        <t xml:space="preserve">======
ID#AAABjx7qNK0
    (2025-05-21 11:33:23)
11/8 cathy: 請Chloe 請協助下單</t>
      </text>
    </comment>
    <comment authorId="0" ref="K240">
      <text>
        <t xml:space="preserve">======
ID#AAABjx7qNKU
    (2025-05-21 11:33:23)
0226 Cathy: 詢問alan 出雪梨
0121 Sant: 出貨前拍照</t>
      </text>
    </comment>
    <comment authorId="0" ref="H647">
      <text>
        <t xml:space="preserve">======
ID#AAABjx7qNKI
    (2025-05-21 11:33:23)
ALICE:8/22玉山銀行匯入NT1,596,000+NT1,978=NT1,597,978元整，沖PI-20190717C NT1,586,124 ，沖PI-20190813C NT11,854</t>
      </text>
    </comment>
    <comment authorId="0" ref="I596">
      <text>
        <t xml:space="preserve">======
ID#AAABjx7qNJY
    (2025-05-21 11:33:23)
Cathy/Santiago</t>
      </text>
    </comment>
    <comment authorId="0" ref="H476">
      <text>
        <t xml:space="preserve">======
ID#AAABjx7qNJQ
    (2025-05-21 11:33:23)
ALICE:7/19-電文匯入USD16000元整，沖PI-20190603A USD10450+236+2308+3006(4850中的)</t>
      </text>
    </comment>
    <comment authorId="0" ref="H179">
      <text>
        <t xml:space="preserve">======
ID#AAABjx7qNJM
    (2025-05-21 11:33:23)
0327 chloe:匯款匯入US4578-6.51(手續費)</t>
      </text>
    </comment>
    <comment authorId="0" ref="N535">
      <text>
        <t xml:space="preserve">======
ID#AAABjx7qNJE
    (2025-05-21 11:33:23)
0701 告知下單，急單處理</t>
      </text>
    </comment>
    <comment authorId="0" ref="H251">
      <text>
        <t xml:space="preserve">======
ID#AAABjx7qNJA
    (2025-05-21 11:33:23)
ALICE:6/17水單匯入USD16108 沖PI-20190227B 8500，沖PI-20190409A 7608</t>
      </text>
    </comment>
    <comment authorId="0" ref="K573">
      <text>
        <t xml:space="preserve">======
ID#AAABjx7qNIo
    (2025-05-21 11:33:23)
190718 Tammy: 發票寄出前，請先提供確認，謝謝。</t>
      </text>
    </comment>
    <comment authorId="0" ref="Q70">
      <text>
        <t xml:space="preserve">======
ID#AAABjx7qNIk
    (2025-05-21 11:33:23)
先匯出US$58.8</t>
      </text>
    </comment>
    <comment authorId="0" ref="H620">
      <text>
        <t xml:space="preserve">======
ID#AAABjx7qNIQ
    (2025-05-21 11:33:23)
ALICE:9/26玉山水單匯入USD16657沖PI-20190704A USD655.沖PI-20190704A-F USD96.沖PI20190717E USD11479.沖PI-20190726B USD4245.沖PI-20190726B-F 182總沖16657</t>
      </text>
    </comment>
    <comment authorId="0" ref="L597">
      <text>
        <t xml:space="preserve">======
ID#AAABjx7qNIA
    (2025-05-21 11:33:23)
0724 chloe:貨到請通知Chloe
(準備送曦立貼合)
0927 chloe: 確定 10/9，PULL IN 中</t>
      </text>
    </comment>
    <comment authorId="0" ref="E641">
      <text>
        <t xml:space="preserve">======
ID#AAABjx7qNHw
    (2025-05-21 11:33:23)
0802 chloe: EU Adaper</t>
      </text>
    </comment>
    <comment authorId="0" ref="H264">
      <text>
        <t xml:space="preserve">======
ID#AAABjx7qNHk
    (2025-05-21 11:33:23)
9/16-玉水水單USD4250沖PI-20190227E USD4250</t>
      </text>
    </comment>
    <comment authorId="0" ref="N570">
      <text>
        <t xml:space="preserve">======
ID#AAABjx7qNG4
    (2025-05-21 11:33:23)
取消PO-20190717C，分批下單
用下採購單日期當作虛擬PI</t>
      </text>
    </comment>
    <comment authorId="0" ref="N248">
      <text>
        <t xml:space="preserve">======
ID#AAABjx7qNGY
    (2025-05-21 11:33:23)
0304 Cathy 下單</t>
      </text>
    </comment>
    <comment authorId="0" ref="N434">
      <text>
        <t xml:space="preserve">======
ID#AAABjx7qNGE
    (2025-05-21 11:33:23)
0514 Cathy 下單</t>
      </text>
    </comment>
    <comment authorId="0" ref="H152">
      <text>
        <t xml:space="preserve">======
ID#AAABjx7qNF8
    (2025-05-21 11:33:23)
0327 chloe:匯款匯入US$4165-20(手續費)</t>
      </text>
    </comment>
    <comment authorId="0" ref="L54">
      <text>
        <t xml:space="preserve">======
ID#AAABjx7qNFs
    (2025-05-21 11:33:23)
0218 Cathy: 廠商bruce告知交期延後2/25進
0122 Cathy:廠商變更交期(全球缺料)暫押3/5  
0114 Cathy:Bruce告知CPU交期導致交期可能後延
20181226 寄出6PCS DDR4 給超恩</t>
      </text>
    </comment>
    <comment authorId="0" ref="H375">
      <text>
        <t xml:space="preserve">======
ID#AAABjx7qNFo
    (2025-05-21 11:33:23)
Alice:6/17-水單匯入USD10046沖PI-201904096B.PI-20190418A.PI-20190422A.PI-20190307A</t>
      </text>
    </comment>
    <comment authorId="0" ref="E237">
      <text>
        <t xml:space="preserve">======
ID#AAABjx7qNFY
    (2025-05-21 11:33:23)
190226 w/o adapter</t>
      </text>
    </comment>
    <comment authorId="0" ref="L850">
      <text>
        <t xml:space="preserve">======
ID#AAABjx7qNE8
    (2025-05-21 11:33:23)
1028YVONNE:交期確認</t>
      </text>
    </comment>
    <comment authorId="0" ref="P723">
      <text>
        <t xml:space="preserve">======
ID#AAABjx7qNEw
    (2025-05-21 11:33:23)
0911 chloe :使用以色列專案價</t>
      </text>
    </comment>
    <comment authorId="0" ref="H450">
      <text>
        <t xml:space="preserve">======
ID#AAABjx7qNEc
    (2025-05-21 11:33:23)
Alice:7/8匯入NT170334 
Alice:8/6匯入NT186707
Alice:8/6匯入NT32231
總計389272+匯款手續費30=389302沖PI-20190523A 202565.沖PI20190702A 186737元整</t>
      </text>
    </comment>
    <comment authorId="0" ref="K635">
      <text>
        <t xml:space="preserve">======
ID#AAABjx7qNDw
    (2025-05-21 11:33:23)
0830 Cathy: Tejinder 告知9/2那週會匯款
0903 Cathy: Chloe告知目前先將進貨日改為9/20，待收到款項在pull in MOXA 
0924:CHLOE同意出200PCS</t>
      </text>
    </comment>
    <comment authorId="0" ref="H236">
      <text>
        <t xml:space="preserve">======
ID#AAABjx7qNDk
    (2025-05-21 11:33:23)
0225 chloe:客戶水單2/25，待我司銀行通知入帳
0226 chloe:匯款匯入6471-11(匯款手續費)</t>
      </text>
    </comment>
    <comment authorId="0" ref="H123">
      <text>
        <t xml:space="preserve">======
ID#AAABjx7qNDM
    (2025-05-21 11:33:23)
ALICE:201904/10水單匯入USD11416*30.78
沖(229+2394+326+34+5274+3066+103)=11426</t>
      </text>
    </comment>
    <comment authorId="0" ref="D822">
      <text>
        <t xml:space="preserve">======
ID#AAABjx7qNCc
    (2025-05-21 11:33:23)
10/15 CATHY: 請YVONNE下單</t>
      </text>
    </comment>
    <comment authorId="0" ref="H326">
      <text>
        <t xml:space="preserve">======
ID#AAABjx7qNBw
    (2025-05-21 11:33:23)
0403 chloe:匯款匯入247,928</t>
      </text>
    </comment>
    <comment authorId="0" ref="K818">
      <text>
        <t xml:space="preserve">======
ID#AAABjx7qNB0
    (2025-05-21 11:33:23)
Chloe 1106: MOXA回覆交期，有可能會延遲兩天</t>
      </text>
    </comment>
    <comment authorId="0" ref="H465">
      <text>
        <t xml:space="preserve">======
ID#AAABjx7qNBo
    (2025-05-21 11:33:23)
ALICE:8/30-玉山銀行水單通知USD3464沖PI20190524B-2 USD3010.沖PI-20190524B-F USD454合計共USD3464元整</t>
      </text>
    </comment>
    <comment authorId="0" ref="E233">
      <text>
        <t xml:space="preserve">======
ID#AAABjx7qNBc
    (2025-05-21 11:33:23)
190225 Karen: w/EU adapter</t>
      </text>
    </comment>
    <comment authorId="0" ref="H118">
      <text>
        <t xml:space="preserve">======
ID#AAABjx7qNBY
    (2025-05-21 11:33:23)
ALICE:5/3收到USD12965.5(沖PI-20190121B.PI20190217A.PI-20190131C.PI-20190313A.PI-20190306A)</t>
      </text>
    </comment>
    <comment authorId="0" ref="H953">
      <text>
        <t xml:space="preserve">======
ID#AAABjx7qNBQ
    (2025-05-21 11:33:23)
ALICE:2/24一銀收到USD12104沖PI-20191127001 USD6784+PI-20191104001 USD2014+PI-20191213001 USD3306</t>
      </text>
    </comment>
    <comment authorId="0" ref="H559">
      <text>
        <t xml:space="preserve">======
ID#AAABjx7qNBI
    (2025-05-21 11:33:23)
ALICE:9/25玉山水單USD652沖PI-20190805A USD652元整</t>
      </text>
    </comment>
    <comment authorId="0" ref="H79">
      <text>
        <t xml:space="preserve">======
ID#AAABjx7qNA0
    (2025-05-21 11:33:23)
alice:6/20銀行水單匯入USD4462 沖PI20190107A.PI-20190318B.PI-20190508B.PI-20181022C-2-F</t>
      </text>
    </comment>
    <comment authorId="0" ref="E332">
      <text>
        <t xml:space="preserve">======
ID#AAABjx7qNAs
    (2025-05-21 11:33:23)
7/23Amy: Santiago agree to reduce 50% price if the goods not approved by end customer ( issue credit note: 20190627)</t>
      </text>
    </comment>
    <comment authorId="0" ref="M48">
      <text>
        <t xml:space="preserve">======
ID#AAABjx7qNAg
    (2025-05-21 11:33:23)
1216 chloe :下單18 PCS(專案價)+2 PCS (戎克庫存)</t>
      </text>
    </comment>
    <comment authorId="0" ref="N70">
      <text>
        <t xml:space="preserve">======
ID#AAABjx7qNAE
    (2025-05-21 11:33:23)
190215 還未重下單給MOXA
190221 重下單</t>
      </text>
    </comment>
    <comment authorId="0" ref="H328">
      <text>
        <t xml:space="preserve">======
ID#AAABjx7qM_8
    (2025-05-21 11:33:23)
alice:2019/05/17水單通知USD19768沖3/4A $1995.3/4A-1$4152.3/4A-1-F $232.3/8B-F $57.12/21A-2-F $144.3/4A-1 $189.10/22C-2 $10227.12/21A-1 $2772.如上總計共USD19768</t>
      </text>
    </comment>
    <comment authorId="0" ref="S519">
      <text>
        <t xml:space="preserve">======
ID#AAABjx7qM_w
    (2025-05-21 11:33:23)
0621
chloe:客供料，無成本價</t>
      </text>
    </comment>
    <comment authorId="0" ref="K278">
      <text>
        <t xml:space="preserve">======
ID#AAABjx7qM_c
    (2025-05-21 11:33:23)
0401 santi 告知改4/8出貨</t>
      </text>
    </comment>
    <comment authorId="0" ref="H125">
      <text>
        <t xml:space="preserve">======
ID#AAABjx7qM_Q
    (2025-05-21 11:33:23)
0215 Mary:匯款匯入US$21,605+6,990</t>
      </text>
    </comment>
    <comment authorId="0" ref="H847">
      <text>
        <t xml:space="preserve">======
ID#AAABjx7qM_I
    (2025-05-21 11:33:23)
ALICE:11/28一銀通知客戶匯入USD6665沖PI-20191023001 USD660+PI-20191024001 USD6005合計共USD6665元整</t>
      </text>
    </comment>
    <comment authorId="0" ref="D598">
      <text>
        <t xml:space="preserve">======
ID#AAABjx7qM-4
    (2025-05-21 11:33:23)
20190604 Robin accept W/O AG、AR treatment this time</t>
      </text>
    </comment>
    <comment authorId="0" ref="H69">
      <text>
        <t xml:space="preserve">======
ID#AAABjx7qM_A
    (2025-05-21 11:33:23)
0117 chloe:匯款匯入US$1,866.00</t>
      </text>
    </comment>
    <comment authorId="0" ref="K567">
      <text>
        <t xml:space="preserve">======
ID#AAABjx7qM-w
    (2025-05-21 11:33:23)
190718 Tammy: 發票寄出前，請先提供確認，謝謝。</t>
      </text>
    </comment>
    <comment authorId="0" ref="V19">
      <text>
        <t xml:space="preserve">======
ID#AAABjx7qM-s
    (2025-05-21 11:33:23)
廣積3月開立折讓單</t>
      </text>
    </comment>
    <comment authorId="0" ref="H324">
      <text>
        <t xml:space="preserve">======
ID#AAABjx7qM-g
    (2025-05-21 11:33:23)
alice:5/10-水單通知usd3751-匯出手續費20-匯入手續費6.46=USD3724.54*30.94=NT115,237元整
沖20190320B USD1270
沖20190322A USD2481
合計總沖USD3751元整</t>
      </text>
    </comment>
    <comment authorId="0" ref="H340">
      <text>
        <t xml:space="preserve">======
ID#AAABjx7qM-U
    (2025-05-21 11:33:23)
ALICE:2019/04/08-水單匯入USB1543-手續費USD11=USD1532</t>
      </text>
    </comment>
    <comment authorId="0" ref="K741">
      <text>
        <t xml:space="preserve">======
ID#AAABjx7qM-Q
    (2025-05-21 11:33:23)
1003:PGS告知客戶走周末班機，因此安排10/4收貨。</t>
      </text>
    </comment>
    <comment authorId="0" ref="E632">
      <text>
        <t xml:space="preserve">======
ID#AAABjx7qM9w
    (2025-05-21 11:33:23)
0802 chloe: EU Adaper</t>
      </text>
    </comment>
    <comment authorId="0" ref="E461">
      <text>
        <t xml:space="preserve">======
ID#AAABjx7qM9o
    (2025-05-21 11:33:23)
供應商NRE費用
NRE to develop AR coating fixture + Customized 1 black color cover lens</t>
      </text>
    </comment>
    <comment authorId="0" ref="K799">
      <text>
        <t xml:space="preserve">======
ID#AAABjx7qM9g
    (2025-05-21 11:33:23)
10/30 cathy:通知客人交期</t>
      </text>
    </comment>
    <comment authorId="0" ref="H92">
      <text>
        <t xml:space="preserve">======
ID#AAABjx7qM9U
    (2025-05-21 11:33:23)
0227 chloe:匯款匯入US4578</t>
      </text>
    </comment>
    <comment authorId="0" ref="R660">
      <text>
        <t xml:space="preserve">======
ID#AAABjx7qM9Y
    (2025-05-21 11:33:23)
0604 chloe:參考庫存表0522平均庫存成本</t>
      </text>
    </comment>
    <comment authorId="0" ref="L519">
      <text>
        <t xml:space="preserve">======
ID#AAABjx7qM9M
    (2025-05-21 11:33:23)
0621  chloe:已通知Shipping留意客供料進口時間
0621 chloe:收到入關通知 100 PCS</t>
      </text>
    </comment>
    <comment authorId="0" ref="I840">
      <text>
        <t xml:space="preserve">======
ID#AAABjx7qM9E
    (2025-05-21 11:33:23)
Cathy/Santiago</t>
      </text>
    </comment>
    <comment authorId="0" ref="D884">
      <text>
        <t xml:space="preserve">======
ID#AAABjx7qM8s
    (2025-05-21 11:33:23)
11/8 cathy: 請Chloe 請協助下單</t>
      </text>
    </comment>
    <comment authorId="0" ref="H865">
      <text>
        <t xml:space="preserve">======
ID#AAABjx7qM8g
    (2025-05-21 11:33:23)
ALICE:12/10-亞郁匯入NT86152沖PI-20191016001.PI-20191017001.PI-20191030002.PI-20191112005 USD270.9</t>
      </text>
    </comment>
    <comment authorId="0" ref="N100">
      <text>
        <t xml:space="preserve">======
ID#AAABjx7qM8M
    (2025-05-21 11:33:23)
0118下單</t>
      </text>
    </comment>
    <comment authorId="0" ref="H351">
      <text>
        <t xml:space="preserve">======
ID#AAABjx7qM78
    (2025-05-21 11:33:23)
Alice:6/17-水單匯入USD10046沖PI-201904096B.PI-20190418A.PI-20190422A.PI-20190307A</t>
      </text>
    </comment>
    <comment authorId="0" ref="J854">
      <text>
        <t xml:space="preserve">======
ID#AAABjx7qM7w
    (2025-05-21 11:33:23)
191027 UPS服務要和客人確認</t>
      </text>
    </comment>
    <comment authorId="0" ref="K846">
      <text>
        <t xml:space="preserve">======
ID#AAABjx7qM7o
    (2025-05-21 11:33:23)
10/28 cathy: 通知客人交期pending 
10/15 cathy: 10/22 需update 交期給客人</t>
      </text>
    </comment>
    <comment authorId="0" ref="J479">
      <text>
        <t xml:space="preserve">======
ID#AAABjx7qM7c
SHIPPING  AS BELOW    (2025-05-21 11:33:23)
103A Mary Street, Richmond, VIC, 3121, Australia
Contact: Jim MacDouall
Phone: +61 417 714 528</t>
      </text>
    </comment>
    <comment authorId="0" ref="N378">
      <text>
        <t xml:space="preserve">======
ID#AAABjx7qM64
    (2025-05-21 11:33:23)
0422 Cathy 下單</t>
      </text>
    </comment>
    <comment authorId="0" ref="E52">
      <text>
        <t xml:space="preserve">======
ID#AAABjx7qM6g
20181218 Santiago    (2025-05-21 11:33:23)
-&gt; 待客戶將 7' LCD (AA070ME01)寄來後， 寄曦立光電做貼合</t>
      </text>
    </comment>
    <comment authorId="0" ref="H920">
      <text>
        <t xml:space="preserve">======
ID#AAABjx7qM6Y
    (2025-05-21 11:33:23)
ALICE:2020/01/07合庫NT匯入NT37761沖PI-20191125001 NT16007+PI-20191001A NT21784(147153) 故PI-20191001A尚餘NT125369未收</t>
      </text>
    </comment>
    <comment authorId="0" ref="H769">
      <text>
        <t xml:space="preserve">======
ID#AAABjx7qM6U
    (2025-05-21 11:33:23)
ALICE:11/20一銀匯入USD5837沖PI-20190930A USD3945+PI-20191003A USD137+PI-20191005A USD1755</t>
      </text>
    </comment>
    <comment authorId="0" ref="J734">
      <text>
        <t xml:space="preserve">======
ID#AAABjx7qM6M
    (2025-05-21 11:33:23)
190919 但未知FEDEX服務，出貨前再確認
191008 Economy service</t>
      </text>
    </comment>
    <comment authorId="0" ref="H662">
      <text>
        <t xml:space="preserve">======
ID#AAABjx7qM6I
    (2025-05-21 11:33:23)
ALICE:9/27玉山銀行匯入USD3962元整，沖PI-2190820A 應收USD3962實收3922差額USD40元(手續費)</t>
      </text>
    </comment>
    <comment authorId="0" ref="H231">
      <text>
        <t xml:space="preserve">======
ID#AAABjx7qM58
    (2025-05-21 11:33:23)
ALICE:2019/04/12水單USD11670*30.81(3035+135+5420+2730+310+40)</t>
      </text>
    </comment>
    <comment authorId="0" ref="N384">
      <text>
        <t xml:space="preserve">======
ID#AAABjx7qM54
    (2025-05-21 11:33:23)
0424 Cathy下單</t>
      </text>
    </comment>
    <comment authorId="0" ref="H741">
      <text>
        <t xml:space="preserve">======
ID#AAABjx7qM5s
    (2025-05-21 11:33:23)
ALICE:11/8-玉山銀行收款USD5775沖PI-20190917A 5775元整</t>
      </text>
    </comment>
    <comment authorId="0" ref="K801">
      <text>
        <t xml:space="preserve">======
ID#AAABjx7qM5U
    (2025-05-21 11:33:23)
1015YVONNE:隨貨寄目錄,並通知san</t>
      </text>
    </comment>
    <comment authorId="0" ref="L536">
      <text>
        <t xml:space="preserve">======
ID#AAABjx7qM5I
    (2025-05-21 11:33:23)
0703 chloe: 原7/23 出貨，修正交期7/11</t>
      </text>
    </comment>
    <comment authorId="0" ref="N568">
      <text>
        <t xml:space="preserve">======
ID#AAABjx7qM5Q
    (2025-05-21 11:33:23)
取消PO-20190717C，分批下單
用下採購單日期當作虛擬PI</t>
      </text>
    </comment>
    <comment authorId="0" ref="H477">
      <text>
        <t xml:space="preserve">======
ID#AAABjx7qM5A
    (2025-05-21 11:33:23)
ALICE:9/16玉山水單匯入USD14454沖PI-20190603A USD14454</t>
      </text>
    </comment>
    <comment authorId="0" ref="L96">
      <text>
        <t xml:space="preserve">======
ID#AAABjx7qM44
    (2025-05-21 11:33:23)
0227:Cathy 寄大榮</t>
      </text>
    </comment>
    <comment authorId="0" ref="D171">
      <text>
        <t xml:space="preserve">======
ID#AAABjx7qM4o
    (2025-05-21 11:33:23)
190109 Tammy: 抽驗即可, 謝謝</t>
      </text>
    </comment>
    <comment authorId="0" ref="K103">
      <text>
        <t xml:space="preserve">======
ID#AAABjx7qM4c
    (2025-05-21 11:33:23)
0226 Cathy: 詢問alan 出雪梨
0121 Sant: 出貨前拍照</t>
      </text>
    </comment>
    <comment authorId="0" ref="H338">
      <text>
        <t xml:space="preserve">======
ID#AAABjx7qM4Y
    (2025-05-21 11:33:23)
ALICE:2019/04/08-水單匯入USB1543-手續費USD11=USD1532</t>
      </text>
    </comment>
    <comment authorId="0" ref="L47">
      <text>
        <t xml:space="preserve">======
ID#AAABjx7qM4U
    (2025-05-21 11:33:23)
1)18 PCS 送至宸耀組裝
2) 2 PCS 請交給 Chloe</t>
      </text>
    </comment>
    <comment authorId="0" ref="H158">
      <text>
        <t xml:space="preserve">======
ID#AAABjx7qM4M
    (2025-05-21 11:33:23)
0307 chloe:匯款匯入US39896-37(手續費)</t>
      </text>
    </comment>
    <comment authorId="0" ref="N759">
      <text>
        <t xml:space="preserve">======
ID#AAABjx7qM4A
    (2025-05-21 11:33:23)
※1007 chloe:依照Touch廠商交期，往後先粗抓
※1007 chloe:先告知曦立Touch寄出交期落在11/15那週</t>
      </text>
    </comment>
    <comment authorId="0" ref="S522">
      <text>
        <t xml:space="preserve">======
ID#AAABjx7qM4E
    (2025-05-21 11:33:23)
0621
chloe:客供料，無成本價</t>
      </text>
    </comment>
    <comment authorId="0" ref="B445">
      <text>
        <t xml:space="preserve">======
ID#AAABjx7qM30
    (2025-05-21 11:33:23)
月結30天</t>
      </text>
    </comment>
    <comment authorId="0" ref="K740">
      <text>
        <t xml:space="preserve">======
ID#AAABjx7qM3k
    (2025-05-21 11:33:23)
1003:PGS告知客戶走周末班機，因此安排10/4收貨。</t>
      </text>
    </comment>
    <comment authorId="0" ref="N747">
      <text>
        <t xml:space="preserve">======
ID#AAABjx7qM3c
    (2025-05-21 11:33:23)
0923YVONNE下單</t>
      </text>
    </comment>
    <comment authorId="0" ref="H426">
      <text>
        <t xml:space="preserve">======
ID#AAABjx7qM3Y
    (2025-05-21 11:33:23)
ALICE:7/17水單匯入USD9362沖PI-20190508B-F 92元.PI-20190508B-1 130元. PI-20190509C 9140元整</t>
      </text>
    </comment>
    <comment authorId="0" ref="D472">
      <text>
        <t xml:space="preserve">======
ID#AAABjx7qM3Q
    (2025-05-21 11:33:23)
0603 通知Tammy下單</t>
      </text>
    </comment>
    <comment authorId="0" ref="K874">
      <text>
        <t xml:space="preserve">======
ID#AAABjx7qM3M
    (2025-05-21 11:33:23)
1105 mail告知客人交期</t>
      </text>
    </comment>
    <comment authorId="0" ref="N365">
      <text>
        <t xml:space="preserve">======
ID#AAABjx7qM3A
    (2025-05-21 11:33:23)
0419 Cathy 下單</t>
      </text>
    </comment>
    <comment authorId="0" ref="H576">
      <text>
        <t xml:space="preserve">======
ID#AAABjx7qM24
    (2025-05-21 11:33:23)
ALICE:8/22玉山銀行匯入NT1,596,000+NT1,978=NT1,597,978元整，沖PI-20190717C NT1,586,124 ，沖PI-20190813C NT11,854</t>
      </text>
    </comment>
    <comment authorId="0" ref="D959">
      <text>
        <t xml:space="preserve">======
ID#AAABjx7qM2w
    (2025-05-21 11:33:23)
20191218 請Yvonne 下單</t>
      </text>
    </comment>
    <comment authorId="0" ref="G573">
      <text>
        <t xml:space="preserve">======
ID#AAABjx7qM2o
    (2025-05-21 11:33:23)
190718 Tammy: w/5%</t>
      </text>
    </comment>
    <comment authorId="0" ref="D628">
      <text>
        <t xml:space="preserve">======
ID#AAABjx7qM2Q
    (2025-05-21 11:33:23)
0806 詢問客人
0820 請Chole 協助下單</t>
      </text>
    </comment>
    <comment authorId="0" ref="AI217">
      <text>
        <t xml:space="preserve">======
ID#AAABjx7qM2I
    (2025-05-21 11:33:23)
ALICE:5/3-電文USD16646(沖10450+4616+1580(4850中的1580))</t>
      </text>
    </comment>
    <comment authorId="0" ref="D720">
      <text>
        <t xml:space="preserve">======
ID#AAABjx7qM18
    (2025-05-21 11:33:23)
0910 Cathy: 已請chloe &amp; Bank 協助</t>
      </text>
    </comment>
    <comment authorId="0" ref="G161">
      <text>
        <t xml:space="preserve">======
ID#AAABjx7qM1s
    (2025-05-21 11:33:23)
190215 w/5% vat</t>
      </text>
    </comment>
    <comment authorId="0" ref="H342">
      <text>
        <t xml:space="preserve">======
ID#AAABjx7qM1Y
    (2025-05-21 11:33:23)
alice:2019/05/17水單通知USD19768沖3/4A $1995.3/4A-1$4152.3/4A-1-F $232.3/8B-F $57.12/21A-2-F $144.3/4A-1 $189.10/22C-2 $10227.12/21A-1 $2772.如上總計共USD19768</t>
      </text>
    </comment>
    <comment authorId="0" ref="L463">
      <text>
        <t xml:space="preserve">======
ID#AAABjx7qM1U
    (2025-05-21 11:33:23)
0807 chloe: 將會先行到貨 8 PCS</t>
      </text>
    </comment>
    <comment authorId="0" ref="K944">
      <text>
        <t xml:space="preserve">======
ID#AAABjx7qM1M
    (2025-05-21 11:33:23)
1223yvonne:CHLOE通知送戎克，在寄出給亞郁。</t>
      </text>
    </comment>
    <comment authorId="0" ref="H660">
      <text>
        <t xml:space="preserve">======
ID#AAABjx7qM04
    (2025-05-21 11:33:23)
ALICE:10/1玉山收到閎亮匯入款NT14645(手續費15)沖PI-20190801E.沖PI-20190820B 合計共NT14660元整</t>
      </text>
    </comment>
    <comment authorId="0" ref="H448">
      <text>
        <t xml:space="preserve">======
ID#AAABjx7qM0w
    (2025-05-21 11:33:23)
Alice:7/3-水單匯入USD135</t>
      </text>
    </comment>
    <comment authorId="0" ref="N579">
      <text>
        <t xml:space="preserve">======
ID#AAABjx7qM0g
    (2025-05-21 11:33:23)
0718YVONNE下單</t>
      </text>
    </comment>
    <comment authorId="0" ref="L609">
      <text>
        <t xml:space="preserve">======
ID#AAABjx7qM0o
    (2025-05-21 11:33:23)
0722 客人告知急，但也同時告知款項要先來</t>
      </text>
    </comment>
    <comment authorId="0" ref="H374">
      <text>
        <t xml:space="preserve">======
ID#AAABjx7qMzo
    (2025-05-21 11:33:23)
ALICE:5/17收到銀行電文通知USD1668-11匯款手續費=USD1657</t>
      </text>
    </comment>
    <comment authorId="0" ref="N167">
      <text>
        <t xml:space="preserve">======
ID#AAABjx7qMzg
    (2025-05-21 11:33:23)
0211 下單</t>
      </text>
    </comment>
    <comment authorId="0" ref="K438">
      <text>
        <t xml:space="preserve">======
ID#AAABjx7qMzc
    (2025-05-21 11:33:23)
0530 San: 客戶已匯款. 下週三款項會到, 可先出</t>
      </text>
    </comment>
    <comment authorId="0" ref="L58">
      <text>
        <t xml:space="preserve">======
ID#AAABjx7qMzQ
    (2025-05-21 11:33:23)
0318 Cathy:廠商告知預計4/3寄出 
2/12 Jay reply 2/19 by partial 3 pcs
Reply to Ti2 ship date: 2/21</t>
      </text>
    </comment>
    <comment authorId="0" ref="N562">
      <text>
        <t xml:space="preserve">======
ID#AAABjx7qMzI
    (2025-05-21 11:33:23)
0717:YVONNE下單</t>
      </text>
    </comment>
    <comment authorId="0" ref="N865">
      <text>
        <t xml:space="preserve">======
ID#AAABjx7qMzE
    (2025-05-21 11:33:23)
chloe 
1030 下單</t>
      </text>
    </comment>
    <comment authorId="0" ref="H491">
      <text>
        <t xml:space="preserve">======
ID#AAABjx7qMy4
    (2025-05-21 11:33:23)
alice:6/10-銀行匯入USD754-手續費USD17.37=USD736.63*31.373</t>
      </text>
    </comment>
    <comment authorId="0" ref="D661">
      <text>
        <t xml:space="preserve">======
ID#AAABjx7qMyw
    (2025-05-21 11:33:23)
0820 Cathy: santi mail 告知提供PI給客人，待客戶簽回
0902 Cathy: double confirm with client if they will place an order 
0910 請chloe 下單
0920  Cathy : 詢問客人交期有否辦法接受(物料無法cancel)</t>
      </text>
    </comment>
    <comment authorId="0" ref="N120">
      <text>
        <t xml:space="preserve">======
ID#AAABjx7qMyo
    (2025-05-21 11:33:23)
0125下單</t>
      </text>
    </comment>
    <comment authorId="0" ref="N148">
      <text>
        <t xml:space="preserve">======
ID#AAABjx7qMyY
    (2025-05-21 11:33:23)
0128下單</t>
      </text>
    </comment>
    <comment authorId="0" ref="F535">
      <text>
        <t xml:space="preserve">======
ID#AAABjx7qMyQ
    (2025-05-21 11:33:23)
7/29 AMY: Order 28 pcs but ADVANTECH CANCELLED ORDER DUE TO EOL</t>
      </text>
    </comment>
    <comment authorId="0" ref="E653">
      <text>
        <t xml:space="preserve">======
ID#AAABjx7qMx0
    (2025-05-21 11:33:23)
1003Kishore: 告知需要加Gasket</t>
      </text>
    </comment>
    <comment authorId="0" ref="H212">
      <text>
        <t xml:space="preserve">======
ID#AAABjx7qMxc
    (2025-05-21 11:33:23)
ALICE:5/3-電文USD16646(沖10450+4616+1580(4850中的1580))
ALICE:05/14電文通知USD16645沖(PI20190418C 金額總計15865+PI20190218A 4850中的(780)
ALICE:5/30-銀行電文通知usd15853沖PI-20190218A 4400,PI20190218A 8975,PI-20190218A 2478(4850中的2478)餘額12元沖轉手續費</t>
      </text>
    </comment>
    <comment authorId="0" ref="E238">
      <text>
        <t xml:space="preserve">======
ID#AAABjx7qMw0
    (2025-05-21 11:33:23)
190226 w/o adapter</t>
      </text>
    </comment>
    <comment authorId="0" ref="H557">
      <text>
        <t xml:space="preserve">======
ID#AAABjx7qMws
    (2025-05-21 11:33:23)
ALICE:8/30玉山銀行水單匯入USD603元整，沖PI-20190715A USD135+沖PI-20190722D USD468=合計總沖USD603元整</t>
      </text>
    </comment>
    <comment authorId="0" ref="H74">
      <text>
        <t xml:space="preserve">======
ID#AAABjx7qMwg
    (2025-05-21 11:33:23)
0305 chloe:匯款匯入US8750</t>
      </text>
    </comment>
    <comment authorId="0" ref="H554">
      <text>
        <t xml:space="preserve">======
ID#AAABjx7qMwM
    (2025-05-21 11:33:23)
Alice:8/8-水單匯入USD4555元整，沖PI-20190708A 2540.PI-20190711A 1355.PI-20190712A 660</t>
      </text>
    </comment>
    <comment authorId="0" ref="H303">
      <text>
        <t xml:space="preserve">======
ID#AAABjx7qMv4
    (2025-05-21 11:33:23)
0312 chloe:匯款匯入 US172-32(手續費)</t>
      </text>
    </comment>
    <comment authorId="0" ref="X70">
      <text>
        <t xml:space="preserve">======
ID#AAABjx7qMvw
    (2025-05-21 11:33:23)
2/1開折讓單1,808</t>
      </text>
    </comment>
    <comment authorId="0" ref="AI406">
      <text>
        <t xml:space="preserve">======
ID#AAABjx7qMvg
    (2025-05-21 11:33:23)
ALICE:6/17-玉山匯入17810沖PI-20190508A.沖PI-20190604C</t>
      </text>
    </comment>
    <comment authorId="0" ref="J906">
      <text>
        <t xml:space="preserve">======
ID#AAABjx7qMvc
    (2025-05-21 11:33:23)
客人自取</t>
      </text>
    </comment>
    <comment authorId="0" ref="D95">
      <text>
        <t xml:space="preserve">======
ID#AAABjx7qMvA
    (2025-05-21 11:33:23)
1/21 Keiju: 已納入生產排程</t>
      </text>
    </comment>
    <comment authorId="0" ref="G376">
      <text>
        <t xml:space="preserve">======
ID#AAABjx7qMu4
    (2025-05-21 11:33:23)
180221 Tammy: project price for over 50pcs/lot</t>
      </text>
    </comment>
    <comment authorId="0" ref="N169">
      <text>
        <t xml:space="preserve">======
ID#AAABjx7qMus
    (2025-05-21 11:33:23)
0211下單
交期暫押2/22</t>
      </text>
    </comment>
    <comment authorId="0" ref="L414">
      <text>
        <t xml:space="preserve">======
ID#AAABjx7qMuI
    (2025-05-21 11:33:23)
5/10 chloe 下單
●貨到請交給Bank
●發票請交由採購-chloe
5/21 chloe:修正 16G DRAM 待敏博給交期</t>
      </text>
    </comment>
    <comment authorId="0" ref="AJ236">
      <text>
        <t xml:space="preserve">======
ID#AAABjx7qMuE
    (2025-05-21 11:33:23)
ALICE:PI-20190223訂單總計USD6471，2019/02/26水單匯入USD6453.49*30.736==NT198,354元整，匯入手續費USD6.5+匯出手續費USD11*30.736=NT538元整</t>
      </text>
    </comment>
    <comment authorId="0" ref="N561">
      <text>
        <t xml:space="preserve">======
ID#AAABjx7qMtQ
    (2025-05-21 11:33:23)
0717:YVONNE下單</t>
      </text>
    </comment>
    <comment authorId="0" ref="H654">
      <text>
        <t xml:space="preserve">======
ID#AAABjx7qMs0
    (2025-05-21 11:33:23)
ALICE:8/23玉山銀行匯入USD1245沖PI-20190815B USD1245元整</t>
      </text>
    </comment>
    <comment authorId="0" ref="N478">
      <text>
        <t xml:space="preserve">======
ID#AAABjx7qMsc
    (2025-05-21 11:33:23)
見BOM</t>
      </text>
    </comment>
    <comment authorId="0" ref="L720">
      <text>
        <t xml:space="preserve">======
ID#AAABjx7qMro
    (2025-05-21 11:33:23)
0912YVONNE:CHLOE通知，貨到讓BANK確認後在出。</t>
      </text>
    </comment>
    <comment authorId="0" ref="P715">
      <text>
        <t xml:space="preserve">======
ID#AAABjx7qMrg
    (2025-05-21 11:33:23)
0911 chloe:使用以色列專案價</t>
      </text>
    </comment>
    <comment authorId="0" ref="H88">
      <text>
        <t xml:space="preserve">======
ID#AAABjx7qMrc
    (2025-05-21 11:33:23)
0128 Mary: 匯款匯入 US $1,149</t>
      </text>
    </comment>
    <comment authorId="0" ref="H177">
      <text>
        <t xml:space="preserve">======
ID#AAABjx7qMrY
    (2025-05-21 11:33:23)
0327 chloe:匯款匯入US4578-6.51(手續費)</t>
      </text>
    </comment>
    <comment authorId="0" ref="N295">
      <text>
        <t xml:space="preserve">======
ID#AAABjx7qMqw
    (2025-05-21 11:33:23)
0308 Cathy 下單</t>
      </text>
    </comment>
    <comment authorId="0" ref="H51">
      <text>
        <t xml:space="preserve">======
ID#AAABjx7qMqs
    (2025-05-21 11:33:23)
0221 Mary:匯款匯入US$11594</t>
      </text>
    </comment>
    <comment authorId="0" ref="L621">
      <text>
        <t xml:space="preserve">======
ID#AAABjx7qMqg
    (2025-05-21 11:33:23)
待貨款匯入方可拉貨進入</t>
      </text>
    </comment>
    <comment authorId="0" ref="L706">
      <text>
        <t xml:space="preserve">======
ID#AAABjx7qMqQ
    (2025-05-21 11:33:23)
0905YVONNE下單</t>
      </text>
    </comment>
    <comment authorId="0" ref="L587">
      <text>
        <t xml:space="preserve">======
ID#AAABjx7qMqI
    (2025-05-21 11:33:23)
10/18 CATHY : alan告知交期</t>
      </text>
    </comment>
    <comment authorId="0" ref="L753">
      <text>
        <t xml:space="preserve">======
ID#AAABj82dpQU
    (2025-05-21 11:33:23)
Chloe 1106: MOXA回覆交期，有可能會延遲兩天</t>
      </text>
    </comment>
    <comment authorId="0" ref="P678">
      <text>
        <t xml:space="preserve">======
ID#AAABj82dpQE
    (2025-05-21 11:33:23)
往後使用以色列專案價</t>
      </text>
    </comment>
    <comment authorId="0" ref="L798">
      <text>
        <t xml:space="preserve">======
ID#AAABj82dpP4
    (2025-05-21 11:33:23)
Chloe 1106: MOXA回覆交期，有可能會延遲兩天</t>
      </text>
    </comment>
    <comment authorId="0" ref="D715">
      <text>
        <t xml:space="preserve">======
ID#AAABj82dpP0
    (2025-05-21 11:33:23)
在此輸入
0909 客人待O/A肯放USD 10000 才要下單
1001 告知改由Aditeh付款</t>
      </text>
    </comment>
    <comment authorId="0" ref="N299">
      <text>
        <t xml:space="preserve">======
ID#AAABj82dpPo
    (2025-05-21 11:33:23)
0306 Cathy下單</t>
      </text>
    </comment>
    <comment authorId="0" ref="E730">
      <text>
        <t xml:space="preserve">======
ID#AAABj82dpPg
    (2025-05-21 11:33:23)
有做IEC60945</t>
      </text>
    </comment>
    <comment authorId="0" ref="D293">
      <text>
        <t xml:space="preserve">======
ID#AAABj82dpPY
    (2025-05-21 11:33:23)
0306 請Tammy 下單  
0305 客人有revise order</t>
      </text>
    </comment>
    <comment authorId="0" ref="T2">
      <text>
        <t xml:space="preserve">======
ID#AAABj82dpPE
    (2025-05-21 11:33:23)
交易3次</t>
      </text>
    </comment>
    <comment authorId="0" ref="H406">
      <text>
        <t xml:space="preserve">======
ID#AAABj82dpOs
    (2025-05-21 11:33:23)
ALICE:6/17-玉山匯入17810沖PI-20190508A.沖PI-20190604C</t>
      </text>
    </comment>
    <comment authorId="0" ref="J874">
      <text>
        <t xml:space="preserve">======
ID#AAABj82dpOk
    (2025-05-21 11:33:23)
FOB 
代客人提供forwarder</t>
      </text>
    </comment>
    <comment authorId="0" ref="D233">
      <text>
        <t xml:space="preserve">======
ID#AAABj82dpOc
    (2025-05-21 11:33:23)
0306 請Tammy 下單  
0305 客人有revise order</t>
      </text>
    </comment>
    <comment authorId="0" ref="AI125">
      <text>
        <t xml:space="preserve">======
ID#AAABj82dpOY
    (2025-05-21 11:33:23)
ALICE:2019/02/15-水單匯入(USD21605-手續費USD10.82)*30.787=NT664820
2019/02/14-水單匯入(USD6990-手續費USD6.5)*30.784=NT214980
應收總計USD28615-實收USD21605+USD6990=USD20匯出手續費
手續費總計USD10.82*30.787+6.5*30.784+20*30.787=NT1449元整</t>
      </text>
    </comment>
    <comment authorId="0" ref="H494">
      <text>
        <t xml:space="preserve">======
ID#AAABj82dpOE
    (2025-05-21 11:33:23)
ALICE:7/10-水單匯入USD646沖PI-20190606B</t>
      </text>
    </comment>
    <comment authorId="0" ref="H20">
      <text>
        <t xml:space="preserve">======
ID#AAABj82dpNw
    (2025-05-21 11:33:23)
0213 Mary:匯款匯入US$11,250
12/25 Amy: MOQ Charage TI2 first, will retabe $2000 once shipping qty reach 100pcs</t>
      </text>
    </comment>
    <comment authorId="0" ref="K304">
      <text>
        <t xml:space="preserve">======
ID#AAABj82dpNg
    (2025-05-21 11:33:23)
0325 Cathy:客人無回應是否要與新訂單一併出貨，尚未收到運費</t>
      </text>
    </comment>
    <comment authorId="0" ref="N122">
      <text>
        <t xml:space="preserve">======
ID#AAABj82dpNc
    (2025-05-21 11:33:23)
0125 下單
待chloe匯款</t>
      </text>
    </comment>
    <comment authorId="0" ref="H734">
      <text>
        <t xml:space="preserve">======
ID#AAABj82dpNE
    (2025-05-21 11:33:23)
ALICE:10/22玉山匯入USD1405沖PI-20190913B USD1405</t>
      </text>
    </comment>
    <comment authorId="0" ref="B723">
      <text>
        <t xml:space="preserve">======
ID#AAABj82dpNA
    (2025-05-21 11:33:23)
新開發客戶</t>
      </text>
    </comment>
    <comment authorId="0" ref="H484">
      <text>
        <t xml:space="preserve">======
ID#AAABj82dpMo
    (2025-05-21 11:33:23)
0823 chloe 查詢  7/5 已沖銷
應收應付對沖</t>
      </text>
    </comment>
    <comment authorId="0" ref="H42">
      <text>
        <t xml:space="preserve">======
ID#AAABj82dpMQ
    (2025-05-21 11:33:23)
0225 chloe:0225 匯款匯入多此筆款項</t>
      </text>
    </comment>
    <comment authorId="0" ref="N84">
      <text>
        <t xml:space="preserve">======
ID#AAABj82dpMI
    (2025-05-21 11:33:23)
0226 chloe:修改型號TS1GSK64W6H</t>
      </text>
    </comment>
    <comment authorId="0" ref="L5">
      <text>
        <t xml:space="preserve">======
ID#AAABj82dpLo
    (2025-05-21 11:33:23)
1/7 廠商確認交期 
9/26 Cindy:Intel 年底交貨</t>
      </text>
    </comment>
    <comment authorId="0" ref="G325">
      <text>
        <t xml:space="preserve">======
ID#AAABj82dpLA
    (2025-05-21 11:33:23)
w/5%VAT</t>
      </text>
    </comment>
    <comment authorId="0" ref="K535">
      <text>
        <t xml:space="preserve">======
ID#AAABj82dpKs
    (2025-05-21 11:33:23)
Yvonne:原訂7/4出口116950876，收走後退回更換文件，改新提單出口。</t>
      </text>
    </comment>
    <comment authorId="0" ref="AI401">
      <text>
        <t xml:space="preserve">======
ID#AAABj82dpKo
    (2025-05-21 11:33:23)
Alice:2019/05/16-收到銀行合庫匯入通知NT194,325元整(沖PI-20190502C.PI-20190507A)手續費0</t>
      </text>
    </comment>
    <comment authorId="0" ref="AJ206">
      <text>
        <t xml:space="preserve">======
ID#AAABj82dpKk
    (2025-05-21 11:33:23)
Alice:2019/05/08水單匯入USD12400-匯款手續費(10+6.47)*30.9=NT382,651</t>
      </text>
    </comment>
    <comment authorId="0" ref="H126">
      <text>
        <t xml:space="preserve">======
ID#AAABj82dpKc
    (2025-05-21 11:33:23)
0215 Mary:匯款匯入US$21,605+6,990</t>
      </text>
    </comment>
    <comment authorId="0" ref="M601">
      <text>
        <t xml:space="preserve">======
ID#AAABj82dpKQ
    (2025-05-21 11:33:23)
10/21 eric下單25pcs　</t>
      </text>
    </comment>
    <comment authorId="0" ref="I886">
      <text>
        <t xml:space="preserve">======
ID#AAABj82dpJI
    (2025-05-21 11:33:23)
Cathy/Yvonne</t>
      </text>
    </comment>
    <comment authorId="0" ref="D606">
      <text>
        <t xml:space="preserve">======
ID#AAABj82dpIQ
    (2025-05-21 11:33:23)
0722 請chloe下單</t>
      </text>
    </comment>
    <comment authorId="0" ref="K850">
      <text>
        <t xml:space="preserve">======
ID#AAABj82dpH0
    (2025-05-21 11:33:23)
10/28 cathy:通知客人交期</t>
      </text>
    </comment>
    <comment authorId="0" ref="H209">
      <text>
        <t xml:space="preserve">======
ID#AAABj82dpHs
    (2025-05-21 11:33:23)
ALICE:5/3收到USD12965.5(沖PI-20190121B.PI20190217A.PI-20190131C.PI-20190313A.PI-20190306A)</t>
      </text>
    </comment>
    <comment authorId="0" ref="N559">
      <text>
        <t xml:space="preserve">======
ID#AAABj82dpHo
    (2025-05-21 11:33:23)
YVONNE0808下單</t>
      </text>
    </comment>
    <comment authorId="0" ref="L438">
      <text>
        <t xml:space="preserve">======
ID#AAABj82dpHc
    (2025-05-21 11:33:23)
0516 chloe 下單</t>
      </text>
    </comment>
    <comment authorId="0" ref="N459">
      <text>
        <t xml:space="preserve">======
ID#AAABj82dpHQ
    (2025-05-21 11:33:23)
0524 CATHY下單</t>
      </text>
    </comment>
    <comment authorId="0" ref="H372">
      <text>
        <t xml:space="preserve">======
ID#AAABj82dpHI
    (2025-05-21 11:33:23)
Alice:2019/04/30-銀行通知水單匯入USD1577-匯出手續費USD40=USD1537*30.85=NT47416</t>
      </text>
    </comment>
    <comment authorId="0" ref="L563">
      <text>
        <t xml:space="preserve">======
ID#AAABj82dpHM
    (2025-05-21 11:33:23)
1104yvonne:tammy通知客戶急需，提前至11/15到我司。</t>
      </text>
    </comment>
    <comment authorId="0" ref="H28">
      <text>
        <t xml:space="preserve">======
ID#AAABj82dpGc
    (2025-05-21 11:33:23)
0128 Mary: 匯款匯入 US$11,920(同H25)</t>
      </text>
    </comment>
    <comment authorId="0" ref="K904">
      <text>
        <t xml:space="preserve">======
ID#AAABj82dpFk
    (2025-05-21 11:33:23)
1114 cathy 客人指定出貨時間</t>
      </text>
    </comment>
    <comment authorId="0" ref="H407">
      <text>
        <t xml:space="preserve">======
ID#AAABj82dpFU
    (2025-05-21 11:33:23)
alice:6/20銀行水單匯入USD4462 沖PI20190107A.PI-20190318B.PI-20190508B.PI-20181022C-2-F</t>
      </text>
    </comment>
    <comment authorId="0" ref="AJ125">
      <text>
        <t xml:space="preserve">======
ID#AAABj82dpFM
    (2025-05-21 11:33:23)
ALICE:2019/02/15-水單匯入(USD21605-手續費USD10.82)*30.787=NT664820
2019/02/14-水單匯入(USD6990-手續費USD6.5)*30.784=NT214980
應收總計USD28615-實收USD21605+USD6990=USD20匯出手續費
手續費總計USD10.82*30.787+6.5*30.784+20*30.787=NT1449元整</t>
      </text>
    </comment>
    <comment authorId="0" ref="H237">
      <text>
        <t xml:space="preserve">======
ID#AAABj82dpE0
    (2025-05-21 11:33:23)
0225 chloe:客戶水單2/25，待我司銀行通知入帳
0226 chloe:匯款匯入6471-11(匯款手續費)</t>
      </text>
    </comment>
    <comment authorId="0" ref="H321">
      <text>
        <t xml:space="preserve">======
ID#AAABj82dpEs
    (2025-05-21 11:33:23)
alice:5/10-水單通知usd3751-匯出手續費20-匯入手續費6.46=USD3724.54*30.94=NT115,237元整
沖20190320B USD1270
沖20190322A USD2481
合計總沖USD3751元整</t>
      </text>
    </comment>
    <comment authorId="0" ref="H532">
      <text>
        <t xml:space="preserve">======
ID#AAABj82dpEQ
    (2025-05-21 11:33:23)
ALICE:9/23玉山銀行水單通知匯入USD14587沖PI-20190626A 334.5 沖PI-20190703B 8550.沖PI20190719C 5212.5.沖PI-20190722A 210.沖PI-20190801C 280 合計總沖USD14587元整</t>
      </text>
    </comment>
    <comment authorId="0" ref="AI131">
      <text>
        <t xml:space="preserve">======
ID#AAABj82dpEI
    (2025-05-21 11:33:23)
ALICE:2019/05/02-水單匯入USD21462.5-(匯出手續費USD10+匯入手續費USD10.73)=USD21441.77*30.84=NT661264</t>
      </text>
    </comment>
    <comment authorId="0" ref="G150">
      <text>
        <t xml:space="preserve">======
ID#AAABj82dpEM
    (2025-05-21 11:33:23)
0127 San: 銷退貨用, 故單價先計算為0, 但給廠商的PO 仍然為US255 / 1 pcs</t>
      </text>
    </comment>
  </commentList>
  <extLst>
    <ext uri="GoogleSheetsCustomDataVersion2">
      <go:sheetsCustomData xmlns:go="http://customooxmlschemas.google.com/" r:id="rId1" roundtripDataSignature="AMtx7mjZjt7Hk8igABuUl7K6kDmrTy2Fk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84">
      <text>
        <t xml:space="preserve">======
ID#AAABjx7qWcA
    (2025-05-21 11:33:27)
0329 chloe:匯款匯入US$2049</t>
      </text>
    </comment>
    <comment authorId="0" ref="K244">
      <text>
        <t xml:space="preserve">======
ID#AAABjx7qWbk
Santiago 0419     (2025-05-21 11:33:27)
出貨前要換標籤</t>
      </text>
    </comment>
    <comment authorId="0" ref="H641">
      <text>
        <t xml:space="preserve">======
ID#AAABjx7qWbc
    (2025-05-21 11:33:27)
1116 chloe: 匯款匯入:US$21239</t>
      </text>
    </comment>
    <comment authorId="0" ref="L58">
      <text>
        <t xml:space="preserve">======
ID#AAABjx7qWaU
    (2025-05-21 11:33:27)
預計1/29到貨</t>
      </text>
    </comment>
    <comment authorId="0" ref="J360">
      <text>
        <t xml:space="preserve">======
ID#AAABjx7qWaQ
    (2025-05-21 11:33:27)
JUDY KAO
Supervisor Of Sales Div.
FETA FREIGHT SYSTEMS (TAIWAN ) LTD. 
Tel: +886-3-399-2033 EXT: 135
Direct: +886-3-3992106
Fax: +886-3-3992036/2055
E-mail: judykao@ffsi.com.tw</t>
      </text>
    </comment>
    <comment authorId="0" ref="H795">
      <text>
        <t xml:space="preserve">======
ID#AAABjx7qWY0
    (2025-05-21 11:33:27)
0111  chloe:匯款匯入US$8,152</t>
      </text>
    </comment>
    <comment authorId="0" ref="H526">
      <text>
        <t xml:space="preserve">======
ID#AAABjx7qWYk
    (2025-05-21 11:33:27)
1030 chloe: 匯款匯入US$16,948.00</t>
      </text>
    </comment>
    <comment authorId="0" ref="P14">
      <text>
        <t xml:space="preserve">======
ID#AAABjx7qWX0
    (2025-05-21 11:33:27)
0123 chloe 特簽</t>
      </text>
    </comment>
    <comment authorId="0" ref="H411">
      <text>
        <t xml:space="preserve">======
ID#AAABjx7qWXM
    (2025-05-21 11:33:27)
0912 chloe:匯款匯入US$18134.4</t>
      </text>
    </comment>
    <comment authorId="0" ref="E329">
      <text>
        <t xml:space="preserve">======
ID#AAABjx7qWW0
    (2025-05-21 11:33:27)
180516 正確為SAA adapter</t>
      </text>
    </comment>
    <comment authorId="0" ref="H373">
      <text>
        <t xml:space="preserve">======
ID#AAABjx7qWWk
    (2025-05-21 11:33:27)
0706 chloe:匯款匯入US$3499</t>
      </text>
    </comment>
    <comment authorId="0" ref="J497">
      <text>
        <t xml:space="preserve">======
ID#AAABjx7qWWE
    (2025-05-21 11:33:27)
180806 Tammy: 出貨前, 再次確認
180830 Tammy: 確認UX Logistics</t>
      </text>
    </comment>
    <comment authorId="0" ref="H439">
      <text>
        <t xml:space="preserve">======
ID#AAABjx7qWVk
    (2025-05-21 11:33:27)
0912 chloe:匯款匯入US$18134.4</t>
      </text>
    </comment>
    <comment authorId="0" ref="G812">
      <text>
        <t xml:space="preserve">======
ID#AAABjx7qWT8
201811121 San    (2025-05-21 11:33:27)
NT$2760 / 1 pcs, 未稅價</t>
      </text>
    </comment>
    <comment authorId="0" ref="K731">
      <text>
        <t xml:space="preserve">======
ID#AAABjx7qWTU
    (2025-05-21 11:33:27)
1112 chloe 待K&amp;H 付款</t>
      </text>
    </comment>
    <comment authorId="0" ref="K116">
      <text>
        <t xml:space="preserve">======
ID#AAABjx7qWSk
Santiago 0308    (2025-05-21 11:33:27)
本預計3/12出貨, 改3/29, 待SA付款後, 再做時間變更</t>
      </text>
    </comment>
    <comment authorId="0" ref="G433">
      <text>
        <t xml:space="preserve">======
ID#AAABjx7qWSM
    (2025-05-21 11:33:27)
180710 w/ vat 5%</t>
      </text>
    </comment>
    <comment authorId="0" ref="H788">
      <text>
        <t xml:space="preserve">======
ID#AAABjx7qWRY
    (2025-05-21 11:33:27)
0213 Mary:匯款匯入US$11,250</t>
      </text>
    </comment>
    <comment authorId="0" ref="H59">
      <text>
        <t xml:space="preserve">======
ID#AAABjx7qWQU
    (2025-05-21 11:33:27)
0129 chloe:匯入US$2033</t>
      </text>
    </comment>
    <comment authorId="0" ref="H610">
      <text>
        <t xml:space="preserve">======
ID#AAABjx7qWQM
    (2025-05-21 11:33:27)
1031 chloe:匯款匯入US$687</t>
      </text>
    </comment>
    <comment authorId="0" ref="H460">
      <text>
        <t xml:space="preserve">======
ID#AAABjx7qWQI
    (2025-05-21 11:33:27)
0907 chloe:匯款匯入US$8273</t>
      </text>
    </comment>
    <comment authorId="0" ref="R477">
      <text>
        <t xml:space="preserve">======
ID#AAABjx7qWPM
    (2025-05-21 11:33:27)
Santiago 1130 : 原來Chloe 註記銀行如下, 但Santiago 匯到舊的聯邦
合庫大安分行
0760717324727</t>
      </text>
    </comment>
    <comment authorId="0" ref="H79">
      <text>
        <t xml:space="preserve">======
ID#AAABjx7qWO0
    (2025-05-21 11:33:27)
0130 chloe:匯款匯入US$272</t>
      </text>
    </comment>
    <comment authorId="0" ref="H343">
      <text>
        <t xml:space="preserve">======
ID#AAABjx7qWOk
    (2025-05-21 11:33:27)
0705 chloe:收到支票NT82505，待7/30兌現</t>
      </text>
    </comment>
    <comment authorId="0" ref="K666">
      <text>
        <t xml:space="preserve">======
ID#AAABjx7qWOc
20181013 San    (2025-05-21 11:33:27)
出貨發票以PI 台幣金額為主
PI 有放到Google drive資料夾裡</t>
      </text>
    </comment>
    <comment authorId="0" ref="H253">
      <text>
        <t xml:space="preserve">======
ID#AAABjx7qWOU
    (2025-05-21 11:33:27)
0611 chloe:  匯款匯入8756</t>
      </text>
    </comment>
    <comment authorId="0" ref="H515">
      <text>
        <t xml:space="preserve">======
ID#AAABjx7qWN8
    (2025-05-21 11:33:27)
0814 chloe:匯款匯入US$10559</t>
      </text>
    </comment>
    <comment authorId="0" ref="H764">
      <text>
        <t xml:space="preserve">======
ID#AAABjx7qWNQ
    (2025-05-21 11:33:27)
0123 Mary:匯款匯入US$8,490
(PI-20181031A)</t>
      </text>
    </comment>
    <comment authorId="0" ref="H476">
      <text>
        <t xml:space="preserve">======
ID#AAABjx7qWNM
    (2025-05-21 11:33:27)
1012 chloe:匯款匯入US$40290
(客戶少匯US$2280)
1030 chloe: 匯款匯入US$16,948.00</t>
      </text>
    </comment>
    <comment authorId="0" ref="L83">
      <text>
        <t xml:space="preserve">======
ID#AAABjx7qWM4
    (2025-05-21 11:33:27)
預計2/5到貨</t>
      </text>
    </comment>
    <comment authorId="0" ref="H401">
      <text>
        <t xml:space="preserve">======
ID#AAABjx7qWMo
    (2025-05-21 11:33:27)
0813 chloe:匯款匯入 US$3841.5</t>
      </text>
    </comment>
    <comment authorId="0" ref="E816">
      <text>
        <t xml:space="preserve">======
ID#AAABjx7qWMg
    (2025-05-21 11:33:27)
20170104 Santiago: 和之前訂單一樣, w/o adapter</t>
      </text>
    </comment>
    <comment authorId="0" ref="J532">
      <text>
        <t xml:space="preserve">======
ID#AAABjx7qWMM
    (2025-05-21 11:33:27)
Lissa: 跟PI-20180806E一起出貨</t>
      </text>
    </comment>
    <comment authorId="0" ref="H597">
      <text>
        <t xml:space="preserve">======
ID#AAABjx7qWLo
    (2025-05-21 11:33:27)
0114 chloe:匯款匯入US$7089</t>
      </text>
    </comment>
    <comment authorId="0" ref="L323">
      <text>
        <t xml:space="preserve">======
ID#AAABjx7qWLk
    (2025-05-21 11:33:27)
180605 Tammy修改</t>
      </text>
    </comment>
    <comment authorId="0" ref="E769">
      <text>
        <t xml:space="preserve">======
ID#AAABjx7qWLI
    (2025-05-21 11:33:27)
1122AMY: 3pin power connector 改為RG58 power connector</t>
      </text>
    </comment>
    <comment authorId="0" ref="H251">
      <text>
        <t xml:space="preserve">======
ID#AAABjx7qWLA
    (2025-05-21 11:33:27)
0508 chloe:匯入NT452,486</t>
      </text>
    </comment>
    <comment authorId="0" ref="H196">
      <text>
        <t xml:space="preserve">======
ID#AAABjx7qWK4
    (2025-05-21 11:33:27)
0420 chloe: 匯款匯入US$9526</t>
      </text>
    </comment>
    <comment authorId="0" ref="H613">
      <text>
        <t xml:space="preserve">======
ID#AAABjx7qWKw
    (2025-05-21 11:33:27)
1031 chloe:匯款匯入US$687</t>
      </text>
    </comment>
    <comment authorId="0" ref="H794">
      <text>
        <t xml:space="preserve">======
ID#AAABjx7qWKs
    (2025-05-21 11:33:27)
1113 chloe: 匯款匯入 USD 9,664</t>
      </text>
    </comment>
    <comment authorId="0" ref="H784">
      <text>
        <t xml:space="preserve">======
ID#AAABjx7qWKg
    (2025-05-21 11:33:27)
1217 chloe:匯款匯入US$3,207.00</t>
      </text>
    </comment>
    <comment authorId="0" ref="H815">
      <text>
        <t xml:space="preserve">======
ID#AAABjx7qWKM
    (2025-05-21 11:33:27)
0109 chloe:匯款匯入NT163,487</t>
      </text>
    </comment>
    <comment authorId="0" ref="E666">
      <text>
        <t xml:space="preserve">======
ID#AAABjx7qWKE
20181013 San    (2025-05-21 11:33:27)
機構問題待開偉確定</t>
      </text>
    </comment>
    <comment authorId="0" ref="H187">
      <text>
        <t xml:space="preserve">======
ID#AAABjx7qWJ8
    (2025-05-21 11:33:27)
0329 chloe:匯款匯入US$2049</t>
      </text>
    </comment>
    <comment authorId="0" ref="H364">
      <text>
        <t xml:space="preserve">======
ID#AAABjx7qWI8
    (2025-05-21 11:33:27)
0627 chloe:匯款匯入US$3075</t>
      </text>
    </comment>
    <comment authorId="0" ref="E466">
      <text>
        <t xml:space="preserve">======
ID#AAABjx7qWH4
    (2025-05-21 11:33:27)
180725 使用20180528B訂購的庫存</t>
      </text>
    </comment>
    <comment authorId="0" ref="H562">
      <text>
        <t xml:space="preserve">======
ID#AAABjx7qWHs
    (2025-05-21 11:33:27)
1031 chloe:匯款匯入US$687</t>
      </text>
    </comment>
    <comment authorId="0" ref="H626">
      <text>
        <t xml:space="preserve">======
ID#AAABjx7qWHU
    (2025-05-21 11:33:27)
1122 chloe:匯款匯入US$2420</t>
      </text>
    </comment>
    <comment authorId="0" ref="H743">
      <text>
        <t xml:space="preserve">======
ID#AAABjx7qWHQ
    (2025-05-21 11:33:27)
1204 chloe:匯款匯入US$1,764.50</t>
      </text>
    </comment>
    <comment authorId="0" ref="H650">
      <text>
        <t xml:space="preserve">======
ID#AAABjx7qWGU
    (2025-05-21 11:33:27)
1223 chloe:匯款匯入NT114,629</t>
      </text>
    </comment>
    <comment authorId="0" ref="H64">
      <text>
        <t xml:space="preserve">======
ID#AAABjx7qWGQ
    (2025-05-21 11:33:27)
20180116 Santiago 收到銀行通知</t>
      </text>
    </comment>
    <comment authorId="0" ref="H717">
      <text>
        <t xml:space="preserve">======
ID#AAABjx7qWGI
    (2025-05-21 11:33:27)
1127 chloe: 匯款匯入US$11920</t>
      </text>
    </comment>
    <comment authorId="0" ref="J88">
      <text>
        <t xml:space="preserve">======
ID#AAABjx7qWFI
20180212 Santiago    (2025-05-21 11:33:27)
Christine 已請美灣拉貨. 
因為SA的FedEx 不能使用
未來下午四點前若不提供戎克訂單的運輸方式. 一律延到隔日出</t>
      </text>
    </comment>
    <comment authorId="0" ref="J35">
      <text>
        <t xml:space="preserve">======
ID#AAABjx7qWFE
20180212 Santiago    (2025-05-21 11:33:27)
Christine 已請美灣拉貨. 
因為SA的FedEx 不能使用
未來下午四點前若不提供戎克訂單的運輸方式. 一律延到隔日出</t>
      </text>
    </comment>
    <comment authorId="0" ref="H511">
      <text>
        <t xml:space="preserve">======
ID#AAABjx7qWE0
    (2025-05-21 11:33:27)
1030 chloe: 匯款匯入US$16,948.00</t>
      </text>
    </comment>
    <comment authorId="0" ref="H321">
      <text>
        <t xml:space="preserve">======
ID#AAABjx7qWEY
    (2025-05-21 11:33:27)
0706 chloe:匯款匯入US$8750</t>
      </text>
    </comment>
    <comment authorId="0" ref="K730">
      <text>
        <t xml:space="preserve">======
ID#AAABjx7qWEE
    (2025-05-21 11:33:27)
1112 chloe 待K&amp;H 付款</t>
      </text>
    </comment>
    <comment authorId="0" ref="H574">
      <text>
        <t xml:space="preserve">======
ID#AAABjx7qWDk
    (2025-05-21 11:33:27)
1120 chloe:匯款匯入US$6410</t>
      </text>
    </comment>
    <comment authorId="0" ref="L205">
      <text>
        <t xml:space="preserve">======
ID#AAABjx7qWDc
    (2025-05-21 11:33:27)
預計4/23到貨</t>
      </text>
    </comment>
    <comment authorId="0" ref="H204">
      <text>
        <t xml:space="preserve">======
ID#AAABjx7qWCY
    (2025-05-21 11:33:27)
0420 chloe: 匯款匯入US$9526</t>
      </text>
    </comment>
    <comment authorId="0" ref="K158">
      <text>
        <t xml:space="preserve">======
ID#AAABjx7qWB0
0303 Santiago     (2025-05-21 11:33:27)
3/19到貨新竹</t>
      </text>
    </comment>
    <comment authorId="0" ref="H2">
      <text>
        <t xml:space="preserve">======
ID#AAABjx7qWBo
    (2025-05-21 11:33:27)
1110 chloe: 銀行通知戎克戶名錯誤，已通知客戶修改電文
1116 chloe:收到銀行通知US$1506</t>
      </text>
    </comment>
    <comment authorId="0" ref="K117">
      <text>
        <t xml:space="preserve">======
ID#AAABjx7qWA8
Santiago 0308    (2025-05-21 11:33:27)
本預計3/12出貨, 改3/29, 待SA付款後, 再做時間變更</t>
      </text>
    </comment>
    <comment authorId="0" ref="L445">
      <text>
        <t xml:space="preserve">======
ID#AAABjx7qWAU
    (2025-05-21 11:33:27)
11 PCS 9月初 交貨</t>
      </text>
    </comment>
    <comment authorId="0" ref="H631">
      <text>
        <t xml:space="preserve">======
ID#AAABjx7qWAE
    (2025-05-21 11:33:27)
1220 chloe: 匯款匯入US$32647.5</t>
      </text>
    </comment>
    <comment authorId="0" ref="H442">
      <text>
        <t xml:space="preserve">======
ID#AAABjx7qV_8
    (2025-05-21 11:33:27)
0907 chloe:匯款匯入US$8273</t>
      </text>
    </comment>
    <comment authorId="0" ref="X288">
      <text>
        <t xml:space="preserve">======
ID#AAABjx7qV_g
    (2025-05-21 11:33:27)
入料104 PCS；出口100PCS</t>
      </text>
    </comment>
    <comment authorId="0" ref="H105">
      <text>
        <t xml:space="preserve">======
ID#AAABjx7qV-U
    (2025-05-21 11:33:27)
0329 chloe 匯款匯入US$9609</t>
      </text>
    </comment>
    <comment authorId="0" ref="L668">
      <text>
        <t xml:space="preserve">======
ID#AAABjx7qV8o
    (2025-05-21 11:33:27)
1112 chloe:貨到交由Santiago</t>
      </text>
    </comment>
    <comment authorId="0" ref="H202">
      <text>
        <t xml:space="preserve">======
ID#AAABjx7qV7Y
    (2025-05-21 11:33:27)
0420 chloe: 匯款匯入US$9526</t>
      </text>
    </comment>
    <comment authorId="0" ref="H518">
      <text>
        <t xml:space="preserve">======
ID#AAABjx7qV7Q
    (2025-05-21 11:33:27)
0913 chloe:匯款匯入NT15820</t>
      </text>
    </comment>
    <comment authorId="0" ref="L108">
      <text>
        <t xml:space="preserve">======
ID#AAABjx7qV7M
    (2025-05-21 11:33:27)
0202 chloe:若宸耀貨物可以提前，則DRAM可以提前叫進來</t>
      </text>
    </comment>
    <comment authorId="0" ref="H783">
      <text>
        <t xml:space="preserve">======
ID#AAABjx7qV6s
    (2025-05-21 11:33:27)
0123 Mary:匯款匯入US$1,035
(20181102A)</t>
      </text>
    </comment>
    <comment authorId="0" ref="L118">
      <text>
        <t xml:space="preserve">======
ID#AAABjx7qV6k
    (2025-05-21 11:33:27)
針對SA Electroequip 的訂單, 若沒收到SA匯款, 就請MOXA先不出貨, 以增加戎克現金流量
預計3/15到貨</t>
      </text>
    </comment>
    <comment authorId="0" ref="L126">
      <text>
        <t xml:space="preserve">======
ID#AAABjx7qV6E
    (2025-05-21 11:33:27)
預計2/13到貨</t>
      </text>
    </comment>
    <comment authorId="0" ref="L609">
      <text>
        <t xml:space="preserve">======
ID#AAABjx7qV5w
    (2025-05-21 11:33:27)
0913 chloe:待PM確認圖面，廠商提供
1001 chloe: 快異點樣品 2 PCS
1 PCS for PM
1 PCS for 客戶</t>
      </text>
    </comment>
    <comment authorId="0" ref="H528">
      <text>
        <t xml:space="preserve">======
ID#AAABjx7qV5k
    (2025-05-21 11:33:27)
1030 chloe: 匯款匯入US$16,948.00</t>
      </text>
    </comment>
    <comment authorId="0" ref="U63">
      <text>
        <t xml:space="preserve">======
ID#AAABjx7qV5o
    (2025-05-21 11:33:27)
0202 chloe:發票已在1月份給予會計</t>
      </text>
    </comment>
    <comment authorId="0" ref="G329">
      <text>
        <t xml:space="preserve">======
ID#AAABjx7qV5I
    (2025-05-21 11:33:27)
180524 w/ vat 5%</t>
      </text>
    </comment>
    <comment authorId="0" ref="H462">
      <text>
        <t xml:space="preserve">======
ID#AAABjx7qV38
    (2025-05-21 11:33:27)
1012 chloe:匯款匯入US$17175</t>
      </text>
    </comment>
    <comment authorId="0" ref="E555">
      <text>
        <t xml:space="preserve">======
ID#AAABjx7qV3k
    (2025-05-21 11:33:27)
180828 Karen: w/EU adapter</t>
      </text>
    </comment>
    <comment authorId="0" ref="E782">
      <text>
        <t xml:space="preserve">======
ID#AAABjx7qV2k
    (2025-05-21 11:33:27)
vecow offer $303</t>
      </text>
    </comment>
    <comment authorId="0" ref="J224">
      <text>
        <t xml:space="preserve">======
ID#AAABjx7qV2A
    (2025-05-21 11:33:27)
Moxa直出客戶收件地址如下：
思碩網路科技有限公司
桃園市中正路1247號11樓之2
TEL:03-3577861</t>
      </text>
    </comment>
    <comment authorId="0" ref="E272">
      <text>
        <t xml:space="preserve">======
ID#AAABjx7qV1g
0503 chloe    (2025-05-21 11:33:27)
待Miller 圖面畫完後告知快異點打線</t>
      </text>
    </comment>
    <comment authorId="0" ref="H374">
      <text>
        <t xml:space="preserve">======
ID#AAABjx7qV08
    (2025-05-21 11:33:27)
0706 chloe:匯款匯入US$3499</t>
      </text>
    </comment>
    <comment authorId="0" ref="H284">
      <text>
        <t xml:space="preserve">======
ID#AAABjx7qV0w
    (2025-05-21 11:33:27)
0619 chloe:匯入NT28950-原本款項25,011= 3,939(多匯)</t>
      </text>
    </comment>
    <comment authorId="0" ref="H486">
      <text>
        <t xml:space="preserve">======
ID#AAABjx7qV0o
    (2025-05-21 11:33:27)
0913 chloe:匯款匯入153646</t>
      </text>
    </comment>
    <comment authorId="0" ref="H648">
      <text>
        <t xml:space="preserve">======
ID#AAABjx7qV0U
    (2025-05-21 11:33:27)
1223 chloe:匯款匯入NT114,629</t>
      </text>
    </comment>
    <comment authorId="0" ref="L602">
      <text>
        <t xml:space="preserve">======
ID#AAABjx7qV0M
    (2025-05-21 11:33:27)
1113 chloe:貨到請通知Chloe</t>
      </text>
    </comment>
    <comment authorId="0" ref="H34">
      <text>
        <t xml:space="preserve">======
ID#AAABjx7qVz8
    (2025-05-21 11:33:27)
0109 Santiago  : 玉山已收到款項</t>
      </text>
    </comment>
    <comment authorId="0" ref="L610">
      <text>
        <t xml:space="preserve">======
ID#AAABjx7qVz4
    (2025-05-21 11:33:27)
0913 chloe:待PM確認圖面，廠商提供
1001 chloe: 快異點樣品 2 PCS
1 PCS for PM
1 PCS for 客戶</t>
      </text>
    </comment>
    <comment authorId="0" ref="L356">
      <text>
        <t xml:space="preserve">======
ID#AAABjx7qVz0
    (2025-05-21 11:33:27)
0627 chloe:詢問當天到貨?</t>
      </text>
    </comment>
    <comment authorId="0" ref="E259">
      <text>
        <t xml:space="preserve">======
ID#AAABjx7qVzo
0503 chloe    (2025-05-21 11:33:27)
待Miller 圖面畫完後告知快異點打線</t>
      </text>
    </comment>
    <comment authorId="0" ref="H63">
      <text>
        <t xml:space="preserve">======
ID#AAABjx7qVzk
    (2025-05-21 11:33:27)
0221 chloe:已匯入US$843</t>
      </text>
    </comment>
    <comment authorId="0" ref="E793">
      <text>
        <t xml:space="preserve">======
ID#AAABjx7qVzc
    (2025-05-21 11:33:27)
181113 Karen: w/o adapter</t>
      </text>
    </comment>
    <comment authorId="0" ref="H74">
      <text>
        <t xml:space="preserve">======
ID#AAABjx7qVzE
    (2025-05-21 11:33:27)
0312 chloe:匯入US$8026</t>
      </text>
    </comment>
    <comment authorId="0" ref="H366">
      <text>
        <t xml:space="preserve">======
ID#AAABjx7qVy0
    (2025-05-21 11:33:27)
已內含SFP-1GSXLC-T</t>
      </text>
    </comment>
    <comment authorId="0" ref="H478">
      <text>
        <t xml:space="preserve">======
ID#AAABjx7qVxw
    (2025-05-21 11:33:27)
1012 chloe:匯款匯入US$40290
(客戶少匯US$2280)
1030 chloe: 匯款匯入US$16,948.00</t>
      </text>
    </comment>
    <comment authorId="0" ref="H109">
      <text>
        <t xml:space="preserve">======
ID#AAABjx7qVws
    (2025-05-21 11:33:27)
0329 chloe 匯款匯入US$9609</t>
      </text>
    </comment>
    <comment authorId="0" ref="H234">
      <text>
        <t xml:space="preserve">======
ID#AAABjx7qVv4
    (2025-05-21 11:33:27)
0611 chloe:  匯款匯入8756</t>
      </text>
    </comment>
    <comment authorId="0" ref="H827">
      <text>
        <t xml:space="preserve">======
ID#AAABjx7qVvQ
    (2025-05-21 11:33:27)
0117 Mary: 匯款匯入US$1,425</t>
      </text>
    </comment>
    <comment authorId="0" ref="H119">
      <text>
        <t xml:space="preserve">======
ID#AAABjx7qVu4
0307 chloe    (2025-05-21 11:33:27)
若SA 付款 PI-20180205A+PI-20180205B，則PI-20180225A中的Nport 5450I-T &amp; TCC-82 亦可先行出貨
0314 chloe: 匯入款項US$20712</t>
      </text>
    </comment>
    <comment authorId="0" ref="L106">
      <text>
        <t xml:space="preserve">======
ID#AAABjx7qVuE
    (2025-05-21 11:33:27)
預計2/6到貨</t>
      </text>
    </comment>
    <comment authorId="0" ref="L138">
      <text>
        <t xml:space="preserve">======
ID#AAABjx7qVt8
    (2025-05-21 11:33:27)
預計3/26到貨</t>
      </text>
    </comment>
    <comment authorId="0" ref="H58">
      <text>
        <t xml:space="preserve">======
ID#AAABjx7qVtc
    (2025-05-21 11:33:27)
0129 chloe:匯入US$2033</t>
      </text>
    </comment>
    <comment authorId="0" ref="H836">
      <text>
        <t xml:space="preserve">======
ID#AAABjx7qVtI
    (2025-05-21 11:33:27)
1222 chloe:匯款匯入USD 17,904</t>
      </text>
    </comment>
    <comment authorId="0" ref="H360">
      <text>
        <t xml:space="preserve">======
ID#AAABjx7qVsw
    (2025-05-21 11:33:27)
0619 chloe:匯款匯入US$16947</t>
      </text>
    </comment>
    <comment authorId="0" ref="G676">
      <text>
        <t xml:space="preserve">======
ID#AAABjx7qVsc
    (2025-05-21 11:33:27)
w/5%VAT</t>
      </text>
    </comment>
    <comment authorId="0" ref="H533">
      <text>
        <t xml:space="preserve">======
ID#AAABjx7qVsI
    (2025-05-21 11:33:27)
1112 chloe:匯款匯入US$8,753</t>
      </text>
    </comment>
    <comment authorId="0" ref="K346">
      <text>
        <t xml:space="preserve">======
ID#AAABjx7qVsA
    (2025-05-21 11:33:27)
0614出貨前. 通知Santiago 拍照</t>
      </text>
    </comment>
    <comment authorId="0" ref="H224">
      <text>
        <t xml:space="preserve">======
ID#AAABjx7qVrk
    (2025-05-21 11:33:27)
0413 chloe:已收到 NT5531，其餘金額待下星期匯入
0419 chloe: 已收到 NT15,828 ，
故NT5531+15828 = NT21359(尚差1069)
0423 chloe:已收到NT1069</t>
      </text>
    </comment>
    <comment authorId="0" ref="K402">
      <text>
        <t xml:space="preserve">======
ID#AAABjx7qVrI
    (2025-05-21 11:33:27)
Santiago 0812 : Eric 請Bank準備一份Win10 IoT Ent LTSB 2016的安裝DVD或USB，供我們做測試或協助客戶重新安裝時使用</t>
      </text>
    </comment>
    <comment authorId="0" ref="H621">
      <text>
        <t xml:space="preserve">======
ID#AAABjx7qVq8
    (2025-05-21 11:33:27)
1012 chloe:匯款匯入US$15808</t>
      </text>
    </comment>
    <comment authorId="0" ref="H740">
      <text>
        <t xml:space="preserve">======
ID#AAABjx7qVp8
    (2025-05-21 11:33:27)
1217 chloe:匯款匯入US$3,207.00</t>
      </text>
    </comment>
    <comment authorId="0" ref="H136">
      <text>
        <t xml:space="preserve">======
ID#AAABjx7qVp0
    (2025-05-21 11:33:27)
0307 chloe: 匯款匯入US$2198</t>
      </text>
    </comment>
    <comment authorId="0" ref="H171">
      <text>
        <t xml:space="preserve">======
ID#AAABjx7qVps
    (2025-05-21 11:33:27)
0419 chloe:匯款匯入US$8750</t>
      </text>
    </comment>
    <comment authorId="0" ref="H412">
      <text>
        <t xml:space="preserve">======
ID#AAABjx7qVo4
    (2025-05-21 11:33:27)
0912 chloe:匯款匯入US$18134.4</t>
      </text>
    </comment>
    <comment authorId="0" ref="H351">
      <text>
        <t xml:space="preserve">======
ID#AAABjx7qVow
    (2025-05-21 11:33:27)
1012 chloe:匯款匯入US$17175</t>
      </text>
    </comment>
    <comment authorId="0" ref="H160">
      <text>
        <t xml:space="preserve">======
ID#AAABjx7qVoU
    (2025-05-21 11:33:27)
0312 chloe:匯入US$1,098</t>
      </text>
    </comment>
    <comment authorId="0" ref="P580">
      <text>
        <t xml:space="preserve">======
ID#AAABjx7qVoE
    (2025-05-21 11:33:27)
+10 (科技國給MOXA手續費)</t>
      </text>
    </comment>
    <comment authorId="0" ref="H198">
      <text>
        <t xml:space="preserve">======
ID#AAABjx7qVng
    (2025-05-21 11:33:27)
0524 chloe:匯款匯入US$8750</t>
      </text>
    </comment>
    <comment authorId="0" ref="E772">
      <text>
        <t xml:space="preserve">======
ID#AAABjx7qVnI
    (2025-05-21 11:33:27)
256GB 2.5" SSD M3M MP808 Samsung eMMC ET(-25℃~+85℃)</t>
      </text>
    </comment>
    <comment authorId="0" ref="G298">
      <text>
        <t xml:space="preserve">======
ID#AAABjx7qVm4
    (2025-05-21 11:33:27)
w/5%VAT</t>
      </text>
    </comment>
    <comment authorId="0" ref="K118">
      <text>
        <t xml:space="preserve">======
ID#AAABjx7qVms
Santiago 0308    (2025-05-21 11:33:27)
本預計3/12出貨, 改3/29, 待SA付款後, 再做時間變更</t>
      </text>
    </comment>
    <comment authorId="0" ref="H754">
      <text>
        <t xml:space="preserve">======
ID#AAABjx7qVmc
    (2025-05-21 11:33:27)
0123 Mary:匯款匯入US$847
(PI-20181029A)</t>
      </text>
    </comment>
    <comment authorId="0" ref="H444">
      <text>
        <t xml:space="preserve">======
ID#AAABjx7qVmM
    (2025-05-21 11:33:27)
0828 chloe 超支O/A已通知客戶付款
0831 chloe 收到支票
1)187,087(9/5 入帳)
2)180,000(9/6入帳)</t>
      </text>
    </comment>
    <comment authorId="0" ref="H345">
      <text>
        <t xml:space="preserve">======
ID#AAABjx7qVl4
    (2025-05-21 11:33:27)
0611 chloe: 匯款匯入15614</t>
      </text>
    </comment>
    <comment authorId="0" ref="H509">
      <text>
        <t xml:space="preserve">======
ID#AAABjx7qVlc
    (2025-05-21 11:33:27)
1030 chloe: 匯款匯入US$16,948.00</t>
      </text>
    </comment>
    <comment authorId="0" ref="H94">
      <text>
        <t xml:space="preserve">======
ID#AAABjx7qVkk
    (2025-05-21 11:33:27)
0215 chloe:入帳US$20,042.50</t>
      </text>
    </comment>
    <comment authorId="0" ref="E557">
      <text>
        <t xml:space="preserve">======
ID#AAABjx7qVkc
    (2025-05-21 11:33:27)
8/31Cindy:發票匯率@30*185=5550, 5550*1.05=5828</t>
      </text>
    </comment>
    <comment authorId="0" ref="D99">
      <text>
        <t xml:space="preserve">======
ID#AAABjx7qVjs
    (2025-05-21 11:33:27)
已於4/30 退回MOXA</t>
      </text>
    </comment>
    <comment authorId="0" ref="H92">
      <text>
        <t xml:space="preserve">======
ID#AAABjx7qVjY
    (2025-05-21 11:33:27)
0420 chloe: 匯款匯入US$9526</t>
      </text>
    </comment>
    <comment authorId="0" ref="H834">
      <text>
        <t xml:space="preserve">======
ID#AAABjx7qViM
    (2025-05-21 11:33:27)
1227 chloe:匯款匯入US$53334</t>
      </text>
    </comment>
    <comment authorId="0" ref="H377">
      <text>
        <t xml:space="preserve">======
ID#AAABjx7qVh8
    (2025-05-21 11:33:27)
0706 chloe:匯款匯入US$3499</t>
      </text>
    </comment>
    <comment authorId="0" ref="H727">
      <text>
        <t xml:space="preserve">======
ID#AAABjx7qVhk
    (2025-05-21 11:33:27)
1204 chloe:匯款匯入US$1,764.50</t>
      </text>
    </comment>
    <comment authorId="0" ref="H286">
      <text>
        <t xml:space="preserve">======
ID#AAABjx7qVhE
    (2025-05-21 11:33:27)
0612 chloe:收到支票NT82,222，待6/30兌現
已兌現</t>
      </text>
    </comment>
    <comment authorId="0" ref="H654">
      <text>
        <t xml:space="preserve">======
ID#AAABjx7qVgw
    (2025-05-21 11:33:27)
1023 chloe: 匯款匯入US 23,395</t>
      </text>
    </comment>
    <comment authorId="0" ref="H301">
      <text>
        <t xml:space="preserve">======
ID#AAABjx7qVgo
    (2025-05-21 11:33:27)
0720 chloe: 匯款匯入US$20772</t>
      </text>
    </comment>
    <comment authorId="0" ref="H120">
      <text>
        <t xml:space="preserve">======
ID#AAABjx7qVfY
    (2025-05-21 11:33:27)
0329 chloe 匯款匯入US$9609</t>
      </text>
    </comment>
    <comment authorId="0" ref="H62">
      <text>
        <t xml:space="preserve">======
ID#AAABjx7qVfQ
    (2025-05-21 11:33:27)
0321 chloe:收到款項NT229576(與戎克開立發票 差 170元)
0323 chloe: 協議下次補回170</t>
      </text>
    </comment>
    <comment authorId="0" ref="H707">
      <text>
        <t xml:space="preserve">======
ID#AAABjx7qVec
    (2025-05-21 11:33:27)
1022 chloe:匯款匯入USD 2,089</t>
      </text>
    </comment>
    <comment authorId="0" ref="H297">
      <text>
        <t xml:space="preserve">======
ID#AAABjx7qVeA
    (2025-05-21 11:33:27)
0622 chloe:匯款匯入US$14958</t>
      </text>
    </comment>
    <comment authorId="0" ref="K306">
      <text>
        <t xml:space="preserve">======
ID#AAABjx7qVdo
    (2025-05-21 11:33:27)
Lissa: 安排和 PI-20180510C一起出貨</t>
      </text>
    </comment>
    <comment authorId="0" ref="E260">
      <text>
        <t xml:space="preserve">======
ID#AAABjx7qVdg
0503 chloe    (2025-05-21 11:33:27)
待Miller 圖面畫完後告知快異點打線</t>
      </text>
    </comment>
    <comment authorId="0" ref="H663">
      <text>
        <t xml:space="preserve">======
ID#AAABjx7qVcU
    (2025-05-21 11:33:27)
1223 chloe:匯款匯入NT114,629</t>
      </text>
    </comment>
    <comment authorId="0" ref="H725">
      <text>
        <t xml:space="preserve">======
ID#AAABjx7qVbw
    (2025-05-21 11:33:27)
1220 chloe: 匯款匯入US$32647.5</t>
      </text>
    </comment>
    <comment authorId="0" ref="H803">
      <text>
        <t xml:space="preserve">======
ID#AAABjx7qVbk
    (2025-05-21 11:33:27)
1129 chloe:匯款匯入US$21360</t>
      </text>
    </comment>
    <comment authorId="0" ref="J822">
      <text>
        <t xml:space="preserve">======
ID#AAABjx7qVbQ
    (2025-05-21 11:33:27)
JUDY KAO
Supervisor Of Sales Div.
FETA FREIGHT SYSTEMS (TAIWAN ) LTD. 
Tel: +886-3-399-2033 EXT: 135
Direct: +886-3-3992106
Fax: +886-3-3992036/2055
E-mail: judykao@ffsi.com.tw
Skype:judykao-mlattao</t>
      </text>
    </comment>
    <comment authorId="0" ref="H194">
      <text>
        <t xml:space="preserve">======
ID#AAABjx7qVbE
    (2025-05-21 11:33:27)
0611 chloe:  匯款匯入8756</t>
      </text>
    </comment>
    <comment authorId="0" ref="U466">
      <text>
        <t xml:space="preserve">======
ID#AAABjx7qVa4
    (2025-05-21 11:33:27)
0607 chloe:發票5月已給會計，先列入庫存</t>
      </text>
    </comment>
    <comment authorId="0" ref="H424">
      <text>
        <t xml:space="preserve">======
ID#AAABjx7qVaY
    (2025-05-21 11:33:27)
0907 chloe:匯款匯入US$8273</t>
      </text>
    </comment>
    <comment authorId="0" ref="H618">
      <text>
        <t xml:space="preserve">======
ID#AAABjx7qVaU
    (2025-05-21 11:33:27)
1030 chloe: 匯款匯入US$16,948.00</t>
      </text>
    </comment>
    <comment authorId="0" ref="J87">
      <text>
        <t xml:space="preserve">======
ID#AAABjx7qVaQ
20180212 Santiago    (2025-05-21 11:33:27)
Christine 已請美灣拉貨. 
因為SA的FedEx 不能使用
未來下午四點前若不提供戎克訂單的運輸方式. 一律延到隔日出</t>
      </text>
    </comment>
    <comment authorId="0" ref="G383">
      <text>
        <t xml:space="preserve">======
ID#AAABjx7qVYw
    (2025-05-21 11:33:27)
180621 w/ vat 5%</t>
      </text>
    </comment>
    <comment authorId="0" ref="H218">
      <text>
        <t xml:space="preserve">======
ID#AAABjx7qVYo
    (2025-05-21 11:33:27)
0409 chloe:匯款匯入 USD 1,909</t>
      </text>
    </comment>
    <comment authorId="0" ref="R422">
      <text>
        <t xml:space="preserve">======
ID#AAABjx7qVYk
    (2025-05-21 11:33:27)
Santiago 1130 : 原來Chloe 註記銀行如下, 但Santiago 匯到舊的聯邦
合庫大安分行
0760717324727</t>
      </text>
    </comment>
    <comment authorId="0" ref="H397">
      <text>
        <t xml:space="preserve">======
ID#AAABjx7qVYE
    (2025-05-21 11:33:27)
0626 chloe: 0619 多匯NT3939
0718 chloe: 收到1859</t>
      </text>
    </comment>
    <comment authorId="0" ref="H102">
      <text>
        <t xml:space="preserve">======
ID#AAABjx7qVXU
    (2025-05-21 11:33:27)
0323 chloe: 匯款匯入US$3757</t>
      </text>
    </comment>
    <comment authorId="0" ref="H228">
      <text>
        <t xml:space="preserve">======
ID#AAABjx7qVXI
    (2025-05-21 11:33:27)
0430 chloe: 匯款匯入US$27340</t>
      </text>
    </comment>
    <comment authorId="0" ref="H322">
      <text>
        <t xml:space="preserve">======
ID#AAABjx7qVXA
    (2025-05-21 11:33:27)
0813 chloe:匯款匯入 US$3841.5</t>
      </text>
    </comment>
    <comment authorId="0" ref="H207">
      <text>
        <t xml:space="preserve">======
ID#AAABjx7qVW8
    (2025-05-21 11:33:27)
0523 chloe:匯款匯入US$16190</t>
      </text>
    </comment>
    <comment authorId="0" ref="H179">
      <text>
        <t xml:space="preserve">======
ID#AAABjx7qVWY
    (2025-05-21 11:33:27)
0709 chloe:匯款匯入US$3424</t>
      </text>
    </comment>
    <comment authorId="0" ref="E766">
      <text>
        <t xml:space="preserve">======
ID#AAABjx7qVWM
    (2025-05-21 11:33:27)
256GB 2.5" SSD M3M MP808 Samsung eMMC ET(-25℃~+85℃)</t>
      </text>
    </comment>
    <comment authorId="0" ref="H748">
      <text>
        <t xml:space="preserve">======
ID#AAABjx7qVWA
    (2025-05-21 11:33:27)
1220 chloe: 匯款匯入US$32647.5</t>
      </text>
    </comment>
    <comment authorId="0" ref="H4">
      <text>
        <t xml:space="preserve">======
ID#AAABjx7qVV8
    (2025-05-21 11:33:27)
0226 chloe: 收到匯款US$2520</t>
      </text>
    </comment>
    <comment authorId="0" ref="H724">
      <text>
        <t xml:space="preserve">======
ID#AAABjx7qVVo
    (2025-05-21 11:33:27)
1220 chloe: 匯款匯入US$32647.5</t>
      </text>
    </comment>
    <comment authorId="0" ref="L365">
      <text>
        <t xml:space="preserve">======
ID#AAABjx7qVV0
    (2025-05-21 11:33:27)
0627 Chloe: 到貨後請至翔X加工</t>
      </text>
    </comment>
    <comment authorId="0" ref="H168">
      <text>
        <t xml:space="preserve">======
ID#AAABjx7qVVU
    (2025-05-21 11:33:27)
0420 chloe: 匯款匯入US$9526</t>
      </text>
    </comment>
    <comment authorId="0" ref="Q741">
      <text>
        <t xml:space="preserve">======
ID#AAABjx7qVVI
    (2025-05-21 11:33:27)
下單10 PCS 轉庫存</t>
      </text>
    </comment>
    <comment authorId="0" ref="H293">
      <text>
        <t xml:space="preserve">======
ID#AAABjx7qVUE
    (2025-05-21 11:33:27)
0822 chloe: 匯款匯入US$703</t>
      </text>
    </comment>
    <comment authorId="0" ref="L742">
      <text>
        <t xml:space="preserve">======
ID#AAABjx7qVTw
    (2025-05-21 11:33:27)
1115 Chloe已給Cindy</t>
      </text>
    </comment>
    <comment authorId="0" ref="R297">
      <text>
        <t xml:space="preserve">======
ID#AAABjx7qVTs
    (2025-05-21 11:33:27)
Santiago 1130 : 原來Chloe 註記銀行如下, 但Santiago 匯到舊的聯邦
合庫大安分行
0760717324727</t>
      </text>
    </comment>
    <comment authorId="0" ref="H551">
      <text>
        <t xml:space="preserve">======
ID#AAABjx7qVTk
    (2025-05-21 11:33:27)
0828 chloe:匯入US$2767，因匯款成舊戶名，銀行不予放款，待客戶修改
0904 chloe:已入款</t>
      </text>
    </comment>
    <comment authorId="0" ref="H675">
      <text>
        <t xml:space="preserve">======
ID#AAABjx7qVTY
    (2025-05-21 11:33:27)
1119 chloe:匯款匯入US392.5</t>
      </text>
    </comment>
    <comment authorId="0" ref="H799">
      <text>
        <t xml:space="preserve">======
ID#AAABjx7qVTQ
    (2025-05-21 11:33:27)
1129 chloe:匯款匯入US$21360</t>
      </text>
    </comment>
    <comment authorId="0" ref="H497">
      <text>
        <t xml:space="preserve">======
ID#AAABjx7qVSA
    (2025-05-21 11:33:27)
1001 chloe:匯款匯入US$5952.5</t>
      </text>
    </comment>
    <comment authorId="0" ref="H700">
      <text>
        <t xml:space="preserve">======
ID#AAABjx7qVR4
    (2025-05-21 11:33:27)
1220 chloe: 匯款匯入US$32647.5</t>
      </text>
    </comment>
    <comment authorId="0" ref="G99">
      <text>
        <t xml:space="preserve">======
ID#AAABjx7qVRw
    (2025-05-21 11:33:27)
0124 Santiago 報價修正為US$168</t>
      </text>
    </comment>
    <comment authorId="0" ref="H522">
      <text>
        <t xml:space="preserve">======
ID#AAABjx7qVRo
    (2025-05-21 11:33:27)
1002 chloe:匯款匯入US$17500</t>
      </text>
    </comment>
    <comment authorId="0" ref="L626">
      <text>
        <t xml:space="preserve">======
ID#AAABjx7qVQo
    (2025-05-21 11:33:27)
1001 chloe:無須寄給閎亮</t>
      </text>
    </comment>
    <comment authorId="0" ref="H572">
      <text>
        <t xml:space="preserve">======
ID#AAABjx7qVQM
    (2025-05-21 11:33:27)
1120 chloe:匯款匯入US$6410</t>
      </text>
    </comment>
    <comment authorId="0" ref="X284">
      <text>
        <t xml:space="preserve">======
ID#AAABjx7qVQI
    (2025-05-21 11:33:27)
發票5/31 ，已給會計</t>
      </text>
    </comment>
    <comment authorId="0" ref="H471">
      <text>
        <t xml:space="preserve">======
ID#AAABjx7qVOs
    (2025-05-21 11:33:27)
0912 chloe:匯款匯入US$18134.4</t>
      </text>
    </comment>
    <comment authorId="0" ref="H813">
      <text>
        <t xml:space="preserve">======
ID#AAABjx7qVN4
    (2025-05-21 11:33:27)
0111  chloe:匯款匯入US$8,152</t>
      </text>
    </comment>
    <comment authorId="0" ref="H38">
      <text>
        <t xml:space="preserve">======
ID#AAABjx7qVN0
    (2025-05-21 11:33:27)
0209 chloe: 匯入款項US49990;剩餘款項23201 預計2/12當週匯款
0301 chloe:匯入款項23181</t>
      </text>
    </comment>
    <comment authorId="0" ref="H342">
      <text>
        <t xml:space="preserve">======
ID#AAABjx7qVNw
    (2025-05-21 11:33:27)
0705 chloe:收到支票NT82505，待7/30兌現</t>
      </text>
    </comment>
    <comment authorId="0" ref="J216">
      <text>
        <t xml:space="preserve">======
ID#AAABjx7qVNc
    (2025-05-21 11:33:27)
103A Mary Street, Richmond, VIC, 3121, Australia</t>
      </text>
    </comment>
    <comment authorId="0" ref="H808">
      <text>
        <t xml:space="preserve">======
ID#AAABjx7qVNM
    (2025-05-21 11:33:27)
1227 chloe:匯款匯入US$53334</t>
      </text>
    </comment>
    <comment authorId="0" ref="K122">
      <text>
        <t xml:space="preserve">======
ID#AAABjx7qVM0
    (2025-05-21 11:33:27)
christine0222:連同目錄一起寄出</t>
      </text>
    </comment>
    <comment authorId="0" ref="H308">
      <text>
        <t xml:space="preserve">======
ID#AAABjx7qVMA
    (2025-05-21 11:33:27)
0529 chloe:匯款匯入US$10844</t>
      </text>
    </comment>
    <comment authorId="0" ref="H660">
      <text>
        <t xml:space="preserve">======
ID#AAABjx7qVL0
    (2025-05-21 11:33:27)
1223 chloe:匯款匯入NT114,629</t>
      </text>
    </comment>
    <comment authorId="0" ref="K150">
      <text>
        <t xml:space="preserve">======
ID#AAABjx7qVLc
Santiago 0308    (2025-05-21 11:33:27)
本預計3/12出貨, 改3/29, 待SA付款後, 再做時間變更</t>
      </text>
    </comment>
    <comment authorId="0" ref="H552">
      <text>
        <t xml:space="preserve">======
ID#AAABjx7qVLY
    (2025-05-21 11:33:27)
0828 chloe:匯入US$2767，因匯款成舊戶名，銀行不予放款，待客戶修改
0904 chloe:已入款</t>
      </text>
    </comment>
    <comment authorId="0" ref="L161">
      <text>
        <t xml:space="preserve">======
ID#AAABjx7qVKk
    (2025-05-21 11:33:27)
預計3/26到貨</t>
      </text>
    </comment>
    <comment authorId="0" ref="K13">
      <text>
        <t xml:space="preserve">======
ID#AAABjx7qVJY
    (2025-05-21 11:33:27)
併RMA-20171103A-1~10(獨立一箱)</t>
      </text>
    </comment>
    <comment authorId="0" ref="H282">
      <text>
        <t xml:space="preserve">======
ID#AAABjx7qVJU
    (2025-05-21 11:33:27)
0621 chloe:匯款匯入US$4890</t>
      </text>
    </comment>
    <comment authorId="0" ref="G128">
      <text>
        <t xml:space="preserve">======
ID#AAABjx7qVIo
    (2025-05-21 11:33:27)
w/5%VAT</t>
      </text>
    </comment>
    <comment authorId="0" ref="H489">
      <text>
        <t xml:space="preserve">======
ID#AAABjx7qVHw
    (2025-05-21 11:33:27)
1001 chloe:匯款匯入US$5952.5</t>
      </text>
    </comment>
    <comment authorId="0" ref="P836">
      <text>
        <t xml:space="preserve">======
ID#AAABjx7qVHg
    (2025-05-21 11:33:27)
+10 (科技國給MOXA手續費)</t>
      </text>
    </comment>
    <comment authorId="0" ref="V274">
      <text>
        <t xml:space="preserve">======
ID#AAABjx7qVGM
    (2025-05-21 11:33:27)
發票7月已先給會計</t>
      </text>
    </comment>
    <comment authorId="0" ref="H632">
      <text>
        <t xml:space="preserve">======
ID#AAABjx7qVFs
    (2025-05-21 11:33:27)
1220 chloe: 匯款匯入US$32647.5</t>
      </text>
    </comment>
    <comment authorId="0" ref="Q619">
      <text>
        <t xml:space="preserve">======
ID#AAABjx7qVE0
    (2025-05-21 11:33:27)
8台</t>
      </text>
    </comment>
    <comment authorId="0" ref="E568">
      <text>
        <t xml:space="preserve">======
ID#AAABjx7qVEo
    (2025-05-21 11:33:27)
戎克料號:02-BE-00061</t>
      </text>
    </comment>
    <comment authorId="0" ref="P601">
      <text>
        <t xml:space="preserve">======
ID#AAABjx7qVEQ
    (2025-05-21 11:33:27)
1024 chloe:已告知若使用美金付款將不使用全額到匯→待供應商回覆</t>
      </text>
    </comment>
    <comment authorId="0" ref="H767">
      <text>
        <t xml:space="preserve">======
ID#AAABjx7qVEE
    (2025-05-21 11:33:27)
0123 Mary:匯款匯入US$8,490
(PI-20181031A)</t>
      </text>
    </comment>
    <comment authorId="0" ref="E192">
      <text>
        <t xml:space="preserve">======
ID#AAABjx7qVDo
    (2025-05-21 11:33:27)
規格:EU</t>
      </text>
    </comment>
    <comment authorId="0" ref="H9">
      <text>
        <t xml:space="preserve">======
ID#AAABjx7qVDc
    (2025-05-21 11:33:27)
0306 chloe: 2/1 已收到匯款US$9120</t>
      </text>
    </comment>
    <comment authorId="0" ref="H289">
      <text>
        <t xml:space="preserve">======
ID#AAABjx7qVDM
    (2025-05-21 11:33:27)
0604 chloe:匯款匯入US$1622</t>
      </text>
    </comment>
    <comment authorId="0" ref="H513">
      <text>
        <t xml:space="preserve">======
ID#AAABjx7qVCo
    (2025-05-21 11:33:27)
1030 chloe: 匯款匯入US$16,948.00</t>
      </text>
    </comment>
    <comment authorId="0" ref="H332">
      <text>
        <t xml:space="preserve">======
ID#AAABjx7qVBM
    (2025-05-21 11:33:27)
0531 chloe:匯款匯入US$1052</t>
      </text>
    </comment>
    <comment authorId="0" ref="H35">
      <text>
        <t xml:space="preserve">======
ID#AAABjx7qVAY
    (2025-05-21 11:33:27)
0209 chloe: 匯入款項US49990;剩餘款項23201 預計2/12當週匯款
0301 chloe:匯入款項23181</t>
      </text>
    </comment>
    <comment authorId="0" ref="Q722">
      <text>
        <t xml:space="preserve">======
ID#AAABjx7qVAQ
    (2025-05-21 11:33:27)
因取消訂單 收取20%手續費
 620*0.2=124 *20pcs =2480元</t>
      </text>
    </comment>
    <comment authorId="0" ref="G556">
      <text>
        <t xml:space="preserve">======
ID#AAABjx7qU_I
    (2025-05-21 11:33:27)
180828 w/ vat 5%</t>
      </text>
    </comment>
    <comment authorId="0" ref="H379">
      <text>
        <t xml:space="preserve">======
ID#AAABjx7qU-0
    (2025-05-21 11:33:27)
0913 chloe:匯款匯入153646</t>
      </text>
    </comment>
    <comment authorId="0" ref="H623">
      <text>
        <t xml:space="preserve">======
ID#AAABjx7qU-M
    (2025-05-21 11:33:27)
1122 chloe:匯款匯入US$2420</t>
      </text>
    </comment>
    <comment authorId="0" ref="E742">
      <text>
        <t xml:space="preserve">======
ID#AAABjx7qU9w
    (2025-05-21 11:33:27)
1115 chloe: 已備 10 PCS，用完後即有MOQ :10 PCS</t>
      </text>
    </comment>
    <comment authorId="0" ref="H502">
      <text>
        <t xml:space="preserve">======
ID#AAABjx7qU9o
    (2025-05-21 11:33:27)
1012 chloe:匯款匯入US$1716</t>
      </text>
    </comment>
    <comment authorId="0" ref="H326">
      <text>
        <t xml:space="preserve">======
ID#AAABjx7qU9k
    (2025-05-21 11:33:27)
0805 chloe:匯入NT311,925</t>
      </text>
    </comment>
    <comment authorId="0" ref="E135">
      <text>
        <t xml:space="preserve">======
ID#AAABjx7qU9M
    (2025-05-21 11:33:27)
0221 Santiago, 
客戶本來下單CP-134U-I-DB9M V2.3
後來改為 CP-134EL-A-I-DB9M</t>
      </text>
    </comment>
    <comment authorId="0" ref="G518">
      <text>
        <t xml:space="preserve">======
ID#AAABjx7qU8w
    (2025-05-21 11:33:27)
180828 w/ vat 5%</t>
      </text>
    </comment>
    <comment authorId="0" ref="H107">
      <text>
        <t xml:space="preserve">======
ID#AAABjx7qU78
    (2025-05-21 11:33:27)
0329 chloe 匯款匯入US$9609</t>
      </text>
    </comment>
    <comment authorId="0" ref="L595">
      <text>
        <t xml:space="preserve">======
ID#AAABjx7qU7s
    (2025-05-21 11:33:27)
1113 chloe:貨到請通知Chloe</t>
      </text>
    </comment>
    <comment authorId="0" ref="H581">
      <text>
        <t xml:space="preserve">======
ID#AAABjx7qU7k
    (2025-05-21 11:33:27)
1030 chloe: 匯款匯入US$16,948.00</t>
      </text>
    </comment>
    <comment authorId="0" ref="H334">
      <text>
        <t xml:space="preserve">======
ID#AAABjx7qU7g
    (2025-05-21 11:33:27)
0813 chloe:匯款匯入 US$3841.5</t>
      </text>
    </comment>
    <comment authorId="0" ref="L84">
      <text>
        <t xml:space="preserve">======
ID#AAABjx7qU7Y
    (2025-05-21 11:33:27)
預計2/5到貨</t>
      </text>
    </comment>
    <comment authorId="0" ref="H668">
      <text>
        <t xml:space="preserve">======
ID#AAABjx7qU7I
    (2025-05-21 11:33:27)
1223 chloe:匯款匯入NT114,629</t>
      </text>
    </comment>
    <comment authorId="0" ref="H115">
      <text>
        <t xml:space="preserve">======
ID#AAABjx7qU6w
0307 chloe    (2025-05-21 11:33:27)
若SA 付款 PI-20180205A+PI-20180205B，則PI-20180225A中的Nport 5450I-T &amp; TCC-82 亦可先行出貨
0314 chloe: 匯入款項US$20712</t>
      </text>
    </comment>
    <comment authorId="0" ref="J39">
      <text>
        <t xml:space="preserve">======
ID#AAABjx7qU6o
20180212 Santiago    (2025-05-21 11:33:27)
Christine 已請美灣拉貨. 
因為SA的FedEx 不能使用
未來下午四點前若不提供戎克訂單的運輸方式. 一律延到隔日出</t>
      </text>
    </comment>
    <comment authorId="0" ref="L77">
      <text>
        <t xml:space="preserve">======
ID#AAABjx7qU6c
    (2025-05-21 11:33:27)
預計3/8到貨</t>
      </text>
    </comment>
    <comment authorId="0" ref="H259">
      <text>
        <t xml:space="preserve">======
ID#AAABjx7qU58
    (2025-05-21 11:33:27)
0622 chloe:匯款匯入US$679</t>
      </text>
    </comment>
    <comment authorId="0" ref="L601">
      <text>
        <t xml:space="preserve">======
ID#AAABjx7qU5M
    (2025-05-21 11:33:26)
1113 chloe:貨到請通知Chloe</t>
      </text>
    </comment>
    <comment authorId="0" ref="H333">
      <text>
        <t xml:space="preserve">======
ID#AAABjx7qU4s
    (2025-05-21 11:33:26)
0712 chloe:匯款匯入US$3031</t>
      </text>
    </comment>
    <comment authorId="0" ref="H532">
      <text>
        <t xml:space="preserve">======
ID#AAABjx7qU4U
    (2025-05-21 11:33:26)
0824 chloe:匯款匯入US1699</t>
      </text>
    </comment>
    <comment authorId="0" ref="J490">
      <text>
        <t xml:space="preserve">======
ID#AAABjx7qU34
    (2025-05-21 11:33:26)
180806 Tammy: 出貨前, 再次確認
180830 Tammy: 確認UX Logistics</t>
      </text>
    </comment>
    <comment authorId="0" ref="L614">
      <text>
        <t xml:space="preserve">======
ID#AAABjx7qU3M
    (2025-05-21 11:33:26)
0919 已 PULL IN</t>
      </text>
    </comment>
    <comment authorId="0" ref="Q475">
      <text>
        <t xml:space="preserve">======
ID#AAABjx7qU2g
    (2025-05-21 11:33:26)
0803 chloe:專案價</t>
      </text>
    </comment>
    <comment authorId="0" ref="H425">
      <text>
        <t xml:space="preserve">======
ID#AAABjx7qU2c
    (2025-05-21 11:33:26)
0907 chloe:匯款匯入US$8273</t>
      </text>
    </comment>
    <comment authorId="0" ref="E66">
      <text>
        <t xml:space="preserve">======
ID#AAABjx7qU2U
0108 Santiago     (2025-05-21 11:33:26)
原為S760K 是錯誤connector
應為PC722A 才對
0213 chloe:維田型號AHM-6877</t>
      </text>
    </comment>
    <comment authorId="0" ref="H14">
      <text>
        <t xml:space="preserve">======
ID#AAABjx7qU1s
    (2025-05-21 11:33:26)
0122 chloe:入帳USD75184.50</t>
      </text>
    </comment>
    <comment authorId="0" ref="H822">
      <text>
        <t xml:space="preserve">======
ID#AAABjx7qU1g
    (2025-05-21 11:33:26)
1218 chloe:匯款匯入US$17109</t>
      </text>
    </comment>
    <comment authorId="0" ref="H544">
      <text>
        <t xml:space="preserve">======
ID#AAABjx7qU1k
    (2025-05-21 11:33:26)
1120 chloe:匯款匯入US$6410</t>
      </text>
    </comment>
    <comment authorId="0" ref="H753">
      <text>
        <t xml:space="preserve">======
ID#AAABjx7qU1Q
    (2025-05-21 11:33:26)
0123 Mary:匯款匯入US$847
(PI-20181029A)</t>
      </text>
    </comment>
    <comment authorId="0" ref="S123">
      <text>
        <t xml:space="preserve">======
ID#AAABjx7qU1A
    (2025-05-21 11:33:26)
4/5 再付款</t>
      </text>
    </comment>
    <comment authorId="0" ref="G805">
      <text>
        <t xml:space="preserve">======
ID#AAABjx7qU00
201811119 San    (2025-05-21 11:33:26)
NT$2760 / 1 pcs, 未稅價</t>
      </text>
    </comment>
    <comment authorId="0" ref="K282">
      <text>
        <t xml:space="preserve">======
ID#AAABjx7qU0g
    (2025-05-21 11:33:26)
christine 0515: forwarder hold</t>
      </text>
    </comment>
    <comment authorId="0" ref="H674">
      <text>
        <t xml:space="preserve">======
ID#AAABjx7qUzo
    (2025-05-21 11:33:26)
1119 chloe:匯款匯入US392.5</t>
      </text>
    </comment>
    <comment authorId="0" ref="L137">
      <text>
        <t xml:space="preserve">======
ID#AAABjx7qUzU
    (2025-05-21 11:33:26)
預計3/26到貨</t>
      </text>
    </comment>
    <comment authorId="0" ref="E391">
      <text>
        <t xml:space="preserve">======
ID#AAABjx7qUys
    (2025-05-21 11:33:26)
0627 chloe 改為M3S0-8GSSDLPC 宜鼎庫存，待下筆改為DDS8GHIMBFC
0719 chloe:出口報單登記為DDS8GHIMBFC</t>
      </text>
    </comment>
    <comment authorId="0" ref="K73">
      <text>
        <t xml:space="preserve">======
ID#AAABjx7qUyM
0111 Santiago     (2025-05-21 11:33:26)
出貨前請Benson拍照</t>
      </text>
    </comment>
    <comment authorId="0" ref="H566">
      <text>
        <t xml:space="preserve">======
ID#AAABjx7qUyE
    (2025-05-21 11:33:26)
1031 chloe:匯款匯入US$687</t>
      </text>
    </comment>
    <comment authorId="0" ref="H150">
      <text>
        <t xml:space="preserve">======
ID#AAABjx7qUyA
    (2025-05-21 11:33:26)
0323 chloe: 客戶預計3/26付款
0410 chloe: 匯款匯入US$21,800</t>
      </text>
    </comment>
    <comment authorId="0" ref="E665">
      <text>
        <t xml:space="preserve">======
ID#AAABjx7qUxk
    (2025-05-21 11:33:26)
1113 Cindy: 原型號 SOD03停產, 改以SOD04代替</t>
      </text>
    </comment>
    <comment authorId="0" ref="H734">
      <text>
        <t xml:space="preserve">======
ID#AAABjx7qUw4
    (2025-05-21 11:33:26)
1210 chloe:收到支票29516(待12/30兌現)
1/5已兌現</t>
      </text>
    </comment>
    <comment authorId="0" ref="H400">
      <text>
        <t xml:space="preserve">======
ID#AAABjx7qUws
    (2025-05-21 11:33:26)
0813 chloe:匯款匯入 US$3841.5</t>
      </text>
    </comment>
    <comment authorId="0" ref="O258">
      <text>
        <t xml:space="preserve">======
ID#AAABjx7qUvo
    (2025-05-21 11:33:26)
2 PCS</t>
      </text>
    </comment>
    <comment authorId="0" ref="E258">
      <text>
        <t xml:space="preserve">======
ID#AAABjx7qUvU
0503 chloe    (2025-05-21 11:33:26)
待Miller 圖面畫完後告知快異點打線</t>
      </text>
    </comment>
    <comment authorId="0" ref="H587">
      <text>
        <t xml:space="preserve">======
ID#AAABjx7qUvE
    (2025-05-21 11:33:26)
1024 chloe:匯款匯入US$11920</t>
      </text>
    </comment>
    <comment authorId="0" ref="H575">
      <text>
        <t xml:space="preserve">======
ID#AAABjx7qUuw
    (2025-05-21 11:33:26)
1030 chloe: 匯款匯入US$16,948.00
※此Cable 只收取 5 PCS 7 PCS金額還短缺 5PCS金額
※已收取 5 PCS金額
1120 chloe:匯款匯入US$6410</t>
      </text>
    </comment>
    <comment authorId="0" ref="H328">
      <text>
        <t xml:space="preserve">======
ID#AAABjx7qUtE
    (2025-05-21 11:33:26)
0619 chloe:匯款匯入NT$86969</t>
      </text>
    </comment>
    <comment authorId="0" ref="K37">
      <text>
        <t xml:space="preserve">======
ID#AAABjx7qUs4
Santiago 20180116    (2025-05-21 11:33:26)
出貨前通知Santiago 拍照</t>
      </text>
    </comment>
    <comment authorId="0" ref="O350">
      <text>
        <t xml:space="preserve">======
ID#AAABjx7qUsw
    (2025-05-21 11:33:26)
0606 下單</t>
      </text>
    </comment>
    <comment authorId="0" ref="H447">
      <text>
        <t xml:space="preserve">======
ID#AAABjx7qUrI
    (2025-05-21 11:33:26)
0808 chloe:入帳US$34,335</t>
      </text>
    </comment>
    <comment authorId="0" ref="L660">
      <text>
        <t xml:space="preserve">======
ID#AAABjx7qTsg
    (2025-05-21 11:33:26)
1112 chloe:貨到交由Santiago</t>
      </text>
    </comment>
    <comment authorId="0" ref="H197">
      <text>
        <t xml:space="preserve">======
ID#AAABjx7qTsQ
    (2025-05-21 11:33:26)
0521 Chloe:匯款匯入US$659</t>
      </text>
    </comment>
    <comment authorId="0" ref="H441">
      <text>
        <t xml:space="preserve">======
ID#AAABjx7qTrw
    (2025-05-21 11:33:26)
0907 chloe:匯款匯入US$8273</t>
      </text>
    </comment>
    <comment authorId="0" ref="E81">
      <text>
        <t xml:space="preserve">======
ID#AAABjx7qTrU
    (2025-05-21 11:33:26)
20170104 Santiago: 和之前訂單一樣, w/o adapter</t>
      </text>
    </comment>
    <comment authorId="0" ref="H123">
      <text>
        <t xml:space="preserve">======
ID#AAABjx7qTq0
    (2025-05-21 11:33:26)
0329 chloe 匯款匯入US$9609</t>
      </text>
    </comment>
    <comment authorId="0" ref="H384">
      <text>
        <t xml:space="preserve">======
ID#AAABjx7qTq4
    (2025-05-21 11:33:26)
0710 chloe:匯款匯入44891</t>
      </text>
    </comment>
    <comment authorId="0" ref="Y210">
      <text>
        <t xml:space="preserve">======
ID#AAABjx7qTqo
    (2025-05-21 11:33:26)
運費: NT4557  GG27334531</t>
      </text>
    </comment>
    <comment authorId="0" ref="J40">
      <text>
        <t xml:space="preserve">======
ID#AAABjx7qTqs
20180212 Santiago    (2025-05-21 11:33:26)
Christine 已請美灣拉貨. 
因為SA的FedEx 不能使用
未來下午四點前若不提供戎克訂單的運輸方式. 一律延到隔日出</t>
      </text>
    </comment>
    <comment authorId="0" ref="V783">
      <text>
        <t xml:space="preserve">======
ID#AAABjx7qTqQ
    (2025-05-21 11:33:26)
2019/1/5 正本尚未寄出，先給會計副本</t>
      </text>
    </comment>
    <comment authorId="0" ref="AA432">
      <text>
        <t xml:space="preserve">======
ID#AAABjx7qTqM
    (2025-05-21 11:33:26)
發票應開立NT14802</t>
      </text>
    </comment>
    <comment authorId="0" ref="H435">
      <text>
        <t xml:space="preserve">======
ID#AAABjx7qTqA
    (2025-05-21 11:33:26)
1001 chloe:匯款匯入US$5952.5</t>
      </text>
    </comment>
    <comment authorId="0" ref="H130">
      <text>
        <t xml:space="preserve">======
ID#AAABjx7qTpo
    (2025-05-21 11:33:26)
0406 chloe匯款匯入US$7,637.50</t>
      </text>
    </comment>
    <comment authorId="0" ref="H728">
      <text>
        <t xml:space="preserve">======
ID#AAABjx7qTpM
    (2025-05-21 11:33:26)
1210 chloe:收到支票29516(待12/30兌現)
1/5已兌現</t>
      </text>
    </comment>
    <comment authorId="0" ref="H380">
      <text>
        <t xml:space="preserve">======
ID#AAABjx7qTpE
    (2025-05-21 11:33:26)
0710 chloe:匯款匯入44891</t>
      </text>
    </comment>
    <comment authorId="0" ref="H818">
      <text>
        <t xml:space="preserve">======
ID#AAABjx7qTn0
    (2025-05-21 11:33:26)
1218 chloe:匯款匯入US$17109</t>
      </text>
    </comment>
    <comment authorId="0" ref="E30">
      <text>
        <t xml:space="preserve">======
ID#AAABjx7qTng
    (2025-05-21 11:33:26)
11/12 michelle: 58-80024-0000</t>
      </text>
    </comment>
    <comment authorId="0" ref="K649">
      <text>
        <t xml:space="preserve">======
ID#AAABjx7qTmc
20181013 San    (2025-05-21 11:33:26)
出貨發票以PI 台幣金額為主
PI 有放到Google drive資料夾裡
1112 chloe:貨到交由Santiago</t>
      </text>
    </comment>
    <comment authorId="0" ref="H483">
      <text>
        <t xml:space="preserve">======
ID#AAABjx7qTmA
    (2025-05-21 11:33:26)
0907 chloe:匯款匯入US$2433</t>
      </text>
    </comment>
    <comment authorId="0" ref="K35">
      <text>
        <t xml:space="preserve">======
ID#AAABjx7qTls
Santiago 20180116    (2025-05-21 11:33:26)
出貨前通知Santiago 拍照</t>
      </text>
    </comment>
    <comment authorId="0" ref="H227">
      <text>
        <t xml:space="preserve">======
ID#AAABjx7qTlY
    (2025-05-21 11:33:26)
0430 chloe: 匯款匯入US$27340</t>
      </text>
    </comment>
    <comment authorId="0" ref="H793">
      <text>
        <t xml:space="preserve">======
ID#AAABjx7qTlc
    (2025-05-21 11:33:26)
1113 chloe: 匯款匯入 USD 9,664</t>
      </text>
    </comment>
    <comment authorId="0" ref="R358">
      <text>
        <t xml:space="preserve">======
ID#AAABjx7qTk8
    (2025-05-21 11:33:26)
Santiago 1130 : 原來Chloe 註記銀行如下, 但Santiago 匯到舊的聯邦
合庫大安分行
0760717324727</t>
      </text>
    </comment>
    <comment authorId="0" ref="H183">
      <text>
        <t xml:space="preserve">======
ID#AAABjx7qTj4
    (2025-05-21 11:33:26)
0329 chloe:匯款匯入US$2049</t>
      </text>
    </comment>
    <comment authorId="0" ref="H704">
      <text>
        <t xml:space="preserve">======
ID#AAABjx7qTjY
    (2025-05-21 11:33:26)
1203 chloe: 電文11/30匯款，待銀行通知
1204 chloe:匯款匯入US16627</t>
      </text>
    </comment>
    <comment authorId="0" ref="G185">
      <text>
        <t xml:space="preserve">======
ID#AAABjx7qTis
Santiago 0828    (2025-05-21 11:33:26)
US$150 x 1.05 =157.5
157.5 x 30 =4725</t>
      </text>
    </comment>
    <comment authorId="0" ref="H608">
      <text>
        <t xml:space="preserve">======
ID#AAABjx7qTig
    (2025-05-21 11:33:26)
1024 chloe:匯款匯入US$11920</t>
      </text>
    </comment>
    <comment authorId="0" ref="H699">
      <text>
        <t xml:space="preserve">======
ID#AAABjx7qTiU
    (2025-05-21 11:33:26)
1203 chloe: 電文11/30匯款，待銀行通知
1204 chloe:匯款匯入US16627</t>
      </text>
    </comment>
    <comment authorId="0" ref="H178">
      <text>
        <t xml:space="preserve">======
ID#AAABjx7qTiA
    (2025-05-21 11:33:26)
0427 chloe:匯款匯入US$19820</t>
      </text>
    </comment>
    <comment authorId="0" ref="K214">
      <text>
        <t xml:space="preserve">======
ID#AAABjx7qTho
    (2025-05-21 11:33:26)
christine0416:併RMA-20180221A</t>
      </text>
    </comment>
    <comment authorId="0" ref="K340">
      <text>
        <t xml:space="preserve">======
ID#AAABjx7qTh0
    (2025-05-21 11:33:26)
0608 chloe:尚未收到款項，暫HOLD</t>
      </text>
    </comment>
    <comment authorId="0" ref="H365">
      <text>
        <t xml:space="preserve">======
ID#AAABjx7qTgE
    (2025-05-21 11:33:26)
0627 chloe:匯款匯入US$3075</t>
      </text>
    </comment>
    <comment authorId="0" ref="E303">
      <text>
        <t xml:space="preserve">======
ID#AAABjx7qTgA
    (2025-05-21 11:33:26)
180516 正確為SAA adapter</t>
      </text>
    </comment>
    <comment authorId="0" ref="H517">
      <text>
        <t xml:space="preserve">======
ID#AAABjx7qTeo
    (2025-05-21 11:33:26)
0918 chloe:匯款匯入US$1053</t>
      </text>
    </comment>
    <comment authorId="0" ref="H452">
      <text>
        <t xml:space="preserve">======
ID#AAABjx7qTeU
    (2025-05-21 11:33:26)
0824 chloe:匯款匯入US$31,023</t>
      </text>
    </comment>
    <comment authorId="0" ref="K43">
      <text>
        <t xml:space="preserve">======
ID#AAABjx7qTeI
Santiago 20180116    (2025-05-21 11:33:26)
出貨前通知Santiago 拍照</t>
      </text>
    </comment>
    <comment authorId="0" ref="H391">
      <text>
        <t xml:space="preserve">======
ID#AAABjx7qTc0
    (2025-05-21 11:33:26)
0824 chloe:匯款匯入US$15535
多會PI-20180514A CPU US$100</t>
      </text>
    </comment>
    <comment authorId="0" ref="H369">
      <text>
        <t xml:space="preserve">======
ID#AAABjx7qTcc
    (2025-05-21 11:33:26)
0627 chloe:匯款匯入US$3075</t>
      </text>
    </comment>
    <comment authorId="0" ref="E554">
      <text>
        <t xml:space="preserve">======
ID#AAABjx7qTcM
    (2025-05-21 11:33:26)
180828 Karen: w/EU adapter</t>
      </text>
    </comment>
    <comment authorId="0" ref="H701">
      <text>
        <t xml:space="preserve">======
ID#AAABjx7qTb4
    (2025-05-21 11:33:26)
1220 chloe: 匯款匯入US$32647.5</t>
      </text>
    </comment>
    <comment authorId="0" ref="Q634">
      <text>
        <t xml:space="preserve">======
ID#AAABjx7qTZ4
    (2025-05-21 11:33:26)
1台 總價21013(不含稅)
含DRAM+SSD</t>
      </text>
    </comment>
    <comment authorId="0" ref="H330">
      <text>
        <t xml:space="preserve">======
ID#AAABjx7qTZs
    (2025-05-21 11:33:26)
0531 chloe:匯款匯入US$1052</t>
      </text>
    </comment>
    <comment authorId="0" ref="H628">
      <text>
        <t xml:space="preserve">======
ID#AAABjx7qTZQ
    (2025-05-21 11:33:26)
1220 chloe: 匯款匯入US$32647.5</t>
      </text>
    </comment>
    <comment authorId="0" ref="H556">
      <text>
        <t xml:space="preserve">======
ID#AAABjx7qTZI
    (2025-05-21 11:33:26)
0913 chloe:匯款匯入NT15820</t>
      </text>
    </comment>
    <comment authorId="0" ref="K710">
      <text>
        <t xml:space="preserve">======
ID#AAABjx7qTYk
    (2025-05-21 11:33:26)
1123 chloe:已通知貨代，待貨代通知領貨時間</t>
      </text>
    </comment>
    <comment authorId="0" ref="G1">
      <text>
        <t xml:space="preserve">======
ID#AAABjx7qTYA
    (2025-05-21 11:33:26)
20181001 San: 美金</t>
      </text>
    </comment>
    <comment authorId="0" ref="K711">
      <text>
        <t xml:space="preserve">======
ID#AAABjx7qTXs
    (2025-05-21 11:33:26)
1123 chloe:已通知貨代，待貨代通知領貨時間</t>
      </text>
    </comment>
    <comment authorId="0" ref="H590">
      <text>
        <t xml:space="preserve">======
ID#AAABjx7qTXg
    (2025-05-21 11:33:26)
1011 Chloe:匯款匯入USD 4,788</t>
      </text>
    </comment>
    <comment authorId="0" ref="L785">
      <text>
        <t xml:space="preserve">======
ID#AAABjx7qTXc
    (2025-05-21 11:33:26)
1107 Amy: Adlink此產品已EOL,原報價漲為USD1,211, 後同意以USD1,200售予戎克。</t>
      </text>
    </comment>
    <comment authorId="0" ref="H121">
      <text>
        <t xml:space="preserve">======
ID#AAABjx7qTXQ
    (2025-05-21 11:33:26)
0329 chloe 匯款匯入US$9609</t>
      </text>
    </comment>
    <comment authorId="0" ref="H676">
      <text>
        <t xml:space="preserve">======
ID#AAABjx7qTW4
    (2025-05-21 11:33:26)
1126 chloe:匯款匯入46,403</t>
      </text>
    </comment>
    <comment authorId="0" ref="H77">
      <text>
        <t xml:space="preserve">======
ID#AAABjx7qTW0
    (2025-05-21 11:33:26)
0308 chloe: 匯入款項US$2294</t>
      </text>
    </comment>
    <comment authorId="0" ref="H22">
      <text>
        <t xml:space="preserve">======
ID#AAABjx7qTWs
    (2025-05-21 11:33:26)
0305 chloe: 收到款項US$7411</t>
      </text>
    </comment>
    <comment authorId="0" ref="H344">
      <text>
        <t xml:space="preserve">======
ID#AAABjx7qTWk
    (2025-05-21 11:33:26)
0611 chloe: 匯款匯入15614</t>
      </text>
    </comment>
    <comment authorId="0" ref="H376">
      <text>
        <t xml:space="preserve">======
ID#AAABjx7qTWE
    (2025-05-21 11:33:26)
0706 chloe:匯款匯入US$3499</t>
      </text>
    </comment>
    <comment authorId="0" ref="H601">
      <text>
        <t xml:space="preserve">======
ID#AAABjx7qTU0
    (2025-05-21 11:33:26)
0114 chloe:匯款匯入US$7089</t>
      </text>
    </comment>
    <comment authorId="0" ref="H86">
      <text>
        <t xml:space="preserve">======
ID#AAABjx7qTUo
    (2025-05-21 11:33:26)
0315 chloe: 收到系統通知，銀行端尚未放款
0316 chloe: 匯款匯入US$8750</t>
      </text>
    </comment>
    <comment authorId="0" ref="H306">
      <text>
        <t xml:space="preserve">======
ID#AAABjx7qTUY
    (2025-05-21 11:33:26)
0628 chloe :匯款匯入US$570</t>
      </text>
    </comment>
    <comment authorId="0" ref="H686">
      <text>
        <t xml:space="preserve">======
ID#AAABjx7qTT8
    (2025-05-21 11:33:26)
0111  chloe:匯款匯入US$8,152</t>
      </text>
    </comment>
    <comment authorId="0" ref="E567">
      <text>
        <t xml:space="preserve">======
ID#AAABjx7qTT0
    (2025-05-21 11:33:26)
戎克料號:02-BE-00059</t>
      </text>
    </comment>
    <comment authorId="0" ref="H233">
      <text>
        <t xml:space="preserve">======
ID#AAABjx7qTTs
    (2025-05-21 11:33:26)
0611 chloe:  匯款匯入8756</t>
      </text>
    </comment>
    <comment authorId="0" ref="H809">
      <text>
        <t xml:space="preserve">======
ID#AAABjx7qTTM
    (2025-05-21 11:33:26)
1214 chloe:匯款匯入:US$1524</t>
      </text>
    </comment>
    <comment authorId="0" ref="H733">
      <text>
        <t xml:space="preserve">======
ID#AAABjx7qTSE
    (2025-05-21 11:33:26)
1204 chloe:匯款匯入US$1,764.50</t>
      </text>
    </comment>
    <comment authorId="0" ref="H751">
      <text>
        <t xml:space="preserve">======
ID#AAABjx7qTR8
    (2025-05-21 11:33:26)
0128 Mary: 匯款匯入 US$3,835</t>
      </text>
    </comment>
    <comment authorId="0" ref="F617">
      <text>
        <t xml:space="preserve">======
ID#AAABjx7qTRg
    (2025-05-21 11:33:26)
庫存2台</t>
      </text>
    </comment>
    <comment authorId="0" ref="H742">
      <text>
        <t xml:space="preserve">======
ID#AAABjx7qTRI
    (2025-05-21 11:33:26)
1204 chloe:匯款匯入US$1,764.50</t>
      </text>
    </comment>
    <comment authorId="0" ref="H514">
      <text>
        <t xml:space="preserve">======
ID#AAABjx7qTQI
    (2025-05-21 11:33:26)
0814 chloe:匯款匯入US$10559</t>
      </text>
    </comment>
    <comment authorId="0" ref="J36">
      <text>
        <t xml:space="preserve">======
ID#AAABjx7qTPo
20180212 Santiago    (2025-05-21 11:33:26)
Christine 已請美灣拉貨. 
因為SA的FedEx 不能使用
未來下午四點前若不提供戎克訂單的運輸方式. 一律延到隔日出</t>
      </text>
    </comment>
    <comment authorId="0" ref="H371">
      <text>
        <t xml:space="preserve">======
ID#AAABjx7qTPU
    (2025-05-21 11:33:26)
0619 chloe:匯款匯入US$5000</t>
      </text>
    </comment>
    <comment authorId="0" ref="H164">
      <text>
        <t xml:space="preserve">======
ID#AAABjx7qTO4
    (2025-05-21 11:33:26)
0417 chloe: 收到匯款US$2661</t>
      </text>
    </comment>
    <comment authorId="0" ref="Z1">
      <text>
        <t xml:space="preserve">======
ID#AAABjx7qTOw
    (2025-05-21 11:33:26)
此欄位針對某些特定客戶. 要求使用出貨前一天的匯率. 才開發票的客戶. 例如 Z 和 Pharms</t>
      </text>
    </comment>
    <comment authorId="0" ref="L173">
      <text>
        <t xml:space="preserve">======
ID#AAABjx7qTOM
    (2025-05-21 11:33:26)
Leon：2018/3/30只收到9 PCS
            2018/4/3收到1PCS</t>
      </text>
    </comment>
    <comment authorId="0" ref="H596">
      <text>
        <t xml:space="preserve">======
ID#AAABjx7qTN0
    (2025-05-21 11:33:26)
0114 chloe:匯款匯入US$7089</t>
      </text>
    </comment>
    <comment authorId="0" ref="L150">
      <text>
        <t xml:space="preserve">======
ID#AAABjx7qTNU
    (2025-05-21 11:33:26)
針對SA Electroequip 的訂單, 若沒收到SA匯款, 就請MOXA先不出貨, 以增加戎克現金流量
預計3/15到貨</t>
      </text>
    </comment>
    <comment authorId="0" ref="P826">
      <text>
        <t xml:space="preserve">======
ID#AAABjx7qTNY
    (2025-05-21 11:33:26)
1128 Cindy: Adlink說下次成本$98/pc</t>
      </text>
    </comment>
    <comment authorId="0" ref="H531">
      <text>
        <t xml:space="preserve">======
ID#AAABjx7qTNE
    (2025-05-21 11:33:26)
0822 chloe:已付款4601</t>
      </text>
    </comment>
    <comment authorId="0" ref="H778">
      <text>
        <t xml:space="preserve">======
ID#AAABjx7qTM4
    (2025-05-21 11:33:26)
1211 chloe:已收到匯款</t>
      </text>
    </comment>
    <comment authorId="0" ref="K243">
      <text>
        <t xml:space="preserve">======
ID#AAABjx7qTLw
20180504 Santiago    (2025-05-21 11:33:26)
出貨前通知Santiago 照相</t>
      </text>
    </comment>
    <comment authorId="0" ref="K311">
      <text>
        <t xml:space="preserve">======
ID#AAABjx7qTLk
0604 Santiago    (2025-05-21 11:33:26)
出貨前一日通知拍照</t>
      </text>
    </comment>
    <comment authorId="0" ref="H647">
      <text>
        <t xml:space="preserve">======
ID#AAABjx7qTLg
    (2025-05-21 11:33:26)
1223 chloe:匯款匯入NT114,629</t>
      </text>
    </comment>
    <comment authorId="0" ref="H594">
      <text>
        <t xml:space="preserve">======
ID#AAABjx7qTKs
    (2025-05-21 11:33:26)
0114 chloe:匯款匯入US$7089</t>
      </text>
    </comment>
    <comment authorId="0" ref="E183">
      <text>
        <t xml:space="preserve">======
ID#AAABjx7qTKc
    (2025-05-21 11:33:26)
Karen 180320: w/EU adapter</t>
      </text>
    </comment>
    <comment authorId="0" ref="H118">
      <text>
        <t xml:space="preserve">======
ID#AAABjx7qTKI
0307 chloe    (2025-05-21 11:33:26)
若SA 付款 PI-20180205A+PI-20180205B，則PI-20180225A中的Nport 5450I-T &amp; TCC-82 亦可先行出貨
0314 chloe: 匯入款US$20712</t>
      </text>
    </comment>
    <comment authorId="0" ref="H606">
      <text>
        <t xml:space="preserve">======
ID#AAABjx7qTJY
    (2025-05-21 11:33:26)
1031chloe:US$匯款匯入 US$155</t>
      </text>
    </comment>
    <comment authorId="0" ref="H97">
      <text>
        <t xml:space="preserve">======
ID#AAABjx7qTJU
    (2025-05-21 11:33:26)
0406 chloe匯款匯入US$7,637.50</t>
      </text>
    </comment>
    <comment authorId="0" ref="H792">
      <text>
        <t xml:space="preserve">======
ID#AAABjx7qTIw
    (2025-05-21 11:33:26)
1113 chloe: 匯款匯入 USD 9,664</t>
      </text>
    </comment>
    <comment authorId="0" ref="V819">
      <text>
        <t xml:space="preserve">======
ID#AAABjx7qTH8
    (2025-05-21 11:33:26)
KR49816348   EDS-208A 1PC</t>
      </text>
    </comment>
    <comment authorId="0" ref="H385">
      <text>
        <t xml:space="preserve">======
ID#AAABjx7qTHY
    (2025-05-21 11:33:26)
0813 chloe:匯款匯入 US$3841.5</t>
      </text>
    </comment>
    <comment authorId="0" ref="H108">
      <text>
        <t xml:space="preserve">======
ID#AAABjx7qTHM
    (2025-05-21 11:33:26)
0329 chloe 匯款匯入US$9609</t>
      </text>
    </comment>
    <comment authorId="0" ref="W505">
      <text>
        <t xml:space="preserve">======
ID#AAABjx7qTGY
    (2025-05-21 11:33:26)
匯款73458</t>
      </text>
    </comment>
    <comment authorId="0" ref="H316">
      <text>
        <t xml:space="preserve">======
ID#AAABjx7qTF8
    (2025-05-21 11:33:26)
0712 chloe:匯款匯入US$3031</t>
      </text>
    </comment>
    <comment authorId="0" ref="L86">
      <text>
        <t xml:space="preserve">======
ID#AAABjx7qTFA
    (2025-05-21 11:33:26)
預計1/31到貨</t>
      </text>
    </comment>
    <comment authorId="0" ref="E580">
      <text>
        <t xml:space="preserve">======
ID#AAABjx7qTDs
20180714 San    (2025-05-21 11:33:26)
上海海關有認證型號的問題, 故不加 719 特別碼</t>
      </text>
    </comment>
    <comment authorId="0" ref="H611">
      <text>
        <t xml:space="preserve">======
ID#AAABjx7qTDY
    (2025-05-21 11:33:26)
1031 chloe:匯款匯入US$687</t>
      </text>
    </comment>
    <comment authorId="0" ref="H766">
      <text>
        <t xml:space="preserve">======
ID#AAABjx7qTC0
    (2025-05-21 11:33:26)
0123 Mary:匯款匯入US$8,490
(PI-20181031A)</t>
      </text>
    </comment>
    <comment authorId="0" ref="H503">
      <text>
        <t xml:space="preserve">======
ID#AAABjx7qTCo
    (2025-05-21 11:33:26)
1112 chloe:匯款匯入US$8,753</t>
      </text>
    </comment>
    <comment authorId="0" ref="Q152">
      <text>
        <t xml:space="preserve">======
ID#AAABjx7qTCA
    (2025-05-21 11:33:26)
NT 9000 / PC(專案價)→不含稅</t>
      </text>
    </comment>
    <comment authorId="0" ref="H295">
      <text>
        <t xml:space="preserve">======
ID#AAABjx7qTBw
    (2025-05-21 11:33:26)
0622 chloe:匯款匯入US$14958</t>
      </text>
    </comment>
    <comment authorId="0" ref="J498">
      <text>
        <t xml:space="preserve">======
ID#AAABjx7qTBc
    (2025-05-21 11:33:26)
180806 Tammy: 出貨前, 再次確認
180830 Tammy: 確認UX Logistics</t>
      </text>
    </comment>
    <comment authorId="0" ref="L115">
      <text>
        <t xml:space="preserve">======
ID#AAABjx7qTA8
    (2025-05-21 11:33:26)
預計2/28到貨</t>
      </text>
    </comment>
    <comment authorId="0" ref="H229">
      <text>
        <t xml:space="preserve">======
ID#AAABjx7qTAA
    (2025-05-21 11:33:26)
0621 chloe:匯款匯入US$4890</t>
      </text>
    </comment>
    <comment authorId="0" ref="H537">
      <text>
        <t xml:space="preserve">======
ID#AAABjx7qS_U
    (2025-05-21 11:33:26)
1030 chloe: 匯款匯入US$16,948.00</t>
      </text>
    </comment>
    <comment authorId="0" ref="F618">
      <text>
        <t xml:space="preserve">======
ID#AAABjx7qS_Y
    (2025-05-21 11:33:26)
庫存2台</t>
      </text>
    </comment>
    <comment authorId="0" ref="H477">
      <text>
        <t xml:space="preserve">======
ID#AAABjx7qS_M
    (2025-05-21 11:33:26)
1012 chloe:匯款匯入US$40290
(客戶少匯US$2280)
1030 chloe: 匯款匯入US$16,948.00</t>
      </text>
    </comment>
    <comment authorId="0" ref="H504">
      <text>
        <t xml:space="preserve">======
ID#AAABjx7qS_Q
    (2025-05-21 11:33:26)
1012 chloe:匯款匯入US$40290
(客戶少匯US$2280)
1030 chloe: 匯款匯入US$16,948.00</t>
      </text>
    </comment>
    <comment authorId="0" ref="H642">
      <text>
        <t xml:space="preserve">======
ID#AAABjx7qS-w
    (2025-05-21 11:33:26)
1116 chloe: 匯款匯入:US$21239</t>
      </text>
    </comment>
    <comment authorId="0" ref="L78">
      <text>
        <t xml:space="preserve">======
ID#AAABjx7qS-s
    (2025-05-21 11:33:26)
預計1/23到貨</t>
      </text>
    </comment>
    <comment authorId="0" ref="H828">
      <text>
        <t xml:space="preserve">======
ID#AAABjx7qS-Y
    (2025-05-21 11:33:26)
1217 chloe:匯款匯入US$104</t>
      </text>
    </comment>
    <comment authorId="0" ref="H260">
      <text>
        <t xml:space="preserve">======
ID#AAABjx7qS-U
    (2025-05-21 11:33:26)
0622 chloe:匯款匯入US$679</t>
      </text>
    </comment>
    <comment authorId="0" ref="E326">
      <text>
        <t xml:space="preserve">======
ID#AAABjx7qS-E
    (2025-05-21 11:33:26)
20170104 Santiago: 和之前訂單一樣, w/o adapter</t>
      </text>
    </comment>
    <comment authorId="0" ref="D716">
      <text>
        <t xml:space="preserve">======
ID#AAABjx7qS9w
    (2025-05-21 11:33:26)
1029 PI號由20181018A改為20181015A</t>
      </text>
    </comment>
    <comment authorId="0" ref="E112">
      <text>
        <t xml:space="preserve">======
ID#AAABjx7qS9o
    (2025-05-21 11:33:26)
180206 Karen: 下歐規</t>
      </text>
    </comment>
    <comment authorId="0" ref="H404">
      <text>
        <t xml:space="preserve">======
ID#AAABjx7qS9g
    (2025-05-21 11:33:26)
Invoice:  US$1335
待Cindy修改後通知客戶
1012 chloe:匯款匯入US$40290
(客戶少匯US$2280)
1030 chloe: 匯款匯入US$16,948.00</t>
      </text>
    </comment>
    <comment authorId="0" ref="H684">
      <text>
        <t xml:space="preserve">======
ID#AAABjx7qS9c
    (2025-05-21 11:33:26)
1120 chloe:匯款匯入US$6410</t>
      </text>
    </comment>
    <comment authorId="0" ref="L114">
      <text>
        <t xml:space="preserve">======
ID#AAABjx7qS9U
    (2025-05-21 11:33:26)
預計2/9到貨</t>
      </text>
    </comment>
    <comment authorId="0" ref="L98">
      <text>
        <t xml:space="preserve">======
ID#AAABjx7qS84
    (2025-05-21 11:33:26)
預計2/9到貨</t>
      </text>
    </comment>
    <comment authorId="0" ref="E230">
      <text>
        <t xml:space="preserve">======
ID#AAABjx7qS8U
    (2025-05-21 11:33:26)
Karen 180412: w/EU adapter</t>
      </text>
    </comment>
    <comment authorId="0" ref="H588">
      <text>
        <t xml:space="preserve">======
ID#AAABjx7qS8E
    (2025-05-21 11:33:26)
1024 chloe:匯款匯入US$11920</t>
      </text>
    </comment>
    <comment authorId="0" ref="P595">
      <text>
        <t xml:space="preserve">======
ID#AAABjx7qS7c
    (2025-05-21 11:33:26)
1024 chloe:已告知若使用美金付款將不使用全額到匯→待供應商回覆
1101 chloe:達成協議美金付款全額到匯</t>
      </text>
    </comment>
    <comment authorId="0" ref="H662">
      <text>
        <t xml:space="preserve">======
ID#AAABjx7qS68
    (2025-05-21 11:33:26)
1223 chloe:匯款匯入NT114,629</t>
      </text>
    </comment>
    <comment authorId="0" ref="H302">
      <text>
        <t xml:space="preserve">======
ID#AAABjx7qS6M
    (2025-05-21 11:33:26)
0720 chloe: 匯款匯入US$20772
此貨未出，但Ti2已匯款</t>
      </text>
    </comment>
    <comment authorId="0" ref="H103">
      <text>
        <t xml:space="preserve">======
ID#AAABjx7qS50
    (2025-05-21 11:33:26)
0418 chloe:匯款匯入US$350</t>
      </text>
    </comment>
    <comment authorId="0" ref="H358">
      <text>
        <t xml:space="preserve">======
ID#AAABjx7qS5U
    (2025-05-21 11:33:26)
0824 chloe:匯款匯入US$15535
多會PI-20180514A CPU US$100</t>
      </text>
    </comment>
    <comment authorId="0" ref="H201">
      <text>
        <t xml:space="preserve">======
ID#AAABjx7qS48
    (2025-05-21 11:33:26)
0524 chloe:匯款匯入US$8750</t>
      </text>
    </comment>
    <comment authorId="0" ref="H546">
      <text>
        <t xml:space="preserve">======
ID#AAABjx7qS40
    (2025-05-21 11:33:26)
1120 chloe:匯款匯入US$6410</t>
      </text>
    </comment>
    <comment authorId="0" ref="H388">
      <text>
        <t xml:space="preserve">======
ID#AAABjx7qS4s
    (2025-05-21 11:33:26)
0824 chloe:匯款匯入US$15535
多會PI-20180514A CPU US$100</t>
      </text>
    </comment>
    <comment authorId="0" ref="E446">
      <text>
        <t xml:space="preserve">======
ID#AAABjx7qS4c
20180714 San    (2025-05-21 11:33:26)
上海海關有認證型號的問題, 故不加 719 特別碼</t>
      </text>
    </comment>
    <comment authorId="0" ref="H557">
      <text>
        <t xml:space="preserve">======
ID#AAABjx7qS4Q
    (2025-05-21 11:33:26)
0918 chloe:匯款匯入NT5,798</t>
      </text>
    </comment>
    <comment authorId="0" ref="Q686">
      <text>
        <t xml:space="preserve">======
ID#AAABjx7qS30
    (2025-05-21 11:33:26)
成本(含DRAM及SSD) NT83,973(不含稅)</t>
      </text>
    </comment>
    <comment authorId="0" ref="H84">
      <text>
        <t xml:space="preserve">======
ID#AAABjx7qS3k
    (2025-05-21 11:33:26)
0315 chloe: 收到系統通知，銀行端尚未放款
0316 chloe: 匯款匯入US$8750</t>
      </text>
    </comment>
    <comment authorId="0" ref="H714">
      <text>
        <t xml:space="preserve">======
ID#AAABjx7qS3o
    (2025-05-21 11:33:26)
1127 chloe: 匯款匯入US$11920</t>
      </text>
    </comment>
    <comment authorId="0" ref="H312">
      <text>
        <t xml:space="preserve">======
ID#AAABjx7qS3c
    (2025-05-21 11:33:26)
0830 chloe:匯款匯入US$1016</t>
      </text>
    </comment>
    <comment authorId="0" ref="L170">
      <text>
        <t xml:space="preserve">======
ID#AAABjx7qS3Y
    (2025-05-21 11:33:26)
Leon：2018/3/30只收到9 PCS
            2018/4/3收到1PCS</t>
      </text>
    </comment>
    <comment authorId="0" ref="K344">
      <text>
        <t xml:space="preserve">======
ID#AAABjx7qS3I
    (2025-05-21 11:33:26)
0608 chloe:已告知業務請客戶匯款</t>
      </text>
    </comment>
    <comment authorId="0" ref="H54">
      <text>
        <t xml:space="preserve">======
ID#AAABjx7qS3A
    (2025-05-21 11:33:26)
0316 chloe:收到客戶水單，待銀行通知
0323 chloe:匯款匯入US$2,604.50</t>
      </text>
    </comment>
    <comment authorId="0" ref="E385">
      <text>
        <t xml:space="preserve">======
ID#AAABjx7qS28
    (2025-05-21 11:33:26)
180620 Tammy: 請補上序號</t>
      </text>
    </comment>
    <comment authorId="0" ref="H182">
      <text>
        <t xml:space="preserve">======
ID#AAABjx7qS2Y
    (2025-05-21 11:33:26)
0403 chloe:玉山收到NT11886</t>
      </text>
    </comment>
    <comment authorId="0" ref="L91">
      <text>
        <t xml:space="preserve">======
ID#AAABjx7qS2Q
    (2025-05-21 11:33:26)
0221 chloe:已請閎亮看是否能提早一週
預計3/15到貨</t>
      </text>
    </comment>
    <comment authorId="0" ref="H687">
      <text>
        <t xml:space="preserve">======
ID#AAABjx7qS2I
    (2025-05-21 11:33:26)
0111  chloe:匯款匯入US$8,152</t>
      </text>
    </comment>
    <comment authorId="0" ref="H769">
      <text>
        <t xml:space="preserve">======
ID#AAABjx7qS1I
    (2025-05-21 11:33:26)
0213 Mary:匯款匯入US$11,250</t>
      </text>
    </comment>
    <comment authorId="0" ref="H677">
      <text>
        <t xml:space="preserve">======
ID#AAABjx7qS1M
    (2025-05-21 11:33:26)
1220 chloe: 匯款匯入US$32647.5</t>
      </text>
    </comment>
    <comment authorId="0" ref="H829">
      <text>
        <t xml:space="preserve">======
ID#AAABjx7qS1E
    (2025-05-21 11:33:26)
1217 chloe:匯款匯入US$104</t>
      </text>
    </comment>
    <comment authorId="0" ref="L1">
      <text>
        <t xml:space="preserve">======
ID#AAABjx7qS0o
    (2025-05-21 11:33:26)
0818 chloe: 理貨人員貨到後再將此反黑</t>
      </text>
    </comment>
    <comment authorId="0" ref="H126">
      <text>
        <t xml:space="preserve">======
ID#AAABjx7qS0k
    (2025-05-21 11:33:26)
0323 chloe: 匯款匯入US$3757</t>
      </text>
    </comment>
    <comment authorId="0" ref="H749">
      <text>
        <t xml:space="preserve">======
ID#AAABjx7qSzw
    (2025-05-21 11:33:26)
0128 Mary: 匯款匯入 US$3,835</t>
      </text>
    </comment>
    <comment authorId="0" ref="Q478">
      <text>
        <t xml:space="preserve">======
ID#AAABjx7qSyw
    (2025-05-21 11:33:26)
0803 chloe:專案價</t>
      </text>
    </comment>
    <comment authorId="0" ref="H806">
      <text>
        <t xml:space="preserve">======
ID#AAABjx7qSyc
    (2025-05-21 11:33:26)
1227 chloe:匯款匯入US$53334</t>
      </text>
    </comment>
    <comment authorId="0" ref="H731">
      <text>
        <t xml:space="preserve">======
ID#AAABjx7qSyA
    (2025-05-21 11:33:26)
1217 chloe:匯款匯入US$3,207.00</t>
      </text>
    </comment>
    <comment authorId="0" ref="H387">
      <text>
        <t xml:space="preserve">======
ID#AAABjx7qSx0
    (2025-05-21 11:33:26)
0824 chloe:匯款匯入US$15535
多會PI-20180514A CPU US$100</t>
      </text>
    </comment>
    <comment authorId="0" ref="H573">
      <text>
        <t xml:space="preserve">======
ID#AAABjx7qSxs
    (2025-05-21 11:33:26)
1120 chloe:匯款匯入US$6410</t>
      </text>
    </comment>
    <comment authorId="0" ref="Q155">
      <text>
        <t xml:space="preserve">======
ID#AAABjx7qSxg
0306 chloe    (2025-05-21 11:33:26)
採購下單:2774 ( 價格表2017 Q2)
現已調漲價格:2668(價格表2018Q1)</t>
      </text>
    </comment>
    <comment authorId="0" ref="H558">
      <text>
        <t xml:space="preserve">======
ID#AAABjx7qSxk
    (2025-05-21 11:33:26)
0928 chloe:匯款匯入US$13232</t>
      </text>
    </comment>
    <comment authorId="0" ref="K300">
      <text>
        <t xml:space="preserve">======
ID#AAABjx7qSxY
0517 Santiaog    (2025-05-21 11:33:26)
出貨前通知Santiago 拍照</t>
      </text>
    </comment>
    <comment authorId="0" ref="E535">
      <text>
        <t xml:space="preserve">======
ID#AAABjx7qSwU
    (2025-05-21 11:33:26)
0828 chloe:下次下單將調漲成本單價US$96</t>
      </text>
    </comment>
    <comment authorId="0" ref="H826">
      <text>
        <t xml:space="preserve">======
ID#AAABjx7qSwQ
    (2025-05-21 11:33:26)
1212 chloe:待入帳(因洗錢防制銀行查核貨款中)
1214 chloe: 匯款匯入US$7725</t>
      </text>
    </comment>
    <comment authorId="0" ref="H32">
      <text>
        <t xml:space="preserve">======
ID#AAABjx7qSv0
    (2025-05-21 11:33:26)
0215 chloe:入帳US$20,042.50</t>
      </text>
    </comment>
    <comment authorId="0" ref="D153">
      <text>
        <t xml:space="preserve">======
ID#AAABjx7qSvk
    (2025-05-21 11:33:26)
180301 原20180227B, 因可28PCS一起出, 故PI號改為20180227A</t>
      </text>
    </comment>
    <comment authorId="0" ref="H283">
      <text>
        <t xml:space="preserve">======
ID#AAABjx7qSvQ
    (2025-05-21 11:33:26)
0601 chloe:已匯款NT25858</t>
      </text>
    </comment>
    <comment authorId="0" ref="J331">
      <text>
        <t xml:space="preserve">======
ID#AAABjx7qStU
Santiago 0529     (2025-05-21 11:33:26)
外箱的shipping mark 要註記
EORI-Number DE7019688</t>
      </text>
    </comment>
    <comment authorId="0" ref="H422">
      <text>
        <t xml:space="preserve">======
ID#AAABjx7qStE
    (2025-05-21 11:33:26)
0716 chloe:匯款匯入US$1247</t>
      </text>
    </comment>
    <comment authorId="0" ref="H323">
      <text>
        <t xml:space="preserve">======
ID#AAABjx7qSsY
    (2025-05-21 11:33:26)
0720 chloe:匯款匯入US$10826</t>
      </text>
    </comment>
    <comment authorId="0" ref="H257">
      <text>
        <t xml:space="preserve">======
ID#AAABjx7qSsU
    (2025-05-21 11:33:26)
0622 chloe:匯款匯入US$679</t>
      </text>
    </comment>
    <comment authorId="0" ref="O351">
      <text>
        <t xml:space="preserve">======
ID#AAABjx7qSqk
    (2025-05-21 11:33:26)
0606 下單</t>
      </text>
    </comment>
    <comment authorId="0" ref="H488">
      <text>
        <t xml:space="preserve">======
ID#AAABjx7qSpo
    (2025-05-21 11:33:26)
0808 chloe:匯款匯入USD 2,032</t>
      </text>
    </comment>
    <comment authorId="0" ref="H149">
      <text>
        <t xml:space="preserve">======
ID#AAABjx7qSpc
    (2025-05-21 11:33:26)
0323 chloe: 客戶預計3/26付款
0410 chloe: 匯款匯入US$21,800</t>
      </text>
    </comment>
    <comment authorId="0" ref="H217">
      <text>
        <t xml:space="preserve">======
ID#AAABjx7qSpQ
    (2025-05-21 11:33:26)
0409 chloe:匯款匯入 USD 1,909</t>
      </text>
    </comment>
    <comment authorId="0" ref="H505">
      <text>
        <t xml:space="preserve">======
ID#AAABjx7qSo8
    (2025-05-21 11:33:26)
1012 chloe:匯款匯入US$40290
(客戶少匯US$2280)
1030 chloe: 匯款匯入US$16,948.00</t>
      </text>
    </comment>
    <comment authorId="0" ref="H309">
      <text>
        <t xml:space="preserve">======
ID#AAABjx7qSoo
    (2025-05-21 11:33:26)
0529 chloe:匯款匯入US$10844</t>
      </text>
    </comment>
    <comment authorId="0" ref="J491">
      <text>
        <t xml:space="preserve">======
ID#AAABjx7qSos
    (2025-05-21 11:33:26)
180806 Tammy: 出貨前, 再次確認
180830 Tammy: 確認UX Logistics</t>
      </text>
    </comment>
    <comment authorId="0" ref="H450">
      <text>
        <t xml:space="preserve">======
ID#AAABjx7qSoY
    (2025-05-21 11:33:26)
0824 chloe:匯款匯入US$31,023</t>
      </text>
    </comment>
    <comment authorId="0" ref="H664">
      <text>
        <t xml:space="preserve">======
ID#AAABjx7qSoQ
    (2025-05-21 11:33:26)
1223 chloe:匯款匯入NT114,629</t>
      </text>
    </comment>
    <comment authorId="0" ref="H337">
      <text>
        <t xml:space="preserve">======
ID#AAABjx7qSoE
    (2025-05-21 11:33:26)
0712 chloe:匯款匯入US$3031</t>
      </text>
    </comment>
    <comment authorId="0" ref="H550">
      <text>
        <t xml:space="preserve">======
ID#AAABjx7qSno
    (2025-05-21 11:33:26)
0830 chloe: 匯款匯入US$4744，含COC US$25</t>
      </text>
    </comment>
    <comment authorId="0" ref="H117">
      <text>
        <t xml:space="preserve">======
ID#AAABjx7qSnc
0307 chloe    (2025-05-21 11:33:26)
若SA 付款 PI-20180205A+PI-20180205B，則PI-20180225A中的Nport 5450I-T &amp; TCC-82 亦可先行出貨
0314 chloe: 匯入款項US$20712</t>
      </text>
    </comment>
    <comment authorId="0" ref="H716">
      <text>
        <t xml:space="preserve">======
ID#AAABjx7qSnM
    (2025-05-21 11:33:26)
1127 chloe: 匯款匯入US$11920</t>
      </text>
    </comment>
    <comment authorId="0" ref="E86">
      <text>
        <t xml:space="preserve">======
ID#AAABjx7qSnI
    (2025-05-21 11:33:26)
出口 INVOICE 打成型號 I5-3610</t>
      </text>
    </comment>
    <comment authorId="0" ref="H547">
      <text>
        <t xml:space="preserve">======
ID#AAABjx7qSmc
    (2025-05-21 11:33:26)
1120 chloe:匯款匯入US$6410</t>
      </text>
    </comment>
    <comment authorId="0" ref="H612">
      <text>
        <t xml:space="preserve">======
ID#AAABjx7qSmM
    (2025-05-21 11:33:26)
1031 chloe:匯款匯入US$687</t>
      </text>
    </comment>
    <comment authorId="0" ref="E469">
      <text>
        <t xml:space="preserve">======
ID#AAABjx7qSlc
    (2025-05-21 11:33:26)
180726 Tammy: 下單IBase Barebone型號AMS300M
180730 Tammy: 出貨文件中, 產品描述, 加上[with MAC], 單價為US$445, 不用再列出"Mac Address replacement and operation"</t>
      </text>
    </comment>
    <comment authorId="0" ref="J38">
      <text>
        <t xml:space="preserve">======
ID#AAABjx7qSlU
20180212 Santiago    (2025-05-21 11:33:26)
Christine 已請美灣拉貨. 
因為SA的FedEx 不能使用
未來下午四點前若不提供戎克訂單的運輸方式. 一律延到隔日出</t>
      </text>
    </comment>
    <comment authorId="0" ref="H60">
      <text>
        <t xml:space="preserve">======
ID#AAABjx7qSlI
    (2025-05-21 11:33:26)
0129 chloe:匯入US$2033</t>
      </text>
    </comment>
    <comment authorId="0" ref="H406">
      <text>
        <t xml:space="preserve">======
ID#AAABjx7qSlA
    (2025-05-21 11:33:26)
Invoice:  US$1335
待Cindy修改後通知客戶
1012 chloe:匯款匯入US$40290
(客戶少匯US$2280)
1030 chloe: 匯款匯入US$16,948.00</t>
      </text>
    </comment>
    <comment authorId="0" ref="H215">
      <text>
        <t xml:space="preserve">======
ID#AAABjx7qSkA
    (2025-05-21 11:33:26)
0523 chloe:匯款匯入US$16190</t>
      </text>
    </comment>
    <comment authorId="0" ref="H629">
      <text>
        <t xml:space="preserve">======
ID#AAABjx7qSj4
    (2025-05-21 11:33:26)
1220 chloe: 匯款匯入US$32647.5</t>
      </text>
    </comment>
    <comment authorId="0" ref="F619">
      <text>
        <t xml:space="preserve">======
ID#AAABjx7qSjI
    (2025-05-21 11:33:26)
庫存2台</t>
      </text>
    </comment>
    <comment authorId="0" ref="Q168">
      <text>
        <t xml:space="preserve">======
ID#AAABjx7qSiw
    (2025-05-21 11:33:26)
0308 chloe: 因去年PO-20171129A戎克採購單與發票金額不同，故此單之發票金額會show 1PC 金額5220.5(含稅)</t>
      </text>
    </comment>
    <comment authorId="0" ref="H307">
      <text>
        <t xml:space="preserve">======
ID#AAABjx7qSik
    (2025-05-21 11:33:26)
0619 chloe:匯入NT28950-原本款項25,011= 3,939(多匯)</t>
      </text>
    </comment>
    <comment authorId="0" ref="H553">
      <text>
        <t xml:space="preserve">======
ID#AAABjx7qSic
    (2025-05-21 11:33:26)
0828 chloe:匯入US$2767，因匯款成舊戶名，銀行不予放款，待客戶修改
0904 chloe:已入款</t>
      </text>
    </comment>
    <comment authorId="0" ref="H261">
      <text>
        <t xml:space="preserve">======
ID#AAABjx7qSiQ
    (2025-05-21 11:33:26)
0622 chloe:匯款匯入US$679</t>
      </text>
    </comment>
    <comment authorId="0" ref="H438">
      <text>
        <t xml:space="preserve">======
ID#AAABjx7qShs
    (2025-05-21 11:33:26)
0912 chloe:匯款匯入US$18134.4</t>
      </text>
    </comment>
    <comment authorId="0" ref="K120">
      <text>
        <t xml:space="preserve">======
ID#AAABjx7qShg
    (2025-05-21 11:33:26)
christine0222:連同目錄一起寄出</t>
      </text>
    </comment>
    <comment authorId="0" ref="H176">
      <text>
        <t xml:space="preserve">======
ID#AAABjx7qShk
    (2025-05-21 11:33:26)
0427 chloe:匯款匯入US$780</t>
      </text>
    </comment>
    <comment authorId="0" ref="H331">
      <text>
        <t xml:space="preserve">======
ID#AAABjx7qSgs
    (2025-05-21 11:33:26)
0531 chloe:匯款匯入US$1052</t>
      </text>
    </comment>
    <comment authorId="0" ref="H508">
      <text>
        <t xml:space="preserve">======
ID#AAABjx7qSgg
    (2025-05-21 11:33:26)
1030 chloe: 匯款匯入US$16,948.00</t>
      </text>
    </comment>
    <comment authorId="0" ref="L151">
      <text>
        <t xml:space="preserve">======
ID#AAABjx7qSgc
    (2025-05-21 11:33:26)
針對SA Electroequip 的訂單, 若沒收到SA匯款, 就請MOXA先不出貨, 以增加戎克現金流量
預計3/15到貨</t>
      </text>
    </comment>
    <comment authorId="0" ref="K404">
      <text>
        <t xml:space="preserve">======
ID#AAABjx7qSgY
    (2025-05-21 11:33:26)
Santiago 0812 : Eric 請Bank準備一份Win10 IoT Ent LTSB 2016的安裝DVD或USB，供我們做測試或協助客戶重新安裝時使用</t>
      </text>
    </comment>
    <comment authorId="0" ref="L140">
      <text>
        <t xml:space="preserve">======
ID#AAABjx7qSf8
    (2025-05-21 11:33:26)
預計3/14到貨</t>
      </text>
    </comment>
    <comment authorId="0" ref="D719">
      <text>
        <t xml:space="preserve">======
ID#AAABjx7qSfk
    (2025-05-21 11:33:26)
1029 PI號由20181018A改為20181015A</t>
      </text>
    </comment>
    <comment authorId="0" ref="E145">
      <text>
        <t xml:space="preserve">======
ID#AAABjx7qSfU
    (2025-05-21 11:33:26)
S/N：TAGLB1023819
S/N：TAGLB1023802
S/N：TAGLB1023797
S/N：TAGLB1023809
S/N：TAGLB1023815
S/N：TAGLB1023496
S/N：TAGLB1023812</t>
      </text>
    </comment>
    <comment authorId="0" ref="H554">
      <text>
        <t xml:space="preserve">======
ID#AAABjx7qSe4
    (2025-05-21 11:33:26)
0925  chloe:匯款匯入US$1541</t>
      </text>
    </comment>
    <comment authorId="0" ref="H466">
      <text>
        <t xml:space="preserve">======
ID#AAABjx7qSek
    (2025-05-21 11:33:26)
0907 chloe:匯款匯入US$8273</t>
      </text>
    </comment>
    <comment authorId="0" ref="G339">
      <text>
        <t xml:space="preserve">======
ID#AAABjx7qSeo
    (2025-05-21 11:33:26)
w/5%VAT</t>
      </text>
    </comment>
    <comment authorId="0" ref="H163">
      <text>
        <t xml:space="preserve">======
ID#AAABjx7qSeg
    (2025-05-21 11:33:26)
0417 chloe: 收到匯款US$2661</t>
      </text>
    </comment>
    <comment authorId="0" ref="K403">
      <text>
        <t xml:space="preserve">======
ID#AAABjx7qSeQ
    (2025-05-21 11:33:26)
Santiago 0812 : Eric 請Bank準備一份Win10 IoT Ent LTSB 2016的安裝DVD或USB，供我們做測試或協助客戶重新安裝時使用</t>
      </text>
    </comment>
    <comment authorId="0" ref="J332">
      <text>
        <t xml:space="preserve">======
ID#AAABjx7qSeA
Santiago 0529     (2025-05-21 11:33:26)
外箱的shipping mark 要註記
EORI-Number DE7019688</t>
      </text>
    </comment>
    <comment authorId="0" ref="H644">
      <text>
        <t xml:space="preserve">======
ID#AAABjx7qSdg
    (2025-05-21 11:33:26)
1112 chloe:匯款匯入US$8,753</t>
      </text>
    </comment>
    <comment authorId="0" ref="H291">
      <text>
        <t xml:space="preserve">======
ID#AAABjx7qSdM
    (2025-05-21 11:33:26)
0517 chloe:匯入US2077</t>
      </text>
    </comment>
    <comment authorId="0" ref="K687">
      <text>
        <t xml:space="preserve">======
ID#AAABjx7qSdI
    (2025-05-21 11:33:26)
1122 Cindy: 等payment
1123 chloe:</t>
      </text>
    </comment>
    <comment authorId="0" ref="G487">
      <text>
        <t xml:space="preserve">======
ID#AAABjx7qSc8
    (2025-05-21 11:33:26)
w/5%VAT</t>
      </text>
    </comment>
    <comment authorId="0" ref="L103">
      <text>
        <t xml:space="preserve">======
ID#AAABjx7qSb0
    (2025-05-21 11:33:26)
180212 Tammy: 艾訊出貨時，會附上一個歐規電源，請拿出，不要一起出貨，留戎克
180302 Leon：到貨的Power Cord為美規不是歐規
預計3/7到貨</t>
      </text>
    </comment>
    <comment authorId="0" ref="H805">
      <text>
        <t xml:space="preserve">======
ID#AAABjx7qSbk
    (2025-05-21 11:33:26)
1223 chloe:匯款匯入NT114,629</t>
      </text>
    </comment>
    <comment authorId="0" ref="H78">
      <text>
        <t xml:space="preserve">======
ID#AAABjx7qSZE
    (2025-05-21 11:33:26)
0130 chloe:匯款匯入US$272</t>
      </text>
    </comment>
    <comment authorId="0" ref="H356">
      <text>
        <t xml:space="preserve">======
ID#AAABjx7qSYw
    (2025-05-21 11:33:26)
0824 chloe:匯款匯入US$15535
多會PI-20180514A CPU US$100</t>
      </text>
    </comment>
    <comment authorId="0" ref="K646">
      <text>
        <t xml:space="preserve">======
ID#AAABjx7qSYQ
20181013 San    (2025-05-21 11:33:26)
出貨發票以PI 台幣金額為主
PI 有放到Google drive資料夾裡
1112 chloe:貨到交由Santiago</t>
      </text>
    </comment>
    <comment authorId="0" ref="H689">
      <text>
        <t xml:space="preserve">======
ID#AAABjx7qSYI
    (2025-05-21 11:33:26)
1204 chloe:匯款匯入US$1,764.50</t>
      </text>
    </comment>
    <comment authorId="0" ref="E668">
      <text>
        <t xml:space="preserve">======
ID#AAABjx7qSXo
    (2025-05-21 11:33:26)
1023 chloe:增加敘述</t>
      </text>
    </comment>
    <comment authorId="0" ref="D836">
      <text>
        <t xml:space="preserve">======
ID#AAABjx7qSXg
    (2025-05-21 11:33:26)
1213 San: US 之後不需灌軟體</t>
      </text>
    </comment>
    <comment authorId="0" ref="L372">
      <text>
        <t xml:space="preserve">======
ID#AAABjx7qSXU
    (2025-05-21 11:33:26)
收到面板後兩周內完成</t>
      </text>
    </comment>
    <comment authorId="0" ref="G4">
      <text>
        <t xml:space="preserve">======
ID#AAABjx7qSWU
    (2025-05-21 11:33:26)
170323 w/ 5%VAT</t>
      </text>
    </comment>
    <comment authorId="0" ref="H320">
      <text>
        <t xml:space="preserve">======
ID#AAABjx7qSWE
    (2025-05-21 11:33:26)
0706 chloe:匯款匯入US$8750</t>
      </text>
    </comment>
    <comment authorId="0" ref="Q742">
      <text>
        <t xml:space="preserve">======
ID#AAABjx7qSVw
    (2025-05-21 11:33:26)
下單10 PCS 轉庫存</t>
      </text>
    </comment>
    <comment authorId="0" ref="H821">
      <text>
        <t xml:space="preserve">======
ID#AAABjx7qSVo
    (2025-05-21 11:33:26)
1218 chloe:匯款匯入US$17109</t>
      </text>
    </comment>
    <comment authorId="0" ref="H487">
      <text>
        <t xml:space="preserve">======
ID#AAABjx7qSVY
    (2025-05-21 11:33:26)
0925 chloe:匯款匯入46,081</t>
      </text>
    </comment>
    <comment authorId="0" ref="H27">
      <text>
        <t xml:space="preserve">======
ID#AAABjx7qSUw
    (2025-05-21 11:33:26)
0312 chloe:匯入US$8026</t>
      </text>
    </comment>
    <comment authorId="0" ref="H313">
      <text>
        <t xml:space="preserve">======
ID#AAABjx7qSUM
    (2025-05-21 11:33:26)
0720 chloe:匯款匯入US$10826</t>
      </text>
    </comment>
    <comment authorId="0" ref="H220">
      <text>
        <t xml:space="preserve">======
ID#AAABjx7qSTE
    (2025-05-21 11:33:26)
0508 chloe:匯入NT 537,860-</t>
      </text>
    </comment>
    <comment authorId="0" ref="H18">
      <text>
        <t xml:space="preserve">======
ID#AAABjx7qSSw
Santiago 20171225    (2025-05-21 11:33:26)
PI-20170621B Debit Note US$635
今日收到US$779
779+635=US$1414</t>
      </text>
    </comment>
    <comment authorId="0" ref="K38">
      <text>
        <t xml:space="preserve">======
ID#AAABjx7qSSU
Santiago 20180116    (2025-05-21 11:33:26)
出貨前通知Santiago 拍照</t>
      </text>
    </comment>
    <comment authorId="0" ref="AA1">
      <text>
        <t xml:space="preserve">======
ID#AAABjx7qSQ4
    (2025-05-21 11:33:26)
此欄位針對某些特定客戶. 要求使用出貨前一天的匯率. 才開發票的客戶. 例如 Z 和 Pharms</t>
      </text>
    </comment>
    <comment authorId="0" ref="L579">
      <text>
        <t xml:space="preserve">======
ID#AAABjx7qSPo
    (2025-05-21 11:33:26)
9/6便利袋寄出</t>
      </text>
    </comment>
    <comment authorId="0" ref="K738">
      <text>
        <t xml:space="preserve">======
ID#AAABjx7qSPQ
    (2025-05-21 11:33:26)
1112 chloe 待K&amp;H 付款</t>
      </text>
    </comment>
    <comment authorId="0" ref="R542">
      <text>
        <t xml:space="preserve">======
ID#AAABjx7qSPI
    (2025-05-21 11:33:26)
交易3次</t>
      </text>
    </comment>
    <comment authorId="0" ref="K405">
      <text>
        <t xml:space="preserve">======
ID#AAABjx7qSPE
    (2025-05-21 11:33:26)
Santiago 0812 : Eric 請Bank準備一份Win10 IoT Ent LTSB 2016的安裝DVD或USB，供我們做測試或協助客戶重新安裝時使用</t>
      </text>
    </comment>
    <comment authorId="0" ref="H772">
      <text>
        <t xml:space="preserve">======
ID#AAABjx7qSOw
    (2025-05-21 11:33:26)
0213 Mary:匯款匯入US$11,250</t>
      </text>
    </comment>
    <comment authorId="0" ref="H399">
      <text>
        <t xml:space="preserve">======
ID#AAABjx7qSN8
    (2025-05-21 11:33:26)
0907 chloe:匯款匯入US$8273</t>
      </text>
    </comment>
    <comment authorId="0" ref="L706">
      <text>
        <t xml:space="preserve">======
ID#AAABjx7qSNc
    (2025-05-21 11:33:26)
20181122DHL送回</t>
      </text>
    </comment>
    <comment authorId="0" ref="Q443">
      <text>
        <t xml:space="preserve">======
ID#AAABjx7qSNY
    (2025-05-21 11:33:26)
送來 50 PCS ，成本單價仍40 PCS</t>
      </text>
    </comment>
    <comment authorId="0" ref="H458">
      <text>
        <t xml:space="preserve">======
ID#AAABjx7qSM8
    (2025-05-21 11:33:26)
0907 chloe:匯款匯入US$8273</t>
      </text>
    </comment>
    <comment authorId="0" ref="K157">
      <text>
        <t xml:space="preserve">======
ID#AAABjx7qSMw
    (2025-05-21 11:33:26)
貨到請通知Ken、謝謝！</t>
      </text>
    </comment>
    <comment authorId="0" ref="J823">
      <text>
        <t xml:space="preserve">======
ID#AAABjx7qSMk
    (2025-05-21 11:33:26)
JUDY KAO
Supervisor Of Sales Div.
FETA FREIGHT SYSTEMS (TAIWAN ) LTD. 
Tel: +886-3-399-2033 EXT: 135
Direct: +886-3-3992106
Fax: +886-3-3992036/2055
E-mail: judykao@ffsi.com.tw
Skype:judykao-mlattao</t>
      </text>
    </comment>
    <comment authorId="0" ref="Q627">
      <text>
        <t xml:space="preserve">======
ID#AAABjx7qSMQ
    (2025-05-21 11:33:26)
4台 總價84191(不含稅)
含DRAM+SSD</t>
      </text>
    </comment>
    <comment authorId="0" ref="H622">
      <text>
        <t xml:space="preserve">======
ID#AAABjx7qSL4
    (2025-05-21 11:33:26)
1012 chloe:匯款匯入US$15808</t>
      </text>
    </comment>
    <comment authorId="0" ref="H65">
      <text>
        <t xml:space="preserve">======
ID#AAABjx7qSJU
    (2025-05-21 11:33:26)
20180116 Santiago 收到銀行通知</t>
      </text>
    </comment>
    <comment authorId="0" ref="H362">
      <text>
        <t xml:space="preserve">======
ID#AAABjx7qSJI
    (2025-05-21 11:33:26)
0619 chloe:匯款匯入US$16947</t>
      </text>
    </comment>
    <comment authorId="0" ref="H223">
      <text>
        <t xml:space="preserve">======
ID#AAABjx7qSIk
    (2025-05-21 11:33:26)
0423 chloe:收到支票NT15,164，待4/30兌現
0507 chloe:兌現</t>
      </text>
    </comment>
    <comment authorId="0" ref="H167">
      <text>
        <t xml:space="preserve">======
ID#AAABjx7qSIE
    (2025-05-21 11:33:26)
0420 chloe: 匯款匯入US$9526</t>
      </text>
    </comment>
    <comment authorId="0" ref="H305">
      <text>
        <t xml:space="preserve">======
ID#AAABjx7qSHg
    (2025-05-21 11:33:26)
0529 chloe:匯款匯入US$10844</t>
      </text>
    </comment>
    <comment authorId="0" ref="K647">
      <text>
        <t xml:space="preserve">======
ID#AAABjx7qSHE
20181013 San    (2025-05-21 11:33:26)
出貨發票以PI 台幣金額為主
PI 有放到Google drive資料夾裡
1112 chloe:貨到交由Santiago</t>
      </text>
    </comment>
    <comment authorId="0" ref="H768">
      <text>
        <t xml:space="preserve">======
ID#AAABjx7qSG0
    (2025-05-21 11:33:26)
0123 Mary:匯款匯入US$8,490
(PI-20181031A)</t>
      </text>
    </comment>
    <comment authorId="0" ref="H653">
      <text>
        <t xml:space="preserve">======
ID#AAABjx7qSGM
    (2025-05-21 11:33:26)
1023 chloe: 匯款匯入US 23,395</t>
      </text>
    </comment>
    <comment authorId="0" ref="H91">
      <text>
        <t xml:space="preserve">======
ID#AAABjx7qSFE
    (2025-05-21 11:33:26)
0420 chloe: 匯款匯入US$9526</t>
      </text>
    </comment>
    <comment authorId="0" ref="H25">
      <text>
        <t xml:space="preserve">======
ID#AAABjx7qSE4
    (2025-05-21 11:33:26)
0312 chloe:匯入US$8026</t>
      </text>
    </comment>
    <comment authorId="0" ref="H535">
      <text>
        <t xml:space="preserve">======
ID#AAABjx7qSEs
    (2025-05-21 11:33:26)
1030 chloe: 匯款匯入US$16,948.00</t>
      </text>
    </comment>
    <comment authorId="0" ref="G138">
      <text>
        <t xml:space="preserve">======
ID#AAABjx7qSEc
    (2025-05-21 11:33:26)
180221 Tammy: project price for over 50pcs/lot</t>
      </text>
    </comment>
    <comment authorId="0" ref="H314">
      <text>
        <t xml:space="preserve">======
ID#AAABjx7qSDo
    (2025-05-21 11:33:25)
0830 chloe:匯款匯入US$1016</t>
      </text>
    </comment>
    <comment authorId="0" ref="H512">
      <text>
        <t xml:space="preserve">======
ID#AAABjx7qSCQ
    (2025-05-21 11:33:25)
1030 chloe: 匯款匯入US$16,948.00</t>
      </text>
    </comment>
    <comment authorId="0" ref="H540">
      <text>
        <t xml:space="preserve">======
ID#AAABjx7qSBo
    (2025-05-21 11:33:25)
1030 chloe: 匯款匯入US$16,948.00</t>
      </text>
    </comment>
    <comment authorId="0" ref="H146">
      <text>
        <t xml:space="preserve">======
ID#AAABjx7qSBU
    (2025-05-21 11:33:25)
0306 chloe:匯款匯入US$593</t>
      </text>
    </comment>
    <comment authorId="0" ref="H232">
      <text>
        <t xml:space="preserve">======
ID#AAABjx7qSBI
    (2025-05-21 11:33:25)
0423 chloe:匯入款項 US$2,739</t>
      </text>
    </comment>
    <comment authorId="0" ref="H231">
      <text>
        <t xml:space="preserve">======
ID#AAABjx7qSA8
    (2025-05-21 11:33:25)
0423 chloe:匯入款項 US$2,739</t>
      </text>
    </comment>
    <comment authorId="0" ref="H370">
      <text>
        <t xml:space="preserve">======
ID#AAABjx7qSBA
    (2025-05-21 11:33:25)
0731 chloe:匯款匯入US$3,973.20</t>
      </text>
    </comment>
    <comment authorId="0" ref="H713">
      <text>
        <t xml:space="preserve">======
ID#AAABjx7qSA0
    (2025-05-21 11:33:25)
1112 chloe:匯款匯入USD 8,359</t>
      </text>
    </comment>
    <comment authorId="0" ref="H256">
      <text>
        <t xml:space="preserve">======
ID#AAABjx7qSAw
    (2025-05-21 11:33:25)
0709 chloe:匯款匯入US$3424</t>
      </text>
    </comment>
    <comment authorId="0" ref="H247">
      <text>
        <t xml:space="preserve">======
ID#AAABjx7qSAE
    (2025-05-21 11:33:25)
0622 chloe:匯款匯入US$14958</t>
      </text>
    </comment>
    <comment authorId="0" ref="Q154">
      <text>
        <t xml:space="preserve">======
ID#AAABjx7qR_c
0306 chloe    (2025-05-21 11:33:25)
採購下單:7764 ( 價格表2017 Q2)
現已調漲價格:7468(價格表2018Q1)</t>
      </text>
    </comment>
    <comment authorId="0" ref="V715">
      <text>
        <t xml:space="preserve">======
ID#AAABjx7qR-o
    (2025-05-21 11:33:25)
新漢已補開，12/10新漢寄出
影本已先給會計</t>
      </text>
    </comment>
    <comment authorId="0" ref="H199">
      <text>
        <t xml:space="preserve">======
ID#AAABjx7qR-s
    (2025-05-21 11:33:25)
0524 chloe:匯款匯入US$8750</t>
      </text>
    </comment>
    <comment authorId="0" ref="H12">
      <text>
        <t xml:space="preserve">======
ID#AAABjx7qR-M
    (2025-05-21 11:33:25)
Santiago 0108 : 已收到US258</t>
      </text>
    </comment>
    <comment authorId="0" ref="L88">
      <text>
        <t xml:space="preserve">======
ID#AAABjx7qR9I
    (2025-05-21 11:33:25)
預計1/31到貨</t>
      </text>
    </comment>
    <comment authorId="0" ref="G380">
      <text>
        <t xml:space="preserve">======
ID#AAABjx7qR7I
    (2025-05-21 11:33:25)
180524 w/ vat 5%</t>
      </text>
    </comment>
    <comment authorId="0" ref="L704">
      <text>
        <t xml:space="preserve">======
ID#AAABjx7qR68
    (2025-05-21 11:33:25)
1024 Cindy:等Tammy通知再請研華出貨</t>
      </text>
    </comment>
    <comment authorId="0" ref="H670">
      <text>
        <t xml:space="preserve">======
ID#AAABjx7qR6w
    (2025-05-21 11:33:25)
1223 chloe:匯款匯入NT114,629</t>
      </text>
    </comment>
    <comment authorId="0" ref="H414">
      <text>
        <t xml:space="preserve">======
ID#AAABjx7qR6E
    (2025-05-21 11:33:25)
0912 chloe:匯款匯入US$18134.4</t>
      </text>
    </comment>
    <comment authorId="0" ref="H408">
      <text>
        <t xml:space="preserve">======
ID#AAABjx7qR6A
    (2025-05-21 11:33:25)
0912 chloe:匯款匯入US$18134.4</t>
      </text>
    </comment>
    <comment authorId="0" ref="L707">
      <text>
        <t xml:space="preserve">======
ID#AAABjx7qR5g
    (2025-05-21 11:33:25)
20181122DHL送回</t>
      </text>
    </comment>
    <comment authorId="0" ref="H47">
      <text>
        <t xml:space="preserve">======
ID#AAABjx7qR5c
    (2025-05-21 11:33:25)
Santiago 20180118: 收到玉山通知
→須提供合同給銀行才可放行
0123 chloe:款項已匯入</t>
      </text>
    </comment>
    <comment authorId="0" ref="H671">
      <text>
        <t xml:space="preserve">======
ID#AAABjx7qR5E
    (2025-05-21 11:33:25)
1112 chloe:匯款匯入US$8,753</t>
      </text>
    </comment>
    <comment authorId="0" ref="H525">
      <text>
        <t xml:space="preserve">======
ID#AAABjx7qR4c
    (2025-05-21 11:33:25)
1030 chloe: 匯款匯入US$16,948.00</t>
      </text>
    </comment>
    <comment authorId="0" ref="H40">
      <text>
        <t xml:space="preserve">======
ID#AAABjx7qR4Y
    (2025-05-21 11:33:25)
0209 chloe: 匯入款項US49990;剩餘款項23201 預計2/12當週匯款
0301 chloe:匯入款項23181</t>
      </text>
    </comment>
    <comment authorId="0" ref="G432">
      <text>
        <t xml:space="preserve">======
ID#AAABjx7qR4I
    (2025-05-21 11:33:25)
180710 w/ vat 5%</t>
      </text>
    </comment>
    <comment authorId="0" ref="E481">
      <text>
        <t xml:space="preserve">======
ID#AAABjx7qR3w
出貨文件的敘述須為    (2025-05-21 11:33:25)
Model : NPC-4784
Rackmount Network X86 Intel core i7 embedded PC</t>
      </text>
    </comment>
    <comment authorId="0" ref="L611">
      <text>
        <t xml:space="preserve">======
ID#AAABjx7qR3o
    (2025-05-21 11:33:25)
0919 已 PULL IN</t>
      </text>
    </comment>
    <comment authorId="0" ref="H24">
      <text>
        <t xml:space="preserve">======
ID#AAABjx7qR3g
    (2025-05-21 11:33:25)
0305 chloe: 收到款項US$7411</t>
      </text>
    </comment>
    <comment authorId="0" ref="K100">
      <text>
        <t xml:space="preserve">======
ID#AAABjx7qR3c
    (2025-05-21 11:33:25)
0417 chloe: 5/4 若沒出貨則原貨退回</t>
      </text>
    </comment>
    <comment authorId="0" ref="H741">
      <text>
        <t xml:space="preserve">======
ID#AAABjx7qR24
    (2025-05-21 11:33:25)
1204 chloe:匯款匯入US$1,764.50</t>
      </text>
    </comment>
    <comment authorId="0" ref="H21">
      <text>
        <t xml:space="preserve">======
ID#AAABjx7qR2w
    (2025-05-21 11:33:25)
0305 chloe: 收到款項US$7411</t>
      </text>
    </comment>
    <comment authorId="0" ref="D642">
      <text>
        <t xml:space="preserve">======
ID#AAABjx7qR18
    (2025-05-21 11:33:25)
凌華提前出貨故將此品項分開PI號碼.</t>
      </text>
    </comment>
    <comment authorId="0" ref="E363">
      <text>
        <t xml:space="preserve">======
ID#AAABjx7qR1s
    (2025-05-21 11:33:25)
180615 Karen: 下單w/o adapter</t>
      </text>
    </comment>
    <comment authorId="0" ref="H599">
      <text>
        <t xml:space="preserve">======
ID#AAABjx7qR0o
    (2025-05-21 11:33:25)
0114 chloe:匯款匯入US$7089</t>
      </text>
    </comment>
    <comment authorId="0" ref="K654">
      <text>
        <t xml:space="preserve">======
ID#AAABjx7qR0Y
20181008 San    (2025-05-21 11:33:25)
待我確認貨款後, 再出貨
20181022 chloe: 已預先給予出口報單備查</t>
      </text>
    </comment>
    <comment authorId="0" ref="E21">
      <text>
        <t xml:space="preserve">======
ID#AAABjx7qR0I
    (2025-05-21 11:33:25)
180111 修改LCD</t>
      </text>
    </comment>
    <comment authorId="0" ref="H830">
      <text>
        <t xml:space="preserve">======
ID#AAABjx7qRzE
    (2025-05-21 11:33:25)
1227 chloe:匯款匯入US$53334</t>
      </text>
    </comment>
    <comment authorId="0" ref="K332">
      <text>
        <t xml:space="preserve">======
ID#AAABjx7qRxo
    (2025-05-21 11:33:25)
0604出貨前. 通知Santiago 拍照</t>
      </text>
    </comment>
    <comment authorId="0" ref="H683">
      <text>
        <t xml:space="preserve">======
ID#AAABjx7qRxs
    (2025-05-21 11:33:25)
1120 chloe:匯款匯入US$6410</t>
      </text>
    </comment>
    <comment authorId="0" ref="H216">
      <text>
        <t xml:space="preserve">======
ID#AAABjx7qRxQ
    (2025-05-21 11:33:25)
0523 chloe:匯款匯入US$16190</t>
      </text>
    </comment>
    <comment authorId="0" ref="H426">
      <text>
        <t xml:space="preserve">======
ID#AAABjx7qRws
    (2025-05-21 11:33:25)
1012 chloe:匯款匯入US$1716</t>
      </text>
    </comment>
    <comment authorId="0" ref="H484">
      <text>
        <t xml:space="preserve">======
ID#AAABjx7qRwY
    (2025-05-21 11:33:25)
0913 chloe:匯款匯入153646</t>
      </text>
    </comment>
    <comment authorId="0" ref="H440">
      <text>
        <t xml:space="preserve">======
ID#AAABjx7qRu8
    (2025-05-21 11:33:25)
0912 chloe:匯款匯入US$18134.4</t>
      </text>
    </comment>
    <comment authorId="0" ref="K102">
      <text>
        <t xml:space="preserve">======
ID#AAABjx7qRus
0111 Santiago     (2025-05-21 11:33:25)
出貨前請Ken 下去/拍照</t>
      </text>
    </comment>
    <comment authorId="0" ref="H787">
      <text>
        <t xml:space="preserve">======
ID#AAABjx7qRuo
    (2025-05-21 11:33:25)
0213 Mary:匯款匯入US$11,250</t>
      </text>
    </comment>
    <comment authorId="0" ref="H802">
      <text>
        <t xml:space="preserve">======
ID#AAABjx7qRtw
    (2025-05-21 11:33:25)
1129 chloe:匯款匯入US$21360</t>
      </text>
    </comment>
    <comment authorId="0" ref="H541">
      <text>
        <t xml:space="preserve">======
ID#AAABjx7qRtc
    (2025-05-21 11:33:25)
1030 chloe: 匯款匯入US$16,948.00</t>
      </text>
    </comment>
    <comment authorId="0" ref="H804">
      <text>
        <t xml:space="preserve">======
ID#AAABjx7qRtM
    (2025-05-21 11:33:25)
1129 chloe:匯款匯入US$21360</t>
      </text>
    </comment>
    <comment authorId="0" ref="E702">
      <text>
        <t xml:space="preserve">======
ID#AAABjx7qRtI
    (2025-05-21 11:33:25)
Windows 10
請再安排FAE測主板功能。</t>
      </text>
    </comment>
    <comment authorId="0" ref="H583">
      <text>
        <t xml:space="preserve">======
ID#AAABjx7qRtA
    (2025-05-21 11:33:25)
1112 chloe:匯款匯入US$8,753</t>
      </text>
    </comment>
    <comment authorId="0" ref="H104">
      <text>
        <t xml:space="preserve">======
ID#AAABjx7qRsc
    (2025-05-21 11:33:25)
0329 chloe 匯款匯入US$9609</t>
      </text>
    </comment>
    <comment authorId="0" ref="H139">
      <text>
        <t xml:space="preserve">======
ID#AAABjx7qRsQ
    (2025-05-21 11:33:25)
0409 chloe: 收到匯款US$1399</t>
      </text>
    </comment>
    <comment authorId="0" ref="L599">
      <text>
        <t xml:space="preserve">======
ID#AAABjx7qRsE
    (2025-05-21 11:33:25)
貨到請通知Chloe檢查</t>
      </text>
    </comment>
    <comment authorId="0" ref="E696">
      <text>
        <t xml:space="preserve">======
ID#AAABjx7qRqs
    (2025-05-21 11:33:25)
戎克料號:02-BE-00060</t>
      </text>
    </comment>
    <comment authorId="0" ref="H785">
      <text>
        <t xml:space="preserve">======
ID#AAABjx7qRqE
    (2025-05-21 11:33:25)
1116 chloe: 匯款匯入:US$21239</t>
      </text>
    </comment>
    <comment authorId="0" ref="H585">
      <text>
        <t xml:space="preserve">======
ID#AAABjx7qRpk
    (2025-05-21 11:33:25)
1024 chloe:匯款匯入US$11920</t>
      </text>
    </comment>
    <comment authorId="0" ref="J827">
      <text>
        <t xml:space="preserve">======
ID#AAABjx7qRpQ
    (2025-05-21 11:33:25)
181203
Weight &gt; 5Kg  TNT ECONOMY
Weight &lt; 5Kg  TNT EXPRESS</t>
      </text>
    </comment>
    <comment authorId="0" ref="H389">
      <text>
        <t xml:space="preserve">======
ID#AAABjx7qRpI
    (2025-05-21 11:33:25)
0824 chloe:匯款匯入US$15535
多會PI-20180514A CPU US$100</t>
      </text>
    </comment>
    <comment authorId="0" ref="E217">
      <text>
        <t xml:space="preserve">======
ID#AAABjx7qRpE
    (2025-05-21 11:33:25)
Karen 180412: w/EU adapter</t>
      </text>
    </comment>
    <comment authorId="0" ref="H781">
      <text>
        <t xml:space="preserve">======
ID#AAABjx7qRo4
    (2025-05-21 11:33:25)
0123 Mary:匯款匯入US$1,035
(20181102A)</t>
      </text>
    </comment>
    <comment authorId="0" ref="H720">
      <text>
        <t xml:space="preserve">======
ID#AAABjx7qRog
    (2025-05-21 11:33:25)
1204 chloe:匯款匯入US$1,764.50</t>
      </text>
    </comment>
    <comment authorId="0" ref="H495">
      <text>
        <t xml:space="preserve">======
ID#AAABjx7qRoI
    (2025-05-21 11:33:25)
1001 chloe:匯款匯入US$5952.5</t>
      </text>
    </comment>
    <comment authorId="0" ref="H747">
      <text>
        <t xml:space="preserve">======
ID#AAABjx7qRno
    (2025-05-21 11:33:25)
1220 chloe: 匯款匯入US$32647.5</t>
      </text>
    </comment>
    <comment authorId="0" ref="H158">
      <text>
        <t xml:space="preserve">======
ID#AAABjx7qRnk
    (2025-05-21 11:33:25)
0323 chloe: 1月份貨款短缺170元，注意是否補回
0417 chloe: 已匯入款項 NT5669+ NT170</t>
      </text>
    </comment>
    <comment authorId="0" ref="Q665">
      <text>
        <t xml:space="preserve">======
ID#AAABjx7qRnU
    (2025-05-21 11:33:25)
1113 Cindy: 成本$2,590+運費60=2,650</t>
      </text>
    </comment>
    <comment authorId="0" ref="K758">
      <text>
        <t xml:space="preserve">======
ID#AAABjx7qRnM
    (2025-05-21 11:33:25)
Cindy: Freight Invoice開立日期:12/11</t>
      </text>
    </comment>
    <comment authorId="0" ref="E496">
      <text>
        <t xml:space="preserve">======
ID#AAABjx7qRnA
0807 chloe    (2025-05-21 11:33:25)
我司新料號
02-BE0-BKLC330-001A</t>
      </text>
    </comment>
    <comment authorId="0" ref="H461">
      <text>
        <t xml:space="preserve">======
ID#AAABjx7qRm0
    (2025-05-21 11:33:25)
0907 chloe:匯款匯入US$8273</t>
      </text>
    </comment>
    <comment authorId="0" ref="L155">
      <text>
        <t xml:space="preserve">======
ID#AAABjx7qRmo
    (2025-05-21 11:33:25)
預計到貨日3/6</t>
      </text>
    </comment>
    <comment authorId="0" ref="H755">
      <text>
        <t xml:space="preserve">======
ID#AAABjx7qRmU
    (2025-05-21 11:33:25)
0123 Mary:匯款匯入US$847
(PI-20181029A)</t>
      </text>
    </comment>
    <comment authorId="0" ref="H339">
      <text>
        <t xml:space="preserve">======
ID#AAABjx7qRmE
    (2025-05-21 11:33:25)
0827 chloe:匯款匯入NT22,810</t>
      </text>
    </comment>
    <comment authorId="0" ref="H431">
      <text>
        <t xml:space="preserve">======
ID#AAABjx7qRmA
    (2025-05-21 11:33:25)
1012 chloe:匯款匯入US$17175</t>
      </text>
    </comment>
    <comment authorId="0" ref="E494">
      <text>
        <t xml:space="preserve">======
ID#AAABjx7qRlo
0807 chloe    (2025-05-21 11:33:25)
戎克料號:02-BE-00059</t>
      </text>
    </comment>
    <comment authorId="0" ref="H615">
      <text>
        <t xml:space="preserve">======
ID#AAABjx7qRkc
    (2025-05-21 11:33:25)
1031 chloe:匯款匯入US$687</t>
      </text>
    </comment>
    <comment authorId="0" ref="H410">
      <text>
        <t xml:space="preserve">======
ID#AAABjx7qRkU
    (2025-05-21 11:33:25)
0912 chloe:匯款匯入US$18134.4</t>
      </text>
    </comment>
    <comment authorId="0" ref="H76">
      <text>
        <t xml:space="preserve">======
ID#AAABjx7qRiY
    (2025-05-21 11:33:25)
0312 chloe:匯入US$8026</t>
      </text>
    </comment>
    <comment authorId="0" ref="H352">
      <text>
        <t xml:space="preserve">======
ID#AAABjx7qRh8
    (2025-05-21 11:33:25)
0709 chloe:匯款匯入US$3424</t>
      </text>
    </comment>
    <comment authorId="0" ref="H203">
      <text>
        <t xml:space="preserve">======
ID#AAABjx7qRhs
    (2025-05-21 11:33:25)
0420 chloe: 匯款匯入US$9526</t>
      </text>
    </comment>
    <comment authorId="0" ref="K192">
      <text>
        <t xml:space="preserve">======
ID#AAABjx7qRhQ
    (2025-05-21 11:33:25)
180326 Tammy: 出貨前請確認是否為歐規，謝謝。</t>
      </text>
    </comment>
    <comment authorId="0" ref="H655">
      <text>
        <t xml:space="preserve">======
ID#AAABjx7qRg8
    (2025-05-21 11:33:25)
1023 chloe: 匯款匯入US 23,395</t>
      </text>
    </comment>
    <comment authorId="0" ref="H346">
      <text>
        <t xml:space="preserve">======
ID#AAABjx7qRg4
    (2025-05-21 11:33:25)
0607 chloe:匯款匯入US$835</t>
      </text>
    </comment>
    <comment authorId="0" ref="H832">
      <text>
        <t xml:space="preserve">======
ID#AAABjx7qRgc
    (2025-05-21 11:33:25)
1227 chloe:匯款匯入US$53334</t>
      </text>
    </comment>
    <comment authorId="0" ref="Q167">
      <text>
        <t xml:space="preserve">======
ID#AAABjx7qRgU
    (2025-05-21 11:33:25)
0308 chloe: 因去年PO-20171129A戎克採購單與發票金額不同，故此單之發票金額會show 1PC 金額2146.5(含稅)</t>
      </text>
    </comment>
    <comment authorId="0" ref="L347">
      <text>
        <t xml:space="preserve">======
ID#AAABjx7qRgI
    (2025-05-21 11:33:25)
0605 chloe:供應商會另外多給兩顆，再請交給Chloe
閎亮寄郵局掛號→6/5</t>
      </text>
    </comment>
    <comment authorId="0" ref="H51">
      <text>
        <t xml:space="preserve">======
ID#AAABjx7qRgE
    (2025-05-21 11:33:25)
0329 chloe:業務已通知客戶，併4月中貨款給予
0423 chloe: 匯款匯入US$19147</t>
      </text>
    </comment>
    <comment authorId="0" ref="H359">
      <text>
        <t xml:space="preserve">======
ID#AAABjx7qRfo
    (2025-05-21 11:33:25)
0619 chloe:匯款匯入US$16947</t>
      </text>
    </comment>
    <comment authorId="0" ref="H690">
      <text>
        <t xml:space="preserve">======
ID#AAABjx7qRfM
    (2025-05-21 11:33:25)
1204 chloe:匯款匯入US$1,764.50</t>
      </text>
    </comment>
    <comment authorId="0" ref="K663">
      <text>
        <t xml:space="preserve">======
ID#AAABjx7qRew
20181013 San    (2025-05-21 11:33:25)
出貨發票以PI 台幣金額為主
PI 有放到Google drive資料夾裡</t>
      </text>
    </comment>
    <comment authorId="0" ref="Y575">
      <text>
        <t xml:space="preserve">======
ID#AAABjx7qReU
    (2025-05-21 11:33:25)
我司運費</t>
      </text>
    </comment>
    <comment authorId="0" ref="H324">
      <text>
        <t xml:space="preserve">======
ID#AAABjx7qReA
    (2025-05-21 11:33:25)
0712 chloe:匯款匯入US$3031</t>
      </text>
    </comment>
    <comment authorId="0" ref="E576">
      <text>
        <t xml:space="preserve">======
ID#AAABjx7qRdM
    (2025-05-21 11:33:25)
下單請用FPM2150GR3B1601E-T
出貨文件上秀:
FPM-2150G-R3BE
(FPM2150GRB1601E-T)</t>
      </text>
    </comment>
    <comment authorId="0" ref="H255">
      <text>
        <t xml:space="preserve">======
ID#AAABjx7qRXM
    (2025-05-21 11:33:25)
0709 chloe:匯款匯入US$3424</t>
      </text>
    </comment>
    <comment authorId="0" ref="H602">
      <text>
        <t xml:space="preserve">======
ID#AAABjx7qRWk
    (2025-05-21 11:33:25)
0114 chloe:匯款匯入US$7089</t>
      </text>
    </comment>
    <comment authorId="0" ref="H209">
      <text>
        <t xml:space="preserve">======
ID#AAABjx7qRWc
    (2025-05-21 11:33:25)
Charles 0328 : Santiago 同意下次一起付款
0409 chloe:匯款匯入 USD 1,909</t>
      </text>
    </comment>
    <comment authorId="0" ref="G431">
      <text>
        <t xml:space="preserve">======
ID#AAABjx7qRVo
    (2025-05-21 11:33:25)
180221 Tammy: project price for over 50pcs/lot</t>
      </text>
    </comment>
    <comment authorId="0" ref="E61">
      <text>
        <t xml:space="preserve">======
ID#AAABjx7qRVs
    (2025-05-21 11:33:25)
180110 Karen: w/ EU adapter</t>
      </text>
    </comment>
    <comment authorId="0" ref="J492">
      <text>
        <t xml:space="preserve">======
ID#AAABjx7qRVA
    (2025-05-21 11:33:25)
180806 Tammy: 出貨前, 再次確認
180830 Tammy: 確認UX Logistics</t>
      </text>
    </comment>
    <comment authorId="0" ref="K42">
      <text>
        <t xml:space="preserve">======
ID#AAABjx7qRUg
Santiago 20180116    (2025-05-21 11:33:25)
出貨前通知Santiago 拍照</t>
      </text>
    </comment>
    <comment authorId="0" ref="H501">
      <text>
        <t xml:space="preserve">======
ID#AAABjx7qRT8
    (2025-05-21 11:33:25)
1012 chloe:匯款匯入US$1716</t>
      </text>
    </comment>
    <comment authorId="0" ref="H746">
      <text>
        <t xml:space="preserve">======
ID#AAABjx7qRTg
    (2025-05-21 11:33:25)
1220 chloe: 匯款匯入US$32647.5</t>
      </text>
    </comment>
    <comment authorId="0" ref="L174">
      <text>
        <t xml:space="preserve">======
ID#AAABjx7qRTQ
    (2025-05-21 11:33:25)
預計3/19到貨</t>
      </text>
    </comment>
    <comment authorId="0" ref="H134">
      <text>
        <t xml:space="preserve">======
ID#AAABjx7qRTM
    (2025-05-21 11:33:25)
0307 chloe: 匯款匯入US$2198</t>
      </text>
    </comment>
    <comment authorId="0" ref="G100">
      <text>
        <t xml:space="preserve">======
ID#AAABjx7qRTA
    (2025-05-21 11:33:25)
0124 Santiago 報價修正為US$168</t>
      </text>
    </comment>
    <comment authorId="0" ref="K40">
      <text>
        <t xml:space="preserve">======
ID#AAABjx7qRSk
Santiago 20180116    (2025-05-21 11:33:25)
出貨前通知Santiago 拍照</t>
      </text>
    </comment>
    <comment authorId="0" ref="K445">
      <text>
        <t xml:space="preserve">======
ID#AAABjx7qRR8
    (2025-05-21 11:33:25)
超出O/A 待收到款項後出貨</t>
      </text>
    </comment>
    <comment authorId="0" ref="L130">
      <text>
        <t xml:space="preserve">======
ID#AAABjx7qRR0
    (2025-05-21 11:33:25)
預計2/23到貨</t>
      </text>
    </comment>
    <comment authorId="0" ref="H280">
      <text>
        <t xml:space="preserve">======
ID#AAABjx7qRRY
    (2025-05-21 11:33:25)
0619 chloe:匯款匯入US$10018</t>
      </text>
    </comment>
    <comment authorId="0" ref="L613">
      <text>
        <t xml:space="preserve">======
ID#AAABjx7qRQ0
    (2025-05-21 11:33:25)
0919 已 PULL IN</t>
      </text>
    </comment>
    <comment authorId="0" ref="E193">
      <text>
        <t xml:space="preserve">======
ID#AAABjx7qRP0
    (2025-05-21 11:33:25)
規格:EU</t>
      </text>
    </comment>
    <comment authorId="0" ref="K72">
      <text>
        <t xml:space="preserve">======
ID#AAABjx7qRPw
0111 Santiago     (2025-05-21 11:33:25)
出貨前請Benson拍照</t>
      </text>
    </comment>
    <comment authorId="0" ref="K650">
      <text>
        <t xml:space="preserve">======
ID#AAABjx7qRPI
20181013 San    (2025-05-21 11:33:25)
出貨發票以PI 台幣金額為主
PI 有放到Google drive資料夾裡
1112 chloe:貨到交由Santiago</t>
      </text>
    </comment>
    <comment authorId="0" ref="H651">
      <text>
        <t xml:space="preserve">======
ID#AAABjx7qROI
    (2025-05-21 11:33:25)
1223 chloe:匯款匯入NT114,629</t>
      </text>
    </comment>
    <comment authorId="0" ref="G328">
      <text>
        <t xml:space="preserve">======
ID#AAABjx7qRM4
    (2025-05-21 11:33:25)
180524 w/ vat 5%</t>
      </text>
    </comment>
    <comment authorId="0" ref="H33">
      <text>
        <t xml:space="preserve">======
ID#AAABjx7qRLc
    (2025-05-21 11:33:25)
0109 Santiago  : 玉山已收到款項</t>
      </text>
    </comment>
    <comment authorId="0" ref="O259">
      <text>
        <t xml:space="preserve">======
ID#AAABjx7qRKg
    (2025-05-21 11:33:25)
3 PCS</t>
      </text>
    </comment>
    <comment authorId="0" ref="H142">
      <text>
        <t xml:space="preserve">======
ID#AAABjx7qRKM
    (2025-05-21 11:33:25)
0423 chloe: 匯款匯入US$19147</t>
      </text>
    </comment>
    <comment authorId="0" ref="H89">
      <text>
        <t xml:space="preserve">======
ID#AAABjx7qRJ0
    (2025-05-21 11:33:25)
0327 chloe:收到匯款NT17,564</t>
      </text>
    </comment>
    <comment authorId="0" ref="H131">
      <text>
        <t xml:space="preserve">======
ID#AAABjx7qRJI
    (2025-05-21 11:33:25)
0409 chloe: 收到匯款US$1399</t>
      </text>
    </comment>
    <comment authorId="0" ref="H382">
      <text>
        <t xml:space="preserve">======
ID#AAABjx7qRIM
    (2025-05-21 11:33:25)
0710 chloe:匯款匯入44891</t>
      </text>
    </comment>
    <comment authorId="0" ref="H791">
      <text>
        <t xml:space="preserve">======
ID#AAABjx7qRHo
    (2025-05-21 11:33:25)
0213 Mary:匯款匯入US$11,250</t>
      </text>
    </comment>
    <comment authorId="0" ref="H357">
      <text>
        <t xml:space="preserve">======
ID#AAABjx7qRHY
    (2025-05-21 11:33:25)
0824 chloe:匯款匯入US$15535
多會PI-20180514A CPU US$100</t>
      </text>
    </comment>
    <comment authorId="0" ref="H593">
      <text>
        <t xml:space="preserve">======
ID#AAABjx7qRGw
    (2025-05-21 11:33:25)
0114 chloe:匯款匯入US$7089</t>
      </text>
    </comment>
    <comment authorId="0" ref="N242">
      <text>
        <t xml:space="preserve">======
ID#AAABjx7qRGo
    (2025-05-21 11:33:25)
RDMO-20171221B-2</t>
      </text>
    </comment>
    <comment authorId="0" ref="H28">
      <text>
        <t xml:space="preserve">======
ID#AAABjx7qRGY
    (2025-05-21 11:33:25)
0312 chloe:匯入US$8026</t>
      </text>
    </comment>
    <comment authorId="0" ref="E114">
      <text>
        <t xml:space="preserve">======
ID#AAABjx7qRGQ
    (2025-05-21 11:33:25)
180208 Karen: 因趕交期, 下美規電源</t>
      </text>
    </comment>
    <comment authorId="0" ref="H375">
      <text>
        <t xml:space="preserve">======
ID#AAABjx7qRGI
    (2025-05-21 11:33:25)
0706 chloe:匯款匯入US$3499</t>
      </text>
    </comment>
    <comment authorId="0" ref="D244">
      <text>
        <t xml:space="preserve">======
ID#AAABjx7qRGE
Santiago 0419     (2025-05-21 11:33:25)
出貨前要換</t>
      </text>
    </comment>
    <comment authorId="0" ref="H534">
      <text>
        <t xml:space="preserve">======
ID#AAABjx7qRFo
    (2025-05-21 11:33:25)
1112 chloe:匯款匯入US$8,753</t>
      </text>
    </comment>
    <comment authorId="0" ref="G254">
      <text>
        <t xml:space="preserve">======
ID#AAABjx7qRFk
    (2025-05-21 11:33:25)
180221 Tammy: project price for over 50pcs/lot</t>
      </text>
    </comment>
    <comment authorId="0" ref="E467">
      <text>
        <t xml:space="preserve">======
ID#AAABjx7qRFU
    (2025-05-21 11:33:25)
180726 Tammy: 下單IBase Barebone型號AMS300M
180730 Tammy: 出貨文件中, 產品描述, 加上[with MAC], 單價為US$445, 不用再列出"Mac Address replacement and operation"</t>
      </text>
    </comment>
    <comment authorId="0" ref="H482">
      <text>
        <t xml:space="preserve">======
ID#AAABjx7qRFI
    (2025-05-21 11:33:25)
0907 chloe:匯款匯入US$2433</t>
      </text>
    </comment>
    <comment authorId="0" ref="L661">
      <text>
        <t xml:space="preserve">======
ID#AAABjx7qRFE
    (2025-05-21 11:33:25)
1112 chloe:貨到交由Santiago</t>
      </text>
    </comment>
    <comment authorId="0" ref="H82">
      <text>
        <t xml:space="preserve">======
ID#AAABjx7qREg
    (2025-05-21 11:33:25)
0406 chloe匯款匯入US$7,637.50</t>
      </text>
    </comment>
    <comment authorId="0" ref="L112">
      <text>
        <t xml:space="preserve">======
ID#AAABjx7qREE
    (2025-05-21 11:33:25)
0223 chloe:貨物瑕疵，MOXA尚未出貨</t>
      </text>
    </comment>
    <comment authorId="0" ref="H737">
      <text>
        <t xml:space="preserve">======
ID#AAABjx7qRD0
    (2025-05-21 11:33:25)
1217 chloe:匯款匯入US$3,207.00</t>
      </text>
    </comment>
    <comment authorId="0" ref="L102">
      <text>
        <t xml:space="preserve">======
ID#AAABjx7qRDo
    (2025-05-21 11:33:25)
預計2/6到貨</t>
      </text>
    </comment>
    <comment authorId="0" ref="H523">
      <text>
        <t xml:space="preserve">======
ID#AAABjx7qRDI
    (2025-05-21 11:33:25)
1030 chloe: 匯款匯入US$16,948.00</t>
      </text>
    </comment>
    <comment authorId="0" ref="L615">
      <text>
        <t xml:space="preserve">======
ID#AAABjx7qRCs
    (2025-05-21 11:33:25)
0919 已 PULL IN</t>
      </text>
    </comment>
    <comment authorId="0" ref="L109">
      <text>
        <t xml:space="preserve">======
ID#AAABjx7qRCo
    (2025-05-21 11:33:25)
0205 chloe: 客戶希望提早出貨，故交期有變更</t>
      </text>
    </comment>
    <comment authorId="0" ref="E727">
      <text>
        <t xml:space="preserve">======
ID#AAABjx7qRBs
    (2025-05-21 11:33:25)
180717 Tammy修改</t>
      </text>
    </comment>
    <comment authorId="0" ref="H392">
      <text>
        <t xml:space="preserve">======
ID#AAABjx7qRAs
    (2025-05-21 11:33:25)
0824 chloe:匯款匯入US$15535
多會PI-20180514A CPU US$100</t>
      </text>
    </comment>
    <comment authorId="0" ref="H694">
      <text>
        <t xml:space="preserve">======
ID#AAABjx7qRAw
    (2025-05-21 11:33:25)
1204 chloe:匯款匯入US$1,764.50</t>
      </text>
    </comment>
    <comment authorId="0" ref="H536">
      <text>
        <t xml:space="preserve">======
ID#AAABjx7qRAI
    (2025-05-21 11:33:25)
1030 chloe: 匯款匯入US$16,948.00</t>
      </text>
    </comment>
    <comment authorId="0" ref="H188">
      <text>
        <t xml:space="preserve">======
ID#AAABjx7qQ_s
    (2025-05-21 11:33:25)
0622 chloe:匯款匯入US$679</t>
      </text>
    </comment>
    <comment authorId="0" ref="H708">
      <text>
        <t xml:space="preserve">======
ID#AAABjx7qQ_g
    (2025-05-21 11:33:25)
1022 chloe:匯款匯入USD 2,089</t>
      </text>
    </comment>
    <comment authorId="0" ref="H181">
      <text>
        <t xml:space="preserve">======
ID#AAABjx7qQ_c
    (2025-05-21 11:33:25)
0523 chloe:匯款匯入US$16190</t>
      </text>
    </comment>
    <comment authorId="0" ref="L741">
      <text>
        <t xml:space="preserve">======
ID#AAABjx7qQ_Y
    (2025-05-21 11:33:25)
1115 Chloe已給Cindy</t>
      </text>
    </comment>
    <comment authorId="0" ref="H415">
      <text>
        <t xml:space="preserve">======
ID#AAABjx7qQ-8
    (2025-05-21 11:33:25)
0803 chloe:匯款匯入US$11920</t>
      </text>
    </comment>
    <comment authorId="0" ref="J359">
      <text>
        <t xml:space="preserve">======
ID#AAABjx7qQ-4
    (2025-05-21 11:33:25)
JUDY KAO
Supervisor Of Sales Div.
FETA FREIGHT SYSTEMS (TAIWAN ) LTD. 
Tel: +886-3-399-2033 EXT: 135
Direct: +886-3-3992106
Fax: +886-3-3992036/2055
E-mail: judykao@ffsi.com.tw</t>
      </text>
    </comment>
    <comment authorId="0" ref="H667">
      <text>
        <t xml:space="preserve">======
ID#AAABjx7qQ_A
    (2025-05-21 11:33:25)
1223 chloe:匯款匯入NT114,629</t>
      </text>
    </comment>
    <comment authorId="0" ref="I824">
      <text>
        <t xml:space="preserve">======
ID#AAABjx7qQ98
    (2025-05-21 11:33:25)
1128 chloe:協助登記</t>
      </text>
    </comment>
    <comment authorId="0" ref="L598">
      <text>
        <t xml:space="preserve">======
ID#AAABjx7qQ9k
    (2025-05-21 11:33:25)
1113 chloe:貨到請通知Chloe</t>
      </text>
    </comment>
    <comment authorId="0" ref="K123">
      <text>
        <t xml:space="preserve">======
ID#AAABjx7qQ9Y
    (2025-05-21 11:33:25)
christine0222:連同目錄一起寄出</t>
      </text>
    </comment>
    <comment authorId="0" ref="H542">
      <text>
        <t xml:space="preserve">======
ID#AAABjx7qQ9E
    (2025-05-21 11:33:25)
1030 chloe: 匯款匯入US$16,948.00</t>
      </text>
    </comment>
    <comment authorId="0" ref="G736">
      <text>
        <t xml:space="preserve">======
ID#AAABjx7qQ84
    (2025-05-21 11:33:25)
w/5%VAT</t>
      </text>
    </comment>
    <comment authorId="0" ref="H137">
      <text>
        <t xml:space="preserve">======
ID#AAABjx7qQ8A
    (2025-05-21 11:33:25)
0427 chloe:匯款匯入US$19820</t>
      </text>
    </comment>
    <comment authorId="0" ref="H141">
      <text>
        <t xml:space="preserve">======
ID#AAABjx7qQ7M
    (2025-05-21 11:33:25)
0423 chloe: 匯款匯入US$19147</t>
      </text>
    </comment>
    <comment authorId="0" ref="H349">
      <text>
        <t xml:space="preserve">======
ID#AAABjx7qQ7E
    (2025-05-21 11:33:25)
1112 chloe:匯款匯入US$8,753</t>
      </text>
    </comment>
    <comment authorId="0" ref="H157">
      <text>
        <t xml:space="preserve">======
ID#AAABjx7qQ6s
    (2025-05-21 11:33:25)
0423 chloe: 匯款匯入US$19147</t>
      </text>
    </comment>
    <comment authorId="0" ref="H290">
      <text>
        <t xml:space="preserve">======
ID#AAABjx7qQ6Q
    (2025-05-21 11:33:25)
0517 chloe:匯入US2077</t>
      </text>
    </comment>
    <comment authorId="0" ref="H124">
      <text>
        <t xml:space="preserve">======
ID#AAABjx7qQ6E
    (2025-05-21 11:33:25)
0329 chloe 匯款匯入US$9609</t>
      </text>
    </comment>
    <comment authorId="0" ref="H138">
      <text>
        <t xml:space="preserve">======
ID#AAABjx7qQ50
    (2025-05-21 11:33:25)
0427 chloe:匯款匯入US$19820</t>
      </text>
    </comment>
    <comment authorId="0" ref="L186">
      <text>
        <t xml:space="preserve">======
ID#AAABjx7qQ5w
    (2025-05-21 11:33:25)
預計4/16到貨</t>
      </text>
    </comment>
    <comment authorId="0" ref="H661">
      <text>
        <t xml:space="preserve">======
ID#AAABjx7qQ5c
    (2025-05-21 11:33:25)
1223 chloe:匯款匯入NT114,629</t>
      </text>
    </comment>
    <comment authorId="0" ref="H185">
      <text>
        <t xml:space="preserve">======
ID#AAABjx7qQ5M
    (2025-05-21 11:33:25)
0619 chloe:匯入NT28950-原本款項25,011= 3,939(多匯)</t>
      </text>
    </comment>
    <comment authorId="0" ref="H521">
      <text>
        <t xml:space="preserve">======
ID#AAABjx7qQ5E
    (2025-05-21 11:33:25)
1002 chloe:匯款匯入US$17500</t>
      </text>
    </comment>
    <comment authorId="0" ref="H576">
      <text>
        <t xml:space="preserve">======
ID#AAABjx7qQ4o
    (2025-05-21 11:33:25)
1112 chloe:匯款匯入US$8,753</t>
      </text>
    </comment>
    <comment authorId="0" ref="E393">
      <text>
        <t xml:space="preserve">======
ID#AAABjx7qQ4g
0626 Santiago    (2025-05-21 11:33:25)
-&gt; 待客戶將 7' LCD (AA070ME01)寄來後， 寄曦立光電做貼合</t>
      </text>
    </comment>
    <comment authorId="0" ref="L121">
      <text>
        <t xml:space="preserve">======
ID#AAABjx7qQ4E
    (2025-05-21 11:33:25)
預計2/23到貨</t>
      </text>
    </comment>
    <comment authorId="0" ref="E378">
      <text>
        <t xml:space="preserve">======
ID#AAABjx7qQ3o
    (2025-05-21 11:33:25)
0618 San: 待提供BOM給Chloe</t>
      </text>
    </comment>
    <comment authorId="0" ref="Q444">
      <text>
        <t xml:space="preserve">======
ID#AAABjx7qQ3Q
    (2025-05-21 11:33:25)
59 PCS</t>
      </text>
    </comment>
    <comment authorId="0" ref="H53">
      <text>
        <t xml:space="preserve">======
ID#AAABjx7qQ20
    (2025-05-21 11:33:25)
0316 chloe:收到客戶水單，待銀行通知
0323 chloe:匯款匯入US$2,604.50</t>
      </text>
    </comment>
    <comment authorId="0" ref="H335">
      <text>
        <t xml:space="preserve">======
ID#AAABjx7qQ2o
    (2025-05-21 11:33:25)
0712 chloe:匯款匯入US$3031</t>
      </text>
    </comment>
    <comment authorId="0" ref="K330">
      <text>
        <t xml:space="preserve">======
ID#AAABjx7qQ2g
    (2025-05-21 11:33:25)
0604出貨前. 通知Santiago 拍照</t>
      </text>
    </comment>
    <comment authorId="0" ref="P828">
      <text>
        <t xml:space="preserve">======
ID#AAABjx7qQ2M
    (2025-05-21 11:33:25)
1210Cindy: 含US$3 運費(訂購金額不足NT$5,000)</t>
      </text>
    </comment>
    <comment authorId="0" ref="H520">
      <text>
        <t xml:space="preserve">======
ID#AAABjx7qQ2E
    (2025-05-21 11:33:25)
1002 chloe:匯款匯入US$17500</t>
      </text>
    </comment>
    <comment authorId="0" ref="K664">
      <text>
        <t xml:space="preserve">======
ID#AAABjx7qQ18
20181013 San    (2025-05-21 11:33:25)
出貨發票以PI 台幣金額為主
PI 有放到Google drive資料夾裡</t>
      </text>
    </comment>
    <comment authorId="0" ref="L97">
      <text>
        <t xml:space="preserve">======
ID#AAABjx7qQ1s
    (2025-05-21 11:33:25)
預計2/9到貨</t>
      </text>
    </comment>
    <comment authorId="0" ref="K288">
      <text>
        <t xml:space="preserve">======
ID#AAABjx7qQ1U
    (2025-05-21 11:33:25)
0723 chloe: 先寄出100PCS
另外4PCS存放在曦立光電</t>
      </text>
    </comment>
    <comment authorId="0" ref="H457">
      <text>
        <t xml:space="preserve">======
ID#AAABjx7qQ00
    (2025-05-21 11:33:25)
0907 chloe:匯款匯入US$8273</t>
      </text>
    </comment>
    <comment authorId="0" ref="H453">
      <text>
        <t xml:space="preserve">======
ID#AAABjx7qQ0Q
    (2025-05-21 11:33:25)
0824 chloe:匯款匯入US$31,023</t>
      </text>
    </comment>
    <comment authorId="0" ref="H85">
      <text>
        <t xml:space="preserve">======
ID#AAABjx7qQ0I
    (2025-05-21 11:33:25)
0315 chloe: 收到系統通知，銀行端尚未放款
0316 chloe: 匯款匯入US$8750</t>
      </text>
    </comment>
    <comment authorId="0" ref="H718">
      <text>
        <t xml:space="preserve">======
ID#AAABjx7qQzU
    (2025-05-21 11:33:25)
1127 chloe: 匯款匯入US$11920</t>
      </text>
    </comment>
    <comment authorId="0" ref="H638">
      <text>
        <t xml:space="preserve">======
ID#AAABjx7qQzA
    (2025-05-21 11:33:25)
1220 chloe: 匯款匯入US$32647.5</t>
      </text>
    </comment>
    <comment authorId="0" ref="L667">
      <text>
        <t xml:space="preserve">======
ID#AAABjx7qQyk
    (2025-05-21 11:33:25)
1112 chloe:貨到交由Santiago</t>
      </text>
    </comment>
    <comment authorId="0" ref="K99">
      <text>
        <t xml:space="preserve">======
ID#AAABjx7qQyY
    (2025-05-21 11:33:25)
0417 chloe: 5/4 若沒出貨則原貨退回</t>
      </text>
    </comment>
    <comment authorId="0" ref="H80">
      <text>
        <t xml:space="preserve">======
ID#AAABjx7qQyM
    (2025-05-21 11:33:25)
0306 chloe:收到匯款NT972610</t>
      </text>
    </comment>
    <comment authorId="0" ref="H378">
      <text>
        <t xml:space="preserve">======
ID#AAABjx7qQx4
    (2025-05-21 11:33:25)
0622 chloe:匯款匯入US$1411</t>
      </text>
    </comment>
    <comment authorId="0" ref="E256">
      <text>
        <t xml:space="preserve">======
ID#AAABjx7qQxc
0504 chloe    (2025-05-21 11:33:25)
快異點料號:CRK18050402</t>
      </text>
    </comment>
    <comment authorId="0" ref="E645">
      <text>
        <t xml:space="preserve">======
ID#AAABjx7qQxU
    (2025-05-21 11:33:25)
規格:EU</t>
      </text>
    </comment>
    <comment authorId="0" ref="H208">
      <text>
        <t xml:space="preserve">======
ID#AAABjx7qQwQ
    (2025-05-21 11:33:25)
0409 chloe:收到匯款US$274</t>
      </text>
    </comment>
    <comment authorId="0" ref="H275">
      <text>
        <t xml:space="preserve">======
ID#AAABjx7qQvM
    (2025-05-21 11:33:25)
0619 chloe:匯款匯入US$10018</t>
      </text>
    </comment>
    <comment authorId="0" ref="R472">
      <text>
        <t xml:space="preserve">======
ID#AAABjx7qQvA
    (2025-05-21 11:33:25)
Santiago 1130 : 原來Chloe 註記銀行如下, 但Santiago 匯到舊的聯邦
合庫大安分行
0760717324727</t>
      </text>
    </comment>
    <comment authorId="0" ref="H429">
      <text>
        <t xml:space="preserve">======
ID#AAABjx7qQuk
    (2025-05-21 11:33:25)
0907 chloe:匯款匯入US$8273</t>
      </text>
    </comment>
    <comment authorId="0" ref="H678">
      <text>
        <t xml:space="preserve">======
ID#AAABjx7qQuc
    (2025-05-21 11:33:25)
0123 Mary: 匯款匯入 US$362</t>
      </text>
    </comment>
    <comment authorId="0" ref="H236">
      <text>
        <t xml:space="preserve">======
ID#AAABjx7qQuE
    (2025-05-21 11:33:25)
0614 chloe:匯款匯入US$8274</t>
      </text>
    </comment>
    <comment authorId="0" ref="E705">
      <text>
        <t xml:space="preserve">======
ID#AAABjx7qQt8
    (2025-05-21 11:33:25)
181114 Karen: w/EU adapter</t>
      </text>
    </comment>
    <comment authorId="0" ref="H698">
      <text>
        <t xml:space="preserve">======
ID#AAABjx7qQsg
    (2025-05-21 11:33:25)
1203 chloe: 電文11/30匯款，待銀行通知
1204 chloe:匯款匯入US16627</t>
      </text>
    </comment>
    <comment authorId="0" ref="H70">
      <text>
        <t xml:space="preserve">======
ID#AAABjx7qQsE
    (2025-05-21 11:33:25)
0316 chloe:收到客戶水單，待銀行通知
0323 chloe:匯款匯入US$2,604.50</t>
      </text>
    </comment>
    <comment authorId="0" ref="E695">
      <text>
        <t xml:space="preserve">======
ID#AAABjx7qQsA
    (2025-05-21 11:33:25)
戎克料號:02-BE-00061</t>
      </text>
    </comment>
    <comment authorId="0" ref="H578">
      <text>
        <t xml:space="preserve">======
ID#AAABjx7qQrg
    (2025-05-21 11:33:25)
1030 chloe: 匯款匯入US$16,948.00</t>
      </text>
    </comment>
    <comment authorId="0" ref="H66">
      <text>
        <t xml:space="preserve">======
ID#AAABjx7qQrU
    (2025-05-21 11:33:25)
0214chloe:收到客戶匯款水單，銀行尚未通知
0221 chloe:收到款項US$3477</t>
      </text>
    </comment>
    <comment authorId="0" ref="H174">
      <text>
        <t xml:space="preserve">======
ID#AAABjx7qQq0
    (2025-05-21 11:33:25)
0427 chloe:匯款匯入US$780</t>
      </text>
    </comment>
    <comment authorId="0" ref="H630">
      <text>
        <t xml:space="preserve">======
ID#AAABjx7qQqM
    (2025-05-21 11:33:25)
1220 chloe: 匯款匯入US$32647.5</t>
      </text>
    </comment>
    <comment authorId="0" ref="E465">
      <text>
        <t xml:space="preserve">======
ID#AAABjx7qQpY
    (2025-05-21 11:33:25)
180725 Tammy: KH告知重覆下單，要取消</t>
      </text>
    </comment>
    <comment authorId="0" ref="E24">
      <text>
        <t xml:space="preserve">======
ID#AAABjx7qQow
    (2025-05-21 11:33:25)
180111 修改LCD</t>
      </text>
    </comment>
    <comment authorId="0" ref="L556">
      <text>
        <t xml:space="preserve">======
ID#AAABjx7qQoc
    (2025-05-21 11:33:25)
180830 待通知後再出貨
180903 確定9/5出貨</t>
      </text>
    </comment>
    <comment authorId="0" ref="P602">
      <text>
        <t xml:space="preserve">======
ID#AAABjx7qQnc
    (2025-05-21 11:33:25)
1024 chloe:已告知若使用美金付款將不使用全額到匯→待供應商回覆</t>
      </text>
    </comment>
    <comment authorId="0" ref="H71">
      <text>
        <t xml:space="preserve">======
ID#AAABjx7qQnM
    (2025-05-21 11:33:25)
0316 chloe:收到客戶水單，待銀行通知
0323 chloe:匯款匯入US$2,604.50</t>
      </text>
    </comment>
    <comment authorId="0" ref="H669">
      <text>
        <t xml:space="preserve">======
ID#AAABjx7qQmg
    (2025-05-21 11:33:25)
1223 chloe:匯款匯入NT114,629</t>
      </text>
    </comment>
    <comment authorId="0" ref="L393">
      <text>
        <t xml:space="preserve">======
ID#AAABjx7qQmA
    (2025-05-21 11:33:25)
400 PCS 貼合
24 PCS 只有點亮測試
貨到請通知Chloe</t>
      </text>
    </comment>
    <comment authorId="0" ref="E745">
      <text>
        <t xml:space="preserve">======
ID#AAABjx7qQls
    (2025-05-21 11:33:25)
●訂單上面忘記註明會Consing DRAM
● DDR4 無法裝在ECS-8000-2R850Q
此單取消DRAM可以改用於PI-20181022C  ( SPC3520-300U 訂單)</t>
      </text>
    </comment>
    <comment authorId="0" ref="J41">
      <text>
        <t xml:space="preserve">======
ID#AAABjx7qQlM
20180212 Santiago    (2025-05-21 11:33:25)
Christine 已請美灣拉貨. 
因為SA的FedEx 不能使用
未來下午四點前若不提供戎克訂單的運輸方式. 一律延到隔日出</t>
      </text>
    </comment>
    <comment authorId="0" ref="H56">
      <text>
        <t xml:space="preserve">======
ID#AAABjx7qQkg
    (2025-05-21 11:33:25)
0129 chloe:匯入US$2033</t>
      </text>
    </comment>
    <comment authorId="0" ref="L107">
      <text>
        <t xml:space="preserve">======
ID#AAABjx7qQiI
    (2025-05-21 11:33:25)
0205 chloe: 客戶希望提早出貨，故交期有變更</t>
      </text>
    </comment>
    <comment authorId="0" ref="P611">
      <text>
        <t xml:space="preserve">======
ID#AAABjx7qQh8
    (2025-05-21 11:33:25)
Magin 1.15 %</t>
      </text>
    </comment>
    <comment authorId="0" ref="H122">
      <text>
        <t xml:space="preserve">======
ID#AAABjx7qQhw
    (2025-05-21 11:33:25)
0329 chloe 匯款匯入US$9609</t>
      </text>
    </comment>
    <comment authorId="0" ref="E2">
      <text>
        <t xml:space="preserve">======
ID#AAABjx7qQhk
    (2025-05-21 11:33:25)
換更換鋁框、HDD Tray</t>
      </text>
    </comment>
    <comment authorId="0" ref="E252">
      <text>
        <t xml:space="preserve">======
ID#AAABjx7qQg0
    (2025-05-21 11:33:25)
20170104 Santiago: 和之前訂單一樣, w/o adapter</t>
      </text>
    </comment>
    <comment authorId="0" ref="G384">
      <text>
        <t xml:space="preserve">======
ID#AAABjx7qQgc
    (2025-05-21 11:33:25)
180621 w/ vat 5%</t>
      </text>
    </comment>
    <comment authorId="0" ref="H37">
      <text>
        <t xml:space="preserve">======
ID#AAABjx7qQf0
    (2025-05-21 11:33:25)
0209 chloe: 匯入款項US49990;剩餘款項23201 預計2/12當週匯款
0301 chloe:匯入款項23181</t>
      </text>
    </comment>
    <comment authorId="0" ref="H475">
      <text>
        <t xml:space="preserve">======
ID#AAABjx7qQfg
    (2025-05-21 11:33:25)
1012 chloe:匯款匯入US$40290
(客戶少匯US$2280)
1030 chloe: 匯款匯入US$16,948.00</t>
      </text>
    </comment>
    <comment authorId="0" ref="H3">
      <text>
        <t xml:space="preserve">======
ID#AAABjx7qQfU
    (2025-05-21 11:33:25)
1110 chloe: 銀行通知戎克戶名錯誤，已通知客戶修改電文
1116 chloe:收到銀行通知US$1506</t>
      </text>
    </comment>
    <comment authorId="0" ref="H634">
      <text>
        <t xml:space="preserve">======
ID#AAABjx7qQd0
    (2025-05-21 11:33:25)
1220 chloe: 匯款匯入US$32647.5</t>
      </text>
    </comment>
    <comment authorId="0" ref="L105">
      <text>
        <t xml:space="preserve">======
ID#AAABjx7qQds
    (2025-05-21 11:33:25)
0205 chloe:原定Vecow組裝，修改為LEON組裝
預計2/9到貨</t>
      </text>
    </comment>
    <comment authorId="0" ref="H589">
      <text>
        <t xml:space="preserve">======
ID#AAABjx7qQc0
    (2025-05-21 11:33:25)
0925  chloe:匯款匯入US$1541</t>
      </text>
    </comment>
    <comment authorId="0" ref="J213">
      <text>
        <t xml:space="preserve">======
ID#AAABjx7qQcs
    (2025-05-21 11:33:25)
103A Mary Street, Richmond, VIC, 3121, Australia</t>
      </text>
    </comment>
    <comment authorId="0" ref="E136">
      <text>
        <t xml:space="preserve">======
ID#AAABjx7qQcU
    (2025-05-21 11:33:25)
Karen 180215: w/EU adapter</t>
      </text>
    </comment>
    <comment authorId="0" ref="H417">
      <text>
        <t xml:space="preserve">======
ID#AAABjx7qQcE
    (2025-05-21 11:33:25)
0803 chloe:匯款匯入US$11920</t>
      </text>
    </comment>
    <comment authorId="0" ref="K442">
      <text>
        <t xml:space="preserve">======
ID#AAABjx7qQbw
    (2025-05-21 11:33:25)
180712 Tammy: 出貨前請確認是否為歐規，謝謝。</t>
      </text>
    </comment>
    <comment authorId="0" ref="H132">
      <text>
        <t xml:space="preserve">======
ID#AAABjx7qQb4
    (2025-05-21 11:33:25)
0307 chloe: 匯款匯入US$2198</t>
      </text>
    </comment>
    <comment authorId="0" ref="H480">
      <text>
        <t xml:space="preserve">======
ID#AAABjx7qQbY
    (2025-05-21 11:33:25)
1012 chloe:匯款匯入US$40290
(客戶少匯US$2280)
1030 chloe: 匯款匯入US$16,948.00</t>
      </text>
    </comment>
    <comment authorId="0" ref="E255">
      <text>
        <t xml:space="preserve">======
ID#AAABjx7qQbE
0504 chloe    (2025-05-21 11:33:25)
快異點料號:CRK18050401</t>
      </text>
    </comment>
    <comment authorId="0" ref="H279">
      <text>
        <t xml:space="preserve">======
ID#AAABjx7qQaw
    (2025-05-21 11:33:25)
0619 chloe:匯款匯入US$10018</t>
      </text>
    </comment>
    <comment authorId="0" ref="V684">
      <text>
        <t xml:space="preserve">======
ID#AAABjx7qQag
    (2025-05-21 11:33:25)
兩筆運費
4344+814</t>
      </text>
    </comment>
    <comment authorId="0" ref="L11">
      <text>
        <t xml:space="preserve">======
ID#AAABjx7qQZs
    (2025-05-21 11:33:25)
171214 
100pcs --&gt; 12/27 已到貨
150pcs --&gt; 1/5 已到貨</t>
      </text>
    </comment>
    <comment authorId="0" ref="H434">
      <text>
        <t xml:space="preserve">======
ID#AAABjx7qQZM
    (2025-05-21 11:33:25)
1001 chloe:匯款匯入US$5952.5</t>
      </text>
    </comment>
    <comment authorId="0" ref="H762">
      <text>
        <t xml:space="preserve">======
ID#AAABjx7qQZQ
    (2025-05-21 11:33:25)
0104 chloe:匯款匯入US$3195.35</t>
      </text>
    </comment>
    <comment authorId="0" ref="H729">
      <text>
        <t xml:space="preserve">======
ID#AAABjx7qQYg
    (2025-05-21 11:33:25)
1210 chloe:收到支票29516(待12/30兌現)
1/5已兌現</t>
      </text>
    </comment>
    <comment authorId="0" ref="H705">
      <text>
        <t xml:space="preserve">======
ID#AAABjx7qQXg
    (2025-05-21 11:33:25)
1022 chloe:匯款匯入USD 2,089</t>
      </text>
    </comment>
    <comment authorId="0" ref="H101">
      <text>
        <t xml:space="preserve">======
ID#AAABjx7qQXE
    (2025-05-21 11:33:25)
0202 chloe: 已匯入US$270</t>
      </text>
    </comment>
    <comment authorId="0" ref="O242">
      <text>
        <t xml:space="preserve">======
ID#AAABjx7qQWw
    (2025-05-21 11:33:25)
0508 chloe:第二次打樣</t>
      </text>
    </comment>
    <comment authorId="0" ref="H582">
      <text>
        <t xml:space="preserve">======
ID#AAABjx7qQWQ
    (2025-05-21 11:33:25)
1030 chloe: 匯款匯入US$16,948.00</t>
      </text>
    </comment>
    <comment authorId="0" ref="H45">
      <text>
        <t xml:space="preserve">======
ID#AAABjx7qQV4
    (2025-05-21 11:33:25)
Santiago 0108 : 玉山收到NT11366</t>
      </text>
    </comment>
    <comment authorId="0" ref="L616">
      <text>
        <t xml:space="preserve">======
ID#AAABjx7qQVs
    (2025-05-21 11:33:25)
0913 chloe:待PM確認圖面，廠商提供
1001 chloe: 快異點樣品 2 PCS
1 PCS for PM
1 PCS for 客戶</t>
      </text>
    </comment>
    <comment authorId="0" ref="L639">
      <text>
        <t xml:space="preserve">======
ID#AAABjx7qQVU
    (2025-05-21 11:33:25)
1025 chloe 已領出交由FAE</t>
      </text>
    </comment>
    <comment authorId="0" ref="L743">
      <text>
        <t xml:space="preserve">======
ID#AAABjx7qQUk
    (2025-05-21 11:33:25)
chloe 11/5  已給Cindy</t>
      </text>
    </comment>
    <comment authorId="0" ref="H348">
      <text>
        <t xml:space="preserve">======
ID#AAABjx7qQUQ
    (2025-05-21 11:33:25)
0720 chloe:匯款匯入US$10826</t>
      </text>
    </comment>
    <comment authorId="0" ref="E426">
      <text>
        <t xml:space="preserve">======
ID#AAABjx7qQTk
    (2025-05-21 11:33:25)
下單請用FPM2150GR3B1601E-T
出貨文件上秀:
FPM-2150G-R3BE
(FPM2150GRB1601E-T)</t>
      </text>
    </comment>
    <comment authorId="0" ref="H43">
      <text>
        <t xml:space="preserve">======
ID#AAABjx7qQSc
    (2025-05-21 11:33:25)
0209 chloe: 匯入款項US49990;剩餘款項23201 預計2/12當週匯款
0301 chloe:匯入款項23181</t>
      </text>
    </comment>
    <comment authorId="0" ref="H543">
      <text>
        <t xml:space="preserve">======
ID#AAABjx7qQR8
    (2025-05-21 11:33:25)
1120 chloe:匯款匯入US$6410</t>
      </text>
    </comment>
    <comment authorId="0" ref="H756">
      <text>
        <t xml:space="preserve">======
ID#AAABjx7qQRk
    (2025-05-21 11:33:25)
0123 Mary:匯款匯入US$847
(PI-20181029A)</t>
      </text>
    </comment>
    <comment authorId="0" ref="D467">
      <text>
        <t xml:space="preserve">======
ID#AAABjx7qQRg
Santiago 0730     (2025-05-21 11:33:25)
不需要換標籤. 客戶自己會搞定</t>
      </text>
    </comment>
    <comment authorId="0" ref="J362">
      <text>
        <t xml:space="preserve">======
ID#AAABjx7qQRA
    (2025-05-21 11:33:25)
JUDY KAO
Supervisor Of Sales Div.
FETA FREIGHT SYSTEMS (TAIWAN ) LTD. 
Tel: +886-3-399-2033 EXT: 135
Direct: +886-3-3992106
Fax: +886-3-3992036/2055
E-mail: judykao@ffsi.com.tw</t>
      </text>
    </comment>
    <comment authorId="0" ref="H219">
      <text>
        <t xml:space="preserve">======
ID#AAABjx7qQQ4
    (2025-05-21 11:33:25)
0521 Chloe:匯款匯入US$659</t>
      </text>
    </comment>
    <comment authorId="0" ref="H639">
      <text>
        <t xml:space="preserve">======
ID#AAABjx7qQQI
    (2025-05-21 11:33:25)
1220 chloe: 匯款匯入US$32647.5</t>
      </text>
    </comment>
    <comment authorId="0" ref="P796">
      <text>
        <t xml:space="preserve">======
ID#AAABjx7qQQE
    (2025-05-21 11:33:25)
+10 (科技國給MOXA手續費)</t>
      </text>
    </comment>
    <comment authorId="0" ref="H88">
      <text>
        <t xml:space="preserve">======
ID#AAABjx7qQQA
    (2025-05-21 11:33:25)
0209 chloe: 匯入款項US49990;剩餘款項23201 預計2/12當週匯款
0301 chloe:匯入款項23181</t>
      </text>
    </comment>
    <comment authorId="0" ref="H222">
      <text>
        <t xml:space="preserve">======
ID#AAABjx7qQPs
    (2025-05-21 11:33:25)
0601 chloe:匯款匯入US$839</t>
      </text>
    </comment>
    <comment authorId="0" ref="H760">
      <text>
        <t xml:space="preserve">======
ID#AAABjx7qQPw
    (2025-05-21 11:33:25)
0104 chloe:匯款匯入US$3195.35</t>
      </text>
    </comment>
    <comment authorId="0" ref="O272">
      <text>
        <t xml:space="preserve">======
ID#AAABjx7qQPU
    (2025-05-21 11:33:25)
3 PCS</t>
      </text>
    </comment>
    <comment authorId="0" ref="L154">
      <text>
        <t xml:space="preserve">======
ID#AAABjx7qQPM
    (2025-05-21 11:33:25)
預計到貨日3/6</t>
      </text>
    </comment>
    <comment authorId="0" ref="J211">
      <text>
        <t xml:space="preserve">======
ID#AAABjx7qQO8
    (2025-05-21 11:33:25)
103A Mary Street, Richmond, VIC, 3121, Australia</t>
      </text>
    </comment>
    <comment authorId="0" ref="H640">
      <text>
        <t xml:space="preserve">======
ID#AAABjx7qQOI
    (2025-05-21 11:33:25)
0104 chloe:匯款匯入US$3195.35</t>
      </text>
    </comment>
    <comment authorId="0" ref="L34">
      <text>
        <t xml:space="preserve">======
ID#AAABjx7qQNg
    (2025-05-21 11:33:25)
1229 Santiago : 待Christine 向研華確認IDK-1121WR-30FHA1E交期
預計1/10到貨</t>
      </text>
    </comment>
    <comment authorId="0" ref="K11">
      <text>
        <t xml:space="preserve">======
ID#AAABjx7qQNY
    (2025-05-21 11:33:25)
併RMA-20171103A-1~10(獨立一箱)</t>
      </text>
    </comment>
    <comment authorId="0" ref="H711">
      <text>
        <t xml:space="preserve">======
ID#AAABjx7qQNA
    (2025-05-21 11:33:25)
1023 chloe: 匯款匯入US 23,395</t>
      </text>
    </comment>
    <comment authorId="0" ref="H824">
      <text>
        <t xml:space="preserve">======
ID#AAABjx7qQMY
    (2025-05-21 11:33:25)
0110 chloe:收到支票53212(待1/30兌現)
0130 chloe:入帳，待年後查詢
0228 chloe:2/11入帳</t>
      </text>
    </comment>
    <comment authorId="0" ref="P729">
      <text>
        <t xml:space="preserve">======
ID#AAABjx7qQMU
    (2025-05-21 11:33:25)
MOXA對帳單:730.8</t>
      </text>
    </comment>
    <comment authorId="0" ref="H23">
      <text>
        <t xml:space="preserve">======
ID#AAABjx7qQME
    (2025-05-21 11:33:25)
0305 chloe: 收到款項US$7411</t>
      </text>
    </comment>
    <comment authorId="0" ref="H350">
      <text>
        <t xml:space="preserve">======
ID#AAABjx7qQK4
    (2025-05-21 11:33:25)
1012 chloe:匯款匯入US$17175</t>
      </text>
    </comment>
    <comment authorId="0" ref="H564">
      <text>
        <t xml:space="preserve">======
ID#AAABjx7qQKg
    (2025-05-21 11:33:25)
1031 chloe:匯款匯入US$687</t>
      </text>
    </comment>
    <comment authorId="0" ref="J363">
      <text>
        <t xml:space="preserve">======
ID#AAABjx7qQKA
    (2025-05-21 11:33:25)
JUDY KAO
Supervisor Of Sales Div.
FETA FREIGHT SYSTEMS (TAIWAN ) LTD. 
Tel: +886-3-399-2033 EXT: 135
Direct: +886-3-3992106
Fax: +886-3-3992036/2055
E-mail: judykao@ffsi.com.tw</t>
      </text>
    </comment>
    <comment authorId="0" ref="H319">
      <text>
        <t xml:space="preserve">======
ID#AAABjx7qQJI
    (2025-05-21 11:33:25)
0706 chloe:匯款匯入US$8750</t>
      </text>
    </comment>
    <comment authorId="0" ref="H693">
      <text>
        <t xml:space="preserve">======
ID#AAABjx7qQIk
    (2025-05-21 11:33:25)
1204 chloe:匯款匯入US$1,764.50</t>
      </text>
    </comment>
    <comment authorId="0" ref="H112">
      <text>
        <t xml:space="preserve">======
ID#AAABjx7qQIQ
    (2025-05-21 11:33:25)
0212 chloe:匯款匯入US$1047
0228 Lissa: canceled item, 460 as credit for new order.</t>
      </text>
    </comment>
    <comment authorId="0" ref="H8">
      <text>
        <t xml:space="preserve">======
ID#AAABjx7qQHo
    (2025-05-21 11:33:25)
0306 chloe: 2/1 已收到匯款US$9120</t>
      </text>
    </comment>
    <comment authorId="0" ref="L663">
      <text>
        <t xml:space="preserve">======
ID#AAABjx7qQG0
    (2025-05-21 11:33:25)
1112 chloe:貨到交由Santiago</t>
      </text>
    </comment>
    <comment authorId="0" ref="K345">
      <text>
        <t xml:space="preserve">======
ID#AAABjx7qQGY
    (2025-05-21 11:33:25)
0608 chloe:已告知業務請客戶匯款</t>
      </text>
    </comment>
    <comment authorId="0" ref="E152">
      <text>
        <t xml:space="preserve">======
ID#AAABjx7qQE0
    (2025-05-21 11:33:25)
S/N：AP22LUCR00hfGCD00272
S/N：AP22LUCR00hfGCD00273
S/N：AP22LUCR00hfGCD00274
S/N：AP22LUCR00hfGCD00275
S/N：AP22LUCR00hfGCD00276
S/N：AP22LUCR00hfGCD00277
S/N：AP22LUCR00hfGCD00278
S/N：AP22LUCR00hfGCD00279</t>
      </text>
    </comment>
    <comment authorId="0" ref="H153">
      <text>
        <t xml:space="preserve">======
ID#AAABjx7qQD0
    (2025-05-21 11:33:25)
0413 chloe: 匯入款項US$9464</t>
      </text>
    </comment>
    <comment authorId="0" ref="H277">
      <text>
        <t xml:space="preserve">======
ID#AAABjx7qQCs
    (2025-05-21 11:33:25)
0619 chloe:匯款匯入US$10018</t>
      </text>
    </comment>
    <comment authorId="0" ref="H616">
      <text>
        <t xml:space="preserve">======
ID#AAABjx7qQCg
    (2025-05-21 11:33:25)
1031 chloe:匯款匯入US$687</t>
      </text>
    </comment>
    <comment authorId="0" ref="N235">
      <text>
        <t xml:space="preserve">======
ID#AAABjx7qQBw
    (2025-05-21 11:33:25)
RDMO-20171221B-3</t>
      </text>
    </comment>
    <comment authorId="0" ref="H779">
      <text>
        <t xml:space="preserve">======
ID#AAABjx7qQBc
    (2025-05-21 11:33:25)
1203 chloe:匯款匯入US$ 3654
●Previous Payment -106</t>
      </text>
    </comment>
    <comment authorId="0" ref="H39">
      <text>
        <t xml:space="preserve">======
ID#AAABjx7qQAs
    (2025-05-21 11:33:25)
0209 chloe: 匯入款項US49990;剩餘款項23201 預計2/12當週匯款
0301 chloe:匯入款項23181</t>
      </text>
    </comment>
    <comment authorId="0" ref="L90">
      <text>
        <t xml:space="preserve">======
ID#AAABjx7qQA0
    (2025-05-21 11:33:25)
預計1/29到貨</t>
      </text>
    </comment>
    <comment authorId="0" ref="H96">
      <text>
        <t xml:space="preserve">======
ID#AAABjx7qP_I
    (2025-05-21 11:33:25)
0406 chloe匯款匯入US$7,637.50</t>
      </text>
    </comment>
    <comment authorId="0" ref="E442">
      <text>
        <t xml:space="preserve">======
ID#AAABjx7qP-8
    (2025-05-21 11:33:25)
規格:EU</t>
      </text>
    </comment>
    <comment authorId="0" ref="H73">
      <text>
        <t xml:space="preserve">======
ID#AAABjx7qP-4
    (2025-05-21 11:33:25)
0124 chloe:入帳US$1113</t>
      </text>
    </comment>
    <comment authorId="0" ref="H418">
      <text>
        <t xml:space="preserve">======
ID#AAABjx7qP-g
    (2025-05-21 11:33:25)
0803 chloe:匯款匯入US$11920</t>
      </text>
    </comment>
    <comment authorId="0" ref="V11">
      <text>
        <t xml:space="preserve">======
ID#AAABjx7qP9w
    (2025-05-21 11:33:25)
開立兩張發票100+150</t>
      </text>
    </comment>
    <comment authorId="0" ref="H172">
      <text>
        <t xml:space="preserve">======
ID#AAABjx7qP90
    (2025-05-21 11:33:25)
0419 chloe:匯款匯入US$8750</t>
      </text>
    </comment>
    <comment authorId="0" ref="H430">
      <text>
        <t xml:space="preserve">======
ID#AAABjx7qP9I
    (2025-05-21 11:33:25)
0905 chloe:已匯款NT13,986</t>
      </text>
    </comment>
    <comment authorId="0" ref="H72">
      <text>
        <t xml:space="preserve">======
ID#AAABjx7qP9A
    (2025-05-21 11:33:25)
0124 chloe:入帳US$1113</t>
      </text>
    </comment>
    <comment authorId="0" ref="H592">
      <text>
        <t xml:space="preserve">======
ID#AAABjx7qP8k
    (2025-05-21 11:33:24)
1011 Chloe:匯款匯入USD 4,788</t>
      </text>
    </comment>
    <comment authorId="0" ref="E485">
      <text>
        <t xml:space="preserve">======
ID#AAABjx7qP8Q
    (2025-05-21 11:33:24)
20170104 Santiago: 和之前訂單一樣, w/o adapter</t>
      </text>
    </comment>
    <comment authorId="0" ref="H144">
      <text>
        <t xml:space="preserve">======
ID#AAABjx7qP7g
    (2025-05-21 11:33:24)
0423 chloe: 匯款匯入US$19147</t>
      </text>
    </comment>
    <comment authorId="0" ref="E694">
      <text>
        <t xml:space="preserve">======
ID#AAABjx7qP6k
    (2025-05-21 11:33:24)
戎克料號:02-BE-00059</t>
      </text>
    </comment>
    <comment authorId="0" ref="E361">
      <text>
        <t xml:space="preserve">======
ID#AAABjx7qP6A
    (2025-05-21 11:33:24)
180615 Karen: 下單w/o adapter</t>
      </text>
    </comment>
    <comment authorId="0" ref="E706">
      <text>
        <t xml:space="preserve">======
ID#AAABjx7qP6E
    (2025-05-21 11:33:24)
181114 Karen: w/EU adapter</t>
      </text>
    </comment>
    <comment authorId="0" ref="L148">
      <text>
        <t xml:space="preserve">======
ID#AAABjx7qP5g
    (2025-05-21 11:33:24)
針對SA Electroequip 的訂單, 若沒收到SA匯款, 就請MOXA先不出貨, 以增加戎克現金流量</t>
      </text>
    </comment>
    <comment authorId="0" ref="H205">
      <text>
        <t xml:space="preserve">======
ID#AAABjx7qP38
    (2025-05-21 11:33:24)
0521 Chloe:匯款匯入US$659</t>
      </text>
    </comment>
    <comment authorId="0" ref="L48">
      <text>
        <t xml:space="preserve">======
ID#AAABjx7qP3g
    (2025-05-21 11:33:24)
預計2/5到貨</t>
      </text>
    </comment>
    <comment authorId="0" ref="H361">
      <text>
        <t xml:space="preserve">======
ID#AAABjx7qP3k
    (2025-05-21 11:33:24)
0619 chloe:匯款匯入US$16947</t>
      </text>
    </comment>
    <comment authorId="0" ref="H673">
      <text>
        <t xml:space="preserve">======
ID#AAABjx7qP3Q
    (2025-05-21 11:33:24)
1112 chloe:匯款匯入US$8,753</t>
      </text>
    </comment>
    <comment authorId="0" ref="H221">
      <text>
        <t xml:space="preserve">======
ID#AAABjx7qP24
    (2025-05-21 11:33:24)
0601 chloe:匯款匯入US$839</t>
      </text>
    </comment>
    <comment authorId="0" ref="E244">
      <text>
        <t xml:space="preserve">======
ID#AAABjx7qP2o
    (2025-05-21 11:33:24)
180418 Tammy: 下單IBase Barebone型號AMS300M</t>
      </text>
    </comment>
    <comment authorId="0" ref="H474">
      <text>
        <t xml:space="preserve">======
ID#AAABjx7qP2g
    (2025-05-21 11:33:24)
0912 chloe:匯款匯入US$18134.4</t>
      </text>
    </comment>
    <comment authorId="0" ref="H538">
      <text>
        <t xml:space="preserve">======
ID#AAABjx7qP2U
    (2025-05-21 11:33:24)
1030 chloe: 匯款匯入US$16,948.00</t>
      </text>
    </comment>
    <comment authorId="0" ref="H390">
      <text>
        <t xml:space="preserve">======
ID#AAABjx7qP2Q
    (2025-05-21 11:33:24)
0824 chloe:匯款匯入US$15535
多會PI-20180514A CPU US$100</t>
      </text>
    </comment>
    <comment authorId="0" ref="H702">
      <text>
        <t xml:space="preserve">======
ID#AAABjx7qP2I
    (2025-05-21 11:33:24)
1203 chloe: 電文11/30匯款，待銀行通知
1204 chloe:匯款匯入US16627</t>
      </text>
    </comment>
    <comment authorId="0" ref="H5">
      <text>
        <t xml:space="preserve">======
ID#AAABjx7qP1E
    (2025-05-21 11:33:24)
0306 chloe: 2/1 已收到匯款US$9120</t>
      </text>
    </comment>
    <comment authorId="0" ref="H771">
      <text>
        <t xml:space="preserve">======
ID#AAABjx7qP0c
    (2025-05-21 11:33:24)
0213 Mary:匯款匯入US$11,250</t>
      </text>
    </comment>
    <comment authorId="0" ref="H252">
      <text>
        <t xml:space="preserve">======
ID#AAABjx7qP0A
    (2025-05-21 11:33:24)
0508 chloe:匯入NT452,486</t>
      </text>
    </comment>
    <comment authorId="0" ref="H569">
      <text>
        <t xml:space="preserve">======
ID#AAABjx7qPzY
    (2025-05-21 11:33:24)
1031 chloe:匯款匯入US$687</t>
      </text>
    </comment>
    <comment authorId="0" ref="H773">
      <text>
        <t xml:space="preserve">======
ID#AAABjx7qPzQ
    (2025-05-21 11:33:24)
0213 Mary:匯款匯入US$11,250</t>
      </text>
    </comment>
    <comment authorId="0" ref="H696">
      <text>
        <t xml:space="preserve">======
ID#AAABjx7qPyk
    (2025-05-21 11:33:24)
1204 chloe:匯款匯入US$1,764.50</t>
      </text>
    </comment>
    <comment authorId="0" ref="H757">
      <text>
        <t xml:space="preserve">======
ID#AAABjx7qPyc
    (2025-05-21 11:33:24)
0123 Mary:匯款匯入US$847
(PI-20181029A)</t>
      </text>
    </comment>
    <comment authorId="0" ref="H363">
      <text>
        <t xml:space="preserve">======
ID#AAABjx7qPyI
    (2025-05-21 11:33:24)
0619 chloe:匯款匯入US$16947</t>
      </text>
    </comment>
    <comment authorId="0" ref="H20">
      <text>
        <t xml:space="preserve">======
ID#AAABjx7qPxo
    (2025-05-21 11:33:24)
0122 chloe:入帳USD75184.50</t>
      </text>
    </comment>
    <comment authorId="0" ref="H166">
      <text>
        <t xml:space="preserve">======
ID#AAABjx7qPxU
    (2025-05-21 11:33:24)
0417 chloe: 收到匯款US$2661</t>
      </text>
    </comment>
    <comment authorId="0" ref="H723">
      <text>
        <t xml:space="preserve">======
ID#AAABjx7qPw8
    (2025-05-21 11:33:24)
1220 chloe: 匯款匯入US$32647.5</t>
      </text>
    </comment>
    <comment authorId="0" ref="H625">
      <text>
        <t xml:space="preserve">======
ID#AAABjx7qPww
    (2025-05-21 11:33:24)
1122 chloe:匯款匯入US$2420</t>
      </text>
    </comment>
    <comment authorId="0" ref="H165">
      <text>
        <t xml:space="preserve">======
ID#AAABjx7qPwo
    (2025-05-21 11:33:24)
0417 chloe: 收到匯款US$2661</t>
      </text>
    </comment>
    <comment authorId="0" ref="H721">
      <text>
        <t xml:space="preserve">======
ID#AAABjx7qPwE
    (2025-05-21 11:33:24)
1204 chloe:匯款匯入US$1,764.50</t>
      </text>
    </comment>
    <comment authorId="0" ref="G382">
      <text>
        <t xml:space="preserve">======
ID#AAABjx7qPv4
    (2025-05-21 11:33:24)
180621 w/ vat 5%</t>
      </text>
    </comment>
    <comment authorId="0" ref="K740">
      <text>
        <t xml:space="preserve">======
ID#AAABjx7qPvk
    (2025-05-21 11:33:24)
1112 chloe 待K&amp;H 付款</t>
      </text>
    </comment>
    <comment authorId="0" ref="H437">
      <text>
        <t xml:space="preserve">======
ID#AAABjx7qPvg
    (2025-05-21 11:33:24)
0912 chloe:匯款匯入US$18134.4</t>
      </text>
    </comment>
    <comment authorId="0" ref="L669">
      <text>
        <t xml:space="preserve">======
ID#AAABjx7qPvY
    (2025-05-21 11:33:24)
1112 chloe:貨到交由Santiago
20181013 San:
出貨發票以PI 台幣金額為主
PI 有放到Google drive資料夾裡
20181023 chloe:交期抓過短，已先行通知開偉11/19</t>
      </text>
    </comment>
    <comment authorId="0" ref="H691">
      <text>
        <t xml:space="preserve">======
ID#AAABjx7qPvU
    (2025-05-21 11:33:24)
1204 chloe:匯款匯入US$1,764.50</t>
      </text>
    </comment>
    <comment authorId="0" ref="H75">
      <text>
        <t xml:space="preserve">======
ID#AAABjx7qPvM
    (2025-05-21 11:33:24)
0312 chloe:匯入US$8026</t>
      </text>
    </comment>
    <comment authorId="0" ref="K4">
      <text>
        <t xml:space="preserve">======
ID#AAABjx7qPu0
    (2025-05-21 11:33:24)
Santiago : 預計20180109</t>
      </text>
    </comment>
    <comment authorId="0" ref="H479">
      <text>
        <t xml:space="preserve">======
ID#AAABjx7qPuU
    (2025-05-21 11:33:24)
1012 chloe:匯款匯入US$40290
(客戶少匯US$2280)
1030 chloe: 匯款匯入US$16,948.00</t>
      </text>
    </comment>
    <comment authorId="0" ref="H245">
      <text>
        <t xml:space="preserve">======
ID#AAABjx7qPtw
    (2025-05-21 11:33:24)
0611 chloe:  匯款匯入8756</t>
      </text>
    </comment>
    <comment authorId="0" ref="Q153">
      <text>
        <t xml:space="preserve">======
ID#AAABjx7qPto
    (2025-05-21 11:33:24)
NT 9000 / PC(專案價)→不含稅</t>
      </text>
    </comment>
    <comment authorId="0" ref="H499">
      <text>
        <t xml:space="preserve">======
ID#AAABjx7qPtQ
    (2025-05-21 11:33:24)
0823 chloe:匯款匯入US$395</t>
      </text>
    </comment>
    <comment authorId="0" ref="K655">
      <text>
        <t xml:space="preserve">======
ID#AAABjx7qPsM
20181008 San    (2025-05-21 11:33:24)
待我確認貨款後, 再出貨
20181022 chloe: 已預先給予出口報單備查</t>
      </text>
    </comment>
    <comment authorId="0" ref="H161">
      <text>
        <t xml:space="preserve">======
ID#AAABjx7qPrc
    (2025-05-21 11:33:24)
0323 chloe:匯入US$402</t>
      </text>
    </comment>
    <comment authorId="0" ref="E184">
      <text>
        <t xml:space="preserve">======
ID#AAABjx7qPrg
    (2025-05-21 11:33:24)
Karen 180320: w/EU adapter</t>
      </text>
    </comment>
    <comment authorId="0" ref="J792">
      <text>
        <t xml:space="preserve">======
ID#AAABjx7qPrA
    (2025-05-21 11:33:24)
Attn: JUDY KAO 
Supervisor Of Sales Div.
 FETA FREIGHT SYSTEMS (TAIWAN ) LTD. 
 Tel: +886-3-399-2033 EXT: 135
 Direct: +886-3-3992106
 Fax: +886-3-3992036/2055
 E-mail: judykao@ffsi.com.tw
Skype:judykao-mlattao</t>
      </text>
    </comment>
    <comment authorId="0" ref="H577">
      <text>
        <t xml:space="preserve">======
ID#AAABjx7qPqs
    (2025-05-21 11:33:24)
1030 chloe: 匯款匯入US$16,948.00</t>
      </text>
    </comment>
    <comment authorId="0" ref="H761">
      <text>
        <t xml:space="preserve">======
ID#AAABjx7qPqg
    (2025-05-21 11:33:24)
0104 chloe:匯款匯入US$3195.35</t>
      </text>
    </comment>
    <comment authorId="0" ref="E231">
      <text>
        <t xml:space="preserve">======
ID#AAABjx7qPpY
    (2025-05-21 11:33:24)
Karen 180412: w/EU adapter</t>
      </text>
    </comment>
    <comment authorId="0" ref="H15">
      <text>
        <t xml:space="preserve">======
ID#AAABjx7qPpQ
    (2025-05-21 11:33:24)
0306 chloe: 2/1 已收到匯款US$9120</t>
      </text>
    </comment>
    <comment authorId="0" ref="K732">
      <text>
        <t xml:space="preserve">======
ID#AAABjx7qPo0
    (2025-05-21 11:33:24)
1112 chloe 待K&amp;H 付款</t>
      </text>
    </comment>
    <comment authorId="0" ref="H603">
      <text>
        <t xml:space="preserve">======
ID#AAABjx7qPo4
    (2025-05-21 11:33:24)
0114 chloe:匯款匯入US$7089</t>
      </text>
    </comment>
    <comment authorId="0" ref="H763">
      <text>
        <t xml:space="preserve">======
ID#AAABjx7qPn0
    (2025-05-21 11:33:24)
0123 Mary:匯款匯入US$8,490
(PI-20181031A)</t>
      </text>
    </comment>
    <comment authorId="0" ref="K66">
      <text>
        <t xml:space="preserve">======
ID#AAABjx7qPnY
0111 Santiago     (2025-05-21 11:33:24)
出貨前請Benson拍照</t>
      </text>
    </comment>
    <comment authorId="0" ref="W506">
      <text>
        <t xml:space="preserve">======
ID#AAABjx7qPmw
    (2025-05-21 11:33:24)
匯款73458</t>
      </text>
    </comment>
    <comment authorId="0" ref="F517">
      <text>
        <t xml:space="preserve">======
ID#AAABjx7qPl4
    (2025-05-21 11:33:24)
8/9: 數量原4, 改為5</t>
      </text>
    </comment>
    <comment authorId="0" ref="E515">
      <text>
        <t xml:space="preserve">======
ID#AAABjx7qPlw
    (2025-05-21 11:33:24)
180813 Karen: 下單w/o adapter</t>
      </text>
    </comment>
    <comment authorId="0" ref="H186">
      <text>
        <t xml:space="preserve">======
ID#AAABjx7qPko
    (2025-05-21 11:33:24)
0601 chloe:匯款匯入US$839</t>
      </text>
    </comment>
    <comment authorId="0" ref="Q575">
      <text>
        <t xml:space="preserve">======
ID#AAABjx7qPkg
    (2025-05-21 11:33:24)
13條
出貨 12 PCS</t>
      </text>
    </comment>
    <comment authorId="0" ref="P446">
      <text>
        <t xml:space="preserve">======
ID#AAABjx7qPj8
    (2025-05-21 11:33:24)
+10 (科技國給MOXA手續費)</t>
      </text>
    </comment>
    <comment authorId="0" ref="K193">
      <text>
        <t xml:space="preserve">======
ID#AAABjx7qPis
    (2025-05-21 11:33:24)
180326 Tammy: 出貨前請確認是否為歐規，謝謝。</t>
      </text>
    </comment>
    <comment authorId="0" ref="H315">
      <text>
        <t xml:space="preserve">======
ID#AAABjx7qPik
    (2025-05-21 11:33:24)
0731 chloe:匯款匯入US$3,973.20</t>
      </text>
    </comment>
    <comment authorId="0" ref="G327">
      <text>
        <t xml:space="preserve">======
ID#AAABjx7qPiI
    (2025-05-21 11:33:24)
180524 w/ vat 5%</t>
      </text>
    </comment>
    <comment authorId="0" ref="E662">
      <text>
        <t xml:space="preserve">======
ID#AAABjx7qPg8
    (2025-05-21 11:33:24)
1024 chloe:增加供應商產品型號</t>
      </text>
    </comment>
    <comment authorId="0" ref="K229">
      <text>
        <t xml:space="preserve">======
ID#AAABjx7qPg4
    (2025-05-21 11:33:24)
christine 0515: forwarder hold</t>
      </text>
    </comment>
    <comment authorId="0" ref="L190">
      <text>
        <t xml:space="preserve">======
ID#AAABjx7qPf8
    (2025-05-21 11:33:24)
預計4/2到貨</t>
      </text>
    </comment>
    <comment authorId="0" ref="H29">
      <text>
        <t xml:space="preserve">======
ID#AAABjx7qPfs
    (2025-05-21 11:33:24)
0312 chloe:匯入US$8026</t>
      </text>
    </comment>
    <comment authorId="0" ref="H451">
      <text>
        <t xml:space="preserve">======
ID#AAABjx7qPfM
    (2025-05-21 11:33:24)
0824 chloe:匯款匯入US$31,023</t>
      </text>
    </comment>
    <comment authorId="0" ref="J42">
      <text>
        <t xml:space="preserve">======
ID#AAABjx7qPe0
20180212 Santiago    (2025-05-21 11:33:24)
Christine 已請美灣拉貨. 
因為SA的FedEx 不能使用
未來下午四點前若不提供戎克訂單的運輸方式. 一律延到隔日出</t>
      </text>
    </comment>
    <comment authorId="0" ref="R332">
      <text>
        <t xml:space="preserve">======
ID#AAABjx7qPeo
    (2025-05-21 11:33:24)
Santiago 1130 : 原來Chloe 註記銀行如下, 但Santiago 匯到舊的聯邦
合庫大安分行
0760717324727</t>
      </text>
    </comment>
    <comment authorId="0" ref="L176">
      <text>
        <t xml:space="preserve">======
ID#AAABjx7qPes
    (2025-05-21 11:33:24)
預計3/19到貨</t>
      </text>
    </comment>
    <comment authorId="0" ref="G370">
      <text>
        <t xml:space="preserve">======
ID#AAABjx7qPeQ
    (2025-05-21 11:33:24)
180613 w/ 5%VAT</t>
      </text>
    </comment>
    <comment authorId="0" ref="H604">
      <text>
        <t xml:space="preserve">======
ID#AAABjx7qPeU
    (2025-05-21 11:33:24)
1031chloe:US$匯款匯入 US$155</t>
      </text>
    </comment>
    <comment authorId="0" ref="K121">
      <text>
        <t xml:space="preserve">======
ID#AAABjx7qPd0
    (2025-05-21 11:33:24)
christine0222:連同目錄一起寄出</t>
      </text>
    </comment>
    <comment authorId="0" ref="H69">
      <text>
        <t xml:space="preserve">======
ID#AAABjx7qPd4
    (2025-05-21 11:33:24)
0316 chloe:收到客戶水單，待銀行通知
0323 chloe:匯款匯入US$2,604.50</t>
      </text>
    </comment>
    <comment authorId="0" ref="L783">
      <text>
        <t xml:space="preserve">======
ID#AAABjx7qPco
    (2025-05-21 11:33:24)
請跟Chloe 領取→11/7 透過小葛給予CINDY</t>
      </text>
    </comment>
    <comment authorId="0" ref="H395">
      <text>
        <t xml:space="preserve">======
ID#AAABjx7qPcU
    (2025-05-21 11:33:24)
0813 chloe:匯款匯入 US$3841.5</t>
      </text>
    </comment>
    <comment authorId="0" ref="P598">
      <text>
        <t xml:space="preserve">======
ID#AAABjx7qPcM
    (2025-05-21 11:33:24)
1024 chloe:已告知若使用美金付款將不使用全額到匯→待供應商回覆</t>
      </text>
    </comment>
    <comment authorId="0" ref="D718">
      <text>
        <t xml:space="preserve">======
ID#AAABjx7qPbw
    (2025-05-21 11:33:24)
1029 PI號由20181018A改為20181015A</t>
      </text>
    </comment>
    <comment authorId="0" ref="H580">
      <text>
        <t xml:space="preserve">======
ID#AAABjx7qPbc
    (2025-05-21 11:33:24)
1011 chloe:匯款匯入USD 16,274</t>
      </text>
    </comment>
    <comment authorId="0" ref="K652">
      <text>
        <t xml:space="preserve">======
ID#AAABjx7qPa8
20181013 San    (2025-05-21 11:33:24)
出貨發票以PI 台幣金額為主
PI 有放到Google drive資料夾裡
1112 chloe:貨到交由Santiago</t>
      </text>
    </comment>
    <comment authorId="0" ref="H318">
      <text>
        <t xml:space="preserve">======
ID#AAABjx7qPao
    (2025-05-21 11:33:24)
0706 chloe:匯款匯入US$8750</t>
      </text>
    </comment>
    <comment authorId="0" ref="H500">
      <text>
        <t xml:space="preserve">======
ID#AAABjx7qPaU
    (2025-05-21 11:33:24)
0823 chloe:匯款匯入US$395</t>
      </text>
    </comment>
    <comment authorId="0" ref="H652">
      <text>
        <t xml:space="preserve">======
ID#AAABjx7qPZ4
    (2025-05-21 11:33:24)
1223 chloe:匯款匯入NT114,629</t>
      </text>
    </comment>
    <comment authorId="0" ref="H736">
      <text>
        <t xml:space="preserve">======
ID#AAABjx7qPZ0
    (2025-05-21 11:33:24)
12/25 chloe:匯款匯入NT46,390</t>
      </text>
    </comment>
    <comment authorId="0" ref="K406">
      <text>
        <t xml:space="preserve">======
ID#AAABjx7qPZk
    (2025-05-21 11:33:24)
Santiago 0812 : Eric 請Bank準備一份Win10 IoT Ent LTSB 2016的安裝DVD或USB，供我們做測試或協助客戶重新安裝時使用</t>
      </text>
    </comment>
    <comment authorId="0" ref="L33">
      <text>
        <t xml:space="preserve">======
ID#AAABjx7qPZQ
    (2025-05-21 11:33:24)
Santiago 0105: 研華2~3天出貨給凌飛,  凌飛測試後, 會一併把MB-215-94 V1跟IDK-1121WR 都寄來戎克
預計1/10到貨</t>
      </text>
    </comment>
    <comment authorId="0" ref="E463">
      <text>
        <t xml:space="preserve">======
ID#AAABjx7qPZI
    (2025-05-21 11:33:24)
180727 Karen: w/EU adapter</t>
      </text>
    </comment>
    <comment authorId="0" ref="P825">
      <text>
        <t xml:space="preserve">======
ID#AAABjx7qPYg
    (2025-05-21 11:33:24)
1128 Cindy: Adlink說下次成本$278/pc</t>
      </text>
    </comment>
    <comment authorId="0" ref="H225">
      <text>
        <t xml:space="preserve">======
ID#AAABjx7qPX4
    (2025-05-21 11:33:24)
0523 chloe:匯款匯入US$16190</t>
      </text>
    </comment>
    <comment authorId="0" ref="H140">
      <text>
        <t xml:space="preserve">======
ID#AAABjx7qPX8
    (2025-05-21 11:33:24)
0423 chloe: 匯款匯入US$19147</t>
      </text>
    </comment>
    <comment authorId="0" ref="H145">
      <text>
        <t xml:space="preserve">======
ID#AAABjx7qPXc
    (2025-05-21 11:33:24)
0306 chloe:匯款匯入US$593</t>
      </text>
    </comment>
    <comment authorId="0" ref="E79">
      <text>
        <t xml:space="preserve">======
ID#AAABjx7qPW8
    (2025-05-21 11:33:24)
0122 chloe:AD board kits 無須點亮</t>
      </text>
    </comment>
    <comment authorId="0" ref="D714">
      <text>
        <t xml:space="preserve">======
ID#AAABjx7qPW0
    (2025-05-21 11:33:24)
1029 PI號由20181018A改為20181015A</t>
      </text>
    </comment>
    <comment authorId="0" ref="H527">
      <text>
        <t xml:space="preserve">======
ID#AAABjx7qPWw
    (2025-05-21 11:33:24)
1030 chloe: 匯款匯入US$16,948.00</t>
      </text>
    </comment>
    <comment authorId="0" ref="O235">
      <text>
        <t xml:space="preserve">======
ID#AAABjx7qPWA
    (2025-05-21 11:33:24)
0508 chloe:第二次打樣</t>
      </text>
    </comment>
    <comment authorId="0" ref="H679">
      <text>
        <t xml:space="preserve">======
ID#AAABjx7qPV0
    (2025-05-21 11:33:24)
1003 chloe:匯款匯入US$1247
1025 chloe:匯款匯入US$1247</t>
      </text>
    </comment>
    <comment authorId="0" ref="H782">
      <text>
        <t xml:space="preserve">======
ID#AAABjx7qPVk
    (2025-05-21 11:33:24)
0123 Mary:匯款匯入US$1,035
(20181102A)</t>
      </text>
    </comment>
    <comment authorId="0" ref="R650">
      <text>
        <t xml:space="preserve">======
ID#AAABjx7qPVY
    (2025-05-21 11:33:24)
購於森森購物</t>
      </text>
    </comment>
    <comment authorId="0" ref="J493">
      <text>
        <t xml:space="preserve">======
ID#AAABjx7qPVA
    (2025-05-21 11:33:24)
180806 Tammy: 出貨前, 再次確認
180830 Tammy: 確認UX Logistics</t>
      </text>
    </comment>
    <comment authorId="0" ref="P642">
      <text>
        <t xml:space="preserve">======
ID#AAABjx7qPU4
    (2025-05-21 11:33:24)
9/20 Cindy:下次訂購成本USD155/pc</t>
      </text>
    </comment>
    <comment authorId="0" ref="H244">
      <text>
        <t xml:space="preserve">======
ID#AAABjx7qPUY
    (2025-05-21 11:33:24)
0611 chloe:  匯款匯入8756</t>
      </text>
    </comment>
    <comment authorId="0" ref="H177">
      <text>
        <t xml:space="preserve">======
ID#AAABjx7qPT8
    (2025-05-21 11:33:24)
0420 chloe: 匯款匯入US$9526</t>
      </text>
    </comment>
    <comment authorId="0" ref="H624">
      <text>
        <t xml:space="preserve">======
ID#AAABjx7qPTY
    (2025-05-21 11:33:24)
1122 chloe:匯款匯入US$2420</t>
      </text>
    </comment>
    <comment authorId="0" ref="E373">
      <text>
        <t xml:space="preserve">======
ID#AAABjx7qPTI
    (2025-05-21 11:33:24)
180619 Karen: w/EU adapter</t>
      </text>
    </comment>
    <comment authorId="0" ref="H770">
      <text>
        <t xml:space="preserve">======
ID#AAABjx7qPTM
    (2025-05-21 11:33:24)
0213 Mary:匯款匯入US$11,250</t>
      </text>
    </comment>
    <comment authorId="0" ref="E741">
      <text>
        <t xml:space="preserve">======
ID#AAABjx7qPSs
    (2025-05-21 11:33:24)
1115 chloe: 已備 10 PCS，用完後即有MOQ :10 PCS</t>
      </text>
    </comment>
    <comment authorId="0" ref="H835">
      <text>
        <t xml:space="preserve">======
ID#AAABjx7qPSE
    (2025-05-21 11:33:24)
1227 chloe:匯款匯入US$53334</t>
      </text>
    </comment>
    <comment authorId="0" ref="H692">
      <text>
        <t xml:space="preserve">======
ID#AAABjx7qPQY
    (2025-05-21 11:33:24)
1204 chloe:匯款匯入US$1,764.50</t>
      </text>
    </comment>
    <comment authorId="0" ref="H13">
      <text>
        <t xml:space="preserve">======
ID#AAABjx7qPQA
    (2025-05-21 11:33:24)
0122 chloe:入帳USD75184.50</t>
      </text>
    </comment>
    <comment authorId="0" ref="H210">
      <text>
        <t xml:space="preserve">======
ID#AAABjx7qPPg
    (2025-05-21 11:33:24)
0719 chloe: 收到款項US$658(含戎克帳號運費)</t>
      </text>
    </comment>
    <comment authorId="0" ref="V443">
      <text>
        <t xml:space="preserve">======
ID#AAABjx7qPPE
    (2025-05-21 11:33:24)
50 PCS 發票 8月已給會計</t>
      </text>
    </comment>
    <comment authorId="0" ref="K299">
      <text>
        <t xml:space="preserve">======
ID#AAABjx7qPO8
    (2025-05-21 11:33:24)
Lissa: 安排和 PI-20180516A一起出貨</t>
      </text>
    </comment>
    <comment authorId="0" ref="J215">
      <text>
        <t xml:space="preserve">======
ID#AAABjx7qPOI
    (2025-05-21 11:33:24)
103A Mary Street, Richmond, VIC, 3121, Australia</t>
      </text>
    </comment>
    <comment authorId="0" ref="L85">
      <text>
        <t xml:space="preserve">======
ID#AAABjx7qPOE
    (2025-05-21 11:33:24)
預計2/5到貨</t>
      </text>
    </comment>
    <comment authorId="0" ref="H128">
      <text>
        <t xml:space="preserve">======
ID#AAABjx7qPNs
    (2025-05-21 11:33:24)
0425 chloe: 匯款匯入NT$26,343</t>
      </text>
    </comment>
    <comment authorId="0" ref="H659">
      <text>
        <t xml:space="preserve">======
ID#AAABjx7qPNg
    (2025-05-21 11:33:24)
1112 chloe:匯款匯入US$8,753</t>
      </text>
    </comment>
    <comment authorId="0" ref="H287">
      <text>
        <t xml:space="preserve">======
ID#AAABjx7qPNI
    (2025-05-21 11:33:24)
0712 chloe:匯款匯入US$3031</t>
      </text>
    </comment>
    <comment authorId="0" ref="E569">
      <text>
        <t xml:space="preserve">======
ID#AAABjx7qPMs
    (2025-05-21 11:33:24)
戎克料號:02-BE-00060</t>
      </text>
    </comment>
    <comment authorId="0" ref="L113">
      <text>
        <t xml:space="preserve">======
ID#AAABjx7qPMA
    (2025-05-21 11:33:24)
預計2/9到貨</t>
      </text>
    </comment>
    <comment authorId="0" ref="K119">
      <text>
        <t xml:space="preserve">======
ID#AAABjx7qPL0
Santiago 0308    (2025-05-21 11:33:24)
本預計3/12出貨, 改3/29, 待SA付款後, 再做時間變更</t>
      </text>
    </comment>
    <comment authorId="0" ref="L632">
      <text>
        <t xml:space="preserve">======
ID#AAABjx7qPLo
    (2025-05-21 11:33:24)
1025 chloe 已領出交由FAE</t>
      </text>
    </comment>
    <comment authorId="0" ref="L569">
      <text>
        <t xml:space="preserve">======
ID#AAABjx7qPLc
    (2025-05-21 11:33:24)
0907 chloe:交期Pull in 中</t>
      </text>
    </comment>
    <comment authorId="0" ref="H796">
      <text>
        <t xml:space="preserve">======
ID#AAABjx7qPLU
    (2025-05-21 11:33:24)
1222 chloe:匯款匯入USD 17,904</t>
      </text>
    </comment>
    <comment authorId="0" ref="H246">
      <text>
        <t xml:space="preserve">======
ID#AAABjx7qPLY
    (2025-05-21 11:33:24)
0622 chloe:匯款匯入US$14958</t>
      </text>
    </comment>
    <comment authorId="0" ref="H819">
      <text>
        <t xml:space="preserve">======
ID#AAABjx7qPKM
    (2025-05-21 11:33:24)
1218 chloe:匯款匯入US$17109</t>
      </text>
    </comment>
    <comment authorId="0" ref="K703">
      <text>
        <t xml:space="preserve">======
ID#AAABjx7qPKE
    (2025-05-21 11:33:24)
1123 chloe:已通知貨代，待貨代通知領貨時間</t>
      </text>
    </comment>
    <comment authorId="0" ref="H506">
      <text>
        <t xml:space="preserve">======
ID#AAABjx7qPJ8
    (2025-05-21 11:33:24)
1012 chloe:匯款匯入US$40290
(客戶少匯US$2280)
1030 chloe: 匯款匯入US$16,948.00</t>
      </text>
    </comment>
    <comment authorId="0" ref="H568">
      <text>
        <t xml:space="preserve">======
ID#AAABjx7qPJk
    (2025-05-21 11:33:24)
1031 chloe:匯款匯入US$687</t>
      </text>
    </comment>
    <comment authorId="0" ref="H347">
      <text>
        <t xml:space="preserve">======
ID#AAABjx7qPJQ
    (2025-05-21 11:33:24)
0720 chloe:匯款匯入US$10826</t>
      </text>
    </comment>
    <comment authorId="0" ref="H750">
      <text>
        <t xml:space="preserve">======
ID#AAABjx7qPIg
    (2025-05-21 11:33:24)
0128 Mary: 匯款匯入 US$3,835</t>
      </text>
    </comment>
    <comment authorId="0" ref="H235">
      <text>
        <t xml:space="preserve">======
ID#AAABjx7qPG4
    (2025-05-21 11:33:24)
0614 chloe:匯款匯入US$8274</t>
      </text>
    </comment>
    <comment authorId="0" ref="H298">
      <text>
        <t xml:space="preserve">======
ID#AAABjx7qPGQ
    (2025-05-21 11:33:24)
0725 chloe:匯款匯入NT35,805</t>
      </text>
    </comment>
    <comment authorId="0" ref="H147">
      <text>
        <t xml:space="preserve">======
ID#AAABjx7qPGI
    (2025-05-21 11:33:24)
0306 chloe: 客戶給予匯款水單，Payment date : 5/2→與銀行確認入帳中
0504 chloe:匯款匯入 US$960</t>
      </text>
    </comment>
    <comment authorId="0" ref="P603">
      <text>
        <t xml:space="preserve">======
ID#AAABjx7qPGA
    (2025-05-21 11:33:24)
1024 chloe:已告知若使用美金付款將不使用全額到匯→待供應商回覆</t>
      </text>
    </comment>
    <comment authorId="0" ref="K41">
      <text>
        <t xml:space="preserve">======
ID#AAABjx7qPFw
Santiago 20180116    (2025-05-21 11:33:24)
出貨前通知Santiago 拍照</t>
      </text>
    </comment>
    <comment authorId="0" ref="N236">
      <text>
        <t xml:space="preserve">======
ID#AAABjx7qPFY
    (2025-05-21 11:33:24)
RDMO-20171221B-4</t>
      </text>
    </comment>
    <comment authorId="0" ref="H405">
      <text>
        <t xml:space="preserve">======
ID#AAABjx7qPE8
    (2025-05-21 11:33:24)
Invoice:  US$1335
待Cindy修改後通知客戶
1012 chloe:匯款匯入US$40290
(客戶少匯US$2280)
1030 chloe: 匯款匯入US$16,948.00</t>
      </text>
    </comment>
    <comment authorId="0" ref="K737">
      <text>
        <t xml:space="preserve">======
ID#AAABjx7qPEk
    (2025-05-21 11:33:24)
1112 chloe 待K&amp;H 付款</t>
      </text>
    </comment>
    <comment authorId="0" ref="K661">
      <text>
        <t xml:space="preserve">======
ID#AAABjx7qPEI
20181013 San    (2025-05-21 11:33:24)
出貨發票以PI 台幣金額為主
PI 有放到Google drive資料夾裡</t>
      </text>
    </comment>
    <comment authorId="0" ref="H548">
      <text>
        <t xml:space="preserve">======
ID#AAABjx7qPEE
    (2025-05-21 11:33:24)
0917 chloe:匯款匯入US$1068</t>
      </text>
    </comment>
    <comment authorId="0" ref="H285">
      <text>
        <t xml:space="preserve">======
ID#AAABjx7qPD8
    (2025-05-21 11:33:24)
0511chloe:匯款匯入US$961</t>
      </text>
    </comment>
    <comment authorId="0" ref="G351">
      <text>
        <t xml:space="preserve">======
ID#AAABjx7qPEA
    (2025-05-21 11:33:24)
180221 Tammy: project price for over 50pcs/lot</t>
      </text>
    </comment>
    <comment authorId="0" ref="H459">
      <text>
        <t xml:space="preserve">======
ID#AAABjx7qPDw
    (2025-05-21 11:33:24)
0907 chloe:匯款匯入US$8273</t>
      </text>
    </comment>
    <comment authorId="0" ref="E788">
      <text>
        <t xml:space="preserve">======
ID#AAABjx7qPDg
    (2025-05-21 11:33:24)
6/10 Amy: 2018舊訂單料號是MI3EM5125602EN 256G SSD 或是 MI3MB1125604SN 256G SSD (memxpro目前報價單料號)</t>
      </text>
    </comment>
    <comment authorId="0" ref="H19">
      <text>
        <t xml:space="preserve">======
ID#AAABjx7qPDc
Santiago 20171225    (2025-05-21 11:33:24)
PI-20170621B Debit Note US$635
今日收到US$779
779+635=US$1414</t>
      </text>
    </comment>
    <comment authorId="0" ref="X393">
      <text>
        <t xml:space="preserve">======
ID#AAABjx7qPDQ
    (2025-05-21 11:33:24)
入料420PCS;出口424PCS</t>
      </text>
    </comment>
    <comment authorId="0" ref="H666">
      <text>
        <t xml:space="preserve">======
ID#AAABjx7qPCw
    (2025-05-21 11:33:24)
1223 chloe:匯款匯入NT114,629</t>
      </text>
    </comment>
    <comment authorId="0" ref="H68">
      <text>
        <t xml:space="preserve">======
ID#AAABjx7qPCE
    (2025-05-21 11:33:24)
0316 chloe:收到客戶水單，待銀行通知
0323 chloe:匯款匯入US$2,604.50</t>
      </text>
    </comment>
    <comment authorId="0" ref="H831">
      <text>
        <t xml:space="preserve">======
ID#AAABjx7qPBk
    (2025-05-21 11:33:24)
1227 chloe:匯款匯入US$53334</t>
      </text>
    </comment>
    <comment authorId="0" ref="H759">
      <text>
        <t xml:space="preserve">======
ID#AAABjx7qPA4
    (2025-05-21 11:33:24)
0104 chloe:匯款匯入US$3195.35</t>
      </text>
    </comment>
    <comment authorId="0" ref="H52">
      <text>
        <t xml:space="preserve">======
ID#AAABjx7qPAk
    (2025-05-21 11:33:24)
0329 chloe:業務已通知客戶，併4月中貨款給予
0423 chloe: 匯款匯入US$19147</t>
      </text>
    </comment>
    <comment authorId="0" ref="H709">
      <text>
        <t xml:space="preserve">======
ID#AAABjx7qPAQ
    (2025-05-21 11:33:24)
1108 chloe:收到支票NT107,092(1130存入→待兌現)
1203兌現</t>
      </text>
    </comment>
    <comment authorId="0" ref="H214">
      <text>
        <t xml:space="preserve">======
ID#AAABjx7qPAE
    (2025-05-21 11:33:24)
0523 chloe:匯款匯入US$16190</t>
      </text>
    </comment>
    <comment authorId="0" ref="J495">
      <text>
        <t xml:space="preserve">======
ID#AAABjx7qO_w
    (2025-05-21 11:33:24)
180806 Tammy: 出貨前, 再次確認
180830 Tammy: 確認UX Logistics</t>
      </text>
    </comment>
    <comment authorId="0" ref="H530">
      <text>
        <t xml:space="preserve">======
ID#AAABjx7qO_k
    (2025-05-21 11:33:24)
0822 chloe:已付款4601</t>
      </text>
    </comment>
    <comment authorId="0" ref="H565">
      <text>
        <t xml:space="preserve">======
ID#AAABjx7qO_M
    (2025-05-21 11:33:24)
1031 chloe:匯款匯入US$687</t>
      </text>
    </comment>
    <comment authorId="0" ref="Y301">
      <text>
        <t xml:space="preserve">======
ID#AAABjx7qO-Y
    (2025-05-21 11:33:24)
NT1187</t>
      </text>
    </comment>
    <comment authorId="0" ref="L177">
      <text>
        <t xml:space="preserve">======
ID#AAABjx7qO-Q
    (2025-05-21 11:33:24)
預計3/31到貨</t>
      </text>
    </comment>
    <comment authorId="0" ref="H267">
      <text>
        <t xml:space="preserve">======
ID#AAABjx7qO-A
    (2025-05-21 11:33:24)
0622 chloe:匯款匯入US$679</t>
      </text>
    </comment>
    <comment authorId="0" ref="H61">
      <text>
        <t xml:space="preserve">======
ID#AAABjx7qO9w
    (2025-05-21 11:33:24)
0129 chloe:匯入US$2033</t>
      </text>
    </comment>
    <comment authorId="0" ref="L500">
      <text>
        <t xml:space="preserve">======
ID#AAABjx7qO9c
    (2025-05-21 11:33:24)
收到面板後兩周內完成</t>
      </text>
    </comment>
    <comment authorId="0" ref="H421">
      <text>
        <t xml:space="preserve">======
ID#AAABjx7qO8Y
    (2025-05-21 11:33:24)
0716 chloe:匯款匯入US$1247</t>
      </text>
    </comment>
    <comment authorId="0" ref="H288">
      <text>
        <t xml:space="preserve">======
ID#AAABjx7qO7w
    (2025-05-21 11:33:24)
0518 chloe: 匯款匯入US$6190</t>
      </text>
    </comment>
    <comment authorId="0" ref="H607">
      <text>
        <t xml:space="preserve">======
ID#AAABjx7qO7g
    (2025-05-21 11:33:24)
1024 chloe:匯款匯入US$11920</t>
      </text>
    </comment>
    <comment authorId="0" ref="J285">
      <text>
        <t xml:space="preserve">======
ID#AAABjx7qO6w
Santiago 20180504    (2025-05-21 11:33:24)
外箱的shipping mark 要列印註明
EORI-Number DE7019688
以利通關</t>
      </text>
    </comment>
    <comment authorId="0" ref="H156">
      <text>
        <t xml:space="preserve">======
ID#AAABjx7qO6k
    (2025-05-21 11:33:24)
0417 chloe:收到匯款NT451,402</t>
      </text>
    </comment>
    <comment authorId="0" ref="J157">
      <text>
        <t xml:space="preserve">======
ID#AAABjx7qO6M
    (2025-05-21 11:33:24)
103A Mary Street RICHMOND, VIC, 3121 Australia
Att Jim MacDougall
+61 417 714 528</t>
      </text>
    </comment>
    <comment authorId="0" ref="L139">
      <text>
        <t xml:space="preserve">======
ID#AAABjx7qO6E
    (2025-05-21 11:33:24)
預計2/26到貨</t>
      </text>
    </comment>
    <comment authorId="0" ref="O236">
      <text>
        <t xml:space="preserve">======
ID#AAABjx7qO5w
    (2025-05-21 11:33:24)
0508 chloe:第二次打樣</t>
      </text>
    </comment>
    <comment authorId="0" ref="H419">
      <text>
        <t xml:space="preserve">======
ID#AAABjx7qO48
    (2025-05-21 11:33:24)
0803 chloe:匯款匯入US$11920</t>
      </text>
    </comment>
    <comment authorId="0" ref="H539">
      <text>
        <t xml:space="preserve">======
ID#AAABjx7qO4k
    (2025-05-21 11:33:24)
1030 chloe: 匯款匯入US$16,948.00</t>
      </text>
    </comment>
    <comment authorId="0" ref="H681">
      <text>
        <t xml:space="preserve">======
ID#AAABjx7qO4Q
    (2025-05-21 11:33:24)
1120 chloe:匯款匯入US$6410</t>
      </text>
    </comment>
    <comment authorId="0" ref="V714">
      <text>
        <t xml:space="preserve">======
ID#AAABjx7qO4A
    (2025-05-21 11:33:24)
新漢已補開，12/10新漢寄出
影本已先給會計</t>
      </text>
    </comment>
    <comment authorId="0" ref="L59">
      <text>
        <t xml:space="preserve">======
ID#AAABjx7qO38
    (2025-05-21 11:33:24)
預計1/12到貨</t>
      </text>
    </comment>
    <comment authorId="0" ref="H98">
      <text>
        <t xml:space="preserve">======
ID#AAABjx7qO3c
    (2025-05-21 11:33:24)
0406 chloe匯款匯入US$7,637.50</t>
      </text>
    </comment>
    <comment authorId="0" ref="H600">
      <text>
        <t xml:space="preserve">======
ID#AAABjx7qO3M
    (2025-05-21 11:33:24)
0114 chloe:匯款匯入US$7089</t>
      </text>
    </comment>
    <comment authorId="0" ref="H814">
      <text>
        <t xml:space="preserve">======
ID#AAABjx7qO3Q
    (2025-05-21 11:33:24)
0111  chloe:匯款匯入US$8,152</t>
      </text>
    </comment>
    <comment authorId="0" ref="L56">
      <text>
        <t xml:space="preserve">======
ID#AAABjx7qO20
    (2025-05-21 11:33:24)
預計1/29到貨</t>
      </text>
    </comment>
    <comment authorId="0" ref="H706">
      <text>
        <t xml:space="preserve">======
ID#AAABjx7qO10
    (2025-05-21 11:33:24)
1022 chloe:匯款匯入USD 2,089</t>
      </text>
    </comment>
    <comment authorId="0" ref="H682">
      <text>
        <t xml:space="preserve">======
ID#AAABjx7qO1o
    (2025-05-21 11:33:24)
1120 chloe:匯款匯入US$6410</t>
      </text>
    </comment>
    <comment authorId="0" ref="L596">
      <text>
        <t xml:space="preserve">======
ID#AAABjx7qO1Y
    (2025-05-21 11:33:24)
貨到請通知Chloe檢查</t>
      </text>
    </comment>
    <comment authorId="0" ref="K274">
      <text>
        <t xml:space="preserve">======
ID#AAABjx7qO0w
    (2025-05-21 11:33:24)
0608 chloe:尚未收到款項，暫HOLD</t>
      </text>
    </comment>
    <comment authorId="0" ref="V716">
      <text>
        <t xml:space="preserve">======
ID#AAABjx7qO0Q
    (2025-05-21 11:33:24)
新漢已補開，12/10新漢寄出
影本已先給會計</t>
      </text>
    </comment>
    <comment authorId="0" ref="G381">
      <text>
        <t xml:space="preserve">======
ID#AAABjx7qOz8
    (2025-05-21 11:33:24)
180621 w/ vat 5%</t>
      </text>
    </comment>
    <comment authorId="0" ref="H774">
      <text>
        <t xml:space="preserve">======
ID#AAABjx7qOzI
    (2025-05-21 11:33:24)
0213 Mary:匯款匯入US$11,250</t>
      </text>
    </comment>
    <comment authorId="0" ref="E133">
      <text>
        <t xml:space="preserve">======
ID#AAABjx7qOyE
    (2025-05-21 11:33:24)
Karen 180215: w/EU adapter</t>
      </text>
    </comment>
    <comment authorId="0" ref="H386">
      <text>
        <t xml:space="preserve">======
ID#AAABjx7qOxQ
    (2025-05-21 11:33:24)
0704 chloe:匯入NT659,180</t>
      </text>
    </comment>
    <comment authorId="0" ref="H135">
      <text>
        <t xml:space="preserve">======
ID#AAABjx7qOwc
    (2025-05-21 11:33:24)
0307 chloe: 匯款匯入US$2198</t>
      </text>
    </comment>
    <comment authorId="0" ref="L110">
      <text>
        <t xml:space="preserve">======
ID#AAABjx7qOwA
    (2025-05-21 11:33:24)
預計2/13到貨</t>
      </text>
    </comment>
    <comment authorId="0" ref="H571">
      <text>
        <t xml:space="preserve">======
ID#AAABjx7qOvs
    (2025-05-21 11:33:24)
1031 chloe: 匯款匯入NT6719</t>
      </text>
    </comment>
    <comment authorId="0" ref="H595">
      <text>
        <t xml:space="preserve">======
ID#AAABjx7qOvA
    (2025-05-21 11:33:24)
0114 chloe:匯款匯入US$7089</t>
      </text>
    </comment>
    <comment authorId="0" ref="K651">
      <text>
        <t xml:space="preserve">======
ID#AAABjx7qOuw
20181013 San    (2025-05-21 11:33:24)
出貨發票以PI 台幣金額為主
PI 有放到Google drive資料夾裡
1112 chloe:貨到交由Santiago</t>
      </text>
    </comment>
    <comment authorId="0" ref="K779">
      <text>
        <t xml:space="preserve">======
ID#AAABjx7qOuY
    (2025-05-21 11:33:24)
181130 出貨要產證</t>
      </text>
    </comment>
    <comment authorId="0" ref="L63">
      <text>
        <t xml:space="preserve">======
ID#AAABjx7qOuQ
    (2025-05-21 11:33:24)
預計1/29到貨</t>
      </text>
    </comment>
    <comment authorId="0" ref="P99">
      <text>
        <t xml:space="preserve">======
ID#AAABjx7qOts
    (2025-05-21 11:33:24)
0223 chloe :2/27 再詢問Santiago是否延期出貨
0302 chloe: 3/6 再詢問Santiago是否延期出貨</t>
      </text>
    </comment>
    <comment authorId="0" ref="H48">
      <text>
        <t xml:space="preserve">======
ID#AAABjx7qOtc
    (2025-05-21 11:33:24)
Santiago 20180118: 收到玉山通知
→須提供合同給銀行才可放行
0123 chloe:款項已匯入</t>
      </text>
    </comment>
    <comment authorId="0" ref="H276">
      <text>
        <t xml:space="preserve">======
ID#AAABjx7qOso
    (2025-05-21 11:33:24)
0619 chloe:匯款匯入US$10018</t>
      </text>
    </comment>
    <comment authorId="0" ref="K712">
      <text>
        <t xml:space="preserve">======
ID#AAABjx7qOss
    (2025-05-21 11:33:24)
1123 chloe:已通知貨代，待貨代通知領貨時間</t>
      </text>
    </comment>
    <comment authorId="0" ref="H50">
      <text>
        <t xml:space="preserve">======
ID#AAABjx7qOr4
    (2025-05-21 11:33:24)
0321 chloe:收到款項NT229576(與戎克開立發票 差 170元)
0323 chloe: 協議下次補回170</t>
      </text>
    </comment>
    <comment authorId="0" ref="H368">
      <text>
        <t xml:space="preserve">======
ID#AAABjx7qOrw
    (2025-05-21 11:33:24)
0627 chloe:匯款匯入US$3075</t>
      </text>
    </comment>
    <comment authorId="0" ref="H715">
      <text>
        <t xml:space="preserve">======
ID#AAABjx7qOrY
    (2025-05-21 11:33:24)
1127 chloe: 匯款匯入US$11920</t>
      </text>
    </comment>
    <comment authorId="0" ref="E784">
      <text>
        <t xml:space="preserve">======
ID#AAABjx7qOrA
    (2025-05-21 11:33:24)
1127 chloe:要注意V201 不會寫在標籤上，要注意看S/N</t>
      </text>
    </comment>
    <comment authorId="0" ref="L96">
      <text>
        <t xml:space="preserve">======
ID#AAABjx7qOqc
    (2025-05-21 11:33:24)
預計2/6到貨</t>
      </text>
    </comment>
    <comment authorId="0" ref="H703">
      <text>
        <t xml:space="preserve">======
ID#AAABjx7qOqI
    (2025-05-21 11:33:24)
1112 chloe:匯款匯入USD 8,359</t>
      </text>
    </comment>
    <comment authorId="0" ref="H353">
      <text>
        <t xml:space="preserve">======
ID#AAABjx7qOp8
    (2025-05-21 11:33:24)
0709 chloe:匯款匯入US$3424</t>
      </text>
    </comment>
    <comment authorId="0" ref="J182">
      <text>
        <t xml:space="preserve">======
ID#AAABjx7qOps
    (2025-05-21 11:33:24)
Moxa直出客戶收件地址如下：
思碩網路科技有限公司
桃園市中正路1247號11樓之2
TEL:03-3577861</t>
      </text>
    </comment>
    <comment authorId="0" ref="O266">
      <text>
        <t xml:space="preserve">======
ID#AAABjx7qOpg
    (2025-05-21 11:33:24)
3 PCS</t>
      </text>
    </comment>
    <comment authorId="0" ref="H777">
      <text>
        <t xml:space="preserve">======
ID#AAABjx7qOoY
    (2025-05-21 11:33:24)
1211 chloe:已收到匯款</t>
      </text>
    </comment>
    <comment authorId="0" ref="L149">
      <text>
        <t xml:space="preserve">======
ID#AAABjx7qOoU
    (2025-05-21 11:33:24)
針對SA Electroequip 的訂單, 若沒收到SA匯款, 就請MOXA先不出貨, 以增加戎克現金流量</t>
      </text>
    </comment>
    <comment authorId="0" ref="H614">
      <text>
        <t xml:space="preserve">======
ID#AAABjx7qOnM
    (2025-05-21 11:33:24)
1031 chloe:匯款匯入US$687</t>
      </text>
    </comment>
    <comment authorId="0" ref="H496">
      <text>
        <t xml:space="preserve">======
ID#AAABjx7qOnA
    (2025-05-21 11:33:24)
1001 chloe:匯款匯入US$5952.5</t>
      </text>
    </comment>
    <comment authorId="0" ref="E371">
      <text>
        <t xml:space="preserve">======
ID#AAABjx7qOm0
    (2025-05-21 11:33:24)
San: 20180619</t>
      </text>
    </comment>
    <comment authorId="0" ref="E288">
      <text>
        <t xml:space="preserve">======
ID#AAABjx7qOmA
0508 Santiago    (2025-05-21 11:33:24)
-&gt; 待客戶將 7' LCD (AA070ME01)寄來後， 寄曦立光電做貼合
-&gt;  7' LCD (AA070ME01)入客供料倉</t>
      </text>
    </comment>
    <comment authorId="0" ref="J489">
      <text>
        <t xml:space="preserve">======
ID#AAABjx7qOmE
    (2025-05-21 11:33:24)
180806 Tammy: 出貨前, 再次確認
180830 Tammy: 確認UX Logistics</t>
      </text>
    </comment>
    <comment authorId="0" ref="R474">
      <text>
        <t xml:space="preserve">======
ID#AAABjx7qOl8
    (2025-05-21 11:33:24)
Santiago 1130 : 原來Chloe 註記銀行如下, 但Santiago 匯到舊的聯邦
合庫大安分行
0760717324727</t>
      </text>
    </comment>
    <comment authorId="0" ref="H472">
      <text>
        <t xml:space="preserve">======
ID#AAABjx7qOl0
    (2025-05-21 11:33:24)
0912 chloe:匯款匯入US$18134.4</t>
      </text>
    </comment>
    <comment authorId="0" ref="H402">
      <text>
        <t xml:space="preserve">======
ID#AAABjx7qOlg
    (2025-05-21 11:33:24)
Invoice:  US$1335
待Cindy修改後通知客戶
1012 chloe:匯款匯入US$40290
(客戶少匯US$2280)
1030 chloe: 匯款匯入US$16,948.00</t>
      </text>
    </comment>
    <comment authorId="0" ref="J212">
      <text>
        <t xml:space="preserve">======
ID#AAABjx7qOlI
    (2025-05-21 11:33:24)
103A Mary Street, Richmond, VIC, 3121, Australia</t>
      </text>
    </comment>
    <comment authorId="0" ref="H310">
      <text>
        <t xml:space="preserve">======
ID#AAABjx7qOkI
    (2025-05-21 11:33:24)
0522 chloe:匯款匯入US$274</t>
      </text>
    </comment>
    <comment authorId="0" ref="H372">
      <text>
        <t xml:space="preserve">======
ID#AAABjx7qOi0
    (2025-05-21 11:33:24)
0619 chloe:匯款匯入US$5000</t>
      </text>
    </comment>
    <comment authorId="0" ref="H735">
      <text>
        <t xml:space="preserve">======
ID#AAABjx7qOiw
    (2025-05-21 11:33:24)
0108 chloe: 收到客戶水單，銀行尚未通知
0109 chloe:匯款匯入US1605</t>
      </text>
    </comment>
    <comment authorId="0" ref="H584">
      <text>
        <t xml:space="preserve">======
ID#AAABjx7qOh4
    (2025-05-21 11:33:24)
1112 chloe:匯款匯入US$8,753</t>
      </text>
    </comment>
    <comment authorId="0" ref="L20">
      <text>
        <t xml:space="preserve">======
ID#AAABjx7qOh0
    (2025-05-21 11:33:24)
1221 Santiago : 希望交期</t>
      </text>
    </comment>
    <comment authorId="0" ref="H292">
      <text>
        <t xml:space="preserve">======
ID#AAABjx7qOho
    (2025-05-21 11:33:24)
0625 chloe:匯款匯入US$882</t>
      </text>
    </comment>
    <comment authorId="0" ref="K178">
      <text>
        <t xml:space="preserve">======
ID#AAABjx7qOhg
    (2025-05-21 11:33:24)
christine 0328 :forwarder 3/28提貨</t>
      </text>
    </comment>
    <comment authorId="0" ref="H586">
      <text>
        <t xml:space="preserve">======
ID#AAABjx7qOhE
    (2025-05-21 11:33:24)
1024 chloe:匯款匯入US$11920</t>
      </text>
    </comment>
    <comment authorId="0" ref="V582">
      <text>
        <t xml:space="preserve">======
ID#AAABjx7qOg4
    (2025-05-21 11:33:24)
同備料計畫HC-20180820B</t>
      </text>
    </comment>
    <comment authorId="0" ref="K124">
      <text>
        <t xml:space="preserve">======
ID#AAABjx7qOfk
    (2025-05-21 11:33:24)
christine0222:連同目錄一起寄出</t>
      </text>
    </comment>
    <comment authorId="0" ref="E822">
      <text>
        <t xml:space="preserve">======
ID#AAABjx7qOfM
    (2025-05-21 11:33:24)
181203 w/o adaptor</t>
      </text>
    </comment>
    <comment authorId="0" ref="H393">
      <text>
        <t xml:space="preserve">======
ID#AAABjx7qOfE
    (2025-05-21 11:33:24)
0705 chloe:匯款匯入US$24790</t>
      </text>
    </comment>
    <comment authorId="0" ref="H317">
      <text>
        <t xml:space="preserve">======
ID#AAABjx7qOe4
    (2025-05-21 11:33:24)
0712 chloe:匯款匯入US$3031</t>
      </text>
    </comment>
    <comment authorId="0" ref="H685">
      <text>
        <t xml:space="preserve">======
ID#AAABjx7qOeU
    (2025-05-21 11:33:24)
1012 chloe:匯款匯入NT5798</t>
      </text>
    </comment>
    <comment authorId="0" ref="H249">
      <text>
        <t xml:space="preserve">======
ID#AAABjx7qOdw
    (2025-05-21 11:33:24)
0622 chloe:匯款匯入US$14958</t>
      </text>
    </comment>
    <comment authorId="0" ref="H304">
      <text>
        <t xml:space="preserve">======
ID#AAABjx7qOc4
    (2025-05-21 11:33:24)
0529 chloe:匯款匯入US$10844</t>
      </text>
    </comment>
    <comment authorId="0" ref="H627">
      <text>
        <t xml:space="preserve">======
ID#AAABjx7qOck
    (2025-05-21 11:33:24)
1220 chloe: 匯款匯入US$32647.5</t>
      </text>
    </comment>
    <comment authorId="0" ref="H93">
      <text>
        <t xml:space="preserve">======
ID#AAABjx7qOcU
    (2025-05-21 11:33:24)
0420 chloe: 匯款匯入US$9526</t>
      </text>
    </comment>
    <comment authorId="0" ref="H448">
      <text>
        <t xml:space="preserve">======
ID#AAABjx7qObU
    (2025-05-21 11:33:24)
0824 chloe:匯款匯入US$31,023</t>
      </text>
    </comment>
    <comment authorId="0" ref="H752">
      <text>
        <t xml:space="preserve">======
ID#AAABjx7qObE
    (2025-05-21 11:33:24)
0123 Mary:匯款匯入US$847
(PI-20181029A)</t>
      </text>
    </comment>
    <comment authorId="0" ref="L662">
      <text>
        <t xml:space="preserve">======
ID#AAABjx7qOag
    (2025-05-21 11:33:24)
1112 chloe:貨到交由Santiago</t>
      </text>
    </comment>
    <comment authorId="0" ref="L603">
      <text>
        <t xml:space="preserve">======
ID#AAABjx7qOaU
    (2025-05-21 11:33:24)
1113 chloe:貨到請通知Chloe</t>
      </text>
    </comment>
    <comment authorId="0" ref="H127">
      <text>
        <t xml:space="preserve">======
ID#AAABjx7qOZc
    (2025-05-21 11:33:24)
0327 chloe:匯款匯入USD$3780</t>
      </text>
    </comment>
    <comment authorId="0" ref="H420">
      <text>
        <t xml:space="preserve">======
ID#AAABjx7qOZY
    (2025-05-21 11:33:24)
0803 chloe:匯款匯入US$11920</t>
      </text>
    </comment>
    <comment authorId="0" ref="L172">
      <text>
        <t xml:space="preserve">======
ID#AAABjx7qOZU
    (2025-05-21 11:33:24)
Leon：2018/3/30只收到9 PCS
             2018/4/3收到1PCS</t>
      </text>
    </comment>
    <comment authorId="0" ref="E194">
      <text>
        <t xml:space="preserve">======
ID#AAABjx7qOZA
    (2025-05-21 11:33:24)
下單請用FPM2150GR3B1601E-T
出貨文件上秀:
FPM-2150G-R3BE
(FPM2150GRB1601E-T)</t>
      </text>
    </comment>
    <comment authorId="0" ref="K700">
      <text>
        <t xml:space="preserve">======
ID#AAABjx7qOY8
    (2025-05-21 11:33:24)
1105 Cindy: 先出5pcs(ship with PI-20180926A)</t>
      </text>
    </comment>
    <comment authorId="0" ref="K686">
      <text>
        <t xml:space="preserve">======
ID#AAABjx7qOYg
    (2025-05-21 11:33:24)
1122 Cindy: 等payment
1123 chloe:</t>
      </text>
    </comment>
    <comment authorId="0" ref="E551">
      <text>
        <t xml:space="preserve">======
ID#AAABjx7qOYU
    (2025-05-21 11:33:24)
0905 chloe:含Audio Cable</t>
      </text>
    </comment>
    <comment authorId="0" ref="H579">
      <text>
        <t xml:space="preserve">======
ID#AAABjx7qOYI
    (2025-05-21 11:33:24)
1030 chloe: 匯款匯入US$16,948.00</t>
      </text>
    </comment>
    <comment authorId="0" ref="H159">
      <text>
        <t xml:space="preserve">======
ID#AAABjx7qOX4
    (2025-05-21 11:33:24)
0312 chloe:匯入US$1,098</t>
      </text>
    </comment>
    <comment authorId="0" ref="L567">
      <text>
        <t xml:space="preserve">======
ID#AAABjx7qOXA
    (2025-05-21 11:33:24)
0907 chloe:交期Pull in 中</t>
      </text>
    </comment>
    <comment authorId="0" ref="H114">
      <text>
        <t xml:space="preserve">======
ID#AAABjx7qOWw
    (2025-05-21 11:33:24)
0212 chloe:匯款匯入US$1047</t>
      </text>
    </comment>
    <comment authorId="0" ref="H26">
      <text>
        <t xml:space="preserve">======
ID#AAABjx7qOVk
    (2025-05-21 11:33:24)
0312 chloe:匯入US$8026</t>
      </text>
    </comment>
    <comment authorId="0" ref="L72">
      <text>
        <t xml:space="preserve">======
ID#AAABjx7qOVE
    (2025-05-21 11:33:24)
預計1/18到貨</t>
      </text>
    </comment>
    <comment authorId="0" ref="K198">
      <text>
        <t xml:space="preserve">======
ID#AAABjx7qOU4
    (2025-05-21 11:33:24)
christine0416:併RMA-20180321A</t>
      </text>
    </comment>
    <comment authorId="0" ref="G570">
      <text>
        <t xml:space="preserve">======
ID#AAABjx7qOTs
    (2025-05-21 11:33:24)
180831 w/ 5%VAT</t>
      </text>
    </comment>
    <comment authorId="0" ref="H338">
      <text>
        <t xml:space="preserve">======
ID#AAABjx7qOTg
    (2025-05-21 11:33:24)
0712 chloe:匯款匯入US$3031</t>
      </text>
    </comment>
    <comment authorId="0" ref="H416">
      <text>
        <t xml:space="preserve">======
ID#AAABjx7qOTY
    (2025-05-21 11:33:24)
0803 chloe:匯款匯入US$11920</t>
      </text>
    </comment>
    <comment authorId="0" ref="L117">
      <text>
        <t xml:space="preserve">======
ID#AAABjx7qOTQ
    (2025-05-21 11:33:24)
預計2/28到貨</t>
      </text>
    </comment>
    <comment authorId="0" ref="H697">
      <text>
        <t xml:space="preserve">======
ID#AAABjx7qOSs
    (2025-05-21 11:33:24)
1203 chloe: 電文11/30匯款，待銀行通知
1204 chloe:匯款匯入US16627</t>
      </text>
    </comment>
    <comment authorId="0" ref="E354">
      <text>
        <t xml:space="preserve">======
ID#AAABjx7qOSY
    (2025-05-21 11:33:24)
0618 San: 待提供BOM給Chloe</t>
      </text>
    </comment>
    <comment authorId="0" ref="E477">
      <text>
        <t xml:space="preserve">======
ID#AAABjx7qOSA
    (2025-05-21 11:33:24)
0810 chloe:原訂單D4SAGHLOFFC敏博送成此款
D4SAGHLPGFC</t>
      </text>
    </comment>
    <comment authorId="0" ref="H133">
      <text>
        <t xml:space="preserve">======
ID#AAABjx7qORE
    (2025-05-21 11:33:24)
0307 chloe: 匯款匯入US$2198</t>
      </text>
    </comment>
    <comment authorId="0" ref="K571">
      <text>
        <t xml:space="preserve">======
ID#AAABjx7qOQo
0904 San    (2025-05-21 11:33:24)
庫存7 + 郁岑1. 先給閎亮. 
之後東西來了再補郁岑</t>
      </text>
    </comment>
    <comment authorId="0" ref="K660">
      <text>
        <t xml:space="preserve">======
ID#AAABjx7qOQc
20181013 San    (2025-05-21 11:33:24)
出貨發票以PI 台幣金額為主
PI 有放到Google drive資料夾裡</t>
      </text>
    </comment>
    <comment authorId="0" ref="E489">
      <text>
        <t xml:space="preserve">======
ID#AAABjx7qOQg
chloe    (2025-05-21 11:33:24)
正確型號:PDK-150S</t>
      </text>
    </comment>
    <comment authorId="0" ref="D470">
      <text>
        <t xml:space="preserve">======
ID#AAABjx7qOP8
Santiago 0730     (2025-05-21 11:33:24)
不需要換標籤. 客戶自己會搞定</t>
      </text>
    </comment>
    <comment authorId="0" ref="H154">
      <text>
        <t xml:space="preserve">======
ID#AAABjx7qOP0
    (2025-05-21 11:33:24)
0413 chloe: 匯入款項US$9464</t>
      </text>
    </comment>
    <comment authorId="0" ref="V762">
      <text>
        <t xml:space="preserve">======
ID#AAABjx7qOPs
    (2025-05-21 11:33:24)
同筆5049(已付)</t>
      </text>
    </comment>
    <comment authorId="0" ref="H16">
      <text>
        <t xml:space="preserve">======
ID#AAABjx7qOPw
    (2025-05-21 11:33:24)
0306 chloe: 2/1 已收到匯款US$9120</t>
      </text>
    </comment>
    <comment authorId="0" ref="H278">
      <text>
        <t xml:space="preserve">======
ID#AAABjx7qOOs
    (2025-05-21 11:33:24)
0619 chloe:匯款匯入US$10018</t>
      </text>
    </comment>
    <comment authorId="0" ref="H354">
      <text>
        <t xml:space="preserve">======
ID#AAABjx7qONg
    (2025-05-21 11:33:24)
Invoice:  US$1264
待Cindy修改後通知客戶
1012 chloe:匯款匯入US$40290
(客戶少匯US$2280)
1030 chloe: 匯款匯入US$16,948.00</t>
      </text>
    </comment>
    <comment authorId="0" ref="H816">
      <text>
        <t xml:space="preserve">======
ID#AAABjx7qONE
    (2025-05-21 11:33:24)
0109 chloe:匯款匯入NT163,487</t>
      </text>
    </comment>
    <comment authorId="0" ref="H162">
      <text>
        <t xml:space="preserve">======
ID#AAABjx7qOMA
    (2025-05-21 11:33:24)
因匯損虧錢
0316 chloe: 收到支票NT14745 4/11兌現 待合庫通知→4/13 已兌</t>
      </text>
    </comment>
    <comment authorId="0" ref="J43">
      <text>
        <t xml:space="preserve">======
ID#AAABjx7qOLk
20180212 Santiago    (2025-05-21 11:33:24)
Christine 已請美灣拉貨. 
因為SA的FedEx 不能使用
未來下午四點前若不提供戎克訂單的運輸方式. 一律延到隔日出</t>
      </text>
    </comment>
    <comment authorId="0" ref="E177">
      <text>
        <t xml:space="preserve">======
ID#AAABjx7qOLM
    (2025-05-21 11:33:24)
下單請用FPM2150GR3B1601E-T
出貨文件上秀:
FPM-2150G-R3BE
(FPM2150GRB1601E-T)</t>
      </text>
    </comment>
    <comment authorId="0" ref="K65">
      <text>
        <t xml:space="preserve">======
ID#AAABjx7qOLI
0111 Santiago     (2025-05-21 11:33:24)
出貨前請Benson拍照</t>
      </text>
    </comment>
    <comment authorId="0" ref="E336">
      <text>
        <t xml:space="preserve">======
ID#AAABjx7qOIk
    (2025-05-21 11:33:24)
180530 Tammy: KH原訂ADAM-6050-CE, 但此項己PHASE OUT, 為趕交期, 在未和KH確認下, 先下單ADAM-6050-D, 目前end user仍在確認中, 故暫列到庫存中</t>
      </text>
    </comment>
    <comment authorId="0" ref="O257">
      <text>
        <t xml:space="preserve">======
ID#AAABjx7qOIc
    (2025-05-21 11:33:24)
2 PCS</t>
      </text>
    </comment>
    <comment authorId="0" ref="S596">
      <text>
        <t xml:space="preserve">======
ID#AAABjx7qOH8
    (2025-05-21 11:33:24)
T/T</t>
      </text>
    </comment>
    <comment authorId="0" ref="H427">
      <text>
        <t xml:space="preserve">======
ID#AAABjx7qOH0
    (2025-05-21 11:33:24)
0907 chloe:匯款匯入US$8273</t>
      </text>
    </comment>
    <comment authorId="0" ref="H833">
      <text>
        <t xml:space="preserve">======
ID#AAABjx7qOHM
    (2025-05-21 11:33:24)
1227 chloe:匯款匯入US$53334</t>
      </text>
    </comment>
    <comment authorId="0" ref="H481">
      <text>
        <t xml:space="preserve">======
ID#AAABjx7qOHI
    (2025-05-21 11:33:24)
0907 chloe:匯款匯入US$2433</t>
      </text>
    </comment>
    <comment authorId="0" ref="G571">
      <text>
        <t xml:space="preserve">======
ID#AAABjx7qOGQ
20180903 San    (2025-05-21 11:33:24)
開發票時要注意
原訂單, 單價 NT$800, 非美金US27.3</t>
      </text>
    </comment>
    <comment authorId="0" ref="H44">
      <text>
        <t xml:space="preserve">======
ID#AAABjx7qOGA
    (2025-05-21 11:33:24)
0316 chloe:收到客戶水單，待銀行通知
0323 chloe:匯款匯入US$2,604.50</t>
      </text>
    </comment>
    <comment authorId="0" ref="G89">
      <text>
        <t xml:space="preserve">======
ID#AAABjx7qOF4
    (2025-05-21 11:33:24)
w/5%VAT</t>
      </text>
    </comment>
    <comment authorId="0" ref="H801">
      <text>
        <t xml:space="preserve">======
ID#AAABjx7qOFk
    (2025-05-21 11:33:24)
1129 chloe:匯款匯入US$21360</t>
      </text>
    </comment>
    <comment authorId="0" ref="H7">
      <text>
        <t xml:space="preserve">======
ID#AAABjx7qOEs
    (2025-05-21 11:33:24)
0306 chloe: 2/1 已收到匯款US$9120</t>
      </text>
    </comment>
    <comment authorId="0" ref="K688">
      <text>
        <t xml:space="preserve">======
ID#AAABjx7qODo
    (2025-05-21 11:33:24)
1122 Cindy: 等payment
1123 chloe:</t>
      </text>
    </comment>
    <comment authorId="0" ref="H189">
      <text>
        <t xml:space="preserve">======
ID#AAABjx7qODc
    (2025-05-21 11:33:24)
0413 chloe:已匯款NT10,000 - 4469(此單金額) = NT5,531</t>
      </text>
    </comment>
    <comment authorId="0" ref="Q617">
      <text>
        <t xml:space="preserve">======
ID#AAABjx7qOC4
    (2025-05-21 11:33:24)
8台</t>
      </text>
    </comment>
    <comment authorId="0" ref="K662">
      <text>
        <t xml:space="preserve">======
ID#AAABjx7qOC0
20181013 San    (2025-05-21 11:33:24)
出貨發票以PI 台幣金額為主
PI 有放到Google drive資料夾裡</t>
      </text>
    </comment>
    <comment authorId="0" ref="H294">
      <text>
        <t xml:space="preserve">======
ID#AAABjx7qOCg
    (2025-05-21 11:33:24)
1211 chloe:客戶水單匯款12/11再留意款項入帳
1212 chloe:匯款匯入US$703</t>
      </text>
    </comment>
    <comment authorId="0" ref="H646">
      <text>
        <t xml:space="preserve">======
ID#AAABjx7qOCU
20181013 San    (2025-05-21 11:33:24)
出貨發票以PI 台幣金額為主
PI 有放到Google drive資料夾裡
1223 chloe:匯款匯入NT114,629</t>
      </text>
    </comment>
    <comment authorId="0" ref="E652">
      <text>
        <t xml:space="preserve">======
ID#AAABjx7qOCQ
    (2025-05-21 11:33:24)
1023 chloe:增加敘述</t>
      </text>
    </comment>
    <comment authorId="0" ref="L664">
      <text>
        <t xml:space="preserve">======
ID#AAABjx7qOBw
    (2025-05-21 11:33:24)
1112 chloe:貨到交由Santiago</t>
      </text>
    </comment>
    <comment authorId="0" ref="H665">
      <text>
        <t xml:space="preserve">======
ID#AAABjx7qOBg
    (2025-05-21 11:33:24)
1223 chloe:匯款匯入NT114,629</t>
      </text>
    </comment>
    <comment authorId="0" ref="H31">
      <text>
        <t xml:space="preserve">======
ID#AAABjx7qOBk
    (2025-05-21 11:33:24)
0312 chloe:匯入US$8026</t>
      </text>
    </comment>
    <comment authorId="0" ref="H81">
      <text>
        <t xml:space="preserve">======
ID#AAABjx7qOBc
    (2025-05-21 11:33:24)
0306 chloe:收到匯款NT972610</t>
      </text>
    </comment>
    <comment authorId="0" ref="K206">
      <text>
        <t xml:space="preserve">======
ID#AAABjx7qOBQ
    (2025-05-21 11:33:24)
christine 0409: RMA-20180306B併貨出</t>
      </text>
    </comment>
    <comment authorId="0" ref="K648">
      <text>
        <t xml:space="preserve">======
ID#AAABjx7qOAo
20181013 San    (2025-05-21 11:33:24)
出貨發票以PI 台幣金額為主
PI 有放到Google drive資料夾裡
1112 chloe:貨到交由Santiago</t>
      </text>
    </comment>
    <comment authorId="0" ref="H798">
      <text>
        <t xml:space="preserve">======
ID#AAABjx7qN-s
    (2025-05-21 11:33:24)
1129 chloe:匯款匯入US$21360</t>
      </text>
    </comment>
    <comment authorId="0" ref="L12">
      <text>
        <t xml:space="preserve">======
ID#AAABjx7qN-Y
    (2025-05-21 11:33:23)
預計12/15到貨</t>
      </text>
    </comment>
    <comment authorId="0" ref="L705">
      <text>
        <t xml:space="preserve">======
ID#AAABjx7qN-Q
    (2025-05-21 11:33:23)
20181122DHL送回</t>
      </text>
    </comment>
    <comment authorId="0" ref="H633">
      <text>
        <t xml:space="preserve">======
ID#AAABjx7qN9o
    (2025-05-21 11:33:23)
0104 chloe:匯款匯入US$3195.35</t>
      </text>
    </comment>
    <comment authorId="0" ref="H820">
      <text>
        <t xml:space="preserve">======
ID#AAABjx7qN8U
    (2025-05-21 11:33:23)
1218 chloe:匯款匯入US$17109</t>
      </text>
    </comment>
    <comment authorId="0" ref="H739">
      <text>
        <t xml:space="preserve">======
ID#AAABjx7qN8Q
    (2025-05-21 11:33:23)
1217 chloe:匯款匯入US$3,207.00</t>
      </text>
    </comment>
    <comment authorId="0" ref="H570">
      <text>
        <t xml:space="preserve">======
ID#AAABjx7qN8I
    (2025-05-21 11:33:23)
1101 chloe:匯款匯入US$3,773.52</t>
      </text>
    </comment>
    <comment authorId="0" ref="H6">
      <text>
        <t xml:space="preserve">======
ID#AAABjx7qN8E
    (2025-05-21 11:33:23)
0306 chloe: 2/1 已收到匯款US$9120</t>
      </text>
    </comment>
    <comment authorId="0" ref="H403">
      <text>
        <t xml:space="preserve">======
ID#AAABjx7qN7o
    (2025-05-21 11:33:23)
Invoice:  US$1335
待Cindy修改後通知客戶
1012 chloe:匯款匯入US$40290
(客戶少匯US$2280)
1030 chloe: 匯款匯入US$16,948.00</t>
      </text>
    </comment>
    <comment authorId="0" ref="L116">
      <text>
        <t xml:space="preserve">======
ID#AAABjx7qN7A
    (2025-05-21 11:33:23)
預計2/28到貨</t>
      </text>
    </comment>
    <comment authorId="0" ref="H643">
      <text>
        <t xml:space="preserve">======
ID#AAABjx7qN60
    (2025-05-21 11:33:23)
1112 chloe:匯款匯入US$8,753</t>
      </text>
    </comment>
    <comment authorId="0" ref="H211">
      <text>
        <t xml:space="preserve">======
ID#AAABjx7qN6g
    (2025-05-21 11:33:23)
0622 chloe:匯款匯入US$14958</t>
      </text>
    </comment>
    <comment authorId="0" ref="K665">
      <text>
        <t xml:space="preserve">======
ID#AAABjx7qN6I
20181013 San    (2025-05-21 11:33:23)
出貨發票以PI 台幣金額為主
PI 有放到Google drive資料夾裡</t>
      </text>
    </comment>
    <comment authorId="0" ref="H237">
      <text>
        <t xml:space="preserve">======
ID#AAABjx7qN6A
    (2025-05-21 11:33:23)
0614 chloe:匯款匯入US$8274</t>
      </text>
    </comment>
    <comment authorId="0" ref="H67">
      <text>
        <t xml:space="preserve">======
ID#AAABjx7qN34
    (2025-05-21 11:33:23)
0316 chloe:收到客戶水單，待銀行通知
0323 chloe:匯款匯入US$2,604.50</t>
      </text>
    </comment>
    <comment authorId="0" ref="D717">
      <text>
        <t xml:space="preserve">======
ID#AAABjx7qN3g
    (2025-05-21 11:33:23)
1029 PI號由20181018A改為20181015A</t>
      </text>
    </comment>
    <comment authorId="0" ref="V718">
      <text>
        <t xml:space="preserve">======
ID#AAABjx7qN3k
    (2025-05-21 11:33:23)
新漢已補開，12/10新漢寄出
影本已先給會計</t>
      </text>
    </comment>
    <comment authorId="0" ref="D468">
      <text>
        <t xml:space="preserve">======
ID#AAABjx7qN3c
Santiago 0730     (2025-05-21 11:33:23)
不需要換標籤. 客戶自己會搞定</t>
      </text>
    </comment>
    <comment authorId="0" ref="H398">
      <text>
        <t xml:space="preserve">======
ID#AAABjx7qN3Y
    (2025-05-21 11:33:23)
0813 chloe:匯款匯入 US$3841.5</t>
      </text>
    </comment>
    <comment authorId="0" ref="H645">
      <text>
        <t xml:space="preserve">======
ID#AAABjx7qN3M
    (2025-05-21 11:33:23)
1112 chloe:匯款匯入US$8,753</t>
      </text>
    </comment>
    <comment authorId="0" ref="H329">
      <text>
        <t xml:space="preserve">======
ID#AAABjx7qN3Q
    (2025-05-21 11:33:23)
0619 chloe:匯款匯入NT$86969</t>
      </text>
    </comment>
    <comment authorId="0" ref="O467">
      <text>
        <t xml:space="preserve">======
ID#AAABjx7qN2g
    (2025-05-21 11:33:23)
20180803(科→廣)</t>
      </text>
    </comment>
    <comment authorId="0" ref="E266">
      <text>
        <t xml:space="preserve">======
ID#AAABjx7qN2U
0503 chloe    (2025-05-21 11:33:23)
待Miller 圖面畫完後告知快異點打線</t>
      </text>
    </comment>
    <comment authorId="0" ref="H394">
      <text>
        <t xml:space="preserve">======
ID#AAABjx7qN2E
    (2025-05-21 11:33:23)
0813 chloe:匯款匯入 US$3841.5</t>
      </text>
    </comment>
    <comment authorId="0" ref="E153">
      <text>
        <t xml:space="preserve">======
ID#AAABjx7qN18
    (2025-05-21 11:33:23)
S/N：AP22LUCR00hfGCD00252
S/N：AP22LUCR00hfGCD00253
S/N：AP22LUCR00hfGCD00254
S/N：AP22LUCR00hfGCD00255
S/N：AP22LUCR00hfGCD00256
S/N：AP22LUCR00hfGCD00257
S/N：AP22LUCR00hfGCD00258
S/N：AP22LUCR00hfGCD00259
S/N：AP22LUCR00hfGCD00260
S/N：AP22LUCR00hfGCD00261
S/N：AP22LUCR00hfGCD00262
S/N：AP22LUCR00hfGCD00263
S/N：AP22LUCR00hfGCD00264
S/N：AP22LUCR00hfGCD00265
S/N：AP22LUCR00hfGCD00266
S/N：AP22LUCR00hfGCD00267
S/N：AP22LUCR00hfGCD00268
S/N：AP22LUCR00hfGCD00269
S/N：AP22LUCR00hfGCD00270
S/N：AP22LUCR00hfGCD00271</t>
      </text>
    </comment>
    <comment authorId="0" ref="H619">
      <text>
        <t xml:space="preserve">======
ID#AAABjx7qN1M
    (2025-05-21 11:33:23)
1030 chloe: 匯款匯入US$16,948.00</t>
      </text>
    </comment>
    <comment authorId="0" ref="H446">
      <text>
        <t xml:space="preserve">======
ID#AAABjx7qN08
    (2025-05-21 11:33:23)
0808 chloe:入帳US$34,335</t>
      </text>
    </comment>
    <comment authorId="0" ref="H258">
      <text>
        <t xml:space="preserve">======
ID#AAABjx7qN00
    (2025-05-21 11:33:23)
0622 chloe:匯款匯入US$679</t>
      </text>
    </comment>
    <comment authorId="0" ref="H485">
      <text>
        <t xml:space="preserve">======
ID#AAABjx7qNz8
    (2025-05-21 11:33:23)
0913 chloe:匯款匯入153646</t>
      </text>
    </comment>
    <comment authorId="0" ref="G462">
      <text>
        <t xml:space="preserve">======
ID#AAABjx7qNzU
    (2025-05-21 11:33:23)
180221 Tammy: project price for over 50pcs/lot</t>
      </text>
    </comment>
    <comment authorId="0" ref="H789">
      <text>
        <t xml:space="preserve">======
ID#AAABjx7qNzY
    (2025-05-21 11:33:23)
0213 Mary:匯款匯入US$11,250</t>
      </text>
    </comment>
    <comment authorId="0" ref="H688">
      <text>
        <t xml:space="preserve">======
ID#AAABjx7qNzE
    (2025-05-21 11:33:23)
0111  chloe:匯款匯入US$8,152</t>
      </text>
    </comment>
    <comment authorId="0" ref="H758">
      <text>
        <t xml:space="preserve">======
ID#AAABjx7qNyU
    (2025-05-21 11:33:23)
0123 Mary:匯款匯入 US$706.5</t>
      </text>
    </comment>
    <comment authorId="0" ref="X86">
      <text>
        <t xml:space="preserve">======
ID#AAABjx7qNyE
    (2025-05-21 11:33:23)
出口報單打成I5-3610</t>
      </text>
    </comment>
    <comment authorId="0" ref="L612">
      <text>
        <t xml:space="preserve">======
ID#AAABjx7qNx8
    (2025-05-21 11:33:23)
0919 已 PULL IN</t>
      </text>
    </comment>
    <comment authorId="0" ref="H243">
      <text>
        <t xml:space="preserve">======
ID#AAABjx7qNxc
    (2025-05-21 11:33:23)
0504 chloe:匯款匯入US$2294</t>
      </text>
    </comment>
    <comment authorId="0" ref="H193">
      <text>
        <t xml:space="preserve">======
ID#AAABjx7qNxE
    (2025-05-21 11:33:23)
0712 chloe:匯款匯入US$3031</t>
      </text>
    </comment>
    <comment authorId="0" ref="H383">
      <text>
        <t xml:space="preserve">======
ID#AAABjx7qNxI
    (2025-05-21 11:33:23)
0710 chloe:匯款匯入44891</t>
      </text>
    </comment>
    <comment authorId="0" ref="P728">
      <text>
        <t xml:space="preserve">======
ID#AAABjx7qNww
    (2025-05-21 11:33:23)
MOXA對帳單:730.8</t>
      </text>
    </comment>
    <comment authorId="0" ref="K670">
      <text>
        <t xml:space="preserve">======
ID#AAABjx7qNwo
20181013 San    (2025-05-21 11:33:23)
出貨發票以PI 台幣金額為主
PI 有放到Google drive資料夾裡</t>
      </text>
    </comment>
    <comment authorId="0" ref="H516">
      <text>
        <t xml:space="preserve">======
ID#AAABjx7qNwg
    (2025-05-21 11:33:23)
0918 chloe:匯款匯入US$1053</t>
      </text>
    </comment>
    <comment authorId="0" ref="K667">
      <text>
        <t xml:space="preserve">======
ID#AAABjx7qNwA
20181013 San    (2025-05-21 11:33:23)
出貨發票以PI 台幣金額為主
PI 有放到Google drive資料夾裡</t>
      </text>
    </comment>
    <comment authorId="0" ref="H738">
      <text>
        <t xml:space="preserve">======
ID#AAABjx7qNvc
    (2025-05-21 11:33:23)
1217 chloe:匯款匯入US$3,207.00</t>
      </text>
    </comment>
    <comment authorId="0" ref="H396">
      <text>
        <t xml:space="preserve">======
ID#AAABjx7qNus
    (2025-05-21 11:33:23)
0813 chloe:匯款匯入 US$3841.5</t>
      </text>
    </comment>
    <comment authorId="0" ref="J496">
      <text>
        <t xml:space="preserve">======
ID#AAABjx7qNuk
    (2025-05-21 11:33:23)
180806 Tammy: 出貨前, 再次確認
180830 Tammy: 確認UX Logistics</t>
      </text>
    </comment>
    <comment authorId="0" ref="H36">
      <text>
        <t xml:space="preserve">======
ID#AAABjx7qNuY
    (2025-05-21 11:33:23)
0209 chloe: 匯入款項US49990;剩餘款項23201 預計2/12當週匯款
0301 chloe:匯入款項23181</t>
      </text>
    </comment>
    <comment authorId="0" ref="H49">
      <text>
        <t xml:space="preserve">======
ID#AAABjx7qNuQ
    (2025-05-21 11:33:23)
0316 chloe:收到客戶水單，待銀行通知
0323 chloe:匯款匯入US$2,604.50</t>
      </text>
    </comment>
    <comment authorId="0" ref="H433">
      <text>
        <t xml:space="preserve">======
ID#AAABjx7qNt8
    (2025-05-21 11:33:23)
0731 chloe:匯入NT11142
短缺3660
0928 chloe: 匯入NT 3660</t>
      </text>
    </comment>
    <comment authorId="0" ref="H191">
      <text>
        <t xml:space="preserve">======
ID#AAABjx7qNto
    (2025-05-21 11:33:23)
0712 chloe:匯款匯入US$3031</t>
      </text>
    </comment>
    <comment authorId="0" ref="K668">
      <text>
        <t xml:space="preserve">======
ID#AAABjx7qNts
20181013 San    (2025-05-21 11:33:23)
出貨發票以PI 台幣金額為主
PI 有放到Google drive資料夾裡</t>
      </text>
    </comment>
    <comment authorId="0" ref="H325">
      <text>
        <t xml:space="preserve">======
ID#AAABjx7qNtQ
    (2025-05-21 11:33:23)
0704 chloe:匯入NT311,925</t>
      </text>
    </comment>
    <comment authorId="0" ref="H649">
      <text>
        <t xml:space="preserve">======
ID#AAABjx7qNsw
    (2025-05-21 11:33:23)
1223 chloe:匯款匯入NT114,629</t>
      </text>
    </comment>
    <comment authorId="0" ref="H443">
      <text>
        <t xml:space="preserve">======
ID#AAABjx7qNsY
    (2025-05-21 11:33:23)
0814 chloe:收到支票NT212307</t>
      </text>
    </comment>
    <comment authorId="0" ref="H719">
      <text>
        <t xml:space="preserve">======
ID#AAABjx7qNr0
    (2025-05-21 11:33:23)
1127 chloe: 匯款匯入US$11920</t>
      </text>
    </comment>
    <comment authorId="0" ref="H449">
      <text>
        <t xml:space="preserve">======
ID#AAABjx7qNro
    (2025-05-21 11:33:23)
0824 chloe:匯款匯入US$31,023</t>
      </text>
    </comment>
    <comment authorId="0" ref="K20">
      <text>
        <t xml:space="preserve">======
ID#AAABjx7qNrk
    (2025-05-21 11:33:23)
併RMA-20171103A-1~10(獨立一箱)</t>
      </text>
    </comment>
    <comment authorId="0" ref="H413">
      <text>
        <t xml:space="preserve">======
ID#AAABjx7qNqc
    (2025-05-21 11:33:23)
0912 chloe:匯款匯入US$18134.4</t>
      </text>
    </comment>
    <comment authorId="0" ref="K780">
      <text>
        <t xml:space="preserve">======
ID#AAABjx7qNqA
    (2025-05-21 11:33:23)
181130 出貨要產證</t>
      </text>
    </comment>
    <comment authorId="0" ref="J210">
      <text>
        <t xml:space="preserve">======
ID#AAABjx7qNps
    (2025-05-21 11:33:23)
0723 chloe: 登記</t>
      </text>
    </comment>
    <comment authorId="0" ref="L47">
      <text>
        <t xml:space="preserve">======
ID#AAABjx7qNpk
    (2025-05-21 11:33:23)
預計2/5到貨</t>
      </text>
    </comment>
    <comment authorId="0" ref="E455">
      <text>
        <t xml:space="preserve">======
ID#AAABjx7qNpY
●OPE1503FBDTR    (2025-05-21 11:33:23)
VGA+DVI+HDMI /12V/ Terminal block12V/24V
(另加12VDC 鳯凰接頭 的 power adapter)</t>
      </text>
    </comment>
    <comment authorId="0" ref="H744">
      <text>
        <t xml:space="preserve">======
ID#AAABjx7qNn0
    (2025-05-21 11:33:23)
1220 chloe: 匯款匯入US$32647.5</t>
      </text>
    </comment>
    <comment authorId="0" ref="H303">
      <text>
        <t xml:space="preserve">======
ID#AAABjx7qNns
    (2025-05-21 11:33:23)
0601 chloe:已匯款NT25858</t>
      </text>
    </comment>
    <comment authorId="0" ref="P11">
      <text>
        <t xml:space="preserve">======
ID#AAABjx7qNnw
    (2025-05-21 11:33:23)
0123 chloe 特簽</t>
      </text>
    </comment>
    <comment authorId="0" ref="P100">
      <text>
        <t xml:space="preserve">======
ID#AAABjx7qNno
    (2025-05-21 11:33:23)
0223 chloe :2/27 再詢問Santiago是否延期出貨
0302 chloe: 3/6 再詢問Santiago是否延期出貨</t>
      </text>
    </comment>
    <comment authorId="0" ref="H148">
      <text>
        <t xml:space="preserve">======
ID#AAABjx7qNnk
    (2025-05-21 11:33:23)
0323 chloe: 客戶預計3/26付款
0410 chloe: 匯款匯入US$21,800</t>
      </text>
    </comment>
    <comment authorId="0" ref="K36">
      <text>
        <t xml:space="preserve">======
ID#AAABjx7qNnQ
Santiago 20180116    (2025-05-21 11:33:23)
出貨前通知Santiago 拍照</t>
      </text>
    </comment>
    <comment authorId="0" ref="J820">
      <text>
        <t xml:space="preserve">======
ID#AAABjx7qNnI
    (2025-05-21 11:33:23)
JUDY KAO
Supervisor Of Sales Div.
FETA FREIGHT SYSTEMS (TAIWAN ) LTD. 
Tel: +886-3-399-2033 EXT: 135
Direct: +886-3-3992106
Fax: +886-3-3992036/2055
E-mail: judykao@ffsi.com.tw
Skype:judykao-mlattao</t>
      </text>
    </comment>
    <comment authorId="0" ref="H409">
      <text>
        <t xml:space="preserve">======
ID#AAABjx7qNmY
    (2025-05-21 11:33:23)
0912 chloe:匯款匯入US$18134.4</t>
      </text>
    </comment>
    <comment authorId="0" ref="H436">
      <text>
        <t xml:space="preserve">======
ID#AAABjx7qNmI
    (2025-05-21 11:33:23)
0912 chloe:匯款匯入US$18134.4</t>
      </text>
    </comment>
    <comment authorId="0" ref="V444">
      <text>
        <t xml:space="preserve">======
ID#AAABjx7qNmA
    (2025-05-21 11:33:23)
59 PCS</t>
      </text>
    </comment>
    <comment authorId="0" ref="H143">
      <text>
        <t xml:space="preserve">======
ID#AAABjx7qNlg
    (2025-05-21 11:33:23)
0423 chloe: 匯款匯入US$19147</t>
      </text>
    </comment>
    <comment authorId="0" ref="H423">
      <text>
        <t xml:space="preserve">======
ID#AAABjx7qNlQ
    (2025-05-21 11:33:23)
0907 chloe:匯款匯入US$8273</t>
      </text>
    </comment>
    <comment authorId="0" ref="H106">
      <text>
        <t xml:space="preserve">======
ID#AAABjx7qNkw
    (2025-05-21 11:33:23)
0406 chloe匯款匯入US$7,637.50</t>
      </text>
    </comment>
    <comment authorId="0" ref="H151">
      <text>
        <t xml:space="preserve">======
ID#AAABjx7qNkg
    (2025-05-21 11:33:23)
0323 chloe: 客戶預計3/26付款
0410 chloe: 匯款匯入US$21,800</t>
      </text>
    </comment>
    <comment authorId="0" ref="H250">
      <text>
        <t xml:space="preserve">======
ID#AAABjx7qNkY
    (2025-05-21 11:33:23)
0622 chloe:匯款匯入US$14958</t>
      </text>
    </comment>
    <comment authorId="0" ref="J214">
      <text>
        <t xml:space="preserve">======
ID#AAABjx7qNj4
    (2025-05-21 11:33:23)
103A Mary Street, Richmond, VIC, 3121, Australia</t>
      </text>
    </comment>
    <comment authorId="0" ref="E407">
      <text>
        <t xml:space="preserve">======
ID#AAABjx7qNjc
    (2025-05-21 11:33:23)
180705 Karen: w/EU adapter</t>
      </text>
    </comment>
    <comment authorId="0" ref="G127">
      <text>
        <t xml:space="preserve">======
ID#AAABjx7qNjU
    (2025-05-21 11:33:23)
170323 w/ 5%VAT</t>
      </text>
    </comment>
    <comment authorId="0" ref="H810">
      <text>
        <t xml:space="preserve">======
ID#AAABjx7qNjY
    (2025-05-21 11:33:23)
1214 chloe:匯款匯入:US$1524</t>
      </text>
    </comment>
    <comment authorId="0" ref="H473">
      <text>
        <t xml:space="preserve">======
ID#AAABjx7qNjM
    (2025-05-21 11:33:23)
0912 chloe:匯款匯入US$18134.4</t>
      </text>
    </comment>
    <comment authorId="0" ref="K151">
      <text>
        <t xml:space="preserve">======
ID#AAABjx7qNjE
Santiago 0308    (2025-05-21 11:33:23)
本預計3/12出貨, 改3/29, 待SA付款後, 再做時間變更</t>
      </text>
    </comment>
    <comment authorId="0" ref="H712">
      <text>
        <t xml:space="preserve">======
ID#AAABjx7qNi8
    (2025-05-21 11:33:23)
1023 chloe: 匯款匯入US 23,395</t>
      </text>
    </comment>
    <comment authorId="0" ref="H407">
      <text>
        <t xml:space="preserve">======
ID#AAABjx7qNio
    (2025-05-21 11:33:23)
0706 chloe:匯款匯入US$3499</t>
      </text>
    </comment>
    <comment authorId="0" ref="H200">
      <text>
        <t xml:space="preserve">======
ID#AAABjx7qNiY
    (2025-05-21 11:33:23)
0524 chloe:匯款匯入US$8750</t>
      </text>
    </comment>
    <comment authorId="0" ref="H355">
      <text>
        <t xml:space="preserve">======
ID#AAABjx7qNiQ
    (2025-05-21 11:33:23)
Invoice:  US$1264
待Cindy修改後通知客戶
1012 chloe:匯款匯入US$40290
(客戶少匯US$2280)
1030 chloe: 匯款匯入US$16,948.00</t>
      </text>
    </comment>
    <comment authorId="0" ref="O260">
      <text>
        <t xml:space="preserve">======
ID#AAABjx7qNiA
    (2025-05-21 11:33:23)
與P259同一種Cable</t>
      </text>
    </comment>
    <comment authorId="0" ref="H454">
      <text>
        <t xml:space="preserve">======
ID#AAABjx7qNh8
    (2025-05-21 11:33:23)
0824 chloe:匯款匯入US$31,023</t>
      </text>
    </comment>
    <comment authorId="0" ref="D715">
      <text>
        <t xml:space="preserve">======
ID#AAABjx7qNiE
    (2025-05-21 11:33:23)
1029 PI號由20181018A改為20181015A</t>
      </text>
    </comment>
    <comment authorId="0" ref="H254">
      <text>
        <t xml:space="preserve">======
ID#AAABjx7qNh4
    (2025-05-21 11:33:23)
0614 chloe:匯款匯入US$8274</t>
      </text>
    </comment>
    <comment authorId="0" ref="H812">
      <text>
        <t xml:space="preserve">======
ID#AAABjx7qNhg
    (2025-05-21 11:33:23)
1223 chloe:匯款匯入NT114,629</t>
      </text>
    </comment>
    <comment authorId="0" ref="J821">
      <text>
        <t xml:space="preserve">======
ID#AAABjx7qNg8
    (2025-05-21 11:33:23)
JUDY KAO
Supervisor Of Sales Div.
FETA FREIGHT SYSTEMS (TAIWAN ) LTD. 
Tel: +886-3-399-2033 EXT: 135
Direct: +886-3-3992106
Fax: +886-3-3992036/2055
E-mail: judykao@ffsi.com.tw
Skype:judykao-mlattao</t>
      </text>
    </comment>
    <comment authorId="0" ref="H790">
      <text>
        <t xml:space="preserve">======
ID#AAABjx7qNg4
    (2025-05-21 11:33:23)
0213 Mary:匯款匯入US$11,250</t>
      </text>
    </comment>
    <comment authorId="0" ref="H367">
      <text>
        <t xml:space="preserve">======
ID#AAABjx7qNgU
    (2025-05-21 11:33:23)
0627 chloe:匯款匯入US$3075</t>
      </text>
    </comment>
    <comment authorId="0" ref="H46">
      <text>
        <t xml:space="preserve">======
ID#AAABjx7qNgM
    (2025-05-21 11:33:23)
0206 chloe:收到匯款NT385,107</t>
      </text>
    </comment>
    <comment authorId="0" ref="H213">
      <text>
        <t xml:space="preserve">======
ID#AAABjx7qNgE
    (2025-05-21 11:33:23)
0622 chloe:匯款匯入US$14958</t>
      </text>
    </comment>
    <comment authorId="0" ref="J346">
      <text>
        <t xml:space="preserve">======
ID#AAABjx7qNf8
Santiago 0529     (2025-05-21 11:33:23)
外箱的shipping mark 要註記
EORI-Number DE7019688</t>
      </text>
    </comment>
    <comment authorId="0" ref="H456">
      <text>
        <t xml:space="preserve">======
ID#AAABjx7qNfc
    (2025-05-21 11:33:23)
0907 chloe:匯款匯入US$8273</t>
      </text>
    </comment>
    <comment authorId="0" ref="E434">
      <text>
        <t xml:space="preserve">======
ID#AAABjx7qNfY
    (2025-05-21 11:33:23)
180717 Tammy修改</t>
      </text>
    </comment>
    <comment authorId="0" ref="H605">
      <text>
        <t xml:space="preserve">======
ID#AAABjx7qNfA
    (2025-05-21 11:33:23)
1031chloe:US$匯款匯入 US$155</t>
      </text>
    </comment>
    <comment authorId="0" ref="H11">
      <text>
        <t xml:space="preserve">======
ID#AAABjx7qNe0
    (2025-05-21 11:33:23)
0122 chloe:入帳USD75184.50</t>
      </text>
    </comment>
    <comment authorId="0" ref="H463">
      <text>
        <t xml:space="preserve">======
ID#AAABjx7qNeQ
    (2025-05-21 11:33:23)
0808 chloe:匯款匯入USD 2,032</t>
      </text>
    </comment>
    <comment authorId="0" ref="K115">
      <text>
        <t xml:space="preserve">======
ID#AAABjx7qNeE
Santiago 0308    (2025-05-21 11:33:23)
本預計3/12出貨, 改3/29, 待SA付款後, 再做時間變更</t>
      </text>
    </comment>
    <comment authorId="0" ref="E302">
      <text>
        <t xml:space="preserve">======
ID#AAABjx7qNd4
    (2025-05-21 11:33:23)
0626 chloe:無寄出，納入戎克庫存</t>
      </text>
    </comment>
    <comment authorId="0" ref="H87">
      <text>
        <t xml:space="preserve">======
ID#AAABjx7qNdI
    (2025-05-21 11:33:23)
0209 chloe: 匯入款項US49990;剩餘款項23201 預計2/12當週匯款
0301 chloe:匯入款項23181</t>
      </text>
    </comment>
    <comment authorId="0" ref="H327">
      <text>
        <t xml:space="preserve">======
ID#AAABjx7qNc0
    (2025-05-21 11:33:23)
0619 chloe:匯款匯入NT$86969</t>
      </text>
    </comment>
    <comment authorId="0" ref="H41">
      <text>
        <t xml:space="preserve">======
ID#AAABjx7qNcE
    (2025-05-21 11:33:23)
0209 chloe: 匯入款項US49990;剩餘款項23201 預計2/12當週匯款
0301 chloe:匯入款項23181</t>
      </text>
    </comment>
    <comment authorId="0" ref="H274">
      <text>
        <t xml:space="preserve">======
ID#AAABjx7qNbs
    (2025-05-21 11:33:23)
0810 chloe:匯款匯入USD 521</t>
      </text>
    </comment>
    <comment authorId="0" ref="H598">
      <text>
        <t xml:space="preserve">======
ID#AAABjx7qNbY
    (2025-05-21 11:33:23)
0114 chloe:匯款匯入US$7089</t>
      </text>
    </comment>
    <comment authorId="0" ref="H545">
      <text>
        <t xml:space="preserve">======
ID#AAABjx7qNbU
    (2025-05-21 11:33:23)
1120 chloe:匯款匯入US$6410</t>
      </text>
    </comment>
    <comment authorId="0" ref="L119">
      <text>
        <t xml:space="preserve">======
ID#AAABjx7qNa8
    (2025-05-21 11:33:23)
針對SA Electroequip 的訂單, 若沒收到SA匯款, 就請MOXA先不出貨, 以增加戎克現金流量
預計3/15到貨</t>
      </text>
    </comment>
    <comment authorId="0" ref="K138">
      <text>
        <t xml:space="preserve">======
ID#AAABjx7qNZM
    (2025-05-21 11:33:23)
christine 0328 :forwarder 3/28提貨</t>
      </text>
    </comment>
    <comment authorId="0" ref="H432">
      <text>
        <t xml:space="preserve">======
ID#AAABjx7qNZE
    (2025-05-21 11:33:23)
0731 chloe:匯入NT11142
短缺3660
0928 chloe: 匯入NT 3660</t>
      </text>
    </comment>
    <comment authorId="0" ref="H273">
      <text>
        <t xml:space="preserve">======
ID#AAABjx7qNY0
    (2025-05-21 11:33:23)
0612 chloe:收到支票NT82,222，待6/30兌現
已兌現</t>
      </text>
    </comment>
    <comment authorId="0" ref="H817">
      <text>
        <t xml:space="preserve">======
ID#AAABjx7qNYg
    (2025-05-21 11:33:23)
0109 chloe:匯款匯入NT163,487</t>
      </text>
    </comment>
    <comment authorId="0" ref="L819">
      <text>
        <t xml:space="preserve">======
ID#AAABjx7qNYM
    (2025-05-21 11:33:23)
在此輸入
進貨缺1PCS ，Tammy 告知預計12/21 or 12/24到貨</t>
      </text>
    </comment>
    <comment authorId="0" ref="K575">
      <text>
        <t xml:space="preserve">======
ID#AAABjx7qNXk
    (2025-05-21 11:33:23)
partial 9/13 ship 5 + 9/25 ship 7</t>
      </text>
    </comment>
    <comment authorId="0" ref="H17">
      <text>
        <t xml:space="preserve">======
ID#AAABjx7qNXc
    (2025-05-21 11:33:23)
0305 chloe: 收到款項US$7411</t>
      </text>
    </comment>
    <comment authorId="0" ref="H455">
      <text>
        <t xml:space="preserve">======
ID#AAABjx7qNXM
    (2025-05-21 11:33:23)
0912 chloe:匯款匯入US$18134.4</t>
      </text>
    </comment>
    <comment authorId="0" ref="H206">
      <text>
        <t xml:space="preserve">======
ID#AAABjx7qNW4
    (2025-05-21 11:33:23)
0523 chloe:匯款匯入US$16190</t>
      </text>
    </comment>
    <comment authorId="0" ref="K669">
      <text>
        <t xml:space="preserve">======
ID#AAABjx7qNV8
20181013 San    (2025-05-21 11:33:23)
出貨發票以PI 台幣金額為主
PI 有放到Google drive資料夾裡</t>
      </text>
    </comment>
    <comment authorId="0" ref="K307">
      <text>
        <t xml:space="preserve">======
ID#AAABjx7qNUc
●Santiago 0517    (2025-05-21 11:33:23)
客戶急著要貨,
若能5/31 出貨最好
若不能, 就特例6/1 週五出貨
●0601 chloe: Vecow寄至戎克，已於6/1由戎克經由大榮貨運寄出</t>
      </text>
    </comment>
    <comment authorId="0" ref="K653">
      <text>
        <t xml:space="preserve">======
ID#AAABjx7qNT4
20181008 San    (2025-05-21 11:33:23)
待我確認貨款後, 再出貨
20181022 chloe: 已預先給予出口報單備查</t>
      </text>
    </comment>
    <comment authorId="0" ref="H620">
      <text>
        <t xml:space="preserve">======
ID#AAABjx7qNTo
    (2025-05-21 11:33:23)
1012 chloe:匯款匯入US$15808</t>
      </text>
    </comment>
    <comment authorId="0" ref="H155">
      <text>
        <t xml:space="preserve">======
ID#AAABjx7qNSY
    (2025-05-21 11:33:23)
0413 chloe: 匯入款項US$9464</t>
      </text>
    </comment>
    <comment authorId="0" ref="H195">
      <text>
        <t xml:space="preserve">======
ID#AAABjx7qNSM
    (2025-05-21 11:33:23)
0420 chloe: 匯款匯入US$9526</t>
      </text>
    </comment>
    <comment authorId="0" ref="H57">
      <text>
        <t xml:space="preserve">======
ID#AAABjx7qNRw
    (2025-05-21 11:33:23)
0129 chloe:匯入US$2033</t>
      </text>
    </comment>
    <comment authorId="0" ref="H507">
      <text>
        <t xml:space="preserve">======
ID#AAABjx7qNRg
    (2025-05-21 11:33:23)
1012 chloe:匯款匯入US$40290
(客戶少匯US$2280)
1030 chloe: 匯款匯入US$16,948.00</t>
      </text>
    </comment>
    <comment authorId="0" ref="H175">
      <text>
        <t xml:space="preserve">======
ID#AAABjx7qNQ8
    (2025-05-21 11:33:23)
0611 chloe:  匯款匯入8756</t>
      </text>
    </comment>
    <comment authorId="0" ref="H732">
      <text>
        <t xml:space="preserve">======
ID#AAABjx7qNQ0
    (2025-05-21 11:33:23)
1217 chloe:匯款匯入US$3,207.00</t>
      </text>
    </comment>
    <comment authorId="0" ref="E267">
      <text>
        <t xml:space="preserve">======
ID#AAABjx7qNP8
chloe    (2025-05-21 11:33:23)
正確型號:PDK-150S</t>
      </text>
    </comment>
    <comment authorId="0" ref="H680">
      <text>
        <t xml:space="preserve">======
ID#AAABjx7qNP4
    (2025-05-21 11:33:23)
1003 chloe:匯款匯入US$1247
1025 chloe:匯款匯入US$1247</t>
      </text>
    </comment>
    <comment authorId="0" ref="L192">
      <text>
        <t xml:space="preserve">======
ID#AAABjx7qNPk
    (2025-05-21 11:33:23)
預計4/2到貨</t>
      </text>
    </comment>
    <comment authorId="0" ref="H110">
      <text>
        <t xml:space="preserve">======
ID#AAABjx7qNO0
    (2025-05-21 11:33:23)
0323 chloe: 匯款匯入US$3757</t>
      </text>
    </comment>
    <comment authorId="0" ref="J361">
      <text>
        <t xml:space="preserve">======
ID#AAABjx7qNOo
    (2025-05-21 11:33:23)
JUDY KAO
Supervisor Of Sales Div.
FETA FREIGHT SYSTEMS (TAIWAN ) LTD. 
Tel: +886-3-399-2033 EXT: 135
Direct: +886-3-3992106
Fax: +886-3-3992036/2055
E-mail: judykao@ffsi.com.tw</t>
      </text>
    </comment>
    <comment authorId="0" ref="H299">
      <text>
        <t xml:space="preserve">======
ID#AAABjx7qNNQ
    (2025-05-21 11:33:23)
0517chloe:匯款匯入US$7560</t>
      </text>
    </comment>
    <comment authorId="0" ref="D469">
      <text>
        <t xml:space="preserve">======
ID#AAABjx7qNME
Santiago 0730     (2025-05-21 11:33:23)
不需要換標籤. 客戶自己會搞定</t>
      </text>
    </comment>
    <comment authorId="0" ref="L104">
      <text>
        <t xml:space="preserve">======
ID#AAABjx7qNLo
    (2025-05-21 11:33:23)
0205 chloe: 客戶希望提早出貨，故VECOM交期有變更</t>
      </text>
    </comment>
    <comment authorId="0" ref="K331">
      <text>
        <t xml:space="preserve">======
ID#AAABjx7qNLc
    (2025-05-21 11:33:23)
0604出貨前. 通知Santiago 拍照</t>
      </text>
    </comment>
    <comment authorId="0" ref="H636">
      <text>
        <t xml:space="preserve">======
ID#AAABjx7qNKo
    (2025-05-21 11:33:23)
1220 chloe: 匯款匯入US$32647.5</t>
      </text>
    </comment>
    <comment authorId="0" ref="E495">
      <text>
        <t xml:space="preserve">======
ID#AAABjx7qNKM
0807 chloe    (2025-05-21 11:33:23)
我司新料號
02-BE0-LVDS330-001A</t>
      </text>
    </comment>
    <comment authorId="0" ref="K137">
      <text>
        <t xml:space="preserve">======
ID#AAABjx7qNJc
    (2025-05-21 11:33:23)
christine 0328 :forwarder 3/28提貨</t>
      </text>
    </comment>
    <comment authorId="0" ref="H825">
      <text>
        <t xml:space="preserve">======
ID#AAABjx7qNIE
    (2025-05-21 11:33:23)
1212 chloe:待入帳(因洗錢防制銀行查核貨款中)
1214 chloe: 匯款匯入US$7725</t>
      </text>
    </comment>
    <comment authorId="0" ref="H381">
      <text>
        <t xml:space="preserve">======
ID#AAABjx7qNHo
    (2025-05-21 11:33:23)
0710 chloe:匯款匯入44891</t>
      </text>
    </comment>
    <comment authorId="0" ref="H519">
      <text>
        <t xml:space="preserve">======
ID#AAABjx7qNHY
    (2025-05-21 11:33:23)
1002 chloe:匯款匯入US$17500</t>
      </text>
    </comment>
    <comment authorId="0" ref="H695">
      <text>
        <t xml:space="preserve">======
ID#AAABjx7qNHQ
    (2025-05-21 11:33:23)
1204 chloe:匯款匯入US$1,764.50</t>
      </text>
    </comment>
    <comment authorId="0" ref="E134">
      <text>
        <t xml:space="preserve">======
ID#AAABjx7qNHM
    (2025-05-21 11:33:23)
Karen 180215: w/EU adapter</t>
      </text>
    </comment>
    <comment authorId="0" ref="L131">
      <text>
        <t xml:space="preserve">======
ID#AAABjx7qNHE
    (2025-05-21 11:33:23)
預計2/23到貨</t>
      </text>
    </comment>
    <comment authorId="0" ref="R302">
      <text>
        <t xml:space="preserve">======
ID#AAABjx7qNG8
    (2025-05-21 11:33:23)
Santiago 1130 : 原來Chloe 註記銀行如下, 但Santiago 匯到舊的聯邦
合庫大安分行
0760717324727</t>
      </text>
    </comment>
    <comment authorId="0" ref="U336">
      <text>
        <t xml:space="preserve">======
ID#AAABjx7qNGo
    (2025-05-21 11:33:23)
0607 chloe:發票5月已給會計，先列入庫存</t>
      </text>
    </comment>
    <comment authorId="0" ref="G315">
      <text>
        <t xml:space="preserve">======
ID#AAABjx7qNGQ
    (2025-05-21 11:33:23)
170323 w/ 5%VAT</t>
      </text>
    </comment>
    <comment authorId="0" ref="E480">
      <text>
        <t xml:space="preserve">======
ID#AAABjx7qNGA
    (2025-05-21 11:33:23)
0810 chloe:敏博送成此款
原訂購D4SAGHLOFFC
改為D4SAGHLPGFC(廠商送錯2400轉)</t>
      </text>
    </comment>
    <comment authorId="0" ref="R480">
      <text>
        <t xml:space="preserve">======
ID#AAABjx7qNF4
    (2025-05-21 11:33:23)
Santiago 1130 : 原來Chloe 註記銀行如下, 但Santiago 匯到舊的聯邦
合庫大安分行
0760717324727</t>
      </text>
    </comment>
    <comment authorId="0" ref="H800">
      <text>
        <t xml:space="preserve">======
ID#AAABjx7qNFw
    (2025-05-21 11:33:23)
1129 chloe:匯款匯入US$21360</t>
      </text>
    </comment>
    <comment authorId="0" ref="H300">
      <text>
        <t xml:space="preserve">======
ID#AAABjx7qNFU
    (2025-05-21 11:33:23)
0720 chloe: 匯款匯入US$20772</t>
      </text>
    </comment>
    <comment authorId="0" ref="E517">
      <text>
        <t xml:space="preserve">======
ID#AAABjx7qNFE
    (2025-05-21 11:33:23)
8/30 S/N: LKB0429086, LKB0429107, LKB0439431, LKB0439474, LKB0439481</t>
      </text>
    </comment>
    <comment authorId="0" ref="H776">
      <text>
        <t xml:space="preserve">======
ID#AAABjx7qNEo
    (2025-05-21 11:33:23)
0213 Mary:匯款匯入US$11,250</t>
      </text>
    </comment>
    <comment authorId="0" ref="O91">
      <text>
        <t xml:space="preserve">======
ID#AAABjx7qND4
    (2025-05-21 11:33:23)
180301 Tammy: 請Leon任抽2台實測</t>
      </text>
    </comment>
    <comment authorId="0" ref="H10">
      <text>
        <t xml:space="preserve">======
ID#AAABjx7qNDQ
    (2025-05-21 11:33:23)
0306 chloe: 2/1 已收到匯款US$9120</t>
      </text>
    </comment>
    <comment authorId="0" ref="K39">
      <text>
        <t xml:space="preserve">======
ID#AAABjx7qNCE
Santiago 20180116    (2025-05-21 11:33:23)
出貨前通知Santiago 拍照</t>
      </text>
    </comment>
    <comment authorId="0" ref="H170">
      <text>
        <t xml:space="preserve">======
ID#AAABjx7qNB4
    (2025-05-21 11:33:23)
0419 chloe:匯款匯入US$8750</t>
      </text>
    </comment>
    <comment authorId="0" ref="V719">
      <text>
        <t xml:space="preserve">======
ID#AAABjx7qNAo
    (2025-05-21 11:33:23)
新漢已補開，12/10新漢寄出
影本已先給會計</t>
      </text>
    </comment>
    <comment authorId="0" ref="H296">
      <text>
        <t xml:space="preserve">======
ID#AAABjx7qNAI
    (2025-05-21 11:33:23)
0622 chloe:匯款匯入US$14958</t>
      </text>
    </comment>
    <comment authorId="0" ref="J37">
      <text>
        <t xml:space="preserve">======
ID#AAABjx7qM_4
20180212 Santiago    (2025-05-21 11:33:23)
Christine 已請美灣拉貨. 
因為SA的FedEx 不能使用
未來下午四點前若不提供戎克訂單的運輸方式. 一律延到隔日出</t>
      </text>
    </comment>
    <comment authorId="0" ref="H797">
      <text>
        <t xml:space="preserve">======
ID#AAABjx7qM_s
    (2025-05-21 11:33:23)
1129 chloe:匯款匯入US$21360</t>
      </text>
    </comment>
    <comment authorId="0" ref="H169">
      <text>
        <t xml:space="preserve">======
ID#AAABjx7qM_U
    (2025-05-21 11:33:23)
0411 Santiago: 預計4/12 付款
0430 chloe: 匯款匯入US$27340</t>
      </text>
    </comment>
    <comment authorId="0" ref="H30">
      <text>
        <t xml:space="preserve">======
ID#AAABjx7qM-k
    (2025-05-21 11:33:23)
0312 chloe:匯入US$8026</t>
      </text>
    </comment>
    <comment authorId="0" ref="J494">
      <text>
        <t xml:space="preserve">======
ID#AAABjx7qM-A
    (2025-05-21 11:33:23)
180806 Tammy: 出貨前, 再次確認
180830 Tammy: 確認UX Logistics</t>
      </text>
    </comment>
    <comment authorId="0" ref="H823">
      <text>
        <t xml:space="preserve">======
ID#AAABjx7qM90
    (2025-05-21 11:33:23)
1218 chloe:匯款匯入US$17109</t>
      </text>
    </comment>
    <comment authorId="0" ref="Q248">
      <text>
        <t xml:space="preserve">======
ID#AAABjx7qM9k
    (2025-05-21 11:33:23)
christine 0426 : @29.525</t>
      </text>
    </comment>
    <comment authorId="0" ref="K284">
      <text>
        <t xml:space="preserve">======
ID#AAABjx7qM88
    (2025-05-21 11:33:23)
0601 chloe: Vecow寄至戎克，已於6/1由戎克經由大榮貨運寄出</t>
      </text>
    </comment>
    <comment authorId="0" ref="H567">
      <text>
        <t xml:space="preserve">======
ID#AAABjx7qM8Q
    (2025-05-21 11:33:23)
1031 chloe:匯款匯入US$687</t>
      </text>
    </comment>
    <comment authorId="0" ref="J818">
      <text>
        <t xml:space="preserve">======
ID#AAABjx7qM8E
    (2025-05-21 11:33:23)
JUDY KAO
Supervisor Of Sales Div.
FETA FREIGHT SYSTEMS (TAIWAN ) LTD. 
Tel: +886-3-399-2033 EXT: 135
Direct: +886-3-3992106
Fax: +886-3-3992036/2055
E-mail: judykao@ffsi.com.tw
Skype:judykao-mlattao</t>
      </text>
    </comment>
    <comment authorId="0" ref="L111">
      <text>
        <t xml:space="preserve">======
ID#AAABjx7qM7g
    (2025-05-21 11:33:23)
預計2/13到貨</t>
      </text>
    </comment>
    <comment authorId="0" ref="H609">
      <text>
        <t xml:space="preserve">======
ID#AAABjx7qM5Y
    (2025-05-21 11:33:23)
1031 chloe:匯款匯入US$687</t>
      </text>
    </comment>
    <comment authorId="0" ref="D100">
      <text>
        <t xml:space="preserve">======
ID#AAABjx7qM48
    (2025-05-21 11:33:23)
已於4/30 退回MOXA</t>
      </text>
    </comment>
    <comment authorId="0" ref="H635">
      <text>
        <t xml:space="preserve">======
ID#AAABjx7qM4s
    (2025-05-21 11:33:23)
1220 chloe: 匯款匯入US$32647.5</t>
      </text>
    </comment>
    <comment authorId="0" ref="L5">
      <text>
        <t xml:space="preserve">======
ID#AAABjx7qM2A
    (2025-05-21 11:33:23)
預計12/22到貨</t>
      </text>
    </comment>
    <comment authorId="0" ref="J819">
      <text>
        <t xml:space="preserve">======
ID#AAABjx7qM1E
    (2025-05-21 11:33:23)
JUDY KAO
Supervisor Of Sales Div.
FETA FREIGHT SYSTEMS (TAIWAN ) LTD. 
Tel: +886-3-399-2033 EXT: 135
Direct: +886-3-3992106
Fax: +886-3-3992036/2055
E-mail: judykao@ffsi.com.tw
Skype:judykao-mlattao</t>
      </text>
    </comment>
    <comment authorId="0" ref="F288">
      <text>
        <t xml:space="preserve">======
ID#AAABjx7qM0k
    (2025-05-21 11:33:23)
入倉104PCS</t>
      </text>
    </comment>
    <comment authorId="0" ref="F393">
      <text>
        <t xml:space="preserve">======
ID#AAABjx7qM0s
    (2025-05-21 11:33:23)
0701 chloe:入倉420</t>
      </text>
    </comment>
    <comment authorId="0" ref="H248">
      <text>
        <t xml:space="preserve">======
ID#AAABjx7qM0U
    (2025-05-21 11:33:23)
0622 chloe:匯款匯入US$14958</t>
      </text>
    </comment>
    <comment authorId="0" ref="E747">
      <text>
        <t xml:space="preserve">======
ID#AAABjx7qM0Q
    (2025-05-21 11:33:23)
Vecow offer $303
Jetone offer $380</t>
      </text>
    </comment>
    <comment authorId="0" ref="L568">
      <text>
        <t xml:space="preserve">======
ID#AAABjx7qMz4
    (2025-05-21 11:33:23)
0907 chloe:交期Pull in 中</t>
      </text>
    </comment>
    <comment authorId="0" ref="H510">
      <text>
        <t xml:space="preserve">======
ID#AAABjx7qMz0
    (2025-05-21 11:33:23)
1030 chloe: 匯款匯入US$16,948.00</t>
      </text>
    </comment>
    <comment authorId="0" ref="H786">
      <text>
        <t xml:space="preserve">======
ID#AAABjx7qMzY
    (2025-05-21 11:33:23)
0213 Mary:匯款匯入US$11,250</t>
      </text>
    </comment>
    <comment authorId="0" ref="H428">
      <text>
        <t xml:space="preserve">======
ID#AAABjx7qMzU
    (2025-05-21 11:33:23)
0907 chloe:匯款匯入US$8273</t>
      </text>
    </comment>
    <comment authorId="0" ref="H111">
      <text>
        <t xml:space="preserve">======
ID#AAABjx7qMy8
    (2025-05-21 11:33:23)
0323 chloe: 匯款匯入US$3757</t>
      </text>
    </comment>
    <comment authorId="0" ref="K64">
      <text>
        <t xml:space="preserve">======
ID#AAABjx7qMw8
0111 Santiago     (2025-05-21 11:33:23)
出貨前請Benson拍照</t>
      </text>
    </comment>
    <comment authorId="0" ref="H549">
      <text>
        <t xml:space="preserve">======
ID#AAABjx7qMxA
    (2025-05-21 11:33:23)
0917 chloe:匯款匯入US$1068</t>
      </text>
    </comment>
    <comment authorId="0" ref="L18">
      <text>
        <t xml:space="preserve">======
ID#AAABjx7qMwk
    (2025-05-21 11:33:23)
預計1/8到貨</t>
      </text>
    </comment>
    <comment authorId="0" ref="E733">
      <text>
        <t xml:space="preserve">======
ID#AAABjx7qMwA
    (2025-05-21 11:33:23)
1030 Chloe : MT10170002</t>
      </text>
    </comment>
    <comment authorId="0" ref="H637">
      <text>
        <t xml:space="preserve">======
ID#AAABjx7qMv8
    (2025-05-21 11:33:23)
1220 chloe: 匯款匯入US$32647.5</t>
      </text>
    </comment>
    <comment authorId="0" ref="H340">
      <text>
        <t xml:space="preserve">======
ID#AAABjx7qMvQ
    (2025-05-21 11:33:23)
0810 chloe:匯款匯入USD 521</t>
      </text>
    </comment>
    <comment authorId="0" ref="L57">
      <text>
        <t xml:space="preserve">======
ID#AAABjx7qMuM
    (2025-05-21 11:33:23)
預計1/29到貨</t>
      </text>
    </comment>
    <comment authorId="0" ref="H113">
      <text>
        <t xml:space="preserve">======
ID#AAABjx7qMto
    (2025-05-21 11:33:23)
0212 chloe:匯款匯入US$1047</t>
      </text>
    </comment>
    <comment authorId="0" ref="H116">
      <text>
        <t xml:space="preserve">======
ID#AAABjx7qMtA
0307 chloe    (2025-05-21 11:33:23)
若SA 付款 PI-20180205A+PI-20180205B，則PI-20180225A中的Nport 5450I-T &amp; TCC-82 亦可先行出貨
0314 chloe: 匯入款項US$20712</t>
      </text>
    </comment>
    <comment authorId="0" ref="J330">
      <text>
        <t xml:space="preserve">======
ID#AAABjx7qMss
Santiago 0529     (2025-05-21 11:33:23)
外箱的shipping mark 要註記
EORI-Number DE7019688</t>
      </text>
    </comment>
    <comment authorId="0" ref="H775">
      <text>
        <t xml:space="preserve">======
ID#AAABjx7qMsg
    (2025-05-21 11:33:23)
0213 Mary:匯款匯入US$11,250</t>
      </text>
    </comment>
    <comment authorId="0" ref="H190">
      <text>
        <t xml:space="preserve">======
ID#AAABjx7qMrw
    (2025-05-21 11:33:23)
0420 chloe: 匯款匯入US$9526</t>
      </text>
    </comment>
    <comment authorId="0" ref="H212">
      <text>
        <t xml:space="preserve">======
ID#AAABjx7qMrU
    (2025-05-21 11:33:23)
0622 chloe:匯款匯入US$14958</t>
      </text>
    </comment>
    <comment authorId="0" ref="H563">
      <text>
        <t xml:space="preserve">======
ID#AAABjx7qMq4
    (2025-05-21 11:33:23)
1031 chloe:匯款匯入US$687</t>
      </text>
    </comment>
    <comment authorId="0" ref="H180">
      <text>
        <t xml:space="preserve">======
ID#AAABjx7qMqY
    (2025-05-21 11:33:23)
0523 chloe:匯款匯入US$16190</t>
      </text>
    </comment>
    <comment authorId="0" ref="L825">
      <text>
        <t xml:space="preserve">======
ID#AAABjx7qMqE
    (2025-05-21 11:33:23)
1128 Cindy 告訴凌華, 2項一起到貨, 不分批出貨。</t>
      </text>
    </comment>
    <comment authorId="0" ref="H55">
      <text>
        <t xml:space="preserve">======
ID#AAABj82dpQY
    (2025-05-21 11:33:23)
0316 chloe:收到客戶水單，待銀行通知
0323 chloe:匯款匯入US$2,604.50</t>
      </text>
    </comment>
    <comment authorId="0" ref="H129">
      <text>
        <t xml:space="preserve">======
ID#AAABj82dpO8
    (2025-05-21 11:33:23)
0328 chloe:匯款匯入 US$7350</t>
      </text>
    </comment>
    <comment authorId="0" ref="H780">
      <text>
        <t xml:space="preserve">======
ID#AAABj82dpOw
    (2025-05-21 11:33:23)
1203 chloe:匯款匯入US$ 3654
●Previous Payment -106</t>
      </text>
    </comment>
    <comment authorId="0" ref="H591">
      <text>
        <t xml:space="preserve">======
ID#AAABj82dpN4
    (2025-05-21 11:33:23)
1011 Chloe:匯款匯入USD 4,788</t>
      </text>
    </comment>
    <comment authorId="0" ref="K620">
      <text>
        <t xml:space="preserve">======
ID#AAABj82dpNo
    (2025-05-21 11:33:23)
181008 Tammy: 收到貨款後,才出貨
181009 Tammy: KH給水單</t>
      </text>
    </comment>
    <comment authorId="0" ref="H311">
      <text>
        <t xml:space="preserve">======
ID#AAABj82dpNQ
    (2025-05-21 11:33:23)
0907 chloe:匯款匯入US$32760</t>
      </text>
    </comment>
    <comment authorId="0" ref="H464">
      <text>
        <t xml:space="preserve">======
ID#AAABj82dpNU
    (2025-05-21 11:33:23)
0907 chloe:匯款匯入US$8273</t>
      </text>
    </comment>
    <comment authorId="0" ref="H83">
      <text>
        <t xml:space="preserve">======
ID#AAABj82dpNM
    (2025-05-21 11:33:23)
0315 chloe: 收到系統通知，銀行端尚未放款
0316 chloe: 匯款匯入US$8750</t>
      </text>
    </comment>
    <comment authorId="0" ref="K739">
      <text>
        <t xml:space="preserve">======
ID#AAABj82dpMM
    (2025-05-21 11:33:23)
1112 chloe 待K&amp;H 付款</t>
      </text>
    </comment>
    <comment authorId="0" ref="E257">
      <text>
        <t xml:space="preserve">======
ID#AAABj82dpME
0503 chloe    (2025-05-21 11:33:23)
待Miller 圖面畫完後告知快異點打線</t>
      </text>
    </comment>
    <comment authorId="0" ref="L670">
      <text>
        <t xml:space="preserve">======
ID#AAABj82dpL8
20181013 San    (2025-05-21 11:33:23)
出貨發票以PI 台幣金額為主
PI 有放到Google drive資料夾裡</t>
      </text>
    </comment>
    <comment authorId="0" ref="H226">
      <text>
        <t xml:space="preserve">======
ID#AAABj82dpLY
    (2025-05-21 11:33:23)
0430 chloe: 匯款匯入US$27340</t>
      </text>
    </comment>
    <comment authorId="0" ref="H807">
      <text>
        <t xml:space="preserve">======
ID#AAABj82dpLU
    (2025-05-21 11:33:23)
1227 chloe:匯款匯入US$53334</t>
      </text>
    </comment>
    <comment authorId="0" ref="H90">
      <text>
        <t xml:space="preserve">======
ID#AAABj82dpK4
    (2025-05-21 11:33:23)
0323 chloe: 匯款匯入US$3757</t>
      </text>
    </comment>
    <comment authorId="0" ref="N365">
      <text>
        <t xml:space="preserve">======
ID#AAABj82dpKY
    (2025-05-21 11:33:23)
採購為TAMMY</t>
      </text>
    </comment>
    <comment authorId="0" ref="K182">
      <text>
        <t xml:space="preserve">======
ID#AAABj82dpKA
    (2025-05-21 11:33:23)
Benson 0328: Santiago 同意出貨，客戶承諾下周付款</t>
      </text>
    </comment>
    <comment authorId="0" ref="H173">
      <text>
        <t xml:space="preserve">======
ID#AAABj82dpJo
    (2025-05-21 11:33:23)
0419 chloe:匯款匯入US$8750</t>
      </text>
    </comment>
    <comment authorId="0" ref="H726">
      <text>
        <t xml:space="preserve">======
ID#AAABj82dpJU
    (2025-05-21 11:33:23)
1220 chloe: 匯款匯入US$32647.5</t>
      </text>
    </comment>
    <comment authorId="0" ref="H445">
      <text>
        <t xml:space="preserve">======
ID#AAABj82dpJQ
    (2025-05-21 11:33:23)
1003 chloe:收到支票NT58,660
(待1030 兌)→1102 已收到</t>
      </text>
    </comment>
    <comment authorId="0" ref="H672">
      <text>
        <t xml:space="preserve">======
ID#AAABj82dpJA
    (2025-05-21 11:33:23)
1112 chloe:匯款匯入US$8,753</t>
      </text>
    </comment>
    <comment authorId="0" ref="H524">
      <text>
        <t xml:space="preserve">======
ID#AAABj82dpIg
    (2025-05-21 11:33:23)
1030 chloe: 匯款匯入US$16,948.00</t>
      </text>
    </comment>
    <comment authorId="0" ref="S599">
      <text>
        <t xml:space="preserve">======
ID#AAABj82dpIY
    (2025-05-21 11:33:23)
T/T</t>
      </text>
    </comment>
    <comment authorId="0" ref="L720">
      <text>
        <t xml:space="preserve">======
ID#AAABj82dpHw
    (2025-05-21 11:33:23)
1022 chloe :已轉交給Cindy</t>
      </text>
    </comment>
    <comment authorId="0" ref="K678">
      <text>
        <t xml:space="preserve">======
ID#AAABj82dpHY
    (2025-05-21 11:33:23)
Cindy: Freight Invoice開立日期:12/11</t>
      </text>
    </comment>
    <comment authorId="0" ref="K246">
      <text>
        <t xml:space="preserve">======
ID#AAABj82dpHE
20180504 Santiago    (2025-05-21 11:33:23)
出貨前通知Santiago 照相</t>
      </text>
    </comment>
    <comment authorId="0" ref="H617">
      <text>
        <t xml:space="preserve">======
ID#AAABj82dpGs
    (2025-05-21 11:33:23)
1030 chloe: 匯款匯入US$16,948.00</t>
      </text>
    </comment>
    <comment authorId="0" ref="H765">
      <text>
        <t xml:space="preserve">======
ID#AAABj82dpGI
    (2025-05-21 11:33:23)
0123 Mary:匯款匯入US$8,490
(PI-20181031A)</t>
      </text>
    </comment>
    <comment authorId="0" ref="H710">
      <text>
        <t xml:space="preserve">======
ID#AAABj82dpGA
    (2025-05-21 11:33:23)
1112 chloe:匯款匯入USD 8,359</t>
      </text>
    </comment>
    <comment authorId="0" ref="H498">
      <text>
        <t xml:space="preserve">======
ID#AAABj82dpF8
    (2025-05-21 11:33:23)
1001 chloe:匯款匯入US$5952.5</t>
      </text>
    </comment>
    <comment authorId="0" ref="H1">
      <text>
        <t xml:space="preserve">======
ID#AAABj82dpF4
20181001 San    (2025-05-21 11:33:23)
美金</t>
      </text>
    </comment>
    <comment authorId="0" ref="H730">
      <text>
        <t xml:space="preserve">======
ID#AAABj82dpFs
    (2025-05-21 11:33:23)
1217 chloe:匯款匯入US$3,207.00</t>
      </text>
    </comment>
    <comment authorId="0" ref="H152">
      <text>
        <t xml:space="preserve">======
ID#AAABj82dpFA
    (2025-05-21 11:33:23)
0413 chloe: 匯入款項US$9464</t>
      </text>
    </comment>
    <comment authorId="0" ref="H230">
      <text>
        <t xml:space="preserve">======
ID#AAABj82dpEk
    (2025-05-21 11:33:23)
0423 chloe:匯入款項 US$2,739</t>
      </text>
    </comment>
    <comment authorId="0" ref="H192">
      <text>
        <t xml:space="preserve">======
ID#AAABj82dpEc
    (2025-05-21 11:33:23)
0420 chloe: 匯款匯入US$9526</t>
      </text>
    </comment>
  </commentList>
  <extLst>
    <ext uri="GoogleSheetsCustomDataVersion2">
      <go:sheetsCustomData xmlns:go="http://customooxmlschemas.google.com/" r:id="rId1" roundtripDataSignature="AMtx7mgvUViv1JZUPxV1JV+v3/t6LUtQ+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6">
      <text>
        <t xml:space="preserve">======
ID#AAABjx7qWcE
    (2025-05-21 11:33:27)
0406 chloe:收到銀行通知USD16968</t>
      </text>
    </comment>
    <comment authorId="0" ref="L371">
      <text>
        <t xml:space="preserve">======
ID#AAABjx7qWbw
    (2025-05-21 11:33:27)
確認7/3 中午前到貨</t>
      </text>
    </comment>
    <comment authorId="0" ref="H253">
      <text>
        <t xml:space="preserve">======
ID#AAABjx7qWak
    (2025-05-21 11:33:27)
0612 chloe:今日已收到銀行通知USD7074(多USD10)</t>
      </text>
    </comment>
    <comment authorId="0" ref="H535">
      <text>
        <t xml:space="preserve">======
ID#AAABjx7qWZ8
    (2025-05-21 11:33:27)
0901 chloe:收到銀行通知USD17424</t>
      </text>
    </comment>
    <comment authorId="0" ref="K376">
      <text>
        <t xml:space="preserve">======
ID#AAABjx7qWZ0
If shipping After 23rd June, please ship to    (2025-05-21 11:33:27)
11 Averill Street,
Rhodes, NSW, 2138
Australia</t>
      </text>
    </comment>
    <comment authorId="0" ref="K622">
      <text>
        <t xml:space="preserve">======
ID#AAABjx7qWYU
    (2025-05-21 11:33:27)
christine 0925: 待付款</t>
      </text>
    </comment>
    <comment authorId="0" ref="H568">
      <text>
        <t xml:space="preserve">======
ID#AAABjx7qWW4
    (2025-05-21 11:33:27)
1106 chloe:已收到NT$1,048,766</t>
      </text>
    </comment>
    <comment authorId="0" ref="H533">
      <text>
        <t xml:space="preserve">======
ID#AAABjx7qWWQ
    (2025-05-21 11:33:27)
0922 chloe:收到銀行通知US$5030</t>
      </text>
    </comment>
    <comment authorId="0" ref="L405">
      <text>
        <t xml:space="preserve">======
ID#AAABjx7qWWU
    (2025-05-21 11:33:27)
TS64GSSD420KI (鋁)</t>
      </text>
    </comment>
    <comment authorId="0" ref="K393">
      <text>
        <t xml:space="preserve">======
ID#AAABjx7qWV4
    (2025-05-21 11:33:27)
0731 chloe:待客戶付款</t>
      </text>
    </comment>
    <comment authorId="0" ref="E559">
      <text>
        <t xml:space="preserve">======
ID#AAABjx7qWVs
    (2025-05-21 11:33:27)
1012 chloe: Apacer 無提供Cable,已提供圖面給Bebe</t>
      </text>
    </comment>
    <comment authorId="0" ref="H510">
      <text>
        <t xml:space="preserve">======
ID#AAABjx7qWVo
    (2025-05-21 11:33:27)
0928 chloe:收到銀行通知US$46,724</t>
      </text>
    </comment>
    <comment authorId="0" ref="H24">
      <text>
        <t xml:space="preserve">======
ID#AAABjx7qWVU
    (2025-05-21 11:33:27)
0118 chloe:收到銀行匯款USD15699</t>
      </text>
    </comment>
    <comment authorId="0" ref="H843">
      <text>
        <t xml:space="preserve">======
ID#AAABjx7qWVA
    (2025-05-21 11:33:27)
0131 chloe:已匯入US$48618</t>
      </text>
    </comment>
    <comment authorId="0" ref="H246">
      <text>
        <t xml:space="preserve">======
ID#AAABjx7qWU8
    (2025-05-21 11:33:27)
0706 chloe: 收到銀行通知USD8418.5(扣上次多匯USD18)</t>
      </text>
    </comment>
    <comment authorId="0" ref="K586">
      <text>
        <t xml:space="preserve">======
ID#AAABjx7qWUs
    (2025-05-21 11:33:27)
併RMA-20170614A&amp; RMA-20170704A   2台出貨</t>
      </text>
    </comment>
    <comment authorId="0" ref="K837">
      <text>
        <t xml:space="preserve">======
ID#AAABjx7qWTw
    (2025-05-21 11:33:27)
併貨RMA20171031A-3</t>
      </text>
    </comment>
    <comment authorId="0" ref="L685">
      <text>
        <t xml:space="preserve">======
ID#AAABjx7qWTY
    (2025-05-21 11:33:27)
預計10/25到貨</t>
      </text>
    </comment>
    <comment authorId="0" ref="H474">
      <text>
        <t xml:space="preserve">======
ID#AAABjx7qWSQ
    (2025-05-21 11:33:27)
20170808 chloe:收到銀行通知USD 19175</t>
      </text>
    </comment>
    <comment authorId="0" ref="K397">
      <text>
        <t xml:space="preserve">======
ID#AAABjx7qWR8
    (2025-05-21 11:33:27)
Santiago 拍照後寄出
另2pcs NG的裝在C/NO.5，
出貨前，請確認無廠商標誌標籤</t>
      </text>
    </comment>
    <comment authorId="0" ref="L691">
      <text>
        <t xml:space="preserve">======
ID#AAABjx7qWRs
    (2025-05-21 11:33:27)
預計10/16到貨</t>
      </text>
    </comment>
    <comment authorId="0" ref="H482">
      <text>
        <t xml:space="preserve">======
ID#AAABjx7qWRk
    (2025-05-21 11:33:27)
0717 chloe: 收到銀行通知USD202.5</t>
      </text>
    </comment>
    <comment authorId="0" ref="L814">
      <text>
        <t xml:space="preserve">======
ID#AAABjx7qWRc
    (2025-05-21 11:33:27)
預計12/15到貨</t>
      </text>
    </comment>
    <comment authorId="0" ref="L745">
      <text>
        <t xml:space="preserve">======
ID#AAABjx7qWRQ
    (2025-05-21 11:33:27)
預計11/8到貨</t>
      </text>
    </comment>
    <comment authorId="0" ref="X761">
      <text>
        <t xml:space="preserve">======
ID#AAABjx7qWQw
    (2025-05-21 11:33:27)
簡易出口</t>
      </text>
    </comment>
    <comment authorId="0" ref="K425">
      <text>
        <t xml:space="preserve">======
ID#AAABjx7qWQk
    (2025-05-21 11:33:27)
Christine0925: 待客戶付款</t>
      </text>
    </comment>
    <comment authorId="0" ref="G753">
      <text>
        <t xml:space="preserve">======
ID#AAABjx7qWQY
    (2025-05-21 11:33:27)
w/5%VAT</t>
      </text>
    </comment>
    <comment authorId="0" ref="H123">
      <text>
        <t xml:space="preserve">======
ID#AAABjx7qWP0
    (2025-05-21 11:33:27)
0502 chloe:收到銀行通知USD10325</t>
      </text>
    </comment>
    <comment authorId="0" ref="H753">
      <text>
        <t xml:space="preserve">======
ID#AAABjx7qWM8
    (2025-05-21 11:33:27)
0128 chloe: 收到銀行通知NT$9017</t>
      </text>
    </comment>
    <comment authorId="0" ref="H21">
      <text>
        <t xml:space="preserve">======
ID#AAABjx7qWMQ
    (2025-05-21 11:33:27)
0310chloe:收到NT1,147,515</t>
      </text>
    </comment>
    <comment authorId="0" ref="H295">
      <text>
        <t xml:space="preserve">======
ID#AAABjx7qWLw
    (2025-05-21 11:33:27)
0718 chloe:收到銀行通知USD841</t>
      </text>
    </comment>
    <comment authorId="0" ref="H769">
      <text>
        <t xml:space="preserve">======
ID#AAABjx7qWLY
    (2025-05-21 11:33:27)
0227 chloe: 收到 匯款NT2,990,255</t>
      </text>
    </comment>
    <comment authorId="0" ref="H638">
      <text>
        <t xml:space="preserve">======
ID#AAABjx7qWKU
    (2025-05-21 11:33:27)
1002 chloe:收到銀行通知US$634</t>
      </text>
    </comment>
    <comment authorId="0" ref="H215">
      <text>
        <t xml:space="preserve">======
ID#AAABjx7qWKY
    (2025-05-21 11:33:27)
0412 chloe:收到銀行通知USD1775</t>
      </text>
    </comment>
    <comment authorId="0" ref="H543">
      <text>
        <t xml:space="preserve">======
ID#AAABjx7qWKQ
    (2025-05-21 11:33:27)
0911 chloe:收到銀行通知 USD8305</t>
      </text>
    </comment>
    <comment authorId="0" ref="H324">
      <text>
        <t xml:space="preserve">======
ID#AAABjx7qWKI
    (2025-05-21 11:33:27)
0601 chloe:收到銀行通知匯入USD13116.5 為此單金額的一半
0706 chloe:收到銀行通知匯入尾款 USD13132.5</t>
      </text>
    </comment>
    <comment authorId="0" ref="K165">
      <text>
        <t xml:space="preserve">======
ID#AAABjx7qWJM
    (2025-05-21 11:33:27)
20170308 Tammy: 和20161227B AIMB-280QG2-00A1E 2PCS一起出貨，故安排週五出</t>
      </text>
    </comment>
    <comment authorId="0" ref="L634">
      <text>
        <t xml:space="preserve">======
ID#AAABjx7qWIw
    (2025-05-21 11:33:27)
2週
預計10/4到貨</t>
      </text>
    </comment>
    <comment authorId="0" ref="H371">
      <text>
        <t xml:space="preserve">======
ID#AAABjx7qWIY
    (2025-05-21 11:33:27)
0804 chloe:收到銀行通知USD3965</t>
      </text>
    </comment>
    <comment authorId="0" ref="H751">
      <text>
        <t xml:space="preserve">======
ID#AAABjx7qWIQ
    (2025-05-21 11:33:27)
0131 chloe:已匯入US$48618</t>
      </text>
    </comment>
    <comment authorId="0" ref="J619">
      <text>
        <t xml:space="preserve">======
ID#AAABjx7qWII
    (2025-05-21 11:33:27)
to Melbourne address</t>
      </text>
    </comment>
    <comment authorId="0" ref="L608">
      <text>
        <t xml:space="preserve">======
ID#AAABjx7qWHg
    (2025-05-21 11:33:27)
9/25</t>
      </text>
    </comment>
    <comment authorId="0" ref="H257">
      <text>
        <t xml:space="preserve">======
ID#AAABjx7qWG4
    (2025-05-21 11:33:27)
0524 chloe: 先付款 USD20000(NT604370)
0602 chloe:尾款  USD33193(NT1003062)</t>
      </text>
    </comment>
    <comment authorId="0" ref="H423">
      <text>
        <t xml:space="preserve">======
ID#AAABjx7qWGw
    (2025-05-21 11:33:27)
0804 chloe:收到銀行通知USD3965</t>
      </text>
    </comment>
    <comment authorId="0" ref="H801">
      <text>
        <t xml:space="preserve">======
ID#AAABjx7qWFs
20180212 Santiago    (2025-05-21 11:33:27)
20171208 已匯款NT44016</t>
      </text>
    </comment>
    <comment authorId="0" ref="K81">
      <text>
        <t xml:space="preserve">======
ID#AAABjx7qWFk
    (2025-05-21 11:33:27)
0117 Chloe:待給材積</t>
      </text>
    </comment>
    <comment authorId="0" ref="H333">
      <text>
        <t xml:space="preserve">======
ID#AAABjx7qWFg
    (2025-05-21 11:33:27)
0721 chloe:收到銀行通知USD5180</t>
      </text>
    </comment>
    <comment authorId="0" ref="E375">
      <text>
        <t xml:space="preserve">======
ID#AAABjx7qWEg
    (2025-05-21 11:33:27)
3/16 Michelle:Demand3008 8" 這次樣品可以勉強接受2 Pin. 
但未來出貨一定要用3 pin 鳯凰接頭</t>
      </text>
    </comment>
    <comment authorId="0" ref="L808">
      <text>
        <t xml:space="preserve">======
ID#AAABjx7qWEU
    (2025-05-21 11:33:27)
預計11/29到貨</t>
      </text>
    </comment>
    <comment authorId="0" ref="H342">
      <text>
        <t xml:space="preserve">======
ID#AAABjx7qWD0
    (2025-05-21 11:33:27)
0601 chloe:收到銀行通知USD3138</t>
      </text>
    </comment>
    <comment authorId="0" ref="K355">
      <text>
        <t xml:space="preserve">======
ID#AAABjx7qWDo
    (2025-05-21 11:33:27)
0608 已將文件先行MAIL</t>
      </text>
    </comment>
    <comment authorId="0" ref="H152">
      <text>
        <t xml:space="preserve">======
ID#AAABjx7qWDg
    (2025-05-21 11:33:27)
0421 收到支票 NT154438元，待4/30 兌現
0508 入帳</t>
      </text>
    </comment>
    <comment authorId="0" ref="H290">
      <text>
        <t xml:space="preserve">======
ID#AAABjx7qWCs
    (2025-05-21 11:33:27)
0710 chloe:收到銀行通知USD909</t>
      </text>
    </comment>
    <comment authorId="0" ref="L166">
      <text>
        <t xml:space="preserve">======
ID#AAABjx7qWCk
    (2025-05-21 11:33:27)
0313 chloe:3/13取消訂單</t>
      </text>
    </comment>
    <comment authorId="0" ref="E639">
      <text>
        <t xml:space="preserve">======
ID#AAABjx7qWCQ
    (2025-05-21 11:33:27)
請新漢提供 Windows Embedded Standard 7 - WES 7 (7WT-00049)的下載Link及金鑰
1102 chloe: 已取得 新漢NISE 104  OS Image</t>
      </text>
    </comment>
    <comment authorId="0" ref="D2">
      <text>
        <t xml:space="preserve">======
ID#AAABjx7qWB4
    (2025-05-21 11:33:27)
0426 chloe:獎金暫不結算</t>
      </text>
    </comment>
    <comment authorId="0" ref="H612">
      <text>
        <t xml:space="preserve">======
ID#AAABjx7qWBY
    (2025-05-21 11:33:27)
1011 chloe:收到銀行通知US$13950</t>
      </text>
    </comment>
    <comment authorId="0" ref="L207">
      <text>
        <t xml:space="preserve">======
ID#AAABjx7qWBQ
    (2025-05-21 11:33:27)
0328 chloe:預計交期6-8週
0406 chloe:預計交期
0412 chloe:Iori PULL IN 工廠交期提前，會再告知</t>
      </text>
    </comment>
    <comment authorId="0" ref="H750">
      <text>
        <t xml:space="preserve">======
ID#AAABjx7qWBE
    (2025-05-21 11:33:27)
0131 chloe:已匯入US$48618</t>
      </text>
    </comment>
    <comment authorId="0" ref="H68">
      <text>
        <t xml:space="preserve">======
ID#AAABjx7qWBA
    (2025-05-21 11:33:27)
0210 chloe:收到銀行通知USD4691</t>
      </text>
    </comment>
    <comment authorId="0" ref="K465">
      <text>
        <t xml:space="preserve">======
ID#AAABjx7qWAk
    (2025-05-21 11:33:27)
POC 212  *25  PCS  67x34x38cm  26KG   兩箱
與業務確認後再出貨
使用宸耀材積出貨</t>
      </text>
    </comment>
    <comment authorId="0" ref="J325">
      <text>
        <t xml:space="preserve">======
ID#AAABjx7qWAI
    (2025-05-21 11:33:27)
Tania Chen 
Air Freight Department
RATTAN EXPRESS – Taipei, Taiwan
Skype:tania590205
Tel: 886(2)2718-3335 EXT.54 | Fax: 886(2)2718-3353</t>
      </text>
    </comment>
    <comment authorId="0" ref="H28">
      <text>
        <t xml:space="preserve">======
ID#AAABjx7qV_I
    (2025-05-21 11:33:27)
20170104 chloe:收到銀行通知3830</t>
      </text>
    </comment>
    <comment authorId="0" ref="H627">
      <text>
        <t xml:space="preserve">======
ID#AAABjx7qV_A
    (2025-05-21 11:33:27)
1107 chloe:收到銀行通知US$853</t>
      </text>
    </comment>
    <comment authorId="0" ref="E468">
      <text>
        <t xml:space="preserve">======
ID#AAABjx7qV-8
    (2025-05-21 11:33:27)
Chloe: 2.5” SSD A3A 128GB, -40°C~+85°C</t>
      </text>
    </comment>
    <comment authorId="0" ref="L317">
      <text>
        <t xml:space="preserve">======
ID#AAABjx7qV-0
    (2025-05-21 11:33:27)
0525 已發信詢問交期</t>
      </text>
    </comment>
    <comment authorId="0" ref="L829">
      <text>
        <t xml:space="preserve">======
ID#AAABjx7qV-s
    (2025-05-21 11:33:27)
預計12/13到貨</t>
      </text>
    </comment>
    <comment authorId="0" ref="L611">
      <text>
        <t xml:space="preserve">======
ID#AAABjx7qV-k
    (2025-05-21 11:33:27)
9/25</t>
      </text>
    </comment>
    <comment authorId="0" ref="V788">
      <text>
        <t xml:space="preserve">======
ID#AAABjx7qV9w
    (2025-05-21 11:33:27)
在Chloe手上</t>
      </text>
    </comment>
    <comment authorId="0" ref="H619">
      <text>
        <t xml:space="preserve">======
ID#AAABjx7qV9k
    (2025-05-21 11:33:27)
1025chloe:收到銀行通知US$35416.8</t>
      </text>
    </comment>
    <comment authorId="0" ref="L838">
      <text>
        <t xml:space="preserve">======
ID#AAABjx7qV9I
    (2025-05-21 11:33:27)
預計12/22到貨</t>
      </text>
    </comment>
    <comment authorId="0" ref="H516">
      <text>
        <t xml:space="preserve">======
ID#AAABjx7qV9E
    (2025-05-21 11:33:27)
0803 chloe:收到銀行通知USD4041</t>
      </text>
    </comment>
    <comment authorId="0" ref="O707">
      <text>
        <t xml:space="preserve">======
ID#AAABjx7qV88
    (2025-05-21 11:33:27)
1127 Santiago 匯出NT17967</t>
      </text>
    </comment>
    <comment authorId="0" ref="H78">
      <text>
        <t xml:space="preserve">======
ID#AAABjx7qV8Q
    (2025-05-21 11:33:27)
0119 chloe: 收到銀行通知USD1134</t>
      </text>
    </comment>
    <comment authorId="0" ref="L809">
      <text>
        <t xml:space="preserve">======
ID#AAABjx7qV78
    (2025-05-21 11:33:27)
預計11/29到貨</t>
      </text>
    </comment>
    <comment authorId="0" ref="H125">
      <text>
        <t xml:space="preserve">======
ID#AAABjx7qV7s
    (2025-05-21 11:33:27)
0216 chloe:收到銀行通知USD6235</t>
      </text>
    </comment>
    <comment authorId="0" ref="H744">
      <text>
        <t xml:space="preserve">======
ID#AAABjx7qV7g
    (2025-05-21 11:33:27)
20171128 Santiago: 已匯入</t>
      </text>
    </comment>
    <comment authorId="0" ref="L672">
      <text>
        <t xml:space="preserve">======
ID#AAABjx7qV64
    (2025-05-21 11:33:27)
交期:10/20 那週
1011 chloe:  交期仍然無法回覆
預計到貨10/25</t>
      </text>
    </comment>
    <comment authorId="0" ref="H401">
      <text>
        <t xml:space="preserve">======
ID#AAABjx7qV68
    (2025-05-21 11:33:27)
0630 chloe:收到銀行通知USD1324</t>
      </text>
    </comment>
    <comment authorId="0" ref="L303">
      <text>
        <t xml:space="preserve">======
ID#AAABjx7qV60
    (2025-05-21 11:33:27)
送至203號2樓</t>
      </text>
    </comment>
    <comment authorId="0" ref="L507">
      <text>
        <t xml:space="preserve">======
ID#AAABjx7qV6w
    (2025-05-21 11:33:27)
0731 chloe:出貨單簽名後回傳給TAMMY
(附上樣品借出單?)</t>
      </text>
    </comment>
    <comment authorId="0" ref="H370">
      <text>
        <t xml:space="preserve">======
ID#AAABjx7qV6c
    (2025-05-21 11:33:27)
0615 chloe:收到銀行通知USD2151</t>
      </text>
    </comment>
    <comment authorId="0" ref="K191">
      <text>
        <t xml:space="preserve">======
ID#AAABjx7qV6Y
    (2025-05-21 11:33:27)
提前4/7出貨</t>
      </text>
    </comment>
    <comment authorId="0" ref="L112">
      <text>
        <t xml:space="preserve">======
ID#AAABjx7qV6Q
    (2025-05-21 11:33:27)
原預計2/17到貨，快遞延遲至2/18到貨</t>
      </text>
    </comment>
    <comment authorId="0" ref="H97">
      <text>
        <t xml:space="preserve">======
ID#AAABjx7qV5g
    (2025-05-21 11:33:27)
0330 chloe: 收到銀行通知USD3034</t>
      </text>
    </comment>
    <comment authorId="0" ref="H151">
      <text>
        <t xml:space="preserve">======
ID#AAABjx7qV5M
    (2025-05-21 11:33:27)
0502 chloe:收到銀行通知USD24423</t>
      </text>
    </comment>
    <comment authorId="0" ref="H688">
      <text>
        <t xml:space="preserve">======
ID#AAABjx7qV4s
    (2025-05-21 11:33:27)
1225 Santiago, 短缺105 已補
1124 Santiago :
P172909NP2 + P171004NP0 應付US$1840
由於Benson 原始PI只寫US$1735, 
因此短缺US$105</t>
      </text>
    </comment>
    <comment authorId="0" ref="J543">
      <text>
        <t xml:space="preserve">======
ID#AAABjx7qV4A
    (2025-05-21 11:33:27)
1012 chloe:漏寄，故使用戎克帳號出貨 運費 NT2311</t>
      </text>
    </comment>
    <comment authorId="0" ref="H671">
      <text>
        <t xml:space="preserve">======
ID#AAABjx7qV3c
    (2025-05-21 11:33:27)
1124 Sntiago 收到匯款US$10707</t>
      </text>
    </comment>
    <comment authorId="0" ref="H488">
      <text>
        <t xml:space="preserve">======
ID#AAABjx7qV10
    (2025-05-21 11:33:27)
0911 chloe:收到銀行通知USD3174</t>
      </text>
    </comment>
    <comment authorId="0" ref="H190">
      <text>
        <t xml:space="preserve">======
ID#AAABjx7qV1E
    (2025-05-21 11:33:27)
0508 chloe:已收到銀行通知USD3244</t>
      </text>
    </comment>
    <comment authorId="0" ref="H230">
      <text>
        <t xml:space="preserve">======
ID#AAABjx7qV1I
    (2025-05-21 11:33:27)
0508 chloe:合庫收到款項NT1316754</t>
      </text>
    </comment>
    <comment authorId="0" ref="L144">
      <text>
        <t xml:space="preserve">======
ID#AAABjx7qV0g
    (2025-05-21 11:33:27)
0221 下單，待告知正確交期</t>
      </text>
    </comment>
    <comment authorId="0" ref="H115">
      <text>
        <t xml:space="preserve">======
ID#AAABjx7qVzM
    (2025-05-21 11:33:27)
0307 chloe: 1/19多匯USD6330，無告知是否退回
0317 chloe: 0317 收到銀行通知USD5020</t>
      </text>
    </comment>
    <comment authorId="0" ref="H522">
      <text>
        <t xml:space="preserve">======
ID#AAABjx7qVzI
    (2025-05-21 11:33:27)
0809 chloe:收到銀行通知USD3729</t>
      </text>
    </comment>
    <comment authorId="0" ref="H850">
      <text>
        <t xml:space="preserve">======
ID#AAABjx7qVyw
    (2025-05-21 11:33:27)
0227 chloe: 收到 匯款NT2,990,255</t>
      </text>
    </comment>
    <comment authorId="0" ref="E168">
      <text>
        <t xml:space="preserve">======
ID#AAABjx7qVyc
0321 chloe    (2025-05-21 11:33:27)
BSMI料號:FPM2150GR3B1601E-T</t>
      </text>
    </comment>
    <comment authorId="0" ref="H356">
      <text>
        <t xml:space="preserve">======
ID#AAABjx7qVx0
    (2025-05-21 11:33:27)
0609 chloe:收到銀行通知USD6140</t>
      </text>
    </comment>
    <comment authorId="0" ref="L674">
      <text>
        <t xml:space="preserve">======
ID#AAABjx7qVw8
    (2025-05-21 11:33:27)
有庫存</t>
      </text>
    </comment>
    <comment authorId="0" ref="M207">
      <text>
        <t xml:space="preserve">======
ID#AAABjx7qVw0
    (2025-05-21 11:33:27)
宜鼎 6週
捷毅 PHISON MSATA詢問中
創見 5天</t>
      </text>
    </comment>
    <comment authorId="0" ref="H470">
      <text>
        <t xml:space="preserve">======
ID#AAABjx7qVvo
    (2025-05-21 11:33:27)
0928 chloe:收到銀行通知US$46,724</t>
      </text>
    </comment>
    <comment authorId="0" ref="H486">
      <text>
        <t xml:space="preserve">======
ID#AAABjx7qVvc
    (2025-05-21 11:33:27)
0720 chloe:客戶匯款，但戎克戶名錯誤，待客戶修改
0727 chloe: 戶名已修改，已匯入USD870</t>
      </text>
    </comment>
    <comment authorId="0" ref="H360">
      <text>
        <t xml:space="preserve">======
ID#AAABjx7qVu0
    (2025-05-21 11:33:27)
0712 chloe:收到銀行通知USD2058</t>
      </text>
    </comment>
    <comment authorId="0" ref="L324">
      <text>
        <t xml:space="preserve">======
ID#AAABjx7qVus
    (2025-05-21 11:33:27)
收到貨後立刻給予SHIPPING文件</t>
      </text>
    </comment>
    <comment authorId="0" ref="K442">
      <text>
        <t xml:space="preserve">======
ID#AAABjx7qVuk
    (2025-05-21 11:33:27)
Hi Chloe,
20170629B的INVOICE，請注意下列事項：
１）出貨invoice &amp; packing list移除 w/ EU adapter 字眼. 避免海闗查
２）加HSN : 85176990在invoice備註中</t>
      </text>
    </comment>
    <comment authorId="0" ref="J839">
      <text>
        <t xml:space="preserve">======
ID#AAABjx7qVuA
Ship To    (2025-05-21 11:33:27)
Ti2 Pty Ltd
103A Mary Street, Richmond, VIC, 3121, Australia
Att: Jim MacDougall
+61 417 714 528</t>
      </text>
    </comment>
    <comment authorId="0" ref="L631">
      <text>
        <t xml:space="preserve">======
ID#AAABjx7qVt4
    (2025-05-21 11:33:27)
1003 chloe: 只送來10 PCS
追加 6 PCS (10/6 機車快遞送貨)</t>
      </text>
    </comment>
    <comment authorId="0" ref="J382">
      <text>
        <t xml:space="preserve">======
ID#AAABjx7qVto
170613 Tammy    (2025-05-21 11:33:27)
1) 出口報關時提供COC (產地證明)→由我方付費，下次賺回
2) EX-WORK</t>
      </text>
    </comment>
    <comment authorId="0" ref="L436">
      <text>
        <t xml:space="preserve">======
ID#AAABjx7qVsU
    (2025-05-21 11:33:27)
23 pcs available at this moment. New batch scheduled by mid of Aug
0628 待 PULL IN</t>
      </text>
    </comment>
    <comment authorId="0" ref="H500">
      <text>
        <t xml:space="preserve">======
ID#AAABjx7qVsE
    (2025-05-21 11:33:27)
0822 chloe:已收到銀行通知USD17120</t>
      </text>
    </comment>
    <comment authorId="0" ref="H437">
      <text>
        <t xml:space="preserve">======
ID#AAABjx7qVrw
    (2025-05-21 11:33:27)
0703 chloe:已收到NT595537</t>
      </text>
    </comment>
    <comment authorId="0" ref="H305">
      <text>
        <t xml:space="preserve">======
ID#AAABjx7qVro
    (2025-05-21 11:33:27)
0731 chloe:收到銀行通知USD23876</t>
      </text>
    </comment>
    <comment authorId="0" ref="L562">
      <text>
        <t xml:space="preserve">======
ID#AAABjx7qVqk
    (2025-05-21 11:33:27)
0829 chloe:交期四周，會再PULL IN
0912 chloe:發信詢問交期</t>
      </text>
    </comment>
    <comment authorId="0" ref="H770">
      <text>
        <t xml:space="preserve">======
ID#AAABjx7qVqI
    (2025-05-21 11:33:27)
0227 chloe: 收到 匯款NT2,990,255</t>
      </text>
    </comment>
    <comment authorId="0" ref="K506">
      <text>
        <t xml:space="preserve">======
ID#AAABjx7qVpg
    (2025-05-21 11:33:27)
0828 Santiago: 延到9/28
0817 Santiago: 延到9/7
0814 chloe: 0821與Santiago確認是否可出→已延遲出貨</t>
      </text>
    </comment>
    <comment authorId="0" ref="H192">
      <text>
        <t xml:space="preserve">======
ID#AAABjx7qVpQ
    (2025-05-21 11:33:27)
0327 chloe:收到銀行通知USD181</t>
      </text>
    </comment>
    <comment authorId="0" ref="L334">
      <text>
        <t xml:space="preserve">======
ID#AAABjx7qVos
    (2025-05-21 11:33:27)
最晚6/9 到貨</t>
      </text>
    </comment>
    <comment authorId="0" ref="H393">
      <text>
        <t xml:space="preserve">======
ID#AAABjx7qVoY
    (2025-05-21 11:33:27)
0822 chloe:已收到銀行通知USD17120</t>
      </text>
    </comment>
    <comment authorId="0" ref="L45">
      <text>
        <t xml:space="preserve">======
ID#AAABjx7qVn4
    (2025-05-21 11:33:27)
0106 chloe:下單</t>
      </text>
    </comment>
    <comment authorId="0" ref="H848">
      <text>
        <t xml:space="preserve">======
ID#AAABjx7qVns
    (2025-05-21 11:33:27)
0131 chloe:已匯入US$48618</t>
      </text>
    </comment>
    <comment authorId="0" ref="H219">
      <text>
        <t xml:space="preserve">======
ID#AAABjx7qVnk
    (2025-05-21 11:33:27)
0428 chloe:收到銀行通知USD20982</t>
      </text>
    </comment>
    <comment authorId="0" ref="H805">
      <text>
        <t xml:space="preserve">======
ID#AAABjx7qVm0
    (2025-05-21 11:33:27)
1225 Santiago: US$18317 入帳
客戶多付US$40 RMA 費用</t>
      </text>
    </comment>
    <comment authorId="0" ref="H646">
      <text>
        <t xml:space="preserve">======
ID#AAABjx7qVmw
    (2025-05-21 11:33:27)
20171124 Santiago 收到US$10707</t>
      </text>
    </comment>
    <comment authorId="0" ref="K418">
      <text>
        <t xml:space="preserve">======
ID#AAABjx7qVlk
    (2025-05-21 11:33:27)
尚未收到客戶通知</t>
      </text>
    </comment>
    <comment authorId="0" ref="K394">
      <text>
        <t xml:space="preserve">======
ID#AAABjx7qVlQ
    (2025-05-21 11:33:27)
0731 chloe:待客戶付款</t>
      </text>
    </comment>
    <comment authorId="0" ref="H811">
      <text>
        <t xml:space="preserve">======
ID#AAABjx7qVlU
    (2025-05-21 11:33:27)
1206 Santiago : 已收到匯款</t>
      </text>
    </comment>
    <comment authorId="0" ref="H712">
      <text>
        <t xml:space="preserve">======
ID#AAABjx7qVlI
    (2025-05-21 11:33:27)
1113 chloe:收到銀行通知US$8740</t>
      </text>
    </comment>
    <comment authorId="0" ref="L515">
      <text>
        <t xml:space="preserve">======
ID#AAABjx7qVks
    (2025-05-21 11:33:27)
8/4 詢問交期</t>
      </text>
    </comment>
    <comment authorId="0" ref="H466">
      <text>
        <t xml:space="preserve">======
ID#AAABjx7qVj4
    (2025-05-21 11:33:27)
1017chloe:收到銀行通知US$24736</t>
      </text>
    </comment>
    <comment authorId="0" ref="H108">
      <text>
        <t xml:space="preserve">======
ID#AAABjx7qViw
    (2025-05-21 11:33:27)
0216 chloe :收到銀行通知USD217</t>
      </text>
    </comment>
    <comment authorId="0" ref="Z1">
      <text>
        <t xml:space="preserve">======
ID#AAABjx7qVic
    (2025-05-21 11:33:27)
此欄位針對某些特定客戶. 要求使用出貨前一天的匯率. 才開發票的客戶. 例如 Z 和 Pharms</t>
      </text>
    </comment>
    <comment authorId="0" ref="H682">
      <text>
        <t xml:space="preserve">======
ID#AAABjx7qViA
    (2025-05-21 11:33:27)
1213 Santiago : US$7483 已到
1103 chloe: 收到US$9770 
( 另外US$7350尚未收到)</t>
      </text>
    </comment>
    <comment authorId="0" ref="E734">
      <text>
        <t xml:space="preserve">======
ID#AAABjx7qVhg
    (2025-05-21 11:33:27)
20170104 Santiago: 和之前訂單一樣, w/o adapter</t>
      </text>
    </comment>
    <comment authorId="0" ref="V102">
      <text>
        <t xml:space="preserve">======
ID#AAABjx7qVg4
    (2025-05-21 11:33:27)
DRAM 無呈現在發票裡，但金額有內含</t>
      </text>
    </comment>
    <comment authorId="0" ref="L472">
      <text>
        <t xml:space="preserve">======
ID#AAABjx7qVgc
    (2025-05-21 11:33:27)
0724 chloe: 工廠尚未回覆，確定要7/26 才知道
0724 chloe: 敏博約2週即可交貨</t>
      </text>
    </comment>
    <comment authorId="0" ref="H674">
      <text>
        <t xml:space="preserve">======
ID#AAABjx7qVgg
    (2025-05-21 11:33:27)
1124 Santiago 收到匯款US$10707</t>
      </text>
    </comment>
    <comment authorId="0" ref="H445">
      <text>
        <t xml:space="preserve">======
ID#AAABjx7qVgQ
    (2025-05-21 11:33:27)
0704 chloe:收到銀行通知USD1838</t>
      </text>
    </comment>
    <comment authorId="0" ref="K676">
      <text>
        <t xml:space="preserve">======
ID#AAABjx7qVfs
    (2025-05-21 11:33:27)
1020 chloe: 待客戶付款後才能出貨</t>
      </text>
    </comment>
    <comment authorId="0" ref="H214">
      <text>
        <t xml:space="preserve">======
ID#AAABjx7qVfk
    (2025-05-21 11:33:27)
0406 chloe:收到銀行通知USD1080</t>
      </text>
    </comment>
    <comment authorId="0" ref="H280">
      <text>
        <t xml:space="preserve">======
ID#AAABjx7qVfI
    (2025-05-21 11:33:27)
0616 chloe:收到銀行通知USD1518</t>
      </text>
    </comment>
    <comment authorId="0" ref="H554">
      <text>
        <t xml:space="preserve">======
ID#AAABjx7qVfA
    (2025-05-21 11:33:27)
1018 chloe:收到銀行通知US$1135</t>
      </text>
    </comment>
    <comment authorId="0" ref="H397">
      <text>
        <t xml:space="preserve">======
ID#AAABjx7qVeY
    (2025-05-21 11:33:27)
0808 chloe:收到銀行通知USD12266</t>
      </text>
    </comment>
    <comment authorId="0" ref="K724">
      <text>
        <t xml:space="preserve">======
ID#AAABjx7qVd4
    (2025-05-21 11:33:27)
借出3週，3週後付款或寄回戎克</t>
      </text>
    </comment>
    <comment authorId="0" ref="E293">
      <text>
        <t xml:space="preserve">======
ID#AAABjx7qVd0
    (2025-05-21 11:33:27)
170510 Karen: 下單型號MGate MB3180 w/EU adapter</t>
      </text>
    </comment>
    <comment authorId="0" ref="H37">
      <text>
        <t xml:space="preserve">======
ID#AAABjx7qVdk
    (2025-05-21 11:33:27)
1227 chloe:收到銀行通知USD1429</t>
      </text>
    </comment>
    <comment authorId="0" ref="H806">
      <text>
        <t xml:space="preserve">======
ID#AAABjx7qVdc
    (2025-05-21 11:33:27)
1225 Santiago: US$18317 入帳
客戶多付US$40 RMA 費用</t>
      </text>
    </comment>
    <comment authorId="0" ref="H756">
      <text>
        <t xml:space="preserve">======
ID#AAABjx7qVdA
    (2025-05-21 11:33:27)
1114 chloe: 收到款項NT5862</t>
      </text>
    </comment>
    <comment authorId="0" ref="L836">
      <text>
        <t xml:space="preserve">======
ID#AAABjx7qVdE
    (2025-05-21 11:33:27)
預計12/22到貨</t>
      </text>
    </comment>
    <comment authorId="0" ref="E202">
      <text>
        <t xml:space="preserve">======
ID#AAABjx7qVcg
    (2025-05-21 11:33:27)
11/12 michelle: 58-80024-0000</t>
      </text>
    </comment>
    <comment authorId="0" ref="H205">
      <text>
        <t xml:space="preserve">======
ID#AAABjx7qVcI
    (2025-05-21 11:33:27)
0523 chloe:已收到銀行通知USD6750</t>
      </text>
    </comment>
    <comment authorId="0" ref="H603">
      <text>
        <t xml:space="preserve">======
ID#AAABjx7qVb4
    (2025-05-21 11:33:27)
1025chloe:收到銀行通知US$35416.8</t>
      </text>
    </comment>
    <comment authorId="0" ref="K628">
      <text>
        <t xml:space="preserve">======
ID#AAABjx7qVbo
    (2025-05-21 11:33:27)
0920 chloe: 待收到貨款後出貨
0922 chloe: 待0925銀行解款，可安排出貨</t>
      </text>
    </comment>
    <comment authorId="0" ref="L131">
      <text>
        <t xml:space="preserve">======
ID#AAABjx7qVbI
    (2025-05-21 11:33:27)
2/23 交期確認，反黑</t>
      </text>
    </comment>
    <comment authorId="0" ref="H433">
      <text>
        <t xml:space="preserve">======
ID#AAABjx7qVbA
    (2025-05-21 11:33:27)
0928 chloe:收到銀行通知US$46,724</t>
      </text>
    </comment>
    <comment authorId="0" ref="L759">
      <text>
        <t xml:space="preserve">======
ID#AAABjx7qVao
    (2025-05-21 11:33:27)
預計11/22到貨</t>
      </text>
    </comment>
    <comment authorId="0" ref="H462">
      <text>
        <t xml:space="preserve">======
ID#AAABjx7qVaA
    (2025-05-21 11:33:27)
1025chloe:收到銀行通知US$35416.8</t>
      </text>
    </comment>
    <comment authorId="0" ref="H396">
      <text>
        <t xml:space="preserve">======
ID#AAABjx7qVZg
    (2025-05-21 11:33:27)
0623 chloe:以收到銀行通知USD1630</t>
      </text>
    </comment>
    <comment authorId="0" ref="H95">
      <text>
        <t xml:space="preserve">======
ID#AAABjx7qVZU
    (2025-05-21 11:33:27)
0406 chloe:收到銀行通知USD16968</t>
      </text>
    </comment>
    <comment authorId="0" ref="H503">
      <text>
        <t xml:space="preserve">======
ID#AAABjx7qVZI
    (2025-05-21 11:33:27)
0731 chloe: 收到銀行通知USD 2381</t>
      </text>
    </comment>
    <comment authorId="0" ref="L220">
      <text>
        <t xml:space="preserve">======
ID#AAABjx7qVYg
    (2025-05-21 11:33:27)
4/13寄往曦立光電作貼合</t>
      </text>
    </comment>
    <comment authorId="0" ref="H266">
      <text>
        <t xml:space="preserve">======
ID#AAABjx7qVYI
    (2025-05-21 11:33:27)
0810 chloe:收到NT1,960,530</t>
      </text>
    </comment>
    <comment authorId="0" ref="O115">
      <text>
        <t xml:space="preserve">======
ID#AAABjx7qVXw
    (2025-05-21 11:33:27)
內含AC/DC Power Adapter USD 231+EU power cord  USD 21</t>
      </text>
    </comment>
    <comment authorId="0" ref="H599">
      <text>
        <t xml:space="preserve">======
ID#AAABjx7qVV4
    (2025-05-21 11:33:27)
1003 chloe:收到銀行通知USD2160</t>
      </text>
    </comment>
    <comment authorId="0" ref="H213">
      <text>
        <t xml:space="preserve">======
ID#AAABjx7qVVY
    (2025-05-21 11:33:27)
0406 chloe:收到銀行通知USD1080</t>
      </text>
    </comment>
    <comment authorId="0" ref="K392">
      <text>
        <t xml:space="preserve">======
ID#AAABjx7qVU0
    (2025-05-21 11:33:27)
0731 chloe:待客戶付款</t>
      </text>
    </comment>
    <comment authorId="0" ref="X765">
      <text>
        <t xml:space="preserve">======
ID#AAABjx7qVU4
    (2025-05-21 11:33:27)
簡易出口</t>
      </text>
    </comment>
    <comment authorId="0" ref="E561">
      <text>
        <t xml:space="preserve">======
ID#AAABjx7qVUo
    (2025-05-21 11:33:27)
1012 chloe: Apacer 無提供Cable,已提供圖面給Bebe</t>
      </text>
    </comment>
    <comment authorId="0" ref="H762">
      <text>
        <t xml:space="preserve">======
ID#AAABjx7qVUg
    (2025-05-21 11:33:27)
0108 Santiago: US$10,177.50 匯入玉山</t>
      </text>
    </comment>
    <comment authorId="0" ref="H274">
      <text>
        <t xml:space="preserve">======
ID#AAABjx7qVUY
    (2025-05-21 11:33:27)
5/17 今日收到銀行通知 USD5020</t>
      </text>
    </comment>
    <comment authorId="0" ref="E464">
      <text>
        <t xml:space="preserve">======
ID#AAABjx7qVT0
    (2025-05-21 11:33:27)
Chloe: 2.5” SSD A3A 128GB, -40°C~+85°C</t>
      </text>
    </comment>
    <comment authorId="0" ref="K264">
      <text>
        <t xml:space="preserve">======
ID#AAABjx7qVTo
    (2025-05-21 11:33:27)
先將發票文件給凌群採購</t>
      </text>
    </comment>
    <comment authorId="0" ref="H335">
      <text>
        <t xml:space="preserve">======
ID#AAABjx7qVS0
    (2025-05-21 11:33:27)
0703 chloe:已收到NT1146220</t>
      </text>
    </comment>
    <comment authorId="0" ref="J45">
      <text>
        <t xml:space="preserve">======
ID#AAABjx7qVSw
    (2025-05-21 11:33:27)
Global Freight Forwarding Co Ltd
9F No. 48 Fuxing N. Rd Taipei Taiwan | Tel: +886 2 2773 9900 #8821
Mobile: +886 929 011 725 | Fax: +886 2 2773 2121 | Edisonmeng@gff.com.tw</t>
      </text>
    </comment>
    <comment authorId="0" ref="H131">
      <text>
        <t xml:space="preserve">======
ID#AAABjx7qVSY
    (2025-05-21 11:33:27)
0406 chloe::合庫收到款項NT793831</t>
      </text>
    </comment>
    <comment authorId="0" ref="H585">
      <text>
        <t xml:space="preserve">======
ID#AAABjx7qVRg
    (2025-05-21 11:33:27)
1108 chloe: 匯入US$25553
尾款 US$9145 預計 1113 匯出1114 chloe: 收到銀行通知 尾款匯入 US$9135</t>
      </text>
    </comment>
    <comment authorId="0" ref="H331">
      <text>
        <t xml:space="preserve">======
ID#AAABjx7qVRM
    (2025-05-21 11:33:27)
0721 chloe:收到銀行通知USD5180</t>
      </text>
    </comment>
    <comment authorId="0" ref="H617">
      <text>
        <t xml:space="preserve">======
ID#AAABjx7qVOc
    (2025-05-21 11:33:27)
1025chloe:收到銀行通知US$35416.8</t>
      </text>
    </comment>
    <comment authorId="0" ref="H107">
      <text>
        <t xml:space="preserve">======
ID#AAABjx7qVOU
    (2025-05-21 11:33:27)
0216 chloe :收到銀行通知USD217</t>
      </text>
    </comment>
    <comment authorId="0" ref="L224">
      <text>
        <t xml:space="preserve">======
ID#AAABjx7qVOY
    (2025-05-21 11:33:27)
HS CODE:8517.62</t>
      </text>
    </comment>
    <comment authorId="0" ref="K838">
      <text>
        <t xml:space="preserve">======
ID#AAABjx7qVNs
    (2025-05-21 11:33:27)
併貨RMA20171031A-3</t>
      </text>
    </comment>
    <comment authorId="0" ref="L637">
      <text>
        <t xml:space="preserve">======
ID#AAABjx7qVM8
    (2025-05-21 11:33:27)
交期5天，US$34.1 
0925 chloe:詢問交期是否可更改10/2</t>
      </text>
    </comment>
    <comment authorId="0" ref="H629">
      <text>
        <t xml:space="preserve">======
ID#AAABjx7qVMc
    (2025-05-21 11:33:27)
0925 chloe:收到銀行通知US$3047</t>
      </text>
    </comment>
    <comment authorId="0" ref="H698">
      <text>
        <t xml:space="preserve">======
ID#AAABjx7qVMQ
    (2025-05-21 11:33:27)
1115 chloe:收到轉帳NT1044</t>
      </text>
    </comment>
    <comment authorId="0" ref="H120">
      <text>
        <t xml:space="preserve">======
ID#AAABjx7qVMM
    (2025-05-21 11:33:27)
0502 chloe:收到銀行通知USD10325</t>
      </text>
    </comment>
    <comment authorId="0" ref="H540">
      <text>
        <t xml:space="preserve">======
ID#AAABjx7qVLk
    (2025-05-21 11:33:27)
0828 chloe:收到銀行通知USD652</t>
      </text>
    </comment>
    <comment authorId="0" ref="X764">
      <text>
        <t xml:space="preserve">======
ID#AAABjx7qVLA
    (2025-05-21 11:33:27)
簡易出口</t>
      </text>
    </comment>
    <comment authorId="0" ref="H336">
      <text>
        <t xml:space="preserve">======
ID#AAABjx7qVK8
    (2025-05-21 11:33:27)
0703 chloe:已收到NT1146220</t>
      </text>
    </comment>
    <comment authorId="0" ref="H45">
      <text>
        <t xml:space="preserve">======
ID#AAABjx7qVKI
    (2025-05-21 11:33:27)
7/14 chloe:收到銀行通知USD24,331.50</t>
      </text>
    </comment>
    <comment authorId="0" ref="K466">
      <text>
        <t xml:space="preserve">======
ID#AAABjx7qVJ4
    (2025-05-21 11:33:27)
POC 212  *25  PCS  67x34x38cm  26KG   兩箱
與業務確認後再出貨
使用宸耀材積出貨</t>
      </text>
    </comment>
    <comment authorId="0" ref="H2">
      <text>
        <t xml:space="preserve">======
ID#AAABjx7qVI0
    (2025-05-21 11:33:27)
201512230 Santiago: 收到銀行通知</t>
      </text>
    </comment>
    <comment authorId="0" ref="H231">
      <text>
        <t xml:space="preserve">======
ID#AAABjx7qVIs
    (2025-05-21 11:33:27)
0523 chloe:已收到銀行通知USD6750</t>
      </text>
    </comment>
    <comment authorId="0" ref="K540">
      <text>
        <t xml:space="preserve">======
ID#AAABjx7qVIg
    (2025-05-21 11:33:27)
待付款後再予以出貨</t>
      </text>
    </comment>
    <comment authorId="0" ref="H512">
      <text>
        <t xml:space="preserve">======
ID#AAABjx7qVIc
    (2025-05-21 11:33:27)
0928 chloe:收到銀行通知US$46,724</t>
      </text>
    </comment>
    <comment authorId="0" ref="L50">
      <text>
        <t xml:space="preserve">======
ID#AAABjx7qVIY
    (2025-05-21 11:33:27)
0106 chloe:下單</t>
      </text>
    </comment>
    <comment authorId="0" ref="P79">
      <text>
        <t xml:space="preserve">======
ID#AAABjx7qVIM
    (2025-05-21 11:33:27)
1300(友通拉貨進戎克)
3317(戎克直出桃園機場)</t>
      </text>
    </comment>
    <comment authorId="0" ref="E88">
      <text>
        <t xml:space="preserve">======
ID#AAABjx7qVG0
    (2025-05-21 11:33:27)
3/16 Michelle:Demand3008 8" 這次樣品可以勉強接受2 Pin. 
但未來出貨一定要用3 pin 鳯凰接頭</t>
      </text>
    </comment>
    <comment authorId="0" ref="E403">
      <text>
        <t xml:space="preserve">======
ID#AAABjx7qVGQ
    (2025-05-21 11:33:27)
20180125 chloe: 貨物退回</t>
      </text>
    </comment>
    <comment authorId="0" ref="L804">
      <text>
        <t xml:space="preserve">======
ID#AAABjx7qVFU
    (2025-05-21 11:33:27)
預計12/8到貨</t>
      </text>
    </comment>
    <comment authorId="0" ref="L636">
      <text>
        <t xml:space="preserve">======
ID#AAABjx7qVFI
    (2025-05-21 11:33:27)
2週
20170927到貨</t>
      </text>
    </comment>
    <comment authorId="0" ref="J372">
      <text>
        <t xml:space="preserve">======
ID#AAABjx7qVFA
    (2025-05-21 11:33:27)
Express</t>
      </text>
    </comment>
    <comment authorId="0" ref="L612">
      <text>
        <t xml:space="preserve">======
ID#AAABjx7qVEs
    (2025-05-21 11:33:27)
9/25</t>
      </text>
    </comment>
    <comment authorId="0" ref="L648">
      <text>
        <t xml:space="preserve">======
ID#AAABjx7qVEw
    (2025-05-21 11:33:27)
交期7~10天</t>
      </text>
    </comment>
    <comment authorId="0" ref="H328">
      <text>
        <t xml:space="preserve">======
ID#AAABjx7qVEA
    (2025-05-21 11:33:27)
0731 chloe:收到銀行通知USD23876</t>
      </text>
    </comment>
    <comment authorId="0" ref="H394">
      <text>
        <t xml:space="preserve">======
ID#AAABjx7qVD8
    (2025-05-21 11:33:27)
0822 chloe:已收到銀行通知USD17120</t>
      </text>
    </comment>
    <comment authorId="0" ref="H143">
      <text>
        <t xml:space="preserve">======
ID#AAABjx7qVDU
    (2025-05-21 11:33:27)
0502 chloe:收到銀行通知USD24423</t>
      </text>
    </comment>
    <comment authorId="0" ref="H124">
      <text>
        <t xml:space="preserve">======
ID#AAABjx7qVCw
    (2025-05-21 11:33:27)
0502 chloe:收到銀行通知USD10325</t>
      </text>
    </comment>
    <comment authorId="0" ref="H515">
      <text>
        <t xml:space="preserve">======
ID#AAABjx7qVBE
    (2025-05-21 11:33:27)
1020 chloe:收到銀行通知US$9,895</t>
      </text>
    </comment>
    <comment authorId="0" ref="L615">
      <text>
        <t xml:space="preserve">======
ID#AAABjx7qVAU
    (2025-05-21 11:33:27)
價格: $55
交期:5~7day</t>
      </text>
    </comment>
    <comment authorId="0" ref="H174">
      <text>
        <t xml:space="preserve">======
ID#AAABjx7qU_g
    (2025-05-21 11:33:27)
0322 chloe:收到銀行通知USD1004</t>
      </text>
    </comment>
    <comment authorId="0" ref="L196">
      <text>
        <t xml:space="preserve">======
ID#AAABjx7qU_E
    (2025-05-21 11:33:27)
0324 chloe:下單搶貨，交期要三天才能得知。</t>
      </text>
    </comment>
    <comment authorId="0" ref="K262">
      <text>
        <t xml:space="preserve">======
ID#AAABjx7qU-4
    (2025-05-21 11:33:27)
先將發票文件給凌群採購</t>
      </text>
    </comment>
    <comment authorId="0" ref="H842">
      <text>
        <t xml:space="preserve">======
ID#AAABjx7qU-s
    (2025-05-21 11:33:27)
0131 chloe:已匯入US$48618</t>
      </text>
    </comment>
    <comment authorId="0" ref="E810">
      <text>
        <t xml:space="preserve">======
ID#AAABjx7qU-c
    (2025-05-21 11:33:27)
O1611170030005、O1706090100005、</t>
      </text>
    </comment>
    <comment authorId="0" ref="H98">
      <text>
        <t xml:space="preserve">======
ID#AAABjx7qU98
    (2025-05-21 11:33:27)
0316 chloe: 收到銀行通知USD745</t>
      </text>
    </comment>
    <comment authorId="0" ref="D403">
      <text>
        <t xml:space="preserve">======
ID#AAABjx7qU94
Benson 20170817    (2025-05-21 11:33:27)
Debit note: ELS-3160S Heatsink defect
US$ 30</t>
      </text>
    </comment>
    <comment authorId="0" ref="J43">
      <text>
        <t xml:space="preserve">======
ID#AAABjx7qU9g
    (2025-05-21 11:33:27)
Global Freight Forwarding Co Ltd
9F No. 48 Fuxing N. Rd Taipei Taiwan | Tel: +886 2 2773 9900 #8821
Mobile: +886 929 011 725 | Fax: +886 2 2773 2121 | Edisonmeng@gff.com.tw</t>
      </text>
    </comment>
    <comment authorId="0" ref="H164">
      <text>
        <t xml:space="preserve">======
ID#AAABjx7qU9U
    (2025-05-21 11:33:27)
0327 chloe:收到銀行通知USD972</t>
      </text>
    </comment>
    <comment authorId="0" ref="H523">
      <text>
        <t xml:space="preserve">======
ID#AAABjx7qU84
    (2025-05-21 11:33:27)
0809 chloe:收到銀行通知USD3729</t>
      </text>
    </comment>
    <comment authorId="0" ref="G340">
      <text>
        <t xml:space="preserve">======
ID#AAABjx7qU8U
    (2025-05-21 11:33:27)
w/5%VAT</t>
      </text>
    </comment>
    <comment authorId="0" ref="L140">
      <text>
        <t xml:space="preserve">======
ID#AAABjx7qU8E
    (2025-05-21 11:33:27)
2/23 交期確認</t>
      </text>
    </comment>
    <comment authorId="0" ref="H574">
      <text>
        <t xml:space="preserve">======
ID#AAABjx7qU70
    (2025-05-21 11:33:27)
1012chloe:收到客戶水單，待銀行解款
1013 chloe:收到銀行通知USD15,415</t>
      </text>
    </comment>
    <comment authorId="0" ref="L487">
      <text>
        <t xml:space="preserve">======
ID#AAABjx7qU7c
    (2025-05-21 11:33:27)
0731 chloe:待宸耀回覆交期</t>
      </text>
    </comment>
    <comment authorId="0" ref="H492">
      <text>
        <t xml:space="preserve">======
ID#AAABjx7qU7E
    (2025-05-21 11:33:27)
0724 chloe:收到銀行通知USD 518</t>
      </text>
    </comment>
    <comment authorId="0" ref="H286">
      <text>
        <t xml:space="preserve">======
ID#AAABjx7qU6Y
    (2025-05-21 11:33:27)
0706 chloe: 收到銀行通知USD8418.5(扣上次多匯USD18)</t>
      </text>
    </comment>
    <comment authorId="0" ref="H580">
      <text>
        <t xml:space="preserve">======
ID#AAABjx7qU6A
    (2025-05-21 11:33:27)
1012chloe:收到客戶水單，待銀行解款
1013 chloe:收到銀行通知USD15,415</t>
      </text>
    </comment>
    <comment authorId="0" ref="J566">
      <text>
        <t xml:space="preserve">======
ID#AAABjx7qU5s
    (2025-05-21 11:33:27)
to Melbourne address</t>
      </text>
    </comment>
    <comment authorId="0" ref="H419">
      <text>
        <t xml:space="preserve">======
ID#AAABjx7qU5o
    (2025-05-21 11:33:27)
0706 chloe:收到銀行通知USD6698</t>
      </text>
    </comment>
    <comment authorId="0" ref="E469">
      <text>
        <t xml:space="preserve">======
ID#AAABjx7qU48
    (2025-05-21 11:33:26)
Chloe: 2.5” SSD A3A 128GB, -40°C~+85°C</t>
      </text>
    </comment>
    <comment authorId="0" ref="H610">
      <text>
        <t xml:space="preserve">======
ID#AAABjx7qU44
    (2025-05-21 11:33:26)
1011 chloe:收到銀行通知US$13950</t>
      </text>
    </comment>
    <comment authorId="0" ref="J157">
      <text>
        <t xml:space="preserve">======
ID#AAABjx7qU40
    (2025-05-21 11:33:26)
40*29*27.5  5KG 
0316 chloe:已告知業務</t>
      </text>
    </comment>
    <comment authorId="0" ref="H110">
      <text>
        <t xml:space="preserve">======
ID#AAABjx7qU4k
    (2025-05-21 11:33:26)
0221 chloe:收到銀行通知USD5862</t>
      </text>
    </comment>
    <comment authorId="0" ref="J324">
      <text>
        <t xml:space="preserve">======
ID#AAABjx7qU4g
    (2025-05-21 11:33:26)
Tania Chen 
Air Freight Department
RATTAN EXPRESS – Taipei, Taiwan
Skype:tania590205
Tel: 886(2)2718-3335 EXT.54 | Fax: 886(2)2718-3353</t>
      </text>
    </comment>
    <comment authorId="0" ref="E122">
      <text>
        <t xml:space="preserve">======
ID#AAABjx7qU4Y
    (2025-05-21 11:33:26)
3/16 Michelle:Demand3008 8" 這次樣品可以勉強接受2 Pin. 
但未來出貨一定要用3 pin 鳯凰接頭</t>
      </text>
    </comment>
    <comment authorId="0" ref="K304">
      <text>
        <t xml:space="preserve">======
ID#AAABjx7qU4I
    (2025-05-21 11:33:26)
47*33*29 2KG
因採購休假待回覆</t>
      </text>
    </comment>
    <comment authorId="0" ref="H475">
      <text>
        <t xml:space="preserve">======
ID#AAABjx7qU38
    (2025-05-21 11:33:26)
0703 chloe:已收到NT595537</t>
      </text>
    </comment>
    <comment authorId="0" ref="H71">
      <text>
        <t xml:space="preserve">======
ID#AAABjx7qU28
    (2025-05-21 11:33:26)
20170206 chloe:合庫收到款項NT335,909</t>
      </text>
    </comment>
    <comment authorId="0" ref="H355">
      <text>
        <t xml:space="preserve">======
ID#AAABjx7qU24
    (2025-05-21 11:33:26)
0609 chloe:收到銀行通知USD6140</t>
      </text>
    </comment>
    <comment authorId="0" ref="L816">
      <text>
        <t xml:space="preserve">======
ID#AAABjx7qU18
    (2025-05-21 11:33:26)
預計12/15到貨</t>
      </text>
    </comment>
    <comment authorId="0" ref="H248">
      <text>
        <t xml:space="preserve">======
ID#AAABjx7qU1c
    (2025-05-21 11:33:26)
0612 chloe:今日已收到銀行通知USD7074(多USD10)</t>
      </text>
    </comment>
    <comment authorId="0" ref="L824">
      <text>
        <t xml:space="preserve">======
ID#AAABjx7qU1M
    (2025-05-21 11:33:26)
預計12/19到貨</t>
      </text>
    </comment>
    <comment authorId="0" ref="P73">
      <text>
        <t xml:space="preserve">======
ID#AAABjx7qU04
    (2025-05-21 11:33:26)
2 PCS</t>
      </text>
    </comment>
    <comment authorId="0" ref="H588">
      <text>
        <t xml:space="preserve">======
ID#AAABjx7qU0o
    (2025-05-21 11:33:26)
1017chloe:收到銀行通知US$24736</t>
      </text>
    </comment>
    <comment authorId="0" ref="N566">
      <text>
        <t xml:space="preserve">======
ID#AAABjx7qU0c
    (2025-05-21 11:33:26)
廠商報錯型號，故待客人確認後再重新下單</t>
      </text>
    </comment>
    <comment authorId="0" ref="H251">
      <text>
        <t xml:space="preserve">======
ID#AAABjx7qU0Y
    (2025-05-21 11:33:26)
0706 chloe: 收到銀行通知USD8418.5(扣上次多匯USD18)</t>
      </text>
    </comment>
    <comment authorId="0" ref="H240">
      <text>
        <t xml:space="preserve">======
ID#AAABjx7qU0E
    (2025-05-21 11:33:26)
0523 chloe:已收到銀行通知USD6750</t>
      </text>
    </comment>
    <comment authorId="0" ref="G416">
      <text>
        <t xml:space="preserve">======
ID#AAABjx7qUz0
    (2025-05-21 11:33:26)
170323 w/ 5%VAT</t>
      </text>
    </comment>
    <comment authorId="0" ref="J564">
      <text>
        <t xml:space="preserve">======
ID#AAABjx7qUz4
    (2025-05-21 11:33:26)
to Melbourne address</t>
      </text>
    </comment>
    <comment authorId="0" ref="H528">
      <text>
        <t xml:space="preserve">======
ID#AAABjx7qUzY
    (2025-05-21 11:33:26)
0922 chloe:收到銀行通知US$5030</t>
      </text>
    </comment>
    <comment authorId="0" ref="H563">
      <text>
        <t xml:space="preserve">======
ID#AAABjx7qUx0
    (2025-05-21 11:33:26)
1124 Santiago 收到匯款</t>
      </text>
    </comment>
    <comment authorId="0" ref="L325">
      <text>
        <t xml:space="preserve">======
ID#AAABjx7qUxc
    (2025-05-21 11:33:26)
收到貨後立刻給予SHIPPING文件</t>
      </text>
    </comment>
    <comment authorId="0" ref="H179">
      <text>
        <t xml:space="preserve">======
ID#AAABjx7qUxM
    (2025-05-21 11:33:26)
0517 chloe :收到銀行通知USD7368.5</t>
      </text>
    </comment>
    <comment authorId="0" ref="K375">
      <text>
        <t xml:space="preserve">======
ID#AAABjx7qUwg
If shipping After 23rd June, please ship to    (2025-05-21 11:33:26)
11 Averill Street,
Rhodes, NSW, 2138
Australia</t>
      </text>
    </comment>
    <comment authorId="0" ref="H460">
      <text>
        <t xml:space="preserve">======
ID#AAABjx7qUwU
    (2025-05-21 11:33:26)
0822 chloe:已收到銀行通知USD17120</t>
      </text>
    </comment>
    <comment authorId="0" ref="D72">
      <text>
        <t xml:space="preserve">======
ID#AAABjx7qUvk
    (2025-05-21 11:33:26)
測試 Samsung HDD</t>
      </text>
    </comment>
    <comment authorId="0" ref="K588">
      <text>
        <t xml:space="preserve">======
ID#AAABjx7qUvI
    (2025-05-21 11:33:26)
0831 chloe: 出貨前Santiago 要拍照</t>
      </text>
    </comment>
    <comment authorId="0" ref="H223">
      <text>
        <t xml:space="preserve">======
ID#AAABjx7qUuo
    (2025-05-21 11:33:26)
0428 chloe:收到銀行通知USD20982</t>
      </text>
    </comment>
    <comment authorId="0" ref="E729">
      <text>
        <t xml:space="preserve">======
ID#AAABjx7qUug
    (2025-05-21 11:33:26)
下單請用FPM2150GR3B1601E-T
出貨文件上秀:
FPM-2150G-R3BE
(FPM2150GRB1601E-T)</t>
      </text>
    </comment>
    <comment authorId="0" ref="K582">
      <text>
        <t xml:space="preserve">======
ID#AAABjx7qUuY
    (2025-05-21 11:33:26)
christine0925:待客戶付款</t>
      </text>
    </comment>
    <comment authorId="0" ref="J51">
      <text>
        <t xml:space="preserve">======
ID#AAABjx7qUuM
    (2025-05-21 11:33:26)
Global Freight Forwarding Co Ltd
9F No. 48 Fuxing N. Rd Taipei Taiwan | Tel: +886 2 2773 9900 #8821
Mobile: +886 929 011 725 | Fax: +886 2 2773 2121 | Edisonmeng@gff.com.tw</t>
      </text>
    </comment>
    <comment authorId="0" ref="K561">
      <text>
        <t xml:space="preserve">======
ID#AAABjx7qUuA
    (2025-05-21 11:33:26)
Christine 0925 :缺少cable</t>
      </text>
    </comment>
    <comment authorId="0" ref="H621">
      <text>
        <t xml:space="preserve">======
ID#AAABjx7qUtg
    (2025-05-21 11:33:26)
1012 chloe: 收到銀行通知US$52,255</t>
      </text>
    </comment>
    <comment authorId="0" ref="H420">
      <text>
        <t xml:space="preserve">======
ID#AAABjx7qUtI
    (2025-05-21 11:33:26)
0706 chloe:收到銀行通知USD6698</t>
      </text>
    </comment>
    <comment authorId="0" ref="L42">
      <text>
        <t xml:space="preserve">======
ID#AAABjx7qUsc
    (2025-05-21 11:33:26)
chloe:2/16</t>
      </text>
    </comment>
    <comment authorId="0" ref="H795">
      <text>
        <t xml:space="preserve">======
ID#AAABjx7qUsM
    (2025-05-21 11:33:26)
1225 Santiago: US$18317 入帳
客戶多付US$40 RMA 費用</t>
      </text>
    </comment>
    <comment authorId="0" ref="P471">
      <text>
        <t xml:space="preserve">======
ID#AAABjx7qUrw
    (2025-05-21 11:33:26)
匯率用台灣銀行即期匯率的平均計算30.195</t>
      </text>
    </comment>
    <comment authorId="0" ref="G417">
      <text>
        <t xml:space="preserve">======
ID#AAABjx7qUr0
    (2025-05-21 11:33:26)
170323 w/ 5%VAT</t>
      </text>
    </comment>
    <comment authorId="0" ref="L132">
      <text>
        <t xml:space="preserve">======
ID#AAABjx7qTrI
    (2025-05-21 11:33:26)
2/23 交期確認</t>
      </text>
    </comment>
    <comment authorId="0" ref="H277">
      <text>
        <t xml:space="preserve">======
ID#AAABjx7qTrA
    (2025-05-21 11:33:26)
0616 chloe:收到銀行通知USD1518</t>
      </text>
    </comment>
    <comment authorId="0" ref="H211">
      <text>
        <t xml:space="preserve">======
ID#AAABjx7qTp4
    (2025-05-21 11:33:26)
0525 chloe:收到銀行通知USD818</t>
      </text>
    </comment>
    <comment authorId="0" ref="K563">
      <text>
        <t xml:space="preserve">======
ID#AAABjx7qTp0
    (2025-05-21 11:33:26)
Christine 0925 :缺少cable</t>
      </text>
    </comment>
    <comment authorId="0" ref="H774">
      <text>
        <t xml:space="preserve">======
ID#AAABjx7qTpY
    (2025-05-21 11:33:26)
0227 chloe: 收到 匯款NT2,990,255</t>
      </text>
    </comment>
    <comment authorId="0" ref="H657">
      <text>
        <t xml:space="preserve">======
ID#AAABjx7qTpQ
    (2025-05-21 11:33:26)
1031 chloe: 收到銀行通知US$4,574.7</t>
      </text>
    </comment>
    <comment authorId="0" ref="H114">
      <text>
        <t xml:space="preserve">======
ID#AAABjx7qTo8
    (2025-05-21 11:33:26)
0307 chloe: 1/19多匯USD6330，無告知是否退回
0317 chloe: 0317 收到銀行通知USD5020</t>
      </text>
    </comment>
    <comment authorId="0" ref="E323">
      <text>
        <t xml:space="preserve">======
ID#AAABjx7qToU
    (2025-05-21 11:33:26)
170523 Karen: 下歐規</t>
      </text>
    </comment>
    <comment authorId="0" ref="H705">
      <text>
        <t xml:space="preserve">======
ID#AAABjx7qTnw
    (2025-05-21 11:33:26)
1113 chloe:收到銀行通知US$753</t>
      </text>
    </comment>
    <comment authorId="0" ref="H261">
      <text>
        <t xml:space="preserve">======
ID#AAABjx7qTn8
    (2025-05-21 11:33:26)
0612 chloe:今日已收到銀行通知USD7074(多USD18,下次額度)</t>
      </text>
    </comment>
    <comment authorId="0" ref="K560">
      <text>
        <t xml:space="preserve">======
ID#AAABjx7qTnk
    (2025-05-21 11:33:26)
Christine 0925 :缺少cable</t>
      </text>
    </comment>
    <comment authorId="0" ref="H265">
      <text>
        <t xml:space="preserve">======
ID#AAABjx7qTm8
    (2025-05-21 11:33:26)
0810 chloe:收到NT1,960,530</t>
      </text>
    </comment>
    <comment authorId="0" ref="L91">
      <text>
        <t xml:space="preserve">======
ID#AAABjx7qTm0
    (2025-05-21 11:33:26)
0123 到貨</t>
      </text>
    </comment>
    <comment authorId="0" ref="H483">
      <text>
        <t xml:space="preserve">======
ID#AAABjx7qTmE
    (2025-05-21 11:33:26)
0908 chloe:收到銀行通知 US$248</t>
      </text>
    </comment>
    <comment authorId="0" ref="H430">
      <text>
        <t xml:space="preserve">======
ID#AAABjx7qTmI
    (2025-05-21 11:33:26)
0928 chloe:收到銀行通知US$46,724</t>
      </text>
    </comment>
    <comment authorId="0" ref="L435">
      <text>
        <t xml:space="preserve">======
ID#AAABjx7qTlg
    (2025-05-21 11:33:26)
26 pcs available at this moment, new batch scheduled in end of Aug
0628 待 PULL IN</t>
      </text>
    </comment>
    <comment authorId="0" ref="H359">
      <text>
        <t xml:space="preserve">======
ID#AAABjx7qTlQ
    (2025-05-21 11:33:26)
0712 chloe:收到銀行通知USD2058</t>
      </text>
    </comment>
    <comment authorId="0" ref="H431">
      <text>
        <t xml:space="preserve">======
ID#AAABjx7qTlU
    (2025-05-21 11:33:26)
0928 chloe:收到銀行通知US$46,724</t>
      </text>
    </comment>
    <comment authorId="0" ref="H602">
      <text>
        <t xml:space="preserve">======
ID#AAABjx7qTlE
    (2025-05-21 11:33:26)
1031 chloe: 收到銀行通知US$4,574.7</t>
      </text>
    </comment>
    <comment authorId="0" ref="H686">
      <text>
        <t xml:space="preserve">======
ID#AAABjx7qTko
    (2025-05-21 11:33:26)
1213 Santiago : US$7483 已到
1103 chloe: 收到US$9770 
( 另外US$7350尚未收到)</t>
      </text>
    </comment>
    <comment authorId="0" ref="H615">
      <text>
        <t xml:space="preserve">======
ID#AAABjx7qTkk
    (2025-05-21 11:33:26)
1011 chloe:收到銀行通知US$13950</t>
      </text>
    </comment>
    <comment authorId="0" ref="K419">
      <text>
        <t xml:space="preserve">======
ID#AAABjx7qTkY
    (2025-05-21 11:33:26)
尚未收到客戶通知</t>
      </text>
    </comment>
    <comment authorId="0" ref="H440">
      <text>
        <t xml:space="preserve">======
ID#AAABjx7qTkI
    (2025-05-21 11:33:26)
0908 chloe:收到銀行通知 US$248</t>
      </text>
    </comment>
    <comment authorId="0" ref="H400">
      <text>
        <t xml:space="preserve">======
ID#AAABjx7qTkE
    (2025-05-21 11:33:26)
0621 chloe: 收到銀行通知USD1215</t>
      </text>
    </comment>
    <comment authorId="0" ref="O206">
      <text>
        <t xml:space="preserve">======
ID#AAABjx7qTio
    (2025-05-21 11:33:26)
@30.35</t>
      </text>
    </comment>
    <comment authorId="0" ref="H651">
      <text>
        <t xml:space="preserve">======
ID#AAABjx7qTiY
    (2025-05-21 11:33:26)
1020 收到支票 NT51075元，待10
/30 兌現
1030 chloe 入帳</t>
      </text>
    </comment>
    <comment authorId="0" ref="K470">
      <text>
        <t xml:space="preserve">======
ID#AAABjx7qThE
    (2025-05-21 11:33:26)
與業務確認後再出貨
使用宸耀材積出貨
POC 212  *25  PCS  67x34x38cm  26KG   兩箱
POC 212  *10  PCS  35x40x40cm  11KG   一箱</t>
      </text>
    </comment>
    <comment authorId="0" ref="H142">
      <text>
        <t xml:space="preserve">======
ID#AAABjx7qThA
    (2025-05-21 11:33:26)
0614 chloe:收到銀行通知USD24424</t>
      </text>
    </comment>
    <comment authorId="0" ref="H320">
      <text>
        <t xml:space="preserve">======
ID#AAABjx7qTgo
    (2025-05-21 11:33:26)
0706 chloe: 收到銀行通知USD8418.5(扣上次多匯USD18)</t>
      </text>
    </comment>
    <comment authorId="0" ref="H593">
      <text>
        <t xml:space="preserve">======
ID#AAABjx7qTgk
    (2025-05-21 11:33:26)
1020 chloe:收到銀行通知US$9,895</t>
      </text>
    </comment>
    <comment authorId="0" ref="H57">
      <text>
        <t xml:space="preserve">======
ID#AAABjx7qTgU
    (2025-05-21 11:33:26)
0210 chloe:收到銀行通知USD4691</t>
      </text>
    </comment>
    <comment authorId="0" ref="H224">
      <text>
        <t xml:space="preserve">======
ID#AAABjx7qTgY
    (2025-05-21 11:33:26)
0428 chloe:收到銀行通知USD20982</t>
      </text>
    </comment>
    <comment authorId="0" ref="H826">
      <text>
        <t xml:space="preserve">======
ID#AAABjx7qTgM
    (2025-05-21 11:33:26)
0122 chloe:收到銀行通知USD75184.50</t>
      </text>
    </comment>
    <comment authorId="0" ref="H845">
      <text>
        <t xml:space="preserve">======
ID#AAABjx7qTgQ
    (2025-05-21 11:33:26)
0131 chloe:已匯入US$48618</t>
      </text>
    </comment>
    <comment authorId="0" ref="H49">
      <text>
        <t xml:space="preserve">======
ID#AAABjx7qTgI
    (2025-05-21 11:33:26)
0202 chloe:收到銀行通知USD13806</t>
      </text>
    </comment>
    <comment authorId="0" ref="K463">
      <text>
        <t xml:space="preserve">======
ID#AAABjx7qTf0
    (2025-05-21 11:33:26)
PI-20170523A 20台 材積: 67*34*38 cm
與業務確認後再出貨
使用宸耀材積出貨</t>
      </text>
    </comment>
    <comment authorId="0" ref="L521">
      <text>
        <t xml:space="preserve">======
ID#AAABjx7qTfw
    (2025-05-21 11:33:26)
0804 下單 預計5-6 周交貨
0816 詢問確定交期 →預計9/4-9/8可交貨</t>
      </text>
    </comment>
    <comment authorId="0" ref="L254">
      <text>
        <t xml:space="preserve">======
ID#AAABjx7qTfc
    (2025-05-21 11:33:26)
0424 詢問交期如期?</t>
      </text>
    </comment>
    <comment authorId="0" ref="K500">
      <text>
        <t xml:space="preserve">======
ID#AAABjx7qTfU
    (2025-05-21 11:33:26)
0731 chloe:待客戶付款</t>
      </text>
    </comment>
    <comment authorId="0" ref="H749">
      <text>
        <t xml:space="preserve">======
ID#AAABjx7qTeA
    (2025-05-21 11:33:26)
0131 chloe:已匯入US$48618</t>
      </text>
    </comment>
    <comment authorId="0" ref="L88">
      <text>
        <t xml:space="preserve">======
ID#AAABjx7qTd0
    (2025-05-21 11:33:26)
2/14到貨→原本預計2/20</t>
      </text>
    </comment>
    <comment authorId="0" ref="H75">
      <text>
        <t xml:space="preserve">======
ID#AAABjx7qTdg
    (2025-05-21 11:33:26)
0302 chloe::合庫收到款項NT390994</t>
      </text>
    </comment>
    <comment authorId="0" ref="O142">
      <text>
        <t xml:space="preserve">======
ID#AAABjx7qTdM
    (2025-05-21 11:33:26)
170225 改US$6447元
170223 扣抵金額(含稅)US$504,應支付貨款(含稅)為US$6447元</t>
      </text>
    </comment>
    <comment authorId="0" ref="H82">
      <text>
        <t xml:space="preserve">======
ID#AAABjx7qTc8
    (2025-05-21 11:33:26)
0302 chloe:收到銀行通知USD2107</t>
      </text>
    </comment>
    <comment authorId="0" ref="H140">
      <text>
        <t xml:space="preserve">======
ID#AAABjx7qTc4
    (2025-05-21 11:33:26)
0309 chloe:收到芳慎支票NT186841  3/30 可兌
4/6 入帳</t>
      </text>
    </comment>
    <comment authorId="0" ref="L737">
      <text>
        <t xml:space="preserve">======
ID#AAABjx7qTco
    (2025-05-21 11:33:26)
預計11/15到貨</t>
      </text>
    </comment>
    <comment authorId="0" ref="H620">
      <text>
        <t xml:space="preserve">======
ID#AAABjx7qTck
    (2025-05-21 11:33:26)
1012 chloe: 收到銀行通知US$52,255</t>
      </text>
    </comment>
    <comment authorId="0" ref="W507">
      <text>
        <t xml:space="preserve">======
ID#AAABjx7qTcY
Santiago 20180124    (2025-05-21 11:33:26)
之前1/10 多付這筆費用, 
因為MOXA的帳上沒有這筆, 
所以移除, 並重新和MOXA討論</t>
      </text>
    </comment>
    <comment authorId="0" ref="K80">
      <text>
        <t xml:space="preserve">======
ID#AAABjx7qTbQ
材積：2.9KGS    (2025-05-21 11:33:26)
</t>
      </text>
    </comment>
    <comment authorId="0" ref="H268">
      <text>
        <t xml:space="preserve">======
ID#AAABjx7qTbE
    (2025-05-21 11:33:26)
0612 chloe:今日已收到銀行通知USD7074(多USD18,下次額度)</t>
      </text>
    </comment>
    <comment authorId="0" ref="H564">
      <text>
        <t xml:space="preserve">======
ID#AAABjx7qTag
    (2025-05-21 11:33:26)
1025chloe:收到銀行通知US$35416.8</t>
      </text>
    </comment>
    <comment authorId="0" ref="H229">
      <text>
        <t xml:space="preserve">======
ID#AAABjx7qTZ8
    (2025-05-21 11:33:26)
0630 chloe:收到銀行通知USD3230</t>
      </text>
    </comment>
    <comment authorId="0" ref="E655">
      <text>
        <t xml:space="preserve">======
ID#AAABjx7qTZw
    (2025-05-21 11:33:26)
20170928 chloe: EOL，替代:HDR-15-12</t>
      </text>
    </comment>
    <comment authorId="0" ref="L119">
      <text>
        <t xml:space="preserve">======
ID#AAABjx7qTZc
    (2025-05-21 11:33:26)
0220 chloe: 告知主板庫存問題，交期3/10 待PULL IN</t>
      </text>
    </comment>
    <comment authorId="0" ref="H372">
      <text>
        <t xml:space="preserve">======
ID#AAABjx7qTY0
    (2025-05-21 11:33:26)
0619 chloe:收到銀行通知USD1710.5</t>
      </text>
    </comment>
    <comment authorId="0" ref="K475">
      <text>
        <t xml:space="preserve">======
ID#AAABjx7qTYM
    (2025-05-21 11:33:26)
0707 Santiago: 希望交期</t>
      </text>
    </comment>
    <comment authorId="0" ref="K328">
      <text>
        <t xml:space="preserve">======
ID#AAABjx7qTXE
    (2025-05-21 11:33:26)
材積預估為67x34x38(cm)
重量24kg
共一箱
有文件須放置內箱</t>
      </text>
    </comment>
    <comment authorId="0" ref="H89">
      <text>
        <t xml:space="preserve">======
ID#AAABjx7qTWw
    (2025-05-21 11:33:26)
0406 chloe:收到銀行通知USD16968</t>
      </text>
    </comment>
    <comment authorId="0" ref="H573">
      <text>
        <t xml:space="preserve">======
ID#AAABjx7qTWQ
    (2025-05-21 11:33:26)
1012chloe:收到客戶水單，待銀行解款
1013 chloe:收到銀行通知USD15,415</t>
      </text>
    </comment>
    <comment authorId="0" ref="H357">
      <text>
        <t xml:space="preserve">======
ID#AAABjx7qTWM
    (2025-05-21 11:33:26)
0609 chloe:收到銀行通知USD6140</t>
      </text>
    </comment>
    <comment authorId="0" ref="E310">
      <text>
        <t xml:space="preserve">======
ID#AAABjx7qTWI
    (2025-05-21 11:33:26)
170517 Karen: 下歐規電源</t>
      </text>
    </comment>
    <comment authorId="0" ref="H655">
      <text>
        <t xml:space="preserve">======
ID#AAABjx7qTVc
    (2025-05-21 11:33:26)
1003 chloe:收到轉帳NT2684</t>
      </text>
    </comment>
    <comment authorId="0" ref="E258">
      <text>
        <t xml:space="preserve">======
ID#AAABjx7qTVg
    (2025-05-21 11:33:26)
20170104 Santiago: 和之前訂單一樣, w/o adapter</t>
      </text>
    </comment>
    <comment authorId="0" ref="L826">
      <text>
        <t xml:space="preserve">======
ID#AAABjx7qTUs
    (2025-05-21 11:33:26)
預計12/19到貨</t>
      </text>
    </comment>
    <comment authorId="0" ref="K444">
      <text>
        <t xml:space="preserve">======
ID#AAABjx7qTTk
    (2025-05-21 11:33:26)
Hi Chloe,
20170629B的INVOICE，請注意下列事項：
１）出貨invoice &amp; packing list移除 w/ EU adapter 字眼. 避免海闗查
２）加HSN : 85176990在invoice備註中</t>
      </text>
    </comment>
    <comment authorId="0" ref="L569">
      <text>
        <t xml:space="preserve">======
ID#AAABjx7qTTc
    (2025-05-21 11:33:26)
0828 待供應商給予確定交期
0901 更改數量2PCS待交期回覆
→追加後延至 9/15 會持續PULL IN
0908 詢問交提前?</t>
      </text>
    </comment>
    <comment authorId="0" ref="H232">
      <text>
        <t xml:space="preserve">======
ID#AAABjx7qTTg
    (2025-05-21 11:33:26)
0523 chloe:已收到銀行通知USD6750</t>
      </text>
    </comment>
    <comment authorId="0" ref="H411">
      <text>
        <t xml:space="preserve">======
ID#AAABjx7qTTQ
    (2025-05-21 11:33:26)
0803 chloe:收到銀行通知USD3891</t>
      </text>
    </comment>
    <comment authorId="0" ref="E324">
      <text>
        <t xml:space="preserve">======
ID#AAABjx7qTTA
    (2025-05-21 11:33:26)
170523 Karen: 下歐規</t>
      </text>
    </comment>
    <comment authorId="0" ref="P192">
      <text>
        <t xml:space="preserve">======
ID#AAABjx7qTTE
    (2025-05-21 11:33:26)
前一天央行@30.556</t>
      </text>
    </comment>
    <comment authorId="0" ref="H639">
      <text>
        <t xml:space="preserve">======
ID#AAABjx7qTSs
    (2025-05-21 11:33:26)
1002 chloe:收到銀行通知US$634</t>
      </text>
    </comment>
    <comment authorId="0" ref="H273">
      <text>
        <t xml:space="preserve">======
ID#AAABjx7qTSo
    (2025-05-21 11:33:26)
7/14 chloe:收到銀行通知USD24,331.50</t>
      </text>
    </comment>
    <comment authorId="0" ref="L512">
      <text>
        <t xml:space="preserve">======
ID#AAABjx7qTSg
    (2025-05-21 11:33:26)
待確認交期</t>
      </text>
    </comment>
    <comment authorId="0" ref="L617">
      <text>
        <t xml:space="preserve">======
ID#AAABjx7qTSI
    (2025-05-21 11:33:26)
機車快遞當天到貨
0921到貨</t>
      </text>
    </comment>
    <comment authorId="0" ref="L118">
      <text>
        <t xml:space="preserve">======
ID#AAABjx7qTRw
    (2025-05-21 11:33:26)
原交期2/23</t>
      </text>
    </comment>
    <comment authorId="0" ref="D327">
      <text>
        <t xml:space="preserve">======
ID#AAABjx7qTRc
Benson20170817    (2025-05-21 11:33:26)
Debit note: 20 x US$ 31 = US$ 620</t>
      </text>
    </comment>
    <comment authorId="0" ref="L236">
      <text>
        <t xml:space="preserve">======
ID#AAABjx7qTRA
    (2025-05-21 11:33:26)
0414 chloe:IEI交期5/18，待PULL
0512 告知有機會5/18當天到貨
5/16 到貨</t>
      </text>
    </comment>
    <comment authorId="0" ref="H435">
      <text>
        <t xml:space="preserve">======
ID#AAABjx7qTQc
    (2025-05-21 11:33:26)
0814 chloe:收到銀行通知USD 30277</t>
      </text>
    </comment>
    <comment authorId="0" ref="L598">
      <text>
        <t xml:space="preserve">======
ID#AAABjx7qTQQ
    (2025-05-21 11:33:26)
Leon 預計10/2到貨</t>
      </text>
    </comment>
    <comment authorId="0" ref="E163">
      <text>
        <t xml:space="preserve">======
ID#AAABjx7qTQM
    (2025-05-21 11:33:26)
20170104 Santiago: 和之前訂單一樣, w/o adapter</t>
      </text>
    </comment>
    <comment authorId="0" ref="H61">
      <text>
        <t xml:space="preserve">======
ID#AAABjx7qTP0
    (2025-05-21 11:33:26)
0210 chloe:收到銀行通知USD4691</t>
      </text>
    </comment>
    <comment authorId="0" ref="L194">
      <text>
        <t xml:space="preserve">======
ID#AAABjx7qTPs
    (2025-05-21 11:33:26)
0407 詢問是否有可能提前</t>
      </text>
    </comment>
    <comment authorId="0" ref="L679">
      <text>
        <t xml:space="preserve">======
ID#AAABjx7qTPg
    (2025-05-21 11:33:26)
預計10/13到貨</t>
      </text>
    </comment>
    <comment authorId="0" ref="H413">
      <text>
        <t xml:space="preserve">======
ID#AAABjx7qTPc
    (2025-05-21 11:33:26)
0803 chloe:收到銀行通知USD3891</t>
      </text>
    </comment>
    <comment authorId="0" ref="H111">
      <text>
        <t xml:space="preserve">======
ID#AAABjx7qTO8
    (2025-05-21 11:33:26)
0216 chloe :收到銀行通知USD217</t>
      </text>
    </comment>
    <comment authorId="0" ref="H149">
      <text>
        <t xml:space="preserve">======
ID#AAABjx7qTOo
    (2025-05-21 11:33:26)
0525 收到支票 NT117686元，待5/31 兌現
0605 chloe: 入帳</t>
      </text>
    </comment>
    <comment authorId="0" ref="H238">
      <text>
        <t xml:space="preserve">======
ID#AAABjx7qTOg
    (2025-05-21 11:33:26)
0612 chloe:今日已收到銀行通知USD7074(多USD10)</t>
      </text>
    </comment>
    <comment authorId="0" ref="H847">
      <text>
        <t xml:space="preserve">======
ID#AAABjx7qTOA
    (2025-05-21 11:33:26)
0131 chloe:已匯入US$48618</t>
      </text>
    </comment>
    <comment authorId="0" ref="H93">
      <text>
        <t xml:space="preserve">======
ID#AAABjx7qTN8
    (2025-05-21 11:33:26)
0218 chloe:收到銀行通知USD4087</t>
      </text>
    </comment>
    <comment authorId="0" ref="H739">
      <text>
        <t xml:space="preserve">======
ID#AAABjx7qTNs
    (2025-05-21 11:33:26)
20171128 Santiago: 已匯入</t>
      </text>
    </comment>
    <comment authorId="0" ref="L728">
      <text>
        <t xml:space="preserve">======
ID#AAABjx7qTNw
    (2025-05-21 11:33:26)
已交由LEON</t>
      </text>
    </comment>
    <comment authorId="0" ref="H581">
      <text>
        <t xml:space="preserve">======
ID#AAABjx7qTMw
    (2025-05-21 11:33:26)
1108 chloe: 匯入US$25553
尾款 US$9145 預計 1113 匯出
1114 chloe: 收到銀行通知 尾款匯入 US$9135</t>
      </text>
    </comment>
    <comment authorId="0" ref="O336">
      <text>
        <t xml:space="preserve">======
ID#AAABjx7qTME
    (2025-05-21 11:33:26)
0607 chloe:特簽無卡出貨</t>
      </text>
    </comment>
    <comment authorId="0" ref="L784">
      <text>
        <t xml:space="preserve">======
ID#AAABjx7qTMI
    (2025-05-21 11:33:26)
預計12/15到貨</t>
      </text>
    </comment>
    <comment authorId="0" ref="H283">
      <text>
        <t xml:space="preserve">======
ID#AAABjx7qTLo
    (2025-05-21 11:33:26)
0525 Chloe:收到銀行通知USD718</t>
      </text>
    </comment>
    <comment authorId="0" ref="L673">
      <text>
        <t xml:space="preserve">======
ID#AAABjx7qTLc
    (2025-05-21 11:33:26)
交期5天</t>
      </text>
    </comment>
    <comment authorId="0" ref="L100">
      <text>
        <t xml:space="preserve">======
ID#AAABjx7qTLQ
    (2025-05-21 11:33:26)
0203 下單待追
0208  告知確定交期，可能會再提前</t>
      </text>
    </comment>
    <comment authorId="0" ref="K10">
      <text>
        <t xml:space="preserve">======
ID#AAABjx7qTKQ
    (2025-05-21 11:33:26)
1026 chloe:預計12月份</t>
      </text>
    </comment>
    <comment authorId="0" ref="K598">
      <text>
        <t xml:space="preserve">======
ID#AAABjx7qTJ0
    (2025-05-21 11:33:26)
Christine1002: 待付款</t>
      </text>
    </comment>
    <comment authorId="0" ref="K612">
      <text>
        <t xml:space="preserve">======
ID#AAABjx7qTJg
    (2025-05-21 11:33:26)
christine 0925: 待付款</t>
      </text>
    </comment>
    <comment authorId="0" ref="L613">
      <text>
        <t xml:space="preserve">======
ID#AAABjx7qTJM
    (2025-05-21 11:33:26)
9/25</t>
      </text>
    </comment>
    <comment authorId="0" ref="H288">
      <text>
        <t xml:space="preserve">======
ID#AAABjx7qTJA
    (2025-05-21 11:33:26)
0706 chloe: 收到銀行通知USD8418.5(扣上次多匯USD18)</t>
      </text>
    </comment>
    <comment authorId="0" ref="H300">
      <text>
        <t xml:space="preserve">======
ID#AAABjx7qTJE
    (2025-05-21 11:33:26)
0706 chloe: 收到銀行通知USD8418.5(扣上次多匯USD18)</t>
      </text>
    </comment>
    <comment authorId="0" ref="H315">
      <text>
        <t xml:space="preserve">======
ID#AAABjx7qTHs
    (2025-05-21 11:33:26)
0628 chloe: 收到銀行通知USD264</t>
      </text>
    </comment>
    <comment authorId="0" ref="H439">
      <text>
        <t xml:space="preserve">======
ID#AAABjx7qTHQ
    (2025-05-21 11:33:26)
0703 Chloe:收到銀行通知USD1164</t>
      </text>
    </comment>
    <comment authorId="0" ref="K396">
      <text>
        <t xml:space="preserve">======
ID#AAABjx7qTHA
    (2025-05-21 11:33:26)
38*32*45 8KG</t>
      </text>
    </comment>
    <comment authorId="0" ref="H43">
      <text>
        <t xml:space="preserve">======
ID#AAABjx7qTGE
    (2025-05-21 11:33:26)
7/14 chloe:收到銀行通知USD24,331.50</t>
      </text>
    </comment>
    <comment authorId="0" ref="H794">
      <text>
        <t xml:space="preserve">======
ID#AAABjx7qTFo
    (2025-05-21 11:33:26)
1225 Santiago: US$18317 入帳
客戶多付US$40 RMA 費用</t>
      </text>
    </comment>
    <comment authorId="0" ref="L364">
      <text>
        <t xml:space="preserve">======
ID#AAABjx7qTFc
    (2025-05-21 11:33:26)
0613左右會再告知</t>
      </text>
    </comment>
    <comment authorId="0" ref="H76">
      <text>
        <t xml:space="preserve">======
ID#AAABjx7qTFQ
    (2025-05-21 11:33:26)
0406 chloe:收到銀行通知USD16968</t>
      </text>
    </comment>
    <comment authorId="0" ref="L312">
      <text>
        <t xml:space="preserve">======
ID#AAABjx7qTE4
    (2025-05-21 11:33:26)
0519 告知 德利威交期4-5週
0524 德利威開關交期6/27
0707到貨</t>
      </text>
    </comment>
    <comment authorId="0" ref="H129">
      <text>
        <t xml:space="preserve">======
ID#AAABjx7qTEg
    (2025-05-21 11:33:26)
0406 chloe::合庫收到款項NT793831</t>
      </text>
    </comment>
    <comment authorId="0" ref="E75">
      <text>
        <t xml:space="preserve">======
ID#AAABjx7qTEI
    (2025-05-21 11:33:26)
20170104 Santiago: 和之前訂單一樣, w/o adapter</t>
      </text>
    </comment>
    <comment authorId="0" ref="H233">
      <text>
        <t xml:space="preserve">======
ID#AAABjx7qTD0
    (2025-05-21 11:33:26)
0523 chloe:已收到銀行通知USD6750</t>
      </text>
    </comment>
    <comment authorId="0" ref="H702">
      <text>
        <t xml:space="preserve">======
ID#AAABjx7qTDQ
    (2025-05-21 11:33:26)
1019 chloe:收到銀行通知US$7496</t>
      </text>
    </comment>
    <comment authorId="0" ref="L120">
      <text>
        <t xml:space="preserve">======
ID#AAABjx7qTCs
    (2025-05-21 11:33:26)
0220 chloe: 告知主板庫存問題，交期3/10 待PULL IN</t>
      </text>
    </comment>
    <comment authorId="0" ref="H499">
      <text>
        <t xml:space="preserve">======
ID#AAABjx7qTCg
    (2025-05-21 11:33:26)
0822 chloe:已收到銀行通知USD17120</t>
      </text>
    </comment>
    <comment authorId="0" ref="K133">
      <text>
        <t xml:space="preserve">======
ID#AAABjx7qTCc
    (2025-05-21 11:33:26)
TIP 修改?</t>
      </text>
    </comment>
    <comment authorId="0" ref="L671">
      <text>
        <t xml:space="preserve">======
ID#AAABjx7qTCY
    (2025-05-21 11:33:26)
交期:10/20 那週
1011 chloe:  交期仍然無法回覆
預計到貨10/25</t>
      </text>
    </comment>
    <comment authorId="0" ref="K54">
      <text>
        <t xml:space="preserve">======
ID#AAABjx7qTCE
    (2025-05-21 11:33:26)
待安陽與國外確認EX WORK/FOB才能後續動作</t>
      </text>
    </comment>
    <comment authorId="0" ref="H604">
      <text>
        <t xml:space="preserve">======
ID#AAABjx7qTB8
    (2025-05-21 11:33:26)
1020 chloe:收到銀行通知US$9,895</t>
      </text>
    </comment>
    <comment authorId="0" ref="H455">
      <text>
        <t xml:space="preserve">======
ID#AAABjx7qTB4
    (2025-05-21 11:33:26)
0817 chloe: 收到銀行通知USD16029.3 (原 16657.3- 620)</t>
      </text>
    </comment>
    <comment authorId="0" ref="H566">
      <text>
        <t xml:space="preserve">======
ID#AAABjx7qTBs
    (2025-05-21 11:33:26)
1017chloe:收到銀行通知US$24736</t>
      </text>
    </comment>
    <comment authorId="0" ref="H446">
      <text>
        <t xml:space="preserve">======
ID#AAABjx7qTBo
    (2025-05-21 11:33:26)
0706 chloe:收到轉帳NT6202</t>
      </text>
    </comment>
    <comment authorId="0" ref="H450">
      <text>
        <t xml:space="preserve">======
ID#AAABjx7qTBk
    (2025-05-21 11:33:26)
0821 chloe: 收到銀行通知USD993</t>
      </text>
    </comment>
    <comment authorId="0" ref="H289">
      <text>
        <t xml:space="preserve">======
ID#AAABjx7qTBY
    (2025-05-21 11:33:26)
0710 chloe:收到銀行通知USD909</t>
      </text>
    </comment>
    <comment authorId="0" ref="L403">
      <text>
        <t xml:space="preserve">======
ID#AAABjx7qTBM
    (2025-05-21 11:33:26)
版子燒壞
0906 chloe:機殼打錯，延遲
0919 USB孔位短缺，拿回重改</t>
      </text>
    </comment>
    <comment authorId="0" ref="H758">
      <text>
        <t xml:space="preserve">======
ID#AAABjx7qTA0
    (2025-05-21 11:33:26)
1120 Santiago 已收到客戶匯款US$1910
1116 chloe:已有客戶水單，待銀行通知(可先出貨)</t>
      </text>
    </comment>
    <comment authorId="0" ref="L135">
      <text>
        <t xml:space="preserve">======
ID#AAABjx7qTAw
    (2025-05-21 11:33:26)
2/15 回覆3/20 交期→待2/22 PULL IN</t>
      </text>
    </comment>
    <comment authorId="0" ref="C282">
      <text>
        <t xml:space="preserve">======
ID#AAABjx7qTAI
    (2025-05-21 11:33:26)
170507 未回覆交期是否接受，故先取消。</t>
      </text>
    </comment>
    <comment authorId="0" ref="H358">
      <text>
        <t xml:space="preserve">======
ID#AAABjx7qTAM
    (2025-05-21 11:33:26)
1114 chloe: 收到款項NT16226</t>
      </text>
    </comment>
    <comment authorId="0" ref="H254">
      <text>
        <t xml:space="preserve">======
ID#AAABjx7qTAE
    (2025-05-21 11:33:26)
0612 chloe:收到銀行通知USD436</t>
      </text>
    </comment>
    <comment authorId="0" ref="E224">
      <text>
        <t xml:space="preserve">======
ID#AAABjx7qS_0
    (2025-05-21 11:33:26)
170409 Karen: 正確型號IKS-G6524A-4GTXSFP-HV-HV</t>
      </text>
    </comment>
    <comment authorId="0" ref="H661">
      <text>
        <t xml:space="preserve">======
ID#AAABjx7qS-8
    (2025-05-21 11:33:26)
1225 Santiago: US$18317 入帳
客戶多付US$40 RMA 費用</t>
      </text>
    </comment>
    <comment authorId="0" ref="H402">
      <text>
        <t xml:space="preserve">======
ID#AAABjx7qS-k
    (2025-05-21 11:33:26)
0630 chloe:收到銀行通知USD1324</t>
      </text>
    </comment>
    <comment authorId="0" ref="H180">
      <text>
        <t xml:space="preserve">======
ID#AAABjx7qS-g
    (2025-05-21 11:33:26)
0517 chloe :收到銀行通知USD7368.5</t>
      </text>
    </comment>
    <comment authorId="0" ref="M124">
      <text>
        <t xml:space="preserve">======
ID#AAABjx7qS-M
    (2025-05-21 11:33:26)
Santiago親送</t>
      </text>
    </comment>
    <comment authorId="0" ref="L197">
      <text>
        <t xml:space="preserve">======
ID#AAABjx7qS-Q
    (2025-05-21 11:33:26)
原定3/30 到貨，提前</t>
      </text>
    </comment>
    <comment authorId="0" ref="H417">
      <text>
        <t xml:space="preserve">======
ID#AAABjx7qS9I
    (2025-05-21 11:33:26)
1002 chloe: 收到銀行通知US$3780</t>
      </text>
    </comment>
    <comment authorId="0" ref="H191">
      <text>
        <t xml:space="preserve">======
ID#AAABjx7qS88
    (2025-05-21 11:33:26)
0508 chloe:已收到銀行通知USD3244</t>
      </text>
    </comment>
    <comment authorId="0" ref="L781">
      <text>
        <t xml:space="preserve">======
ID#AAABjx7qS8s
    (2025-05-21 11:33:26)
預計12/6到貨</t>
      </text>
    </comment>
    <comment authorId="0" ref="H270">
      <text>
        <t xml:space="preserve">======
ID#AAABjx7qS8g
    (2025-05-21 11:33:26)
0612 chloe:今日已收到銀行通知USD7074(多USD18,下次額度)</t>
      </text>
    </comment>
    <comment authorId="0" ref="J341">
      <text>
        <t xml:space="preserve">======
ID#AAABjx7qS8c
170525 Tammy, 參照20160930C, 如下    (2025-05-21 11:33:26)
1. FOB. 
2. 請JJB 出口報關時提供COC (產地證明)
3.貨代聯絡資料如下：
JJB Link Logistics Company Inc.
Office Address: 8F., No. 152, Sec. 4, Nan-King E., Road, Taipei Taiwan.
CTP: Timothy Jen, Tel: +886-2-25772111 #105, Fax: +886-2-25702115
Tim-TPE@jjb-link.com</t>
      </text>
    </comment>
    <comment authorId="0" ref="H64">
      <text>
        <t xml:space="preserve">======
ID#AAABjx7qS8Y
    (2025-05-21 11:33:26)
0210 chloe:收到銀行通知USD4691</t>
      </text>
    </comment>
    <comment authorId="0" ref="H787">
      <text>
        <t xml:space="preserve">======
ID#AAABjx7qS7o
    (2025-05-21 11:33:26)
Santiago 0108 : 玉山收到US$22291</t>
      </text>
    </comment>
    <comment authorId="0" ref="H502">
      <text>
        <t xml:space="preserve">======
ID#AAABjx7qS7g
    (2025-05-21 11:33:26)
0731 chloe: 收到銀行通知USD 2381</t>
      </text>
    </comment>
    <comment authorId="0" ref="H168">
      <text>
        <t xml:space="preserve">======
ID#AAABjx7qS7U
    (2025-05-21 11:33:26)
0525 chloe:收到銀行通知USD818</t>
      </text>
    </comment>
    <comment authorId="0" ref="H728">
      <text>
        <t xml:space="preserve">======
ID#AAABjx7qS7E
    (2025-05-21 11:33:26)
1106 chloe : 收到銀行通知US$469</t>
      </text>
    </comment>
    <comment authorId="0" ref="H506">
      <text>
        <t xml:space="preserve">======
ID#AAABjx7qS6w
    (2025-05-21 11:33:26)
1012 chloe: 收到銀行通知US$52,255</t>
      </text>
    </comment>
    <comment authorId="0" ref="H494">
      <text>
        <t xml:space="preserve">======
ID#AAABjx7qS6Y
    (2025-05-21 11:33:26)
0728 chloe: 收到銀行通知USD11540</t>
      </text>
    </comment>
    <comment authorId="0" ref="H161">
      <text>
        <t xml:space="preserve">======
ID#AAABjx7qS6Q
    (2025-05-21 11:33:26)
0724 收到支票 NT101069元，待7/30兌現
0802 入帳</t>
      </text>
    </comment>
    <comment authorId="0" ref="H386">
      <text>
        <t xml:space="preserve">======
ID#AAABjx7qS6I
    (2025-05-21 11:33:26)
0821 chloe: 收到銀行通知USD 2400 + 1/19多匯USD6330 = USD8730</t>
      </text>
    </comment>
    <comment authorId="0" ref="H340">
      <text>
        <t xml:space="preserve">======
ID#AAABjx7qS5k
    (2025-05-21 11:33:26)
0731 Chloe:已收到款項 NT18,151</t>
      </text>
    </comment>
    <comment authorId="0" ref="H194">
      <text>
        <t xml:space="preserve">======
ID#AAABjx7qS4o
    (2025-05-21 11:33:26)
0517 chloe :收到銀行通知USD7368.5</t>
      </text>
    </comment>
    <comment authorId="0" ref="K759">
      <text>
        <t xml:space="preserve">======
ID#AAABjx7qS4M
    (2025-05-21 11:33:26)
Christine1120: RMA-20171011A一起返回</t>
      </text>
    </comment>
    <comment authorId="0" ref="O586">
      <text>
        <t xml:space="preserve">======
ID#AAABjx7qS4A
    (2025-05-21 11:33:26)
10 (科技國給MOXA手續費)</t>
      </text>
    </comment>
    <comment authorId="0" ref="J570">
      <text>
        <t xml:space="preserve">======
ID#AAABjx7qS3E
    (2025-05-21 11:33:26)
to Melbourne address</t>
      </text>
    </comment>
    <comment authorId="0" ref="H596">
      <text>
        <t xml:space="preserve">======
ID#AAABjx7qS20
    (2025-05-21 11:33:26)
1025chloe:收到銀行通知US$35416.8</t>
      </text>
    </comment>
    <comment authorId="0" ref="AB74">
      <text>
        <t xml:space="preserve">======
ID#AAABjx7qS2w
    (2025-05-21 11:33:26)
執據:002684 223340 10</t>
      </text>
    </comment>
    <comment authorId="0" ref="H776">
      <text>
        <t xml:space="preserve">======
ID#AAABjx7qS2k
    (2025-05-21 11:33:26)
0227 chloe: 收到 匯款NT2,990,255</t>
      </text>
    </comment>
    <comment authorId="0" ref="H710">
      <text>
        <t xml:space="preserve">======
ID#AAABjx7qS2g
    (2025-05-21 11:33:26)
1113 chloe:收到銀行通知US$8740</t>
      </text>
    </comment>
    <comment authorId="0" ref="H409">
      <text>
        <t xml:space="preserve">======
ID#AAABjx7qS1g
    (2025-05-21 11:33:26)
0817 chloe: 收到銀行通知USD16029.3 (原 16657.3- 620)</t>
      </text>
    </comment>
    <comment authorId="0" ref="H91">
      <text>
        <t xml:space="preserve">======
ID#AAABjx7qS1c
    (2025-05-21 11:33:26)
0302 chloe:收到銀行通知USD2107</t>
      </text>
    </comment>
    <comment authorId="0" ref="H235">
      <text>
        <t xml:space="preserve">======
ID#AAABjx7qS1Y
    (2025-05-21 11:33:26)
0414 chloe:收到銀行通知USD139</t>
      </text>
    </comment>
    <comment authorId="0" ref="H262">
      <text>
        <t xml:space="preserve">======
ID#AAABjx7qS0U
    (2025-05-21 11:33:26)
0810 chloe:收到NT1,960,530</t>
      </text>
    </comment>
    <comment authorId="0" ref="H313">
      <text>
        <t xml:space="preserve">======
ID#AAABjx7qS0M
    (2025-05-21 11:33:26)
7/14 chloe:收到銀行通知USD1427</t>
      </text>
    </comment>
    <comment authorId="0" ref="H772">
      <text>
        <t xml:space="preserve">======
ID#AAABjx7qSzo
    (2025-05-21 11:33:26)
0227 chloe: 收到 匯款NT2,990,255</t>
      </text>
    </comment>
    <comment authorId="0" ref="H52">
      <text>
        <t xml:space="preserve">======
ID#AAABjx7qSzI
    (2025-05-21 11:33:26)
0202 chloe:收到銀行通知USD13806</t>
      </text>
    </comment>
    <comment authorId="0" ref="K614">
      <text>
        <t xml:space="preserve">======
ID#AAABjx7qSzA
    (2025-05-21 11:33:26)
christine 0925: 待付款</t>
      </text>
    </comment>
    <comment authorId="0" ref="D73">
      <text>
        <t xml:space="preserve">======
ID#AAABjx7qSy8
    (2025-05-21 11:33:26)
測試 Samsung HDD</t>
      </text>
    </comment>
    <comment authorId="0" ref="L159">
      <text>
        <t xml:space="preserve">======
ID#AAABjx7qSyM
    (2025-05-21 11:33:26)
0308 chloe: 若要再提前可以告知</t>
      </text>
    </comment>
    <comment authorId="0" ref="L602">
      <text>
        <t xml:space="preserve">======
ID#AAABjx7qSx8
    (2025-05-21 11:33:26)
原預交日10/2，到貨9/26</t>
      </text>
    </comment>
    <comment authorId="0" ref="G80">
      <text>
        <t xml:space="preserve">======
ID#AAABjx7qSx4
    (2025-05-21 11:33:26)
NT$7200 / 1 pcs 未稅</t>
      </text>
    </comment>
    <comment authorId="0" ref="H116">
      <text>
        <t xml:space="preserve">======
ID#AAABjx7qSxw
    (2025-05-21 11:33:26)
0307 chloe: 1/19多匯USD6330，無告知是否退回
0317 chloe: 0317 收到銀行通知USD5020</t>
      </text>
    </comment>
    <comment authorId="0" ref="H453">
      <text>
        <t xml:space="preserve">======
ID#AAABjx7qSxo
    (2025-05-21 11:33:26)
0817 chloe: 收到銀行通知USD16029.3 (原 16657.3- 620)</t>
      </text>
    </comment>
    <comment authorId="0" ref="H600">
      <text>
        <t xml:space="preserve">======
ID#AAABjx7qSw8
    (2025-05-21 11:33:26)
1106 chloe:已收到NT$1,048,766</t>
      </text>
    </comment>
    <comment authorId="0" ref="B541">
      <text>
        <t xml:space="preserve">======
ID#AAABjx7qSwM
    (2025-05-21 11:33:26)
chloe:收到款項後才能下單
1005 chloe: 待Charles 通知再計算獎金</t>
      </text>
    </comment>
    <comment authorId="0" ref="H606">
      <text>
        <t xml:space="preserve">======
ID#AAABjx7qSv4
    (2025-05-21 11:33:26)
1025 chloe:收到銀行通知US$1181</t>
      </text>
    </comment>
    <comment authorId="0" ref="H263">
      <text>
        <t xml:space="preserve">======
ID#AAABjx7qSvo
    (2025-05-21 11:33:26)
0810 chloe:收到NT1,960,530</t>
      </text>
    </comment>
    <comment authorId="0" ref="H653">
      <text>
        <t xml:space="preserve">======
ID#AAABjx7qSt8
    (2025-05-21 11:33:26)
1124 Santiago : 已收到匯款2950</t>
      </text>
    </comment>
    <comment authorId="0" ref="H322">
      <text>
        <t xml:space="preserve">======
ID#AAABjx7qStw
    (2025-05-21 11:33:26)
0706 chloe: 收到銀行通知USD8418.5(扣上次多匯USD18)</t>
      </text>
    </comment>
    <comment authorId="0" ref="K317">
      <text>
        <t xml:space="preserve">======
ID#AAABjx7qStk
    (2025-05-21 11:33:26)
21x14x9cm</t>
      </text>
    </comment>
    <comment authorId="0" ref="L630">
      <text>
        <t xml:space="preserve">======
ID#AAABjx7qSsM
    (2025-05-21 11:33:26)
Leon 預計10/2到貨</t>
      </text>
    </comment>
    <comment authorId="0" ref="H636">
      <text>
        <t xml:space="preserve">======
ID#AAABjx7qSr4
    (2025-05-21 11:33:26)
1002 chloe:收到銀行通知US$634</t>
      </text>
    </comment>
    <comment authorId="0" ref="H609">
      <text>
        <t xml:space="preserve">======
ID#AAABjx7qSro
    (2025-05-21 11:33:26)
1011 chloe:收到銀行通知US$13950</t>
      </text>
    </comment>
    <comment authorId="0" ref="H405">
      <text>
        <t xml:space="preserve">======
ID#AAABjx7qSrY
    (2025-05-21 11:33:26)
0629 chloe: 收到銀行通知USD2254</t>
      </text>
    </comment>
    <comment authorId="0" ref="E475">
      <text>
        <t xml:space="preserve">======
ID#AAABjx7qSrQ
    (2025-05-21 11:33:26)
20170104 Santiago: 和之前訂單一樣, w/o adapter</t>
      </text>
    </comment>
    <comment authorId="0" ref="K599">
      <text>
        <t xml:space="preserve">======
ID#AAABjx7qSrE
    (2025-05-21 11:33:26)
Christine1002: 待付款</t>
      </text>
    </comment>
    <comment authorId="0" ref="H654">
      <text>
        <t xml:space="preserve">======
ID#AAABjx7qSqA
    (2025-05-21 11:33:26)
1124 Santiago : 已收到匯款2950</t>
      </text>
    </comment>
    <comment authorId="0" ref="H825">
      <text>
        <t xml:space="preserve">======
ID#AAABjx7qSpw
    (2025-05-21 11:33:26)
0119 chloe 收到銀行通知US$2420</t>
      </text>
    </comment>
    <comment authorId="0" ref="H418">
      <text>
        <t xml:space="preserve">======
ID#AAABjx7qSow
    (2025-05-21 11:33:26)
0706 chloe:收到銀行通知USD6698</t>
      </text>
    </comment>
    <comment authorId="0" ref="H4">
      <text>
        <t xml:space="preserve">======
ID#AAABjx7qSoA
    (2025-05-21 11:33:26)
0701 Santiago: 收到銀行通知</t>
      </text>
    </comment>
    <comment authorId="0" ref="H571">
      <text>
        <t xml:space="preserve">======
ID#AAABjx7qSn8
    (2025-05-21 11:33:26)
0915 chloe: 收到款項NT 10699</t>
      </text>
    </comment>
    <comment authorId="0" ref="H176">
      <text>
        <t xml:space="preserve">======
ID#AAABjx7qSn4
    (2025-05-21 11:33:26)
0517 chloe :收到銀行通知USD7368.5</t>
      </text>
    </comment>
    <comment authorId="0" ref="H498">
      <text>
        <t xml:space="preserve">======
ID#AAABjx7qSnE
    (2025-05-21 11:33:26)
0822 chloe:已收到銀行通知USD17120</t>
      </text>
    </comment>
    <comment authorId="0" ref="O738">
      <text>
        <t xml:space="preserve">======
ID#AAABjx7qSm0
    (2025-05-21 11:33:26)
1102 匯入</t>
      </text>
    </comment>
    <comment authorId="0" ref="H687">
      <text>
        <t xml:space="preserve">======
ID#AAABjx7qSmw
    (2025-05-21 11:33:26)
1213 Santiago : US$7483 已到
1103 chloe: 收到US$9770 
( 另外US$7493尚未收到)</t>
      </text>
    </comment>
    <comment authorId="0" ref="H88">
      <text>
        <t xml:space="preserve">======
ID#AAABjx7qSmk
    (2025-05-21 11:33:26)
0406 chloe:收到銀行通知USD16968</t>
      </text>
    </comment>
    <comment authorId="0" ref="L688">
      <text>
        <t xml:space="preserve">======
ID#AAABjx7qSmE
    (2025-05-21 11:33:26)
MezIO-R11: USD15/pcs
1011 chloe:  交期應該這兩天可以回覆
1013 chloe: 10/16 才能得知交期
預計10/19到貨</t>
      </text>
    </comment>
    <comment authorId="0" ref="L831">
      <text>
        <t xml:space="preserve">======
ID#AAABjx7qSl8
    (2025-05-21 11:33:26)
預計12/13到貨</t>
      </text>
    </comment>
    <comment authorId="0" ref="H332">
      <text>
        <t xml:space="preserve">======
ID#AAABjx7qSl0
    (2025-05-21 11:33:26)
0721 chloe:收到銀行通知USD5180</t>
      </text>
    </comment>
    <comment authorId="0" ref="H103">
      <text>
        <t xml:space="preserve">======
ID#AAABjx7qSlQ
    (2025-05-21 11:33:26)
20170322 chloe:收到銀行通知USD2237</t>
      </text>
    </comment>
    <comment authorId="0" ref="H586">
      <text>
        <t xml:space="preserve">======
ID#AAABjx7qSlE
    (2025-05-21 11:33:26)
1012 chloe: 收到銀行通知US$52,255</t>
      </text>
    </comment>
    <comment authorId="0" ref="H473">
      <text>
        <t xml:space="preserve">======
ID#AAABjx7qSkc
    (2025-05-21 11:33:26)
0928 chloe:收到銀行通知US$46,724</t>
      </text>
    </comment>
    <comment authorId="0" ref="H334">
      <text>
        <t xml:space="preserve">======
ID#AAABjx7qSj8
    (2025-05-21 11:33:26)
0609 chloe:收到銀行通知 USD2892</t>
      </text>
    </comment>
    <comment authorId="0" ref="H745">
      <text>
        <t xml:space="preserve">======
ID#AAABjx7qSjs
    (2025-05-21 11:33:26)
1103收到客戶水單US$2700(預計11/7付款預計4-5天貨款會到)
本地銀行尚未通知
1110 chloe: 收到銀行通知US$2690</t>
      </text>
    </comment>
    <comment authorId="0" ref="H276">
      <text>
        <t xml:space="preserve">======
ID#AAABjx7qSjc
    (2025-05-21 11:33:26)
0629 Chloe:已收到款項 NT22644</t>
      </text>
    </comment>
    <comment authorId="0" ref="L663">
      <text>
        <t xml:space="preserve">======
ID#AAABjx7qSjU
    (2025-05-21 11:33:26)
預計11/6到貨</t>
      </text>
    </comment>
    <comment authorId="0" ref="H747">
      <text>
        <t xml:space="preserve">======
ID#AAABjx7qSjM
    (2025-05-21 11:33:26)
0131 chloe:已匯入US$48618</t>
      </text>
    </comment>
    <comment authorId="0" ref="H169">
      <text>
        <t xml:space="preserve">======
ID#AAABjx7qSjE
    (2025-05-21 11:33:26)
0525 chloe:收到銀行通知USD818</t>
      </text>
    </comment>
    <comment authorId="0" ref="L687">
      <text>
        <t xml:space="preserve">======
ID#AAABjx7qSiU
    (2025-05-21 11:33:26)
預計10/25到貨</t>
      </text>
    </comment>
    <comment authorId="0" ref="S321">
      <text>
        <t xml:space="preserve">======
ID#AAABjx7qSiM
    (2025-05-21 11:33:26)
月結30天，額度USD5000</t>
      </text>
    </comment>
    <comment authorId="0" ref="L323">
      <text>
        <t xml:space="preserve">======
ID#AAABjx7qSh0
    (2025-05-21 11:33:26)
收到貨後立刻給予SHIPPING文件</t>
      </text>
    </comment>
    <comment authorId="0" ref="H748">
      <text>
        <t xml:space="preserve">======
ID#AAABjx7qSg8
    (2025-05-21 11:33:26)
0131 chloe:已匯入US$48618</t>
      </text>
    </comment>
    <comment authorId="0" ref="K267">
      <text>
        <t xml:space="preserve">======
ID#AAABjx7qSgw
    (2025-05-21 11:33:26)
先將發票文件給凌群採購</t>
      </text>
    </comment>
    <comment authorId="0" ref="H471">
      <text>
        <t xml:space="preserve">======
ID#AAABjx7qSgk
    (2025-05-21 11:33:26)
0928 chloe:收到銀行通知US$46,724</t>
      </text>
    </comment>
    <comment authorId="0" ref="K562">
      <text>
        <t xml:space="preserve">======
ID#AAABjx7qSgU
    (2025-05-21 11:33:26)
Christine 0925 :缺少cable</t>
      </text>
    </comment>
    <comment authorId="0" ref="O705">
      <text>
        <t xml:space="preserve">======
ID#AAABjx7qSgA
    (2025-05-21 11:33:26)
1127 Santiago 匯出NT17967</t>
      </text>
    </comment>
    <comment authorId="0" ref="L431">
      <text>
        <t xml:space="preserve">======
ID#AAABjx7qSfA
    (2025-05-21 11:33:26)
stock</t>
      </text>
    </comment>
    <comment authorId="0" ref="H725">
      <text>
        <t xml:space="preserve">======
ID#AAABjx7qSeM
    (2025-05-21 11:33:26)
1130 Santiago 合庫請我去簽切結書，他們通融入匯款
1108 Chloe:合庫帳號有誤故無法放款(已告知業務)
1116 chloe:合庫尚未收到修改電文(已告知業務)</t>
      </text>
    </comment>
    <comment authorId="0" ref="H830">
      <text>
        <t xml:space="preserve">======
ID#AAABjx7qSds
    (2025-05-21 11:33:26)
0124 chloe :匯入US$1632</t>
      </text>
    </comment>
    <comment authorId="0" ref="J49">
      <text>
        <t xml:space="preserve">======
ID#AAABjx7qSdQ
    (2025-05-21 11:33:26)
Global Freight Forwarding Co Ltd
9F No. 48 Fuxing N. Rd Taipei Taiwan | Tel: +886 2 2773 9900 #8821
Mobile: +886 929 011 725 | Fax: +886 2 2773 2121 | Edisonmeng@gff.com.tw</t>
      </text>
    </comment>
    <comment authorId="0" ref="L206">
      <text>
        <t xml:space="preserve">======
ID#AAABjx7qSdE
    (2025-05-21 11:33:26)
盡量趕看看，故</t>
      </text>
    </comment>
    <comment authorId="0" ref="H735">
      <text>
        <t xml:space="preserve">======
ID#AAABjx7qSdA
    (2025-05-21 11:33:26)
20171128 Santiago: 已匯入</t>
      </text>
    </comment>
    <comment authorId="0" ref="H329">
      <text>
        <t xml:space="preserve">======
ID#AAABjx7qScU
    (2025-05-21 11:33:26)
0731 chloe:收到銀行通知USD23876</t>
      </text>
    </comment>
    <comment authorId="0" ref="H587">
      <text>
        <t xml:space="preserve">======
ID#AAABjx7qScI
    (2025-05-21 11:33:26)
1025chloe:收到銀行通知US$35416.8</t>
      </text>
    </comment>
    <comment authorId="0" ref="L182">
      <text>
        <t xml:space="preserve">======
ID#AAABjx7qScM
    (2025-05-21 11:33:26)
待告知確定交期
缺一箱，待凌華告知貨物流向</t>
      </text>
    </comment>
    <comment authorId="0" ref="H155">
      <text>
        <t xml:space="preserve">======
ID#AAABjx7qScA
    (2025-05-21 11:33:26)
0407 chloe:收到銀行通知USD510</t>
      </text>
    </comment>
    <comment authorId="0" ref="H22">
      <text>
        <t xml:space="preserve">======
ID#AAABjx7qSa4
    (2025-05-21 11:33:26)
0310chloe:收到NT1,147,515</t>
      </text>
    </comment>
    <comment authorId="0" ref="P822">
      <text>
        <t xml:space="preserve">======
ID#AAABjx7qSac
    (2025-05-21 11:33:26)
發票單價:5831(研華開立D4價格)
採購總金額:20681
※chloe下次注意錯誤</t>
      </text>
    </comment>
    <comment authorId="0" ref="H317">
      <text>
        <t xml:space="preserve">======
ID#AAABjx7qSaY
    (2025-05-21 11:33:26)
0731 chloe:收到銀行通知USD23876</t>
      </text>
    </comment>
    <comment authorId="0" ref="L614">
      <text>
        <t xml:space="preserve">======
ID#AAABjx7qSZ0
    (2025-05-21 11:33:26)
價格:$215
交期:7~10day</t>
      </text>
    </comment>
    <comment authorId="0" ref="H790">
      <text>
        <t xml:space="preserve">======
ID#AAABjx7qSZI
    (2025-05-21 11:33:26)
Santiago 0108 : 玉山收到US$22291</t>
      </text>
    </comment>
    <comment authorId="0" ref="H109">
      <text>
        <t xml:space="preserve">======
ID#AAABjx7qSZM
    (2025-05-21 11:33:26)
0221 chloe:收到銀行通知USD5862</t>
      </text>
    </comment>
    <comment authorId="0" ref="L709">
      <text>
        <t xml:space="preserve">======
ID#AAABjx7qSYY
    (2025-05-21 11:33:26)
7-10天
預計11/8到貨</t>
      </text>
    </comment>
    <comment authorId="0" ref="L104">
      <text>
        <t xml:space="preserve">======
ID#AAABjx7qSXc
    (2025-05-21 11:33:26)
●0208 chloe:等KEVIN發報價單，回簽當訂單→預交日先下 3/15
●回覆無庫存交期在3/28，待PULL IN
●提前到3/9 交貨</t>
      </text>
    </comment>
    <comment authorId="0" ref="N365">
      <text>
        <t xml:space="preserve">======
ID#AAABjx7qSXM
    (2025-05-21 11:33:26)
獎金計算請從RDMO-20170511A~RDMO-20170511A-5&amp;RDMPO-20170511A-7</t>
      </text>
    </comment>
    <comment authorId="0" ref="L302">
      <text>
        <t xml:space="preserve">======
ID#AAABjx7qSWI
    (2025-05-21 11:33:26)
發票抬頭請開，易力科技股份有限公司，統編: 28050276
0519 尚未收到款項匯入合庫</t>
      </text>
    </comment>
    <comment authorId="0" ref="H101">
      <text>
        <t xml:space="preserve">======
ID#AAABjx7qSV0
    (2025-05-21 11:33:26)
20170322 chloe:收到銀行通知USD2237</t>
      </text>
    </comment>
    <comment authorId="0" ref="H146">
      <text>
        <t xml:space="preserve">======
ID#AAABjx7qSVs
    (2025-05-21 11:33:26)
0303 chloe :收到銀行通知USD4041</t>
      </text>
    </comment>
    <comment authorId="0" ref="H227">
      <text>
        <t xml:space="preserve">======
ID#AAABjx7qSVg
    (2025-05-21 11:33:26)
0424 chloe:收到西聯匯入NT12481元現金</t>
      </text>
    </comment>
    <comment authorId="0" ref="X724">
      <text>
        <t xml:space="preserve">======
ID#AAABjx7qSUk
    (2025-05-21 11:33:26)
簡易報關</t>
      </text>
    </comment>
    <comment authorId="0" ref="L662">
      <text>
        <t xml:space="preserve">======
ID#AAABjx7qSUU
    (2025-05-21 11:33:26)
預計11/6到貨</t>
      </text>
    </comment>
    <comment authorId="0" ref="H369">
      <text>
        <t xml:space="preserve">======
ID#AAABjx7qST4
    (2025-05-21 11:33:26)
0615 chloe:收到銀行通知USD2151</t>
      </text>
    </comment>
    <comment authorId="0" ref="E508">
      <text>
        <t xml:space="preserve">======
ID#AAABjx7qSTk
    (2025-05-21 11:33:26)
AWK-3131A-EU</t>
      </text>
    </comment>
    <comment authorId="0" ref="X134">
      <text>
        <t xml:space="preserve">======
ID#AAABjx7qSTM
    (2025-05-21 11:33:26)
給予SBIR使用</t>
      </text>
    </comment>
    <comment authorId="0" ref="H555">
      <text>
        <t xml:space="preserve">======
ID#AAABjx7qSSg
    (2025-05-21 11:33:26)
1018 chloe:收到銀行通知US$1135</t>
      </text>
    </comment>
    <comment authorId="0" ref="H425">
      <text>
        <t xml:space="preserve">======
ID#AAABjx7qSR4
    (2025-05-21 11:33:26)
1006 chloe:收到銀行通知US$1386</t>
      </text>
    </comment>
    <comment authorId="0" ref="K464">
      <text>
        <t xml:space="preserve">======
ID#AAABjx7qSRk
    (2025-05-21 11:33:26)
PI-20170523A 20台 材積: 67*34*38 cm
與業務確認後再出貨
使用宸耀材積出貨</t>
      </text>
    </comment>
    <comment authorId="0" ref="H304">
      <text>
        <t xml:space="preserve">======
ID#AAABjx7qSRc
    (2025-05-21 11:33:26)
0712 chloe:收到銀行通知USD2058</t>
      </text>
    </comment>
    <comment authorId="0" ref="H672">
      <text>
        <t xml:space="preserve">======
ID#AAABjx7qSRU
    (2025-05-21 11:33:26)
1124 Santiago 收到匯款US$10707</t>
      </text>
    </comment>
    <comment authorId="0" ref="O474">
      <text>
        <t xml:space="preserve">======
ID#AAABjx7qSRI
    (2025-05-21 11:33:26)
170706 原US$331*5*105% = US$1737.75, 扣抵金額(含稅)US$126,應支付貨款(含稅)為US$1611.75元</t>
      </text>
    </comment>
    <comment authorId="0" ref="N26">
      <text>
        <t xml:space="preserve">======
ID#AAABjx7qSRE
    (2025-05-21 11:33:26)
原價-9%</t>
      </text>
    </comment>
    <comment authorId="0" ref="H463">
      <text>
        <t xml:space="preserve">======
ID#AAABjx7qSQg
    (2025-05-21 11:33:26)
1025chloe:收到銀行通知US$35416.8</t>
      </text>
    </comment>
    <comment authorId="0" ref="O704">
      <text>
        <t xml:space="preserve">======
ID#AAABjx7qSQc
    (2025-05-21 11:33:26)
1127 Santiago 匯出NT17967</t>
      </text>
    </comment>
    <comment authorId="0" ref="H237">
      <text>
        <t xml:space="preserve">======
ID#AAABjx7qSQY
    (2025-05-21 11:33:26)
0616 chloe:收到銀行通知USD2355</t>
      </text>
    </comment>
    <comment authorId="0" ref="L690">
      <text>
        <t xml:space="preserve">======
ID#AAABjx7qSQI
    (2025-05-21 11:33:26)
7-10天</t>
      </text>
    </comment>
    <comment authorId="0" ref="H577">
      <text>
        <t xml:space="preserve">======
ID#AAABjx7qSPs
    (2025-05-21 11:33:26)
1012chloe:收到客戶水單，待銀行解款
1013 chloe:收到銀行通知USD15,415</t>
      </text>
    </comment>
    <comment authorId="0" ref="L716">
      <text>
        <t xml:space="preserve">======
ID#AAABjx7qSPg
    (2025-05-21 11:33:26)
預計10/27到貨</t>
      </text>
    </comment>
    <comment authorId="0" ref="H706">
      <text>
        <t xml:space="preserve">======
ID#AAABjx7qSNs
    (2025-05-21 11:33:26)
1113 chloe:收到銀行通知US$753</t>
      </text>
    </comment>
    <comment authorId="0" ref="V10">
      <text>
        <t xml:space="preserve">======
ID#AAABjx7qSNU
    (2025-05-21 11:33:26)
1031 chloe: 已給會計，先算"研發費用"</t>
      </text>
    </comment>
    <comment authorId="0" ref="K443">
      <text>
        <t xml:space="preserve">======
ID#AAABjx7qSL0
    (2025-05-21 11:33:26)
Hi Chloe,
20170629B的INVOICE，請注意下列事項：
１）出貨invoice &amp; packing list移除 w/ EU adapter 字眼. 避免海闗查
２）加HSN : 85176990在invoice備註中</t>
      </text>
    </comment>
    <comment authorId="0" ref="H378">
      <text>
        <t xml:space="preserve">======
ID#AAABjx7qSLk
    (2025-05-21 11:33:26)
0731 chloe:收到銀行通知USD23876</t>
      </text>
    </comment>
    <comment authorId="0" ref="K37">
      <text>
        <t xml:space="preserve">======
ID#AAABjx7qSLg
    (2025-05-21 11:33:26)
0105 chloe:出貨日更改</t>
      </text>
    </comment>
    <comment authorId="0" ref="H518">
      <text>
        <t xml:space="preserve">======
ID#AAABjx7qSLM
    (2025-05-21 11:33:26)
0911 chloe:收到銀行通知USD3174</t>
      </text>
    </comment>
    <comment authorId="0" ref="H113">
      <text>
        <t xml:space="preserve">======
ID#AAABjx7qSKc
    (2025-05-21 11:33:26)
20170322 chloe:收到銀行通知USD2237</t>
      </text>
    </comment>
    <comment authorId="0" ref="H163">
      <text>
        <t xml:space="preserve">======
ID#AAABjx7qSKI
    (2025-05-21 11:33:26)
0320 chloe: BOSS告知客戶可於5月初付款
0508 chloe:合庫收到款項NT1316754</t>
      </text>
    </comment>
    <comment authorId="0" ref="L828">
      <text>
        <t xml:space="preserve">======
ID#AAABjx7qSKE
    (2025-05-21 11:33:26)
預計12/13到貨</t>
      </text>
    </comment>
    <comment authorId="0" ref="H349">
      <text>
        <t xml:space="preserve">======
ID#AAABjx7qSJk
    (2025-05-21 11:33:26)
0609 chloe:收到銀行通知 USD2892</t>
      </text>
    </comment>
    <comment authorId="0" ref="H594">
      <text>
        <t xml:space="preserve">======
ID#AAABjx7qSI4
    (2025-05-21 11:33:26)
1025 chloe:收到銀行通知US$1181</t>
      </text>
    </comment>
    <comment authorId="0" ref="E404">
      <text>
        <t xml:space="preserve">======
ID#AAABjx7qSI0
    (2025-05-21 11:33:26)
20180125 chloe: 貨物退回，已匯入款項當下次出貨使用</t>
      </text>
    </comment>
    <comment authorId="0" ref="H504">
      <text>
        <t xml:space="preserve">======
ID#AAABjx7qSIg
    (2025-05-21 11:33:26)
0731 chloe: 收到銀行通知USD 2381</t>
      </text>
    </comment>
    <comment authorId="0" ref="O141">
      <text>
        <t xml:space="preserve">======
ID#AAABjx7qSIY
    (2025-05-21 11:33:26)
170225 改US$6447元
170223 扣抵金額(含稅)US$504,應支付貨款(含稅)為US$6447元</t>
      </text>
    </comment>
    <comment authorId="0" ref="K327">
      <text>
        <t xml:space="preserve">======
ID#AAABjx7qSIA
    (2025-05-21 11:33:26)
材積預估為67x34x38(cm)
重量24kg
共一箱
有文件須放置內箱</t>
      </text>
    </comment>
    <comment authorId="0" ref="C722">
      <text>
        <t xml:space="preserve">======
ID#AAABjx7qSH4
    (2025-05-21 11:33:26)
180306 更正PO號, 原始號碼7000133435</t>
      </text>
    </comment>
    <comment authorId="0" ref="H519">
      <text>
        <t xml:space="preserve">======
ID#AAABjx7qSHw
    (2025-05-21 11:33:26)
0803 chloe:收到銀行通知USD4041</t>
      </text>
    </comment>
    <comment authorId="0" ref="H275">
      <text>
        <t xml:space="preserve">======
ID#AAABjx7qSHo
    (2025-05-21 11:33:26)
5/17 今日收到銀行通知 USD5020</t>
      </text>
    </comment>
    <comment authorId="0" ref="K247">
      <text>
        <t xml:space="preserve">======
ID#AAABjx7qSHY
    (2025-05-21 11:33:26)
60x35x50</t>
      </text>
    </comment>
    <comment authorId="0" ref="L222">
      <text>
        <t xml:space="preserve">======
ID#AAABjx7qSHU
    (2025-05-21 11:33:26)
HS CODE:8517.62</t>
      </text>
    </comment>
    <comment authorId="0" ref="H715">
      <text>
        <t xml:space="preserve">======
ID#AAABjx7qSG4
    (2025-05-21 11:33:26)
1213 Santiago : US$7483 已到
1103 chloe: 收到US$9770 
( 另外US$7493尚未收到)</t>
      </text>
    </comment>
    <comment authorId="0" ref="H395">
      <text>
        <t xml:space="preserve">======
ID#AAABjx7qSF4
    (2025-05-21 11:33:26)
0817 chloe: 收到銀行通知USD16029.3 (原 16657.3- 620)</t>
      </text>
    </comment>
    <comment authorId="0" ref="H210">
      <text>
        <t xml:space="preserve">======
ID#AAABjx7qSFw
    (2025-05-21 11:33:26)
0517 chloe :收到銀行通知USD7368.5</t>
      </text>
    </comment>
    <comment authorId="0" ref="V73">
      <text>
        <t xml:space="preserve">======
ID#AAABjx7qSFk
    (2025-05-21 11:33:26)
0119 chloe:發票遺失故會開立與正本相符的發票給我們</t>
      </text>
    </comment>
    <comment authorId="0" ref="K579">
      <text>
        <t xml:space="preserve">======
ID#AAABjx7qSEQ
    (2025-05-21 11:33:26)
christine0925:待客戶付款</t>
      </text>
    </comment>
    <comment authorId="0" ref="H501">
      <text>
        <t xml:space="preserve">======
ID#AAABjx7qSEM
    (2025-05-21 11:33:26)
1002 chloe:收到銀行通知US$2700</t>
      </text>
    </comment>
    <comment authorId="0" ref="H326">
      <text>
        <t xml:space="preserve">======
ID#AAABjx7qSEI
    (2025-05-21 11:33:26)
0601 chloe:收到銀行通知匯入USD13116.5 為此單金額的一半
0706 chloe:收到銀行通知匯入尾款 USD13132.5</t>
      </text>
    </comment>
    <comment authorId="0" ref="L682">
      <text>
        <t xml:space="preserve">======
ID#AAABjx7qSEA
    (2025-05-21 11:33:25)
預計10/30到貨</t>
      </text>
    </comment>
    <comment authorId="0" ref="H526">
      <text>
        <t xml:space="preserve">======
ID#AAABjx7qSD4
    (2025-05-21 11:33:25)
0809 chloe:收到銀行通知USD3729</t>
      </text>
    </comment>
    <comment authorId="0" ref="H738">
      <text>
        <t xml:space="preserve">======
ID#AAABjx7qSD8
    (2025-05-21 11:33:25)
20171128 Santiago: 已匯入</t>
      </text>
    </comment>
    <comment authorId="0" ref="H182">
      <text>
        <t xml:space="preserve">======
ID#AAABjx7qSDw
    (2025-05-21 11:33:25)
0502 chloe:收到銀行通知USD10325</t>
      </text>
    </comment>
    <comment authorId="0" ref="H443">
      <text>
        <t xml:space="preserve">======
ID#AAABjx7qSDI
    (2025-05-21 11:33:25)
0704 chloe:收到銀行通知USD1838</t>
      </text>
    </comment>
    <comment authorId="0" ref="E778">
      <text>
        <t xml:space="preserve">======
ID#AAABjx7qSDA
    (2025-05-21 11:33:25)
S/N:1743-238107&amp;1743-238114</t>
      </text>
    </comment>
    <comment authorId="0" ref="Y192">
      <text>
        <t xml:space="preserve">======
ID#AAABjx7qSCU
    (2025-05-21 11:33:25)
0327 寄曦立</t>
      </text>
    </comment>
    <comment authorId="0" ref="H389">
      <text>
        <t xml:space="preserve">======
ID#AAABjx7qSB4
    (2025-05-21 11:33:25)
0821 chloe: 收到銀行通知USD993</t>
      </text>
    </comment>
    <comment authorId="0" ref="H36">
      <text>
        <t xml:space="preserve">======
ID#AAABjx7qSBc
    (2025-05-21 11:33:25)
1227 chloe:收到銀行通知USD1429</t>
      </text>
    </comment>
    <comment authorId="0" ref="H700">
      <text>
        <t xml:space="preserve">======
ID#AAABjx7qSBM
    (2025-05-21 11:33:25)
1019 chloe:收到銀行通知US$7496</t>
      </text>
    </comment>
    <comment authorId="0" ref="L545">
      <text>
        <t xml:space="preserve">======
ID#AAABjx7qSAM
    (2025-05-21 11:33:25)
0824 chloe:工廠確認中</t>
      </text>
    </comment>
    <comment authorId="0" ref="H789">
      <text>
        <t xml:space="preserve">======
ID#AAABjx7qR-k
    (2025-05-21 11:33:25)
Santiago 0108 : 玉山收到US$22291</t>
      </text>
    </comment>
    <comment authorId="0" ref="H701">
      <text>
        <t xml:space="preserve">======
ID#AAABjx7qR-I
    (2025-05-21 11:33:25)
1019 chloe:收到銀行通知US$7496</t>
      </text>
    </comment>
    <comment authorId="0" ref="H616">
      <text>
        <t xml:space="preserve">======
ID#AAABjx7qR94
    (2025-05-21 11:33:25)
0920 chloe:收到轉帳NT2966</t>
      </text>
    </comment>
    <comment authorId="0" ref="H713">
      <text>
        <t xml:space="preserve">======
ID#AAABjx7qR9Y
    (2025-05-21 11:33:25)
20171124 Santiago 收到US$10707</t>
      </text>
    </comment>
    <comment authorId="0" ref="H234">
      <text>
        <t xml:space="preserve">======
ID#AAABjx7qR9U
    (2025-05-21 11:33:25)
0414 chloe:收到銀行通知USD139</t>
      </text>
    </comment>
    <comment authorId="0" ref="H614">
      <text>
        <t xml:space="preserve">======
ID#AAABjx7qR9A
    (2025-05-21 11:33:25)
1011 chloe:收到銀行通知US$13950</t>
      </text>
    </comment>
    <comment authorId="0" ref="K499">
      <text>
        <t xml:space="preserve">======
ID#AAABjx7qR88
    (2025-05-21 11:33:25)
0731 chloe:待客戶付款</t>
      </text>
    </comment>
    <comment authorId="0" ref="G452">
      <text>
        <t xml:space="preserve">======
ID#AAABjx7qR8s
    (2025-05-21 11:33:25)
w/5%VAT</t>
      </text>
    </comment>
    <comment authorId="0" ref="H841">
      <text>
        <t xml:space="preserve">======
ID#AAABjx7qR8g
    (2025-05-21 11:33:25)
0131 chloe:已匯入US$48618</t>
      </text>
    </comment>
    <comment authorId="0" ref="E438">
      <text>
        <t xml:space="preserve">======
ID#AAABjx7qR8Q
    (2025-05-21 11:33:25)
20170104 Santiago: 和之前訂單一樣, w/o adapter</t>
      </text>
    </comment>
    <comment authorId="0" ref="L610">
      <text>
        <t xml:space="preserve">======
ID#AAABjx7qR8A
    (2025-05-21 11:33:25)
9/25</t>
      </text>
    </comment>
    <comment authorId="0" ref="P466">
      <text>
        <t xml:space="preserve">======
ID#AAABjx7qR74
    (2025-05-21 11:33:25)
47.2 USD / pcs</t>
      </text>
    </comment>
    <comment authorId="0" ref="H373">
      <text>
        <t xml:space="preserve">======
ID#AAABjx7qR7Q
    (2025-05-21 11:33:25)
0619 chloe:收到銀行通知USD1710.5</t>
      </text>
    </comment>
    <comment authorId="0" ref="K462">
      <text>
        <t xml:space="preserve">======
ID#AAABjx7qR64
    (2025-05-21 11:33:25)
PI-20170523A 20台 材積: 67*34*38 cm
與業務確認後再出貨
使用宸耀材積出貨</t>
      </text>
    </comment>
    <comment authorId="0" ref="H48">
      <text>
        <t xml:space="preserve">======
ID#AAABjx7qR6Y
    (2025-05-21 11:33:25)
0202 chloe:收到銀行通知USD13806</t>
      </text>
    </comment>
    <comment authorId="0" ref="H816">
      <text>
        <t xml:space="preserve">======
ID#AAABjx7qR58
    (2025-05-21 11:33:25)
Santiago 0108 : 玉山收到US$22291</t>
      </text>
    </comment>
    <comment authorId="0" ref="L172">
      <text>
        <t xml:space="preserve">======
ID#AAABjx7qR5w
    (2025-05-21 11:33:25)
原預計3/21到貨，待TAMMY通知是否提前星期一出貨</t>
      </text>
    </comment>
    <comment authorId="0" ref="K629">
      <text>
        <t xml:space="preserve">======
ID#AAABjx7qR5o
    (2025-05-21 11:33:25)
0920 chloe: 待收到貨款後出貨
0922 chloe: 待0925銀行解款，可安排出貨</t>
      </text>
    </comment>
    <comment authorId="0" ref="H625">
      <text>
        <t xml:space="preserve">======
ID#AAABjx7qR4s
    (2025-05-21 11:33:25)
1025chloe:收到銀行通知US$35416.8</t>
      </text>
    </comment>
    <comment authorId="0" ref="H184">
      <text>
        <t xml:space="preserve">======
ID#AAABjx7qR4w
    (2025-05-21 11:33:25)
0525 收到支票 NT117686元，待5/31 兌現
0605 chloe: 入帳</t>
      </text>
    </comment>
    <comment authorId="0" ref="H660">
      <text>
        <t xml:space="preserve">======
ID#AAABjx7qR4k
    (2025-05-21 11:33:25)
1225 Santiago: US$18317 入帳
客戶多付US$40 RMA 費用</t>
      </text>
    </comment>
    <comment authorId="0" ref="C724">
      <text>
        <t xml:space="preserve">======
ID#AAABjx7qR4A
    (2025-05-21 11:33:25)
180306 更正PO號, 原始號碼7000133435</t>
      </text>
    </comment>
    <comment authorId="0" ref="H56">
      <text>
        <t xml:space="preserve">======
ID#AAABjx7qR38
    (2025-05-21 11:33:25)
0210 chloe:收到銀行通知USD4691</t>
      </text>
    </comment>
    <comment authorId="0" ref="H157">
      <text>
        <t xml:space="preserve">======
ID#AAABjx7qR3E
    (2025-05-21 11:33:25)
0316 chloe:收到銀行通知USD1654</t>
      </text>
    </comment>
    <comment authorId="0" ref="K643">
      <text>
        <t xml:space="preserve">======
ID#AAABjx7qR20
    (2025-05-21 11:33:25)
兩箱
5002LPx4 (70x40x40cm)
5002LPx1 (38x34x17cm)</t>
      </text>
    </comment>
    <comment authorId="0" ref="L392">
      <text>
        <t xml:space="preserve">======
ID#AAABjx7qR2o
    (2025-05-21 11:33:25)
0619 待PULL IN交期
0711 回覆交期無法提前.
0728  原本 8/10</t>
      </text>
    </comment>
    <comment authorId="0" ref="H104">
      <text>
        <t xml:space="preserve">======
ID#AAABjx7qR2k
    (2025-05-21 11:33:25)
0421 chloe:收到銀行通知USD3266</t>
      </text>
    </comment>
    <comment authorId="0" ref="H160">
      <text>
        <t xml:space="preserve">======
ID#AAABjx7qR2g
    (2025-05-21 11:33:25)
0724 收到支票 NT101069元，待7/30兌現
0802 入帳</t>
      </text>
    </comment>
    <comment authorId="0" ref="H752">
      <text>
        <t xml:space="preserve">======
ID#AAABjx7qR2Y
    (2025-05-21 11:33:25)
0131 chloe:已匯入US$48618</t>
      </text>
    </comment>
    <comment authorId="0" ref="H665">
      <text>
        <t xml:space="preserve">======
ID#AAABjx7qR2A
    (2025-05-21 11:33:25)
1225 Santiago, 短缺105 已補
1124 Santiago :
P172909NP2 + P171004NP0 應付US$1840
由於Benson 原始PI只寫US$1735, 
因此短缺US$105</t>
      </text>
    </comment>
    <comment authorId="0" ref="J182">
      <text>
        <t xml:space="preserve">======
ID#AAABjx7qR1g
    (2025-05-21 11:33:25)
材積:29*26*14 2kg  /箱
共10箱</t>
      </text>
    </comment>
    <comment authorId="0" ref="H86">
      <text>
        <t xml:space="preserve">======
ID#AAABjx7qR1c
    (2025-05-21 11:33:25)
0406 chloe:收到銀行通知USD16968</t>
      </text>
    </comment>
    <comment authorId="0" ref="H204">
      <text>
        <t xml:space="preserve">======
ID#AAABjx7qR1Q
    (2025-05-21 11:33:25)
0523 chloe:已收到銀行通知USD6750</t>
      </text>
    </comment>
    <comment authorId="0" ref="M219">
      <text>
        <t xml:space="preserve">======
ID#AAABjx7qR00
    (2025-05-21 11:33:25)
採購為TAMMY</t>
      </text>
    </comment>
    <comment authorId="0" ref="D536">
      <text>
        <t xml:space="preserve">======
ID#AAABjx7qR0k
    (2025-05-21 11:33:25)
已歸還</t>
      </text>
    </comment>
    <comment authorId="0" ref="L53">
      <text>
        <t xml:space="preserve">======
ID#AAABjx7qRz0
    (2025-05-21 11:33:25)
1229 chloe: 下單，1/5再詢問交期</t>
      </text>
    </comment>
    <comment authorId="0" ref="H634">
      <text>
        <t xml:space="preserve">======
ID#AAABjx7qRz4
    (2025-05-21 11:33:25)
1002 chloe:收到銀行通知US$634</t>
      </text>
    </comment>
    <comment authorId="0" ref="L363">
      <text>
        <t xml:space="preserve">======
ID#AAABjx7qRzk
    (2025-05-21 11:33:25)
0613左右會再告知</t>
      </text>
    </comment>
    <comment authorId="0" ref="K39">
      <text>
        <t xml:space="preserve">======
ID#AAABjx7qRzo
    (2025-05-21 11:33:25)
0209 chloe:已發信與業務告知可提前至2/13 出貨</t>
      </text>
    </comment>
    <comment authorId="0" ref="K467">
      <text>
        <t xml:space="preserve">======
ID#AAABjx7qRzQ
    (2025-05-21 11:33:25)
POC 212  *25  PCS  67x34x38cm  26KG   兩箱
與業務確認後再出貨
使用宸耀材積出貨</t>
      </text>
    </comment>
    <comment authorId="0" ref="H99">
      <text>
        <t xml:space="preserve">======
ID#AAABjx7qRzM
    (2025-05-21 11:33:25)
0316 chloe: 收到銀行通知USD745</t>
      </text>
    </comment>
    <comment authorId="0" ref="H260">
      <text>
        <t xml:space="preserve">======
ID#AAABjx7qRy8
    (2025-05-21 11:33:25)
0616 chloe:收到銀行通知USD2355</t>
      </text>
    </comment>
    <comment authorId="0" ref="N570">
      <text>
        <t xml:space="preserve">======
ID#AAABjx7qRyo
    (2025-05-21 11:33:25)
尚未借轉銷
1005 chloe:已借轉銷</t>
      </text>
    </comment>
    <comment authorId="0" ref="L825">
      <text>
        <t xml:space="preserve">======
ID#AAABjx7qRyg
    (2025-05-21 11:33:25)
預計12/19到貨</t>
      </text>
    </comment>
    <comment authorId="0" ref="H768">
      <text>
        <t xml:space="preserve">======
ID#AAABjx7qRyU
    (2025-05-21 11:33:25)
0227 chloe: 收到 匯款NT2,990,255</t>
      </text>
    </comment>
    <comment authorId="0" ref="H622">
      <text>
        <t xml:space="preserve">======
ID#AAABjx7qRx4
    (2025-05-21 11:33:25)
1101 chloe:收到銀通知US$7340</t>
      </text>
    </comment>
    <comment authorId="0" ref="L703">
      <text>
        <t xml:space="preserve">======
ID#AAABjx7qRxw
    (2025-05-21 11:33:25)
現貨 7PCS
10/16只到貨7PCS</t>
      </text>
    </comment>
    <comment authorId="0" ref="K441">
      <text>
        <t xml:space="preserve">======
ID#AAABjx7qRxE
    (2025-05-21 11:33:25)
Hi Chloe,
20170629B的INVOICE，請注意下列事項：
１）出貨invoice &amp; packing list移除 w/ EU adapter 字眼. 避免海闗查
２）加HSN : 85176990在invoice備註中</t>
      </text>
    </comment>
    <comment authorId="0" ref="H414">
      <text>
        <t xml:space="preserve">======
ID#AAABjx7qRww
    (2025-05-21 11:33:25)
0803 chloe:收到銀行通知USD3891</t>
      </text>
    </comment>
    <comment authorId="0" ref="H658">
      <text>
        <t xml:space="preserve">======
ID#AAABjx7qRw0
    (2025-05-21 11:33:25)
1225 Santiago: US$18317 入帳
客戶多付US$40 RMA 費用</t>
      </text>
    </comment>
    <comment authorId="0" ref="O143">
      <text>
        <t xml:space="preserve">======
ID#AAABjx7qRwg
    (2025-05-21 11:33:25)
170225 改US$6447元
170223 扣抵金額(含稅)US$504,應支付貨款(含稅)為US$6447元</t>
      </text>
    </comment>
    <comment authorId="0" ref="X722">
      <text>
        <t xml:space="preserve">======
ID#AAABjx7qRwk
    (2025-05-21 11:33:25)
簡易報關</t>
      </text>
    </comment>
    <comment authorId="0" ref="H524">
      <text>
        <t xml:space="preserve">======
ID#AAABjx7qRwI
    (2025-05-21 11:33:25)
0809 chloe:收到銀行通知USD3729</t>
      </text>
    </comment>
    <comment authorId="0" ref="K573">
      <text>
        <t xml:space="preserve">======
ID#AAABjx7qRwM
    (2025-05-21 11:33:25)
christine0925:待客戶付款</t>
      </text>
    </comment>
    <comment authorId="0" ref="S320">
      <text>
        <t xml:space="preserve">======
ID#AAABjx7qRwA
    (2025-05-21 11:33:25)
月結30天，額度USD5000</t>
      </text>
    </comment>
    <comment authorId="0" ref="K206">
      <text>
        <t xml:space="preserve">======
ID#AAABjx7qRv4
    (2025-05-21 11:33:25)
待客戶匯錢後再出貨
收到客戶水單，</t>
      </text>
    </comment>
    <comment authorId="0" ref="K566">
      <text>
        <t xml:space="preserve">======
ID#AAABjx7qRv0
    (2025-05-21 11:33:25)
併1台RMA-20170731A出貨</t>
      </text>
    </comment>
    <comment authorId="0" ref="D151">
      <text>
        <t xml:space="preserve">======
ID#AAABjx7qRvc
    (2025-05-21 11:33:25)
佣金3% USD 1257
20161227A&amp;20170220A&amp;20170224C</t>
      </text>
    </comment>
    <comment authorId="0" ref="L510">
      <text>
        <t xml:space="preserve">======
ID#AAABjx7qRvU
    (2025-05-21 11:33:25)
USD1,150 (2-3 週 )</t>
      </text>
    </comment>
    <comment authorId="0" ref="H294">
      <text>
        <t xml:space="preserve">======
ID#AAABjx7qRuM
    (2025-05-21 11:33:25)
0710 chloe:收到銀行通知USD909</t>
      </text>
    </comment>
    <comment authorId="0" ref="E153">
      <text>
        <t xml:space="preserve">======
ID#AAABjx7qRuA
    (2025-05-21 11:33:25)
0926 chloe: (42C-00039)</t>
      </text>
    </comment>
    <comment authorId="0" ref="H729">
      <text>
        <t xml:space="preserve">======
ID#AAABjx7qRt8
    (2025-05-21 11:33:25)
0108 Santiago: US$10,177.50 匯入玉山</t>
      </text>
    </comment>
    <comment authorId="0" ref="L426">
      <text>
        <t xml:space="preserve">======
ID#AAABjx7qRto
    (2025-05-21 11:33:25)
4-6 weeks
0629 待8/10 PULL IN
0717 詢問→告知提前至10/13
0718 告知交期可以提前</t>
      </text>
    </comment>
    <comment authorId="0" ref="K190">
      <text>
        <t xml:space="preserve">======
ID#AAABjx7qRs8
    (2025-05-21 11:33:25)
提前4/7出貨</t>
      </text>
    </comment>
    <comment authorId="0" ref="H267">
      <text>
        <t xml:space="preserve">======
ID#AAABjx7qRss
    (2025-05-21 11:33:25)
0810 chloe:收到NT1,960,530</t>
      </text>
    </comment>
    <comment authorId="0" ref="H840">
      <text>
        <t xml:space="preserve">======
ID#AAABjx7qRsY
    (2025-05-21 11:33:25)
0131 chloe:已匯入US$48618</t>
      </text>
    </comment>
    <comment authorId="0" ref="L188">
      <text>
        <t xml:space="preserve">======
ID#AAABjx7qRsM
    (2025-05-21 11:33:25)
已詢問是否可以提前出貨</t>
      </text>
    </comment>
    <comment authorId="0" ref="L839">
      <text>
        <t xml:space="preserve">======
ID#AAABjx7qRrc
    (2025-05-21 11:33:25)
預計12/22到貨</t>
      </text>
    </comment>
    <comment authorId="0" ref="L644">
      <text>
        <t xml:space="preserve">======
ID#AAABjx7qRq4
    (2025-05-21 11:33:25)
預計10/13到貨</t>
      </text>
    </comment>
    <comment authorId="0" ref="H165">
      <text>
        <t xml:space="preserve">======
ID#AAABjx7qRqM
    (2025-05-21 11:33:25)
0425 chloe:收到銀行通知USD1022</t>
      </text>
    </comment>
    <comment authorId="0" ref="L238">
      <text>
        <t xml:space="preserve">======
ID#AAABjx7qRpc
    (2025-05-21 11:33:25)
待回覆，但4月底交貨可能不大
4/26 到貨戎克</t>
      </text>
    </comment>
    <comment authorId="0" ref="H197">
      <text>
        <t xml:space="preserve">======
ID#AAABjx7qRo8
    (2025-05-21 11:33:25)
0421 chloe:收到銀行通知USD3266</t>
      </text>
    </comment>
    <comment authorId="0" ref="H507">
      <text>
        <t xml:space="preserve">======
ID#AAABjx7qRow
    (2025-05-21 11:33:25)
0920 chloe:借轉銷，樣品已在客戶手上，不報關
1012 chloe: 收到銀行通知US$52,255</t>
      </text>
    </comment>
    <comment authorId="0" ref="H112">
      <text>
        <t xml:space="preserve">======
ID#AAABjx7qRoA
    (2025-05-21 11:33:25)
0216 chloe :收到銀行通知USD217</t>
      </text>
    </comment>
    <comment authorId="0" ref="H448">
      <text>
        <t xml:space="preserve">======
ID#AAABjx7qRn4
    (2025-05-21 11:33:25)
0821 chloe: 收到銀行通知USD993</t>
      </text>
    </comment>
    <comment authorId="0" ref="J52">
      <text>
        <t xml:space="preserve">======
ID#AAABjx7qRn0
    (2025-05-21 11:33:25)
Global Freight Forwarding Co Ltd
9F No. 48 Fuxing N. Rd Taipei Taiwan | Tel: +886 2 2773 9900 #8821
Mobile: +886 929 011 725 | Fax: +886 2 2773 2121 | Edisonmeng@gff.com.tw</t>
      </text>
    </comment>
    <comment authorId="0" ref="H80">
      <text>
        <t xml:space="preserve">======
ID#AAABjx7qRnY
    (2025-05-21 11:33:25)
20170116 Santiago : 7200 / 1 pcs 未稅
0221 chloe: 收到支票67221，2/28後可匯兌
0302 chloe:支票兌現成功</t>
      </text>
    </comment>
    <comment authorId="0" ref="H424">
      <text>
        <t xml:space="preserve">======
ID#AAABjx7qRnE
    (2025-05-21 11:33:25)
0804 chloe:收到銀行通知USD3965</t>
      </text>
    </comment>
    <comment authorId="0" ref="H59">
      <text>
        <t xml:space="preserve">======
ID#AAABjx7qRms
    (2025-05-21 11:33:25)
0210 chloe:收到銀行通知USD4691</t>
      </text>
    </comment>
    <comment authorId="0" ref="H338">
      <text>
        <t xml:space="preserve">======
ID#AAABjx7qRmY
    (2025-05-21 11:33:25)
7/14 chloe:收到銀行通知USD1427</t>
      </text>
    </comment>
    <comment authorId="0" ref="H711">
      <text>
        <t xml:space="preserve">======
ID#AAABjx7qRl4
    (2025-05-21 11:33:25)
1113 chloe:收到銀行通知US$8740</t>
      </text>
    </comment>
    <comment authorId="0" ref="H685">
      <text>
        <t xml:space="preserve">======
ID#AAABjx7qRl0
    (2025-05-21 11:33:25)
1213 Santiago : US$7483 已到
1103 chloe: 收到US$9770 
( 另外US$7350尚未收到)</t>
      </text>
    </comment>
    <comment authorId="0" ref="H809">
      <text>
        <t xml:space="preserve">======
ID#AAABjx7qRlk
    (2025-05-21 11:33:25)
20171204 Santiago收到銀行通知</t>
      </text>
    </comment>
    <comment authorId="0" ref="H737">
      <text>
        <t xml:space="preserve">======
ID#AAABjx7qRlg
    (2025-05-21 11:33:25)
0108 Santiago: US$10,177.50 匯入玉山</t>
      </text>
    </comment>
    <comment authorId="0" ref="H828">
      <text>
        <t xml:space="preserve">======
ID#AAABjx7qRlE
    (2025-05-21 11:33:25)
0124 chloe :匯入US$1632</t>
      </text>
    </comment>
    <comment authorId="0" ref="J846">
      <text>
        <t xml:space="preserve">======
ID#AAABjx7qRlI
Ship To    (2025-05-21 11:33:25)
Ti2 Pty Ltd
103A Mary Street, Richmond, VIC, 3121, Australia
Att: Jim MacDougall
+61 417 714 528</t>
      </text>
    </comment>
    <comment authorId="0" ref="H279">
      <text>
        <t xml:space="preserve">======
ID#AAABjx7qRlA
    (2025-05-21 11:33:25)
0616 chloe:收到銀行通知USD1518</t>
      </text>
    </comment>
    <comment authorId="0" ref="H390">
      <text>
        <t xml:space="preserve">======
ID#AAABjx7qRks
    (2025-05-21 11:33:25)
0821 chloe: 收到銀行通知USD993</t>
      </text>
    </comment>
    <comment authorId="0" ref="M726">
      <text>
        <t xml:space="preserve">======
ID#AAABjx7qRkY
    (2025-05-21 11:33:25)
採購為TAMMY</t>
      </text>
    </comment>
    <comment authorId="0" ref="H410">
      <text>
        <t xml:space="preserve">======
ID#AAABjx7qRkM
    (2025-05-21 11:33:25)
0817 chloe: 收到銀行通知USD16029.3 (原 16657.3- 620)</t>
      </text>
    </comment>
    <comment authorId="0" ref="O826">
      <text>
        <t xml:space="preserve">======
ID#AAABjx7qRjY
    (2025-05-21 11:33:25)
1214 Santiago : 已付US$8259, 欠US$36</t>
      </text>
    </comment>
    <comment authorId="0" ref="H673">
      <text>
        <t xml:space="preserve">======
ID#AAABjx7qRjU
    (2025-05-21 11:33:25)
1124 Santiago 收到匯款US$10707</t>
      </text>
    </comment>
    <comment authorId="0" ref="H608">
      <text>
        <t xml:space="preserve">======
ID#AAABjx7qRiw
    (2025-05-21 11:33:25)
1011 chloe:收到銀行通知US$13950</t>
      </text>
    </comment>
    <comment authorId="0" ref="K611">
      <text>
        <t xml:space="preserve">======
ID#AAABjx7qRio
    (2025-05-21 11:33:25)
christine 0925: 待付款</t>
      </text>
    </comment>
    <comment authorId="0" ref="O535">
      <text>
        <t xml:space="preserve">======
ID#AAABjx7qRig
    (2025-05-21 11:33:25)
0814 Santiago : 16590+10 (科技國給MOXA手續費)</t>
      </text>
    </comment>
    <comment authorId="0" ref="J836">
      <text>
        <t xml:space="preserve">======
ID#AAABjx7qRh0
Ship To    (2025-05-21 11:33:25)
Ti2 Pty Ltd
103A Mary Street, Richmond, VIC, 3121, Australia
Att: Jim MacDougall
+61 417 714 528</t>
      </text>
    </comment>
    <comment authorId="0" ref="H810">
      <text>
        <t xml:space="preserve">======
ID#AAABjx7qRh4
    (2025-05-21 11:33:25)
1225 Santiago: US$18317 入帳
客戶多付US$40 RMA 費用</t>
      </text>
    </comment>
    <comment authorId="0" ref="D680">
      <text>
        <t xml:space="preserve">======
ID#AAABjx7qRhU
    (2025-05-21 11:33:25)
NISE 3500和3600客戶沒買DRAM，所以無法抽測，只抽測NISE 2300M 2 PCS</t>
      </text>
    </comment>
    <comment authorId="0" ref="H145">
      <text>
        <t xml:space="preserve">======
ID#AAABjx7qRhA
    (2025-05-21 11:33:25)
0309 chloe:已收到銀行通知USD2272</t>
      </text>
    </comment>
    <comment authorId="0" ref="E488">
      <text>
        <t xml:space="preserve">======
ID#AAABjx7qRgw
    (2025-05-21 11:33:25)
3/16 Michelle:Demand3008 8" 這次樣品可以勉強接受2 Pin. 
但未來出貨一定要用3 pin 鳯凰接頭</t>
      </text>
    </comment>
    <comment authorId="0" ref="L260">
      <text>
        <t xml:space="preserve">======
ID#AAABjx7qRgk
    (2025-05-21 11:33:25)
0424 因工廠缺料，故交期待回覆</t>
      </text>
    </comment>
    <comment authorId="0" ref="H836">
      <text>
        <t xml:space="preserve">======
ID#AAABjx7qRf8
    (2025-05-21 11:33:25)
0131 chloe:已匯入US$48618</t>
      </text>
    </comment>
    <comment authorId="0" ref="D537">
      <text>
        <t xml:space="preserve">======
ID#AAABjx7qRf0
    (2025-05-21 11:33:25)
已歸還</t>
      </text>
    </comment>
    <comment authorId="0" ref="H783">
      <text>
        <t xml:space="preserve">======
ID#AAABjx7qRfY
    (2025-05-21 11:33:25)
Santiago 0108 : 玉山收到US$22291</t>
      </text>
    </comment>
    <comment authorId="0" ref="H582">
      <text>
        <t xml:space="preserve">======
ID#AAABjx7qRfU
    (2025-05-21 11:33:25)
1108 chloe: 匯入US$25553
尾款 US$9145 預計 1113 匯出
1114 chloe: 收到銀行通知 尾款匯入 US$9135</t>
      </text>
    </comment>
    <comment authorId="0" ref="O720">
      <text>
        <t xml:space="preserve">======
ID#AAABjx7qRes
    (2025-05-21 11:33:25)
16590+10 (科技國給MOXA手續費)</t>
      </text>
    </comment>
    <comment authorId="0" ref="L46">
      <text>
        <t xml:space="preserve">======
ID#AAABjx7qReo
    (2025-05-21 11:33:25)
3/24 PULL IN 
0123 詢問交期是否提前→ 3/10</t>
      </text>
    </comment>
    <comment authorId="0" ref="H138">
      <text>
        <t xml:space="preserve">======
ID#AAABjx7qReY
    (2025-05-21 11:33:25)
0221 chloe:收到銀行通知USD71</t>
      </text>
    </comment>
    <comment authorId="0" ref="E567">
      <text>
        <t xml:space="preserve">======
ID#AAABjx7qReQ
    (2025-05-21 11:33:25)
20170104 Santiago: 和之前訂單一樣, w/o adapter</t>
      </text>
    </comment>
    <comment authorId="0" ref="K455">
      <text>
        <t xml:space="preserve">======
ID#AAABjx7qRdg
    (2025-05-21 11:33:25)
35*29*17(CM)  3.7 KG→一箱</t>
      </text>
    </comment>
    <comment authorId="0" ref="H550">
      <text>
        <t xml:space="preserve">======
ID#AAABjx7qRYY
    (2025-05-21 11:33:25)
1018 chloe:收到銀行通知US$1135</t>
      </text>
    </comment>
    <comment authorId="0" ref="H676">
      <text>
        <t xml:space="preserve">======
ID#AAABjx7qRYA
    (2025-05-21 11:33:25)
1024 chloe: 收到銀行通知US$1763</t>
      </text>
    </comment>
    <comment authorId="0" ref="E507">
      <text>
        <t xml:space="preserve">======
ID#AAABjx7qRX8
    (2025-05-21 11:33:25)
MOXA 借貨60天</t>
      </text>
    </comment>
    <comment authorId="0" ref="V789">
      <text>
        <t xml:space="preserve">======
ID#AAABjx7qRXo
    (2025-05-21 11:33:25)
在Chloe手上</t>
      </text>
    </comment>
    <comment authorId="0" ref="L563">
      <text>
        <t xml:space="preserve">======
ID#AAABjx7qRXc
    (2025-05-21 11:33:25)
0829 chloe:交期四周，會再PULL IN
0912 chloe:發信詢問交期</t>
      </text>
    </comment>
    <comment authorId="0" ref="AB75">
      <text>
        <t xml:space="preserve">======
ID#AAABjx7qRXY
    (2025-05-21 11:33:25)
執據:002684 223340 10</t>
      </text>
    </comment>
    <comment authorId="0" ref="N722">
      <text>
        <t xml:space="preserve">======
ID#AAABjx7qRWs
    (2025-05-21 11:33:25)
●RDMPO-20170821D(Revised) 7155元</t>
      </text>
    </comment>
    <comment authorId="0" ref="K608">
      <text>
        <t xml:space="preserve">======
ID#AAABjx7qRWY
    (2025-05-21 11:33:25)
christine 0925: 待付款</t>
      </text>
    </comment>
    <comment authorId="0" ref="K13">
      <text>
        <t xml:space="preserve">======
ID#AAABjx7qRWU
    (2025-05-21 11:33:25)
1026 chloe:預計12月份</t>
      </text>
    </comment>
    <comment authorId="0" ref="H467">
      <text>
        <t xml:space="preserve">======
ID#AAABjx7qRWI
    (2025-05-21 11:33:25)
1017chloe:收到銀行通知US$24736</t>
      </text>
    </comment>
    <comment authorId="0" ref="H319">
      <text>
        <t xml:space="preserve">======
ID#AAABjx7qRVc
    (2025-05-21 11:33:25)
0525 chloe:收到銀行通知USD1493</t>
      </text>
    </comment>
    <comment authorId="0" ref="H314">
      <text>
        <t xml:space="preserve">======
ID#AAABjx7qRVU
    (2025-05-21 11:33:25)
7/14 chloe:收到銀行通知USD1427</t>
      </text>
    </comment>
    <comment authorId="0" ref="H102">
      <text>
        <t xml:space="preserve">======
ID#AAABjx7qRU4
    (2025-05-21 11:33:25)
20170322 chloe:收到銀行通知USD2237</t>
      </text>
    </comment>
    <comment authorId="0" ref="E237">
      <text>
        <t xml:space="preserve">======
ID#AAABjx7qRUw
    (2025-05-21 11:33:25)
170505 變更如下：
11090R0002--&gt;11090R0004
MC7330--&gt;MC7430</t>
      </text>
    </comment>
    <comment authorId="0" ref="H303">
      <text>
        <t xml:space="preserve">======
ID#AAABjx7qRUE
    (2025-05-21 11:33:25)
0731 chloe:收到銀行通知USD23876</t>
      </text>
    </comment>
    <comment authorId="0" ref="K498">
      <text>
        <t xml:space="preserve">======
ID#AAABjx7qRUA
    (2025-05-21 11:33:25)
0731 chloe:待客戶付款</t>
      </text>
    </comment>
    <comment authorId="0" ref="K575">
      <text>
        <t xml:space="preserve">======
ID#AAABjx7qRTc
    (2025-05-21 11:33:25)
christine0925:待客戶付款</t>
      </text>
    </comment>
    <comment authorId="0" ref="H785">
      <text>
        <t xml:space="preserve">======
ID#AAABjx7qRTI
    (2025-05-21 11:33:25)
Santiago 0108 : 玉山收到US$22291</t>
      </text>
    </comment>
    <comment authorId="0" ref="H269">
      <text>
        <t xml:space="preserve">======
ID#AAABjx7qRSM
    (2025-05-21 11:33:25)
0612 chloe:今日已收到銀行通知USD7074(多USD18,下次額度)</t>
      </text>
    </comment>
    <comment authorId="0" ref="H60">
      <text>
        <t xml:space="preserve">======
ID#AAABjx7qRSQ
    (2025-05-21 11:33:25)
0210 chloe:收到銀行通知USD4691</t>
      </text>
    </comment>
    <comment authorId="0" ref="L832">
      <text>
        <t xml:space="preserve">======
ID#AAABjx7qRSA
    (2025-05-21 11:33:25)
預計12/13到貨</t>
      </text>
    </comment>
    <comment authorId="0" ref="N358">
      <text>
        <t xml:space="preserve">======
ID#AAABjx7qRRc
    (2025-05-21 11:33:25)
成本 18791元</t>
      </text>
    </comment>
    <comment authorId="0" ref="L7">
      <text>
        <t xml:space="preserve">======
ID#AAABjx7qRRM
    (2025-05-21 11:33:25)
寄給開偉</t>
      </text>
    </comment>
    <comment authorId="0" ref="L92">
      <text>
        <t xml:space="preserve">======
ID#AAABjx7qRRE
    (2025-05-21 11:33:25)
0123 到貨</t>
      </text>
    </comment>
    <comment authorId="0" ref="H341">
      <text>
        <t xml:space="preserve">======
ID#AAABjx7qROY
    (2025-05-21 11:33:25)
0601 chloe:收到銀行通知USD3138</t>
      </text>
    </comment>
    <comment authorId="0" ref="L822">
      <text>
        <t xml:space="preserve">======
ID#AAABjx7qROM
    (2025-05-21 11:33:25)
預計12/1到貨</t>
      </text>
    </comment>
    <comment authorId="0" ref="H247">
      <text>
        <t xml:space="preserve">======
ID#AAABjx7qRNk
    (2025-05-21 11:33:25)
0612 chloe:今日已收到銀行通知USD7074(多USD10)</t>
      </text>
    </comment>
    <comment authorId="0" ref="H302">
      <text>
        <t xml:space="preserve">======
ID#AAABjx7qRNc
    (2025-05-21 11:33:25)
0524 chloe:收到NT30240</t>
      </text>
    </comment>
    <comment authorId="0" ref="H323">
      <text>
        <t xml:space="preserve">======
ID#AAABjx7qRNY
    (2025-05-21 11:33:25)
0601 chloe:收到銀行通知匯入USD13116.5 為此單金額的一半
0706 chloe:收到銀行通知匯入尾款 USD13132.5</t>
      </text>
    </comment>
    <comment authorId="0" ref="L587">
      <text>
        <t xml:space="preserve">======
ID#AAABjx7qRNQ
    (2025-05-21 11:33:25)
0906 再PULL IN 看看</t>
      </text>
    </comment>
    <comment authorId="0" ref="K189">
      <text>
        <t xml:space="preserve">======
ID#AAABjx7qRM0
    (2025-05-21 11:33:25)
提前4/7出貨</t>
      </text>
    </comment>
    <comment authorId="0" ref="L129">
      <text>
        <t xml:space="preserve">======
ID#AAABjx7qRMw
    (2025-05-21 11:33:25)
2/23 確認</t>
      </text>
    </comment>
    <comment authorId="0" ref="H815">
      <text>
        <t xml:space="preserve">======
ID#AAABjx7qRMc
    (2025-05-21 11:33:25)
Santiago 0108 : 玉山收到US$22291</t>
      </text>
    </comment>
    <comment authorId="0" ref="P271">
      <text>
        <t xml:space="preserve">======
ID#AAABjx7qRMQ
    (2025-05-21 11:33:25)
另加運費105</t>
      </text>
    </comment>
    <comment authorId="0" ref="L841">
      <text>
        <t xml:space="preserve">======
ID#AAABjx7qRL4
    (2025-05-21 11:33:25)
預計12/20到貨</t>
      </text>
    </comment>
    <comment authorId="0" ref="O507">
      <text>
        <t xml:space="preserve">======
ID#AAABjx7qRLg
    (2025-05-21 11:33:25)
171204 會放入到20171129B中一起沖帳</t>
      </text>
    </comment>
    <comment authorId="0" ref="L702">
      <text>
        <t xml:space="preserve">======
ID#AAABjx7qRKc
    (2025-05-21 11:33:25)
有庫存
預計10/23到貨</t>
      </text>
    </comment>
    <comment authorId="0" ref="E192">
      <text>
        <t xml:space="preserve">======
ID#AAABjx7qRJ8
0322 chloe    (2025-05-21 11:33:25)
1.待客戶將7' LCD寄來後，直寄曦立光電 做貼合
2.US$70/pc for bonding + AR glass
3.CG-070W-AROB→戎克
   AA070ME01 → 7"LCD 型號</t>
      </text>
    </comment>
    <comment authorId="0" ref="S42">
      <text>
        <t xml:space="preserve">======
ID#AAABjx7qRJM
    (2025-05-21 11:33:25)
待MOXA告知PO-20161227A何時到貨戎克後即可安排匯款
PS:匯率請與SANDIAGO 確認後再與科技國告知
0109 chloe: 預計確定2月出貨下一批前再付款給科技國</t>
      </text>
    </comment>
    <comment authorId="0" ref="K461">
      <text>
        <t xml:space="preserve">======
ID#AAABjx7qRJA
    (2025-05-21 11:33:25)
0731 chloe:待客戶付款</t>
      </text>
    </comment>
    <comment authorId="0" ref="L223">
      <text>
        <t xml:space="preserve">======
ID#AAABjx7qRI8
    (2025-05-21 11:33:25)
HS CODE:8517.62</t>
      </text>
    </comment>
    <comment authorId="0" ref="L381">
      <text>
        <t xml:space="preserve">======
ID#AAABjx7qRIA
    (2025-05-21 11:33:25)
0613 下單
6/29到貨</t>
      </text>
    </comment>
    <comment authorId="0" ref="H784">
      <text>
        <t xml:space="preserve">======
ID#AAABjx7qRIE
    (2025-05-21 11:33:25)
Santiago 0108 : 玉山收到US$22291</t>
      </text>
    </comment>
    <comment authorId="0" ref="D5">
      <text>
        <t xml:space="preserve">======
ID#AAABjx7qRH4
    (2025-05-21 11:33:25)
0926 chloe:暫不計算獎金</t>
      </text>
    </comment>
    <comment authorId="0" ref="L799">
      <text>
        <t xml:space="preserve">======
ID#AAABjx7qRHs
    (2025-05-21 11:33:25)
預計11/28到貨</t>
      </text>
    </comment>
    <comment authorId="0" ref="H583">
      <text>
        <t xml:space="preserve">======
ID#AAABjx7qRG8
    (2025-05-21 11:33:25)
1108 chloe: 匯入US$25553
尾款 US$9145 預計 1113 匯出
1114 chloe: 收到銀行通知 尾款匯入 US$9135</t>
      </text>
    </comment>
    <comment authorId="0" ref="H487">
      <text>
        <t xml:space="preserve">======
ID#AAABjx7qRGg
    (2025-05-21 11:33:25)
0911 chloe:收到銀行通知USD3174</t>
      </text>
    </comment>
    <comment authorId="0" ref="K38">
      <text>
        <t xml:space="preserve">======
ID#AAABjx7qRGA
    (2025-05-21 11:33:25)
0209 chloe:已發信與業務告知可提前至2/13 出貨</t>
      </text>
    </comment>
    <comment authorId="0" ref="H598">
      <text>
        <t xml:space="preserve">======
ID#AAABjx7qRFw
    (2025-05-21 11:33:25)
1003 chloe:收到銀行通知USD2160</t>
      </text>
    </comment>
    <comment authorId="0" ref="H556">
      <text>
        <t xml:space="preserve">======
ID#AAABjx7qRF4
    (2025-05-21 11:33:25)
1018 chloe:收到銀行通知US$1135</t>
      </text>
    </comment>
    <comment authorId="0" ref="H383">
      <text>
        <t xml:space="preserve">======
ID#AAABjx7qRFs
    (2025-05-21 11:33:25)
0630 chloe:收到銀行通知USD3803</t>
      </text>
    </comment>
    <comment authorId="0" ref="J569">
      <text>
        <t xml:space="preserve">======
ID#AAABjx7qRFY
    (2025-05-21 11:33:25)
to Melbourne address</t>
      </text>
    </comment>
    <comment authorId="0" ref="H398">
      <text>
        <t xml:space="preserve">======
ID#AAABjx7qRE0
    (2025-05-21 11:33:25)
0622 chloe:今日已收到銀行通知USD160</t>
      </text>
    </comment>
    <comment authorId="0" ref="O821">
      <text>
        <t xml:space="preserve">======
ID#AAABjx7qREk
    (2025-05-21 11:33:25)
171204 會加入20170726A的貨款一起沖帳</t>
      </text>
    </comment>
    <comment authorId="0" ref="K320">
      <text>
        <t xml:space="preserve">======
ID#AAABjx7qRD4
    (2025-05-21 11:33:25)
21x22x20</t>
      </text>
    </comment>
    <comment authorId="0" ref="H50">
      <text>
        <t xml:space="preserve">======
ID#AAABjx7qRD8
    (2025-05-21 11:33:25)
0224 chloe:收到銀行通知USD6490</t>
      </text>
    </comment>
    <comment authorId="0" ref="K646">
      <text>
        <t xml:space="preserve">======
ID#AAABjx7qRDY
    (2025-05-21 11:33:25)
兩箱
5002LPx4 (70x40x40cm)
5002LPx1 (38x34x17cm)</t>
      </text>
    </comment>
    <comment authorId="0" ref="L212">
      <text>
        <t xml:space="preserve">======
ID#AAABjx7qRDM
    (2025-05-21 11:33:25)
0331 告知交期為下單三週，待PULL IN
目前得知4/21</t>
      </text>
    </comment>
    <comment authorId="0" ref="L167">
      <text>
        <t xml:space="preserve">======
ID#AAABjx7qRDQ
    (2025-05-21 11:33:25)
0313 chloe:3/13取消訂單</t>
      </text>
    </comment>
    <comment authorId="0" ref="X125">
      <text>
        <t xml:space="preserve">======
ID#AAABjx7qRC8
    (2025-05-21 11:33:25)
0221 已申請待回</t>
      </text>
    </comment>
    <comment authorId="0" ref="K839">
      <text>
        <t xml:space="preserve">======
ID#AAABjx7qRCk
    (2025-05-21 11:33:25)
併貨RMA20171031A-3</t>
      </text>
    </comment>
    <comment authorId="0" ref="V40">
      <text>
        <t xml:space="preserve">======
ID#AAABjx7qRCc
    (2025-05-21 11:33:25)
尚未登入是因為有可能此單DC
0111 chloe: 此單DC ，繳20%</t>
      </text>
    </comment>
    <comment authorId="0" ref="H79">
      <text>
        <t xml:space="preserve">======
ID#AAABjx7qRBw
    (2025-05-21 11:33:25)
0202 chloe:收到銀行通知USD13806</t>
      </text>
    </comment>
    <comment authorId="0" ref="L817">
      <text>
        <t xml:space="preserve">======
ID#AAABjx7qRB4
    (2025-05-21 11:33:25)
預計12/15到貨</t>
      </text>
    </comment>
    <comment authorId="0" ref="H249">
      <text>
        <t xml:space="preserve">======
ID#AAABjx7qRBk
    (2025-05-21 11:33:25)
0612 chloe:今日已收到銀行通知USD7074(多USD10)</t>
      </text>
    </comment>
    <comment authorId="0" ref="H442">
      <text>
        <t xml:space="preserve">======
ID#AAABjx7qRBg
    (2025-05-21 11:33:25)
0704 chloe:收到銀行通知USD1838</t>
      </text>
    </comment>
    <comment authorId="0" ref="K613">
      <text>
        <t xml:space="preserve">======
ID#AAABjx7qRBY
    (2025-05-21 11:33:25)
christine 0925: 待付款</t>
      </text>
    </comment>
    <comment authorId="0" ref="H361">
      <text>
        <t xml:space="preserve">======
ID#AAABjx7qRBU
    (2025-05-21 11:33:25)
0712 chloe:收到銀行通知USD2058</t>
      </text>
    </comment>
    <comment authorId="0" ref="H635">
      <text>
        <t xml:space="preserve">======
ID#AAABjx7qRBM
    (2025-05-21 11:33:25)
1002 chloe:收到銀行通知US$634</t>
      </text>
    </comment>
    <comment authorId="0" ref="H773">
      <text>
        <t xml:space="preserve">======
ID#AAABjx7qRA8
    (2025-05-21 11:33:25)
0227 chloe: 收到 匯款NT2,990,255</t>
      </text>
    </comment>
    <comment authorId="0" ref="H721">
      <text>
        <t xml:space="preserve">======
ID#AAABjx7qRA0
    (2025-05-21 11:33:25)
20171127 Santiago 收到玉山匯款通知</t>
      </text>
    </comment>
    <comment authorId="0" ref="H216">
      <text>
        <t xml:space="preserve">======
ID#AAABjx7qRAk
    (2025-05-21 11:33:25)
0714 chloe: 收到銀行通知USD 373</t>
      </text>
    </comment>
    <comment authorId="0" ref="H607">
      <text>
        <t xml:space="preserve">======
ID#AAABjx7qRAM
    (2025-05-21 11:33:25)
1025 chloe:收到銀行通知US$1181</t>
      </text>
    </comment>
    <comment authorId="0" ref="K361">
      <text>
        <t xml:space="preserve">======
ID#AAABjx7qRAE
    (2025-05-21 11:33:25)
43*41*45
加工→15KG
未加工→11KG</t>
      </text>
    </comment>
    <comment authorId="0" ref="H291">
      <text>
        <t xml:space="preserve">======
ID#AAABjx7qQ_8
    (2025-05-21 11:33:25)
0721 chloe:收到銀行通知USD5180</t>
      </text>
    </comment>
    <comment authorId="0" ref="H727">
      <text>
        <t xml:space="preserve">======
ID#AAABjx7qQ_M
    (2025-05-21 11:33:25)
1106 chloe : 收到銀行通知US$469</t>
      </text>
    </comment>
    <comment authorId="0" ref="H578">
      <text>
        <t xml:space="preserve">======
ID#AAABjx7qQ_I
    (2025-05-21 11:33:25)
1012chloe:收到客戶水單，待銀行解款
1013 chloe:收到銀行通知USD15,415</t>
      </text>
    </comment>
    <comment authorId="0" ref="E226">
      <text>
        <t xml:space="preserve">======
ID#AAABjx7qQ-0
    (2025-05-21 11:33:25)
LS38-C3L-TC-N-DD  30km NTD2880/pcs</t>
      </text>
    </comment>
    <comment authorId="0" ref="H196">
      <text>
        <t xml:space="preserve">======
ID#AAABjx7qQ-M
    (2025-05-21 11:33:25)
0502 chloe:收到銀行通知USD237</t>
      </text>
    </comment>
    <comment authorId="0" ref="L843">
      <text>
        <t xml:space="preserve">======
ID#AAABjx7qQ-I
    (2025-05-21 11:33:25)
預計12/20到貨</t>
      </text>
    </comment>
    <comment authorId="0" ref="H802">
      <text>
        <t xml:space="preserve">======
ID#AAABjx7qQ90
    (2025-05-21 11:33:25)
1225 Santiago: US$18317 入帳
客戶多付US$40 RMA 費用</t>
      </text>
    </comment>
    <comment authorId="0" ref="H491">
      <text>
        <t xml:space="preserve">======
ID#AAABjx7qQ9I
    (2025-05-21 11:33:25)
0724 chloe:收到銀行通知USD 518</t>
      </text>
    </comment>
    <comment authorId="0" ref="H385">
      <text>
        <t xml:space="preserve">======
ID#AAABjx7qQ80
    (2025-05-21 11:33:25)
0821 chloe: 收到銀行通知USD 2400 + 1/19多匯USD6330 = USD8730</t>
      </text>
    </comment>
    <comment authorId="0" ref="K576">
      <text>
        <t xml:space="preserve">======
ID#AAABjx7qQ8s
    (2025-05-21 11:33:25)
christine0925:待客戶付款</t>
      </text>
    </comment>
    <comment authorId="0" ref="K509">
      <text>
        <t xml:space="preserve">======
ID#AAABjx7qQ78
    (2025-05-21 11:33:25)
chloe:出貨前照相及拆解分析</t>
      </text>
    </comment>
    <comment authorId="0" ref="L40">
      <text>
        <t xml:space="preserve">======
ID#AAABjx7qQ70
    (2025-05-21 11:33:25)
已收到
目前尚未得知MMC是否要DC此單</t>
      </text>
    </comment>
    <comment authorId="0" ref="K324">
      <text>
        <t xml:space="preserve">======
ID#AAABjx7qQ7s
    (2025-05-21 11:33:25)
Forword 瑞騰空運 詢價
孫小姐
02-277183335 # 41</t>
      </text>
    </comment>
    <comment authorId="0" ref="J159">
      <text>
        <t xml:space="preserve">======
ID#AAABjx7qQ7U
    (2025-05-21 11:33:25)
40*29*27.5  5KG 
0316 chloe:已告知業務</t>
      </text>
    </comment>
    <comment authorId="0" ref="H239">
      <text>
        <t xml:space="preserve">======
ID#AAABjx7qQ60
    (2025-05-21 11:33:25)
0526 chloe: 收到銀行通知USD7175</t>
      </text>
    </comment>
    <comment authorId="0" ref="H135">
      <text>
        <t xml:space="preserve">======
ID#AAABjx7qQ6o
    (2025-05-21 11:33:25)
0330 chloe: 收到銀行通知USD3034</t>
      </text>
    </comment>
    <comment authorId="0" ref="K445">
      <text>
        <t xml:space="preserve">======
ID#AAABjx7qQ6k
    (2025-05-21 11:33:25)
Hi Chloe,
20170629B的INVOICE，請注意下列事項：
１）出貨invoice &amp; packing list移除 w/ EU adapter 字眼. 避免海闗查
２）加HSN : 85176990在invoice備註中</t>
      </text>
    </comment>
    <comment authorId="0" ref="H243">
      <text>
        <t xml:space="preserve">======
ID#AAABjx7qQ5g
    (2025-05-21 11:33:25)
0425 chloe:收到銀行通知USD6117</t>
      </text>
    </comment>
    <comment authorId="0" ref="H47">
      <text>
        <t xml:space="preserve">======
ID#AAABjx7qQ48
    (2025-05-21 11:33:25)
0202 chloe:收到銀行通知USD13806</t>
      </text>
    </comment>
    <comment authorId="0" ref="G821">
      <text>
        <t xml:space="preserve">======
ID#AAABjx7qQ4U
    (2025-05-21 11:33:25)
170323 w/ 5%VAT</t>
      </text>
    </comment>
    <comment authorId="0" ref="V507">
      <text>
        <t xml:space="preserve">======
ID#AAABjx7qQ4I
    (2025-05-21 11:33:25)
無法轉銷貨，故須先把原本借測寄回再出新品</t>
      </text>
    </comment>
    <comment authorId="0" ref="D76">
      <text>
        <t xml:space="preserve">======
ID#AAABjx7qQ30
    (2025-05-21 11:33:25)
測試 Samsung HDD</t>
      </text>
    </comment>
    <comment authorId="0" ref="H428">
      <text>
        <t xml:space="preserve">======
ID#AAABjx7qQ3k
    (2025-05-21 11:33:25)
0928 chloe:收到銀行通知US$46,724</t>
      </text>
    </comment>
    <comment authorId="0" ref="H321">
      <text>
        <t xml:space="preserve">======
ID#AAABjx7qQ3U
    (2025-05-21 11:33:25)
0706 chloe: 收到銀行通知USD8418.5(扣上次多匯USD18)</t>
      </text>
    </comment>
    <comment authorId="0" ref="J837">
      <text>
        <t xml:space="preserve">======
ID#AAABjx7qQ3E
Ship To    (2025-05-21 11:33:25)
Ti2 Pty Ltd
103A Mary Street, Richmond, VIC, 3121, Australia
Att: Jim MacDougall
+61 417 714 528</t>
      </text>
    </comment>
    <comment authorId="0" ref="H148">
      <text>
        <t xml:space="preserve">======
ID#AAABjx7qQ2k
    (2025-05-21 11:33:25)
0614 收到支票 NT192925元，待6/30 兌現
0706 入帳</t>
      </text>
    </comment>
    <comment authorId="0" ref="H46">
      <text>
        <t xml:space="preserve">======
ID#AAABjx7qQ2Y
    (2025-05-21 11:33:25)
0425 chloe:收到銀行通知USD1022</t>
      </text>
    </comment>
    <comment authorId="0" ref="H175">
      <text>
        <t xml:space="preserve">======
ID#AAABjx7qQ2I
    (2025-05-21 11:33:25)
0322 chloe:收到銀行通知USD1004</t>
      </text>
    </comment>
    <comment authorId="0" ref="H777">
      <text>
        <t xml:space="preserve">======
ID#AAABjx7qQ14
    (2025-05-21 11:33:25)
0227 chloe: 收到 匯款NT2,990,255</t>
      </text>
    </comment>
    <comment authorId="0" ref="H476">
      <text>
        <t xml:space="preserve">======
ID#AAABjx7qQ10
    (2025-05-21 11:33:25)
0703 chloe:已收到NT595537</t>
      </text>
    </comment>
    <comment authorId="0" ref="L114">
      <text>
        <t xml:space="preserve">======
ID#AAABjx7qQ1w
    (2025-05-21 11:33:25)
0208 chloe:因機台2/23 才入庫，組裝先抓一週，會幫忙PULL IN</t>
      </text>
    </comment>
    <comment authorId="0" ref="H557">
      <text>
        <t xml:space="preserve">======
ID#AAABjx7qQ1k
    (2025-05-21 11:33:25)
0828 chloe:收到銀行通知USD458</t>
      </text>
    </comment>
    <comment authorId="0" ref="E819">
      <text>
        <t xml:space="preserve">======
ID#AAABjx7qQ1M
    (2025-05-21 11:33:25)
20170104 Santiago: 和之前訂單一樣, w/o adapter</t>
      </text>
    </comment>
    <comment authorId="0" ref="L845">
      <text>
        <t xml:space="preserve">======
ID#AAABjx7qQ1E
    (2025-05-21 11:33:25)
預計12/20到貨</t>
      </text>
    </comment>
    <comment authorId="0" ref="H548">
      <text>
        <t xml:space="preserve">======
ID#AAABjx7qQ0o
    (2025-05-21 11:33:25)
1018 chloe:收到銀行通知US$1135</t>
      </text>
    </comment>
    <comment authorId="0" ref="H35">
      <text>
        <t xml:space="preserve">======
ID#AAABjx7qQ0Y
    (2025-05-21 11:33:25)
0309 chloe:收到芳慎支票NT186841  3/30 可兌
4/5 查詢錢尚未入帳 
4/6 入帳</t>
      </text>
    </comment>
    <comment authorId="0" ref="K185">
      <text>
        <t xml:space="preserve">======
ID#AAABjx7qQzc
Santiago 0410    (2025-05-21 11:33:25)
是否能提前至4/17 到貨. 芳慎想併PI-20170224B-1 的貨一起出</t>
      </text>
    </comment>
    <comment authorId="0" ref="L511">
      <text>
        <t xml:space="preserve">======
ID#AAABjx7qQzI
    (2025-05-21 11:33:25)
US$288 (7-14 天)
0801 : 無現貨 2-4週，已告知超恩</t>
      </text>
    </comment>
    <comment authorId="0" ref="H42">
      <text>
        <t xml:space="preserve">======
ID#AAABjx7qQyU
    (2025-05-21 11:33:25)
0303 chloe: 已收到銀行通知USD17425</t>
      </text>
    </comment>
    <comment authorId="0" ref="O335">
      <text>
        <t xml:space="preserve">======
ID#AAABjx7qQxw
    (2025-05-21 11:33:25)
0607 chloe:特簽無卡出貨</t>
      </text>
    </comment>
    <comment authorId="0" ref="H259">
      <text>
        <t xml:space="preserve">======
ID#AAABjx7qQxk
    (2025-05-21 11:33:25)
7/14 chloe:收到銀行通知USD24,331.50</t>
      </text>
    </comment>
    <comment authorId="0" ref="L25">
      <text>
        <t xml:space="preserve">======
ID#AAABjx7qQxg
    (2025-05-21 11:33:25)
0105 下單</t>
      </text>
    </comment>
    <comment authorId="0" ref="H159">
      <text>
        <t xml:space="preserve">======
ID#AAABjx7qQxM
    (2025-05-21 11:33:25)
0316 chloe:收到銀行通知USD1654</t>
      </text>
    </comment>
    <comment authorId="0" ref="H509">
      <text>
        <t xml:space="preserve">======
ID#AAABjx7qQw0
    (2025-05-21 11:33:25)
0928 chloe:收到銀行通知US$46,724</t>
      </text>
    </comment>
    <comment authorId="0" ref="H489">
      <text>
        <t xml:space="preserve">======
ID#AAABjx7qQwM
    (2025-05-21 11:33:25)
0911 chloe:收到銀行通知USD3174</t>
      </text>
    </comment>
    <comment authorId="0" ref="K329">
      <text>
        <t xml:space="preserve">======
ID#AAABjx7qQwA
    (2025-05-21 11:33:25)
材積預估為67x34x38(cm)
重量24kg
共一箱
有文件須放置內箱</t>
      </text>
    </comment>
    <comment authorId="0" ref="E325">
      <text>
        <t xml:space="preserve">======
ID#AAABjx7qQvw
    (2025-05-21 11:33:25)
170523 Karen: 下歐規</t>
      </text>
    </comment>
    <comment authorId="0" ref="K325">
      <text>
        <t xml:space="preserve">======
ID#AAABjx7qQvg
    (2025-05-21 11:33:25)
Forword 瑞騰空運 詢價
孫小姐
02-277183335 # 41</t>
      </text>
    </comment>
    <comment authorId="0" ref="H228">
      <text>
        <t xml:space="preserve">======
ID#AAABjx7qQvI
    (2025-05-21 11:33:25)
0424 chloe:收到西聯匯入NT12481元現金</t>
      </text>
    </comment>
    <comment authorId="0" ref="H121">
      <text>
        <t xml:space="preserve">======
ID#AAABjx7qQu8
    (2025-05-21 11:33:25)
0502 chloe:收到銀行通知USD10325</t>
      </text>
    </comment>
    <comment authorId="0" ref="H454">
      <text>
        <t xml:space="preserve">======
ID#AAABjx7qQuw
    (2025-05-21 11:33:25)
0817 chloe: 收到銀行通知USD16029.3 (原 16657.3- 620)</t>
      </text>
    </comment>
    <comment authorId="0" ref="H647">
      <text>
        <t xml:space="preserve">======
ID#AAABjx7qQuo
    (2025-05-21 11:33:25)
20171124 Santiago 收到US$10707</t>
      </text>
    </comment>
    <comment authorId="0" ref="H681">
      <text>
        <t xml:space="preserve">======
ID#AAABjx7qQuY
    (2025-05-21 11:33:25)
1213 Santiago : US$7483 已到
1103 chloe: 收到US$9770 
( 另外US$7350尚未收到)</t>
      </text>
    </comment>
    <comment authorId="0" ref="O24">
      <text>
        <t xml:space="preserve">======
ID#AAABjx7qQuM
    (2025-05-21 11:33:25)
170225 改US$6447元
161211 扣抵金額(含稅)US$504,應支付貨款(含稅)為US$6447元</t>
      </text>
    </comment>
    <comment authorId="0" ref="H632">
      <text>
        <t xml:space="preserve">======
ID#AAABjx7qQuA
    (2025-05-21 11:33:25)
1124 Santiago : 已收到匯款2950</t>
      </text>
    </comment>
    <comment authorId="0" ref="H399">
      <text>
        <t xml:space="preserve">======
ID#AAABjx7qQtk
    (2025-05-21 11:33:25)
0621 chloe: 收到銀行通知USD1215</t>
      </text>
    </comment>
    <comment authorId="0" ref="H5">
      <text>
        <t xml:space="preserve">======
ID#AAABjx7qQtM
    (2025-05-21 11:33:25)
0701 Santiago: 收到銀行通知</t>
      </text>
    </comment>
    <comment authorId="0" ref="L649">
      <text>
        <t xml:space="preserve">======
ID#AAABjx7qQss
    (2025-05-21 11:33:25)
有庫存</t>
      </text>
    </comment>
    <comment authorId="0" ref="H353">
      <text>
        <t xml:space="preserve">======
ID#AAABjx7qQsY
    (2025-05-21 11:33:25)
0614 chloe:收到銀行通知USD1068</t>
      </text>
    </comment>
    <comment authorId="0" ref="H387">
      <text>
        <t xml:space="preserve">======
ID#AAABjx7qQr4
    (2025-05-21 11:33:25)
0821 chloe: 收到銀行通知USD 2400 + 1/19多匯USD6330 = USD8730</t>
      </text>
    </comment>
    <comment authorId="0" ref="H662">
      <text>
        <t xml:space="preserve">======
ID#AAABjx7qQqs
    (2025-05-21 11:33:25)
1225 Santiago: US$18317 入帳
客戶多付US$40 RMA 費用</t>
      </text>
    </comment>
    <comment authorId="0" ref="H381">
      <text>
        <t xml:space="preserve">======
ID#AAABjx7qQqo
    (2025-05-21 11:33:25)
0731 chloe:收到銀行通知USD23876</t>
      </text>
    </comment>
    <comment authorId="0" ref="L686">
      <text>
        <t xml:space="preserve">======
ID#AAABjx7qQqU
    (2025-05-21 11:33:25)
預計10/25到貨</t>
      </text>
    </comment>
    <comment authorId="0" ref="H427">
      <text>
        <t xml:space="preserve">======
ID#AAABjx7qQpo
    (2025-05-21 11:33:25)
0928 chloe:收到銀行通知US$46,724</t>
      </text>
    </comment>
    <comment authorId="0" ref="L439">
      <text>
        <t xml:space="preserve">======
ID#AAABjx7qQpk
    (2025-05-21 11:33:25)
1 PCS  stock→已先BOOKING
1 PCS   9/15工廠產出</t>
      </text>
    </comment>
    <comment authorId="0" ref="L121">
      <text>
        <t xml:space="preserve">======
ID#AAABjx7qQpM
    (2025-05-21 11:33:25)
0220 chloe: 告知主板庫存問題，交期3/10 待PULL IN</t>
      </text>
    </comment>
    <comment authorId="0" ref="L710">
      <text>
        <t xml:space="preserve">======
ID#AAABjx7qQpA
    (2025-05-21 11:33:25)
7-10天
預計11/8到貨</t>
      </text>
    </comment>
    <comment authorId="0" ref="H84">
      <text>
        <t xml:space="preserve">======
ID#AAABjx7qQnw
    (2025-05-21 11:33:25)
0224 chloe:收到銀行通知USD6490</t>
      </text>
    </comment>
    <comment authorId="0" ref="L802">
      <text>
        <t xml:space="preserve">======
ID#AAABjx7qQmc
    (2025-05-21 11:33:25)
預計12/8到貨</t>
      </text>
    </comment>
    <comment authorId="0" ref="H808">
      <text>
        <t xml:space="preserve">======
ID#AAABjx7qQmM
    (2025-05-21 11:33:25)
20171204 Santiago收到銀行通知</t>
      </text>
    </comment>
    <comment authorId="0" ref="J39">
      <text>
        <t xml:space="preserve">======
ID#AAABjx7qQlw
材積10.1KGS    (2025-05-21 11:33:25)
</t>
      </text>
    </comment>
    <comment authorId="0" ref="J797">
      <text>
        <t xml:space="preserve">======
ID#AAABjx7qQlk
Ship To    (2025-05-21 11:33:25)
Ti2 Pty Ltd
103A Mary Street, Richmond, VIC, 3121, Australia
Att: Jim MacDougall
+61 417 714 528</t>
      </text>
    </comment>
    <comment authorId="0" ref="K546">
      <text>
        <t xml:space="preserve">======
ID#AAABjx7qQlc
    (2025-05-21 11:33:25)
1.需增加(研華ECU-4784-D55SAE)
2.出口報單要給研華核銷(出口金額空白)
3. Santiago要照相</t>
      </text>
    </comment>
    <comment authorId="0" ref="S327">
      <text>
        <t xml:space="preserve">======
ID#AAABjx7qQkQ
    (2025-05-21 11:33:25)
月結30天，額度USD5000</t>
      </text>
    </comment>
    <comment authorId="0" ref="H407">
      <text>
        <t xml:space="preserve">======
ID#AAABjx7qQj0
    (2025-05-21 11:33:25)
0817 chloe: 收到銀行通知USD16029.3 (原 16657.3- 620)</t>
      </text>
    </comment>
    <comment authorId="0" ref="H720">
      <text>
        <t xml:space="preserve">======
ID#AAABjx7qQjk
    (2025-05-21 11:33:25)
1113 chloe: 收到銀行通知US$17423</t>
      </text>
    </comment>
    <comment authorId="0" ref="H626">
      <text>
        <t xml:space="preserve">======
ID#AAABjx7qQjU
    (2025-05-21 11:33:25)
1107 chloe:收到銀行通知US$853</t>
      </text>
    </comment>
    <comment authorId="0" ref="H309">
      <text>
        <t xml:space="preserve">======
ID#AAABjx7qQjM
    (2025-05-21 11:33:25)
0712 chloe:收到銀行通知USD2058</t>
      </text>
    </comment>
    <comment authorId="0" ref="K326">
      <text>
        <t xml:space="preserve">======
ID#AAABjx7qQjE
    (2025-05-21 11:33:25)
Forword 瑞騰空運 詢價
孫小姐
02-277183335 # 41</t>
      </text>
    </comment>
    <comment authorId="0" ref="K583">
      <text>
        <t xml:space="preserve">======
ID#AAABjx7qQi4
    (2025-05-21 11:33:25)
christine0925:待客戶付款</t>
      </text>
    </comment>
    <comment authorId="0" ref="H708">
      <text>
        <t xml:space="preserve">======
ID#AAABjx7qQiw
    (2025-05-21 11:33:25)
1113 chloe:收到銀行通知US$753</t>
      </text>
    </comment>
    <comment authorId="0" ref="H670">
      <text>
        <t xml:space="preserve">======
ID#AAABjx7qQis
    (2025-05-21 11:33:25)
1225 Santiago, 短缺105 已補
1124 Santiago :
P172909NP2 + P171004NP0 應付US$1840
由於Benson 原始PI只寫US$1735, 
因此短缺US$105</t>
      </text>
    </comment>
    <comment authorId="0" ref="H572">
      <text>
        <t xml:space="preserve">======
ID#AAABjx7qQio
    (2025-05-21 11:33:25)
1012chloe:收到客戶水單，待銀行解款
1013 chloe:收到銀行通知USD15,415</t>
      </text>
    </comment>
    <comment authorId="0" ref="H296">
      <text>
        <t xml:space="preserve">======
ID#AAABjx7qQiU
    (2025-05-21 11:33:25)
0718 chloe:收到銀行通知USD841</t>
      </text>
    </comment>
    <comment authorId="0" ref="L305">
      <text>
        <t xml:space="preserve">======
ID#AAABjx7qQho
    (2025-05-21 11:33:25)
0605 待詢問是否到貨VECOM?</t>
      </text>
    </comment>
    <comment authorId="0" ref="V12">
      <text>
        <t xml:space="preserve">======
ID#AAABjx7qQhg
    (2025-05-21 11:33:25)
1031 chloe: 已給會計，先算"研發費用"</t>
      </text>
    </comment>
    <comment authorId="0" ref="H490">
      <text>
        <t xml:space="preserve">======
ID#AAABjx7qQhQ
    (2025-05-21 11:33:25)
0724 chloe:收到銀行通知USD 518</t>
      </text>
    </comment>
    <comment authorId="0" ref="H579">
      <text>
        <t xml:space="preserve">======
ID#AAABjx7qQhU
    (2025-05-21 11:33:25)
1012chloe:收到客戶水單，待銀行解款
1013 chloe:收到銀行通知USD15,415</t>
      </text>
    </comment>
    <comment authorId="0" ref="E664">
      <text>
        <t xml:space="preserve">======
ID#AAABjx7qQhM
    (2025-05-21 11:33:25)
11/12 michelle: 58-80024-0000</t>
      </text>
    </comment>
    <comment authorId="0" ref="H65">
      <text>
        <t xml:space="preserve">======
ID#AAABjx7qQgw
    (2025-05-21 11:33:25)
0210 chloe:收到銀行通知USD4691</t>
      </text>
    </comment>
    <comment authorId="0" ref="H788">
      <text>
        <t xml:space="preserve">======
ID#AAABjx7qQgg
    (2025-05-21 11:33:25)
Santiago 0108 : 玉山收到US$22291</t>
      </text>
    </comment>
    <comment authorId="0" ref="H106">
      <text>
        <t xml:space="preserve">======
ID#AAABjx7qQgY
    (2025-05-21 11:33:25)
0216 chloe :收到銀行通知USD217</t>
      </text>
    </comment>
    <comment authorId="0" ref="H703">
      <text>
        <t xml:space="preserve">======
ID#AAABjx7qQgE
    (2025-05-21 11:33:25)
1018 chloe:收到轉帳NT2,434</t>
      </text>
    </comment>
    <comment authorId="0" ref="O465">
      <text>
        <t xml:space="preserve">======
ID#AAABjx7qQfw
    (2025-05-21 11:33:25)
PO-20170523A-1 Rebate USD28*20=USD560 * 1.05= USD588</t>
      </text>
    </comment>
    <comment authorId="0" ref="H797">
      <text>
        <t xml:space="preserve">======
ID#AAABjx7qQfY
    (2025-05-21 11:33:25)
0131 chloe:已匯入US$48618</t>
      </text>
    </comment>
    <comment authorId="0" ref="E801">
      <text>
        <t xml:space="preserve">======
ID#AAABjx7qQfM
    (2025-05-21 11:33:25)
1130 Santiago 請Leon 燒錄光碟,</t>
      </text>
    </comment>
    <comment authorId="0" ref="H724">
      <text>
        <t xml:space="preserve">======
ID#AAABjx7qQeM
    (2025-05-21 11:33:25)
0323 chloe: 匯款匯入US$3757</t>
      </text>
    </comment>
    <comment authorId="0" ref="L646">
      <text>
        <t xml:space="preserve">======
ID#AAABjx7qQd8
    (2025-05-21 11:33:25)
交期7~10天</t>
      </text>
    </comment>
    <comment authorId="0" ref="L681">
      <text>
        <t xml:space="preserve">======
ID#AAABjx7qQd4
    (2025-05-21 11:33:25)
預計10/30到貨</t>
      </text>
    </comment>
    <comment authorId="0" ref="K725">
      <text>
        <t xml:space="preserve">======
ID#AAABjx7qQdU
    (2025-05-21 11:33:25)
christine0925:待客戶付款</t>
      </text>
    </comment>
    <comment authorId="0" ref="K146">
      <text>
        <t xml:space="preserve">======
ID#AAABjx7qQcw
    (2025-05-21 11:33:25)
材積 43*37*34 15KG 共三箱 每箱15PCS</t>
      </text>
    </comment>
    <comment authorId="0" ref="L522">
      <text>
        <t xml:space="preserve">======
ID#AAABjx7qQco
    (2025-05-21 11:33:25)
0804 下單 預計5-6 周交貨
0816 詢問確定交期 →預計9/4-9/8可交貨</t>
      </text>
    </comment>
    <comment authorId="0" ref="H158">
      <text>
        <t xml:space="preserve">======
ID#AAABjx7qQcM
    (2025-05-21 11:33:25)
0316 chloe:收到銀行通知USD1654</t>
      </text>
    </comment>
    <comment authorId="0" ref="H250">
      <text>
        <t xml:space="preserve">======
ID#AAABjx7qQcI
    (2025-05-21 11:33:25)
0612 chloe:今日已收到銀行通知USD7074(多USD10)</t>
      </text>
    </comment>
    <comment authorId="0" ref="H637">
      <text>
        <t xml:space="preserve">======
ID#AAABjx7qQa0
    (2025-05-21 11:33:25)
1002 chloe:收到銀行通知US$634</t>
      </text>
    </comment>
    <comment authorId="0" ref="K46">
      <text>
        <t xml:space="preserve">======
ID#AAABjx7qQZ8
Santiago 20170301    (2025-05-21 11:33:25)
KH 在催貨. 因為拖2 個月, 
所以改週五當天出</t>
      </text>
    </comment>
    <comment authorId="0" ref="H829">
      <text>
        <t xml:space="preserve">======
ID#AAABjx7qQZ0
    (2025-05-21 11:33:25)
0124 chloe :匯入US$1632</t>
      </text>
    </comment>
    <comment authorId="0" ref="H77">
      <text>
        <t xml:space="preserve">======
ID#AAABjx7qQZU
    (2025-05-21 11:33:25)
0406 chloe:收到銀行通知USD16968</t>
      </text>
    </comment>
    <comment authorId="0" ref="H350">
      <text>
        <t xml:space="preserve">======
ID#AAABjx7qQY0
    (2025-05-21 11:33:25)
0609 chloe:收到銀行通知 USD2892</t>
      </text>
    </comment>
    <comment authorId="0" ref="H392">
      <text>
        <t xml:space="preserve">======
ID#AAABjx7qQYk
    (2025-05-21 11:33:25)
0822 chloe:已收到銀行通知USD17120</t>
      </text>
    </comment>
    <comment authorId="0" ref="N398">
      <text>
        <t xml:space="preserve">======
ID#AAABjx7qQYs
    (2025-05-21 11:33:25)
獎金計算請從RDMO-20170511A~RDMO-20170511A-5&amp;RDMPO-20170511A-7</t>
      </text>
    </comment>
    <comment authorId="0" ref="J36">
      <text>
        <t xml:space="preserve">======
ID#AAABjx7qQYw
    (2025-05-21 11:33:25)
每週四收貨，週五班機</t>
      </text>
    </comment>
    <comment authorId="0" ref="H818">
      <text>
        <t xml:space="preserve">======
ID#AAABjx7qQXs
    (2025-05-21 11:33:25)
0104 Santiago : 合庫入NT741687</t>
      </text>
    </comment>
    <comment authorId="0" ref="P823">
      <text>
        <t xml:space="preserve">======
ID#AAABjx7qQXw
    (2025-05-21 11:33:25)
發票單價:2396.8(研華開立D4價格)
採購金額:10626
※chloe下次注意錯誤</t>
      </text>
    </comment>
    <comment authorId="0" ref="H44">
      <text>
        <t xml:space="preserve">======
ID#AAABjx7qQXk
    (2025-05-21 11:33:25)
7/14 chloe:收到銀行通知USD24,331.50</t>
      </text>
    </comment>
    <comment authorId="0" ref="K391">
      <text>
        <t xml:space="preserve">======
ID#AAABjx7qQXo
    (2025-05-21 11:33:25)
0731 chloe:待客戶付款</t>
      </text>
    </comment>
    <comment authorId="0" ref="O713">
      <text>
        <t xml:space="preserve">======
ID#AAABjx7qQXA
    (2025-05-21 11:33:25)
Santiago 1207 : 實付20740</t>
      </text>
    </comment>
    <comment authorId="0" ref="H310">
      <text>
        <t xml:space="preserve">======
ID#AAABjx7qQWo
    (2025-05-21 11:33:25)
0614 收到支票 NT192925元，待6/30 兌現
0706 入帳</t>
      </text>
    </comment>
    <comment authorId="0" ref="H441">
      <text>
        <t xml:space="preserve">======
ID#AAABjx7qQW0
    (2025-05-21 11:33:25)
0704 chloe:收到銀行通知USD1838</t>
      </text>
    </comment>
    <comment authorId="0" ref="H553">
      <text>
        <t xml:space="preserve">======
ID#AAABjx7qQWg
    (2025-05-21 11:33:25)
1018 chloe:收到銀行通知US$1135</t>
      </text>
    </comment>
    <comment authorId="0" ref="H459">
      <text>
        <t xml:space="preserve">======
ID#AAABjx7qQWY
    (2025-05-21 11:33:25)
0810 chloe:已發對帳單
0821 chloe: 已收到貨款 NT4824</t>
      </text>
    </comment>
    <comment authorId="0" ref="H779">
      <text>
        <t xml:space="preserve">======
ID#AAABjx7qQWM
    (2025-05-21 11:33:25)
0108 Santiago: US$10,177.50 匯入玉山</t>
      </text>
    </comment>
    <comment authorId="0" ref="H449">
      <text>
        <t xml:space="preserve">======
ID#AAABjx7qQWI
    (2025-05-21 11:33:25)
0821 chloe: 收到銀行通知USD993</t>
      </text>
    </comment>
    <comment authorId="0" ref="H669">
      <text>
        <t xml:space="preserve">======
ID#AAABjx7qQV0
    (2025-05-21 11:33:25)
1124 Santiago 收到匯款US$10707</t>
      </text>
    </comment>
    <comment authorId="0" ref="H827">
      <text>
        <t xml:space="preserve">======
ID#AAABjx7qQVc
    (2025-05-21 11:33:25)
Santiago 0108 : 玉山收到US$22291</t>
      </text>
    </comment>
    <comment authorId="0" ref="K558">
      <text>
        <t xml:space="preserve">======
ID#AAABjx7qQVY
    (2025-05-21 11:33:25)
Christine 0925 :缺少cable</t>
      </text>
    </comment>
    <comment authorId="0" ref="H236">
      <text>
        <t xml:space="preserve">======
ID#AAABjx7qQVI
    (2025-05-21 11:33:25)
0616 chloe:收到銀行通知USD2355</t>
      </text>
    </comment>
    <comment authorId="0" ref="K263">
      <text>
        <t xml:space="preserve">======
ID#AAABjx7qQU4
    (2025-05-21 11:33:25)
先將發票文件給凌群採購</t>
      </text>
    </comment>
    <comment authorId="0" ref="S378">
      <text>
        <t xml:space="preserve">======
ID#AAABjx7qQUc
    (2025-05-21 11:33:25)
月結30天，額度USD5000</t>
      </text>
    </comment>
    <comment authorId="0" ref="L715">
      <text>
        <t xml:space="preserve">======
ID#AAABjx7qQUU
    (2025-05-21 11:33:25)
預計10/27到貨</t>
      </text>
    </comment>
    <comment authorId="0" ref="K377">
      <text>
        <t xml:space="preserve">======
ID#AAABjx7qQUA
If shipping After 23rd June, please ship to    (2025-05-21 11:33:25)
11 Averill Street,
Rhodes, NSW, 2138
Australia</t>
      </text>
    </comment>
    <comment authorId="0" ref="L783">
      <text>
        <t xml:space="preserve">======
ID#AAABjx7qQTw
    (2025-05-21 11:33:25)
預計12/15到貨</t>
      </text>
    </comment>
    <comment authorId="0" ref="H633">
      <text>
        <t xml:space="preserve">======
ID#AAABjx7qQTA
    (2025-05-21 11:33:25)
1124 Santiago : 已收到匯款2950</t>
      </text>
    </comment>
    <comment authorId="0" ref="H601">
      <text>
        <t xml:space="preserve">======
ID#AAABjx7qQSY
    (2025-05-21 11:33:25)
0915 chloe: 收到款項NT 10699</t>
      </text>
    </comment>
    <comment authorId="0" ref="K134">
      <text>
        <t xml:space="preserve">======
ID#AAABjx7qQSM
    (2025-05-21 11:33:25)
TIP 修改?</t>
      </text>
    </comment>
    <comment authorId="0" ref="L739">
      <text>
        <t xml:space="preserve">======
ID#AAABjx7qQSE
    (2025-05-21 11:33:25)
預計11/15到貨</t>
      </text>
    </comment>
    <comment authorId="0" ref="L41">
      <text>
        <t xml:space="preserve">======
ID#AAABjx7qQSI
    (2025-05-21 11:33:25)
1227 chloe: 回覆約1月底可出貨(待追)
1/5回應交期1/25到貨→PULL IN 中
改由1/18到貨</t>
      </text>
    </comment>
    <comment authorId="0" ref="L365">
      <text>
        <t xml:space="preserve">======
ID#AAABjx7qQRM
    (2025-05-21 11:33:25)
0731送回研華測試中，預計8/7可出貨
8/8 測試完畢 8/9 出貨</t>
      </text>
    </comment>
    <comment authorId="0" ref="T507">
      <text>
        <t xml:space="preserve">======
ID#AAABjx7qQRE
    (2025-05-21 11:33:25)
無法轉銷貨，故須先把原本借測寄回再出新品
1101 發信詢問，回覆目前還沒取得共識</t>
      </text>
    </comment>
    <comment authorId="0" ref="L344">
      <text>
        <t xml:space="preserve">======
ID#AAABjx7qQQk
    (2025-05-21 11:33:25)
0601 暫HOLD，待Santiago確認
0619 已詢問業務，尚未得到客戶確認 
0626 確定要下單</t>
      </text>
    </comment>
    <comment authorId="0" ref="H242">
      <text>
        <t xml:space="preserve">======
ID#AAABjx7qQQc
    (2025-05-21 11:33:25)
0425 chloe:收到銀行通知USD6117</t>
      </text>
    </comment>
    <comment authorId="0" ref="E132">
      <text>
        <t xml:space="preserve">======
ID#AAABjx7qQQU
    (2025-05-21 11:33:25)
20170104 Santiago: 和之前訂單一樣, w/o adapter</t>
      </text>
    </comment>
    <comment authorId="0" ref="H311">
      <text>
        <t xml:space="preserve">======
ID#AAABjx7qQP8
    (2025-05-21 11:33:25)
0614 收到支票 NT192925元，待6/30 兌現
0706 入帳</t>
      </text>
    </comment>
    <comment authorId="0" ref="H185">
      <text>
        <t xml:space="preserve">======
ID#AAABjx7qQP0
    (2025-05-21 11:33:25)
0525 收到支票 NT117686元，待5/31 兌現
0605 chloe: 入帳</t>
      </text>
    </comment>
    <comment authorId="0" ref="E225">
      <text>
        <t xml:space="preserve">======
ID#AAABjx7qQP4
    (2025-05-21 11:33:25)
170411 Karen :廠商料號 LS38-C3S-TC-N-DD</t>
      </text>
    </comment>
    <comment authorId="0" ref="E518">
      <text>
        <t xml:space="preserve">======
ID#AAABjx7qQPQ
    (2025-05-21 11:33:25)
Chloe: 2.5” SSD A3A 128GB, -40°C~+85°C</t>
      </text>
    </comment>
    <comment authorId="0" ref="H736">
      <text>
        <t xml:space="preserve">======
ID#AAABjx7qQPA
    (2025-05-21 11:33:25)
1225 Santiago: US$18317 入帳
客戶多付US$40 RMA 費用</t>
      </text>
    </comment>
    <comment authorId="0" ref="H505">
      <text>
        <t xml:space="preserve">======
ID#AAABjx7qQN8
    (2025-05-21 11:33:25)
0731 chloe: 收到銀行通知USD 2381</t>
      </text>
    </comment>
    <comment authorId="0" ref="L657">
      <text>
        <t xml:space="preserve">======
ID#AAABjx7qQNw
    (2025-05-21 11:33:25)
戎克庫存:5 PCS
亞驪 7 PCS交期待回覆</t>
      </text>
    </comment>
    <comment authorId="0" ref="H218">
      <text>
        <t xml:space="preserve">======
ID#AAABjx7qQM8
    (2025-05-21 11:33:25)
0714 chloe: 收到銀行通知USD 373</t>
      </text>
    </comment>
    <comment authorId="0" ref="X723">
      <text>
        <t xml:space="preserve">======
ID#AAABjx7qQMc
    (2025-05-21 11:33:25)
簡易報關</t>
      </text>
    </comment>
    <comment authorId="0" ref="H178">
      <text>
        <t xml:space="preserve">======
ID#AAABjx7qQL8
    (2025-05-21 11:33:25)
0517 chloe :收到銀行通知USD7368.5</t>
      </text>
    </comment>
    <comment authorId="0" ref="H83">
      <text>
        <t xml:space="preserve">======
ID#AAABjx7qQLA
    (2025-05-21 11:33:25)
0119 chloe: 收到銀行通知USD1134</t>
      </text>
    </comment>
    <comment authorId="0" ref="L43">
      <text>
        <t xml:space="preserve">======
ID#AAABjx7qQK8
    (2025-05-21 11:33:25)
1229 chloe:下單</t>
      </text>
    </comment>
    <comment authorId="0" ref="J323">
      <text>
        <t xml:space="preserve">======
ID#AAABjx7qQKc
    (2025-05-21 11:33:25)
Tania Chen 
Air Freight Department
RATTAN EXPRESS – Taipei, Taiwan
Skype:tania590205
Tel: 886(2)2718-3335 EXT.54 | Fax: 886(2)2718-3353</t>
      </text>
    </comment>
    <comment authorId="0" ref="K53">
      <text>
        <t xml:space="preserve">======
ID#AAABjx7qQKU
    (2025-05-21 11:33:25)
待安陽與國外確認EX WORK/FOB才能後續動作</t>
      </text>
    </comment>
    <comment authorId="0" ref="H171">
      <text>
        <t xml:space="preserve">======
ID#AAABjx7qQJA
    (2025-05-21 11:33:25)
0502 chloe:收到銀行通知USD10325</t>
      </text>
    </comment>
    <comment authorId="0" ref="H532">
      <text>
        <t xml:space="preserve">======
ID#AAABjx7qQI4
    (2025-05-21 11:33:25)
0922 chloe:收到銀行通知US$5030</t>
      </text>
    </comment>
    <comment authorId="0" ref="H226">
      <text>
        <t xml:space="preserve">======
ID#AAABjx7qQHU
    (2025-05-21 11:33:25)
0428 chloe:收到銀行通知USD20982</t>
      </text>
    </comment>
    <comment authorId="0" ref="L328">
      <text>
        <t xml:space="preserve">======
ID#AAABjx7qQHM
    (2025-05-21 11:33:25)
0530 chloe: 詢問是否可提前6/19 出貨戎克→待回</t>
      </text>
    </comment>
    <comment authorId="0" ref="H327">
      <text>
        <t xml:space="preserve">======
ID#AAABjx7qQG4
    (2025-05-21 11:33:25)
0731 chloe:收到銀行通知USD23876
※通知 LISSA 計算獎金時要扣掉US$620</t>
      </text>
    </comment>
    <comment authorId="0" ref="L706">
      <text>
        <t xml:space="preserve">======
ID#AAABjx7qQGk
    (2025-05-21 11:33:25)
預計11/10到貨</t>
      </text>
    </comment>
    <comment authorId="0" ref="L800">
      <text>
        <t xml:space="preserve">======
ID#AAABjx7qQGc
    (2025-05-21 11:33:25)
預計11/28到貨</t>
      </text>
    </comment>
    <comment authorId="0" ref="K585">
      <text>
        <t xml:space="preserve">======
ID#AAABjx7qQGQ
    (2025-05-21 11:33:25)
christine0925:待客戶付款</t>
      </text>
    </comment>
    <comment authorId="0" ref="H189">
      <text>
        <t xml:space="preserve">======
ID#AAABjx7qQGA
    (2025-05-21 11:33:25)
0508 chloe:已收到銀行通知USD3244</t>
      </text>
    </comment>
    <comment authorId="0" ref="H746">
      <text>
        <t xml:space="preserve">======
ID#AAABjx7qQF0
    (2025-05-21 11:33:25)
0131 chloe:已匯入US$48618</t>
      </text>
    </comment>
    <comment authorId="0" ref="H831">
      <text>
        <t xml:space="preserve">======
ID#AAABjx7qQF4
    (2025-05-21 11:33:25)
0124 chloe :匯入US$1632</t>
      </text>
    </comment>
    <comment authorId="0" ref="H584">
      <text>
        <t xml:space="preserve">======
ID#AAABjx7qQE8
    (2025-05-21 11:33:25)
1108 chloe: 匯入US$25553
尾款 US$9145 預計 1113 匯出</t>
      </text>
    </comment>
    <comment authorId="0" ref="H118">
      <text>
        <t xml:space="preserve">======
ID#AAABjx7qQFA
    (2025-05-21 11:33:25)
0221 chloe: 收到銀行通知USD3882</t>
      </text>
    </comment>
    <comment authorId="0" ref="H212">
      <text>
        <t xml:space="preserve">======
ID#AAABjx7qQEU
    (2025-05-21 11:33:25)
0526 chloe: 收到銀行通知USD7175</t>
      </text>
    </comment>
    <comment authorId="0" ref="K610">
      <text>
        <t xml:space="preserve">======
ID#AAABjx7qQEQ
    (2025-05-21 11:33:25)
christine 0925: 待付款</t>
      </text>
    </comment>
    <comment authorId="0" ref="H666">
      <text>
        <t xml:space="preserve">======
ID#AAABjx7qQEE
    (2025-05-21 11:33:25)
1225 Santiago, 短缺105 已補
1124 Santiago :
P172909NP2 + P171004NP0 應付US$1840
由於Benson 原始PI只寫US$1735, 
因此短缺US$105</t>
      </text>
    </comment>
    <comment authorId="0" ref="H497">
      <text>
        <t xml:space="preserve">======
ID#AAABjx7qQDk
    (2025-05-21 11:33:25)
0822 chloe:已收到銀行通知USD17120</t>
      </text>
    </comment>
    <comment authorId="0" ref="H689">
      <text>
        <t xml:space="preserve">======
ID#AAABjx7qQDY
    (2025-05-21 11:33:25)
1213 Santiago : US$7483 已到
1103 chloe: 收到US$9770 
( 另外US$7350尚未收到)</t>
      </text>
    </comment>
    <comment authorId="0" ref="J342">
      <text>
        <t xml:space="preserve">======
ID#AAABjx7qQDQ
170525 Tammy, 參照20160930C, 如下    (2025-05-21 11:33:25)
1. FOB. 
2. 請JJB 出口報關時提供COC (產地證明)
3.貨代聯絡資料如下：
JJB Link Logistics Company Inc.
Office Address: 8F., No. 152, Sec. 4, Nan-King E., Road, Taipei Taiwan.
CTP: Timothy Jen, Tel: +886-2-25772111 #105, Fax: +886-2-25702115</t>
      </text>
    </comment>
    <comment authorId="0" ref="L76">
      <text>
        <t xml:space="preserve">======
ID#AAABjx7qQDI
    (2025-05-21 11:33:25)
0216 chloe:因主機板延遲，故此貨盡量PULL IN 在2/23出貨，若不行2/24 會拿到</t>
      </text>
    </comment>
    <comment authorId="0" ref="H764">
      <text>
        <t xml:space="preserve">======
ID#AAABjx7qQCU
    (2025-05-21 11:33:25)
0108 Santiago: US$10,177.50 匯入玉山</t>
      </text>
    </comment>
    <comment authorId="0" ref="K726">
      <text>
        <t xml:space="preserve">======
ID#AAABjx7qQCI
    (2025-05-21 11:33:25)
christine0925:待客戶付款</t>
      </text>
    </comment>
    <comment authorId="0" ref="H90">
      <text>
        <t xml:space="preserve">======
ID#AAABjx7qQB0
    (2025-05-21 11:33:25)
0406 chloe:收到銀行通知USD16968</t>
      </text>
    </comment>
    <comment authorId="0" ref="H786">
      <text>
        <t xml:space="preserve">======
ID#AAABjx7qQBk
    (2025-05-21 11:33:25)
Santiago 0108 : 玉山收到US$22291</t>
      </text>
    </comment>
    <comment authorId="0" ref="H432">
      <text>
        <t xml:space="preserve">======
ID#AAABjx7qQBg
    (2025-05-21 11:33:25)
1006 chloe:收到銀行通知US$1386</t>
      </text>
    </comment>
    <comment authorId="0" ref="K487">
      <text>
        <t xml:space="preserve">======
ID#AAABjx7qQBA
    (2025-05-21 11:33:25)
43x23x25</t>
      </text>
    </comment>
    <comment authorId="0" ref="H656">
      <text>
        <t xml:space="preserve">======
ID#AAABjx7qQA4
    (2025-05-21 11:33:25)
1031 chloe: 收到銀行通知US$4,574.7</t>
      </text>
    </comment>
    <comment authorId="0" ref="L48">
      <text>
        <t xml:space="preserve">======
ID#AAABjx7qQAk
    (2025-05-21 11:33:25)
0105 chloe:Bebe告知提早完成提早出貨</t>
      </text>
    </comment>
    <comment authorId="0" ref="H203">
      <text>
        <t xml:space="preserve">======
ID#AAABjx7qQAc
    (2025-05-21 11:33:25)
0523 chloe:已收到銀行通知USD6750</t>
      </text>
    </comment>
    <comment authorId="0" ref="H690">
      <text>
        <t xml:space="preserve">======
ID#AAABjx7qP_4
    (2025-05-21 11:33:25)
1213 Santiago : US$7483 已到
1103 chloe: 收到US$9770 
( 另外US$7350尚未收到)</t>
      </text>
    </comment>
    <comment authorId="0" ref="H549">
      <text>
        <t xml:space="preserve">======
ID#AAABjx7qP-s
    (2025-05-21 11:33:25)
1018 chloe:收到銀行通知US$1135</t>
      </text>
    </comment>
    <comment authorId="0" ref="J84">
      <text>
        <t xml:space="preserve">======
ID#AAABjx7qP-k
    (2025-05-21 11:33:25)
Global Freight Forwarding Co Ltd
9F No. 48 Fuxing N. Rd Taipei Taiwan | Tel: +886 2 2773 9900 #8821
Mobile: +886 929 011 725 | Fax: +886 2 2773 2121 | Edisonmeng@gff.com.tw</t>
      </text>
    </comment>
    <comment authorId="0" ref="N164">
      <text>
        <t xml:space="preserve">======
ID#AAABjx7qP-c
    (2025-05-21 11:33:25)
170323 Karen: 給MOXA的訂單號打成20170308A</t>
      </text>
    </comment>
    <comment authorId="0" ref="O89">
      <text>
        <t xml:space="preserve">======
ID#AAABjx7qP-Y
    (2025-05-21 11:33:25)
USD 229 為KEY錯價格，應為USD329</t>
      </text>
    </comment>
    <comment authorId="0" ref="H839">
      <text>
        <t xml:space="preserve">======
ID#AAABjx7qP-I
    (2025-05-21 11:33:25)
0131 chloe:已匯入US$48618</t>
      </text>
    </comment>
    <comment authorId="0" ref="H551">
      <text>
        <t xml:space="preserve">======
ID#AAABjx7qP8s
    (2025-05-21 11:33:24)
1018 chloe:收到銀行通知US$1135</t>
      </text>
    </comment>
    <comment authorId="0" ref="H817">
      <text>
        <t xml:space="preserve">======
ID#AAABjx7qP8U
    (2025-05-21 11:33:24)
Santiago 0108 : 玉山收到US$22291</t>
      </text>
    </comment>
    <comment authorId="0" ref="H81">
      <text>
        <t xml:space="preserve">======
ID#AAABjx7qP70
    (2025-05-21 11:33:24)
0218 chloe:收到銀行通知USD4087</t>
      </text>
    </comment>
    <comment authorId="0" ref="H695">
      <text>
        <t xml:space="preserve">======
ID#AAABjx7qP7o
    (2025-05-21 11:33:24)
1018 chloe:收到銀行通知 US$527</t>
      </text>
    </comment>
    <comment authorId="0" ref="H325">
      <text>
        <t xml:space="preserve">======
ID#AAABjx7qP7Q
    (2025-05-21 11:33:24)
0601 chloe:收到銀行通知匯入USD13116.5 為此單金額的一半
0706 chloe:收到銀行通知匯入尾款 USD13132.5</t>
      </text>
    </comment>
    <comment authorId="0" ref="L80">
      <text>
        <t xml:space="preserve">======
ID#AAABjx7qP6w
    (2025-05-21 11:33:24)
2017/01/17 到貨戎克</t>
      </text>
    </comment>
    <comment authorId="0" ref="L678">
      <text>
        <t xml:space="preserve">======
ID#AAABjx7qP6o
    (2025-05-21 11:33:24)
預計10/13到貨</t>
      </text>
    </comment>
    <comment authorId="0" ref="H255">
      <text>
        <t xml:space="preserve">======
ID#AAABjx7qP6g
    (2025-05-21 11:33:24)
0612 chloe:收到銀行通知USD436</t>
      </text>
    </comment>
    <comment authorId="0" ref="K246">
      <text>
        <t xml:space="preserve">======
ID#AAABjx7qP6Y
    (2025-05-21 11:33:24)
19x14x8</t>
      </text>
    </comment>
    <comment authorId="0" ref="H198">
      <text>
        <t xml:space="preserve">======
ID#AAABjx7qP6M
    (2025-05-21 11:33:24)
0503 chloe:收到銀行通知USD6300</t>
      </text>
    </comment>
    <comment authorId="0" ref="H348">
      <text>
        <t xml:space="preserve">======
ID#AAABjx7qP5Y
    (2025-05-21 11:33:24)
0609 chloe:收到銀行通知 USD2892</t>
      </text>
    </comment>
    <comment authorId="0" ref="H451">
      <text>
        <t xml:space="preserve">======
ID#AAABjx7qP5A
    (2025-05-21 11:33:24)
0821 chloe: 收到銀行通知USD993</t>
      </text>
    </comment>
    <comment authorId="0" ref="L327">
      <text>
        <t xml:space="preserve">======
ID#AAABjx7qP4o
    (2025-05-21 11:33:24)
0526 chloe: 詢問是否可提前6/19 出貨戎克→待回</t>
      </text>
    </comment>
    <comment authorId="0" ref="K188">
      <text>
        <t xml:space="preserve">======
ID#AAABjx7qP4Y
    (2025-05-21 11:33:24)
提前4/7出貨</t>
      </text>
    </comment>
    <comment authorId="0" ref="H844">
      <text>
        <t xml:space="preserve">======
ID#AAABjx7qP4E
    (2025-05-21 11:33:24)
0131 chloe:已匯入US$48618</t>
      </text>
    </comment>
    <comment authorId="0" ref="K302">
      <text>
        <t xml:space="preserve">======
ID#AAABjx7qP30
    (2025-05-21 11:33:24)
新北市新店區寶橋路235巷135號4樓 Jonas HC Chen (陳曉誠)
0928-905949</t>
      </text>
    </comment>
    <comment authorId="0" ref="H755">
      <text>
        <t xml:space="preserve">======
ID#AAABjx7qP28
    (2025-05-21 11:33:24)
1114 chloe: 收到款項NT5862</t>
      </text>
    </comment>
    <comment authorId="0" ref="H416">
      <text>
        <t xml:space="preserve">======
ID#AAABjx7qP2k
    (2025-05-21 11:33:24)
1211 Santiago : 收到合庫通知</t>
      </text>
    </comment>
    <comment authorId="0" ref="H147">
      <text>
        <t xml:space="preserve">======
ID#AAABjx7qP1s
    (2025-05-21 11:33:24)
0614 收到支票 NT192925元，待6/30 兌現
0706 入帳</t>
      </text>
    </comment>
    <comment authorId="0" ref="L36">
      <text>
        <t xml:space="preserve">======
ID#AAABjx7qP1Y
    (2025-05-21 11:33:24)
請提前要求箱數材積等
12/21 告知交期1/20，待PULL IN
1/4 詢問交期是否提前→可能</t>
      </text>
    </comment>
    <comment authorId="0" ref="L701">
      <text>
        <t xml:space="preserve">======
ID#AAABjx7qP1M
    (2025-05-21 11:33:24)
17 PCS 庫存
8 PCS 11月中旬
預計10/23到貨</t>
      </text>
    </comment>
    <comment authorId="0" ref="L1">
      <text>
        <t xml:space="preserve">======
ID#AAABjx7qP1Q
    (2025-05-21 11:33:24)
0818 chloe: 理貨人員貨到後再將此反黑</t>
      </text>
    </comment>
    <comment authorId="0" ref="E71">
      <text>
        <t xml:space="preserve">======
ID#AAABjx7qP1A
    (2025-05-21 11:33:24)
20170104 Santiago: 和之前訂單一樣, w/o adapter</t>
      </text>
    </comment>
    <comment authorId="0" ref="H838">
      <text>
        <t xml:space="preserve">======
ID#AAABjx7qP0s
    (2025-05-21 11:33:24)
0131 chloe:已匯入US$48618</t>
      </text>
    </comment>
    <comment authorId="0" ref="L434">
      <text>
        <t xml:space="preserve">======
ID#AAABjx7qP0U
    (2025-05-21 11:33:24)
stock
0628 待 PULL IN</t>
      </text>
    </comment>
    <comment authorId="0" ref="H207">
      <text>
        <t xml:space="preserve">======
ID#AAABjx7qP0I
    (2025-05-21 11:33:24)
0425 chloe:收到銀行通知USD8210</t>
      </text>
    </comment>
    <comment authorId="0" ref="H292">
      <text>
        <t xml:space="preserve">======
ID#AAABjx7qP0M
    (2025-05-21 11:33:24)
0512 chloe:收到銀行通知USD1728</t>
      </text>
    </comment>
    <comment authorId="0" ref="L638">
      <text>
        <t xml:space="preserve">======
ID#AAABjx7qPz4
    (2025-05-21 11:33:24)
3D缺料，2D有現貨MI3MB1125604SN
0925 chloe:詢問交期是否可更改10/2</t>
      </text>
    </comment>
    <comment authorId="0" ref="H63">
      <text>
        <t xml:space="preserve">======
ID#AAABjx7qPzs
    (2025-05-21 11:33:24)
0210 chloe:收到銀行通知USD4691</t>
      </text>
    </comment>
    <comment authorId="0" ref="L622">
      <text>
        <t xml:space="preserve">======
ID#AAABjx7qPzw
    (2025-05-21 11:33:24)
chloe: 9月底詢問交期是否能提前
10/11</t>
      </text>
    </comment>
    <comment authorId="0" ref="K420">
      <text>
        <t xml:space="preserve">======
ID#AAABjx7qPzI
    (2025-05-21 11:33:24)
尚未收到客戶通知</t>
      </text>
    </comment>
    <comment authorId="0" ref="J380">
      <text>
        <t xml:space="preserve">======
ID#AAABjx7qPy0
170613 Tammy    (2025-05-21 11:33:24)
1) 出口報關時提供COC (產地證明)→由我方付費，下次賺回
2) EX-WORK</t>
      </text>
    </comment>
    <comment authorId="0" ref="V11">
      <text>
        <t xml:space="preserve">======
ID#AAABjx7qPyw
    (2025-05-21 11:33:24)
1031 chloe: 已給會計，先算"研發費用"</t>
      </text>
    </comment>
    <comment authorId="0" ref="E668">
      <text>
        <t xml:space="preserve">======
ID#AAABjx7qPyM
    (2025-05-21 11:33:24)
規格:EU</t>
      </text>
    </comment>
    <comment authorId="0" ref="H404">
      <text>
        <t xml:space="preserve">======
ID#AAABjx7qPxw
    (2025-05-21 11:33:24)
0629 chloe: 收到銀行通知USD2254</t>
      </text>
    </comment>
    <comment authorId="0" ref="K384">
      <text>
        <t xml:space="preserve">======
ID#AAABjx7qPxg
    (2025-05-21 11:33:24)
0629 貨物尚未收到
0629 尚未收到貨款
0630 款項收到</t>
      </text>
    </comment>
    <comment authorId="0" ref="E467">
      <text>
        <t xml:space="preserve">======
ID#AAABjx7qPxI
    (2025-05-21 11:33:24)
Chloe: 2.5” SSD A3A 128GB, -40°C~+85°C</t>
      </text>
    </comment>
    <comment authorId="0" ref="H833">
      <text>
        <t xml:space="preserve">======
ID#AAABjx7qPws
    (2025-05-21 11:33:24)
0124 chloe :匯入US$1632</t>
      </text>
    </comment>
    <comment authorId="0" ref="K358">
      <text>
        <t xml:space="preserve">======
ID#AAABjx7qPw0
    (2025-05-21 11:33:24)
6/26 出貨，未付款</t>
      </text>
    </comment>
    <comment authorId="0" ref="H285">
      <text>
        <t xml:space="preserve">======
ID#AAABjx7qPwk
    (2025-05-21 11:33:24)
0525 Chloe:收到銀行通知USD718</t>
      </text>
    </comment>
    <comment authorId="0" ref="H534">
      <text>
        <t xml:space="preserve">======
ID#AAABjx7qPwI
    (2025-05-21 11:33:24)
0928 chloe:收到銀行通知US$46,724</t>
      </text>
    </comment>
    <comment authorId="0" ref="K564">
      <text>
        <t xml:space="preserve">======
ID#AAABjx7qPv0
    (2025-05-21 11:33:24)
leon要測試檢查, benson要提供資料夾連結給客戶</t>
      </text>
    </comment>
    <comment authorId="0" ref="H376">
      <text>
        <t xml:space="preserve">======
ID#AAABjx7qPvI
    (2025-05-21 11:33:24)
0731 chloe:收到銀行通知USD23876</t>
      </text>
    </comment>
    <comment authorId="0" ref="L664">
      <text>
        <t xml:space="preserve">======
ID#AAABjx7qPvA
    (2025-05-21 11:33:24)
預計11/6到貨</t>
      </text>
    </comment>
    <comment authorId="0" ref="L655">
      <text>
        <t xml:space="preserve">======
ID#AAABjx7qPu8
    (2025-05-21 11:33:24)
現貨:9 PCS(EOL)
改為HDR-15-12</t>
      </text>
    </comment>
    <comment authorId="0" ref="H707">
      <text>
        <t xml:space="preserve">======
ID#AAABjx7qPt4
    (2025-05-21 11:33:24)
1113 chloe:收到銀行通知US$753</t>
      </text>
    </comment>
    <comment authorId="0" ref="E560">
      <text>
        <t xml:space="preserve">======
ID#AAABjx7qPtE
    (2025-05-21 11:33:24)
1012 chloe: Apacer 無提供Cable,已提供圖面給Bebe做樣品 3 條(已出貨2條)</t>
      </text>
    </comment>
    <comment authorId="0" ref="L599">
      <text>
        <t xml:space="preserve">======
ID#AAABjx7qPtI
    (2025-05-21 11:33:24)
Leon 預計10/2到貨</t>
      </text>
    </comment>
    <comment authorId="0" ref="H26">
      <text>
        <t xml:space="preserve">======
ID#AAABjx7qPtA
    (2025-05-21 11:33:24)
20170104 chloe:收到銀行通知3830</t>
      </text>
    </comment>
    <comment authorId="0" ref="K572">
      <text>
        <t xml:space="preserve">======
ID#AAABjx7qPsc
    (2025-05-21 11:33:24)
christine0925:待客戶付款</t>
      </text>
    </comment>
    <comment authorId="0" ref="J48">
      <text>
        <t xml:space="preserve">======
ID#AAABjx7qPrk
    (2025-05-21 11:33:24)
Global Freight Forwarding Co Ltd
9F No. 48 Fuxing N. Rd Taipei Taiwan | Tel: +886 2 2773 9900 #8821
Mobile: +886 929 011 725 | Fax: +886 2 2773 2121 | Edisonmeng@gff.com.tw</t>
      </text>
    </comment>
    <comment authorId="0" ref="H19">
      <text>
        <t xml:space="preserve">======
ID#AAABjx7qPq4
    (2025-05-21 11:33:24)
0310chloe:收到NT1,147,515</t>
      </text>
    </comment>
    <comment authorId="0" ref="H422">
      <text>
        <t xml:space="preserve">======
ID#AAABjx7qPqA
    (2025-05-21 11:33:24)
0706 chloe:收到銀行通知USD6698</t>
      </text>
    </comment>
    <comment authorId="0" ref="H775">
      <text>
        <t xml:space="preserve">======
ID#AAABjx7qPpg
    (2025-05-21 11:33:24)
0227 chloe: 收到 匯款NT2,990,255</t>
      </text>
    </comment>
    <comment authorId="0" ref="H733">
      <text>
        <t xml:space="preserve">======
ID#AAABjx7qPo8
    (2025-05-21 11:33:24)
1211 chloe:已收到NT$267,501</t>
      </text>
    </comment>
    <comment authorId="0" ref="N724">
      <text>
        <t xml:space="preserve">======
ID#AAABjx7qPoU
    (2025-05-21 11:33:24)
●RDMPO-20170821D(Revised) 7155元</t>
      </text>
    </comment>
    <comment authorId="0" ref="H382">
      <text>
        <t xml:space="preserve">======
ID#AAABjx7qPoI
    (2025-05-21 11:33:24)
0630 chloe:收到銀行通知USD3803</t>
      </text>
    </comment>
    <comment authorId="0" ref="H714">
      <text>
        <t xml:space="preserve">======
ID#AAABjx7qPn8
    (2025-05-21 11:33:24)
20171124 Santiago 收到US$10707</t>
      </text>
    </comment>
    <comment authorId="0" ref="L684">
      <text>
        <t xml:space="preserve">======
ID#AAABjx7qPno
    (2025-05-21 11:33:24)
預計10/25到貨</t>
      </text>
    </comment>
    <comment authorId="0" ref="K723">
      <text>
        <t xml:space="preserve">======
ID#AAABjx7qPnM
    (2025-05-21 11:33:24)
借出3週，3週後付款或寄回戎克</t>
      </text>
    </comment>
    <comment authorId="0" ref="K50">
      <text>
        <t xml:space="preserve">======
ID#AAABjx7qPnA
    (2025-05-21 11:33:24)
待安陽與國外確認EX WORK/FOB才能後續動作</t>
      </text>
    </comment>
    <comment authorId="0" ref="E603">
      <text>
        <t xml:space="preserve">======
ID#AAABjx7qPms
    (2025-05-21 11:33:24)
3/16 Michelle:Demand3008 8" 這次樣品可以勉強接受2 Pin. 
但未來出貨一定要用3 pin 鳯凰接頭</t>
      </text>
    </comment>
    <comment authorId="0" ref="H664">
      <text>
        <t xml:space="preserve">======
ID#AAABjx7qPmU
    (2025-05-21 11:33:24)
1225 Santiago: US$18317 入帳
客戶多付US$40 RMA 費用</t>
      </text>
    </comment>
    <comment authorId="0" ref="H92">
      <text>
        <t xml:space="preserve">======
ID#AAABjx7qPmQ
    (2025-05-21 11:33:24)
0302 chloe:收到銀行通知USD2107</t>
      </text>
    </comment>
    <comment authorId="0" ref="H541">
      <text>
        <t xml:space="preserve">======
ID#AAABjx7qPmM
    (2025-05-21 11:33:24)
0911 chloe:收到銀行通知 USD8305</t>
      </text>
    </comment>
    <comment authorId="0" ref="H318">
      <text>
        <t xml:space="preserve">======
ID#AAABjx7qPl8
    (2025-05-21 11:33:24)
0525 chloe:收到銀行通知USD1493</t>
      </text>
    </comment>
    <comment authorId="0" ref="N619">
      <text>
        <t xml:space="preserve">======
ID#AAABjx7qPk4
    (2025-05-21 11:33:24)
尚未借轉銷
1005 chloe:已借轉銷</t>
      </text>
    </comment>
    <comment authorId="0" ref="H684">
      <text>
        <t xml:space="preserve">======
ID#AAABjx7qPkQ
    (2025-05-21 11:33:24)
1213 Santiago : US$7483 已到
1103 chloe: 收到US$9770 
( 另外US$7350尚未收到)</t>
      </text>
    </comment>
    <comment authorId="0" ref="L642">
      <text>
        <t xml:space="preserve">======
ID#AAABjx7qPj0
    (2025-05-21 11:33:24)
交期1週</t>
      </text>
    </comment>
    <comment authorId="0" ref="K378">
      <text>
        <t xml:space="preserve">======
ID#AAABjx7qPjI
If shipping After 23rd June, please ship to    (2025-05-21 11:33:24)
11 Averill Street,
Rhodes, NSW, 2138
Australia</t>
      </text>
    </comment>
    <comment authorId="0" ref="H590">
      <text>
        <t xml:space="preserve">======
ID#AAABjx7qPi0
    (2025-05-21 11:33:24)
1017chloe:收到銀行通知US$24736</t>
      </text>
    </comment>
    <comment authorId="0" ref="D4">
      <text>
        <t xml:space="preserve">======
ID#AAABjx7qPiU
    (2025-05-21 11:33:24)
0926 chloe:暫不計算獎金</t>
      </text>
    </comment>
    <comment authorId="0" ref="K356">
      <text>
        <t xml:space="preserve">======
ID#AAABjx7qPiM
    (2025-05-21 11:33:24)
0608 已將文件先行MAIL</t>
      </text>
    </comment>
    <comment authorId="0" ref="D623">
      <text>
        <t xml:space="preserve">======
ID#AAABjx7qPh0
20171003 Santiago    (2025-05-21 11:33:24)
己通知客戶. 客戶確認時間拖太久, 取消PI</t>
      </text>
    </comment>
    <comment authorId="0" ref="H813">
      <text>
        <t xml:space="preserve">======
ID#AAABjx7qPhU
    (2025-05-21 11:33:24)
1206 Santiago : 已收到匯款</t>
      </text>
    </comment>
    <comment authorId="0" ref="H380">
      <text>
        <t xml:space="preserve">======
ID#AAABjx7qPgs
    (2025-05-21 11:33:24)
0630 chloe:收到銀行通知USD3803</t>
      </text>
    </comment>
    <comment authorId="0" ref="H754">
      <text>
        <t xml:space="preserve">======
ID#AAABjx7qPgU
    (2025-05-21 11:33:24)
1213 Santiago : 合庫收到匯款NT3140</t>
      </text>
    </comment>
    <comment authorId="0" ref="H297">
      <text>
        <t xml:space="preserve">======
ID#AAABjx7qPgE
    (2025-05-21 11:33:24)
0706 chloe: 收到銀行通知USD8418.5(扣上次多匯USD18)</t>
      </text>
    </comment>
    <comment authorId="0" ref="H478">
      <text>
        <t xml:space="preserve">======
ID#AAABjx7qPfQ
    (2025-05-21 11:33:24)
0711 chloe:收到銀行通知USD1060</t>
      </text>
    </comment>
    <comment authorId="0" ref="H221">
      <text>
        <t xml:space="preserve">======
ID#AAABjx7qPe8
    (2025-05-21 11:33:24)
0412 chloe:收到銀行通知USD264</t>
      </text>
    </comment>
    <comment authorId="0" ref="H849">
      <text>
        <t xml:space="preserve">======
ID#AAABjx7qPek
    (2025-05-21 11:33:24)
0131 chloe:已匯入US$48618</t>
      </text>
    </comment>
    <comment authorId="0" ref="H133">
      <text>
        <t xml:space="preserve">======
ID#AAABjx7qPec
    (2025-05-21 11:33:24)
0221 chloe:收到銀行通知USD71</t>
      </text>
    </comment>
    <comment authorId="0" ref="H465">
      <text>
        <t xml:space="preserve">======
ID#AAABjx7qPeE
    (2025-05-21 11:33:24)
1017chloe:收到銀行通知US$24736</t>
      </text>
    </comment>
    <comment authorId="0" ref="H631">
      <text>
        <t xml:space="preserve">======
ID#AAABjx7qPdA
    (2025-05-21 11:33:24)
1031 chloe: 收到銀行通知US$4,574.7</t>
      </text>
    </comment>
    <comment authorId="0" ref="L785">
      <text>
        <t xml:space="preserve">======
ID#AAABjx7qPc8
    (2025-05-21 11:33:24)
預計12/6到貨</t>
      </text>
    </comment>
    <comment authorId="0" ref="H611">
      <text>
        <t xml:space="preserve">======
ID#AAABjx7qPck
    (2025-05-21 11:33:24)
1011 chloe:收到銀行通知US$13950</t>
      </text>
    </comment>
    <comment authorId="0" ref="H245">
      <text>
        <t xml:space="preserve">======
ID#AAABjx7qPcE
    (2025-05-21 11:33:24)
0609 chloe:收到銀行通知USD503.6</t>
      </text>
    </comment>
    <comment authorId="0" ref="K421">
      <text>
        <t xml:space="preserve">======
ID#AAABjx7qPcA
    (2025-05-21 11:33:24)
尚未收到客戶通知</t>
      </text>
    </comment>
    <comment authorId="0" ref="L786">
      <text>
        <t xml:space="preserve">======
ID#AAABjx7qPbo
    (2025-05-21 11:33:24)
預計12/15到貨</t>
      </text>
    </comment>
    <comment authorId="0" ref="H426">
      <text>
        <t xml:space="preserve">======
ID#AAABjx7qPaY
    (2025-05-21 11:33:24)
0928 chloe:收到銀行通知US$46,724</t>
      </text>
    </comment>
    <comment authorId="0" ref="H820">
      <text>
        <t xml:space="preserve">======
ID#AAABjx7qPZw
    (2025-05-21 11:33:24)
0104 Santiago : 合庫入NT741687</t>
      </text>
    </comment>
    <comment authorId="0" ref="H217">
      <text>
        <t xml:space="preserve">======
ID#AAABjx7qPYs
    (2025-05-21 11:33:24)
0714 chloe: 收到銀行通知USD 373</t>
      </text>
    </comment>
    <comment authorId="0" ref="K836">
      <text>
        <t xml:space="preserve">======
ID#AAABjx7qPYU
    (2025-05-21 11:33:24)
併貨RMA20171031A-3</t>
      </text>
    </comment>
    <comment authorId="0" ref="H339">
      <text>
        <t xml:space="preserve">======
ID#AAABjx7qPYM
    (2025-05-21 11:33:24)
0609 chloe:收到銀行通知 USD2892</t>
      </text>
    </comment>
    <comment authorId="0" ref="H819">
      <text>
        <t xml:space="preserve">======
ID#AAABjx7qPXA
    (2025-05-21 11:33:24)
0104 Santiago : 合庫入NT741687</t>
      </text>
    </comment>
    <comment authorId="0" ref="H597">
      <text>
        <t xml:space="preserve">======
ID#AAABjx7qPWY
    (2025-05-21 11:33:24)
1025chloe:收到銀行通知US$35416.8</t>
      </text>
    </comment>
    <comment authorId="0" ref="L251">
      <text>
        <t xml:space="preserve">======
ID#AAABjx7qPWU
    (2025-05-21 11:33:24)
0424 尚未領出
0427 領出</t>
      </text>
    </comment>
    <comment authorId="0" ref="H648">
      <text>
        <t xml:space="preserve">======
ID#AAABjx7qPWI
    (2025-05-21 11:33:24)
20171124 Santiago 收到US$10707</t>
      </text>
    </comment>
    <comment authorId="0" ref="L54">
      <text>
        <t xml:space="preserve">======
ID#AAABjx7qPWE
    (2025-05-21 11:33:24)
1229 chloe: 下單，1/5再詢問交期</t>
      </text>
    </comment>
    <comment authorId="0" ref="L609">
      <text>
        <t xml:space="preserve">======
ID#AAABjx7qPTQ
    (2025-05-21 11:33:24)
9/25</t>
      </text>
    </comment>
    <comment authorId="0" ref="H709">
      <text>
        <t xml:space="preserve">======
ID#AAABjx7qPTA
    (2025-05-21 11:33:24)
1113 chloe:收到銀行通知US$8740</t>
      </text>
    </comment>
    <comment authorId="0" ref="H544">
      <text>
        <t xml:space="preserve">======
ID#AAABjx7qPSo
    (2025-05-21 11:33:24)
0825 chloe: 收到銀行通知USD188</t>
      </text>
    </comment>
    <comment authorId="0" ref="K357">
      <text>
        <t xml:space="preserve">======
ID#AAABjx7qPSY
    (2025-05-21 11:33:24)
0608 已將文件先行MAIL</t>
      </text>
    </comment>
    <comment authorId="0" ref="C723">
      <text>
        <t xml:space="preserve">======
ID#AAABjx7qPR0
    (2025-05-21 11:33:24)
180306 更正PO號, 原始號碼7000133435</t>
      </text>
    </comment>
    <comment authorId="0" ref="H284">
      <text>
        <t xml:space="preserve">======
ID#AAABjx7qPRY
    (2025-05-21 11:33:24)
0525 Chloe:收到銀行通知USD718</t>
      </text>
    </comment>
    <comment authorId="0" ref="H41">
      <text>
        <t xml:space="preserve">======
ID#AAABjx7qPRQ
    (2025-05-21 11:33:24)
0221 chloe: 收到支票67221，2/28後可匯兌
0302 chloe:支票兌現成功</t>
      </text>
    </comment>
    <comment authorId="0" ref="H444">
      <text>
        <t xml:space="preserve">======
ID#AAABjx7qPRI
    (2025-05-21 11:33:24)
0704 chloe:收到銀行通知USD1838</t>
      </text>
    </comment>
    <comment authorId="0" ref="H642">
      <text>
        <t xml:space="preserve">======
ID#AAABjx7qPQw
    (2025-05-21 11:33:24)
20171124 Santiago 收到US$10707</t>
      </text>
    </comment>
    <comment authorId="0" ref="K722">
      <text>
        <t xml:space="preserve">======
ID#AAABjx7qPQM
    (2025-05-21 11:33:24)
借出3週，3週後付款或寄回戎克</t>
      </text>
    </comment>
    <comment authorId="0" ref="K309">
      <text>
        <t xml:space="preserve">======
ID#AAABjx7qPPQ
    (2025-05-21 11:33:24)
47*33*29 2KG
因採購休假待回覆</t>
      </text>
    </comment>
    <comment authorId="0" ref="K476">
      <text>
        <t xml:space="preserve">======
ID#AAABjx7qPOQ
    (2025-05-21 11:33:24)
0707 Santiago: 希望交期</t>
      </text>
    </comment>
    <comment authorId="0" ref="G302">
      <text>
        <t xml:space="preserve">======
ID#AAABjx7qPNY
    (2025-05-21 11:33:24)
170515 w/5% VAT
美金報價US$960 (未稅)
台幣報價NT$28800 (未稅)</t>
      </text>
    </comment>
    <comment authorId="0" ref="K422">
      <text>
        <t xml:space="preserve">======
ID#AAABjx7qPNU
    (2025-05-21 11:33:24)
尚未收到客戶通知</t>
      </text>
    </comment>
    <comment authorId="0" ref="L326">
      <text>
        <t xml:space="preserve">======
ID#AAABjx7qPMo
    (2025-05-21 11:33:24)
收到貨後立刻給予SHIPPING文件</t>
      </text>
    </comment>
    <comment authorId="0" ref="H316">
      <text>
        <t xml:space="preserve">======
ID#AAABjx7qPMQ
    (2025-05-21 11:33:24)
0628 chloe: 收到銀行通知USD264</t>
      </text>
    </comment>
    <comment authorId="0" ref="H38">
      <text>
        <t xml:space="preserve">======
ID#AAABjx7qPMM
    (2025-05-21 11:33:24)
0116 chloe:收到銀行通知，為舊戶名，待修改戶名後給予電文才可放行
0117 chloe:收到客戶修改電文給予銀行，銀行待收到國外銀行電文即可發放→2/2 銀行尚未收到修改電文
0207 chloe:銀行收到修改電文，發放USD2942</t>
      </text>
    </comment>
    <comment authorId="0" ref="H258">
      <text>
        <t xml:space="preserve">======
ID#AAABjx7qPLs
    (2025-05-21 11:33:24)
0524 chloe: 先付款 USD20000(NT604370)
0602 chloe:尾款  USD33193(NT1003062)</t>
      </text>
    </comment>
    <comment authorId="0" ref="G276">
      <text>
        <t xml:space="preserve">======
ID#AAABjx7qPLI
    (2025-05-21 11:33:24)
w/5%VAT</t>
      </text>
    </comment>
    <comment authorId="0" ref="L329">
      <text>
        <t xml:space="preserve">======
ID#AAABjx7qPKo
    (2025-05-21 11:33:24)
0530 chloe: 詢問是否可提前6/19 出貨戎克→待回</t>
      </text>
    </comment>
    <comment authorId="0" ref="L705">
      <text>
        <t xml:space="preserve">======
ID#AAABjx7qPKc
    (2025-05-21 11:33:24)
預計11/10到貨</t>
      </text>
    </comment>
    <comment authorId="0" ref="D143">
      <text>
        <t xml:space="preserve">======
ID#AAABjx7qPKY
    (2025-05-21 11:33:24)
佣金3% USD 1257
20161227A&amp;20170220A&amp;20170224C</t>
      </text>
    </comment>
    <comment authorId="0" ref="E796">
      <text>
        <t xml:space="preserve">======
ID#AAABjx7qPJY
    (2025-05-21 11:33:24)
11/29 Santiago 寄出
O1702160130007
O1702160130008
O1702160130012
O1702160130013</t>
      </text>
    </comment>
    <comment authorId="0" ref="L47">
      <text>
        <t xml:space="preserve">======
ID#AAABjx7qPJM
    (2025-05-21 11:33:24)
0106 chloe:下單</t>
      </text>
    </comment>
    <comment authorId="0" ref="J383">
      <text>
        <t xml:space="preserve">======
ID#AAABjx7qPIw
170613 Tammy, 參照20160930C, 如下    (2025-05-21 11:33:24)
1. FOB. 
2. 請JJB 出口報關時提供COC (產地證明)
3.貨代聯絡資料如下：
JJB Link Logistics Company Inc.
Office Address: 8F., No. 152, Sec. 4, Nan-King E., Road, Taipei Taiwan.
CTP: Timothy Jen, Tel: +886-2-25772111 #105, Fax: +886-2-25702115</t>
      </text>
    </comment>
    <comment authorId="0" ref="H122">
      <text>
        <t xml:space="preserve">======
ID#AAABjx7qPIc
    (2025-05-21 11:33:24)
0502 chloe:收到銀行通知USD10325</t>
      </text>
    </comment>
    <comment authorId="0" ref="L698">
      <text>
        <t xml:space="preserve">======
ID#AAABjx7qPHA
    (2025-05-21 11:33:24)
1020 chloe : 發信詢問交期
原定交期11/20</t>
      </text>
    </comment>
    <comment authorId="0" ref="K266">
      <text>
        <t xml:space="preserve">======
ID#AAABjx7qPG8
    (2025-05-21 11:33:24)
先將發票文件給凌群採購</t>
      </text>
    </comment>
    <comment authorId="0" ref="H139">
      <text>
        <t xml:space="preserve">======
ID#AAABjx7qPGc
    (2025-05-21 11:33:24)
0221 chloe: 收到銀行通知USD3882</t>
      </text>
    </comment>
    <comment authorId="0" ref="H170">
      <text>
        <t xml:space="preserve">======
ID#AAABjx7qPGU
    (2025-05-21 11:33:24)
0502 chloe:收到銀行通知USD10325</t>
      </text>
    </comment>
    <comment authorId="0" ref="H477">
      <text>
        <t xml:space="preserve">======
ID#AAABjx7qPGE
    (2025-05-21 11:33:24)
0719 chloe: 收到銀行通知USD3160</t>
      </text>
    </comment>
    <comment authorId="0" ref="J44">
      <text>
        <t xml:space="preserve">======
ID#AAABjx7qPFM
    (2025-05-21 11:33:24)
Global Freight Forwarding Co Ltd
9F No. 48 Fuxing N. Rd Taipei Taiwan | Tel: +886 2 2773 9900 #8821
Mobile: +886 929 011 725 | Fax: +886 2 2773 2121 | Edisonmeng@gff.com.tw</t>
      </text>
    </comment>
    <comment authorId="0" ref="O212">
      <text>
        <t xml:space="preserve">======
ID#AAABjx7qPE0
    (2025-05-21 11:33:24)
SPE-9S-R11  US45.15
運費 US 3.15</t>
      </text>
    </comment>
    <comment authorId="0" ref="H368">
      <text>
        <t xml:space="preserve">======
ID#AAABjx7qPEQ
    (2025-05-21 11:33:24)
0615 chloe:收到銀行通知USD2151</t>
      </text>
    </comment>
    <comment authorId="0" ref="K164">
      <text>
        <t xml:space="preserve">======
ID#AAABjx7qPDE
    (2025-05-21 11:33:24)
待款項匯入後才能出貨
客戶3/23 已匯款，待留意</t>
      </text>
    </comment>
    <comment authorId="0" ref="L830">
      <text>
        <t xml:space="preserve">======
ID#AAABjx7qPDA
    (2025-05-21 11:33:24)
預計12/13到貨</t>
      </text>
    </comment>
    <comment authorId="0" ref="H67">
      <text>
        <t xml:space="preserve">======
ID#AAABjx7qPC4
    (2025-05-21 11:33:24)
0210 chloe:收到銀行通知USD4691</t>
      </text>
    </comment>
    <comment authorId="0" ref="H823">
      <text>
        <t xml:space="preserve">======
ID#AAABjx7qPCs
    (2025-05-21 11:33:24)
0110 Santiago : 收到玉山通知</t>
      </text>
    </comment>
    <comment authorId="0" ref="E183">
      <text>
        <t xml:space="preserve">======
ID#AAABjx7qPCg
0321 chloe    (2025-05-21 11:33:24)
捷毅 EOL
新漢 客戶庫存 4200
研華 EOL → WIN 10 代替然後降級</t>
      </text>
    </comment>
    <comment authorId="0" ref="H403">
      <text>
        <t xml:space="preserve">======
ID#AAABjx7qPCk
    (2025-05-21 11:33:24)
0629 chloe: 收到銀行通知USD2254</t>
      </text>
    </comment>
    <comment authorId="0" ref="V651">
      <text>
        <t xml:space="preserve">======
ID#AAABjx7qPCM
    (2025-05-21 11:33:24)
1003 Chloe: 發票10/5會開立寄出
1012 chloe:發票已在9月給會計</t>
      </text>
    </comment>
    <comment authorId="0" ref="L397">
      <text>
        <t xml:space="preserve">======
ID#AAABjx7qPCI
    (2025-05-21 11:33:24)
Q3-Q4 約有200 PCS 維持原價
1ZWF17406794019050 客人LCD</t>
      </text>
    </comment>
    <comment authorId="0" ref="O744">
      <text>
        <t xml:space="preserve">======
ID#AAABjx7qPB4
    (2025-05-21 11:33:24)
32018.7+10 (科技國給MOXA手續費)</t>
      </text>
    </comment>
    <comment authorId="0" ref="H74">
      <text>
        <t xml:space="preserve">======
ID#AAABjx7qPBs
    (2025-05-21 11:33:24)
0206 chloe: 預計3月第一周付款
0302 chloe::合庫收到款項NT390994</t>
      </text>
    </comment>
    <comment authorId="0" ref="K337">
      <text>
        <t xml:space="preserve">======
ID#AAABjx7qPAo
    (2025-05-21 11:33:24)
與RMA一併寄出</t>
      </text>
    </comment>
    <comment authorId="0" ref="L565">
      <text>
        <t xml:space="preserve">======
ID#AAABjx7qPAg
    (2025-05-21 11:33:24)
0825:9月初會再PUSH</t>
      </text>
    </comment>
    <comment authorId="0" ref="L26">
      <text>
        <t xml:space="preserve">======
ID#AAABjx7qPAI
    (2025-05-21 11:33:24)
0105 下單</t>
      </text>
    </comment>
    <comment authorId="0" ref="K497">
      <text>
        <t xml:space="preserve">======
ID#AAABjx7qO_8
    (2025-05-21 11:33:24)
0731 chloe:待客戶付款</t>
      </text>
    </comment>
    <comment authorId="0" ref="H354">
      <text>
        <t xml:space="preserve">======
ID#AAABjx7qO_4
    (2025-05-21 11:33:24)
0614 chloe:收到銀行通知USD1068</t>
      </text>
    </comment>
    <comment authorId="0" ref="L509">
      <text>
        <t xml:space="preserve">======
ID#AAABjx7qO_Y
    (2025-05-21 11:33:24)
USD1,150 (2-3 週 )</t>
      </text>
    </comment>
    <comment authorId="0" ref="L49">
      <text>
        <t xml:space="preserve">======
ID#AAABjx7qO_Q
    (2025-05-21 11:33:24)
0105 chloe:Bebe告知提早完成提早出貨</t>
      </text>
    </comment>
    <comment authorId="0" ref="H517">
      <text>
        <t xml:space="preserve">======
ID#AAABjx7qO-8
    (2025-05-21 11:33:24)
0928 chloe:收到銀行通知US$46,724</t>
      </text>
    </comment>
    <comment authorId="0" ref="H172">
      <text>
        <t xml:space="preserve">======
ID#AAABjx7qO-s
    (2025-05-21 11:33:24)
0515 chloe:收到銀行通知USD90</t>
      </text>
    </comment>
    <comment authorId="0" ref="K380">
      <text>
        <t xml:space="preserve">======
ID#AAABjx7qO-M
    (2025-05-21 11:33:24)
0629 貨物尚未收到
0629 尚未收到貨款
0630 款項收到
HS code85312000</t>
      </text>
    </comment>
    <comment authorId="0" ref="L351">
      <text>
        <t xml:space="preserve">======
ID#AAABjx7qO-E
    (2025-05-21 11:33:24)
6/7入戎克</t>
      </text>
    </comment>
    <comment authorId="0" ref="H663">
      <text>
        <t xml:space="preserve">======
ID#AAABjx7qO90
    (2025-05-21 11:33:24)
1225 Santiago: US$18317 入帳
客戶多付US$40 RMA 費用</t>
      </text>
    </comment>
    <comment authorId="0" ref="L712">
      <text>
        <t xml:space="preserve">======
ID#AAABjx7qO9s
    (2025-05-21 11:33:24)
7-10天
Jeff 親送</t>
      </text>
    </comment>
    <comment authorId="0" ref="H438">
      <text>
        <t xml:space="preserve">======
ID#AAABjx7qO9g
    (2025-05-21 11:33:24)
0703 chloe:已收到NT595537</t>
      </text>
    </comment>
    <comment authorId="0" ref="H51">
      <text>
        <t xml:space="preserve">======
ID#AAABjx7qO9U
    (2025-05-21 11:33:24)
0202 chloe:收到銀行通知USD13806</t>
      </text>
    </comment>
    <comment authorId="0" ref="H66">
      <text>
        <t xml:space="preserve">======
ID#AAABjx7qO84
    (2025-05-21 11:33:24)
0210 chloe:收到銀行通知USD4691</t>
      </text>
    </comment>
    <comment authorId="0" ref="AB70">
      <text>
        <t xml:space="preserve">======
ID#AAABjx7qO8w
    (2025-05-21 11:33:24)
00187922334010</t>
      </text>
    </comment>
    <comment authorId="0" ref="H765">
      <text>
        <t xml:space="preserve">======
ID#AAABjx7qO70
    (2025-05-21 11:33:24)
0108 Santiago: US$10,177.50 匯入玉山</t>
      </text>
    </comment>
    <comment authorId="0" ref="H464">
      <text>
        <t xml:space="preserve">======
ID#AAABjx7qO7k
    (2025-05-21 11:33:24)
1025chloe:收到銀行通知US$35416.8</t>
      </text>
    </comment>
    <comment authorId="0" ref="H225">
      <text>
        <t xml:space="preserve">======
ID#AAABjx7qO7Y
    (2025-05-21 11:33:24)
0428 chloe:收到銀行通知USD20982</t>
      </text>
    </comment>
    <comment authorId="0" ref="O706">
      <text>
        <t xml:space="preserve">======
ID#AAABjx7qO7I
    (2025-05-21 11:33:24)
1127 Santiago 匯出NT17967</t>
      </text>
    </comment>
    <comment authorId="0" ref="L811">
      <text>
        <t xml:space="preserve">======
ID#AAABjx7qO64
    (2025-05-21 11:33:24)
預計12/7到貨</t>
      </text>
    </comment>
    <comment authorId="0" ref="H379">
      <text>
        <t xml:space="preserve">======
ID#AAABjx7qO5Q
    (2025-05-21 11:33:24)
0718 chloe:收到銀行通知USD 24423</t>
      </text>
    </comment>
    <comment authorId="0" ref="H299">
      <text>
        <t xml:space="preserve">======
ID#AAABjx7qO5U
    (2025-05-21 11:33:24)
0706 chloe: 收到銀行通知USD8418.5(扣上次多匯USD18)</t>
      </text>
    </comment>
    <comment authorId="0" ref="L707">
      <text>
        <t xml:space="preserve">======
ID#AAABjx7qO5A
    (2025-05-21 11:33:24)
1109 chloe: 空運延遲，到貨時間11/13</t>
      </text>
    </comment>
    <comment authorId="0" ref="H565">
      <text>
        <t xml:space="preserve">======
ID#AAABjx7qO40
    (2025-05-21 11:33:24)
1025chloe:收到銀行通知US$35416.8</t>
      </text>
    </comment>
    <comment authorId="0" ref="H154">
      <text>
        <t xml:space="preserve">======
ID#AAABjx7qO4Y
    (2025-05-21 11:33:24)
0525 chloe:收到銀行通知USD130</t>
      </text>
    </comment>
    <comment authorId="0" ref="C281">
      <text>
        <t xml:space="preserve">======
ID#AAABjx7qO4I
    (2025-05-21 11:33:24)
170507 未回覆交期是否接受，故先取消。</t>
      </text>
    </comment>
    <comment authorId="0" ref="K186">
      <text>
        <t xml:space="preserve">======
ID#AAABjx7qO3U
    (2025-05-21 11:33:24)
提前4/7出貨</t>
      </text>
    </comment>
    <comment authorId="0" ref="H545">
      <text>
        <t xml:space="preserve">======
ID#AAABjx7qO28
    (2025-05-21 11:33:24)
0828 chloe:收到銀行通知USD458</t>
      </text>
    </comment>
    <comment authorId="0" ref="V790">
      <text>
        <t xml:space="preserve">======
ID#AAABjx7qO14
    (2025-05-21 11:33:24)
在Chloe手上</t>
      </text>
    </comment>
    <comment authorId="0" ref="L181">
      <text>
        <t xml:space="preserve">======
ID#AAABjx7qO1w
    (2025-05-21 11:33:24)
0320 chloe:已請Vivien 看能否提前4/11 出貨，待4/5追</t>
      </text>
    </comment>
    <comment authorId="0" ref="H493">
      <text>
        <t xml:space="preserve">======
ID#AAABjx7qO1Q
    (2025-05-21 11:33:24)
0911 chloe:收到銀行通知USD3174</t>
      </text>
    </comment>
    <comment authorId="0" ref="H782">
      <text>
        <t xml:space="preserve">======
ID#AAABjx7qO1E
    (2025-05-21 11:33:24)
Santiago 0108 : 玉山收到US$22291</t>
      </text>
    </comment>
    <comment authorId="0" ref="D624">
      <text>
        <t xml:space="preserve">======
ID#AAABjx7qO1A
20171003 Santiago    (2025-05-21 11:33:24)
己通知客戶. 客戶確認時間拖太久, 取消PI</t>
      </text>
    </comment>
    <comment authorId="0" ref="H595">
      <text>
        <t xml:space="preserve">======
ID#AAABjx7qO00
    (2025-05-21 11:33:24)
1025 chloe:收到銀行通知US$1181</t>
      </text>
    </comment>
    <comment authorId="0" ref="L473">
      <text>
        <t xml:space="preserve">======
ID#AAABjx7qOz0
    (2025-05-21 11:33:24)
0724 chloe: 工廠尚未回覆，確定要7/26 才知道
0724 chloe: 敏博約2週即可交貨</t>
      </text>
    </comment>
    <comment authorId="0" ref="L780">
      <text>
        <t xml:space="preserve">======
ID#AAABjx7qOzg
    (2025-05-21 11:33:24)
預計12/15到貨</t>
      </text>
    </comment>
    <comment authorId="0" ref="H134">
      <text>
        <t xml:space="preserve">======
ID#AAABjx7qOzU
    (2025-05-21 11:33:24)
0221 chloe:收到銀行通知USD71</t>
      </text>
    </comment>
    <comment authorId="0" ref="H391">
      <text>
        <t xml:space="preserve">======
ID#AAABjx7qOy4
    (2025-05-21 11:33:24)
0822 chloe:已收到銀行通知USD17120</t>
      </text>
    </comment>
    <comment authorId="0" ref="H156">
      <text>
        <t xml:space="preserve">======
ID#AAABjx7qOys
    (2025-05-21 11:33:24)
0314 chloe::收到銀行通知USD7600</t>
      </text>
    </comment>
    <comment authorId="0" ref="H763">
      <text>
        <t xml:space="preserve">======
ID#AAABjx7qOyc
    (2025-05-21 11:33:24)
0108 Santiago: US$10,177.50 匯入玉山</t>
      </text>
    </comment>
    <comment authorId="0" ref="H575">
      <text>
        <t xml:space="preserve">======
ID#AAABjx7qOyQ
    (2025-05-21 11:33:24)
1012chloe:收到客戶水單，待銀行解款
1013 chloe:收到銀行通知USD15,415</t>
      </text>
    </comment>
    <comment authorId="0" ref="L154">
      <text>
        <t xml:space="preserve">======
ID#AAABjx7qOyI
    (2025-05-21 11:33:24)
0306 chloe: 無庫存，約12週。有機會4月中給我們→待 PULL IN</t>
      </text>
    </comment>
    <comment authorId="0" ref="H605">
      <text>
        <t xml:space="preserve">======
ID#AAABjx7qOxw
    (2025-05-21 11:33:24)
1025 chloe:收到銀行通知US$1181</t>
      </text>
    </comment>
    <comment authorId="0" ref="H468">
      <text>
        <t xml:space="preserve">======
ID#AAABjx7qOxs
    (2025-05-21 11:33:24)
0928 chloe:收到銀行通知US$46,724</t>
      </text>
    </comment>
    <comment authorId="0" ref="J617">
      <text>
        <t xml:space="preserve">======
ID#AAABjx7qOxU
    (2025-05-21 11:33:24)
to Melbourne address</t>
      </text>
    </comment>
    <comment authorId="0" ref="H73">
      <text>
        <t xml:space="preserve">======
ID#AAABjx7qOwo
    (2025-05-21 11:33:24)
0218 chloe:收到銀行通知USD4087</t>
      </text>
    </comment>
    <comment authorId="0" ref="H469">
      <text>
        <t xml:space="preserve">======
ID#AAABjx7qOwY
    (2025-05-21 11:33:24)
0928 chloe:收到銀行通知US$46,724</t>
      </text>
    </comment>
    <comment authorId="0" ref="L246">
      <text>
        <t xml:space="preserve">======
ID#AAABjx7qOwQ
    (2025-05-21 11:33:24)
0515 詢問是否可能提早5/23出貨
0516 產出日仍在5/26，之後交期提前會再告知</t>
      </text>
    </comment>
    <comment authorId="0" ref="L117">
      <text>
        <t xml:space="preserve">======
ID#AAABjx7qOwI
    (2025-05-21 11:33:24)
原交期2/23</t>
      </text>
    </comment>
    <comment authorId="0" ref="H547">
      <text>
        <t xml:space="preserve">======
ID#AAABjx7qOv0
    (2025-05-21 11:33:24)
1018 chloe:收到銀行通知US$1135</t>
      </text>
    </comment>
    <comment authorId="0" ref="L668">
      <text>
        <t xml:space="preserve">======
ID#AAABjx7qOvw
    (2025-05-21 11:33:24)
預計10/20到貨</t>
      </text>
    </comment>
    <comment authorId="0" ref="AB71">
      <text>
        <t xml:space="preserve">======
ID#AAABjx7qOvM
    (2025-05-21 11:33:24)
00187922334010</t>
      </text>
    </comment>
    <comment authorId="0" ref="L146">
      <text>
        <t xml:space="preserve">======
ID#AAABjx7qOu4
    (2025-05-21 11:33:24)
chloe:GARY追查貨物目前動向，無法提前得知材積重量
要等貨物到貨</t>
      </text>
    </comment>
    <comment authorId="0" ref="H778">
      <text>
        <t xml:space="preserve">======
ID#AAABjx7qOug
    (2025-05-21 11:33:24)
0110 Santiago : 收到玉山通知</t>
      </text>
    </comment>
    <comment authorId="0" ref="H759">
      <text>
        <t xml:space="preserve">======
ID#AAABjx7qOuc
    (2025-05-21 11:33:24)
1218 santiago: 已收到貨款</t>
      </text>
    </comment>
    <comment authorId="0" ref="H412">
      <text>
        <t xml:space="preserve">======
ID#AAABjx7qOto
    (2025-05-21 11:33:24)
0803 chloe:收到銀行通知USD3891</t>
      </text>
    </comment>
    <comment authorId="0" ref="K432">
      <text>
        <t xml:space="preserve">======
ID#AAABjx7qOtk
    (2025-05-21 11:33:24)
Christine0925: 待客戶付款</t>
      </text>
    </comment>
    <comment authorId="0" ref="L168">
      <text>
        <t xml:space="preserve">======
ID#AAABjx7qOtY
    (2025-05-21 11:33:24)
0321 尚未回覆是否可以3/31 交貨
→回覆趕看看，若來不及出關則要到四月初</t>
      </text>
    </comment>
    <comment authorId="0" ref="H799">
      <text>
        <t xml:space="preserve">======
ID#AAABjx7qOsM
    (2025-05-21 11:33:24)
0108 Santiago: US$10,177.50 匯入玉山</t>
      </text>
    </comment>
    <comment authorId="0" ref="H351">
      <text>
        <t xml:space="preserve">======
ID#AAABjx7qOr8
    (2025-05-21 11:33:24)
0721 chloe:收到銀行通知USD5180</t>
      </text>
    </comment>
    <comment authorId="0" ref="H495">
      <text>
        <t xml:space="preserve">======
ID#AAABjx7qOrQ
    (2025-05-21 11:33:24)
0908 chloe:收到銀行通知 US$248</t>
      </text>
    </comment>
    <comment authorId="0" ref="H821">
      <text>
        <t xml:space="preserve">======
ID#AAABjx7qOrM
0109 Santiago     (2025-05-21 11:33:24)
玉山已收到款項235.2</t>
      </text>
    </comment>
    <comment authorId="0" ref="L696">
      <text>
        <t xml:space="preserve">======
ID#AAABjx7qOrE
    (2025-05-21 11:33:24)
預計10/19到貨</t>
      </text>
    </comment>
    <comment authorId="0" ref="K574">
      <text>
        <t xml:space="preserve">======
ID#AAABjx7qOqw
    (2025-05-21 11:33:24)
christine0925:待客戶付款</t>
      </text>
    </comment>
    <comment authorId="0" ref="H793">
      <text>
        <t xml:space="preserve">======
ID#AAABjx7qOqY
    (2025-05-21 11:33:24)
1225 Santiago: US$18317 入帳
客戶多付US$40 RMA 費用</t>
      </text>
    </comment>
    <comment authorId="0" ref="N477">
      <text>
        <t xml:space="preserve">======
ID#AAABjx7qOpk
    (2025-05-21 11:33:24)
要求要序號</t>
      </text>
    </comment>
    <comment authorId="0" ref="L782">
      <text>
        <t xml:space="preserve">======
ID#AAABjx7qOpo
    (2025-05-21 11:33:24)
預計12/15到貨</t>
      </text>
    </comment>
    <comment authorId="0" ref="H567">
      <text>
        <t xml:space="preserve">======
ID#AAABjx7qOpc
    (2025-05-21 11:33:24)
1106 chloe:已收到NT$1,048,766</t>
      </text>
    </comment>
    <comment authorId="0" ref="H375">
      <text>
        <t xml:space="preserve">======
ID#AAABjx7qOpY
    (2025-05-21 11:33:24)
0731 chloe:收到銀行通知USD23876</t>
      </text>
    </comment>
    <comment authorId="0" ref="E220">
      <text>
        <t xml:space="preserve">======
ID#AAABjx7qOow
0322 chloe    (2025-05-21 11:33:24)
1.待客戶將7' LCD寄來後，直寄曦立光電 做貼合
2.US$70/pc for bonding + AR glass
3.CG-070W-AROB→戎克
   AA070ME01 → 7"LCD 型號</t>
      </text>
    </comment>
    <comment authorId="0" ref="O714">
      <text>
        <t xml:space="preserve">======
ID#AAABjx7qOoo
    (2025-05-21 11:33:24)
實付20740</t>
      </text>
    </comment>
    <comment authorId="0" ref="P698">
      <text>
        <t xml:space="preserve">======
ID#AAABjx7qOog
    (2025-05-21 11:33:24)
不含運費63</t>
      </text>
    </comment>
    <comment authorId="0" ref="L274">
      <text>
        <t xml:space="preserve">======
ID#AAABjx7qOnc
    (2025-05-21 11:33:24)
44*41*37 10KG</t>
      </text>
    </comment>
    <comment authorId="0" ref="L643">
      <text>
        <t xml:space="preserve">======
ID#AAABjx7qOmo
    (2025-05-21 11:33:24)
交期1週</t>
      </text>
    </comment>
    <comment authorId="0" ref="H835">
      <text>
        <t xml:space="preserve">======
ID#AAABjx7qOms
    (2025-05-21 11:33:24)
20171213 Santiago 收到
NT50,000+NT41,500
匯率30.15</t>
      </text>
    </comment>
    <comment authorId="0" ref="D42">
      <text>
        <t xml:space="preserve">======
ID#AAABjx7qOmY
    (2025-05-21 11:33:24)
佣金3% USD 1257
20161227A&amp;20170220A&amp;20170224C</t>
      </text>
    </comment>
    <comment authorId="0" ref="L844">
      <text>
        <t xml:space="preserve">======
ID#AAABjx7qOlo
    (2025-05-21 11:33:24)
預計12/20到貨</t>
      </text>
    </comment>
    <comment authorId="0" ref="K383">
      <text>
        <t xml:space="preserve">======
ID#AAABjx7qOlk
    (2025-05-21 11:33:24)
0629 貨物尚未收到
0629 尚未收到貨款
0630 款項收到</t>
      </text>
    </comment>
    <comment authorId="0" ref="H767">
      <text>
        <t xml:space="preserve">======
ID#AAABjx7qOlU
    (2025-05-21 11:33:24)
0227 chloe: 收到 匯款NT2,990,255</t>
      </text>
    </comment>
    <comment authorId="0" ref="L837">
      <text>
        <t xml:space="preserve">======
ID#AAABjx7qOlE
    (2025-05-21 11:33:24)
預計12/22到貨</t>
      </text>
    </comment>
    <comment authorId="0" ref="H680">
      <text>
        <t xml:space="preserve">======
ID#AAABjx7qOkQ
    (2025-05-21 11:33:24)
1103 chloe: 收到US$9770 
( 另外US$7350尚未收到)
1213 Santiago : US$7483 已到</t>
      </text>
    </comment>
    <comment authorId="0" ref="L697">
      <text>
        <t xml:space="preserve">======
ID#AAABjx7qOj4
    (2025-05-21 11:33:24)
預計10/19到貨</t>
      </text>
    </comment>
    <comment authorId="0" ref="H220">
      <text>
        <t xml:space="preserve">======
ID#AAABjx7qOjY
    (2025-05-21 11:33:24)
0412 chloe:收到銀行通知USD264</t>
      </text>
    </comment>
    <comment authorId="0" ref="H527">
      <text>
        <t xml:space="preserve">======
ID#AAABjx7qOik
    (2025-05-21 11:33:24)
0922 chloe:收到銀行通知US$5030</t>
      </text>
    </comment>
    <comment authorId="0" ref="H771">
      <text>
        <t xml:space="preserve">======
ID#AAABjx7qOio
    (2025-05-21 11:33:24)
0227 chloe: 收到 匯款NT2,990,255</t>
      </text>
    </comment>
    <comment authorId="0" ref="O480">
      <text>
        <t xml:space="preserve">======
ID#AAABjx7qOiY
    (2025-05-21 11:33:24)
16590+10(科技國給MOXA手續費)+10(7月單子未給)</t>
      </text>
    </comment>
    <comment authorId="0" ref="H677">
      <text>
        <t xml:space="preserve">======
ID#AAABjx7qOiQ
    (2025-05-21 11:33:24)
1024 chloe: 收到銀行通知US$1763</t>
      </text>
    </comment>
    <comment authorId="0" ref="H704">
      <text>
        <t xml:space="preserve">======
ID#AAABjx7qOiE
    (2025-05-21 11:33:24)
1113 chloe:收到銀行通知US$753</t>
      </text>
    </comment>
    <comment authorId="0" ref="H34">
      <text>
        <t xml:space="preserve">======
ID#AAABjx7qOg8
    (2025-05-21 11:33:24)
0105 chloe:收到銀行通知USD9300</t>
      </text>
    </comment>
    <comment authorId="0" ref="H723">
      <text>
        <t xml:space="preserve">======
ID#AAABjx7qOgk
    (2025-05-21 11:33:24)
0323 chloe: 匯款匯入US$3757</t>
      </text>
    </comment>
    <comment authorId="0" ref="L115">
      <text>
        <t xml:space="preserve">======
ID#AAABjx7qOgU
    (2025-05-21 11:33:24)
0208 chloe:因機台2/23 才入庫，組裝先抓一週，會幫忙PULL IN</t>
      </text>
    </comment>
    <comment authorId="0" ref="H209">
      <text>
        <t xml:space="preserve">======
ID#AAABjx7qOfc
    (2025-05-21 11:33:24)
0517 chloe: 收到銀行通知USD774</t>
      </text>
    </comment>
    <comment authorId="0" ref="H55">
      <text>
        <t xml:space="preserve">======
ID#AAABjx7qOeg
    (2025-05-21 11:33:24)
0210 chloe:收到銀行通知USD4691</t>
      </text>
    </comment>
    <comment authorId="0" ref="H734">
      <text>
        <t xml:space="preserve">======
ID#AAABjx7qOd8
    (2025-05-21 11:33:24)
1211 chloe:已收到NT$267,501</t>
      </text>
    </comment>
    <comment authorId="0" ref="H807">
      <text>
        <t xml:space="preserve">======
ID#AAABjx7qOd4
    (2025-05-21 11:33:24)
1225 Santiago: US$18317 入帳
客戶多付US$40 RMA 費用</t>
      </text>
    </comment>
    <comment authorId="0" ref="K615">
      <text>
        <t xml:space="preserve">======
ID#AAABjx7qOdY
    (2025-05-21 11:33:24)
christine 0925: 待付款</t>
      </text>
    </comment>
    <comment authorId="0" ref="H384">
      <text>
        <t xml:space="preserve">======
ID#AAABjx7qOc8
    (2025-05-21 11:33:24)
0630 chloe:收到銀行通知USD3803</t>
      </text>
    </comment>
    <comment authorId="0" ref="K539">
      <text>
        <t xml:space="preserve">======
ID#AAABjx7qOcs
    (2025-05-21 11:33:24)
0921 chloe:實際出貨0921</t>
      </text>
    </comment>
    <comment authorId="0" ref="K477">
      <text>
        <t xml:space="preserve">======
ID#AAABjx7qOcI
    (2025-05-21 11:33:24)
42*35*31  9KG</t>
      </text>
    </comment>
    <comment authorId="0" ref="H732">
      <text>
        <t xml:space="preserve">======
ID#AAABjx7qOcA
    (2025-05-21 11:33:24)
1106 chloe : 收到銀行通知US$469</t>
      </text>
    </comment>
    <comment authorId="0" ref="H144">
      <text>
        <t xml:space="preserve">======
ID#AAABjx7qObo
    (2025-05-21 11:33:24)
0309 chloe:已收到銀行通知USD2272</t>
      </text>
    </comment>
    <comment authorId="0" ref="K691">
      <text>
        <t xml:space="preserve">======
ID#AAABjx7qObs
20171011 Santiago     (2025-05-21 11:33:24)
出貨前通知我照相
20171012 chloe: 已收到客戶水單，可先行出貨</t>
      </text>
    </comment>
    <comment authorId="0" ref="K647">
      <text>
        <t xml:space="preserve">======
ID#AAABjx7qObk
    (2025-05-21 11:33:24)
兩箱
5002LPx4 (70x40x40cm)
5002LPx1 (38x34x17cm)</t>
      </text>
    </comment>
    <comment authorId="0" ref="P470">
      <text>
        <t xml:space="preserve">======
ID#AAABjx7qObY
    (2025-05-21 11:33:24)
匯率用台灣銀行即期匯率的平均計算30.195</t>
      </text>
    </comment>
    <comment authorId="0" ref="H364">
      <text>
        <t xml:space="preserve">======
ID#AAABjx7qOao
    (2025-05-21 11:33:24)
0816 chloe: 收到銀行通知USD 4144</t>
      </text>
    </comment>
    <comment authorId="0" ref="H278">
      <text>
        <t xml:space="preserve">======
ID#AAABjx7qOak
    (2025-05-21 11:33:24)
0616 chloe:收到銀行通知USD1518</t>
      </text>
    </comment>
    <comment authorId="0" ref="P472">
      <text>
        <t xml:space="preserve">======
ID#AAABjx7qOaA
    (2025-05-21 11:33:24)
47.2 USD / pcs</t>
      </text>
    </comment>
    <comment authorId="0" ref="H659">
      <text>
        <t xml:space="preserve">======
ID#AAABjx7qOZk
    (2025-05-21 11:33:24)
1225 Santiago: US$18317 入帳
客戶多付US$40 RMA 費用</t>
      </text>
    </comment>
    <comment authorId="0" ref="H256">
      <text>
        <t xml:space="preserve">======
ID#AAABjx7qOY0
    (2025-05-21 11:33:24)
0612 chloe:收到銀行通知USD436</t>
      </text>
    </comment>
    <comment authorId="0" ref="P2">
      <text>
        <t xml:space="preserve">======
ID#AAABjx7qOYY
    (2025-05-21 11:33:24)
1/5 michelle: 2016 新價USD2.36</t>
      </text>
    </comment>
    <comment authorId="0" ref="X762">
      <text>
        <t xml:space="preserve">======
ID#AAABjx7qOYM
    (2025-05-21 11:33:24)
簡易出口</t>
      </text>
    </comment>
    <comment authorId="0" ref="L639">
      <text>
        <t xml:space="preserve">======
ID#AAABjx7qOX0
    (2025-05-21 11:33:24)
研華 交期:10/4；價格:US$78
捷毅 交期: 3天；價格:US$72
新漢 交期:1-2週；價格:US$70</t>
      </text>
    </comment>
    <comment authorId="0" ref="J373">
      <text>
        <t xml:space="preserve">======
ID#AAABjx7qOXI
    (2025-05-21 11:33:24)
Express</t>
      </text>
    </comment>
    <comment authorId="0" ref="H824">
      <text>
        <t xml:space="preserve">======
ID#AAABjx7qOWU
    (2025-05-21 11:33:24)
0119 chloe 收到銀行通知US$2420</t>
      </text>
    </comment>
    <comment authorId="0" ref="L665">
      <text>
        <t xml:space="preserve">======
ID#AAABjx7qOV4
    (2025-05-21 11:33:24)
10月第二三週
1005 chloe:已發信詢問
1006 chloe:宸曜系統問題，故無法回交期
1011 chloe:  交期仍然無法回覆
預計到貨10/25</t>
      </text>
    </comment>
    <comment authorId="0" ref="H119">
      <text>
        <t xml:space="preserve">======
ID#AAABjx7qOVQ
    (2025-05-21 11:33:24)
0502 chloe:收到銀行通知USD10325</t>
      </text>
    </comment>
    <comment authorId="0" ref="H244">
      <text>
        <t xml:space="preserve">======
ID#AAABjx7qOU8
    (2025-05-21 11:33:24)
0616 chloe:收到銀行通知USD1518</t>
      </text>
    </comment>
    <comment authorId="0" ref="S287">
      <text>
        <t xml:space="preserve">======
ID#AAABjx7qOU0
    (2025-05-21 11:33:24)
月結30天，額度USD5000</t>
      </text>
    </comment>
    <comment authorId="0" ref="O272">
      <text>
        <t xml:space="preserve">======
ID#AAABjx7qOUs
    (2025-05-21 11:33:24)
先付款 119349元
尾款 24044 (尚未付款)</t>
      </text>
    </comment>
    <comment authorId="0" ref="L186">
      <text>
        <t xml:space="preserve">======
ID#AAABjx7qOUg
    (2025-05-21 11:33:24)
已詢問是否可以提前出貨</t>
      </text>
    </comment>
    <comment authorId="0" ref="H406">
      <text>
        <t xml:space="preserve">======
ID#AAABjx7qOUI
    (2025-05-21 11:33:24)
0629 chloe: 收到銀行通知USD2254</t>
      </text>
    </comment>
    <comment authorId="0" ref="H208">
      <text>
        <t xml:space="preserve">======
ID#AAABjx7qOTw
    (2025-05-21 11:33:24)
0517 chloe :收到銀行通知USD7368.5</t>
      </text>
    </comment>
    <comment authorId="0" ref="E367">
      <text>
        <t xml:space="preserve">======
ID#AAABjx7qOT0
    (2025-05-21 11:33:24)
0609 Santiago: 待業務確認規格後再下單
0612 客戶確認改用8GB RAM</t>
      </text>
    </comment>
    <comment authorId="0" ref="H181">
      <text>
        <t xml:space="preserve">======
ID#AAABjx7qOTo
    (2025-05-21 11:33:24)
0517 chloe :收到銀行通知USD7368.5</t>
      </text>
    </comment>
    <comment authorId="0" ref="P149">
      <text>
        <t xml:space="preserve">======
ID#AAABjx7qOSU
    (2025-05-21 11:33:24)
0307 chloe:價格調漲 5100 /PCS</t>
      </text>
    </comment>
    <comment authorId="0" ref="H177">
      <text>
        <t xml:space="preserve">======
ID#AAABjx7qOSM
    (2025-05-21 11:33:24)
0517 chloe :收到銀行通知USD7368.5</t>
      </text>
    </comment>
    <comment authorId="0" ref="H343">
      <text>
        <t xml:space="preserve">======
ID#AAABjx7qOSQ
    (2025-05-21 11:33:24)
0630 chloe:收到銀行通知USD3230</t>
      </text>
    </comment>
    <comment authorId="0" ref="L208">
      <text>
        <t xml:space="preserve">======
ID#AAABjx7qOR4
    (2025-05-21 11:33:24)
0329 chloe:告知交期下單後兩週，
3/31 追交期</t>
      </text>
    </comment>
    <comment authorId="0" ref="H531">
      <text>
        <t xml:space="preserve">======
ID#AAABjx7qORo
    (2025-05-21 11:33:24)
0922 chloe:收到銀行通知US$5030</t>
      </text>
    </comment>
    <comment authorId="0" ref="H344">
      <text>
        <t xml:space="preserve">======
ID#AAABjx7qOQ4
    (2025-05-21 11:33:24)
0804 chloe:收到銀行通知USD3965</t>
      </text>
    </comment>
    <comment authorId="0" ref="K846">
      <text>
        <t xml:space="preserve">======
ID#AAABjx7qOQU
    (2025-05-21 11:33:24)
併貨RMA20171031A-3</t>
      </text>
    </comment>
    <comment authorId="0" ref="L833">
      <text>
        <t xml:space="preserve">======
ID#AAABjx7qOPk
    (2025-05-21 11:33:24)
預計12/13到貨</t>
      </text>
    </comment>
    <comment authorId="0" ref="H726">
      <text>
        <t xml:space="preserve">======
ID#AAABjx7qOPg
    (2025-05-21 11:33:24)
1130 Santiago 合庫請我去簽切結書，他們通融入匯款
1108 Chloe:合庫帳號有誤故無法放款(已告知業務)
1116 chloe:合庫尚未收到修改電文(已告知業務)</t>
      </text>
    </comment>
    <comment authorId="0" ref="L680">
      <text>
        <t xml:space="preserve">======
ID#AAABjx7qOPM
    (2025-05-21 11:33:24)
預計10/30到貨</t>
      </text>
    </comment>
    <comment authorId="0" ref="H643">
      <text>
        <t xml:space="preserve">======
ID#AAABjx7qOPI
    (2025-05-21 11:33:24)
20171124 Santiago 收到US$10707</t>
      </text>
    </comment>
    <comment authorId="0" ref="H366">
      <text>
        <t xml:space="preserve">======
ID#AAABjx7qOO0
    (2025-05-21 11:33:24)
0615 chloe:收到銀行通知USD2151</t>
      </text>
    </comment>
    <comment authorId="0" ref="B544">
      <text>
        <t xml:space="preserve">======
ID#AAABjx7qON8
    (2025-05-21 11:33:24)
chloe:收到款項後才能下單
1005 chloe: 待Charles 通知再計算獎金</t>
      </text>
    </comment>
    <comment authorId="0" ref="P463">
      <text>
        <t xml:space="preserve">======
ID#AAABjx7qON4
    (2025-05-21 11:33:24)
47.2 USD / pcs</t>
      </text>
    </comment>
    <comment authorId="0" ref="H53">
      <text>
        <t xml:space="preserve">======
ID#AAABjx7qOM0
    (2025-05-21 11:33:24)
0224 chloe:收到銀行通知USD6490</t>
      </text>
    </comment>
    <comment authorId="0" ref="H137">
      <text>
        <t xml:space="preserve">======
ID#AAABjx7qOMo
    (2025-05-21 11:33:24)
0330 chloe: 收到銀行通知USD3034</t>
      </text>
    </comment>
    <comment authorId="0" ref="E219">
      <text>
        <t xml:space="preserve">======
ID#AAABjx7qOMs
    (2025-05-21 11:33:24)
170411 Karen :廠商料號 LS38-C3S-TC-N-DD</t>
      </text>
    </comment>
    <comment authorId="0" ref="L51">
      <text>
        <t xml:space="preserve">======
ID#AAABjx7qOMg
    (2025-05-21 11:33:24)
1229 chloe: 下單，1/5再詢問交期</t>
      </text>
    </comment>
    <comment authorId="0" ref="L711">
      <text>
        <t xml:space="preserve">======
ID#AAABjx7qOMY
    (2025-05-21 11:33:24)
7-10天
預計11/8到貨</t>
      </text>
    </comment>
    <comment authorId="0" ref="L209">
      <text>
        <t xml:space="preserve">======
ID#AAABjx7qOMQ
    (2025-05-21 11:33:24)
0407 詢問 對方，待回覆</t>
      </text>
    </comment>
    <comment authorId="0" ref="L850">
      <text>
        <t xml:space="preserve">======
ID#AAABjx7qOMU
    (2025-05-21 11:33:24)
預計12/27到貨</t>
      </text>
    </comment>
    <comment authorId="0" ref="H100">
      <text>
        <t xml:space="preserve">======
ID#AAABjx7qOMM
    (2025-05-21 11:33:24)
0407 chloe:收到銀行通知USD510</t>
      </text>
    </comment>
    <comment authorId="0" ref="K578">
      <text>
        <t xml:space="preserve">======
ID#AAABjx7qOL0
    (2025-05-21 11:33:24)
christine0925:待客戶付款</t>
      </text>
    </comment>
    <comment authorId="0" ref="H529">
      <text>
        <t xml:space="preserve">======
ID#AAABjx7qOL4
    (2025-05-21 11:33:24)
0922 chloe:收到銀行通知US$5030</t>
      </text>
    </comment>
    <comment authorId="0" ref="N723">
      <text>
        <t xml:space="preserve">======
ID#AAABjx7qOK0
    (2025-05-21 11:33:24)
●RDMPO-20170821D(Revised) 7155元</t>
      </text>
    </comment>
    <comment authorId="0" ref="L641">
      <text>
        <t xml:space="preserve">======
ID#AAABjx7qOKo
    (2025-05-21 11:33:24)
0929 已交給Leon</t>
      </text>
    </comment>
    <comment authorId="0" ref="H362">
      <text>
        <t xml:space="preserve">======
ID#AAABjx7qOKc
    (2025-05-21 11:33:24)
0614 chloe: 匯款匯入通知USD2162</t>
      </text>
    </comment>
    <comment authorId="0" ref="H716">
      <text>
        <t xml:space="preserve">======
ID#AAABjx7qOKE
    (2025-05-21 11:33:24)
20171204 Santiago收到銀行通知</t>
      </text>
    </comment>
    <comment authorId="0" ref="H511">
      <text>
        <t xml:space="preserve">======
ID#AAABjx7qOJo
    (2025-05-21 11:33:24)
0928 chloe:收到銀行通知US$46,724</t>
      </text>
    </comment>
    <comment authorId="0" ref="K584">
      <text>
        <t xml:space="preserve">======
ID#AAABjx7qOJA
    (2025-05-21 11:33:24)
christine0925:待客戶付款</t>
      </text>
    </comment>
    <comment authorId="0" ref="H69">
      <text>
        <t xml:space="preserve">======
ID#AAABjx7qOIY
    (2025-05-21 11:33:24)
0109 chloe:收到銀行通知USD1236</t>
      </text>
    </comment>
    <comment authorId="0" ref="H173">
      <text>
        <t xml:space="preserve">======
ID#AAABjx7qOIA
    (2025-05-21 11:33:24)
0322 chloe:收到銀行通知USD1004</t>
      </text>
    </comment>
    <comment authorId="0" ref="K207">
      <text>
        <t xml:space="preserve">======
ID#AAABjx7qOHk
    (2025-05-21 11:33:24)
待客戶匯錢後再出貨
收到客戶水單，</t>
      </text>
    </comment>
    <comment authorId="0" ref="H193">
      <text>
        <t xml:space="preserve">======
ID#AAABjx7qOHU
    (2025-05-21 11:33:24)
0327 chloe:收到銀行通知USD181</t>
      </text>
    </comment>
    <comment authorId="0" ref="H613">
      <text>
        <t xml:space="preserve">======
ID#AAABjx7qOHQ
    (2025-05-21 11:33:24)
1011 chloe:收到銀行通知US$13950</t>
      </text>
    </comment>
    <comment authorId="0" ref="L717">
      <text>
        <t xml:space="preserve">======
ID#AAABjx7qOHA
    (2025-05-21 11:33:24)
預計10/27到貨</t>
      </text>
    </comment>
    <comment authorId="0" ref="K648">
      <text>
        <t xml:space="preserve">======
ID#AAABjx7qOGw
    (2025-05-21 11:33:24)
兩箱
5002LPx4 (70x40x40cm)
5002LPx1 (38x34x17cm)</t>
      </text>
    </comment>
    <comment authorId="0" ref="J109">
      <text>
        <t xml:space="preserve">======
ID#AAABjx7qOGg
1.    (2025-05-21 11:33:24)
2         4.6 KGS        34*28*29</t>
      </text>
    </comment>
    <comment authorId="0" ref="J50">
      <text>
        <t xml:space="preserve">======
ID#AAABjx7qOGI
    (2025-05-21 11:33:24)
Global Freight Forwarding Co Ltd
9F No. 48 Fuxing N. Rd Taipei Taiwan | Tel: +886 2 2773 9900 #8821
Mobile: +886 929 011 725 | Fax: +886 2 2773 2121 | Edisonmeng@gff.com.tw</t>
      </text>
    </comment>
    <comment authorId="0" ref="M226">
      <text>
        <t xml:space="preserve">======
ID#AAABjx7qOFM
    (2025-05-21 11:33:24)
採購為TAMMY</t>
      </text>
    </comment>
    <comment authorId="0" ref="H58">
      <text>
        <t xml:space="preserve">======
ID#AAABjx7qOFI
    (2025-05-21 11:33:24)
0210 chloe:收到銀行通知USD4691</t>
      </text>
    </comment>
    <comment authorId="0" ref="H569">
      <text>
        <t xml:space="preserve">======
ID#AAABjx7qOE4
    (2025-05-21 11:33:24)
1017chloe:收到銀行通知US$24736</t>
      </text>
    </comment>
    <comment authorId="0" ref="H301">
      <text>
        <t xml:space="preserve">======
ID#AAABjx7qOEw
    (2025-05-21 11:33:24)
0614 chloe:收到銀行通知USD24424</t>
      </text>
    </comment>
    <comment authorId="0" ref="S377">
      <text>
        <t xml:space="preserve">======
ID#AAABjx7qOEE
    (2025-05-21 11:33:24)
月結30天，額度USD5000</t>
      </text>
    </comment>
    <comment authorId="0" ref="H530">
      <text>
        <t xml:space="preserve">======
ID#AAABjx7qODw
    (2025-05-21 11:33:24)
0922 chloe:收到銀行通知US$5030</t>
      </text>
    </comment>
    <comment authorId="0" ref="D538">
      <text>
        <t xml:space="preserve">======
ID#AAABjx7qOCc
    (2025-05-21 11:33:24)
已歸還</t>
      </text>
    </comment>
    <comment authorId="0" ref="H472">
      <text>
        <t xml:space="preserve">======
ID#AAABjx7qOCY
    (2025-05-21 11:33:24)
0928 chloe:收到銀行通知US$46,724</t>
      </text>
    </comment>
    <comment authorId="0" ref="H434">
      <text>
        <t xml:space="preserve">======
ID#AAABjx7qOBs
    (2025-05-21 11:33:24)
0814 chloe:收到銀行通知USD 30277</t>
      </text>
    </comment>
    <comment authorId="0" ref="H834">
      <text>
        <t xml:space="preserve">======
ID#AAABjx7qOA4
    (2025-05-21 11:33:24)
20171213 Santiago 收到
NT50,000+NT41,500
匯率30.15</t>
      </text>
    </comment>
    <comment authorId="0" ref="H461">
      <text>
        <t xml:space="preserve">======
ID#AAABjx7qOAE
    (2025-05-21 11:33:24)
0822 chloe:已收到銀行通知USD17120</t>
      </text>
    </comment>
    <comment authorId="0" ref="L52">
      <text>
        <t xml:space="preserve">======
ID#AAABjx7qOAI
    (2025-05-21 11:33:24)
1229 chloe: 下單，1/5再詢問交期</t>
      </text>
    </comment>
    <comment authorId="0" ref="H132">
      <text>
        <t xml:space="preserve">======
ID#AAABjx7qOAA
    (2025-05-21 11:33:24)
0406 chloe::合庫收到款項NT793831</t>
      </text>
    </comment>
    <comment authorId="0" ref="H717">
      <text>
        <t xml:space="preserve">======
ID#AAABjx7qN_g
    (2025-05-21 11:33:24)
20171204 Santiago收到銀行通知</t>
      </text>
    </comment>
    <comment authorId="0" ref="L635">
      <text>
        <t xml:space="preserve">======
ID#AAABjx7qN-U
    (2025-05-21 11:33:23)
2週
預計10/4到貨</t>
      </text>
    </comment>
    <comment authorId="0" ref="K104">
      <text>
        <t xml:space="preserve">======
ID#AAABjx7qN-E
    (2025-05-21 11:33:23)
chloe:提前到3/13 出貨</t>
      </text>
    </comment>
    <comment authorId="0" ref="J47">
      <text>
        <t xml:space="preserve">======
ID#AAABjx7qN8w
    (2025-05-21 11:33:23)
Global Freight Forwarding Co Ltd
9F No. 48 Fuxing N. Rd Taipei Taiwan | Tel: +886 2 2773 9900 #8821
Mobile: +886 929 011 725 | Fax: +886 2 2773 2121 | Edisonmeng@gff.com.tw</t>
      </text>
    </comment>
    <comment authorId="0" ref="L229">
      <text>
        <t xml:space="preserve">======
ID#AAABjx7qN8Y
    (2025-05-21 11:33:23)
得利威開關交期5/15 ，快異點打線須兩週，之後再PULL看看</t>
      </text>
    </comment>
    <comment authorId="0" ref="H781">
      <text>
        <t xml:space="preserve">======
ID#AAABjx7qN7w
    (2025-05-21 11:33:23)
Santiago 0108 : 玉山收到US$22291</t>
      </text>
    </comment>
    <comment authorId="0" ref="H312">
      <text>
        <t xml:space="preserve">======
ID#AAABjx7qN7g
    (2025-05-21 11:33:23)
0731 chloe:收到銀行通知USD250</t>
      </text>
    </comment>
    <comment authorId="0" ref="O343">
      <text>
        <t xml:space="preserve">======
ID#AAABjx7qN6E
    (2025-05-21 11:33:23)
不滿5000 加運費US 3 (不含稅)</t>
      </text>
    </comment>
    <comment authorId="0" ref="L823">
      <text>
        <t xml:space="preserve">======
ID#AAABjx7qN5k
    (2025-05-21 11:33:23)
預計12/1到貨</t>
      </text>
    </comment>
    <comment authorId="0" ref="L189">
      <text>
        <t xml:space="preserve">======
ID#AAABjx7qN5c
    (2025-05-21 11:33:23)
已詢問是否可以提前出貨</t>
      </text>
    </comment>
    <comment authorId="0" ref="H271">
      <text>
        <t xml:space="preserve">======
ID#AAABjx7qN5U
    (2025-05-21 11:33:23)
0612 chloe:今日已收到銀行通知USD7074(多USD18,下次額度)</t>
      </text>
    </comment>
    <comment authorId="0" ref="K125">
      <text>
        <t xml:space="preserve">======
ID#AAABjx7qN48
    (2025-05-21 11:33:23)
重量:GW:4.190KG / NW:4.125KG
箱數:1箱
外箱尺寸: 520x290x245mm</t>
      </text>
    </comment>
    <comment authorId="0" ref="H447">
      <text>
        <t xml:space="preserve">======
ID#AAABjx7qN40
    (2025-05-21 11:33:23)
0706 chloe:收到轉帳NT6202</t>
      </text>
    </comment>
    <comment authorId="0" ref="J79">
      <text>
        <t xml:space="preserve">======
ID#AAABjx7qN4w
    (2025-05-21 11:33:23)
客戶供應商友通
Mr. Philip Tung
Philip Tung/Key Account Manager
DFI Inc.
10F., No.97, Sec. 1, Xintai 5th Rd., Xizhi Dist.,
New Taipei City 221, Taiwan (R.O.C.)
Tel : +886(2)2697-2986 Ext.334/Fax : +886(2)2697-2168
Skype : egjh0609
email philip.tung@dfi.com</t>
      </text>
    </comment>
    <comment authorId="0" ref="H162">
      <text>
        <t xml:space="preserve">======
ID#AAABjx7qN4Q
    (2025-05-21 11:33:23)
0320 chloe: BOSS告知客戶可於5月初付款
0508 chloe:合庫收到款項NT1316754</t>
      </text>
    </comment>
    <comment authorId="0" ref="E372">
      <text>
        <t xml:space="preserve">======
ID#AAABjx7qN38
    (2025-05-21 11:33:23)
170612 Karen: w/ EU adapter</t>
      </text>
    </comment>
    <comment authorId="0" ref="H640">
      <text>
        <t xml:space="preserve">======
ID#AAABjx7qN3o
    (2025-05-21 11:33:23)
1002 chloe:收到銀行通知US$634</t>
      </text>
    </comment>
    <comment authorId="0" ref="L566">
      <text>
        <t xml:space="preserve">======
ID#AAABjx7qN3U
    (2025-05-21 11:33:23)
下單後10個工作天</t>
      </text>
    </comment>
    <comment authorId="0" ref="H150">
      <text>
        <t xml:space="preserve">======
ID#AAABjx7qN3I
    (2025-05-21 11:33:23)
0421 收到支票 NT154438元，待4/30 兌現
0508 入帳</t>
      </text>
    </comment>
    <comment authorId="0" ref="H352">
      <text>
        <t xml:space="preserve">======
ID#AAABjx7qN1I
    (2025-05-21 11:33:23)
0721 chloe:收到銀行通知USD5180</t>
      </text>
    </comment>
    <comment authorId="0" ref="L523">
      <text>
        <t xml:space="preserve">======
ID#AAABjx7qN0g
    (2025-05-21 11:33:23)
35 PCS 8/14到</t>
      </text>
    </comment>
    <comment authorId="0" ref="H570">
      <text>
        <t xml:space="preserve">======
ID#AAABjx7qN0Y
    (2025-05-21 11:33:23)
1025chloe:收到銀行通知US$35416.8</t>
      </text>
    </comment>
    <comment authorId="0" ref="H589">
      <text>
        <t xml:space="preserve">======
ID#AAABjx7qNzs
    (2025-05-21 11:33:23)
1017chloe:收到銀行通知US$24736</t>
      </text>
    </comment>
    <comment authorId="0" ref="H264">
      <text>
        <t xml:space="preserve">======
ID#AAABjx7qNyw
    (2025-05-21 11:33:23)
0810 chloe:收到NT1,960,530</t>
      </text>
    </comment>
    <comment authorId="0" ref="L670">
      <text>
        <t xml:space="preserve">======
ID#AAABjx7qNyc
    (2025-05-21 11:33:23)
交期五天
預計交期10/13</t>
      </text>
    </comment>
    <comment authorId="0" ref="K84">
      <text>
        <t xml:space="preserve">======
ID#AAABjx7qNyM
    (2025-05-21 11:33:23)
待安陽與國外確認EX WORK/FOB才能後續動作</t>
      </text>
    </comment>
    <comment authorId="0" ref="K36">
      <text>
        <t xml:space="preserve">======
ID#AAABjx7qNyI
    (2025-05-21 11:33:23)
0105 chloe:出貨日更改</t>
      </text>
    </comment>
    <comment authorId="0" ref="H832">
      <text>
        <t xml:space="preserve">======
ID#AAABjx7qNx0
    (2025-05-21 11:33:23)
0124 chloe :匯入US$1632</t>
      </text>
    </comment>
    <comment authorId="0" ref="K323">
      <text>
        <t xml:space="preserve">======
ID#AAABjx7qNxw
    (2025-05-21 11:33:23)
Forword 瑞騰空運 詢價
陳小姐
02-277183335 # 54</t>
      </text>
    </comment>
    <comment authorId="0" ref="H70">
      <text>
        <t xml:space="preserve">======
ID#AAABjx7qNxg
    (2025-05-21 11:33:23)
20170206 chloe:合庫收到款項NT335,909</t>
      </text>
    </comment>
    <comment authorId="0" ref="K403">
      <text>
        <t xml:space="preserve">======
ID#AAABjx7qNwQ
    (2025-05-21 11:33:23)
0814 chloe:機殼有問題
0828 chloe:預計9月初</t>
      </text>
    </comment>
    <comment authorId="0" ref="L704">
      <text>
        <t xml:space="preserve">======
ID#AAABjx7qNwE
    (2025-05-21 11:33:23)
預計11/10到貨</t>
      </text>
    </comment>
    <comment authorId="0" ref="H592">
      <text>
        <t xml:space="preserve">======
ID#AAABjx7qNvg
    (2025-05-21 11:33:23)
1020 chloe:收到銀行通知US$9,895</t>
      </text>
    </comment>
    <comment authorId="0" ref="L313">
      <text>
        <t xml:space="preserve">======
ID#AAABjx7qNvA
    (2025-05-21 11:33:23)
0524 Amy Pull In 中</t>
      </text>
    </comment>
    <comment authorId="0" ref="H141">
      <text>
        <t xml:space="preserve">======
ID#AAABjx7qNs0
    (2025-05-21 11:33:23)
0718 chloe:收到銀行通知USD 24423</t>
      </text>
    </comment>
    <comment authorId="0" ref="H87">
      <text>
        <t xml:space="preserve">======
ID#AAABjx7qNso
    (2025-05-21 11:33:23)
0406 chloe:收到銀行通知USD16968</t>
      </text>
    </comment>
    <comment authorId="0" ref="H546">
      <text>
        <t xml:space="preserve">======
ID#AAABjx7qNsk
    (2025-05-21 11:33:23)
0906 chloe:收到銀行通知USD2102</t>
      </text>
    </comment>
    <comment authorId="0" ref="H186">
      <text>
        <t xml:space="preserve">======
ID#AAABjx7qNsQ
    (2025-05-21 11:33:23)
0508 chloe:已收到銀行通知USD3244</t>
      </text>
    </comment>
    <comment authorId="0" ref="K382">
      <text>
        <t xml:space="preserve">======
ID#AAABjx7qNrw
    (2025-05-21 11:33:23)
0629 貨物尚未收到
0629 尚未收到貨款
0630 款項收到
HS code85312000</t>
      </text>
    </comment>
    <comment authorId="0" ref="B543">
      <text>
        <t xml:space="preserve">======
ID#AAABjx7qNrI
    (2025-05-21 11:33:23)
chloe:收到款項後才能下單
1005 chloe: 待Charles 通知再計算獎金</t>
      </text>
    </comment>
    <comment authorId="0" ref="H136">
      <text>
        <t xml:space="preserve">======
ID#AAABjx7qNq0
    (2025-05-21 11:33:23)
0330 chloe: 收到銀行通知USD3034</t>
      </text>
    </comment>
    <comment authorId="0" ref="H692">
      <text>
        <t xml:space="preserve">======
ID#AAABjx7qNqo
    (2025-05-21 11:33:23)
20171204 Santiago收到銀行通知</t>
      </text>
    </comment>
    <comment authorId="0" ref="H287">
      <text>
        <t xml:space="preserve">======
ID#AAABjx7qNqg
    (2025-05-21 11:33:23)
0706 chloe: 收到銀行通知USD8418.5(扣上次多匯USD18)</t>
      </text>
    </comment>
    <comment authorId="0" ref="H436">
      <text>
        <t xml:space="preserve">======
ID#AAABjx7qNqI
    (2025-05-21 11:33:23)
0814 chloe:收到銀行通知USD 30277</t>
      </text>
    </comment>
    <comment authorId="0" ref="H618">
      <text>
        <t xml:space="preserve">======
ID#AAABjx7qNpw
    (2025-05-21 11:33:23)
1025chloe:收到銀行通知US$35416.8</t>
      </text>
    </comment>
    <comment authorId="0" ref="H812">
      <text>
        <t xml:space="preserve">======
ID#AAABjx7qNpg
    (2025-05-21 11:33:23)
0131 chloe:匯入款項NT8809</t>
      </text>
    </comment>
    <comment authorId="0" ref="H542">
      <text>
        <t xml:space="preserve">======
ID#AAABjx7qNpU
    (2025-05-21 11:33:23)
0911 chloe:收到銀行通知 USD8305</t>
      </text>
    </comment>
    <comment authorId="0" ref="H377">
      <text>
        <t xml:space="preserve">======
ID#AAABjx7qNok
    (2025-05-21 11:33:23)
0731 chloe:收到銀行通知USD23876</t>
      </text>
    </comment>
    <comment authorId="0" ref="H480">
      <text>
        <t xml:space="preserve">======
ID#AAABjx7qNoc
    (2025-05-21 11:33:23)
20170808 chloe:收到銀行通知USD 19175</t>
      </text>
    </comment>
    <comment authorId="0" ref="V2">
      <text>
        <t xml:space="preserve">======
ID#AAABjx7qNoY
    (2025-05-21 11:33:23)
1031 chloe: 已給會計，先算"研發費用"</t>
      </text>
    </comment>
    <comment authorId="0" ref="H421">
      <text>
        <t xml:space="preserve">======
ID#AAABjx7qNoI
    (2025-05-21 11:33:23)
0706 chloe:收到銀行通知USD6698</t>
      </text>
    </comment>
    <comment authorId="0" ref="H272">
      <text>
        <t xml:space="preserve">======
ID#AAABjx7qNn8
    (2025-05-21 11:33:23)
5/17 今日收到銀行通知 USD5020</t>
      </text>
    </comment>
    <comment authorId="0" ref="H187">
      <text>
        <t xml:space="preserve">======
ID#AAABjx7qNn4
    (2025-05-21 11:33:23)
0508 chloe:已收到銀行通知USD3244</t>
      </text>
    </comment>
    <comment authorId="0" ref="H846">
      <text>
        <t xml:space="preserve">======
ID#AAABjx7qNng
    (2025-05-21 11:33:23)
0131 chloe:已匯入US$48618</t>
      </text>
    </comment>
    <comment authorId="0" ref="M225">
      <text>
        <t xml:space="preserve">======
ID#AAABjx7qNm8
    (2025-05-21 11:33:23)
採購為TAMMY</t>
      </text>
    </comment>
    <comment authorId="0" ref="H153">
      <text>
        <t xml:space="preserve">======
ID#AAABjx7qNmo
    (2025-05-21 11:33:23)
0502 chloe:收到銀行通知USD10325</t>
      </text>
    </comment>
    <comment authorId="0" ref="H479">
      <text>
        <t xml:space="preserve">======
ID#AAABjx7qNmc
    (2025-05-21 11:33:23)
0719 chloe: 收到銀行通知USD3160</t>
      </text>
    </comment>
    <comment authorId="0" ref="H188">
      <text>
        <t xml:space="preserve">======
ID#AAABjx7qNls
    (2025-05-21 11:33:23)
0508 chloe:已收到銀行通知USD3244</t>
      </text>
    </comment>
    <comment authorId="0" ref="L667">
      <text>
        <t xml:space="preserve">======
ID#AAABjx7qNlc
    (2025-05-21 11:33:23)
預計10/20到貨</t>
      </text>
    </comment>
    <comment authorId="0" ref="H337">
      <text>
        <t xml:space="preserve">======
ID#AAABjx7qNlI
    (2025-05-21 11:33:23)
0630 chloe:收到銀行通知USD3230</t>
      </text>
    </comment>
    <comment authorId="0" ref="K265">
      <text>
        <t xml:space="preserve">======
ID#AAABjx7qNkM
    (2025-05-21 11:33:23)
先將發票文件給凌群採購</t>
      </text>
    </comment>
    <comment authorId="0" ref="H195">
      <text>
        <t xml:space="preserve">======
ID#AAABjx7qNkA
    (2025-05-21 11:33:23)
0517 chloe :收到銀行通知USD7368.5</t>
      </text>
    </comment>
    <comment authorId="0" ref="L647">
      <text>
        <t xml:space="preserve">======
ID#AAABjx7qNjw
    (2025-05-21 11:33:23)
有庫存</t>
      </text>
    </comment>
    <comment authorId="0" ref="H730">
      <text>
        <t xml:space="preserve">======
ID#AAABjx7qNj0
    (2025-05-21 11:33:23)
1102收到客戶水單，本地銀行尚未通知
1106 chloe:收到銀行通知US$1780</t>
      </text>
    </comment>
    <comment authorId="0" ref="K460">
      <text>
        <t xml:space="preserve">======
ID#AAABjx7qNjI
    (2025-05-21 11:33:23)
0731 chloe:待客戶付款</t>
      </text>
    </comment>
    <comment authorId="0" ref="H731">
      <text>
        <t xml:space="preserve">======
ID#AAABjx7qNgk
    (2025-05-21 11:33:23)
0108 Santiago: US$10,177.50 匯入玉山</t>
      </text>
    </comment>
    <comment authorId="0" ref="S317">
      <text>
        <t xml:space="preserve">======
ID#AAABjx7qNgo
    (2025-05-21 11:33:23)
月結30天，額度USD5000</t>
      </text>
    </comment>
    <comment authorId="0" ref="H23">
      <text>
        <t xml:space="preserve">======
ID#AAABjx7qNf4
    (2025-05-21 11:33:23)
0310chloe:收到NT1,147,515</t>
      </text>
    </comment>
    <comment authorId="0" ref="L645">
      <text>
        <t xml:space="preserve">======
ID#AAABjx7qNfo
    (2025-05-21 11:33:23)
2週
Leon 預計10/5到貨</t>
      </text>
    </comment>
    <comment authorId="0" ref="H693">
      <text>
        <t xml:space="preserve">======
ID#AAABjx7qNew
    (2025-05-21 11:33:23)
1024 chloe:收到銀行通知US$859</t>
      </text>
    </comment>
    <comment authorId="0" ref="H699">
      <text>
        <t xml:space="preserve">======
ID#AAABjx7qNeo
    (2025-05-21 11:33:23)
1019 chloe:收到銀行通知US$7496</t>
      </text>
    </comment>
    <comment authorId="0" ref="E431">
      <text>
        <t xml:space="preserve">======
ID#AAABjx7qNeg
    (2025-05-21 11:33:23)
11/12 michelle: 58-80024-0000</t>
      </text>
    </comment>
    <comment authorId="0" ref="J53">
      <text>
        <t xml:space="preserve">======
ID#AAABjx7qNd8
    (2025-05-21 11:33:23)
Global Freight Forwarding Co Ltd
9F No. 48 Fuxing N. Rd Taipei Taiwan | Tel: +886 2 2773 9900 #8821
Mobile: +886 929 011 725 | Fax: +886 2 2773 2121 | Edisonmeng@gff.com.tw</t>
      </text>
    </comment>
    <comment authorId="0" ref="E752">
      <text>
        <t xml:space="preserve">======
ID#AAABjx7qNcc
    (2025-05-21 11:33:23)
11/12 michelle: 58-80024-0000</t>
      </text>
    </comment>
    <comment authorId="0" ref="G459">
      <text>
        <t xml:space="preserve">======
ID#AAABjx7qNcU
    (2025-05-21 11:33:23)
匯率：30.325</t>
      </text>
    </comment>
    <comment authorId="0" ref="L192">
      <text>
        <t xml:space="preserve">======
ID#AAABjx7qNcI
    (2025-05-21 11:33:23)
預計3/28 將會收到LCD 再寄往曦立光電作貼合</t>
      </text>
    </comment>
    <comment authorId="0" ref="G571">
      <text>
        <t xml:space="preserve">======
ID#AAABjx7qNbc
Santiago 0828    (2025-05-21 11:33:23)
US$150 x 1.05 =157.5
157.5 x 30.5 =4803.75</t>
      </text>
    </comment>
    <comment authorId="0" ref="K535">
      <text>
        <t xml:space="preserve">======
ID#AAABjx7qNag
    (2025-05-21 11:33:23)
0821 chloe:併兩台 RMA 出貨(RMA-20170412A、RMA-20170809B)</t>
      </text>
    </comment>
    <comment authorId="0" ref="L661">
      <text>
        <t xml:space="preserve">======
ID#AAABjx7qNaQ
    (2025-05-21 11:33:23)
預計11/6到貨</t>
      </text>
    </comment>
    <comment authorId="0" ref="V652">
      <text>
        <t xml:space="preserve">======
ID#AAABjx7qNZk
    (2025-05-21 11:33:23)
1003 Chloe: 發票10/5會開立寄出</t>
      </text>
    </comment>
    <comment authorId="0" ref="L187">
      <text>
        <t xml:space="preserve">======
ID#AAABjx7qNZc
    (2025-05-21 11:33:23)
已詢問是否可以提前出貨</t>
      </text>
    </comment>
    <comment authorId="0" ref="H791">
      <text>
        <t xml:space="preserve">======
ID#AAABjx7qNZU
    (2025-05-21 11:33:23)
1225 Santiago: US$18317 入帳
客戶多付US$40 RMA 費用</t>
      </text>
    </comment>
    <comment authorId="0" ref="H458">
      <text>
        <t xml:space="preserve">======
ID#AAABjx7qNZQ
    (2025-05-21 11:33:23)
0817 chloe: 收到銀行通知USD16029.3 (原 16657.3- 620)</t>
      </text>
    </comment>
    <comment authorId="0" ref="L618">
      <text>
        <t xml:space="preserve">======
ID#AAABjx7qNZA
    (2025-05-21 11:33:23)
機車快遞當天到貨
0921到貨</t>
      </text>
    </comment>
    <comment authorId="0" ref="H562">
      <text>
        <t xml:space="preserve">======
ID#AAABjx7qNYc
    (2025-05-21 11:33:23)
1124 Santiago 收到匯款</t>
      </text>
    </comment>
    <comment authorId="0" ref="L428">
      <text>
        <t xml:space="preserve">======
ID#AAABjx7qNYY
    (2025-05-21 11:33:23)
stock
0629 待8/10 PULL IN</t>
      </text>
    </comment>
    <comment authorId="0" ref="H117">
      <text>
        <t xml:space="preserve">======
ID#AAABjx7qNX8
    (2025-05-21 11:33:23)
0221 chloe: 收到銀行通知USD3882</t>
      </text>
    </comment>
    <comment authorId="0" ref="K642">
      <text>
        <t xml:space="preserve">======
ID#AAABjx7qNXw
    (2025-05-21 11:33:23)
兩箱
5002LPx4 (70x40x40cm)
5002LPx1 (38x34x17cm)</t>
      </text>
    </comment>
    <comment authorId="0" ref="L640">
      <text>
        <t xml:space="preserve">======
ID#AAABjx7qNXg
    (2025-05-21 11:33:23)
研華 交期:10/4；價格:US$78
捷毅 交期: 3天；價格:US$72
新漢 交期:1-2週；價格:US$70</t>
      </text>
    </comment>
    <comment authorId="0" ref="H105">
      <text>
        <t xml:space="preserve">======
ID#AAABjx7qNXQ
    (2025-05-21 11:33:23)
0216 chloe :收到銀行通知USD217</t>
      </text>
    </comment>
    <comment authorId="0" ref="H363">
      <text>
        <t xml:space="preserve">======
ID#AAABjx7qNXA
    (2025-05-21 11:33:23)
0816 chloe: 收到銀行通知USD 4144</t>
      </text>
    </comment>
    <comment authorId="0" ref="H521">
      <text>
        <t xml:space="preserve">======
ID#AAABjx7qNW8
    (2025-05-21 11:33:23)
0809 chloe:收到銀行通知USD3729</t>
      </text>
    </comment>
    <comment authorId="0" ref="L795">
      <text>
        <t xml:space="preserve">======
ID#AAABjx7qNWQ
    (2025-05-21 11:33:23)
預計11/28到貨</t>
      </text>
    </comment>
    <comment authorId="0" ref="L391">
      <text>
        <t xml:space="preserve">======
ID#AAABjx7qNVw
    (2025-05-21 11:33:23)
0619 待PULL IN交期
0711 回覆交期無法提前.
0728  原本 8/10</t>
      </text>
    </comment>
    <comment authorId="0" ref="L815">
      <text>
        <t xml:space="preserve">======
ID#AAABjx7qNVM
    (2025-05-21 11:33:23)
預計12/8到貨</t>
      </text>
    </comment>
    <comment authorId="0" ref="H514">
      <text>
        <t xml:space="preserve">======
ID#AAABjx7qNU8
    (2025-05-21 11:33:23)
0803 chloe:收到銀行通知USD4041</t>
      </text>
    </comment>
    <comment authorId="0" ref="H757">
      <text>
        <t xml:space="preserve">======
ID#AAABjx7qNUQ
    (2025-05-21 11:33:23)
1120 Santiago : 已收到匯款US$1910
1116 chloe:已有客戶水單，待銀行通知(可先出貨)</t>
      </text>
    </comment>
    <comment authorId="0" ref="H365">
      <text>
        <t xml:space="preserve">======
ID#AAABjx7qNUU
    (2025-05-21 11:33:23)
0615 chloe:收到銀行通知USD2151</t>
      </text>
    </comment>
    <comment authorId="0" ref="K471">
      <text>
        <t xml:space="preserve">======
ID#AAABjx7qNT8
    (2025-05-21 11:33:23)
與業務確認後再出貨
使用宸耀材積出貨
POC 212  *25  PCS  67x34x38cm  26KG   兩箱
POC 212  *10  PCS  35x40x40cm  11KG   一箱</t>
      </text>
    </comment>
    <comment authorId="0" ref="H408">
      <text>
        <t xml:space="preserve">======
ID#AAABjx7qNTs
    (2025-05-21 11:33:23)
0817 chloe: 收到銀行通知USD16029.3 (原 16657.3- 620)</t>
      </text>
    </comment>
    <comment authorId="0" ref="H183">
      <text>
        <t xml:space="preserve">======
ID#AAABjx7qNTc
    (2025-05-21 11:33:23)
0502 chloe:收到銀行通知USD10325</t>
      </text>
    </comment>
    <comment authorId="0" ref="L689">
      <text>
        <t xml:space="preserve">======
ID#AAABjx7qNTQ
    (2025-05-21 11:33:23)
7-10天</t>
      </text>
    </comment>
    <comment authorId="0" ref="H374">
      <text>
        <t xml:space="preserve">======
ID#AAABjx7qNSU
    (2025-05-21 11:33:23)
0619 chloe:收到銀行通知USD1710.5</t>
      </text>
    </comment>
    <comment authorId="0" ref="H591">
      <text>
        <t xml:space="preserve">======
ID#AAABjx7qNSI
    (2025-05-21 11:33:23)
1020 chloe:收到銀行通知US$9,895</t>
      </text>
    </comment>
    <comment authorId="0" ref="H201">
      <text>
        <t xml:space="preserve">======
ID#AAABjx7qNRk
    (2025-05-21 11:33:23)
0523 chloe:已收到銀行通知USD6750</t>
      </text>
    </comment>
    <comment authorId="0" ref="H200">
      <text>
        <t xml:space="preserve">======
ID#AAABjx7qNQs
    (2025-05-21 11:33:23)
0523 chloe:已收到銀行通知USD6750</t>
      </text>
    </comment>
    <comment authorId="0" ref="E336">
      <text>
        <t xml:space="preserve">======
ID#AAABjx7qNQo
    (2025-05-21 11:33:23)
20170104 Santiago: 和之前訂單一樣, w/o adapter</t>
      </text>
    </comment>
    <comment authorId="0" ref="K581">
      <text>
        <t xml:space="preserve">======
ID#AAABjx7qNQE
    (2025-05-21 11:33:23)
christine0925:待客戶付款</t>
      </text>
    </comment>
    <comment authorId="0" ref="H206">
      <text>
        <t xml:space="preserve">======
ID#AAABjx7qNOY
    (2025-05-21 11:33:23)
0425 chloe:收到銀行通知USD8210</t>
      </text>
    </comment>
    <comment authorId="0" ref="L255">
      <text>
        <t xml:space="preserve">======
ID#AAABjx7qNOQ
    (2025-05-21 11:33:23)
0424 詢問交期如期?</t>
      </text>
    </comment>
    <comment authorId="0" ref="H199">
      <text>
        <t xml:space="preserve">======
ID#AAABjx7qNN8
    (2025-05-21 11:33:23)
0523 chloe:已收到銀行通知USD6750</t>
      </text>
    </comment>
    <comment authorId="0" ref="H20">
      <text>
        <t xml:space="preserve">======
ID#AAABjx7qNN4
    (2025-05-21 11:33:23)
0310chloe:收到NT1,147,515</t>
      </text>
    </comment>
    <comment authorId="0" ref="H429">
      <text>
        <t xml:space="preserve">======
ID#AAABjx7qNNg
    (2025-05-21 11:33:23)
0928 chloe:收到銀行通知US$46,724</t>
      </text>
    </comment>
    <comment authorId="0" ref="H691">
      <text>
        <t xml:space="preserve">======
ID#AAABjx7qNNY
    (2025-05-21 11:33:23)
1012chloe:收到客戶水單，待銀行通知解款
1016 chloe:收到銀行通知US$2,325</t>
      </text>
    </comment>
    <comment authorId="0" ref="K41">
      <text>
        <t xml:space="preserve">======
ID#AAABjx7qNMA
    (2025-05-21 11:33:23)
chloe: 若能1/25出貨就出</t>
      </text>
    </comment>
    <comment authorId="0" ref="H456">
      <text>
        <t xml:space="preserve">======
ID#AAABjx7qNLs
    (2025-05-21 11:33:23)
0817 chloe: 收到銀行通知USD16029.3 (原 16657.3- 620)</t>
      </text>
    </comment>
    <comment authorId="0" ref="H539">
      <text>
        <t xml:space="preserve">======
ID#AAABjx7qNLE
    (2025-05-21 11:33:23)
1025chloe:收到銀行通知US$35416.8</t>
      </text>
    </comment>
    <comment authorId="0" ref="K675">
      <text>
        <t xml:space="preserve">======
ID#AAABjx7qNK8
    (2025-05-21 11:33:23)
1020 chloe: 待客戶付款後才能出貨</t>
      </text>
    </comment>
    <comment authorId="0" ref="J374">
      <text>
        <t xml:space="preserve">======
ID#AAABjx7qNKs
    (2025-05-21 11:33:23)
Express</t>
      </text>
    </comment>
    <comment authorId="0" ref="H241">
      <text>
        <t xml:space="preserve">======
ID#AAABjx7qNKk
    (2025-05-21 11:33:23)
0425 chloe:收到銀行通知USD6117</t>
      </text>
    </comment>
    <comment authorId="0" ref="B542">
      <text>
        <t xml:space="preserve">======
ID#AAABjx7qNKg
    (2025-05-21 11:33:23)
chloe:收到款項後才能下單
1005 chloe: 待Charles 通知再計算獎金</t>
      </text>
    </comment>
    <comment authorId="0" ref="N237">
      <text>
        <t xml:space="preserve">======
ID#AAABjx7qNJ0
    (2025-05-21 11:33:23)
PO-20170412C-2 MC7330 EOL故DC</t>
      </text>
    </comment>
    <comment authorId="0" ref="G198">
      <text>
        <t xml:space="preserve">======
ID#AAABjx7qNIs
    (2025-05-21 11:33:23)
170323 w/ 5%VAT</t>
      </text>
    </comment>
    <comment authorId="0" ref="H252">
      <text>
        <t xml:space="preserve">======
ID#AAABjx7qNH4
    (2025-05-21 11:33:23)
0612 chloe:今日已收到銀行通知USD7074(多USD10)</t>
      </text>
    </comment>
    <comment authorId="0" ref="K187">
      <text>
        <t xml:space="preserve">======
ID#AAABjx7qNH8
    (2025-05-21 11:33:23)
提前4/7出貨</t>
      </text>
    </comment>
    <comment authorId="0" ref="H293">
      <text>
        <t xml:space="preserve">======
ID#AAABjx7qNHA
    (2025-05-21 11:33:23)
0512 chloe:收到銀行通知USD1728</t>
      </text>
    </comment>
    <comment authorId="0" ref="H222">
      <text>
        <t xml:space="preserve">======
ID#AAABjx7qNGs
    (2025-05-21 11:33:23)
0428 chloe:收到銀行通知USD20982</t>
      </text>
    </comment>
    <comment authorId="0" ref="H298">
      <text>
        <t xml:space="preserve">======
ID#AAABjx7qNGk
    (2025-05-21 11:33:23)
0706 chloe: 收到銀行通知USD8418.5(扣上次多匯USD18)</t>
      </text>
    </comment>
    <comment authorId="0" ref="U507">
      <text>
        <t xml:space="preserve">======
ID#AAABjx7qNGU
    (2025-05-21 11:33:23)
無法轉銷貨，故須先把原本借測寄回再出新品</t>
      </text>
    </comment>
    <comment authorId="0" ref="H822">
      <text>
        <t xml:space="preserve">======
ID#AAABjx7qNGc
    (2025-05-21 11:33:23)
0110 Santiago : 收到玉山通知</t>
      </text>
    </comment>
    <comment authorId="0" ref="H576">
      <text>
        <t xml:space="preserve">======
ID#AAABjx7qNF0
    (2025-05-21 11:33:23)
1012chloe:收到客戶水單，待銀行解款
1013 chloe:收到銀行通知USD15,415</t>
      </text>
    </comment>
    <comment authorId="0" ref="H452">
      <text>
        <t xml:space="preserve">======
ID#AAABjx7qNFg
    (2025-05-21 11:33:23)
0927 chloe: 收到銀行通知NT$18135</t>
      </text>
    </comment>
    <comment authorId="0" ref="H130">
      <text>
        <t xml:space="preserve">======
ID#AAABjx7qNFI
    (2025-05-21 11:33:23)
0309 chloe:收到芳慎支票NT186841  3/30 可兌
4/6 入帳</t>
      </text>
    </comment>
    <comment authorId="0" ref="H630">
      <text>
        <t xml:space="preserve">======
ID#AAABjx7qNFM
    (2025-05-21 11:33:23)
1012 chloe: 收到銀行通知US$52,255</t>
      </text>
    </comment>
    <comment authorId="0" ref="K559">
      <text>
        <t xml:space="preserve">======
ID#AAABjx7qNEA
    (2025-05-21 11:33:23)
Christine 0925 :缺少cable</t>
      </text>
    </comment>
    <comment authorId="0" ref="H54">
      <text>
        <t xml:space="preserve">======
ID#AAABjx7qNDs
    (2025-05-21 11:33:23)
0224 chloe:收到銀行通知USD6490</t>
      </text>
    </comment>
    <comment authorId="0" ref="J326">
      <text>
        <t xml:space="preserve">======
ID#AAABjx7qNDY
    (2025-05-21 11:33:23)
Tania Chen 
Air Freight Department
RATTAN EXPRESS – Taipei, Taiwan
Skype:tania590205
Tel: 886(2)2718-3335 EXT.54 | Fax: 886(2)2718-3353</t>
      </text>
    </comment>
    <comment authorId="0" ref="H72">
      <text>
        <t xml:space="preserve">======
ID#AAABjx7qNDU
    (2025-05-21 11:33:23)
0218 chloe:收到銀行通知USD4087</t>
      </text>
    </comment>
    <comment authorId="0" ref="E541">
      <text>
        <t xml:space="preserve">======
ID#AAABjx7qNDA
    (2025-05-21 11:33:23)
20170908 Karen: 下單Nport W2150A-EU BAND w/EU adaptor</t>
      </text>
    </comment>
    <comment authorId="0" ref="L508">
      <text>
        <t xml:space="preserve">======
ID#AAABjx7qNCw
    (2025-05-21 11:33:23)
0731 chloe:出貨單簽名後回傳給TAMMY
(附上樣品借出單?)</t>
      </text>
    </comment>
    <comment authorId="0" ref="H484">
      <text>
        <t xml:space="preserve">======
ID#AAABjx7qNC4
    (2025-05-21 11:33:23)
0720 chloe:客戶匯款，但戎克戶名錯誤，待客戶修改
0727 chloe: 戶名已修改，已匯入USD870</t>
      </text>
    </comment>
    <comment authorId="0" ref="H525">
      <text>
        <t xml:space="preserve">======
ID#AAABjx7qNB8
    (2025-05-21 11:33:23)
0809 chloe:收到銀行通知USD3729</t>
      </text>
    </comment>
    <comment authorId="0" ref="K184">
      <text>
        <t xml:space="preserve">======
ID#AAABjx7qNBs
Santiago 0410    (2025-05-21 11:33:23)
是否能提前至4/17 到貨. 芳慎想併PI-20170224B-1 的貨一起出</t>
      </text>
    </comment>
    <comment authorId="0" ref="H25">
      <text>
        <t xml:space="preserve">======
ID#AAABjx7qNAc
    (2025-05-21 11:33:23)
20170104 chloe:收到銀行通知3830</t>
      </text>
    </comment>
    <comment authorId="0" ref="L427">
      <text>
        <t xml:space="preserve">======
ID#AAABjx7qM_Y
    (2025-05-21 11:33:23)
4-6 weeks
0629 待8/10 PULL IN
0717 詢問→告知提前至10/13
0718 告知交期可以提前</t>
      </text>
    </comment>
    <comment authorId="0" ref="H485">
      <text>
        <t xml:space="preserve">======
ID#AAABjx7qM-0
    (2025-05-21 11:33:23)
0720 chloe:客戶匯款，但戎克戶名錯誤，待客戶修改
0727 chloe: 戶名已修改，已匯入USD870</t>
      </text>
    </comment>
    <comment authorId="0" ref="H652">
      <text>
        <t xml:space="preserve">======
ID#AAABjx7qM9Q
    (2025-05-21 11:33:23)
1020 收到支票 NT51075元，待10
/30 兌現
1030 chloe 入帳</t>
      </text>
    </comment>
    <comment authorId="0" ref="E558">
      <text>
        <t xml:space="preserve">======
ID#AAABjx7qM9I
    (2025-05-21 11:33:23)
1012 chloe: Apacer 無提供Cable,已提供圖面給Bebe做樣品 3 條(已出貨2條)</t>
      </text>
    </comment>
    <comment authorId="0" ref="H800">
      <text>
        <t xml:space="preserve">======
ID#AAABjx7qM8w
    (2025-05-21 11:33:23)
0108 Santiago: US$10,177.50 匯入玉山</t>
      </text>
    </comment>
    <comment authorId="0" ref="N25">
      <text>
        <t xml:space="preserve">======
ID#AAABjx7qM8k
    (2025-05-21 11:33:23)
原價-9%</t>
      </text>
    </comment>
    <comment authorId="0" ref="J158">
      <text>
        <t xml:space="preserve">======
ID#AAABjx7qM8U
    (2025-05-21 11:33:23)
40*29*27.5  5KG 
0316 chloe:已告知業務</t>
      </text>
    </comment>
    <comment authorId="0" ref="L803">
      <text>
        <t xml:space="preserve">======
ID#AAABjx7qM8A
    (2025-05-21 11:33:23)
預計12/8到貨</t>
      </text>
    </comment>
    <comment authorId="0" ref="H649">
      <text>
        <t xml:space="preserve">======
ID#AAABjx7qM74
    (2025-05-21 11:33:23)
20171124 Santiago 收到US$10707</t>
      </text>
    </comment>
    <comment authorId="0" ref="H513">
      <text>
        <t xml:space="preserve">======
ID#AAABjx7qM70
    (2025-05-21 11:33:23)
0803 chloe:收到銀行通知USD4041</t>
      </text>
    </comment>
    <comment authorId="0" ref="H722">
      <text>
        <t xml:space="preserve">======
ID#AAABjx7qM7k
    (2025-05-21 11:33:23)
0323 chloe: 匯款匯入US$3757</t>
      </text>
    </comment>
    <comment authorId="0" ref="L393">
      <text>
        <t xml:space="preserve">======
ID#AAABjx7qM7I
    (2025-05-21 11:33:23)
0619 待PULL IN交期
0711 回覆交期無法提前.
0728  原本 8/10</t>
      </text>
    </comment>
    <comment authorId="0" ref="K580">
      <text>
        <t xml:space="preserve">======
ID#AAABjx7qM6o
    (2025-05-21 11:33:23)
christine0925:待客戶付款</t>
      </text>
    </comment>
    <comment authorId="0" ref="H796">
      <text>
        <t xml:space="preserve">======
ID#AAABjx7qM6E
    (2025-05-21 11:33:23)
1225 Santiago: US$18317 入帳
客戶多付US$40 RMA 費用</t>
      </text>
    </comment>
    <comment authorId="0" ref="L736">
      <text>
        <t xml:space="preserve">======
ID#AAABjx7qM6A
    (2025-05-21 11:33:23)
預計11/10到貨</t>
      </text>
    </comment>
    <comment authorId="0" ref="H780">
      <text>
        <t xml:space="preserve">======
ID#AAABjx7qM5w
    (2025-05-21 11:33:23)
Santiago 0108 : 玉山收到US$22291</t>
      </text>
    </comment>
    <comment authorId="0" ref="G850">
      <text>
        <t xml:space="preserve">======
ID#AAABjx7qM5g
    (2025-05-21 11:33:23)
Santiago 1220: NT$3100 台幣報價給客戶</t>
      </text>
    </comment>
    <comment authorId="0" ref="H457">
      <text>
        <t xml:space="preserve">======
ID#AAABjx7qM4k
    (2025-05-21 11:33:23)
0817 chloe: 收到銀行通知USD16029.3 (原 16657.3- 620)</t>
      </text>
    </comment>
    <comment authorId="0" ref="H415">
      <text>
        <t xml:space="preserve">======
ID#AAABjx7qM34
    (2025-05-21 11:33:23)
0803 chloe:收到銀行通知USD3891</t>
      </text>
    </comment>
    <comment authorId="0" ref="H683">
      <text>
        <t xml:space="preserve">======
ID#AAABjx7qM2Y
    (2025-05-21 11:33:23)
1213 Santiago : US$7483 已到
1103 chloe: 收到US$9770 
( 另外US$7350尚未收到)</t>
      </text>
    </comment>
    <comment authorId="0" ref="K237">
      <text>
        <t xml:space="preserve">======
ID#AAABjx7qM2E
    (2025-05-21 11:33:23)
170414 TPOLE 5月第一週要收到貨
0427 確認此單是否還有?</t>
      </text>
    </comment>
    <comment authorId="0" ref="L564">
      <text>
        <t xml:space="preserve">======
ID#AAABjx7qM1w
    (2025-05-21 11:33:23)
0825:9月初會再PUSH</t>
      </text>
    </comment>
    <comment authorId="0" ref="H837">
      <text>
        <t xml:space="preserve">======
ID#AAABjx7qM1o
    (2025-05-21 11:33:23)
0131 chloe:已匯入US$48618</t>
      </text>
    </comment>
    <comment authorId="0" ref="J838">
      <text>
        <t xml:space="preserve">======
ID#AAABjx7qM1g
Ship To    (2025-05-21 11:33:23)
Ti2 Pty Ltd
103A Mary Street, Richmond, VIC, 3121, Australia
Att: Jim MacDougall
+61 417 714 528</t>
      </text>
    </comment>
    <comment authorId="0" ref="H645">
      <text>
        <t xml:space="preserve">======
ID#AAABjx7qM08
    (2025-05-21 11:33:23)
1124 Santiago 收到匯款US$10707</t>
      </text>
    </comment>
    <comment authorId="0" ref="L39">
      <text>
        <t xml:space="preserve">======
ID#AAABjx7qM0Y
    (2025-05-21 11:33:23)
1228 chloe:交期2017.2.15 待PULL
0105 chloe:交期2017.2.14 待PULL
預計2/10出貨，2/13到貨戎克
材積10.1KGS       45*42*38</t>
      </text>
    </comment>
    <comment authorId="0" ref="J110">
      <text>
        <t xml:space="preserve">======
ID#AAABjx7qMzk
1.    (2025-05-21 11:33:23)
2         4.6 KGS        34*28*29</t>
      </text>
    </comment>
    <comment authorId="0" ref="K577">
      <text>
        <t xml:space="preserve">======
ID#AAABjx7qMys
    (2025-05-21 11:33:23)
christine0925:待客戶付款</t>
      </text>
    </comment>
    <comment authorId="0" ref="X133">
      <text>
        <t xml:space="preserve">======
ID#AAABjx7qMyg
    (2025-05-21 11:33:23)
給予SBIR使用</t>
      </text>
    </comment>
    <comment authorId="0" ref="H675">
      <text>
        <t xml:space="preserve">======
ID#AAABjx7qMyU
    (2025-05-21 11:33:23)
1024 chloe: 收到銀行通知US$1763</t>
      </text>
    </comment>
    <comment authorId="0" ref="J54">
      <text>
        <t xml:space="preserve">======
ID#AAABjx7qMyA
    (2025-05-21 11:33:23)
Global Freight Forwarding Co Ltd
9F No. 48 Fuxing N. Rd Taipei Taiwan | Tel: +886 2 2773 9900 #8821
Mobile: +886 929 011 725 | Fax: +886 2 2773 2121 | Edisonmeng@gff.com.tw</t>
      </text>
    </comment>
    <comment authorId="0" ref="L729">
      <text>
        <t xml:space="preserve">======
ID#AAABjx7qMxY
    (2025-05-21 11:33:23)
預計11/30到貨</t>
      </text>
    </comment>
    <comment authorId="0" ref="P40">
      <text>
        <t xml:space="preserve">======
ID#AAABjx7qMwY
    (2025-05-21 11:33:23)
0111 chloe:客戶DC此單，故退回供應商並賠此單金額11970元*20%=2394元
目前宗先生詢問中</t>
      </text>
    </comment>
    <comment authorId="0" ref="H760">
      <text>
        <t xml:space="preserve">======
ID#AAABjx7qMwQ
    (2025-05-21 11:33:23)
1218 santiago: 已收到貨款</t>
      </text>
    </comment>
    <comment authorId="0" ref="H792">
      <text>
        <t xml:space="preserve">======
ID#AAABjx7qMvk
    (2025-05-21 11:33:23)
Santiago 0108 : 玉山收到US$22291</t>
      </text>
    </comment>
    <comment authorId="0" ref="H388">
      <text>
        <t xml:space="preserve">======
ID#AAABjx7qMvU
    (2025-05-21 11:33:23)
0821 chloe: 收到銀行通知USD 2400 + 1/19多匯USD6330 = USD8730</t>
      </text>
    </comment>
    <comment authorId="0" ref="K677">
      <text>
        <t xml:space="preserve">======
ID#AAABjx7qMu8
    (2025-05-21 11:33:23)
1020 chloe: 待客戶付款後才能出貨</t>
      </text>
    </comment>
    <comment authorId="0" ref="H552">
      <text>
        <t xml:space="preserve">======
ID#AAABjx7qMuY
    (2025-05-21 11:33:23)
1018 chloe:收到銀行通知US$1135</t>
      </text>
    </comment>
    <comment authorId="0" ref="K72">
      <text>
        <t xml:space="preserve">======
ID#AAABjx7qMuQ
    (2025-05-21 11:33:23)
材積： 53*39*30 11KG+1</t>
      </text>
    </comment>
    <comment authorId="0" ref="H766">
      <text>
        <t xml:space="preserve">======
ID#AAABjx7qMts
    (2025-05-21 11:33:23)
20180201 收到支票 NT6636元，待兌現
20180207 確定兌現</t>
      </text>
    </comment>
    <comment authorId="0" ref="L286">
      <text>
        <t xml:space="preserve">======
ID#AAABjx7qMtc
    (2025-05-21 11:33:23)
(23x44x27)</t>
      </text>
    </comment>
    <comment authorId="0" ref="L38">
      <text>
        <t xml:space="preserve">======
ID#AAABjx7qMtI
    (2025-05-21 11:33:23)
1228 chloe:交期2017.2.15 待PULL
0105 chloe:交期2017.2.14 待PULL
材積10.1KGS       45*42*38</t>
      </text>
    </comment>
    <comment authorId="0" ref="H694">
      <text>
        <t xml:space="preserve">======
ID#AAABjx7qMtM
    (2025-05-21 11:33:23)
1024 chloe:收到銀行通知US$859</t>
      </text>
    </comment>
    <comment authorId="0" ref="S286">
      <text>
        <t xml:space="preserve">======
ID#AAABjx7qMs4
    (2025-05-21 11:33:23)
月結30天，額度USD5000</t>
      </text>
    </comment>
    <comment authorId="0" ref="L807">
      <text>
        <t xml:space="preserve">======
ID#AAABjx7qMsk
    (2025-05-21 11:33:23)
預計11/28到貨</t>
      </text>
    </comment>
    <comment authorId="0" ref="H27">
      <text>
        <t xml:space="preserve">======
ID#AAABjx7qMsU
    (2025-05-21 11:33:23)
20170104 chloe:收到銀行通知3830</t>
      </text>
    </comment>
    <comment authorId="0" ref="K649">
      <text>
        <t xml:space="preserve">======
ID#AAABjx7qMsM
    (2025-05-21 11:33:23)
兩箱
5002LPx4 (70x40x40cm)
5002LPx1 (38x34x17cm)</t>
      </text>
    </comment>
    <comment authorId="0" ref="H62">
      <text>
        <t xml:space="preserve">======
ID#AAABjx7qMsA
    (2025-05-21 11:33:23)
0210 chloe:收到銀行通知USD4691</t>
      </text>
    </comment>
    <comment authorId="0" ref="L700">
      <text>
        <t xml:space="preserve">======
ID#AAABjx7qMrA
    (2025-05-21 11:33:23)
有庫存
預計10/23到貨</t>
      </text>
    </comment>
    <comment authorId="0" ref="L44">
      <text>
        <t xml:space="preserve">======
ID#AAABjx7qMrE
    (2025-05-21 11:33:23)
1229 chloe:下單</t>
      </text>
    </comment>
    <comment authorId="0" ref="H628">
      <text>
        <t xml:space="preserve">======
ID#AAABj82dpQg
    (2025-05-21 11:33:23)
0925 chloe:收到銀行通知US$3047</t>
      </text>
    </comment>
    <comment authorId="0" ref="E396">
      <text>
        <t xml:space="preserve">======
ID#AAABj82dpP8
    (2025-05-21 11:33:23)
170619 Karen: w/EU adapter</t>
      </text>
    </comment>
    <comment authorId="0" ref="H330">
      <text>
        <t xml:space="preserve">======
ID#AAABj82dpO0
    (2025-05-21 11:33:23)
0721 chloe:收到銀行通知USD5180</t>
      </text>
    </comment>
    <comment authorId="0" ref="J565">
      <text>
        <t xml:space="preserve">======
ID#AAABj82dpOo
    (2025-05-21 11:33:23)
to Melbourne address</t>
      </text>
    </comment>
    <comment authorId="0" ref="H85">
      <text>
        <t xml:space="preserve">======
ID#AAABj82dpN8
    (2025-05-21 11:33:23)
0406 chloe:收到銀行通知USD16968</t>
      </text>
    </comment>
    <comment authorId="0" ref="H520">
      <text>
        <t xml:space="preserve">======
ID#AAABj82dpNY
    (2025-05-21 11:33:23)
0911 chloe:已收到NT$555,292</t>
      </text>
    </comment>
    <comment authorId="0" ref="E721">
      <text>
        <t xml:space="preserve">======
ID#AAABj82dpNI
    (2025-05-21 11:33:23)
1020 chloe: 17.3 " Moniter</t>
      </text>
    </comment>
    <comment authorId="0" ref="J384">
      <text>
        <t xml:space="preserve">======
ID#AAABj82dpMw
170613 Tammy, 參照20160930C, 如下    (2025-05-21 11:33:23)
1. FOB. 
2. 請JJB 出口報關時提供COC (產地證明)
3.貨代聯絡資料如下：
JJB Link Logistics Company Inc.
Office Address: 8F., No. 152, Sec. 4, Nan-King E., Road, Taipei Taiwan.
CTP: Timothy Jen, Tel: +886-2-25772111 #105, Fax: +886-2-25702115</t>
      </text>
    </comment>
    <comment authorId="0" ref="H804">
      <text>
        <t xml:space="preserve">======
ID#AAABj82dpMs
    (2025-05-21 11:33:23)
1225 Santiago: US$18317 入帳
客戶多付US$40 RMA 費用</t>
      </text>
    </comment>
    <comment authorId="0" ref="H481">
      <text>
        <t xml:space="preserve">======
ID#AAABj82dpLE
    (2025-05-21 11:33:23)
0717 chloe: 收到銀行通知USD202.5</t>
      </text>
    </comment>
    <comment authorId="0" ref="H761">
      <text>
        <t xml:space="preserve">======
ID#AAABj82dpLI
    (2025-05-21 11:33:23)
0108 Santiago: US$10,177.50 匯入玉山</t>
      </text>
    </comment>
    <comment authorId="0" ref="H39">
      <text>
        <t xml:space="preserve">======
ID#AAABj82dpK8
    (2025-05-21 11:33:23)
0116 chloe:收到銀行通知，為舊戶名，待修改戶名後給予電文才可放行
0117 chloe:收到客戶修改電文給予銀行，銀行待收到國外銀行電文即可發放→2/2 銀行尚未收到修改電文
0207 chloe:銀行收到修改電文，發放USD2942</t>
      </text>
    </comment>
    <comment authorId="0" ref="J38">
      <text>
        <t xml:space="preserve">======
ID#AAABj82dpJ4
材積10.1KGS    (2025-05-21 11:33:23)
</t>
      </text>
    </comment>
    <comment authorId="0" ref="AA1">
      <text>
        <t xml:space="preserve">======
ID#AAABj82dpJs
    (2025-05-21 11:33:23)
此欄位針對某些特定客戶. 要求使用出貨前一天的匯率. 才開發票的客戶. 例如 Z 和 Pharms</t>
      </text>
    </comment>
    <comment authorId="0" ref="H803">
      <text>
        <t xml:space="preserve">======
ID#AAABj82dpJE
    (2025-05-21 11:33:23)
1225 Santiago: US$18317 入帳
客戶多付US$40 RMA 費用</t>
      </text>
    </comment>
    <comment authorId="0" ref="L787">
      <text>
        <t xml:space="preserve">======
ID#AAABj82dpHU
    (2025-05-21 11:33:23)
預計12/15到貨</t>
      </text>
    </comment>
    <comment authorId="0" ref="L394">
      <text>
        <t xml:space="preserve">======
ID#AAABj82dpHA
    (2025-05-21 11:33:23)
待新漢交期PULL IN 完後再決定是否要提前還延後</t>
      </text>
    </comment>
    <comment authorId="0" ref="H814">
      <text>
        <t xml:space="preserve">======
ID#AAABj82dpG4
    (2025-05-21 11:33:23)
Santiago 0108 : 玉山收到US$22291</t>
      </text>
    </comment>
    <comment authorId="0" ref="L666">
      <text>
        <t xml:space="preserve">======
ID#AAABj82dpGo
    (2025-05-21 11:33:23)
10月第二三週
1005 chloe:已發信詢問
1006 chloe:宸曜系統問題，故無法回交期
1011 chloe:  交期仍然無法回覆
預計到貨10/25</t>
      </text>
    </comment>
    <comment authorId="0" ref="X763">
      <text>
        <t xml:space="preserve">======
ID#AAABj82dpGg
    (2025-05-21 11:33:23)
簡易出口</t>
      </text>
    </comment>
    <comment authorId="0" ref="L616">
      <text>
        <t xml:space="preserve">======
ID#AAABj82dpGE
    (2025-05-21 11:33:23)
現貨
0915到貨</t>
      </text>
    </comment>
    <comment authorId="0" ref="H367">
      <text>
        <t xml:space="preserve">======
ID#AAABj82dpFI
    (2025-05-21 11:33:23)
0615 chloe:收到銀行通知USD2151</t>
      </text>
    </comment>
    <comment authorId="0" ref="H202">
      <text>
        <t xml:space="preserve">======
ID#AAABj82dpEo
    (2025-05-21 11:33:23)
0523 chloe:已收到銀行通知USD6750</t>
      </text>
    </comment>
    <comment authorId="0" ref="H641">
      <text>
        <t xml:space="preserve">======
ID#AAABj82dpEg
    (2025-05-21 11:33:23)
1124 Santiago 收到匯款US$10707</t>
      </text>
    </comment>
    <comment authorId="0" ref="J618">
      <text>
        <t xml:space="preserve">======
ID#AAABj82dpEY
    (2025-05-21 11:33:23)
to Melbourne address</t>
      </text>
    </comment>
    <comment authorId="0" ref="K609">
      <text>
        <t xml:space="preserve">======
ID#AAABj82dpEU
    (2025-05-21 11:33:23)
christine 0925: 待付款</t>
      </text>
    </comment>
  </commentList>
  <extLst>
    <ext uri="GoogleSheetsCustomDataVersion2">
      <go:sheetsCustomData xmlns:go="http://customooxmlschemas.google.com/" r:id="rId1" roundtripDataSignature="AMtx7mgz0L8rQJk+/Ny7/E86sWqxtb8/p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39">
      <text>
        <t xml:space="preserve">======
ID#AAABjx7qWbM
    (2025-05-21 11:33:27)
測試步驟：
1. Disable Fast Start-up function
2. Remove Power at 2nd stage
3. Check "Boot option priorities" in BIOS
4. Prepare DRAM module 2~3 pcs
5. 加測Memtest86+</t>
      </text>
    </comment>
    <comment authorId="0" ref="L23">
      <text>
        <t xml:space="preserve">======
ID#AAABjx7qWbE
    (2025-05-21 11:33:27)
1004 chloe : PULL IN 中，看能不能趕在10/27
1011 chloe: Pull in中，待回覆
1013 chloe: Pull in中，回覆無法提前→因機箱上色問題交期延至11/11
1025 chloe:到貨兩台</t>
      </text>
    </comment>
    <comment authorId="0" ref="H208">
      <text>
        <t xml:space="preserve">======
ID#AAABjx7qWas
    (2025-05-21 11:33:27)
0511 Santiago: 收到銀行通知入帳一半貨款共US$13184
0428 Santiago: 收到銀行通知入帳一半貨款共US$13184</t>
      </text>
    </comment>
    <comment authorId="0" ref="V152">
      <text>
        <t xml:space="preserve">======
ID#AAABjx7qWaY
    (2025-05-21 11:33:27)
EMO-20160330A查到成本為NT$5347 (U35)，負數過大，請重新確認成本→ 5/2 chloe 已確認</t>
      </text>
    </comment>
    <comment authorId="0" ref="O521">
      <text>
        <t xml:space="preserve">======
ID#AAABjx7qWZo
    (2025-05-21 11:33:27)
161010 修改 225-67, 剩158
160930 225-76, 剩149</t>
      </text>
    </comment>
    <comment authorId="0" ref="I334">
      <text>
        <t xml:space="preserve">======
ID#AAABjx7qWZg
    (2025-05-21 11:33:27)
0830 Chloe:不計算獎金，因業務及採購都不須計算</t>
      </text>
    </comment>
    <comment authorId="0" ref="H33">
      <text>
        <t xml:space="preserve">======
ID#AAABjx7qWZU
0322 Santiago    (2025-05-21 11:33:27)
收到銀行匯款US$1481 +
去年Tpole 多匯US$2000</t>
      </text>
    </comment>
    <comment authorId="0" ref="H527">
      <text>
        <t xml:space="preserve">======
ID#AAABjx7qWYs
    (2025-05-21 11:33:27)
1012 chloe :未稅價
1013 chloe:台企戶頭收到NT6560</t>
      </text>
    </comment>
    <comment authorId="0" ref="H436">
      <text>
        <t xml:space="preserve">======
ID#AAABjx7qWYo
    (2025-05-21 11:33:27)
0926 chloe:已收到銀行通知USD12216，因戎克戶名短少TD，故待客戶修改電文銀行才會發放
0929 chloe:給予客戶當初匯款水單後于與放行</t>
      </text>
    </comment>
    <comment authorId="0" ref="H508">
      <text>
        <t xml:space="preserve">======
ID#AAABjx7qWX8
    (2025-05-21 11:33:27)
1111 chloe:收到銀行通知USD2399</t>
      </text>
    </comment>
    <comment authorId="0" ref="H674">
      <text>
        <t xml:space="preserve">======
ID#AAABjx7qWXY
    (2025-05-21 11:33:27)
20170202 chloe:收到銀行通知USD13551</t>
      </text>
    </comment>
    <comment authorId="0" ref="L568">
      <text>
        <t xml:space="preserve">======
ID#AAABjx7qWXE
    (2025-05-21 11:33:27)
1021 chloe:待回覆正確交期→回覆應該可以，告知10/27中午前一定要到貨</t>
      </text>
    </comment>
    <comment authorId="0" ref="K622">
      <text>
        <t xml:space="preserve">======
ID#AAABjx7qWWo
    (2025-05-21 11:33:27)
1116 chloe:已告知出貨日可提前11/28出貨</t>
      </text>
    </comment>
    <comment authorId="0" ref="H581">
      <text>
        <t xml:space="preserve">======
ID#AAABjx7qWWc
    (2025-05-21 11:33:27)
1202 chloe:收到銀行通知USD10342</t>
      </text>
    </comment>
    <comment authorId="0" ref="H537">
      <text>
        <t xml:space="preserve">======
ID#AAABjx7qWVw
    (2025-05-21 11:33:27)
1115 chloe:收到銀行通知USD655</t>
      </text>
    </comment>
    <comment authorId="0" ref="M553">
      <text>
        <t xml:space="preserve">======
ID#AAABjx7qWVQ
20161013 Santiago    (2025-05-21 11:33:27)
下單日期要和富加堡錯開一週</t>
      </text>
    </comment>
    <comment authorId="0" ref="H480">
      <text>
        <t xml:space="preserve">======
ID#AAABjx7qWUw
    (2025-05-21 11:33:27)
1117 chloe:收到銀行通知USD13714</t>
      </text>
    </comment>
    <comment authorId="0" ref="H157">
      <text>
        <t xml:space="preserve">======
ID#AAABjx7qWUY
    (2025-05-21 11:33:27)
2016/4/13 Benson: get payment notice from bank</t>
      </text>
    </comment>
    <comment authorId="0" ref="H284">
      <text>
        <t xml:space="preserve">======
ID#AAABjx7qWUQ
    (2025-05-21 11:33:27)
0701 Santiago: 收到銀行通知</t>
      </text>
    </comment>
    <comment authorId="0" ref="H82">
      <text>
        <t xml:space="preserve">======
ID#AAABjx7qWUM
    (2025-05-21 11:33:27)
0403 Santiago : 收到支票</t>
      </text>
    </comment>
    <comment authorId="0" ref="E391">
      <text>
        <t xml:space="preserve">======
ID#AAABjx7qWTQ
    (2025-05-21 11:33:27)
160721 Karen: EU adapter</t>
      </text>
    </comment>
    <comment authorId="0" ref="D624">
      <text>
        <t xml:space="preserve">======
ID#AAABjx7qWS4
    (2025-05-21 11:33:27)
測試步驟：
1. Disable Fast Start-up function
2. Remove Power at 2nd stage
3. Check " Boot option priorities" in BIOS
4. Prepare DRAM module 2~3 pcs
5. 加測 Memtest86+</t>
      </text>
    </comment>
    <comment authorId="0" ref="J162">
      <text>
        <t xml:space="preserve">======
ID#AAABjx7qWSo
    (2025-05-21 11:33:27)
大榮</t>
      </text>
    </comment>
    <comment authorId="0" ref="H610">
      <text>
        <t xml:space="preserve">======
ID#AAABjx7qWSI
    (2025-05-21 11:33:27)
1122 chloe:收到銀行通知USD1786</t>
      </text>
    </comment>
    <comment authorId="0" ref="D517">
      <text>
        <t xml:space="preserve">======
ID#AAABjx7qWR0
    (2025-05-21 11:33:27)
1012 chloe: Leon工作日： 10/29-10/30</t>
      </text>
    </comment>
    <comment authorId="0" ref="H609">
      <text>
        <t xml:space="preserve">======
ID#AAABjx7qWRg
    (2025-05-21 11:33:27)
20170113 chloe:收到銀行通知USD283</t>
      </text>
    </comment>
    <comment authorId="0" ref="H48">
      <text>
        <t xml:space="preserve">======
ID#AAABjx7qWRE
    (2025-05-21 11:33:27)
0309 Santiago: 收到客戶支票</t>
      </text>
    </comment>
    <comment authorId="0" ref="H101">
      <text>
        <t xml:space="preserve">======
ID#AAABjx7qWQo
    (2025-05-21 11:33:27)
0311 Santiago 收到客戶水單US$1359</t>
      </text>
    </comment>
    <comment authorId="0" ref="H4">
      <text>
        <t xml:space="preserve">======
ID#AAABjx7qWPs
    (2025-05-21 11:33:27)
0812 已收到客戶款項</t>
      </text>
    </comment>
    <comment authorId="0" ref="J630">
      <text>
        <t xml:space="preserve">======
ID#AAABjx7qWOE
    (2025-05-21 11:33:27)
1212 chloe:估錯材積，TNT Economy  運費 7925較便宜，故使用TNT</t>
      </text>
    </comment>
    <comment authorId="0" ref="L680">
      <text>
        <t xml:space="preserve">======
ID#AAABjx7qWNU
    (2025-05-21 11:33:27)
1207 chloe:下單待交期回覆
→回覆明年2月產出→待PULL IN</t>
      </text>
    </comment>
    <comment authorId="0" ref="H185">
      <text>
        <t xml:space="preserve">======
ID#AAABjx7qWNA
    (2025-05-21 11:33:27)
20160721 Santiago: 收到銀行通知</t>
      </text>
    </comment>
    <comment authorId="0" ref="G673">
      <text>
        <t xml:space="preserve">======
ID#AAABjx7qWMs
    (2025-05-21 11:33:27)
8美元 = 7.5歐元</t>
      </text>
    </comment>
    <comment authorId="0" ref="H416">
      <text>
        <t xml:space="preserve">======
ID#AAABjx7qWMc
    (2025-05-21 11:33:27)
0921 Chloe:收到銀行通知匯入USD13188</t>
      </text>
    </comment>
    <comment authorId="0" ref="H188">
      <text>
        <t xml:space="preserve">======
ID#AAABjx7qWL0
    (2025-05-21 11:33:27)
2016/4/12 Benson: getting payment notice from bank</t>
      </text>
    </comment>
    <comment authorId="0" ref="G225">
      <text>
        <t xml:space="preserve">======
ID#AAABjx7qWLc
    (2025-05-21 11:33:27)
0425 w/5% vat</t>
      </text>
    </comment>
    <comment authorId="0" ref="L538">
      <text>
        <t xml:space="preserve">======
ID#AAABjx7qWLU
    (2025-05-21 11:33:27)
1007 chloe:無庫存待回覆</t>
      </text>
    </comment>
    <comment authorId="0" ref="H634">
      <text>
        <t xml:space="preserve">======
ID#AAABjx7qWKk
    (2025-05-21 11:33:27)
20170105 chloe: 收到銀行通知USD2683.5</t>
      </text>
    </comment>
    <comment authorId="0" ref="K24">
      <text>
        <t xml:space="preserve">======
ID#AAABjx7qWKc
    (2025-05-21 11:33:27)
1/8 michelle: 配件出完2040套</t>
      </text>
    </comment>
    <comment authorId="0" ref="N541">
      <text>
        <t xml:space="preserve">======
ID#AAABjx7qWKA
    (2025-05-21 11:33:27)
1012 chloe:訂單有修改</t>
      </text>
    </comment>
    <comment authorId="0" ref="D133">
      <text>
        <t xml:space="preserve">======
ID#AAABjx7qWJg
    (2025-05-21 11:33:27)
0311 Santiago: 3/8 客戶寄EMS 直接到MOXA</t>
      </text>
    </comment>
    <comment authorId="0" ref="U154">
      <text>
        <t xml:space="preserve">======
ID#AAABjx7qWJk
    (2025-05-21 11:33:27)
商業公會工本費收據</t>
      </text>
    </comment>
    <comment authorId="0" ref="L70">
      <text>
        <t xml:space="preserve">======
ID#AAABjx7qWJQ
    (2025-05-21 11:33:27)
1/28 michelle: 2/20 *44pcs可先進</t>
      </text>
    </comment>
    <comment authorId="0" ref="H300">
      <text>
        <t xml:space="preserve">======
ID#AAABjx7qWJE
    (2025-05-21 11:33:27)
0620 Santiago: 預計7/15 付款
0623 Santiago: 32.17
0629 Santiago: 收到貨款</t>
      </text>
    </comment>
    <comment authorId="0" ref="N511">
      <text>
        <t xml:space="preserve">======
ID#AAABjx7qWJI
    (2025-05-21 11:33:27)
1130 chloe:訂單編號應該為PO，下成MPO</t>
      </text>
    </comment>
    <comment authorId="0" ref="H672">
      <text>
        <t xml:space="preserve">======
ID#AAABjx7qWI4
    (2025-05-21 11:33:27)
1208 chloe:收到銀行通知EUR207.2</t>
      </text>
    </comment>
    <comment authorId="0" ref="H395">
      <text>
        <t xml:space="preserve">======
ID#AAABjx7qWIk
    (2025-05-21 11:33:27)
0822 chloe:收到銀行通知USD919</t>
      </text>
    </comment>
    <comment authorId="0" ref="H586">
      <text>
        <t xml:space="preserve">======
ID#AAABjx7qWIg
    (2025-05-21 11:33:27)
1206 chloe:收到銀行通知USD6761</t>
      </text>
    </comment>
    <comment authorId="0" ref="H121">
      <text>
        <t xml:space="preserve">======
ID#AAABjx7qWH0
    (2025-05-21 11:33:27)
0520 Santiago: 收到銀行通知</t>
      </text>
    </comment>
    <comment authorId="0" ref="L541">
      <text>
        <t xml:space="preserve">======
ID#AAABjx7qWGo
    (2025-05-21 11:33:27)
1021 chloe:因冷門機種，遷廠後貨物遺失正在尋找中</t>
      </text>
    </comment>
    <comment authorId="0" ref="H377">
      <text>
        <t xml:space="preserve">======
ID#AAABjx7qWGg
    (2025-05-21 11:33:27)
1004 chloe:收到銀行通知USD3752</t>
      </text>
    </comment>
    <comment authorId="0" ref="S504">
      <text>
        <t xml:space="preserve">======
ID#AAABjx7qWGA
    (2025-05-21 11:33:27)
0906 chloe:已提供對帳單</t>
      </text>
    </comment>
    <comment authorId="0" ref="E306">
      <text>
        <t xml:space="preserve">======
ID#AAABjx7qWGE
    (2025-05-21 11:33:27)
11/12 michelle: 58-80024-0000</t>
      </text>
    </comment>
    <comment authorId="0" ref="D253">
      <text>
        <t xml:space="preserve">======
ID#AAABjx7qWF8
    (2025-05-21 11:33:27)
0601 Santiago 要求修改 PI號碼. 全部納入PI-20160118D</t>
      </text>
    </comment>
    <comment authorId="0" ref="E50">
      <text>
        <t xml:space="preserve">======
ID#AAABjx7qWF4
Description     (2025-05-21 11:33:27)
Win Pro Embedded 7 SP1 32-bit/x64 EMB ESD OEI 1-2CPU</t>
      </text>
    </comment>
    <comment authorId="0" ref="H130">
      <text>
        <t xml:space="preserve">======
ID#AAABjx7qWF0
    (2025-05-21 11:33:27)
Santiago 0524 : 送客戶</t>
      </text>
    </comment>
    <comment authorId="0" ref="H591">
      <text>
        <t xml:space="preserve">======
ID#AAABjx7qWFc
    (2025-05-21 11:33:27)
1207 chloe:收到銀行通知USD2804</t>
      </text>
    </comment>
    <comment authorId="0" ref="F288">
      <text>
        <t xml:space="preserve">======
ID#AAABjx7qWFQ
    (2025-05-21 11:33:27)
0626 chloe
1片在凌飛測試
4片在戎克</t>
      </text>
    </comment>
    <comment authorId="0" ref="H165">
      <text>
        <t xml:space="preserve">======
ID#AAABjx7qWE8
    (2025-05-21 11:33:27)
Santiago0513: 收到支票</t>
      </text>
    </comment>
    <comment authorId="0" ref="L509">
      <text>
        <t xml:space="preserve">======
ID#AAABjx7qWE4
    (2025-05-21 11:33:27)
0926 chloe:提早9/26到貨</t>
      </text>
    </comment>
    <comment authorId="0" ref="L258">
      <text>
        <t xml:space="preserve">======
ID#AAABjx7qWEQ
    (2025-05-21 11:33:27)
1111 chloe:大陸產出12/20，先預抓待PULL IN
1125 chloe: PULL IN 回覆12/21</t>
      </text>
    </comment>
    <comment authorId="0" ref="L556">
      <text>
        <t xml:space="preserve">======
ID#AAABjx7qWD8
    (2025-05-21 11:33:27)
1103 chloe:預計11/10到貨，先HOLD</t>
      </text>
    </comment>
    <comment authorId="0" ref="K123">
      <text>
        <t xml:space="preserve">======
ID#AAABjx7qWD4
    (2025-05-21 11:33:27)
預計3月底</t>
      </text>
    </comment>
    <comment authorId="0" ref="H249">
      <text>
        <t xml:space="preserve">======
ID#AAABjx7qWDU
    (2025-05-21 11:33:27)
0525 Benson: 0519 got T/T copy
0527 Benson: 0526 got payment receipt from bank</t>
      </text>
    </comment>
    <comment authorId="0" ref="H443">
      <text>
        <t xml:space="preserve">======
ID#AAABjx7qWDM
    (2025-05-21 11:33:27)
0822 chloe:收到銀行通知USD488</t>
      </text>
    </comment>
    <comment authorId="0" ref="H125">
      <text>
        <t xml:space="preserve">======
ID#AAABjx7qWDE
    (2025-05-21 11:33:27)
0428 Santiago: 收到銀行通知入帳一半貨款共US$22639
0415 Santiago: 收到銀行通知入帳一半貨款共US$22639</t>
      </text>
    </comment>
    <comment authorId="0" ref="G348">
      <text>
        <t xml:space="preserve">======
ID#AAABjx7qWC4
    (2025-05-21 11:33:27)
w/5%VAT</t>
      </text>
    </comment>
    <comment authorId="0" ref="V189">
      <text>
        <t xml:space="preserve">======
ID#AAABjx7qWCE
    (2025-05-21 11:33:27)
@32.235</t>
      </text>
    </comment>
    <comment authorId="0" ref="H684">
      <text>
        <t xml:space="preserve">======
ID#AAABjx7qWCA
    (2025-05-21 11:33:27)
20170202 chloe:收到銀行通知USD1906</t>
      </text>
    </comment>
    <comment authorId="0" ref="H260">
      <text>
        <t xml:space="preserve">======
ID#AAABjx7qWB8
    (2025-05-21 11:33:27)
2016/6/29 Benson: get payment receipt from bank</t>
      </text>
    </comment>
    <comment authorId="0" ref="L584">
      <text>
        <t xml:space="preserve">======
ID#AAABjx7qWBc
    (2025-05-21 11:33:27)
1025 chloe:下單追交期</t>
      </text>
    </comment>
    <comment authorId="0" ref="K166">
      <text>
        <t xml:space="preserve">======
ID#AAABjx7qWAs
    (2025-05-21 11:33:27)
160407 Karen在4/7反黑</t>
      </text>
    </comment>
    <comment authorId="0" ref="E91">
      <text>
        <t xml:space="preserve">======
ID#AAABjx7qWAY
    (2025-05-21 11:33:27)
160215 Karen: w/o adapter</t>
      </text>
    </comment>
    <comment authorId="0" ref="H128">
      <text>
        <t xml:space="preserve">======
ID#AAABjx7qV_0
    (2025-05-21 11:33:27)
0407 Santiago: 收到銀行通知</t>
      </text>
    </comment>
    <comment authorId="0" ref="D134">
      <text>
        <t xml:space="preserve">======
ID#AAABjx7qV_M
    (2025-05-21 11:33:27)
0311 Santiago: 3/8 客戶寄EMS 直接到MOXA</t>
      </text>
    </comment>
    <comment authorId="0" ref="H288">
      <text>
        <t xml:space="preserve">======
ID#AAABjx7qV_Q
    (2025-05-21 11:33:27)
0627 Santiago: 收到銀行通知</t>
      </text>
    </comment>
    <comment authorId="0" ref="H242">
      <text>
        <t xml:space="preserve">======
ID#AAABjx7qV-o
    (2025-05-21 11:33:27)
2016/6/29 Benson: get payment receipt from bank</t>
      </text>
    </comment>
    <comment authorId="0" ref="G190">
      <text>
        <t xml:space="preserve">======
ID#AAABjx7qV-E
    (2025-05-21 11:33:27)
0417 w/5% VAT</t>
      </text>
    </comment>
    <comment authorId="0" ref="E208">
      <text>
        <t xml:space="preserve">======
ID#AAABjx7qV9g
    (2025-05-21 11:33:27)
EU Band w/ Cn Adapter</t>
      </text>
    </comment>
    <comment authorId="0" ref="H489">
      <text>
        <t xml:space="preserve">======
ID#AAABjx7qV9Y
    (2025-05-21 11:33:27)
0905 chloe:收到銀行通知USD9314</t>
      </text>
    </comment>
    <comment authorId="0" ref="H450">
      <text>
        <t xml:space="preserve">======
ID#AAABjx7qV6U
    (2025-05-21 11:33:27)
0908 chloe:收到台企匯入NT12638</t>
      </text>
    </comment>
    <comment authorId="0" ref="O300">
      <text>
        <t xml:space="preserve">======
ID#AAABjx7qV6A
    (2025-05-21 11:33:27)
160617 扣抵金額(含稅)US$798元,應支付貨款(含稅)為US$15456元</t>
      </text>
    </comment>
    <comment authorId="0" ref="H649">
      <text>
        <t xml:space="preserve">======
ID#AAABjx7qV5s
    (2025-05-21 11:33:27)
1230 chloe:收到銀行通知USD7125</t>
      </text>
    </comment>
    <comment authorId="0" ref="H611">
      <text>
        <t xml:space="preserve">======
ID#AAABjx7qV5U
    (2025-05-21 11:33:27)
1122 chloe:收到銀行通知USD1786</t>
      </text>
    </comment>
    <comment authorId="0" ref="H652">
      <text>
        <t xml:space="preserve">======
ID#AAABjx7qV3Y
    (2025-05-21 11:33:27)
1230 chloe:收到銀行通知USD7125</t>
      </text>
    </comment>
    <comment authorId="0" ref="H13">
      <text>
        <t xml:space="preserve">======
ID#AAABjx7qV2w
    (2025-05-21 11:33:27)
201512230 Santiago: 收到銀行通知</t>
      </text>
    </comment>
    <comment authorId="0" ref="D510">
      <text>
        <t xml:space="preserve">======
ID#AAABjx7qV2o
    (2025-05-21 11:33:27)
1012 chloe: Leon工作日： 10/29-10/30</t>
      </text>
    </comment>
    <comment authorId="0" ref="H99">
      <text>
        <t xml:space="preserve">======
ID#AAABjx7qV2I
    (2025-05-21 11:33:27)
0407 Santiago: 收到銀行通知</t>
      </text>
    </comment>
    <comment authorId="0" ref="H218">
      <text>
        <t xml:space="preserve">======
ID#AAABjx7qV1U
    (2025-05-21 11:33:27)
0630 Santiago: 收到銀行通知</t>
      </text>
    </comment>
    <comment authorId="0" ref="H665">
      <text>
        <t xml:space="preserve">======
ID#AAABjx7qV0s
    (2025-05-21 11:33:27)
1223 chloe:收到銀行通知USD5904</t>
      </text>
    </comment>
    <comment authorId="0" ref="V282">
      <text>
        <t xml:space="preserve">======
ID#AAABjx7qV0c
    (2025-05-21 11:33:27)
此為兩片價格，出貨一片，另一片測試</t>
      </text>
    </comment>
    <comment authorId="0" ref="G330">
      <text>
        <t xml:space="preserve">======
ID#AAABjx7qVzA
    (2025-05-21 11:33:27)
w/5%VAT</t>
      </text>
    </comment>
    <comment authorId="0" ref="U140">
      <text>
        <t xml:space="preserve">======
ID#AAABjx7qVy8
    (2025-05-21 11:33:27)
帳單號碼：TPE864901</t>
      </text>
    </comment>
    <comment authorId="0" ref="H587">
      <text>
        <t xml:space="preserve">======
ID#AAABjx7qVyk
    (2025-05-21 11:33:27)
1207 chloe:收到銀行通知USD2804</t>
      </text>
    </comment>
    <comment authorId="0" ref="H517">
      <text>
        <t xml:space="preserve">======
ID#AAABjx7qVyY
    (2025-05-21 11:33:27)
1121 chloe:收到銀行通知USD24875</t>
      </text>
    </comment>
    <comment authorId="0" ref="I319">
      <text>
        <t xml:space="preserve">======
ID#AAABjx7qVyM
    (2025-05-21 11:33:27)
0830 Chloe:不計算獎金，因業務及採購都不須計算</t>
      </text>
    </comment>
    <comment authorId="0" ref="E393">
      <text>
        <t xml:space="preserve">======
ID#AAABjx7qVxo
    (2025-05-21 11:33:27)
160721 Karen: EU adapter</t>
      </text>
    </comment>
    <comment authorId="0" ref="H112">
      <text>
        <t xml:space="preserve">======
ID#AAABjx7qVxY
    (2025-05-21 11:33:27)
0503 Santiago :收到客戶支票</t>
      </text>
    </comment>
    <comment authorId="0" ref="H201">
      <text>
        <t xml:space="preserve">======
ID#AAABjx7qVwk
    (2025-05-21 11:33:27)
0518 Santiago:收到客戶通知</t>
      </text>
    </comment>
    <comment authorId="0" ref="E172">
      <text>
        <t xml:space="preserve">======
ID#AAABjx7qVvM
    (2025-05-21 11:33:27)
EU Band w/ Cn Adapter</t>
      </text>
    </comment>
    <comment authorId="0" ref="D623">
      <text>
        <t xml:space="preserve">======
ID#AAABjx7qVuI
    (2025-05-21 11:33:27)
測試步驟：
1. Disable Fast Start-up function
2. Remove Power at 2nd stage
3. Check " Boot option priorities" in BIOS
4. Prepare DRAM module 2~3 pcs
5. 加測Memtest86+</t>
      </text>
    </comment>
    <comment authorId="0" ref="H129">
      <text>
        <t xml:space="preserve">======
ID#AAABjx7qVtg
    (2025-05-21 11:33:27)
20160401 Benson: 收到銀行通知</t>
      </text>
    </comment>
    <comment authorId="0" ref="H641">
      <text>
        <t xml:space="preserve">======
ID#AAABjx7qVtk
    (2025-05-21 11:33:27)
20170112 chloe:收到銀行通知USD19203</t>
      </text>
    </comment>
    <comment authorId="0" ref="H615">
      <text>
        <t xml:space="preserve">======
ID#AAABjx7qVs8
    (2025-05-21 11:33:27)
20170112 chloe:收到銀行通知USD19203</t>
      </text>
    </comment>
    <comment authorId="0" ref="H328">
      <text>
        <t xml:space="preserve">======
ID#AAABjx7qVs4
    (2025-05-21 11:33:27)
0818 chloe: 收到銀行通知USD3248</t>
      </text>
    </comment>
    <comment authorId="0" ref="H28">
      <text>
        <t xml:space="preserve">======
ID#AAABjx7qVr4
    (2025-05-21 11:33:27)
0922 chloe:收到銀行通知USD6071</t>
      </text>
    </comment>
    <comment authorId="0" ref="H2">
      <text>
        <t xml:space="preserve">======
ID#AAABjx7qVrs
    (2025-05-21 11:33:27)
2016/3/10 Benson: receive notice from bank</t>
      </text>
    </comment>
    <comment authorId="0" ref="H670">
      <text>
        <t xml:space="preserve">======
ID#AAABjx7qVrg
    (2025-05-21 11:33:27)
1208 chloe:收到銀行通知EUR207.2</t>
      </text>
    </comment>
    <comment authorId="0" ref="H316">
      <text>
        <t xml:space="preserve">======
ID#AAABjx7qVrA
    (2025-05-21 11:33:27)
20160721 Santiago: 收到銀行通知</t>
      </text>
    </comment>
    <comment authorId="0" ref="H467">
      <text>
        <t xml:space="preserve">======
ID#AAABjx7qVqQ
    (2025-05-21 11:33:27)
1103 chloe:收到銀行通知USD4469</t>
      </text>
    </comment>
    <comment authorId="0" ref="H63">
      <text>
        <t xml:space="preserve">======
ID#AAABjx7qVpI
    (2025-05-21 11:33:27)
0403 Santiago : 收到支票</t>
      </text>
    </comment>
    <comment authorId="0" ref="H334">
      <text>
        <t xml:space="preserve">======
ID#AAABjx7qVoc
    (2025-05-21 11:33:27)
0822 chloe:收到銀行通知USD919</t>
      </text>
    </comment>
    <comment authorId="0" ref="H64">
      <text>
        <t xml:space="preserve">======
ID#AAABjx7qVoI
    (2025-05-21 11:33:27)
0403 Santiago : 收到支票</t>
      </text>
    </comment>
    <comment authorId="0" ref="H514">
      <text>
        <t xml:space="preserve">======
ID#AAABjx7qVn0
    (2025-05-21 11:33:27)
1117 chloe:收到銀行通知USD13714</t>
      </text>
    </comment>
    <comment authorId="0" ref="H14">
      <text>
        <t xml:space="preserve">======
ID#AAABjx7qVnU
    (2025-05-21 11:33:27)
2/5 michelle: 玉山通知匯入共USD8383</t>
      </text>
    </comment>
    <comment authorId="0" ref="J9">
      <text>
        <t xml:space="preserve">======
ID#AAABjx7qVnQ
    (2025-05-21 11:33:27)
1. 提單註明為computer parts
2. 出貨前將invoice &amp; packing list 先提供給客戶參考</t>
      </text>
    </comment>
    <comment authorId="0" ref="H559">
      <text>
        <t xml:space="preserve">======
ID#AAABjx7qVm8
    (2025-05-21 11:33:27)
1207 chloe:收到銀行通知USD2804</t>
      </text>
    </comment>
    <comment authorId="0" ref="S268">
      <text>
        <t xml:space="preserve">======
ID#AAABjx7qVmk
    (2025-05-21 11:33:27)
0808 chloe: 業務無給對帳單，故改為9/5付款</t>
      </text>
    </comment>
    <comment authorId="0" ref="H358">
      <text>
        <t xml:space="preserve">======
ID#AAABjx7qVmg
    (2025-05-21 11:33:27)
0905 chloe:收到銀行通知USD9314</t>
      </text>
    </comment>
    <comment authorId="0" ref="H15">
      <text>
        <t xml:space="preserve">======
ID#AAABjx7qVl8
    (2025-05-21 11:33:27)
0301 Santiago 收到銀行通知</t>
      </text>
    </comment>
    <comment authorId="0" ref="H525">
      <text>
        <t xml:space="preserve">======
ID#AAABjx7qVls
    (2025-05-21 11:33:27)
1117 chloe:收到銀行通知USD13714</t>
      </text>
    </comment>
    <comment authorId="0" ref="H348">
      <text>
        <t xml:space="preserve">======
ID#AAABjx7qVlE
    (2025-05-21 11:33:27)
0830 chloe: 8/26收到NT19174</t>
      </text>
    </comment>
    <comment authorId="0" ref="D132">
      <text>
        <t xml:space="preserve">======
ID#AAABjx7qVk4
    (2025-05-21 11:33:27)
0311 Santiago: 3/8 客戶寄EMS 直接到MOXA</t>
      </text>
    </comment>
    <comment authorId="0" ref="H461">
      <text>
        <t xml:space="preserve">======
ID#AAABjx7qVkw
    (2025-05-21 11:33:27)
1103 chloe:收到銀行通知USD4469</t>
      </text>
    </comment>
    <comment authorId="0" ref="L512">
      <text>
        <t xml:space="preserve">======
ID#AAABjx7qVkY
    (2025-05-21 11:33:27)
1011 chloe:維田回覆：主機板ASB-L706D(D525)已經ELO，與產線協調交期中</t>
      </text>
    </comment>
    <comment authorId="0" ref="H575">
      <text>
        <t xml:space="preserve">======
ID#AAABjx7qVjE
    (2025-05-21 11:33:27)
1206 chloe:收到銀行通知USD6761</t>
      </text>
    </comment>
    <comment authorId="0" ref="H26">
      <text>
        <t xml:space="preserve">======
ID#AAABjx7qVjA
    (2025-05-21 11:33:27)
201512230 Santiago: 收到銀行通知</t>
      </text>
    </comment>
    <comment authorId="0" ref="H318">
      <text>
        <t xml:space="preserve">======
ID#AAABjx7qVis
    (2025-05-21 11:33:27)
0801 chloe:收到銀行通知USD3151</t>
      </text>
    </comment>
    <comment authorId="0" ref="H332">
      <text>
        <t xml:space="preserve">======
ID#AAABjx7qVig
    (2025-05-21 11:33:27)
20160711 Santiago : 收到銀行通知</t>
      </text>
    </comment>
    <comment authorId="0" ref="H673">
      <text>
        <t xml:space="preserve">======
ID#AAABjx7qViE
    (2025-05-21 11:33:27)
1208 chloe:收到銀行通知EUR207.2</t>
      </text>
    </comment>
    <comment authorId="0" ref="H476">
      <text>
        <t xml:space="preserve">======
ID#AAABjx7qVhQ
    (2025-05-21 11:33:27)
1117 chloe:收到銀行通知USD13714</t>
      </text>
    </comment>
    <comment authorId="0" ref="E25">
      <text>
        <t xml:space="preserve">======
ID#AAABjx7qVfw
    (2025-05-21 11:33:27)
1/8 michelle: 配件出完2040套</t>
      </text>
    </comment>
    <comment authorId="0" ref="H177">
      <text>
        <t xml:space="preserve">======
ID#AAABjx7qVfE
    (2025-05-21 11:33:27)
0429 Santiago: 收到銀行通知</t>
      </text>
    </comment>
    <comment authorId="0" ref="O593">
      <text>
        <t xml:space="preserve">======
ID#AAABjx7qVek
    (2025-05-21 11:33:27)
161102 158-78, 剩80
161010 修改 225-67, 剩158
160930 225-76, 剩149</t>
      </text>
    </comment>
    <comment authorId="0" ref="H410">
      <text>
        <t xml:space="preserve">======
ID#AAABjx7qVdQ
    (2025-05-21 11:33:27)
0804 chloe:收到銀行通知
USD 2104</t>
      </text>
    </comment>
    <comment authorId="0" ref="D186">
      <text>
        <t xml:space="preserve">======
ID#AAABjx7qVdM
    (2025-05-21 11:33:27)
0810 chloe: Santiago 指示此為樣品試產，不列入獎金計算</t>
      </text>
    </comment>
    <comment authorId="0" ref="H257">
      <text>
        <t xml:space="preserve">======
ID#AAABjx7qVcM
    (2025-05-21 11:33:27)
0818 chloe: 收到銀行通知USD3248</t>
      </text>
    </comment>
    <comment authorId="0" ref="K289">
      <text>
        <t xml:space="preserve">======
ID#AAABjx7qVb8
    (2025-05-21 11:33:27)
FORWORD 7/4才會來收件</t>
      </text>
    </comment>
    <comment authorId="0" ref="E142">
      <text>
        <t xml:space="preserve">======
ID#AAABjx7qVbY
    (2025-05-21 11:33:27)
3/23 Santiago: 客戶取消訂單
3/21 michelle: 正確原廠P/N M393A4K40BB0-CPB</t>
      </text>
    </comment>
    <comment authorId="0" ref="H333">
      <text>
        <t xml:space="preserve">======
ID#AAABjx7qVa8
    (2025-05-21 11:33:27)
0628 Santiago: 銀行通知</t>
      </text>
    </comment>
    <comment authorId="0" ref="S400">
      <text>
        <t xml:space="preserve">======
ID#AAABjx7qVaw
    (2025-05-21 11:33:27)
0808 chloe: 業務無給對帳單，故改為9/5付款</t>
      </text>
    </comment>
    <comment authorId="0" ref="H306">
      <text>
        <t xml:space="preserve">======
ID#AAABjx7qVZY
    (2025-05-21 11:33:27)
0818 chloe:收到銀行通知USD5006</t>
      </text>
    </comment>
    <comment authorId="0" ref="K452">
      <text>
        <t xml:space="preserve">======
ID#AAABjx7qVZQ
    (2025-05-21 11:33:27)
0909 chloe: 已告知FORWORD過來取件</t>
      </text>
    </comment>
    <comment authorId="0" ref="H693">
      <text>
        <t xml:space="preserve">======
ID#AAABjx7qVYM
    (2025-05-21 11:33:27)
20170202 chloe:收到銀行通知USD1906</t>
      </text>
    </comment>
    <comment authorId="0" ref="H446">
      <text>
        <t xml:space="preserve">======
ID#AAABjx7qVX8
    (2025-05-21 11:33:27)
0822 chloe:收到銀行通知USD:7818</t>
      </text>
    </comment>
    <comment authorId="0" ref="F237">
      <text>
        <t xml:space="preserve">======
ID#AAABjx7qVX0
    (2025-05-21 11:33:27)
0620 Santiago: 原本150, 數量臨時減少為70</t>
      </text>
    </comment>
    <comment authorId="0" ref="H493">
      <text>
        <t xml:space="preserve">======
ID#AAABjx7qVXc
    (2025-05-21 11:33:27)
1111 chloe:收到銀行通知USD2399</t>
      </text>
    </comment>
    <comment authorId="0" ref="L627">
      <text>
        <t xml:space="preserve">======
ID#AAABjx7qVXg
    (2025-05-21 11:33:27)
1116 chloe:待回覆交期
1118 chloe:待11/29 PULL IN是否能提前在12/6到貨</t>
      </text>
    </comment>
    <comment authorId="0" ref="K11">
      <text>
        <t xml:space="preserve">======
ID#AAABjx7qVXY
    (2025-05-21 11:33:27)
1/11 michelle: 等客戶付款</t>
      </text>
    </comment>
    <comment authorId="0" ref="H623">
      <text>
        <t xml:space="preserve">======
ID#AAABjx7qVXE
    (2025-05-21 11:33:27)
20170112 chloe:收到銀行通知USD19203</t>
      </text>
    </comment>
    <comment authorId="0" ref="H100">
      <text>
        <t xml:space="preserve">======
ID#AAABjx7qVWw
    (2025-05-21 11:33:27)
0407 Santiago: 收到銀行通知</t>
      </text>
    </comment>
    <comment authorId="0" ref="H181">
      <text>
        <t xml:space="preserve">======
ID#AAABjx7qVWQ
    (2025-05-21 11:33:27)
0818 chloe:收到銀行通知USD3486</t>
      </text>
    </comment>
    <comment authorId="0" ref="P4">
      <text>
        <t xml:space="preserve">======
ID#AAABjx7qVWE
    (2025-05-21 11:33:27)
=USD66.32*31.67</t>
      </text>
    </comment>
    <comment authorId="0" ref="H627">
      <text>
        <t xml:space="preserve">======
ID#AAABjx7qVVw
    (2025-05-21 11:33:27)
20170112 chloe:收到銀行通知USD19203</t>
      </text>
    </comment>
    <comment authorId="0" ref="H156">
      <text>
        <t xml:space="preserve">======
ID#AAABjx7qVVA
    (2025-05-21 11:33:27)
2016/4/13 Benson: get payment notice from bank</t>
      </text>
    </comment>
    <comment authorId="0" ref="H270">
      <text>
        <t xml:space="preserve">======
ID#AAABjx7qVVE
    (2025-05-21 11:33:27)
0705 Santiago : 收到銀行通知</t>
      </text>
    </comment>
    <comment authorId="0" ref="H679">
      <text>
        <t xml:space="preserve">======
ID#AAABjx7qVUk
    (2025-05-21 11:33:27)
0125 chloe:收到NT23904</t>
      </text>
    </comment>
    <comment authorId="0" ref="H312">
      <text>
        <t xml:space="preserve">======
ID#AAABjx7qVT4
    (2025-05-21 11:33:27)
2016/6/30 Benson: got payment receipt from bank</t>
      </text>
    </comment>
    <comment authorId="0" ref="O122">
      <text>
        <t xml:space="preserve">======
ID#AAABjx7qVTI
    (2025-05-21 11:33:27)
151130 扣抵金額(含稅)US$299.25,應支付貨款(含稅)為US$5229元</t>
      </text>
    </comment>
    <comment authorId="0" ref="N548">
      <text>
        <t xml:space="preserve">======
ID#AAABjx7qVSg
    (2025-05-21 11:33:27)
1017 Chloe:BIOS改為一般，故修改訂單</t>
      </text>
    </comment>
    <comment authorId="0" ref="N553">
      <text>
        <t xml:space="preserve">======
ID#AAABjx7qVRk
20161013 Santiago    (2025-05-21 11:33:27)
下單日期要和富加堡錯開一週</t>
      </text>
    </comment>
    <comment authorId="0" ref="X312">
      <text>
        <t xml:space="preserve">======
ID#AAABjx7qVQ8
    (2025-05-21 11:33:27)
0808 chloe: 此份已給會計(我方與供應商INVOICE+通運發票＋客戶水單）</t>
      </text>
    </comment>
    <comment authorId="0" ref="H276">
      <text>
        <t xml:space="preserve">======
ID#AAABjx7qVQk
    (2025-05-21 11:33:27)
2016/7/13 Benson: got payment receipt from bank</t>
      </text>
    </comment>
    <comment authorId="0" ref="V609">
      <text>
        <t xml:space="preserve">======
ID#AAABjx7qVQY
    (2025-05-21 11:33:27)
1213 chloe: 已發信給閎亮請副本
→1214收到副本</t>
      </text>
    </comment>
    <comment authorId="0" ref="L59">
      <text>
        <t xml:space="preserve">======
ID#AAABjx7qVQQ
    (2025-05-21 11:33:27)
11/24 michelle: 1/7 午前自取</t>
      </text>
    </comment>
    <comment authorId="0" ref="L563">
      <text>
        <t xml:space="preserve">======
ID#AAABjx7qVPw
    (2025-05-21 11:33:27)
1019 chloe:下單待追交期</t>
      </text>
    </comment>
    <comment authorId="0" ref="H406">
      <text>
        <t xml:space="preserve">======
ID#AAABjx7qVPg
    (2025-05-21 11:33:27)
0804 chloe:收到銀行通知
USD 2104</t>
      </text>
    </comment>
    <comment authorId="0" ref="L582">
      <text>
        <t xml:space="preserve">======
ID#AAABjx7qVOw
    (2025-05-21 11:33:27)
1026 chloe:下單待回交期
1027 chloe:因更改BIOS故交期會往後延一個星期</t>
      </text>
    </comment>
    <comment authorId="0" ref="H341">
      <text>
        <t xml:space="preserve">======
ID#AAABjx7qVNk
    (2025-05-21 11:33:27)
0926 chloe:已收到銀行通知USD12216，因戎克戶名短少TD，故待客戶修改電文銀行才會發放
0929 chloe:給予客戶當初匯款水單後于與放行</t>
      </text>
    </comment>
    <comment authorId="0" ref="H158">
      <text>
        <t xml:space="preserve">======
ID#AAABjx7qVLo
    (2025-05-21 11:33:27)
2016/4/13 Benson: get payment notice from bank</t>
      </text>
    </comment>
    <comment authorId="0" ref="J164">
      <text>
        <t xml:space="preserve">======
ID#AAABjx7qVLs
    (2025-05-21 11:33:27)
大榮</t>
      </text>
    </comment>
    <comment authorId="0" ref="J157">
      <text>
        <t xml:space="preserve">======
ID#AAABjx7qVKU
    (2025-05-21 11:33:27)
大榮</t>
      </text>
    </comment>
    <comment authorId="0" ref="H638">
      <text>
        <t xml:space="preserve">======
ID#AAABjx7qVKE
    (2025-05-21 11:33:27)
1212 chloe:收到銀行通知USD6330</t>
      </text>
    </comment>
    <comment authorId="0" ref="J161">
      <text>
        <t xml:space="preserve">======
ID#AAABjx7qVJg
    (2025-05-21 11:33:27)
大榮</t>
      </text>
    </comment>
    <comment authorId="0" ref="H437">
      <text>
        <t xml:space="preserve">======
ID#AAABjx7qVJA
    (2025-05-21 11:33:27)
0926 chloe:已收到銀行通知USD12216，因戎克戶名短少TD，故待客戶修改電文銀行才會發放
0929 chloe:給予客戶當初匯款水單後于與放行</t>
      </text>
    </comment>
    <comment authorId="0" ref="H320">
      <text>
        <t xml:space="preserve">======
ID#AAABjx7qVHY
    (2025-05-21 11:33:27)
0926 chloe:已收到銀行通知USD12216，因戎克戶名短少TD，故待客戶修改電文銀行才會發放
0929 chloe:給予客戶當初匯款水單後于與放行</t>
      </text>
    </comment>
    <comment authorId="0" ref="S568">
      <text>
        <t xml:space="preserve">======
ID#AAABjx7qVGU
    (2025-05-21 11:33:27)
1021 chloe:付款後三天出貨</t>
      </text>
    </comment>
    <comment authorId="0" ref="H344">
      <text>
        <t xml:space="preserve">======
ID#AAABjx7qVGY
    (2025-05-21 11:33:27)
2016/7/1 Benson: got T/T copy from customer on 2016/6/30
2016/7/6 Benson: get payment receipt from bank</t>
      </text>
    </comment>
    <comment authorId="0" ref="H140">
      <text>
        <t xml:space="preserve">======
ID#AAABjx7qVF0
    (2025-05-21 11:33:27)
2016/3/18 Benson: getting bank notice for payment: US$ 511</t>
      </text>
    </comment>
    <comment authorId="0" ref="H579">
      <text>
        <t xml:space="preserve">======
ID#AAABjx7qVFk
    (2025-05-21 11:33:27)
1202 chloe:收到銀行通知USD10342</t>
      </text>
    </comment>
    <comment authorId="0" ref="H338">
      <text>
        <t xml:space="preserve">======
ID#AAABjx7qVD4
    (2025-05-21 11:33:27)
0816 chloe : 收到銀行通知 USD113,524</t>
      </text>
    </comment>
    <comment authorId="0" ref="H279">
      <text>
        <t xml:space="preserve">======
ID#AAABjx7qVDw
    (2025-05-21 11:33:27)
0728 Chloe 收到支票30萬
其餘8月底付款351553元
0902 chloe 收到支票525837</t>
      </text>
    </comment>
    <comment authorId="0" ref="H542">
      <text>
        <t xml:space="preserve">======
ID#AAABjx7qVCI
    (2025-05-21 11:33:27)
1205 chloe:收到銀行通知USD991</t>
      </text>
    </comment>
    <comment authorId="0" ref="H526">
      <text>
        <t xml:space="preserve">======
ID#AAABjx7qVB4
    (2025-05-21 11:33:27)
1012 chloe :未稅價
1013 chloe:台企戶頭收到NT6560</t>
      </text>
    </comment>
    <comment authorId="0" ref="H241">
      <text>
        <t xml:space="preserve">======
ID#AAABjx7qVAs
    (2025-05-21 11:33:27)
2016/6/29 Benson: get payment receipt from bank</t>
      </text>
    </comment>
    <comment authorId="0" ref="H52">
      <text>
        <t xml:space="preserve">======
ID#AAABjx7qVAg
    (2025-05-21 11:33:27)
0504 Santiago: 銀行通知匯入US$826</t>
      </text>
    </comment>
    <comment authorId="0" ref="H570">
      <text>
        <t xml:space="preserve">======
ID#AAABjx7qVAI
    (2025-05-21 11:33:27)
1202 chloe:收到銀行通知USD10342</t>
      </text>
    </comment>
    <comment authorId="0" ref="O21">
      <text>
        <t xml:space="preserve">======
ID#AAABjx7qU_k
    (2025-05-21 11:33:27)
151130 扣抵金額(含稅)US$1047.375,應支付貨款(含稅)為US$18301.5元</t>
      </text>
    </comment>
    <comment authorId="0" ref="H233">
      <text>
        <t xml:space="preserve">======
ID#AAABjx7qU-o
    (2025-05-21 11:33:27)
0513 Santiago: 收到銀行匯款</t>
      </text>
    </comment>
    <comment authorId="0" ref="H289">
      <text>
        <t xml:space="preserve">======
ID#AAABjx7qU-g
    (2025-05-21 11:33:27)
0627 Santiago: 收到銀行通知</t>
      </text>
    </comment>
    <comment authorId="0" ref="S319">
      <text>
        <t xml:space="preserve">======
ID#AAABjx7qU-U
    (2025-05-21 11:33:27)
0808 chloe: 業務無給對帳單，故改為9/5付款</t>
      </text>
    </comment>
    <comment authorId="0" ref="AB135">
      <text>
        <t xml:space="preserve">======
ID#AAABjx7qU-I
    (2025-05-21 11:33:27)
0428一半貨款共US$22632.81
0415一半貨款共22632.81</t>
      </text>
    </comment>
    <comment authorId="0" ref="H80">
      <text>
        <t xml:space="preserve">======
ID#AAABjx7qU-A
0322 Santiago    (2025-05-21 11:33:27)
收到銀行匯款US$1481 +
去年Tpole 多匯US$2000</t>
      </text>
    </comment>
    <comment authorId="0" ref="E418">
      <text>
        <t xml:space="preserve">======
ID#AAABjx7qU9s
    (2025-05-21 11:33:27)
160801 Karen: US adapter</t>
      </text>
    </comment>
    <comment authorId="0" ref="N515">
      <text>
        <t xml:space="preserve">======
ID#AAABjx7qU90
    (2025-05-21 11:33:27)
1005 chloe:取消訂單
1013  chloe:重新下單，更名為revised</t>
      </text>
    </comment>
    <comment authorId="0" ref="G402">
      <text>
        <t xml:space="preserve">======
ID#AAABjx7qU9E
0921 Santiago    (2025-05-21 11:33:27)
PI 打錯價格, 單價應為US$18</t>
      </text>
    </comment>
    <comment authorId="0" ref="H217">
      <text>
        <t xml:space="preserve">======
ID#AAABjx7qU9A
    (2025-05-21 11:33:27)
0630 Santiago: 收到銀行通知</t>
      </text>
    </comment>
    <comment authorId="0" ref="E522">
      <text>
        <t xml:space="preserve">======
ID#AAABjx7qU88
    (2025-05-21 11:33:27)
20160929 Santiago: 和之前訂單一樣, w/o cable</t>
      </text>
    </comment>
    <comment authorId="0" ref="H313">
      <text>
        <t xml:space="preserve">======
ID#AAABjx7qU6E
    (2025-05-21 11:33:27)
0728 chloe:收到銀行通知</t>
      </text>
    </comment>
    <comment authorId="0" ref="H232">
      <text>
        <t xml:space="preserve">======
ID#AAABjx7qU4o
    (2025-05-21 11:33:26)
0613 Santiago: 收到銀行通知</t>
      </text>
    </comment>
    <comment authorId="0" ref="H326">
      <text>
        <t xml:space="preserve">======
ID#AAABjx7qU4E
    (2025-05-21 11:33:26)
0818 chloe: 收到銀行通知USD3248</t>
      </text>
    </comment>
    <comment authorId="0" ref="H152">
      <text>
        <t xml:space="preserve">======
ID#AAABjx7qU3w
    (2025-05-21 11:33:26)
0329 Santiago 收到銀行通知</t>
      </text>
    </comment>
    <comment authorId="0" ref="H229">
      <text>
        <t xml:space="preserve">======
ID#AAABjx7qU3s
    (2025-05-21 11:33:26)
0818 chloe:收到銀行通知USD3486</t>
      </text>
    </comment>
    <comment authorId="0" ref="H145">
      <text>
        <t xml:space="preserve">======
ID#AAABjx7qU2M
    (2025-05-21 11:33:26)
0518 Santiago:收到客戶通知</t>
      </text>
    </comment>
    <comment authorId="0" ref="K42">
      <text>
        <t xml:space="preserve">======
ID#AAABjx7qU10
    (2025-05-21 11:33:26)
20160114 iBase 處理中</t>
      </text>
    </comment>
    <comment authorId="0" ref="I401">
      <text>
        <t xml:space="preserve">======
ID#AAABjx7qU1U
    (2025-05-21 11:33:26)
0830 Chloe:不計算獎金，因業務及採購都不須計算</t>
      </text>
    </comment>
    <comment authorId="0" ref="H22">
      <text>
        <t xml:space="preserve">======
ID#AAABjx7qU1E
    (2025-05-21 11:33:26)
20151216 Santiago :收到一半貨款
20160122 michelle: 收到共USD14225</t>
      </text>
    </comment>
    <comment authorId="0" ref="J641">
      <text>
        <t xml:space="preserve">======
ID#AAABjx7qU0U
    (2025-05-21 11:33:26)
1212 chloe:估錯材積，TNT Economy  運費 7925較便宜，故使用TNT</t>
      </text>
    </comment>
    <comment authorId="0" ref="K569">
      <text>
        <t xml:space="preserve">======
ID#AAABjx7qUz8
    (2025-05-21 11:33:26)
0728 chloe:請寄另外地址
T-POLE Srl
Via De Gasperi, 4
27040 PORTALBERA (PV)
Italy</t>
      </text>
    </comment>
    <comment authorId="0" ref="M557">
      <text>
        <t xml:space="preserve">======
ID#AAABjx7qUzQ
    (2025-05-21 11:33:26)
1107進貨要改序號</t>
      </text>
    </comment>
    <comment authorId="0" ref="S269">
      <text>
        <t xml:space="preserve">======
ID#AAABjx7qUyc
    (2025-05-21 11:33:26)
0808 chloe: 業務無給對帳單，故改為9/5付款</t>
      </text>
    </comment>
    <comment authorId="0" ref="E481">
      <text>
        <t xml:space="preserve">======
ID#AAABjx7qUxQ
    (2025-05-21 11:33:26)
11/12 michelle: 58-80024-0000</t>
      </text>
    </comment>
    <comment authorId="0" ref="H590">
      <text>
        <t xml:space="preserve">======
ID#AAABjx7qUxE
    (2025-05-21 11:33:26)
1206 chloe:收到銀行通知USD6761</t>
      </text>
    </comment>
    <comment authorId="0" ref="M381">
      <text>
        <t xml:space="preserve">======
ID#AAABjx7qUw8
    (2025-05-21 11:33:26)
(合併富加堡一起送戎克)</t>
      </text>
    </comment>
    <comment authorId="0" ref="P202">
      <text>
        <t xml:space="preserve">======
ID#AAABjx7qUwM
    (2025-05-21 11:33:26)
與PI-20160319AF 合併</t>
      </text>
    </comment>
    <comment authorId="0" ref="H126">
      <text>
        <t xml:space="preserve">======
ID#AAABjx7qUvw
    (2025-05-21 11:33:26)
0407 Santiago: 收到銀行通知</t>
      </text>
    </comment>
    <comment authorId="0" ref="H202">
      <text>
        <t xml:space="preserve">======
ID#AAABjx7qUvY
    (2025-05-21 11:33:26)
0518 Santiago:收到客戶通知</t>
      </text>
    </comment>
    <comment authorId="0" ref="H531">
      <text>
        <t xml:space="preserve">======
ID#AAABjx7qUu4
    (2025-05-21 11:33:26)
1118 chloe:收到銀行通知USD511</t>
      </text>
    </comment>
    <comment authorId="0" ref="H50">
      <text>
        <t xml:space="preserve">======
ID#AAABjx7qUuE
    (2025-05-21 11:33:26)
0301 Santiago 收到銀行通知</t>
      </text>
    </comment>
    <comment authorId="0" ref="H642">
      <text>
        <t xml:space="preserve">======
ID#AAABjx7qUt8
    (2025-05-21 11:33:26)
1229 chloe:收到銀行通知USD4362</t>
      </text>
    </comment>
    <comment authorId="0" ref="H231">
      <text>
        <t xml:space="preserve">======
ID#AAABjx7qUtY
    (2025-05-21 11:33:26)
0613 Santiago: 收到銀行通知</t>
      </text>
    </comment>
    <comment authorId="0" ref="P203">
      <text>
        <t xml:space="preserve">======
ID#AAABjx7qUtA
    (2025-05-21 11:33:26)
0421 Santiago: 下錯價格. 之前Michelle 用的是US$80, not US$85</t>
      </text>
    </comment>
    <comment authorId="0" ref="L638">
      <text>
        <t xml:space="preserve">======
ID#AAABjx7qUs8
    (2025-05-21 11:33:26)
1122 chloe: 5台現貨，5台12月底
，客戶要一起交貨，故待PULL In
1125 chloe: 另外五台交期詢問中
1208 chloe:已超額待客戶付款</t>
      </text>
    </comment>
    <comment authorId="0" ref="V414">
      <text>
        <t xml:space="preserve">======
ID#AAABjx7qUsY
    (2025-05-21 11:33:26)
發票總金額 291060</t>
      </text>
    </comment>
    <comment authorId="0" ref="H191">
      <text>
        <t xml:space="preserve">======
ID#AAABjx7qUsE
    (2025-05-21 11:33:26)
0421 Santiago: 銀行通知</t>
      </text>
    </comment>
    <comment authorId="0" ref="H60">
      <text>
        <t xml:space="preserve">======
ID#AAABjx7qTs4
    (2025-05-21 11:33:26)
20160607 Santiago: 收到16780
20160121 Santiago :收到一半貨款</t>
      </text>
    </comment>
    <comment authorId="0" ref="P417">
      <text>
        <t xml:space="preserve">======
ID#AAABjx7qTss
    (2025-05-21 11:33:26)
0831 chloe:貨物提早到，龍先生告知貨款仍由10/3往後算30天付款</t>
      </text>
    </comment>
    <comment authorId="0" ref="O447">
      <text>
        <t xml:space="preserve">======
ID#AAABjx7qTsk
    (2025-05-21 11:33:26)
0818chloe:台銀匯率31.41</t>
      </text>
    </comment>
    <comment authorId="0" ref="O643">
      <text>
        <t xml:space="preserve">======
ID#AAABjx7qTsU
    (2025-05-21 11:33:26)
1124 chloe: 敲定匯率31.92</t>
      </text>
    </comment>
    <comment authorId="0" ref="H250">
      <text>
        <t xml:space="preserve">======
ID#AAABjx7qTrs
    (2025-05-21 11:33:26)
0525 Benson: 0519 got T/T copy
0527 Benson: 0526 got payment receipt from bank</t>
      </text>
    </comment>
    <comment authorId="0" ref="H290">
      <text>
        <t xml:space="preserve">======
ID#AAABjx7qTrc
    (2025-05-21 11:33:26)
0627 Santiago: 收到銀行通知</t>
      </text>
    </comment>
    <comment authorId="0" ref="H254">
      <text>
        <t xml:space="preserve">======
ID#AAABjx7qTrE
    (2025-05-21 11:33:26)
20160607 Santiago: 收到16780</t>
      </text>
    </comment>
    <comment authorId="0" ref="H69">
      <text>
        <t xml:space="preserve">======
ID#AAABjx7qTp8
    (2025-05-21 11:33:26)
0301 Santiago 收到銀行通知</t>
      </text>
    </comment>
    <comment authorId="0" ref="H486">
      <text>
        <t xml:space="preserve">======
ID#AAABjx7qTpc
    (2025-05-21 11:33:26)
1013 chloe:已收到銀行通知USD3160，因戶名錯誤故待修改電文後才能發放
1025 chloe: 已收到修改電文，故銀行放行款項</t>
      </text>
    </comment>
    <comment authorId="0" ref="H310">
      <text>
        <t xml:space="preserve">======
ID#AAABjx7qTpU
    (2025-05-21 11:33:26)
2016/6/20 Benson: got T/T copy from customer</t>
      </text>
    </comment>
    <comment authorId="0" ref="J640">
      <text>
        <t xml:space="preserve">======
ID#AAABjx7qToo
    (2025-05-21 11:33:26)
1212 chloe:估錯材積，TNT Economy  運費 7925較便宜，故使用TNT</t>
      </text>
    </comment>
    <comment authorId="0" ref="I402">
      <text>
        <t xml:space="preserve">======
ID#AAABjx7qTnY
    (2025-05-21 11:33:26)
0830 Chloe:不計算獎金，因業務及採購都不須計算</t>
      </text>
    </comment>
    <comment authorId="0" ref="H70">
      <text>
        <t xml:space="preserve">======
ID#AAABjx7qTnA
0322 Santiago    (2025-05-21 11:33:26)
收到銀行匯款US$1481 +
去年Tpole 多匯US$2000</t>
      </text>
    </comment>
    <comment authorId="0" ref="H442">
      <text>
        <t xml:space="preserve">======
ID#AAABjx7qTl0
    (2025-05-21 11:33:26)
0822 chloe:收到銀行通知USD488</t>
      </text>
    </comment>
    <comment authorId="0" ref="K236">
      <text>
        <t xml:space="preserve">======
ID#AAABjx7qTlk
    (2025-05-21 11:33:26)
BCN900382</t>
      </text>
    </comment>
    <comment authorId="0" ref="D265">
      <text>
        <t xml:space="preserve">======
ID#AAABjx7qTlA
    (2025-05-21 11:33:26)
0601 Santiago 要求修改 PI號碼. 全部納入PI-20160118D</t>
      </text>
    </comment>
    <comment authorId="0" ref="L534">
      <text>
        <t xml:space="preserve">======
ID#AAABjx7qTkw
    (2025-05-21 11:33:26)
1013 chloe: 訂單金額下錯，重新下單</t>
      </text>
    </comment>
    <comment authorId="0" ref="H444">
      <text>
        <t xml:space="preserve">======
ID#AAABjx7qTkA
    (2025-05-21 11:33:26)
2016/7/13 Benson: got payment receipt from bank</t>
      </text>
    </comment>
    <comment authorId="0" ref="H692">
      <text>
        <t xml:space="preserve">======
ID#AAABjx7qTjw
    (2025-05-21 11:33:26)
20170202 chloe:收到銀行通知USD1906</t>
      </text>
    </comment>
    <comment authorId="0" ref="H261">
      <text>
        <t xml:space="preserve">======
ID#AAABjx7qTjo
    (2025-05-21 11:33:26)
0630 Santiago: 收到銀行通知</t>
      </text>
    </comment>
    <comment authorId="0" ref="L555">
      <text>
        <t xml:space="preserve">======
ID#AAABjx7qTjc
    (2025-05-21 11:33:26)
1026 chloe: 下單待交期回覆</t>
      </text>
    </comment>
    <comment authorId="0" ref="H412">
      <text>
        <t xml:space="preserve">======
ID#AAABjx7qTjQ
    (2025-05-21 11:33:26)
1103 chloe:收到銀行通知USD4469</t>
      </text>
    </comment>
    <comment authorId="0" ref="H650">
      <text>
        <t xml:space="preserve">======
ID#AAABjx7qTiQ
    (2025-05-21 11:33:26)
1230 chloe:收到銀行通知USD7125</t>
      </text>
    </comment>
    <comment authorId="0" ref="S569">
      <text>
        <t xml:space="preserve">======
ID#AAABjx7qTh8
    (2025-05-21 11:33:26)
1021 chloe:付款後三天出貨</t>
      </text>
    </comment>
    <comment authorId="0" ref="H153">
      <text>
        <t xml:space="preserve">======
ID#AAABjx7qTh4
    (2025-05-21 11:33:26)
0329 Santiago 收到銀行通知</t>
      </text>
    </comment>
    <comment authorId="0" ref="H633">
      <text>
        <t xml:space="preserve">======
ID#AAABjx7qThs
    (2025-05-21 11:33:26)
0119 chloe:收到銀行通知USD2514.6</t>
      </text>
    </comment>
    <comment authorId="0" ref="H560">
      <text>
        <t xml:space="preserve">======
ID#AAABjx7qThU
    (2025-05-21 11:33:26)
1207 chloe:收到銀行通知USD2804</t>
      </text>
    </comment>
    <comment authorId="0" ref="H701">
      <text>
        <t xml:space="preserve">======
ID#AAABjx7qThY
    (2025-05-21 11:33:26)
20170202 chloe:收到銀行通知USD13551</t>
      </text>
    </comment>
    <comment authorId="0" ref="L496">
      <text>
        <t xml:space="preserve">======
ID#AAABjx7qThQ
    (2025-05-21 11:33:26)
0822 chloe:測試中，有可能8/24到貨</t>
      </text>
    </comment>
    <comment authorId="0" ref="H574">
      <text>
        <t xml:space="preserve">======
ID#AAABjx7qTg0
    (2025-05-21 11:33:26)
1026 chloe:已收到銀行通知USD182</t>
      </text>
    </comment>
    <comment authorId="0" ref="J529">
      <text>
        <t xml:space="preserve">======
ID#AAABjx7qTgs
0930 Santiago    (2025-05-21 11:33:26)
1. FOB. 
2. 請Airlife 出口報關時提供COC (產地證明)</t>
      </text>
    </comment>
    <comment authorId="0" ref="H413">
      <text>
        <t xml:space="preserve">======
ID#AAABjx7qTgc
    (2025-05-21 11:33:26)
1103 chloe:收到銀行通知USD4469</t>
      </text>
    </comment>
    <comment authorId="0" ref="L622">
      <text>
        <t xml:space="preserve">======
ID#AAABjx7qTfI
    (2025-05-21 11:33:26)
1116 chloe:出貨前追Serial Number</t>
      </text>
    </comment>
    <comment authorId="0" ref="K568">
      <text>
        <t xml:space="preserve">======
ID#AAABjx7qTfA
    (2025-05-21 11:33:26)
0728 chloe:請寄另外地址
T-POLE Srl
Via De Gasperi, 4
27040 PORTALBERA (PV)
Italy</t>
      </text>
    </comment>
    <comment authorId="0" ref="P595">
      <text>
        <t xml:space="preserve">======
ID#AAABjx7qTe4
    (2025-05-21 11:33:26)
20161102 chloe:sample</t>
      </text>
    </comment>
    <comment authorId="0" ref="H204">
      <text>
        <t xml:space="preserve">======
ID#AAABjx7qTes
    (2025-05-21 11:33:26)
0518 Santiago:收到客戶通知</t>
      </text>
    </comment>
    <comment authorId="0" ref="O510">
      <text>
        <t xml:space="preserve">======
ID#AAABjx7qTds
    (2025-05-21 11:33:26)
160923 扣抵金額(含稅)US$315,應支付貨款(含稅)為US$16485元</t>
      </text>
    </comment>
    <comment authorId="0" ref="H305">
      <text>
        <t xml:space="preserve">======
ID#AAABjx7qTdo
    (2025-05-21 11:33:26)
0818 chloe:收到銀行通知USD5006</t>
      </text>
    </comment>
    <comment authorId="0" ref="G113">
      <text>
        <t xml:space="preserve">======
ID#AAABjx7qTdY
    (2025-05-21 11:33:26)
w/5%VAT</t>
      </text>
    </comment>
    <comment authorId="0" ref="H220">
      <text>
        <t xml:space="preserve">======
ID#AAABjx7qTbo
    (2025-05-21 11:33:26)
0630 Santiago: 收到銀行通知</t>
      </text>
    </comment>
    <comment authorId="0" ref="H662">
      <text>
        <t xml:space="preserve">======
ID#AAABjx7qTbU
    (2025-05-21 11:33:26)
20170107 chloe:合庫收到款項NT1,048,171</t>
      </text>
    </comment>
    <comment authorId="0" ref="O113">
      <text>
        <t xml:space="preserve">======
ID#AAABjx7qTa0
    (2025-05-21 11:33:26)
160225 扣抵金額(含稅)US$110.25元,應支付貨款(含稅)為US$1905.75元</t>
      </text>
    </comment>
    <comment authorId="0" ref="O420">
      <text>
        <t xml:space="preserve">======
ID#AAABjx7qTaM
    (2025-05-21 11:33:26)
160801 扣抵金額(含稅)US$44.1元,應支付貨款(含稅)為US$859.95元
0908 chloe: MOXA帳單14383.95</t>
      </text>
    </comment>
    <comment authorId="0" ref="H248">
      <text>
        <t xml:space="preserve">======
ID#AAABjx7qTaA
    (2025-05-21 11:33:26)
0630 Santiago: 收到銀行通知</t>
      </text>
    </comment>
    <comment authorId="0" ref="AB173">
      <text>
        <t xml:space="preserve">======
ID#AAABjx7qTZk
    (2025-05-21 11:33:26)
0428一半貨款共US$22632.81
0415一半貨款共22632.81</t>
      </text>
    </comment>
    <comment authorId="0" ref="K570">
      <text>
        <t xml:space="preserve">======
ID#AAABjx7qTYg
    (2025-05-21 11:33:26)
0728 chloe:請寄另外地址
T-POLE Srl
Via De Gasperi, 4
27040 PORTALBERA (PV)
Italy</t>
      </text>
    </comment>
    <comment authorId="0" ref="K562">
      <text>
        <t xml:space="preserve">======
ID#AAABjx7qTYI
    (2025-05-21 11:33:26)
0728 chloe:請寄另外地址
T-POLE Srl
Via De Gasperi, 4
27040 PORTALBERA (PV)
Italy</t>
      </text>
    </comment>
    <comment authorId="0" ref="H345">
      <text>
        <t xml:space="preserve">======
ID#AAABjx7qTXI
    (2025-05-21 11:33:26)
2016/7/1 Benson: got T/T copy from customer on 2016/6/30
2016/7/5 Benson: got payment receipt from bank</t>
      </text>
    </comment>
    <comment authorId="0" ref="H485">
      <text>
        <t xml:space="preserve">======
ID#AAABjx7qTW8
    (2025-05-21 11:33:26)
1013 chloe:已收到銀行通知USD3160，因戶名錯誤故待修改電文後才能發放
1025 chloe: 已收到修改電文，故銀行放行款項</t>
      </text>
    </comment>
    <comment authorId="0" ref="H602">
      <text>
        <t xml:space="preserve">======
ID#AAABjx7qTWA
    (2025-05-21 11:33:26)
1115 chloe:收到銀行通知USD1505</t>
      </text>
    </comment>
    <comment authorId="0" ref="H545">
      <text>
        <t xml:space="preserve">======
ID#AAABjx7qTVE
    (2025-05-21 11:33:26)
1205 chloe:收到銀行通知USD991</t>
      </text>
    </comment>
    <comment authorId="0" ref="H418">
      <text>
        <t xml:space="preserve">======
ID#AAABjx7qTUk
    (2025-05-21 11:33:26)
0902 chloe 收到支票525837</t>
      </text>
    </comment>
    <comment authorId="0" ref="H663">
      <text>
        <t xml:space="preserve">======
ID#AAABjx7qTUA
    (2025-05-21 11:33:26)
20170107 chloe:合庫收到款項NT1,048,171</t>
      </text>
    </comment>
    <comment authorId="0" ref="O453">
      <text>
        <t xml:space="preserve">======
ID#AAABjx7qTT4
    (2025-05-21 11:33:26)
160825 扣抵金額(含稅)US$252,應支付貨款(含稅)為US$3223.5元</t>
      </text>
    </comment>
    <comment authorId="0" ref="H550">
      <text>
        <t xml:space="preserve">======
ID#AAABjx7qTS4
    (2025-05-21 11:33:26)
1117 chloe:收到銀行通知USD13714</t>
      </text>
    </comment>
    <comment authorId="0" ref="K199">
      <text>
        <t xml:space="preserve">======
ID#AAABjx7qTSA
    (2025-05-21 11:33:26)
0415 Santiago: 收件地址有變. 
改寄墨爾本辦公室. 同日已發信通知Chloe</t>
      </text>
    </comment>
    <comment authorId="0" ref="H655">
      <text>
        <t xml:space="preserve">======
ID#AAABjx7qTR4
    (2025-05-21 11:33:26)
0119 chloe:收到銀行通知USD2514.6</t>
      </text>
    </comment>
    <comment authorId="0" ref="H362">
      <text>
        <t xml:space="preserve">======
ID#AAABjx7qTRs
    (2025-05-21 11:33:26)
0905 chloe:收到銀行通知USD9314</t>
      </text>
    </comment>
    <comment authorId="0" ref="O522">
      <text>
        <t xml:space="preserve">======
ID#AAABjx7qTQY
    (2025-05-21 11:33:26)
161010 修改</t>
      </text>
    </comment>
    <comment authorId="0" ref="H607">
      <text>
        <t xml:space="preserve">======
ID#AAABjx7qTQA
    (2025-05-21 11:33:26)
20170112 chloe:收到銀行通知USD19203</t>
      </text>
    </comment>
    <comment authorId="0" ref="H314">
      <text>
        <t xml:space="preserve">======
ID#AAABjx7qTPY
    (2025-05-21 11:33:26)
0728 chloe:收到銀行通知</t>
      </text>
    </comment>
    <comment authorId="0" ref="H431">
      <text>
        <t xml:space="preserve">======
ID#AAABjx7qTPM
    (2025-05-21 11:33:26)
1011 chloe: 已收到銀行通知USD13735，因客戶匯款成舊戶名，修改後銀行才會入戶頭
1027 chloe:銀行收到修改電文，故發放此款</t>
      </text>
    </comment>
    <comment authorId="0" ref="H97">
      <text>
        <t xml:space="preserve">======
ID#AAABjx7qTPE
    (2025-05-21 11:33:26)
0413 Santiago 收到銀行通知</t>
      </text>
    </comment>
    <comment authorId="0" ref="H407">
      <text>
        <t xml:space="preserve">======
ID#AAABjx7qTPA
    (2025-05-21 11:33:26)
0804 chloe:收到銀行通知
USD 2104</t>
      </text>
    </comment>
    <comment authorId="0" ref="X111">
      <text>
        <t xml:space="preserve">======
ID#AAABjx7qTOY
    (2025-05-21 11:33:26)
160224 Karen: 會安排２／２５交亞郁，戎克的發票日期請開２／２６，掛３月份的帳。</t>
      </text>
    </comment>
    <comment authorId="0" ref="H243">
      <text>
        <t xml:space="preserve">======
ID#AAABjx7qTNI
    (2025-05-21 11:33:26)
2016/6/29 Benson: get payment receipt from bank</t>
      </text>
    </comment>
    <comment authorId="0" ref="H492">
      <text>
        <t xml:space="preserve">======
ID#AAABjx7qTMA
    (2025-05-21 11:33:26)
1111 chloe:收到銀行通知USD2399</t>
      </text>
    </comment>
    <comment authorId="0" ref="N555">
      <text>
        <t xml:space="preserve">======
ID#AAABjx7qTLA
20161013 Santiago     (2025-05-21 11:33:26)
10/24 再下單</t>
      </text>
    </comment>
    <comment authorId="0" ref="S402">
      <text>
        <t xml:space="preserve">======
ID#AAABjx7qTK0
    (2025-05-21 11:33:26)
0808 chloe: 業務無給對帳單，故改為9/5付款</t>
      </text>
    </comment>
    <comment authorId="0" ref="H691">
      <text>
        <t xml:space="preserve">======
ID#AAABjx7qTK4
    (2025-05-21 11:33:26)
20170202 chloe:收到銀行通知USD1906</t>
      </text>
    </comment>
    <comment authorId="0" ref="K10">
      <text>
        <t xml:space="preserve">======
ID#AAABjx7qTJ8
    (2025-05-21 11:33:26)
1/11 michelle: 等客戶付款</t>
      </text>
    </comment>
    <comment authorId="0" ref="H359">
      <text>
        <t xml:space="preserve">======
ID#AAABjx7qTJ4
    (2025-05-21 11:33:26)
0905 chloe:收到銀行通知USD9314</t>
      </text>
    </comment>
    <comment authorId="0" ref="H355">
      <text>
        <t xml:space="preserve">======
ID#AAABjx7qTJo
    (2025-05-21 11:33:26)
0905 chloe:收到銀行通知USD9314</t>
      </text>
    </comment>
    <comment authorId="0" ref="O125">
      <text>
        <t xml:space="preserve">======
ID#AAABjx7qTII
    (2025-05-21 11:33:26)
160304 扣抵金額(含稅)US$997.5,應支付貨款(含稅)為US$17430元</t>
      </text>
    </comment>
    <comment authorId="0" ref="H482">
      <text>
        <t xml:space="preserve">======
ID#AAABjx7qTHg
    (2025-05-21 11:33:26)
1117 chloe:收到銀行通知USD13714</t>
      </text>
    </comment>
    <comment authorId="0" ref="H582">
      <text>
        <t xml:space="preserve">======
ID#AAABjx7qTGs
    (2025-05-21 11:33:26)
1202 chloe:收到銀行通知USD10342</t>
      </text>
    </comment>
    <comment authorId="0" ref="L424">
      <text>
        <t xml:space="preserve">======
ID#AAABjx7qTG0
    (2025-05-21 11:33:26)
0822 chloe:測試中，有可能8/24到貨</t>
      </text>
    </comment>
    <comment authorId="0" ref="H113">
      <text>
        <t xml:space="preserve">======
ID#AAABjx7qTGk
    (2025-05-21 11:33:26)
0425 Santiago: 匯入US$2217</t>
      </text>
    </comment>
    <comment authorId="0" ref="H296">
      <text>
        <t xml:space="preserve">======
ID#AAABjx7qTGc
    (2025-05-21 11:33:26)
2016/6/20 Benson: got T/T copy from customer</t>
      </text>
    </comment>
    <comment authorId="0" ref="K561">
      <text>
        <t xml:space="preserve">======
ID#AAABjx7qTGA
    (2025-05-21 11:33:26)
1021 chloe:業務指示可以的話11/1 出貨</t>
      </text>
    </comment>
    <comment authorId="0" ref="H315">
      <text>
        <t xml:space="preserve">======
ID#AAABjx7qTFk
    (2025-05-21 11:33:26)
0623 Santiago: 收到銀行通知</t>
      </text>
    </comment>
    <comment authorId="0" ref="X310">
      <text>
        <t xml:space="preserve">======
ID#AAABjx7qTFM
    (2025-05-21 11:33:26)
0808 chloe: 此份已給會計(我方與供應商INVOICE+通運發票＋客戶水單）</t>
      </text>
    </comment>
    <comment authorId="0" ref="H228">
      <text>
        <t xml:space="preserve">======
ID#AAABjx7qTFE
    (2025-05-21 11:33:26)
0531 Benson: 0531 got payment receipt from bank</t>
      </text>
    </comment>
    <comment authorId="0" ref="H596">
      <text>
        <t xml:space="preserve">======
ID#AAABjx7qTEM
    (2025-05-21 11:33:26)
1206 chloe:收到銀行通知USD6761</t>
      </text>
    </comment>
    <comment authorId="0" ref="K571">
      <text>
        <t xml:space="preserve">======
ID#AAABjx7qTD4
    (2025-05-21 11:33:26)
161020 Tammy: 數到貨款後，才能出貨
1027 chloe:尚未收到貨款，故此貨延到10/31</t>
      </text>
    </comment>
    <comment authorId="0" ref="O30">
      <text>
        <t xml:space="preserve">======
ID#AAABjx7qTDc
    (2025-05-21 11:33:26)
151225 扣抵金額(含稅)US$345.45元,應支付貨款(含稅)為US$2668.08元</t>
      </text>
    </comment>
    <comment authorId="0" ref="H79">
      <text>
        <t xml:space="preserve">======
ID#AAABjx7qTCM
    (2025-05-21 11:33:26)
2/22 michelle: TCB銀行通知匯入共USD4779</t>
      </text>
    </comment>
    <comment authorId="0" ref="N613">
      <text>
        <t xml:space="preserve">======
ID#AAABjx7qTB0
    (2025-05-21 11:33:26)
170116 原報單20161100193734有誤，修改</t>
      </text>
    </comment>
    <comment authorId="0" ref="L674">
      <text>
        <t xml:space="preserve">======
ID#AAABjx7qTBE
    (2025-05-21 11:33:26)
1201 chloe:先壓日期12/9
1202 chloe:1203中午前會到</t>
      </text>
    </comment>
    <comment authorId="0" ref="H155">
      <text>
        <t xml:space="preserve">======
ID#AAABjx7qS_s
    (2025-05-21 11:33:26)
0329 Santiago: 收到銀行通知</t>
      </text>
    </comment>
    <comment authorId="0" ref="H689">
      <text>
        <t xml:space="preserve">======
ID#AAABjx7qS-4
    (2025-05-21 11:33:26)
20170202 chloe:收到銀行通知USD1906</t>
      </text>
    </comment>
    <comment authorId="0" ref="H24">
      <text>
        <t xml:space="preserve">======
ID#AAABjx7qS-I
    (2025-05-21 11:33:26)
201512230 Santiago: 收到銀行通知</t>
      </text>
    </comment>
    <comment authorId="0" ref="L580">
      <text>
        <t xml:space="preserve">======
ID#AAABjx7qS-A
    (2025-05-21 11:33:26)
1026 chloe:下單待回交期
1027 chloe:因更改BIOS故交期會往後延一個星期</t>
      </text>
    </comment>
    <comment authorId="0" ref="L375">
      <text>
        <t xml:space="preserve">======
ID#AAABjx7qS8M
    (2025-05-21 11:33:26)
0802 chloe:預計</t>
      </text>
    </comment>
    <comment authorId="0" ref="H399">
      <text>
        <t xml:space="preserve">======
ID#AAABjx7qS74
    (2025-05-21 11:33:26)
0728 chloe:收到銀行通知</t>
      </text>
    </comment>
    <comment authorId="0" ref="H323">
      <text>
        <t xml:space="preserve">======
ID#AAABjx7qS7k
    (2025-05-21 11:33:26)
0818 chloe: 收到銀行通知USD3248</t>
      </text>
    </comment>
    <comment authorId="0" ref="H405">
      <text>
        <t xml:space="preserve">======
ID#AAABjx7qS60
    (2025-05-21 11:33:26)
1004 chloe:收到銀行通知USD3752</t>
      </text>
    </comment>
    <comment authorId="0" ref="K393">
      <text>
        <t xml:space="preserve">======
ID#AAABjx7qS5Y
    (2025-05-21 11:33:26)
0720 Chloe:尚未收到客戶付款待收款後出貨</t>
      </text>
    </comment>
    <comment authorId="0" ref="H77">
      <text>
        <t xml:space="preserve">======
ID#AAABjx7qS5E
    (2025-05-21 11:33:26)
2016/03/08 Benson: receive notice from bank</t>
      </text>
    </comment>
    <comment authorId="0" ref="H30">
      <text>
        <t xml:space="preserve">======
ID#AAABjx7qS4g
    (2025-05-21 11:33:26)
1/21 michelle: TCB通知匯入共USB3184.2</t>
      </text>
    </comment>
    <comment authorId="0" ref="J639">
      <text>
        <t xml:space="preserve">======
ID#AAABjx7qS4E
    (2025-05-21 11:33:26)
1212 chloe:估錯材積，TNT Economy  運費 7925較便宜，故使用TNT</t>
      </text>
    </comment>
    <comment authorId="0" ref="L476">
      <text>
        <t xml:space="preserve">======
ID#AAABjx7qS3U
    (2025-05-21 11:33:26)
0921 chloe:PULL IN 凌華改為10/13(待確認中)</t>
      </text>
    </comment>
    <comment authorId="0" ref="H281">
      <text>
        <t xml:space="preserve">======
ID#AAABjx7qS10
    (2025-05-21 11:33:26)
0701 Santiago: 收到銀行通知</t>
      </text>
    </comment>
    <comment authorId="0" ref="H3">
      <text>
        <t xml:space="preserve">======
ID#AAABjx7qS14
    (2025-05-21 11:33:26)
2016/3/10 Benson: receive notice from bank</t>
      </text>
    </comment>
    <comment authorId="0" ref="N556">
      <text>
        <t xml:space="preserve">======
ID#AAABjx7qS0I
20161013 Santiago    (2025-05-21 11:33:26)
等11/1 再確認是否下單</t>
      </text>
    </comment>
    <comment authorId="0" ref="G558">
      <text>
        <t xml:space="preserve">======
ID#AAABjx7qSzQ
    (2025-05-21 11:33:26)
NT$ 12,255 (未稅價)</t>
      </text>
    </comment>
    <comment authorId="0" ref="D123">
      <text>
        <t xml:space="preserve">======
ID#AAABjx7qSy4
    (2025-05-21 11:33:26)
0302 Santiago: 原本1/26 下單30pcs 以備庫存. 今天收到東托通知要下100pcs, 故PI分成
0126 及 0126-1</t>
      </text>
    </comment>
    <comment authorId="0" ref="H494">
      <text>
        <t xml:space="preserve">======
ID#AAABjx7qSy0
    (2025-05-21 11:33:26)
1111 chloe:收到銀行通知USD2399</t>
      </text>
    </comment>
    <comment authorId="0" ref="AB122">
      <text>
        <t xml:space="preserve">======
ID#AAABjx7qSyo
    (2025-05-21 11:33:26)
0415一半貨款共US$9157.8
 0321一半貨款共US$9157.8</t>
      </text>
    </comment>
    <comment authorId="0" ref="H111">
      <text>
        <t xml:space="preserve">======
ID#AAABjx7qSyQ
    (2025-05-21 11:33:26)
0503 Santiago :收到客戶支票</t>
      </text>
    </comment>
    <comment authorId="0" ref="H292">
      <text>
        <t xml:space="preserve">======
ID#AAABjx7qSxI
    (2025-05-21 11:33:26)
0301 Santiago 收到銀行通知</t>
      </text>
    </comment>
    <comment authorId="0" ref="H516">
      <text>
        <t xml:space="preserve">======
ID#AAABjx7qSxM
    (2025-05-21 11:33:26)
1121 chloe:收到銀行通知USD24875</t>
      </text>
    </comment>
    <comment authorId="0" ref="H54">
      <text>
        <t xml:space="preserve">======
ID#AAABjx7qSwg
    (2025-05-21 11:33:26)
20160607 Santiago: 收到16780
20160121 Santiago :收到一半貨款</t>
      </text>
    </comment>
    <comment authorId="0" ref="H162">
      <text>
        <t xml:space="preserve">======
ID#AAABjx7qSwA
    (2025-05-21 11:33:26)
2016/4/13 Benson: get payment notice from bank</t>
      </text>
    </comment>
    <comment authorId="0" ref="E46">
      <text>
        <t xml:space="preserve">======
ID#AAABjx7qSv8
    (2025-05-21 11:33:26)
1/15 michelle: 研華通知停產改用 96PSA-A90W19OT-1</t>
      </text>
    </comment>
    <comment authorId="0" ref="H115">
      <text>
        <t xml:space="preserve">======
ID#AAABjx7qSvs
    (2025-05-21 11:33:26)
0322 Santiago: 收到銀行通知US$903.5</t>
      </text>
    </comment>
    <comment authorId="0" ref="L428">
      <text>
        <t xml:space="preserve">======
ID#AAABjx7qSuk
    (2025-05-21 11:33:26)
0822 chloe:測試中，有可能8/24到貨</t>
      </text>
    </comment>
    <comment authorId="0" ref="H569">
      <text>
        <t xml:space="preserve">======
ID#AAABjx7qSuM
    (2025-05-21 11:33:26)
1202 chloe:收到銀行通知USD10342</t>
      </text>
    </comment>
    <comment authorId="0" ref="L554">
      <text>
        <t xml:space="preserve">======
ID#AAABjx7qSuA
    (2025-05-21 11:33:26)
1014 chloe:下單待回交期
1018 chloe:再度詢問交期回覆→回覆下週到貨</t>
      </text>
    </comment>
    <comment authorId="0" ref="H9">
      <text>
        <t xml:space="preserve">======
ID#AAABjx7qSto
    (2025-05-21 11:33:26)
20160107 Santiago: 收到銀行通知</t>
      </text>
    </comment>
    <comment authorId="0" ref="H299">
      <text>
        <t xml:space="preserve">======
ID#AAABjx7qStQ
    (2025-05-21 11:33:26)
0728 chloe:收到銀行通知</t>
      </text>
    </comment>
    <comment authorId="0" ref="O209">
      <text>
        <t xml:space="preserve">======
ID#AAABjx7qStM
    (2025-05-21 11:33:26)
160410 扣抵金額(含稅)US$504,應支付貨款(含稅)為US$6447元</t>
      </text>
    </comment>
    <comment authorId="0" ref="U6">
      <text>
        <t xml:space="preserve">======
ID#AAABjx7qStI
    (2025-05-21 11:33:26)
無廠商發票，線上刷卡</t>
      </text>
    </comment>
    <comment authorId="0" ref="D264">
      <text>
        <t xml:space="preserve">======
ID#AAABjx7qSsg
    (2025-05-21 11:33:26)
0601 Santiago 要求修改 PI號碼. 全部納入PI-20160118D</t>
      </text>
    </comment>
    <comment authorId="0" ref="H696">
      <text>
        <t xml:space="preserve">======
ID#AAABjx7qSsI
    (2025-05-21 11:33:26)
20170202 chloe:收到銀行通知USD13551</t>
      </text>
    </comment>
    <comment authorId="0" ref="H234">
      <text>
        <t xml:space="preserve">======
ID#AAABjx7qSr0
    (2025-05-21 11:33:26)
0513 Santiago: 收到銀行匯款</t>
      </text>
    </comment>
    <comment authorId="0" ref="L481">
      <text>
        <t xml:space="preserve">======
ID#AAABjx7qSrU
    (2025-05-21 11:33:26)
0921 chloe:PULL IN 凌華改為10/13(待確認中)</t>
      </text>
    </comment>
    <comment authorId="0" ref="H148">
      <text>
        <t xml:space="preserve">======
ID#AAABjx7qSqg
    (2025-05-21 11:33:26)
0518 Santiago:收到客戶通知</t>
      </text>
    </comment>
    <comment authorId="0" ref="H580">
      <text>
        <t xml:space="preserve">======
ID#AAABjx7qSqQ
    (2025-05-21 11:33:26)
1202 chloe:收到銀行通知USD10342</t>
      </text>
    </comment>
    <comment authorId="0" ref="H230">
      <text>
        <t xml:space="preserve">======
ID#AAABjx7qSqI
    (2025-05-21 11:33:26)
0613 Santiago: 收到銀行通知</t>
      </text>
    </comment>
    <comment authorId="0" ref="H552">
      <text>
        <t xml:space="preserve">======
ID#AAABjx7qSqM
    (2025-05-21 11:33:26)
1116 chloe:收到支票NT166744(11/30才能提領)</t>
      </text>
    </comment>
    <comment authorId="0" ref="H67">
      <text>
        <t xml:space="preserve">======
ID#AAABjx7qSpg
    (2025-05-21 11:33:26)
0301 Santiago 收到銀行通知</t>
      </text>
    </comment>
    <comment authorId="0" ref="H109">
      <text>
        <t xml:space="preserve">======
ID#AAABjx7qSpA
    (2025-05-21 11:33:26)
0429 Santiago: 收到銀行通知</t>
      </text>
    </comment>
    <comment authorId="0" ref="O455">
      <text>
        <t xml:space="preserve">======
ID#AAABjx7qSo0
    (2025-05-21 11:33:26)
160831 扣抵金額(含稅)US$132.3元,應支付貨款(含稅)為US$2579.85元</t>
      </text>
    </comment>
    <comment authorId="0" ref="L376">
      <text>
        <t xml:space="preserve">======
ID#AAABjx7qSns
    (2025-05-21 11:33:26)
0802 chloe:預計</t>
      </text>
    </comment>
    <comment authorId="0" ref="H417">
      <text>
        <t xml:space="preserve">======
ID#AAABjx7qSng
    (2025-05-21 11:33:26)
1101收到銀行通知USD7125，因客戶匯錯戶名，須提供修改電文後才會於與發放。
1107由我方銀行通知修改電文
1109對方銀行發出修改電文</t>
      </text>
    </comment>
    <comment authorId="0" ref="H43">
      <text>
        <t xml:space="preserve">======
ID#AAABjx7qSl4
0322 Santiago    (2025-05-21 11:33:26)
收到銀行匯款US$1481 +
去年Tpole 多匯US$2000</t>
      </text>
    </comment>
    <comment authorId="0" ref="H266">
      <text>
        <t xml:space="preserve">======
ID#AAABjx7qSlo
    (2025-05-21 11:33:26)
20160607 Santiago: 收到16780</t>
      </text>
    </comment>
    <comment authorId="0" ref="H643">
      <text>
        <t xml:space="preserve">======
ID#AAABjx7qSkY
    (2025-05-21 11:33:26)
20170112 chloe:收到銀行通知USD19203</t>
      </text>
    </comment>
    <comment authorId="0" ref="G738">
      <text>
        <t xml:space="preserve">======
ID#AAABjx7qSkU
    (2025-05-21 11:33:26)
151105 Karen: w/o adapter (同前票訂單)</t>
      </text>
    </comment>
    <comment authorId="0" ref="O22">
      <text>
        <t xml:space="preserve">======
ID#AAABjx7qSjw
    (2025-05-21 11:33:26)
151210 扣抵金額(含稅)US$504,應支付貨款(含稅)為US$6804元</t>
      </text>
    </comment>
    <comment authorId="0" ref="H415">
      <text>
        <t xml:space="preserve">======
ID#AAABjx7qSjg
    (2025-05-21 11:33:26)
0921 Chloe:收到銀行通知匯入USD13188</t>
      </text>
    </comment>
    <comment authorId="0" ref="H499">
      <text>
        <t xml:space="preserve">======
ID#AAABjx7qSh4
    (2025-05-21 11:33:26)
1115 chloe:收到銀行通知USD655</t>
      </text>
    </comment>
    <comment authorId="0" ref="G214">
      <text>
        <t xml:space="preserve">======
ID#AAABjx7qShc
0506 Santiago    (2025-05-21 11:33:26)
把175.35 改成 164.85. 因為客戶訂單打錯金額</t>
      </text>
    </comment>
    <comment authorId="0" ref="M696">
      <text>
        <t xml:space="preserve">======
ID#AAABjx7qShQ
    (2025-05-21 11:33:26)
1228 chloe:不組裝直接出貨</t>
      </text>
    </comment>
    <comment authorId="0" ref="H86">
      <text>
        <t xml:space="preserve">======
ID#AAABjx7qSg4
    (2025-05-21 11:33:26)
0323 Santiago: 收到客戶水單</t>
      </text>
    </comment>
    <comment authorId="0" ref="A122">
      <text>
        <t xml:space="preserve">======
ID#AAABjx7qSfw
    (2025-05-21 11:33:26)
0302 Santiago: 原本1/26 下單30pcs 以備庫存. 今天收到東托通知要下100pcs, 故PI分成
0126 及 0126-1</t>
      </text>
    </comment>
    <comment authorId="0" ref="H646">
      <text>
        <t xml:space="preserve">======
ID#AAABjx7qSf4
    (2025-05-21 11:33:26)
20170112 chloe:收到銀行通知USD19203</t>
      </text>
    </comment>
    <comment authorId="0" ref="H252">
      <text>
        <t xml:space="preserve">======
ID#AAABjx7qSfg
    (2025-05-21 11:33:26)
0525 Benson: 0519 got T/T copy
0527 Benson: 0526 got payment receipt from bank</t>
      </text>
    </comment>
    <comment authorId="0" ref="H207">
      <text>
        <t xml:space="preserve">======
ID#AAABjx7qSfc
    (2025-05-21 11:33:26)
0518 Santiago:收到客戶通知</t>
      </text>
    </comment>
    <comment authorId="0" ref="H192">
      <text>
        <t xml:space="preserve">======
ID#AAABjx7qSfM
    (2025-05-21 11:33:26)
0421 Santiago: 銀行通知</t>
      </text>
    </comment>
    <comment authorId="0" ref="D516">
      <text>
        <t xml:space="preserve">======
ID#AAABjx7qSe8
    (2025-05-21 11:33:26)
1012 chloe: Leon工作日： 10/29-10/30</t>
      </text>
    </comment>
    <comment authorId="0" ref="V211">
      <text>
        <t xml:space="preserve">======
ID#AAABjx7qSeY
    (2025-05-21 11:33:26)
@32.32</t>
      </text>
    </comment>
    <comment authorId="0" ref="L429">
      <text>
        <t xml:space="preserve">======
ID#AAABjx7qSb8
    (2025-05-21 11:33:26)
0822 chloe:測試中，有可能8/24到貨</t>
      </text>
    </comment>
    <comment authorId="0" ref="H303">
      <text>
        <t xml:space="preserve">======
ID#AAABjx7qSb4
    (2025-05-21 11:33:26)
0818 chloe:收到銀行通知USD5006</t>
      </text>
    </comment>
    <comment authorId="0" ref="L540">
      <text>
        <t xml:space="preserve">======
ID#AAABjx7qSbQ
    (2025-05-21 11:33:26)
1011 chloe: 無庫存，待研華採購回覆
1014 chloe:回覆交期過長，建議更改96PSA-A120W24T2，待Tammy回覆→1017 回覆OK</t>
      </text>
    </comment>
    <comment authorId="0" ref="H519">
      <text>
        <t xml:space="preserve">======
ID#AAABjx7qSbA
    (2025-05-21 11:33:26)
1117 chloe:收到銀行通知USD13714</t>
      </text>
    </comment>
    <comment authorId="0" ref="H401">
      <text>
        <t xml:space="preserve">======
ID#AAABjx7qSbE
    (2025-05-21 11:33:26)
0822 chloe:收到銀行通知USD919</t>
      </text>
    </comment>
    <comment authorId="0" ref="H562">
      <text>
        <t xml:space="preserve">======
ID#AAABjx7qSaM
    (2025-05-21 11:33:26)
1202 chloe:收到銀行通知USD10342</t>
      </text>
    </comment>
    <comment authorId="0" ref="H330">
      <text>
        <t xml:space="preserve">======
ID#AAABjx7qSZw
    (2025-05-21 11:33:26)
160705 匯入, 有US$35 手續費</t>
      </text>
    </comment>
    <comment authorId="0" ref="K405">
      <text>
        <t xml:space="preserve">======
ID#AAABjx7qSZo
    (2025-05-21 11:33:26)
0728 chloe:請寄另外地址
T-POLE Srl
Via De Gasperi, 4
27040 PORTALBERA (PV)
Italy</t>
      </text>
    </comment>
    <comment authorId="0" ref="K44">
      <text>
        <t xml:space="preserve">======
ID#AAABjx7qSZk
0412 Santiago    (2025-05-21 11:33:26)
原本預計4/29 出貨</t>
      </text>
    </comment>
    <comment authorId="0" ref="H473">
      <text>
        <t xml:space="preserve">======
ID#AAABjx7qSZc
    (2025-05-21 11:33:26)
1117 chloe:收到銀行通知USD13714</t>
      </text>
    </comment>
    <comment authorId="0" ref="K624">
      <text>
        <t xml:space="preserve">======
ID#AAABjx7qSZQ
    (2025-05-21 11:33:26)
1116 chloe:已告知出貨日可提前11/28出貨</t>
      </text>
    </comment>
    <comment authorId="0" ref="L503">
      <text>
        <t xml:space="preserve">======
ID#AAABjx7qSY8
    (2025-05-21 11:33:26)
1013 chloe: 有機會11/15
1111chloe:PULL IN 11/15中</t>
      </text>
    </comment>
    <comment authorId="0" ref="H398">
      <text>
        <t xml:space="preserve">======
ID#AAABjx7qSY4
    (2025-05-21 11:33:26)
0923 chloe: 收到銀行通知USD1160</t>
      </text>
    </comment>
    <comment authorId="0" ref="E544">
      <text>
        <t xml:space="preserve">======
ID#AAABjx7qSX8
    (2025-05-21 11:33:26)
1008 chloe:已EOL，庫存賣完即斷貨</t>
      </text>
    </comment>
    <comment authorId="0" ref="J213">
      <text>
        <t xml:space="preserve">======
ID#AAABjx7qSXQ
    (2025-05-21 11:33:26)
提單編號：8434966083</t>
      </text>
    </comment>
    <comment authorId="0" ref="H223">
      <text>
        <t xml:space="preserve">======
ID#AAABjx7qSWY
    (2025-05-21 11:33:26)
0504 Santiago: 銀行通知匯入US$826</t>
      </text>
    </comment>
    <comment authorId="0" ref="L257">
      <text>
        <t xml:space="preserve">======
ID#AAABjx7qSV4
    (2025-05-21 11:33:26)
0626 chloe 加工中</t>
      </text>
    </comment>
    <comment authorId="0" ref="H584">
      <text>
        <t xml:space="preserve">======
ID#AAABjx7qSVk
    (2025-05-21 11:33:26)
1206 chloe:收到銀行通知USD6761</t>
      </text>
    </comment>
    <comment authorId="0" ref="H96">
      <text>
        <t xml:space="preserve">======
ID#AAABjx7qSVQ
    (2025-05-21 11:33:26)
0413 Santiago 收到銀行通知</t>
      </text>
    </comment>
    <comment authorId="0" ref="L477">
      <text>
        <t xml:space="preserve">======
ID#AAABjx7qSVA
    (2025-05-21 11:33:26)
0921 chloe:PULL IN 凌華改為10/13(待確認中)</t>
      </text>
    </comment>
    <comment authorId="0" ref="H621">
      <text>
        <t xml:space="preserve">======
ID#AAABjx7qSUo
    (2025-05-21 11:33:26)
1118 chloe:已收到銀行通知USD6115</t>
      </text>
    </comment>
    <comment authorId="0" ref="H593">
      <text>
        <t xml:space="preserve">======
ID#AAABjx7qST0
    (2025-05-21 11:33:26)
20161207 chloe: 合庫收到款項NT1057383</t>
      </text>
    </comment>
    <comment authorId="0" ref="H31">
      <text>
        <t xml:space="preserve">======
ID#AAABjx7qSTs
    (2025-05-21 11:33:26)
20160607 Santiago: 收到16780
20160121 Santiago :收到一半貨款</t>
      </text>
    </comment>
    <comment authorId="0" ref="H373">
      <text>
        <t xml:space="preserve">======
ID#AAABjx7qSTg
    (2025-05-21 11:33:26)
0720 chloe: 收到銀行通知</t>
      </text>
    </comment>
    <comment authorId="0" ref="H510">
      <text>
        <t xml:space="preserve">======
ID#AAABjx7qSTY
    (2025-05-21 11:33:26)
1121 chloe:收到銀行通知USD24875</t>
      </text>
    </comment>
    <comment authorId="0" ref="S267">
      <text>
        <t xml:space="preserve">======
ID#AAABjx7qSS4
    (2025-05-21 11:33:26)
0808 chloe: 業務無給對帳單，故改為9/5付款</t>
      </text>
    </comment>
    <comment authorId="0" ref="K377">
      <text>
        <t xml:space="preserve">======
ID#AAABjx7qSSo
    (2025-05-21 11:33:26)
0728 chloe:請寄另外地址
T-POLE Srl
Via De Gasperi, 4
27040 PORTALBERA (PV)
Italy</t>
      </text>
    </comment>
    <comment authorId="0" ref="L363">
      <text>
        <t xml:space="preserve">======
ID#AAABjx7qSSY
    (2025-05-21 11:33:26)
0726 chloe 因需燒機，故改成7/28出貨，7/29早上10點到貨</t>
      </text>
    </comment>
    <comment authorId="0" ref="H683">
      <text>
        <t xml:space="preserve">======
ID#AAABjx7qSRw
    (2025-05-21 11:33:26)
20170105 chloe:收到銀行通知USD225</t>
      </text>
    </comment>
    <comment authorId="0" ref="H661">
      <text>
        <t xml:space="preserve">======
ID#AAABjx7qSRg
    (2025-05-21 11:33:26)
0119 chloe:收到銀行通知USD2514.6</t>
      </text>
    </comment>
    <comment authorId="0" ref="H474">
      <text>
        <t xml:space="preserve">======
ID#AAABjx7qSQs
    (2025-05-21 11:33:26)
1117 chloe:收到銀行通知USD13714</t>
      </text>
    </comment>
    <comment authorId="0" ref="S373">
      <text>
        <t xml:space="preserve">======
ID#AAABjx7qSQQ
    (2025-05-21 11:33:26)
0906 chloe:已提供對帳單</t>
      </text>
    </comment>
    <comment authorId="0" ref="H160">
      <text>
        <t xml:space="preserve">======
ID#AAABjx7qSQE
    (2025-05-21 11:33:26)
0427 Santiago: 已收到客戶匯款</t>
      </text>
    </comment>
    <comment authorId="0" ref="K559">
      <text>
        <t xml:space="preserve">======
ID#AAABjx7qSPw
    (2025-05-21 11:33:26)
1021 chloe:業務指示可以的話11/1 出貨</t>
      </text>
    </comment>
    <comment authorId="0" ref="K453">
      <text>
        <t xml:space="preserve">======
ID#AAABjx7qSPY
    (2025-05-21 11:33:26)
0909 chloe: 已告知FORWORD過來取件</t>
      </text>
    </comment>
    <comment authorId="0" ref="H533">
      <text>
        <t xml:space="preserve">======
ID#AAABjx7qSOM
    (2025-05-21 11:33:26)
1118 chloe:收到銀行通知USD511</t>
      </text>
    </comment>
    <comment authorId="0" ref="H433">
      <text>
        <t xml:space="preserve">======
ID#AAABjx7qSM0
    (2025-05-21 11:33:26)
1011 chloe: 已收到銀行通知USD13735，因客戶匯款成舊戶名，修改後銀行才會入戶頭
1027 chloe:銀行收到修改電文，故發放此款</t>
      </text>
    </comment>
    <comment authorId="0" ref="H690">
      <text>
        <t xml:space="preserve">======
ID#AAABjx7qSMs
    (2025-05-21 11:33:26)
20170202 chloe:收到銀行通知USD1906</t>
      </text>
    </comment>
    <comment authorId="0" ref="H193">
      <text>
        <t xml:space="preserve">======
ID#AAABjx7qSMY
    (2025-05-21 11:33:26)
0421 Santiago: 銀行通知</t>
      </text>
    </comment>
    <comment authorId="0" ref="H150">
      <text>
        <t xml:space="preserve">======
ID#AAABjx7qSMA
    (2025-05-21 11:33:26)
0518 Santiago:收到客戶通知</t>
      </text>
    </comment>
    <comment authorId="0" ref="H548">
      <text>
        <t xml:space="preserve">======
ID#AAABjx7qSLc
    (2025-05-21 11:33:26)
1202 chloe:收到銀行通知USD10342</t>
      </text>
    </comment>
    <comment authorId="0" ref="H56">
      <text>
        <t xml:space="preserve">======
ID#AAABjx7qSKs
    (2025-05-21 11:33:26)
20160607 Santiago: 收到16780
20160121 Santiago :收到一半貨款</t>
      </text>
    </comment>
    <comment authorId="0" ref="H428">
      <text>
        <t xml:space="preserve">======
ID#AAABjx7qSKY
    (2025-05-21 11:33:26)
1011 chloe: 已收到銀行通知USD13735，因客戶匯款成舊戶名
，修改後銀行才會入戶頭
1027 chloe:銀行收到修改電文，故發放此款</t>
      </text>
    </comment>
    <comment authorId="0" ref="H404">
      <text>
        <t xml:space="preserve">======
ID#AAABjx7qSJ0
    (2025-05-21 11:33:26)
1004 chloe:收到銀行通知USD3752</t>
      </text>
    </comment>
    <comment authorId="0" ref="H95">
      <text>
        <t xml:space="preserve">======
ID#AAABjx7qSJM
    (2025-05-21 11:33:26)
0413 Santiago 收到銀行通知</t>
      </text>
    </comment>
    <comment authorId="0" ref="K499">
      <text>
        <t xml:space="preserve">======
ID#AAABjx7qSIc
    (2025-05-21 11:33:26)
0728 chloe:請寄另外地址
T-POLE Srl
Via De Gasperi, 4
27040 PORTALBERA (PV)
Italy</t>
      </text>
    </comment>
    <comment authorId="0" ref="H471">
      <text>
        <t xml:space="preserve">======
ID#AAABjx7qSHk
    (2025-05-21 11:33:26)
1117 chloe:收到銀行通知USD13714</t>
      </text>
    </comment>
    <comment authorId="0" ref="H238">
      <text>
        <t xml:space="preserve">======
ID#AAABjx7qSGw
    (2025-05-21 11:33:26)
0706 Chloe : 收到客戶支票</t>
      </text>
    </comment>
    <comment authorId="0" ref="D172">
      <text>
        <t xml:space="preserve">======
ID#AAABjx7qSGE
    (2025-05-21 11:33:26)
0401 Santiago: 東托追加</t>
      </text>
    </comment>
    <comment authorId="0" ref="L620">
      <text>
        <t xml:space="preserve">======
ID#AAABjx7qSF8
    (2025-05-21 11:33:26)
1116 chloe: 已協調供應商分批出貨，但交期仍要看工廠
1117 chloe:待PULL IN中
1124 chloe:缺料，預計12/20，待PULL IN
1202 chloe:料件到貨，工廠交期仍抓12/20，待PULL IN</t>
      </text>
    </comment>
    <comment authorId="0" ref="H245">
      <text>
        <t xml:space="preserve">======
ID#AAABjx7qSE8
    (2025-05-21 11:33:26)
2016/6/29 Benson: get payment receipt from bank</t>
      </text>
    </comment>
    <comment authorId="0" ref="H618">
      <text>
        <t xml:space="preserve">======
ID#AAABjx7qSEU
    (2025-05-21 11:33:26)
1118 chloe:已收到銀行通知USD6115</t>
      </text>
    </comment>
    <comment authorId="0" ref="H102">
      <text>
        <t xml:space="preserve">======
ID#AAABjx7qSDs
    (2025-05-21 11:33:25)
0311 Santiago 收到客戶水單US$1359</t>
      </text>
    </comment>
    <comment authorId="0" ref="H122">
      <text>
        <t xml:space="preserve">======
ID#AAABjx7qSDc
    (2025-05-21 11:33:25)
0321 Santiago: 收到US$9190 頭款
0415 Santiago: 收到US$9190 尾款</t>
      </text>
    </comment>
    <comment authorId="0" ref="H198">
      <text>
        <t xml:space="preserve">======
ID#AAABjx7qSCw
    (2025-05-21 11:33:25)
20160604 Santiago : received bank note</t>
      </text>
    </comment>
    <comment authorId="0" ref="H236">
      <text>
        <t xml:space="preserve">======
ID#AAABjx7qSCg
    (2025-05-21 11:33:25)
0815 chloe:收到銀行通知3699</t>
      </text>
    </comment>
    <comment authorId="0" ref="U5">
      <text>
        <t xml:space="preserve">======
ID#AAABjx7qSBk
    (2025-05-21 11:33:25)
無廠商發票，線上刷卡</t>
      </text>
    </comment>
    <comment authorId="0" ref="H595">
      <text>
        <t xml:space="preserve">======
ID#AAABjx7qSAg
    (2025-05-21 11:33:25)
161102 免費給Anita</t>
      </text>
    </comment>
    <comment authorId="0" ref="H563">
      <text>
        <t xml:space="preserve">======
ID#AAABjx7qSAc
    (2025-05-21 11:33:25)
1027 收到銀行NT7288</t>
      </text>
    </comment>
    <comment authorId="0" ref="H578">
      <text>
        <t xml:space="preserve">======
ID#AAABjx7qR-A
    (2025-05-21 11:33:25)
1202 chloe:收到銀行通知USD10342</t>
      </text>
    </comment>
    <comment authorId="0" ref="I396">
      <text>
        <t xml:space="preserve">======
ID#AAABjx7qR9c
    (2025-05-21 11:33:25)
0830 Chloe:不計算獎金，因業務及採購都不須計算</t>
      </text>
    </comment>
    <comment authorId="0" ref="L411">
      <text>
        <t xml:space="preserve">======
ID#AAABjx7qR9M
    (2025-05-21 11:33:25)
0728 Chloe 追臨時額度進度，才能知道何時出貨
0801 Chloe 用借貨流程0802出貨</t>
      </text>
    </comment>
    <comment authorId="0" ref="H37">
      <text>
        <t xml:space="preserve">======
ID#AAABjx7qR8w
    (2025-05-21 11:33:25)
1/27 michelle: 玉山通知匯入共USD2635</t>
      </text>
    </comment>
    <comment authorId="0" ref="H120">
      <text>
        <t xml:space="preserve">======
ID#AAABjx7qR80
    (2025-05-21 11:33:25)
0520 Santiago: 收到銀行通知</t>
      </text>
    </comment>
    <comment authorId="0" ref="H435">
      <text>
        <t xml:space="preserve">======
ID#AAABjx7qR8E
    (2025-05-21 11:33:25)
0926 chloe:已收到銀行通知USD12216，因戎克戶名短少TD，故待客戶修改電文銀行才會發放
0929 chloe:給予客戶當初匯款水單後于與放行</t>
      </text>
    </comment>
    <comment authorId="0" ref="H647">
      <text>
        <t xml:space="preserve">======
ID#AAABjx7qR78
    (2025-05-21 11:33:25)
1230 chloe:收到銀行通知USD7125</t>
      </text>
    </comment>
    <comment authorId="0" ref="H369">
      <text>
        <t xml:space="preserve">======
ID#AAABjx7qR7U
    (2025-05-21 11:33:25)
0822 chloe:收到銀行通知USD706</t>
      </text>
    </comment>
    <comment authorId="0" ref="V185">
      <text>
        <t xml:space="preserve">======
ID#AAABjx7qR6s
    (2025-05-21 11:33:25)
請會計報研發費用發票</t>
      </text>
    </comment>
    <comment authorId="0" ref="Y1">
      <text>
        <t xml:space="preserve">======
ID#AAABjx7qR5k
    (2025-05-21 11:33:25)
此欄位針對某些特定客戶. 要求使用出貨前一天的匯率. 才開發票的客戶. 例如 Z 和 Pharms</t>
      </text>
    </comment>
    <comment authorId="0" ref="H286">
      <text>
        <t xml:space="preserve">======
ID#AAABjx7qR5I
    (2025-05-21 11:33:25)
0701 Santiago: 收到銀行通知</t>
      </text>
    </comment>
    <comment authorId="0" ref="H522">
      <text>
        <t xml:space="preserve">======
ID#AAABjx7qR40
    (2025-05-21 11:33:25)
20161019 chloe: 合庫收到款項NT934291</t>
      </text>
    </comment>
    <comment authorId="0" ref="H490">
      <text>
        <t xml:space="preserve">======
ID#AAABjx7qR4g
    (2025-05-21 11:33:25)
1111 chloe:收到銀行通知USD2399</t>
      </text>
    </comment>
    <comment authorId="0" ref="H572">
      <text>
        <t xml:space="preserve">======
ID#AAABjx7qR3U
    (2025-05-21 11:33:25)
1026 chloe:已收到銀行通知USD182</t>
      </text>
    </comment>
    <comment authorId="0" ref="N610">
      <text>
        <t xml:space="preserve">======
ID#AAABjx7qR2I
    (2025-05-21 11:33:25)
170116 原報單20161100193734有誤，修改</t>
      </text>
    </comment>
    <comment authorId="0" ref="H387">
      <text>
        <t xml:space="preserve">======
ID#AAABjx7qR1k
    (2025-05-21 11:33:25)
0905 chloe:收到銀行通知USD9314</t>
      </text>
    </comment>
    <comment authorId="0" ref="H311">
      <text>
        <t xml:space="preserve">======
ID#AAABjx7qR04
    (2025-05-21 11:33:25)
2016/6/30 Benson: got payment receipt from bank</t>
      </text>
    </comment>
    <comment authorId="0" ref="H598">
      <text>
        <t xml:space="preserve">======
ID#AAABjx7qR0M
    (2025-05-21 11:33:25)
20170105 chloe: 收到銀行通知USD2683.5</t>
      </text>
    </comment>
    <comment authorId="0" ref="H237">
      <text>
        <t xml:space="preserve">======
ID#AAABjx7qR0E
    (2025-05-21 11:33:25)
0815 chloe:收到銀行通知3699</t>
      </text>
    </comment>
    <comment authorId="0" ref="G672">
      <text>
        <t xml:space="preserve">======
ID#AAABjx7qRzc
    (2025-05-21 11:33:25)
25美元 = 23.4歐元</t>
      </text>
    </comment>
    <comment authorId="0" ref="H554">
      <text>
        <t xml:space="preserve">======
ID#AAABjx7qRy0
    (2025-05-21 11:33:25)
1116 chloe:收到支票NT166744(11/30才能提領)</t>
      </text>
    </comment>
    <comment authorId="0" ref="H108">
      <text>
        <t xml:space="preserve">======
ID#AAABjx7qRyw
    (2025-05-21 11:33:25)
0407 Santiago: 收到銀行通知</t>
      </text>
    </comment>
    <comment authorId="0" ref="E148">
      <text>
        <t xml:space="preserve">======
ID#AAABjx7qRyk
    (2025-05-21 11:33:25)
11/12 michelle: 58-80024-0000</t>
      </text>
    </comment>
    <comment authorId="0" ref="H677">
      <text>
        <t xml:space="preserve">======
ID#AAABjx7qRyM
    (2025-05-21 11:33:25)
0119 chloe:收到銀行通知USD2514.6</t>
      </text>
    </comment>
    <comment authorId="0" ref="H592">
      <text>
        <t xml:space="preserve">======
ID#AAABjx7qRx8
    (2025-05-21 11:33:25)
1202 chloe:收到銀行通知USD10342</t>
      </text>
    </comment>
    <comment authorId="0" ref="H532">
      <text>
        <t xml:space="preserve">======
ID#AAABjx7qRxg
    (2025-05-21 11:33:25)
1118 chloe:收到銀行通知USD511</t>
      </text>
    </comment>
    <comment authorId="0" ref="L507">
      <text>
        <t xml:space="preserve">======
ID#AAABjx7qRxc
    (2025-05-21 11:33:25)
0926 chloe:提早9/26到貨</t>
      </text>
    </comment>
    <comment authorId="0" ref="K403">
      <text>
        <t xml:space="preserve">======
ID#AAABjx7qRwo
    (2025-05-21 11:33:25)
0728 chloe:請寄另外地址
T-POLE Srl
Via De Gasperi, 4
27040 PORTALBERA (PV)
Italy</t>
      </text>
    </comment>
    <comment authorId="0" ref="H702">
      <text>
        <t xml:space="preserve">======
ID#AAABjx7qRvs
    (2025-05-21 11:33:25)
20170202 chloe:收到銀行通知USD13551</t>
      </text>
    </comment>
    <comment authorId="0" ref="H199">
      <text>
        <t xml:space="preserve">======
ID#AAABjx7qRvg
    (2025-05-21 11:33:25)
20160604 Santiago : received bank note</t>
      </text>
    </comment>
    <comment authorId="0" ref="H203">
      <text>
        <t xml:space="preserve">======
ID#AAABjx7qRvQ
    (2025-05-21 11:33:25)
0518 Santiago:收到客戶通知</t>
      </text>
    </comment>
    <comment authorId="0" ref="H372">
      <text>
        <t xml:space="preserve">======
ID#AAABjx7qRvA
    (2025-05-21 11:33:25)
0720 chloe: 收到銀行通知</t>
      </text>
    </comment>
    <comment authorId="0" ref="E420">
      <text>
        <t xml:space="preserve">======
ID#AAABjx7qRuI
    (2025-05-21 11:33:25)
160802 Karen: 和之前訂單一樣, w/o cable</t>
      </text>
    </comment>
    <comment authorId="0" ref="E490">
      <text>
        <t xml:space="preserve">======
ID#AAABjx7qRtg
    (2025-05-21 11:33:25)
160920 由AE改為BE</t>
      </text>
    </comment>
    <comment authorId="0" ref="H271">
      <text>
        <t xml:space="preserve">======
ID#AAABjx7qRso
    (2025-05-21 11:33:25)
0801 chloe:收到銀行通知USD3151</t>
      </text>
    </comment>
    <comment authorId="0" ref="K638">
      <text>
        <t xml:space="preserve">======
ID#AAABjx7qRrk
    (2025-05-21 11:33:25)
1125 chloe:若能在12/12 中午前到貨則12/12出貨。
1208 chloe:已超額待客戶付款</t>
      </text>
    </comment>
    <comment authorId="0" ref="O135">
      <text>
        <t xml:space="preserve">======
ID#AAABjx7qRrY
    (2025-05-21 11:33:25)
160316 扣抵金額(含稅)US$252,應支付貨款(含稅)為US$3223.5元</t>
      </text>
    </comment>
    <comment authorId="0" ref="H244">
      <text>
        <t xml:space="preserve">======
ID#AAABjx7qRrI
    (2025-05-21 11:33:25)
2016/6/29 Benson: get payment receipt from bank</t>
      </text>
    </comment>
    <comment authorId="0" ref="S412">
      <text>
        <t xml:space="preserve">======
ID#AAABjx7qRrA
    (2025-05-21 11:33:25)
0906 chloe:已提供對帳單</t>
      </text>
    </comment>
    <comment authorId="0" ref="H255">
      <text>
        <t xml:space="preserve">======
ID#AAABjx7qRqo
    (2025-05-21 11:33:25)
0801 chloe:收到銀行通知USD3151</t>
      </text>
    </comment>
    <comment authorId="0" ref="K18">
      <text>
        <t xml:space="preserve">======
ID#AAABjx7qRqk
    (2025-05-21 11:33:25)
0830 chloe:已與FORWORD聯絡，待對方通知確切來收件時間</t>
      </text>
    </comment>
    <comment authorId="0" ref="G215">
      <text>
        <t xml:space="preserve">======
ID#AAABjx7qRqc
    (2025-05-21 11:33:25)
0425 w/5% vat</t>
      </text>
    </comment>
    <comment authorId="0" ref="H354">
      <text>
        <t xml:space="preserve">======
ID#AAABjx7qRqY
    (2025-05-21 11:33:25)
0905 chloe:收到銀行通知USD9314</t>
      </text>
    </comment>
    <comment authorId="0" ref="H106">
      <text>
        <t xml:space="preserve">======
ID#AAABjx7qRqU
    (2025-05-21 11:33:25)
0407 Santiago: 收到銀行通知</t>
      </text>
    </comment>
    <comment authorId="0" ref="H307">
      <text>
        <t xml:space="preserve">======
ID#AAABjx7qRp0
    (2025-05-21 11:33:25)
0818 chloe:收到銀行通知USD5006</t>
      </text>
    </comment>
    <comment authorId="0" ref="M556">
      <text>
        <t xml:space="preserve">======
ID#AAABjx7qRp4
    (2025-05-21 11:33:25)
1107進貨要改序號</t>
      </text>
    </comment>
    <comment authorId="0" ref="O62">
      <text>
        <t xml:space="preserve">======
ID#AAABjx7qRpg
    (2025-05-21 11:33:25)
160121 扣抵金額(含稅)US$199.5元,應支付貨款(含稅)為US$3864元</t>
      </text>
    </comment>
    <comment authorId="0" ref="H671">
      <text>
        <t xml:space="preserve">======
ID#AAABjx7qRpY
    (2025-05-21 11:33:25)
1208 chloe:收到銀行通知EUR207.2</t>
      </text>
    </comment>
    <comment authorId="0" ref="H285">
      <text>
        <t xml:space="preserve">======
ID#AAABjx7qRpU
    (2025-05-21 11:33:25)
0701 Santiago: 收到銀行通知</t>
      </text>
    </comment>
    <comment authorId="0" ref="H164">
      <text>
        <t xml:space="preserve">======
ID#AAABjx7qRoY
    (2025-05-21 11:33:25)
2016/4/13 Benson: get payment notice from bank</t>
      </text>
    </comment>
    <comment authorId="0" ref="D254">
      <text>
        <t xml:space="preserve">======
ID#AAABjx7qRoU
    (2025-05-21 11:33:25)
0601 Santiago 要求修改 PI號碼. 全部納入PI-20160118D</t>
      </text>
    </comment>
    <comment authorId="0" ref="H687">
      <text>
        <t xml:space="preserve">======
ID#AAABjx7qRnw
    (2025-05-21 11:33:25)
1216 chloe:收到銀行通知USD2130</t>
      </text>
    </comment>
    <comment authorId="0" ref="H186">
      <text>
        <t xml:space="preserve">======
ID#AAABjx7qRns
    (2025-05-21 11:33:25)
20160721 Santiago: 收到銀行通知</t>
      </text>
    </comment>
    <comment authorId="0" ref="H384">
      <text>
        <t xml:space="preserve">======
ID#AAABjx7qRmk
    (2025-05-21 11:33:25)
0902 chloe 收到支票525837</t>
      </text>
    </comment>
    <comment authorId="0" ref="X309">
      <text>
        <t xml:space="preserve">======
ID#AAABjx7qRl8
    (2025-05-21 11:33:25)
0808 chloe: 此份已給會計(我方與供應商INVOICE+通運發票＋客戶水單）</t>
      </text>
    </comment>
    <comment authorId="0" ref="L515">
      <text>
        <t xml:space="preserve">======
ID#AAABjx7qRls
    (2025-05-21 11:33:25)
1005 chloe:取消訂單，待客戶確定後重新下單詢問交期
1013 chloe:重新下單，交期兩週，回覆1101，再PULL IN</t>
      </text>
    </comment>
    <comment authorId="0" ref="H380">
      <text>
        <t xml:space="preserve">======
ID#AAABjx7qRj0
    (2025-05-21 11:33:25)
0715 Santiago: 收到銀行通知</t>
      </text>
    </comment>
    <comment authorId="0" ref="H62">
      <text>
        <t xml:space="preserve">======
ID#AAABjx7qRjo
    (2025-05-21 11:33:25)
0203 Santiago: 已入帳</t>
      </text>
    </comment>
    <comment authorId="0" ref="H394">
      <text>
        <t xml:space="preserve">======
ID#AAABjx7qRjA
    (2025-05-21 11:33:25)
1128 chloe:收到NT19081</t>
      </text>
    </comment>
    <comment authorId="0" ref="H213">
      <text>
        <t xml:space="preserve">======
ID#AAABjx7qRic
    (2025-05-21 11:33:25)
0524 chloe 收到貨款否?
0525 Benson:0519 收到客戶T/T copy</t>
      </text>
    </comment>
    <comment authorId="0" ref="K547">
      <text>
        <t xml:space="preserve">======
ID#AAABjx7qRiA
    (2025-05-21 11:33:25)
1208 chloe:預計安排12/15寄出</t>
      </text>
    </comment>
    <comment authorId="0" ref="H464">
      <text>
        <t xml:space="preserve">======
ID#AAABjx7qRhc
    (2025-05-21 11:33:25)
1103 chloe:收到銀行通知USD4469</t>
      </text>
    </comment>
    <comment authorId="0" ref="X155">
      <text>
        <t xml:space="preserve">======
ID#AAABjx7qRhI
    (2025-05-21 11:33:25)
此筆已在3月份給會計</t>
      </text>
    </comment>
    <comment authorId="0" ref="H466">
      <text>
        <t xml:space="preserve">======
ID#AAABjx7qRgg
    (2025-05-21 11:33:25)
1103 chloe:收到銀行通知USD4469</t>
      </text>
    </comment>
    <comment authorId="0" ref="I290">
      <text>
        <t xml:space="preserve">======
ID#AAABjx7qRgY
    (2025-05-21 11:33:25)
0830 Chloe:不計算獎金，因業務及採購都不須計算</t>
      </text>
    </comment>
    <comment authorId="0" ref="H451">
      <text>
        <t xml:space="preserve">======
ID#AAABjx7qRfg
    (2025-05-21 11:33:25)
0908 chloe:收到台企匯入NT12638</t>
      </text>
    </comment>
    <comment authorId="0" ref="H219">
      <text>
        <t xml:space="preserve">======
ID#AAABjx7qRec
    (2025-05-21 11:33:25)
0630 Santiago: 收到銀行通知</t>
      </text>
    </comment>
    <comment authorId="0" ref="K404">
      <text>
        <t xml:space="preserve">======
ID#AAABjx7qRds
    (2025-05-21 11:33:25)
0728 chloe:請寄另外地址
T-POLE Srl
Via De Gasperi, 4
27040 PORTALBERA (PV)
Italy</t>
      </text>
    </comment>
    <comment authorId="0" ref="K198">
      <text>
        <t xml:space="preserve">======
ID#AAABjx7qRdo
    (2025-05-21 11:33:25)
0415 Santiago: 收件地址有變. 
改寄墨爾本辦公室. 同日已發信通知Chloe</t>
      </text>
    </comment>
    <comment authorId="0" ref="H235">
      <text>
        <t xml:space="preserve">======
ID#AAABjx7qRYU
    (2025-05-21 11:33:25)
0614 Santiago: 收到客戶水單</t>
      </text>
    </comment>
    <comment authorId="0" ref="H5">
      <text>
        <t xml:space="preserve">======
ID#AAABjx7qRXw
    (2025-05-21 11:33:25)
0812 已收到客戶款項</t>
      </text>
    </comment>
    <comment authorId="0" ref="G10">
      <text>
        <t xml:space="preserve">======
ID#AAABjx7qRXQ
    (2025-05-21 11:33:25)
160114 Karen: 單價由2.4修改為2.25</t>
      </text>
    </comment>
    <comment authorId="0" ref="G731">
      <text>
        <t xml:space="preserve">======
ID#AAABjx7qRXE
    (2025-05-21 11:33:25)
150818 Karen: w/o adapter (同前票訂單)</t>
      </text>
    </comment>
    <comment authorId="0" ref="H205">
      <text>
        <t xml:space="preserve">======
ID#AAABjx7qRXA
    (2025-05-21 11:33:25)
0518 Santiago:收到客戶通知</t>
      </text>
    </comment>
    <comment authorId="0" ref="H640">
      <text>
        <t xml:space="preserve">======
ID#AAABjx7qRWw
    (2025-05-21 11:33:25)
20170112 chloe:收到銀行通知USD19203</t>
      </text>
    </comment>
    <comment authorId="0" ref="H658">
      <text>
        <t xml:space="preserve">======
ID#AAABjx7qRWo
    (2025-05-21 11:33:25)
0119 chloe:收到銀行通知USD2514.6</t>
      </text>
    </comment>
    <comment authorId="0" ref="K215">
      <text>
        <t xml:space="preserve">======
ID#AAABjx7qRWg
    (2025-05-21 11:33:25)
160418 Karen: 發票日期,請開4/26,謝謝</t>
      </text>
    </comment>
    <comment authorId="0" ref="K551">
      <text>
        <t xml:space="preserve">======
ID#AAABjx7qRV0
    (2025-05-21 11:33:25)
161018 Tammy: 出貨日期由10/20改到10/24, 和20161007A一起出貨</t>
      </text>
    </comment>
    <comment authorId="0" ref="H653">
      <text>
        <t xml:space="preserve">======
ID#AAABjx7qRVI
    (2025-05-21 11:33:25)
0119 chloe:收到銀行通知USD2514.6</t>
      </text>
    </comment>
    <comment authorId="0" ref="H93">
      <text>
        <t xml:space="preserve">======
ID#AAABjx7qRUc
    (2025-05-21 11:33:25)
20160401 Benson: 收到銀行通知</t>
      </text>
    </comment>
    <comment authorId="0" ref="H688">
      <text>
        <t xml:space="preserve">======
ID#AAABjx7qRUI
    (2025-05-21 11:33:25)
20170202 chloe:收到銀行通知USD1906</t>
      </text>
    </comment>
    <comment authorId="0" ref="H21">
      <text>
        <t xml:space="preserve">======
ID#AAABjx7qRTE
    (2025-05-21 11:33:25)
20151216 Santiago :收到一半貨款
20160122 michelle: 收到共USD14225</t>
      </text>
    </comment>
    <comment authorId="0" ref="H386">
      <text>
        <t xml:space="preserve">======
ID#AAABjx7qRSU
    (2025-05-21 11:33:25)
0905 chloe:收到銀行通知USD9314</t>
      </text>
    </comment>
    <comment authorId="0" ref="K448">
      <text>
        <t xml:space="preserve">======
ID#AAABjx7qRQw
    (2025-05-21 11:33:25)
0830 chloe:由戎克出貨，附上出貨單及發票</t>
      </text>
    </comment>
    <comment authorId="0" ref="K414">
      <text>
        <t xml:space="preserve">======
ID#AAABjx7qRQc
    (2025-05-21 11:33:25)
0728 chloe:請寄另外地址
T-POLE Srl
Via De Gasperi, 4
27040 PORTALBERA (PV)
Italy</t>
      </text>
    </comment>
    <comment authorId="0" ref="L74">
      <text>
        <t xml:space="preserve">======
ID#AAABjx7qRQg
    (2025-05-21 11:33:25)
晚上</t>
      </text>
    </comment>
    <comment authorId="0" ref="H438">
      <text>
        <t xml:space="preserve">======
ID#AAABjx7qRQM
    (2025-05-21 11:33:25)
0926 chloe:已收到銀行通知USD12216，因戎克戶名短少TD，故待客戶修改電文銀行才會發放
0929 chloe:給予客戶當初匯款水單後于與放行</t>
      </text>
    </comment>
    <comment authorId="0" ref="G732">
      <text>
        <t xml:space="preserve">======
ID#AAABjx7qRPk
    (2025-05-21 11:33:25)
150917 Karen: 下單EU ADAPTER</t>
      </text>
    </comment>
    <comment authorId="0" ref="K317">
      <text>
        <t xml:space="preserve">======
ID#AAABjx7qROA
    (2025-05-21 11:33:25)
0728 chloe:請寄另外地址
T-POLE Srl
Via De Gasperi, 4
27040 PORTALBERA (PV)
Italy</t>
      </text>
    </comment>
    <comment authorId="0" ref="H215">
      <text>
        <t xml:space="preserve">======
ID#AAABjx7qRN8
    (2025-05-21 11:33:25)
0706 Chloe : 收到客戶支票</t>
      </text>
    </comment>
    <comment authorId="0" ref="P572">
      <text>
        <t xml:space="preserve">======
ID#AAABjx7qRNo
    (2025-05-21 11:33:25)
1026 chloe:3717+105(運費)</t>
      </text>
    </comment>
    <comment authorId="0" ref="L401">
      <text>
        <t xml:space="preserve">======
ID#AAABjx7qRNE
    (2025-05-21 11:33:25)
新北市新莊區化成路83巷17號
02-7729-2788
郭玟丰 (Christine) 小姐 #658</t>
      </text>
    </comment>
    <comment authorId="0" ref="H564">
      <text>
        <t xml:space="preserve">======
ID#AAABjx7qRNI
    (2025-05-21 11:33:25)
1026 chloe:已收到銀行通知USD615</t>
      </text>
    </comment>
    <comment authorId="0" ref="H104">
      <text>
        <t xml:space="preserve">======
ID#AAABjx7qRMM
    (2025-05-21 11:33:25)
0311 Santiago 收到客戶水單US$1359</t>
      </text>
    </comment>
    <comment authorId="0" ref="K237">
      <text>
        <t xml:space="preserve">======
ID#AAABjx7qRMI
    (2025-05-21 11:33:25)
BCN900382</t>
      </text>
    </comment>
    <comment authorId="0" ref="H397">
      <text>
        <t xml:space="preserve">======
ID#AAABjx7qRL0
    (2025-05-21 11:33:25)
0923 chloe: 收到銀行通知USD1160</t>
      </text>
    </comment>
    <comment authorId="0" ref="G381">
      <text>
        <t xml:space="preserve">======
ID#AAABjx7qRLs
    (2025-05-21 11:33:25)
0719 Santiago: 台幣固定值為NT5275.2</t>
      </text>
    </comment>
    <comment authorId="0" ref="K558">
      <text>
        <t xml:space="preserve">======
ID#AAABjx7qRK0
    (2025-05-21 11:33:25)
1108 Chloe:收到匯款後即刻出貨
1114 Chloe:客戶告知11/17匯款</t>
      </text>
    </comment>
    <comment authorId="0" ref="L484">
      <text>
        <t xml:space="preserve">======
ID#AAABjx7qRKQ
    (2025-05-21 11:33:25)
0919 chloe:因無BSMI,故改進料號FPM2150GR3A1501E-T
0920 chloe:無須改進料號</t>
      </text>
    </comment>
    <comment authorId="0" ref="L508">
      <text>
        <t xml:space="preserve">======
ID#AAABjx7qRKA
    (2025-05-21 11:33:25)
0926 chloe:提早9/26到貨</t>
      </text>
    </comment>
    <comment authorId="0" ref="K609">
      <text>
        <t xml:space="preserve">======
ID#AAABjx7qRJ4
    (2025-05-21 11:33:25)
161202 Tammy: 不能晚於12/8出貨
1208 chloe:待業務通知
1211 通知出貨方式</t>
      </text>
    </comment>
    <comment authorId="0" ref="O516">
      <text>
        <t xml:space="preserve">======
ID#AAABjx7qRJc
    (2025-05-21 11:33:25)
160927 扣抵金額(含稅)US$504,應支付貨款(含稅)為US$6447元
1208 chloe: 已付 US1611.75
待付US4835.25</t>
      </text>
    </comment>
    <comment authorId="0" ref="H363">
      <text>
        <t xml:space="preserve">======
ID#AAABjx7qRIw
    (2025-05-21 11:33:25)
0905 chloe:收到銀行通知USD9314</t>
      </text>
    </comment>
    <comment authorId="0" ref="H174">
      <text>
        <t xml:space="preserve">======
ID#AAABjx7qRI0
    (2025-05-21 11:33:25)
20160604 Santiago : received bank note</t>
      </text>
    </comment>
    <comment authorId="0" ref="H239">
      <text>
        <t xml:space="preserve">======
ID#AAABjx7qRIs
    (2025-05-21 11:33:25)
0525 Santiago:匯入</t>
      </text>
    </comment>
    <comment authorId="0" ref="H511">
      <text>
        <t xml:space="preserve">======
ID#AAABjx7qRII
    (2025-05-21 11:33:25)
1102 chloe:已收到銀行通知USD8885，因客戶匯款成舊戶名，修改後銀行才會入戶頭</t>
      </text>
    </comment>
    <comment authorId="0" ref="H262">
      <text>
        <t xml:space="preserve">======
ID#AAABjx7qRH8
    (2025-05-21 11:33:25)
0630 Santiago: 收到銀行通知</t>
      </text>
    </comment>
    <comment authorId="0" ref="J212">
      <text>
        <t xml:space="preserve">======
ID#AAABjx7qRHI
    (2025-05-21 11:33:25)
提單編號：7074423145</t>
      </text>
    </comment>
    <comment authorId="0" ref="H700">
      <text>
        <t xml:space="preserve">======
ID#AAABjx7qRG0
    (2025-05-21 11:33:25)
20170202 chloe:收到銀行通知USD13551</t>
      </text>
    </comment>
    <comment authorId="0" ref="E455">
      <text>
        <t xml:space="preserve">======
ID#AAABjx7qRGc
    (2025-05-21 11:33:25)
160831 Karen: 和之前訂單一樣, w/o cable</t>
      </text>
    </comment>
    <comment authorId="0" ref="H680">
      <text>
        <t xml:space="preserve">======
ID#AAABjx7qRGU
    (2025-05-21 11:33:25)
0118 chloe:收到支票NT52760(12/30以兌換成功)</t>
      </text>
    </comment>
    <comment authorId="0" ref="H695">
      <text>
        <t xml:space="preserve">======
ID#AAABjx7qRF8
    (2025-05-21 11:33:25)
20170202 chloe:收到銀行通知USD13551</t>
      </text>
    </comment>
    <comment authorId="0" ref="L388">
      <text>
        <t xml:space="preserve">======
ID#AAABjx7qRFA
    (2025-05-21 11:33:25)
0722 chloe 07/29到貨</t>
      </text>
    </comment>
    <comment authorId="0" ref="L486">
      <text>
        <t xml:space="preserve">======
ID#AAABjx7qRDs
    (2025-05-21 11:33:25)
提早交貨0922</t>
      </text>
    </comment>
    <comment authorId="0" ref="L548">
      <text>
        <t xml:space="preserve">======
ID#AAABjx7qRDw
    (2025-05-21 11:33:25)
1013 chloe:詢問交期，回覆交期待PULL IN(10/14)
1017 chloe:詢問交期</t>
      </text>
    </comment>
    <comment authorId="0" ref="H625">
      <text>
        <t xml:space="preserve">======
ID#AAABjx7qRDE
    (2025-05-21 11:33:25)
1118 chloe:收到銀行通知USD3234</t>
      </text>
    </comment>
    <comment authorId="0" ref="K675">
      <text>
        <t xml:space="preserve">======
ID#AAABjx7qRAU
    (2025-05-21 11:33:25)
1207 chloe: Bank fee 不能打在INVOICE上</t>
      </text>
    </comment>
    <comment authorId="0" ref="H127">
      <text>
        <t xml:space="preserve">======
ID#AAABjx7qQ_U
    (2025-05-21 11:33:25)
0407 Santiago: 收到銀行通知</t>
      </text>
    </comment>
    <comment authorId="0" ref="H200">
      <text>
        <t xml:space="preserve">======
ID#AAABjx7qQ-s
    (2025-05-21 11:33:25)
0518 Santiago:收到客戶通知</t>
      </text>
    </comment>
    <comment authorId="0" ref="H180">
      <text>
        <t xml:space="preserve">======
ID#AAABjx7qQ-k
    (2025-05-21 11:33:25)
0818 chloe:收到銀行通知USD3486</t>
      </text>
    </comment>
    <comment authorId="0" ref="H325">
      <text>
        <t xml:space="preserve">======
ID#AAABjx7qQ9Q
    (2025-05-21 11:33:25)
0818 chloe: 收到銀行通知USD3248</t>
      </text>
    </comment>
    <comment authorId="0" ref="H502">
      <text>
        <t xml:space="preserve">======
ID#AAABjx7qQ8Y
    (2025-05-21 11:33:25)
1129 chloe:收到銀行通知USD6330。
但客戶水單PI號碼填成 PI-20161121A，正確應該是PI-20160921C的匯款</t>
      </text>
    </comment>
    <comment authorId="0" ref="H571">
      <text>
        <t xml:space="preserve">======
ID#AAABjx7qQ8E
    (2025-05-21 11:33:25)
1103 chloe:收到銀行通知USD594</t>
      </text>
    </comment>
    <comment authorId="0" ref="L511">
      <text>
        <t xml:space="preserve">======
ID#AAABjx7qQ7c
    (2025-05-21 11:33:25)
1011 chloe:維田回覆：主機板ASB-L706D(D525)已經ELO，與產線協調交期中</t>
      </text>
    </comment>
    <comment authorId="0" ref="H29">
      <text>
        <t xml:space="preserve">======
ID#AAABjx7qQ68
    (2025-05-21 11:33:25)
0303 Santiago : 收到支票</t>
      </text>
    </comment>
    <comment authorId="0" ref="H12">
      <text>
        <t xml:space="preserve">======
ID#AAABjx7qQ5k
    (2025-05-21 11:33:25)
0110 Santiago: 收到客戶水單
0114 michelle:玉山通知入帳</t>
      </text>
    </comment>
    <comment authorId="0" ref="H458">
      <text>
        <t xml:space="preserve">======
ID#AAABjx7qQ34
    (2025-05-21 11:33:25)
0907 chloe:收到銀行通知USD:183</t>
      </text>
    </comment>
    <comment authorId="0" ref="D385">
      <text>
        <t xml:space="preserve">======
ID#AAABjx7qQ3s
    (2025-05-21 11:33:25)
0415 Santiago: 收件地址有變. 
改寄墨爾本辦公室. 同日已發信通知Chloe</t>
      </text>
    </comment>
    <comment authorId="0" ref="J558">
      <text>
        <t xml:space="preserve">======
ID#AAABjx7qQ3M
    (2025-05-21 11:33:25)
託運單號：3180547171</t>
      </text>
    </comment>
    <comment authorId="0" ref="G294">
      <text>
        <t xml:space="preserve">======
ID#AAABjx7qQ2s
0623 Santiago     (2025-05-21 11:33:25)
要送給東托. 但出口值不能打0. 故打1</t>
      </text>
    </comment>
    <comment authorId="0" ref="H465">
      <text>
        <t xml:space="preserve">======
ID#AAABjx7qQ0c
    (2025-05-21 11:33:25)
1103 chloe:收到銀行通知USD4469</t>
      </text>
    </comment>
    <comment authorId="0" ref="L562">
      <text>
        <t xml:space="preserve">======
ID#AAABjx7qQzE
    (2025-05-21 11:33:25)
1017 chloe:下單待追交期
→10/20到貨</t>
      </text>
    </comment>
    <comment authorId="0" ref="H528">
      <text>
        <t xml:space="preserve">======
ID#AAABjx7qQyQ
    (2025-05-21 11:33:25)
1019 chloe:收到銀行通知USD2931</t>
      </text>
    </comment>
    <comment authorId="0" ref="H632">
      <text>
        <t xml:space="preserve">======
ID#AAABjx7qQyE
    (2025-05-21 11:33:25)
20170105 chloe: 收到銀行通知USD2683.5</t>
      </text>
    </comment>
    <comment authorId="0" ref="V202">
      <text>
        <t xml:space="preserve">======
ID#AAABjx7qQx8
    (2025-05-21 11:33:25)
尚缺 PI-20160408D DHL發票</t>
      </text>
    </comment>
    <comment authorId="0" ref="P460">
      <text>
        <t xml:space="preserve">======
ID#AAABjx7qQx0
    (2025-05-21 11:33:25)
0930 chloe:此筆不算獎金，DHL加收偏遠地區費用800，獎金會呈現負數</t>
      </text>
    </comment>
    <comment authorId="0" ref="L321">
      <text>
        <t xml:space="preserve">======
ID#AAABjx7qQxs
    (2025-05-21 11:33:25)
0712 chloe:JAY回復 7/12宅急便寄出</t>
      </text>
    </comment>
    <comment authorId="0" ref="AB125">
      <text>
        <t xml:space="preserve">======
ID#AAABjx7qQxo
    (2025-05-21 11:33:25)
0428一半貨款共US$22632.81
0415一半貨款共22632.81</t>
      </text>
    </comment>
    <comment authorId="0" ref="L506">
      <text>
        <t xml:space="preserve">======
ID#AAABjx7qQxY
    (2025-05-21 11:33:25)
0926 chloe:提早9/26到貨</t>
      </text>
    </comment>
    <comment authorId="0" ref="X271">
      <text>
        <t xml:space="preserve">======
ID#AAABjx7qQxI
    (2025-05-21 11:33:25)
兩箱13KG 53*17*48 通知DHL拉回重工</t>
      </text>
    </comment>
    <comment authorId="0" ref="H469">
      <text>
        <t xml:space="preserve">======
ID#AAABjx7qQwk
    (2025-05-21 11:33:25)
1020 chloe:收到銀行通知USD1815</t>
      </text>
    </comment>
    <comment authorId="0" ref="H657">
      <text>
        <t xml:space="preserve">======
ID#AAABjx7qQwU
    (2025-05-21 11:33:25)
0119 chloe:收到銀行通知USD2514.6</t>
      </text>
    </comment>
    <comment authorId="0" ref="K637">
      <text>
        <t xml:space="preserve">======
ID#AAABjx7qQv4
    (2025-05-21 11:33:25)
1125 chloe:若能在12/12 中午前到貨則12/12出貨。
1208 chloe:已超額待客戶付款
1209 chloe:收到12/12入帳通知</t>
      </text>
    </comment>
    <comment authorId="0" ref="H302">
      <text>
        <t xml:space="preserve">======
ID#AAABjx7qQvk
    (2025-05-21 11:33:25)
0818 chloe:收到銀行通知USD5006</t>
      </text>
    </comment>
    <comment authorId="0" ref="K288">
      <text>
        <t xml:space="preserve">======
ID#AAABjx7qQtw
    (2025-05-21 11:33:25)
FORWORD 7/4才會來收件</t>
      </text>
    </comment>
    <comment authorId="0" ref="P75">
      <text>
        <t xml:space="preserve">======
ID#AAABjx7qQsQ
20160304 Santiago    (2025-05-21 11:33:25)
這筆DHL運費帳單已併PI-20160304C 帳單</t>
      </text>
    </comment>
    <comment authorId="0" ref="O294">
      <text>
        <t xml:space="preserve">======
ID#AAABjx7qQr0
    (2025-05-21 11:33:25)
160630 這三台是要送東托的，但貨款還是照要支付給ＭＯＸＡ</t>
      </text>
    </comment>
    <comment authorId="0" ref="H212">
      <text>
        <t xml:space="preserve">======
ID#AAABjx7qQq8
    (2025-05-21 11:33:25)
0622 Santiago : 收到銀行通知</t>
      </text>
    </comment>
    <comment authorId="0" ref="L478">
      <text>
        <t xml:space="preserve">======
ID#AAABjx7qQqg
    (2025-05-21 11:33:25)
0921 chloe:PULL IN 凌華改為10/13(待確認中)</t>
      </text>
    </comment>
    <comment authorId="0" ref="K165">
      <text>
        <t xml:space="preserve">======
ID#AAABjx7qQqE
    (2025-05-21 11:33:25)
160407 Karen在4/7反黑</t>
      </text>
    </comment>
    <comment authorId="0" ref="H463">
      <text>
        <t xml:space="preserve">======
ID#AAABjx7qQps
    (2025-05-21 11:33:25)
1103 chloe:收到銀行通知USD4469</t>
      </text>
    </comment>
    <comment authorId="0" ref="H497">
      <text>
        <t xml:space="preserve">======
ID#AAABjx7qQpQ
    (2025-05-21 11:33:25)
1115 chloe:收到銀行通知USD655</t>
      </text>
    </comment>
    <comment authorId="0" ref="H512">
      <text>
        <t xml:space="preserve">======
ID#AAABjx7qQpE
    (2025-05-21 11:33:25)
1102 chloe:已收到銀行通知USD8885，因客戶匯款成舊戶名，修改後銀行才會入戶頭</t>
      </text>
    </comment>
    <comment authorId="0" ref="H144">
      <text>
        <t xml:space="preserve">======
ID#AAABjx7qQng
    (2025-05-21 11:33:25)
0518 Santiago:收到客戶通知</t>
      </text>
    </comment>
    <comment authorId="0" ref="H309">
      <text>
        <t xml:space="preserve">======
ID#AAABjx7qQmo
    (2025-05-21 11:33:25)
2016/6/20 Benson: got T/T copy from customer</t>
      </text>
    </comment>
    <comment authorId="0" ref="G566">
      <text>
        <t xml:space="preserve">======
ID#AAABjx7qQmY
    (2025-05-21 11:33:25)
w/5%VAT</t>
      </text>
    </comment>
    <comment authorId="0" ref="H131">
      <text>
        <t xml:space="preserve">======
ID#AAABjx7qQl4
    (2025-05-21 11:33:25)
0407 Santiago: 收到銀行通知</t>
      </text>
    </comment>
    <comment authorId="0" ref="V178">
      <text>
        <t xml:space="preserve">======
ID#AAABjx7qQlQ
    (2025-05-21 11:33:25)
0508 chloe 一片</t>
      </text>
    </comment>
    <comment authorId="0" ref="N540">
      <text>
        <t xml:space="preserve">======
ID#AAABjx7qQkw
    (2025-05-21 11:33:25)
1012 chloe:訂單有修改</t>
      </text>
    </comment>
    <comment authorId="0" ref="H321">
      <text>
        <t xml:space="preserve">======
ID#AAABjx7qQkI
    (2025-05-21 11:33:25)
0818 chloe: 收到銀行通知USD3248</t>
      </text>
    </comment>
    <comment authorId="0" ref="H459">
      <text>
        <t xml:space="preserve">======
ID#AAABjx7qQj4
    (2025-05-21 11:33:25)
0907 chloe:收到銀行通知USD:183</t>
      </text>
    </comment>
    <comment authorId="0" ref="H448">
      <text>
        <t xml:space="preserve">======
ID#AAABjx7qQjo
    (2025-05-21 11:33:25)
1128 chloe:收到NT42509</t>
      </text>
    </comment>
    <comment authorId="0" ref="K25">
      <text>
        <t xml:space="preserve">======
ID#AAABjx7qQiQ
    (2025-05-21 11:33:25)
1/8 michelle: 配件出完2040套</t>
      </text>
    </comment>
    <comment authorId="0" ref="H455">
      <text>
        <t xml:space="preserve">======
ID#AAABjx7qQhY
    (2025-05-21 11:33:25)
0920 Chloe:收到銀行轉帳NT662535</t>
      </text>
    </comment>
    <comment authorId="0" ref="P627">
      <text>
        <t xml:space="preserve">======
ID#AAABjx7qQg8
    (2025-05-21 11:33:25)
閎亮</t>
      </text>
    </comment>
    <comment authorId="0" ref="L222">
      <text>
        <t xml:space="preserve">======
ID#AAABjx7qQhE
    (2025-05-21 11:33:25)
5/5</t>
      </text>
    </comment>
    <comment authorId="0" ref="H210">
      <text>
        <t xml:space="preserve">======
ID#AAABjx7qQg4
    (2025-05-21 11:33:25)
0503 Santiago : 收到銀行通知</t>
      </text>
    </comment>
    <comment authorId="0" ref="L567">
      <text>
        <t xml:space="preserve">======
ID#AAABjx7qQgQ
    (2025-05-21 11:33:25)
1021 chloe:待回覆正確交期→回覆應該可以，告知10/27中午前一定要到貨</t>
      </text>
    </comment>
    <comment authorId="0" ref="H402">
      <text>
        <t xml:space="preserve">======
ID#AAABjx7qQf4
0921 Santiago    (2025-05-21 11:33:25)
PI 打錯價格, 單價應為US$18
0822 chloe:收到銀行通知USD919</t>
      </text>
    </comment>
    <comment authorId="0" ref="J629">
      <text>
        <t xml:space="preserve">======
ID#AAABjx7qQfo
    (2025-05-21 11:33:25)
1212 chloe:估錯材積，TNT Economy  運費 7925較便宜，故使用TNT</t>
      </text>
    </comment>
    <comment authorId="0" ref="H518">
      <text>
        <t xml:space="preserve">======
ID#AAABjx7qQfk
    (2025-05-21 11:33:25)
1111 chloe:收到銀行通知USD2399</t>
      </text>
    </comment>
    <comment authorId="0" ref="H137">
      <text>
        <t xml:space="preserve">======
ID#AAABjx7qQfQ
    (2025-05-21 11:33:25)
0425 Santiago :收到匯款</t>
      </text>
    </comment>
    <comment authorId="0" ref="D640">
      <text>
        <t xml:space="preserve">======
ID#AAABjx7qQfA
    (2025-05-21 11:33:25)
測試步驟：
1. Disable Fast Start-up function
2. Remove Power at 2nd stage
3. Check "Boot option priorities" in BIOS
4. Prepare DRAM module 2~3 pcs
5. 加測Memtest86+</t>
      </text>
    </comment>
    <comment authorId="0" ref="H546">
      <text>
        <t xml:space="preserve">======
ID#AAABjx7qQfE
    (2025-05-21 11:33:25)
1205 chloe:收到銀行通知USD991</t>
      </text>
    </comment>
    <comment authorId="0" ref="D247">
      <text>
        <t xml:space="preserve">======
ID#AAABjx7qQes
    (2025-05-21 11:33:25)
Santiago 0525: 因為交期出問題, 客戶決定取消訂單</t>
      </text>
    </comment>
    <comment authorId="0" ref="H603">
      <text>
        <t xml:space="preserve">======
ID#AAABjx7qQeI
    (2025-05-21 11:33:25)
1115 chloe:收到銀行通知USD1505</t>
      </text>
    </comment>
    <comment authorId="0" ref="H393">
      <text>
        <t xml:space="preserve">======
ID#AAABjx7qQdw
    (2025-05-21 11:33:25)
0808 chloe:收到銀行通知USD1699</t>
      </text>
    </comment>
    <comment authorId="0" ref="H7">
      <text>
        <t xml:space="preserve">======
ID#AAABjx7qQdQ
    (2025-05-21 11:33:25)
0706 Santiago : 已入台企銀</t>
      </text>
    </comment>
    <comment authorId="0" ref="L591">
      <text>
        <t xml:space="preserve">======
ID#AAABjx7qQdE
    (2025-05-21 11:33:25)
1031 chloe:待回覆</t>
      </text>
    </comment>
    <comment authorId="0" ref="H51">
      <text>
        <t xml:space="preserve">======
ID#AAABjx7qQc4
    (2025-05-21 11:33:25)
1/25 michelle: TCB通知匯入共USD1614</t>
      </text>
    </comment>
    <comment authorId="0" ref="H272">
      <text>
        <t xml:space="preserve">======
ID#AAABjx7qQcc
    (2025-05-21 11:33:25)
0801 chloe:收到銀行通知USD3151</t>
      </text>
    </comment>
    <comment authorId="0" ref="H370">
      <text>
        <t xml:space="preserve">======
ID#AAABjx7qQb8
    (2025-05-21 11:33:25)
0926 chloe:已收到銀行通知USD374，因戎克戶名短少TD，故待客戶修改電文銀行才會發放</t>
      </text>
    </comment>
    <comment authorId="0" ref="H543">
      <text>
        <t xml:space="preserve">======
ID#AAABjx7qQbg
    (2025-05-21 11:33:25)
1205 chloe:收到銀行通知USD991</t>
      </text>
    </comment>
    <comment authorId="0" ref="K567">
      <text>
        <t xml:space="preserve">======
ID#AAABjx7qQak
    (2025-05-21 11:33:25)
0728 chloe:請寄另外地址
T-POLE Srl
Via De Gasperi, 4
27040 PORTALBERA (PV)
Italy</t>
      </text>
    </comment>
    <comment authorId="0" ref="H604">
      <text>
        <t xml:space="preserve">======
ID#AAABjx7qQac
    (2025-05-21 11:33:25)
1115 chloe:收到銀行通知USD1505</t>
      </text>
    </comment>
    <comment authorId="0" ref="H105">
      <text>
        <t xml:space="preserve">======
ID#AAABjx7qQZc
    (2025-05-21 11:33:25)
0407 Santiago: 收到銀行通知</t>
      </text>
    </comment>
    <comment authorId="0" ref="H626">
      <text>
        <t xml:space="preserve">======
ID#AAABjx7qQZI
    (2025-05-21 11:33:25)
1118 chloe:收到銀行通知USD3234
1124 chloe:因供應商紙箱過大，材積有變，運費預估7184元。
已告知業務差額請下次收取回來。故暫不計算獎金</t>
      </text>
    </comment>
    <comment authorId="0" ref="H98">
      <text>
        <t xml:space="preserve">======
ID#AAABjx7qQY8
    (2025-05-21 11:33:25)
0407 Santiago: 收到銀行通知</t>
      </text>
    </comment>
    <comment authorId="0" ref="L34">
      <text>
        <t xml:space="preserve">======
ID#AAABjx7qQX8
    (2025-05-21 11:33:25)
1/12 michelle: 付款後就可以出</t>
      </text>
    </comment>
    <comment authorId="0" ref="V186">
      <text>
        <t xml:space="preserve">======
ID#AAABjx7qQX0
    (2025-05-21 11:33:25)
請會計報研發費用發票</t>
      </text>
    </comment>
    <comment authorId="0" ref="H629">
      <text>
        <t xml:space="preserve">======
ID#AAABjx7qQX4
    (2025-05-21 11:33:25)
20170112 chloe:收到銀行通知USD19203</t>
      </text>
    </comment>
    <comment authorId="0" ref="L609">
      <text>
        <t xml:space="preserve">======
ID#AAABjx7qQU8
    (2025-05-21 11:33:25)
1115 chloe: 3-4週，待回覆交期
1123 chloe:PULL IN中
1202 chloe:因料件缺貨故延遲至12/6出貨</t>
      </text>
    </comment>
    <comment authorId="0" ref="H388">
      <text>
        <t xml:space="preserve">======
ID#AAABjx7qQUs
    (2025-05-21 11:33:25)
0905 chloe:收到銀行通知USD9314</t>
      </text>
    </comment>
    <comment authorId="0" ref="H251">
      <text>
        <t xml:space="preserve">======
ID#AAABjx7qQT4
    (2025-05-21 11:33:25)
0525 Benson: 0519 got T/T copy
0527 Benson: 0526 got payment receipt from bank</t>
      </text>
    </comment>
    <comment authorId="0" ref="H366">
      <text>
        <t xml:space="preserve">======
ID#AAABjx7qQSU
    (2025-05-21 11:33:25)
0822 chloe:收到銀行通知USD706</t>
      </text>
    </comment>
    <comment authorId="0" ref="E30">
      <text>
        <t xml:space="preserve">======
ID#AAABjx7qQSQ
    (2025-05-21 11:33:25)
151225 Karen: EU adapter</t>
      </text>
    </comment>
    <comment authorId="0" ref="L412">
      <text>
        <t xml:space="preserve">======
ID#AAABjx7qQQ0
    (2025-05-21 11:33:25)
0728 chloe 下單 8/8 在詢問一次交期
0810 chloe 詢問交期
0822 交期提前</t>
      </text>
    </comment>
    <comment authorId="0" ref="H644">
      <text>
        <t xml:space="preserve">======
ID#AAABjx7qQPo
    (2025-05-21 11:33:25)
20170112 chloe:收到銀行通知USD19203</t>
      </text>
    </comment>
    <comment authorId="0" ref="I400">
      <text>
        <t xml:space="preserve">======
ID#AAABjx7qQPY
    (2025-05-21 11:33:25)
0830 Chloe:不計算獎金，因業務及採購都不須計算</t>
      </text>
    </comment>
    <comment authorId="0" ref="J10">
      <text>
        <t xml:space="preserve">======
ID#AAABjx7qQPE
    (2025-05-21 11:33:25)
160114 Karen: 由TNT變更為DHL</t>
      </text>
    </comment>
    <comment authorId="0" ref="H277">
      <text>
        <t xml:space="preserve">======
ID#AAABjx7qQOs
    (2025-05-21 11:33:25)
2016/7/13 Benson: got payment receipt from bank</t>
      </text>
    </comment>
    <comment authorId="0" ref="H18">
      <text>
        <t xml:space="preserve">======
ID#AAABjx7qQO0
    (2025-05-21 11:33:25)
0829 chloe:收到銀行通知USD 2013</t>
      </text>
    </comment>
    <comment authorId="0" ref="H475">
      <text>
        <t xml:space="preserve">======
ID#AAABjx7qQN4
    (2025-05-21 11:33:25)
1117 chloe:收到銀行通知USD13714</t>
      </text>
    </comment>
    <comment authorId="0" ref="H71">
      <text>
        <t xml:space="preserve">======
ID#AAABjx7qQNk
0322 Santiago    (2025-05-21 11:33:25)
收到銀行匯款US$1481 +
去年Tpole 多匯US$2000</t>
      </text>
    </comment>
    <comment authorId="0" ref="H408">
      <text>
        <t xml:space="preserve">======
ID#AAABjx7qQM4
    (2025-05-21 11:33:25)
0804 chloe:收到銀行通知
USD 2104</t>
      </text>
    </comment>
    <comment authorId="0" ref="H699">
      <text>
        <t xml:space="preserve">======
ID#AAABjx7qQMw
    (2025-05-21 11:33:25)
20170202 chloe:收到銀行通知USD13551</t>
      </text>
    </comment>
    <comment authorId="0" ref="H74">
      <text>
        <t xml:space="preserve">======
ID#AAABjx7qQMI
    (2025-05-21 11:33:25)
0311 Santiago 收到客戶水單US$1359</t>
      </text>
    </comment>
    <comment authorId="0" ref="J319">
      <text>
        <t xml:space="preserve">======
ID#AAABjx7qQLs
    (2025-05-21 11:33:25)
0704 Santiago :客戶指定EXPRESS</t>
      </text>
    </comment>
    <comment authorId="0" ref="O208">
      <text>
        <t xml:space="preserve">======
ID#AAABjx7qQLc
    (2025-05-21 11:33:25)
160410 扣抵金額(含稅)US$997.5,應支付貨款(含稅)為US$16485元</t>
      </text>
    </comment>
    <comment authorId="0" ref="H462">
      <text>
        <t xml:space="preserve">======
ID#AAABjx7qQLU
    (2025-05-21 11:33:25)
1103 chloe:收到銀行通知USD4469</t>
      </text>
    </comment>
    <comment authorId="0" ref="H190">
      <text>
        <t xml:space="preserve">======
ID#AAABjx7qQLM
0606 Santiago    (2025-05-21 11:33:25)
五月底已收到客戶支票. 6/6才登記</t>
      </text>
    </comment>
    <comment authorId="0" ref="H553">
      <text>
        <t xml:space="preserve">======
ID#AAABjx7qQLI
    (2025-05-21 11:33:25)
1116 chloe:收到支票NT166744(11/30才能提領)</t>
      </text>
    </comment>
    <comment authorId="0" ref="L553">
      <text>
        <t xml:space="preserve">======
ID#AAABjx7qQLE
    (2025-05-21 11:33:25)
1021 chloe: 下單待交期回覆</t>
      </text>
    </comment>
    <comment authorId="0" ref="D641">
      <text>
        <t xml:space="preserve">======
ID#AAABjx7qQKs
    (2025-05-21 11:33:25)
測試步驟：
1. Disable Fast Start-up function
2. Remove Power at 2nd stage
3. Check "Boot option priorities" in BIOS
4. Prepare DRAM module 2~3 pcs
5. 加測Memtest86+</t>
      </text>
    </comment>
    <comment authorId="0" ref="H356">
      <text>
        <t xml:space="preserve">======
ID#AAABjx7qQKM
    (2025-05-21 11:33:25)
0905 chloe:收到銀行通知USD9314</t>
      </text>
    </comment>
    <comment authorId="0" ref="H90">
      <text>
        <t xml:space="preserve">======
ID#AAABjx7qQKE
    (2025-05-21 11:33:25)
0323 Santiago: 收到客戶水單</t>
      </text>
    </comment>
    <comment authorId="0" ref="G238">
      <text>
        <t xml:space="preserve">======
ID#AAABjx7qQJw
    (2025-05-21 11:33:25)
0506 w/5% vat</t>
      </text>
    </comment>
    <comment authorId="0" ref="I314">
      <text>
        <t xml:space="preserve">======
ID#AAABjx7qQJU
    (2025-05-21 11:33:25)
0830 Chloe:不計算獎金，因業務及採購都不須計算</t>
      </text>
    </comment>
    <comment authorId="0" ref="K170">
      <text>
        <t xml:space="preserve">======
ID#AAABjx7qQI8
    (2025-05-21 11:33:25)
160407 Karen在4/7反黑</t>
      </text>
    </comment>
    <comment authorId="0" ref="F236">
      <text>
        <t xml:space="preserve">======
ID#AAABjx7qQJE
    (2025-05-21 11:33:25)
0620 Santiago: 原本100, 數量臨時增加為180</t>
      </text>
    </comment>
    <comment authorId="0" ref="H141">
      <text>
        <t xml:space="preserve">======
ID#AAABjx7qQIs
    (2025-05-21 11:33:25)
0630 Santiago: 收到銀行通知</t>
      </text>
    </comment>
    <comment authorId="0" ref="L462">
      <text>
        <t xml:space="preserve">======
ID#AAABjx7qQIg
    (2025-05-21 11:33:25)
0902 chloe: 下單9/8中午前</t>
      </text>
    </comment>
    <comment authorId="0" ref="H83">
      <text>
        <t xml:space="preserve">======
ID#AAABjx7qQHY
    (2025-05-21 11:33:25)
0403 Santiago : 收到支票</t>
      </text>
    </comment>
    <comment authorId="0" ref="H175">
      <text>
        <t xml:space="preserve">======
ID#AAABjx7qQG8
    (2025-05-21 11:33:25)
20160604 Santiago : received bank note</t>
      </text>
    </comment>
    <comment authorId="0" ref="H171">
      <text>
        <t xml:space="preserve">======
ID#AAABjx7qQF8
    (2025-05-21 11:33:25)
0816 chloe : 收到銀行通知 USD113,524</t>
      </text>
    </comment>
    <comment authorId="0" ref="H414">
      <text>
        <t xml:space="preserve">======
ID#AAABjx7qQGE
    (2025-05-21 11:33:25)
1004 chloe:收到銀行通知USD3752</t>
      </text>
    </comment>
    <comment authorId="0" ref="H588">
      <text>
        <t xml:space="preserve">======
ID#AAABjx7qQFw
    (2025-05-21 11:33:25)
1117 chloe:收到銀行通知USD13714</t>
      </text>
    </comment>
    <comment authorId="0" ref="H119">
      <text>
        <t xml:space="preserve">======
ID#AAABjx7qQFc
    (2025-05-21 11:33:25)
0520 Santiago: 收到銀行通知</t>
      </text>
    </comment>
    <comment authorId="0" ref="H617">
      <text>
        <t xml:space="preserve">======
ID#AAABjx7qQFQ
    (2025-05-21 11:33:25)
1116 chloe:收到銀行通知USD368</t>
      </text>
    </comment>
    <comment authorId="0" ref="V188">
      <text>
        <t xml:space="preserve">======
ID#AAABjx7qQFM
    (2025-05-21 11:33:25)
同X177</t>
      </text>
    </comment>
    <comment authorId="0" ref="J163">
      <text>
        <t xml:space="preserve">======
ID#AAABjx7qQEo
    (2025-05-21 11:33:25)
大榮</t>
      </text>
    </comment>
    <comment authorId="0" ref="L502">
      <text>
        <t xml:space="preserve">======
ID#AAABjx7qQEg
    (2025-05-21 11:33:25)
1013 chloe: 有機會11/15
1111chloe:PULL IN 11/15中</t>
      </text>
    </comment>
    <comment authorId="0" ref="L557">
      <text>
        <t xml:space="preserve">======
ID#AAABjx7qQEk
    (2025-05-21 11:33:25)
1103 chloe:預計11/10到貨，先HOLD</t>
      </text>
    </comment>
    <comment authorId="0" ref="N31">
      <text>
        <t xml:space="preserve">======
ID#AAABjx7qQEc
    (2025-05-21 11:33:25)
45天內可cancel PO</t>
      </text>
    </comment>
    <comment authorId="0" ref="H391">
      <text>
        <t xml:space="preserve">======
ID#AAABjx7qQDw
    (2025-05-21 11:33:25)
0808 chloe:收到銀行通知USD1699</t>
      </text>
    </comment>
    <comment authorId="0" ref="K537">
      <text>
        <t xml:space="preserve">======
ID#AAABjx7qQC0
    (2025-05-21 11:33:25)
0728 chloe:請寄另外地址
T-POLE Srl
Via De Gasperi, 4
27040 PORTALBERA (PV)
Italy</t>
      </text>
    </comment>
    <comment authorId="0" ref="H44">
      <text>
        <t xml:space="preserve">======
ID#AAABjx7qQCw
    (2025-05-21 11:33:25)
0525 Santiago: 收到銀行通知</t>
      </text>
    </comment>
    <comment authorId="0" ref="J156">
      <text>
        <t xml:space="preserve">======
ID#AAABjx7qQCo
    (2025-05-21 11:33:25)
大榮</t>
      </text>
    </comment>
    <comment authorId="0" ref="H541">
      <text>
        <t xml:space="preserve">======
ID#AAABjx7qQBY
    (2025-05-21 11:33:25)
1207 chloe:收到銀行通知USD2804</t>
      </text>
    </comment>
    <comment authorId="0" ref="H154">
      <text>
        <t xml:space="preserve">======
ID#AAABjx7qQBE
    (2025-05-21 11:33:25)
0329 Santiago: 收到銀行通知</t>
      </text>
    </comment>
    <comment authorId="0" ref="L547">
      <text>
        <t xml:space="preserve">======
ID#AAABjx7qQAw
    (2025-05-21 11:33:25)
1202 chloe:因人損問題須收USD100，代客戶回覆是否維修</t>
      </text>
    </comment>
    <comment authorId="0" ref="H440">
      <text>
        <t xml:space="preserve">======
ID#AAABjx7qQAQ
    (2025-05-21 11:33:25)
0926 chloe:已收到銀行通知USD12216，因戎克戶名短少TD，故待客戶修改電文銀行才會發放
0929 chloe:給予客戶當初匯款水單後于與放行</t>
      </text>
    </comment>
    <comment authorId="0" ref="G448">
      <text>
        <t xml:space="preserve">======
ID#AAABjx7qP_w
    (2025-05-21 11:33:25)
w/5%VAT</t>
      </text>
    </comment>
    <comment authorId="0" ref="O309">
      <text>
        <t xml:space="preserve">======
ID#AAABjx7qP_s
0627 Santiago    (2025-05-21 11:33:25)
Neteon 預計訂購 20+ 7
0627 先匯20套 15120</t>
      </text>
    </comment>
    <comment authorId="0" ref="H45">
      <text>
        <t xml:space="preserve">======
ID#AAABjx7qP_A
    (2025-05-21 11:33:25)
0310 Santiago : 收到銀行通知</t>
      </text>
    </comment>
    <comment authorId="0" ref="H439">
      <text>
        <t xml:space="preserve">======
ID#AAABjx7qP-0
    (2025-05-21 11:33:25)
0926 chloe:已收到銀行通知USD12216，因戎克戶名短少TD，故待客戶修改電文銀行才會發放
0929 chloe:給予客戶當初匯款水單後于與放行</t>
      </text>
    </comment>
    <comment authorId="0" ref="H430">
      <text>
        <t xml:space="preserve">======
ID#AAABjx7qP-w
    (2025-05-21 11:33:25)
1011 chloe: 已收到銀行通知USD13735，因客戶匯款成舊戶名，修改後銀行才會入戶頭
1027 chloe:銀行收到修改電文，故發放此款</t>
      </text>
    </comment>
    <comment authorId="0" ref="H551">
      <text>
        <t xml:space="preserve">======
ID#AAABjx7qP-M
    (2025-05-21 11:33:25)
1207 chloe:收到銀行通知USD2804</t>
      </text>
    </comment>
    <comment authorId="0" ref="H606">
      <text>
        <t xml:space="preserve">======
ID#AAABjx7qP78
    (2025-05-21 11:33:24)
20170112 chloe:收到銀行通知USD19203</t>
      </text>
    </comment>
    <comment authorId="0" ref="H110">
      <text>
        <t xml:space="preserve">======
ID#AAABjx7qP74
0322 Santiago    (2025-05-21 11:33:24)
收到銀行匯款US$1481 +
去年Tpole 多匯US$2000</t>
      </text>
    </comment>
    <comment authorId="0" ref="H179">
      <text>
        <t xml:space="preserve">======
ID#AAABjx7qP7c
    (2025-05-21 11:33:24)
0531 Benson: 0531 got payment receipt from bank</t>
      </text>
    </comment>
    <comment authorId="0" ref="H275">
      <text>
        <t xml:space="preserve">======
ID#AAABjx7qP7Y
    (2025-05-21 11:33:24)
2/5 michelle: 玉山通知匯入共USD8383</t>
      </text>
    </comment>
    <comment authorId="0" ref="K392">
      <text>
        <t xml:space="preserve">======
ID#AAABjx7qP54
    (2025-05-21 11:33:24)
0720 Chloe:尚未收到客戶付款待收款後出貨</t>
      </text>
    </comment>
    <comment authorId="0" ref="K122">
      <text>
        <t xml:space="preserve">======
ID#AAABjx7qP4w
    (2025-05-21 11:33:24)
預計3月底</t>
      </text>
    </comment>
    <comment authorId="0" ref="H222">
      <text>
        <t xml:space="preserve">======
ID#AAABjx7qP4g
    (2025-05-21 11:33:24)
0504 Santiago: 銀行通知匯入US$826</t>
      </text>
    </comment>
    <comment authorId="0" ref="H558">
      <text>
        <t xml:space="preserve">======
ID#AAABjx7qP3o
    (2025-05-21 11:33:24)
1117 chloe:收到12848元</t>
      </text>
    </comment>
    <comment authorId="0" ref="L30">
      <text>
        <t xml:space="preserve">======
ID#AAABjx7qP3M
    (2025-05-21 11:33:24)
1/7 michelle: 已退回MOXA</t>
      </text>
    </comment>
    <comment authorId="0" ref="H38">
      <text>
        <t xml:space="preserve">======
ID#AAABjx7qP3E
    (2025-05-21 11:33:24)
1/27 michelle: 玉山通知匯入共USD2635</t>
      </text>
    </comment>
    <comment authorId="0" ref="H73">
      <text>
        <t xml:space="preserve">======
ID#AAABjx7qP2w
    (2025-05-21 11:33:24)
0403 Santiago : 收到支票</t>
      </text>
    </comment>
    <comment authorId="0" ref="H221">
      <text>
        <t xml:space="preserve">======
ID#AAABjx7qP1w
    (2025-05-21 11:33:24)
0630 Santiago: 收到銀行通知</t>
      </text>
    </comment>
    <comment authorId="0" ref="H501">
      <text>
        <t xml:space="preserve">======
ID#AAABjx7qP1g
    (2025-05-21 11:33:24)
0922 chloe:收到銀行通知USD2135</t>
      </text>
    </comment>
    <comment authorId="0" ref="N512">
      <text>
        <t xml:space="preserve">======
ID#AAABjx7qP0o
    (2025-05-21 11:33:24)
1130 chloe:訂單編號應該為PO，下成MPO</t>
      </text>
    </comment>
    <comment authorId="0" ref="O78">
      <text>
        <t xml:space="preserve">======
ID#AAABjx7qP0g
    (2025-05-21 11:33:24)
160203 扣抵金額(含稅)US$197.4元,應支付貨款(含稅)為US$3288.6元</t>
      </text>
    </comment>
    <comment authorId="0" ref="H11">
      <text>
        <t xml:space="preserve">======
ID#AAABjx7qPzE
    (2025-05-21 11:33:24)
0110 Santiago: 收到客戶水單
0114 michelle:玉山通知入帳</t>
      </text>
    </comment>
    <comment authorId="0" ref="H682">
      <text>
        <t xml:space="preserve">======
ID#AAABjx7qPy4
    (2025-05-21 11:33:24)
20170112 chloe:收到銀行通知USD19203</t>
      </text>
    </comment>
    <comment authorId="0" ref="K40">
      <text>
        <t xml:space="preserve">======
ID#AAABjx7qPyY
    (2025-05-21 11:33:24)
20160114 iBase 處理中</t>
      </text>
    </comment>
    <comment authorId="0" ref="L579">
      <text>
        <t xml:space="preserve">======
ID#AAABjx7qPyQ
    (2025-05-21 11:33:24)
1026 chloe:下單待回交期
1027 chloe:因更改BIOS故交期會往後延一個星期</t>
      </text>
    </comment>
    <comment authorId="0" ref="H195">
      <text>
        <t xml:space="preserve">======
ID#AAABjx7qPx4
    (2025-05-21 11:33:24)
0630 Santiago: 收到銀行通知</t>
      </text>
    </comment>
    <comment authorId="0" ref="H138">
      <text>
        <t xml:space="preserve">======
ID#AAABjx7qPx0
    (2025-05-21 11:33:24)
0520 Santiago: 收到銀行通知</t>
      </text>
    </comment>
    <comment authorId="0" ref="E216">
      <text>
        <t xml:space="preserve">======
ID#AAABjx7qPxk
    (2025-05-21 11:33:24)
EU Band w/ Cn Adapter</t>
      </text>
    </comment>
    <comment authorId="0" ref="H534">
      <text>
        <t xml:space="preserve">======
ID#AAABjx7qPu4
    (2025-05-21 11:33:24)
1206 chloe:收到銀行通知USD6761</t>
      </text>
    </comment>
    <comment authorId="0" ref="V210">
      <text>
        <t xml:space="preserve">======
ID#AAABjx7qPug
    (2025-05-21 11:33:24)
@32.27</t>
      </text>
    </comment>
    <comment authorId="0" ref="H19">
      <text>
        <t xml:space="preserve">======
ID#AAABjx7qPuM
    (2025-05-21 11:33:24)
0301 Santiago 收到銀行通知</t>
      </text>
    </comment>
    <comment authorId="0" ref="H426">
      <text>
        <t xml:space="preserve">======
ID#AAABjx7qPt8
    (2025-05-21 11:33:24)
1011 chloe: 已收到銀行通知USD13735，因客戶匯款成舊戶名
，修改後銀行才會入戶頭
1027 chloe:銀行收到修改電文，故發放此款</t>
      </text>
    </comment>
    <comment authorId="0" ref="H183">
      <text>
        <t xml:space="preserve">======
ID#AAABjx7qPso
    (2025-05-21 11:33:24)
0822 chloe:收到銀行通知USD919</t>
      </text>
    </comment>
    <comment authorId="0" ref="H424">
      <text>
        <t xml:space="preserve">======
ID#AAABjx7qPsQ
    (2025-05-21 11:33:24)
1011 chloe: 已收到銀行通知USD13735，因客戶匯款成舊戶名
，修改後銀行才會入戶頭
1027 chloe:銀行收到修改電文，故發放此款</t>
      </text>
    </comment>
    <comment authorId="0" ref="H400">
      <text>
        <t xml:space="preserve">======
ID#AAABjx7qPsE
    (2025-05-21 11:33:24)
0822 chloe:收到銀行通知USD919</t>
      </text>
    </comment>
    <comment authorId="0" ref="H535">
      <text>
        <t xml:space="preserve">======
ID#AAABjx7qPr4
    (2025-05-21 11:33:24)
1206 chloe:收到銀行通知USD6761</t>
      </text>
    </comment>
    <comment authorId="0" ref="H697">
      <text>
        <t xml:space="preserve">======
ID#AAABjx7qPro
    (2025-05-21 11:33:24)
20170202 chloe:收到銀行通知USD13551</t>
      </text>
    </comment>
    <comment authorId="0" ref="H273">
      <text>
        <t xml:space="preserve">======
ID#AAABjx7qPq0
    (2025-05-21 11:33:24)
2016/7/13 Benson: got payment receipt from bank</t>
      </text>
    </comment>
    <comment authorId="0" ref="H507">
      <text>
        <t xml:space="preserve">======
ID#AAABjx7qPqU
    (2025-05-21 11:33:24)
1111 chloe:收到銀行通知USD2399</t>
      </text>
    </comment>
    <comment authorId="0" ref="H556">
      <text>
        <t xml:space="preserve">======
ID#AAABjx7qPpw
    (2025-05-21 11:33:24)
1213 chloe:收到支票NT193565(12/30以兌換成功)</t>
      </text>
    </comment>
    <comment authorId="0" ref="H660">
      <text>
        <t xml:space="preserve">======
ID#AAABjx7qPoM
    (2025-05-21 11:33:24)
0119 chloe:收到銀行通知USD2514.6</t>
      </text>
    </comment>
    <comment authorId="0" ref="H567">
      <text>
        <t xml:space="preserve">======
ID#AAABjx7qPoA
    (2025-05-21 11:33:24)
1202 chloe:收到銀行通知USD10342</t>
      </text>
    </comment>
    <comment authorId="0" ref="H605">
      <text>
        <t xml:space="preserve">======
ID#AAABjx7qPm8
    (2025-05-21 11:33:24)
20170112 chloe:收到銀行通知USD19203</t>
      </text>
    </comment>
    <comment authorId="0" ref="L326">
      <text>
        <t xml:space="preserve">======
ID#AAABjx7qPmg
    (2025-05-21 11:33:24)
0712 chloe:JAY回復 7/12宅急便寄出</t>
      </text>
    </comment>
    <comment authorId="0" ref="H504">
      <text>
        <t xml:space="preserve">======
ID#AAABjx7qPmY
    (2025-05-21 11:33:24)
1011 chloe: 已收到銀行通知USD13735，因客戶匯款成舊戶名，修改後銀行才會入戶頭
1027 chloe:銀行收到修改電文，故發放此款</t>
      </text>
    </comment>
    <comment authorId="0" ref="H61">
      <text>
        <t xml:space="preserve">======
ID#AAABjx7qPmA
    (2025-05-21 11:33:24)
20160607 Santiago: 收到16780
20160121 Santiago :收到一半貨款</t>
      </text>
    </comment>
    <comment authorId="0" ref="H427">
      <text>
        <t xml:space="preserve">======
ID#AAABjx7qPlY
    (2025-05-21 11:33:24)
1011 chloe: 已收到銀行通知USD13735，因客戶匯款成舊戶名
，修改後銀行才會入戶頭
1027 chloe:銀行收到修改電文，故發放此款</t>
      </text>
    </comment>
    <comment authorId="0" ref="E491">
      <text>
        <t xml:space="preserve">======
ID#AAABjx7qPlM
    (2025-05-21 11:33:24)
160920 由AE改為BE</t>
      </text>
    </comment>
    <comment authorId="0" ref="H166">
      <text>
        <t xml:space="preserve">======
ID#AAABjx7qPk8
    (2025-05-21 11:33:24)
Santiago0513: 收到支票</t>
      </text>
    </comment>
    <comment authorId="0" ref="H36">
      <text>
        <t xml:space="preserve">======
ID#AAABjx7qPkw
0322 Santiago    (2025-05-21 11:33:24)
收到銀行匯款US$1481 +
去年Tpole 多匯US$2000</t>
      </text>
    </comment>
    <comment authorId="0" ref="H608">
      <text>
        <t xml:space="preserve">======
ID#AAABjx7qPjE
    (2025-05-21 11:33:24)
1206 chloe:收到銀行通知USD6761</t>
      </text>
    </comment>
    <comment authorId="0" ref="H346">
      <text>
        <t xml:space="preserve">======
ID#AAABjx7qPjA
    (2025-05-21 11:33:24)
0728 Chloe 收到支票30萬
其餘8月底付款351553元
0902 chloe 收到支票525837</t>
      </text>
    </comment>
    <comment authorId="0" ref="H16">
      <text>
        <t xml:space="preserve">======
ID#AAABjx7qPi8
    (2025-05-21 11:33:24)
0301 Santiago 收到銀行通知</t>
      </text>
    </comment>
    <comment authorId="0" ref="H224">
      <text>
        <t xml:space="preserve">======
ID#AAABjx7qPic
    (2025-05-21 11:33:24)
0613 Santiago : 銀行通知</t>
      </text>
    </comment>
    <comment authorId="0" ref="O170">
      <text>
        <t xml:space="preserve">======
ID#AAABjx7qPiA
    (2025-05-21 11:33:24)
160329 扣抵金額(含稅)US$498.75元,應支付貨款(含稅)為US$9660元</t>
      </text>
    </comment>
    <comment authorId="0" ref="E600">
      <text>
        <t xml:space="preserve">======
ID#AAABjx7qPh4
    (2025-05-21 11:33:24)
161107 Karen: 確認EU</t>
      </text>
    </comment>
    <comment authorId="0" ref="L463">
      <text>
        <t xml:space="preserve">======
ID#AAABjx7qPhY
    (2025-05-21 11:33:24)
0902 chloe: 下單9/8中午前</t>
      </text>
    </comment>
    <comment authorId="0" ref="H159">
      <text>
        <t xml:space="preserve">======
ID#AAABjx7qPhA
    (2025-05-21 11:33:24)
0427 Santiago: 已收到客戶匯款</t>
      </text>
    </comment>
    <comment authorId="0" ref="L569">
      <text>
        <t xml:space="preserve">======
ID#AAABjx7qPgw
    (2025-05-21 11:33:24)
1021 chloe:待回覆正確交期→回覆應該可以，告知10/27中午前一定要到貨</t>
      </text>
    </comment>
    <comment authorId="0" ref="H389">
      <text>
        <t xml:space="preserve">======
ID#AAABjx7qPgc
    (2025-05-21 11:33:24)
0905 chloe:收到銀行通知USD9314</t>
      </text>
    </comment>
    <comment authorId="0" ref="H10">
      <text>
        <t xml:space="preserve">======
ID#AAABjx7qPfU
    (2025-05-21 11:33:24)
0110 Santiago: 收到客戶水單
0114 michelle:玉山通知入帳</t>
      </text>
    </comment>
    <comment authorId="0" ref="G278">
      <text>
        <t xml:space="preserve">======
ID#AAABjx7qPeY
    (2025-05-21 11:33:24)
0526 w/5% vat</t>
      </text>
    </comment>
    <comment authorId="0" ref="N552">
      <text>
        <t xml:space="preserve">======
ID#AAABjx7qPeA
20161013 Santiago    (2025-05-21 11:33:24)
下單日期要和歐緯世錯開一週</t>
      </text>
    </comment>
    <comment authorId="0" ref="L488">
      <text>
        <t xml:space="preserve">======
ID#AAABjx7qPdw
    (2025-05-21 11:33:24)
提早交貨0922</t>
      </text>
    </comment>
    <comment authorId="0" ref="H92">
      <text>
        <t xml:space="preserve">======
ID#AAABjx7qPds
    (2025-05-21 11:33:24)
0413 Santiago: 收到銀行通知</t>
      </text>
    </comment>
    <comment authorId="0" ref="J316">
      <text>
        <t xml:space="preserve">======
ID#AAABjx7qPdg
    (2025-05-21 11:33:24)
0623 Santiago :客戶指定EXPRESS</t>
      </text>
    </comment>
    <comment authorId="0" ref="H53">
      <text>
        <t xml:space="preserve">======
ID#AAABjx7qPdk
    (2025-05-21 11:33:24)
0303 Santiago : 收到支票</t>
      </text>
    </comment>
    <comment authorId="0" ref="O172">
      <text>
        <t xml:space="preserve">======
ID#AAABjx7qPdc
    (2025-05-21 11:33:24)
160402 扣抵金額(含稅)US$997.5,應支付貨款(含稅)為US$16485元</t>
      </text>
    </comment>
    <comment authorId="0" ref="L552">
      <text>
        <t xml:space="preserve">======
ID#AAABjx7qPdI
    (2025-05-21 11:33:24)
1014 chloe:下單待回交期
1018 chloe:回覆應該可以10/20到貨戎克</t>
      </text>
    </comment>
    <comment authorId="0" ref="H566">
      <text>
        <t xml:space="preserve">======
ID#AAABjx7qPc0
    (2025-05-21 11:33:24)
20170104 chloe:收到NT23681</t>
      </text>
    </comment>
    <comment authorId="0" ref="V531">
      <text>
        <t xml:space="preserve">======
ID#AAABjx7qPcs
    (2025-05-21 11:33:24)
1012 chloe: CP-114EL-I-DB9M此筆下單金額錯誤，此項金額為7461
1013寄出待更換</t>
      </text>
    </comment>
    <comment authorId="0" ref="L570">
      <text>
        <t xml:space="preserve">======
ID#AAABjx7qPcY
    (2025-05-21 11:33:24)
1021 chloe:待回覆正確交期→回覆應該可以，告知10/27中午前一定要到貨</t>
      </text>
    </comment>
    <comment authorId="0" ref="H59">
      <text>
        <t xml:space="preserve">======
ID#AAABjx7qPbA
    (2025-05-21 11:33:24)
20160107 Santiago: 收到銀行通知</t>
      </text>
    </comment>
    <comment authorId="0" ref="H573">
      <text>
        <t xml:space="preserve">======
ID#AAABjx7qPaA
    (2025-05-21 11:33:24)
1026 chloe:已收到銀行通知USD182</t>
      </text>
    </comment>
    <comment authorId="0" ref="G383">
      <text>
        <t xml:space="preserve">======
ID#AAABjx7qPZ8
    (2025-05-21 11:33:24)
0713 Santiago: 台幣固定值為NT1920</t>
      </text>
    </comment>
    <comment authorId="0" ref="H297">
      <text>
        <t xml:space="preserve">======
ID#AAABjx7qPZo
    (2025-05-21 11:33:24)
2016/6/20 Benson: got T/T copy from customer</t>
      </text>
    </comment>
    <comment authorId="0" ref="H505">
      <text>
        <t xml:space="preserve">======
ID#AAABjx7qPZg
    (2025-05-21 11:33:24)
1117 chloe:收到銀行通知USD13714</t>
      </text>
    </comment>
    <comment authorId="0" ref="H631">
      <text>
        <t xml:space="preserve">======
ID#AAABjx7qPYw
    (2025-05-21 11:33:24)
20170105 chloe: 收到銀行通知USD2683.5</t>
      </text>
    </comment>
    <comment authorId="0" ref="X214">
      <text>
        <t xml:space="preserve">======
ID#AAABjx7qPXs
    (2025-05-21 11:33:24)
發票修改</t>
      </text>
    </comment>
    <comment authorId="0" ref="H337">
      <text>
        <t xml:space="preserve">======
ID#AAABjx7qPWo
    (2025-05-21 11:33:24)
0816 chloe : 收到銀行通知 USD113,524</t>
      </text>
    </comment>
    <comment authorId="0" ref="H189">
      <text>
        <t xml:space="preserve">======
ID#AAABjx7qPVo
    (2025-05-21 11:33:24)
0503 Santiago : 收到銀行通知</t>
      </text>
    </comment>
    <comment authorId="0" ref="L35">
      <text>
        <t xml:space="preserve">======
ID#AAABjx7qPVQ
    (2025-05-21 11:33:24)
1/12 michelle: 付款後就可以出</t>
      </text>
    </comment>
    <comment authorId="0" ref="H55">
      <text>
        <t xml:space="preserve">======
ID#AAABjx7qPUM
    (2025-05-21 11:33:24)
20160607 Santiago: 收到16780
20160121 Santiago :收到一半貨款</t>
      </text>
    </comment>
    <comment authorId="0" ref="H685">
      <text>
        <t xml:space="preserve">======
ID#AAABjx7qPUI
    (2025-05-21 11:33:24)
0202 chloe:收到銀行通知USD13806</t>
      </text>
    </comment>
    <comment authorId="0" ref="D266">
      <text>
        <t xml:space="preserve">======
ID#AAABjx7qPTw
    (2025-05-21 11:33:24)
0601 Santiago 要求修改 PI號碼. 全部納入PI-20160118D</t>
      </text>
    </comment>
    <comment authorId="0" ref="H425">
      <text>
        <t xml:space="preserve">======
ID#AAABjx7qPS0
    (2025-05-21 11:33:24)
1011 chloe: 已收到銀行通知USD13735，因客戶匯款成舊戶名
，修改後銀行才會入戶頭
1027 chloe:銀行收到修改電文，故發放此款</t>
      </text>
    </comment>
    <comment authorId="0" ref="H76">
      <text>
        <t xml:space="preserve">======
ID#AAABjx7qPSU
    (2025-05-21 11:33:24)
2016/03/08 Benson: receive notice from bank</t>
      </text>
    </comment>
    <comment authorId="0" ref="K390">
      <text>
        <t xml:space="preserve">======
ID#AAABjx7qPRk
    (2025-05-21 11:33:24)
0728 chloe:請寄另外地址
T-POLE Srl
Via De Gasperi, 4
27040 PORTALBERA (PV)
Italy</t>
      </text>
    </comment>
    <comment authorId="0" ref="Y383">
      <text>
        <t xml:space="preserve">======
ID#AAABjx7qPRo
    (2025-05-21 11:33:24)
28800(不含稅)</t>
      </text>
    </comment>
    <comment authorId="0" ref="E43">
      <text>
        <t xml:space="preserve">======
ID#AAABjx7qPQ4
    (2025-05-21 11:33:24)
1/28 michelle: 04-US-26-00003 FSP120-AHAN2/9NA1204601</t>
      </text>
    </comment>
    <comment authorId="0" ref="H353">
      <text>
        <t xml:space="preserve">======
ID#AAABjx7qPQ8
    (2025-05-21 11:33:24)
0905 chloe:收到銀行通知USD9314</t>
      </text>
    </comment>
    <comment authorId="0" ref="H585">
      <text>
        <t xml:space="preserve">======
ID#AAABjx7qPQ0
    (2025-05-21 11:33:24)
1206 chloe:收到銀行通知USD6761</t>
      </text>
    </comment>
    <comment authorId="0" ref="H495">
      <text>
        <t xml:space="preserve">======
ID#AAABjx7qPQk
    (2025-05-21 11:33:24)
1111 chloe:收到銀行通知USD2399</t>
      </text>
    </comment>
    <comment authorId="0" ref="D183">
      <text>
        <t xml:space="preserve">======
ID#AAABjx7qPQU
    (2025-05-21 11:33:24)
0810 chloe: Santiago 指示此為樣品試產，不列入獎金計算</t>
      </text>
    </comment>
    <comment authorId="0" ref="H565">
      <text>
        <t xml:space="preserve">======
ID#AAABjx7qPP8
    (2025-05-21 11:33:24)
1026 chloe:已收到銀行通知USD615</t>
      </text>
    </comment>
    <comment authorId="0" ref="H161">
      <text>
        <t xml:space="preserve">======
ID#AAABjx7qPPM
    (2025-05-21 11:33:24)
2016/4/13 Benson: get payment notice from bank</t>
      </text>
    </comment>
    <comment authorId="0" ref="S463">
      <text>
        <t xml:space="preserve">======
ID#AAABjx7qPPA
    (2025-05-21 11:33:24)
0906 chloe: 8月結款剩4722
4722-7367 = -2645</t>
      </text>
    </comment>
    <comment authorId="0" ref="P31">
      <text>
        <t xml:space="preserve">======
ID#AAABjx7qPOU
    (2025-05-21 11:33:24)
20160607 Santiago
1.unit cost US$6630 w/o TAX
2. 0608 已付NT680626</t>
      </text>
    </comment>
    <comment authorId="0" ref="L578">
      <text>
        <t xml:space="preserve">======
ID#AAABjx7qPOM
    (2025-05-21 11:33:24)
1026 chloe:下單待回交期
1027 chloe:因更改BIOS故交期會往後延一個星期</t>
      </text>
    </comment>
    <comment authorId="0" ref="H81">
      <text>
        <t xml:space="preserve">======
ID#AAABjx7qPN4
0322 Santiago    (2025-05-21 11:33:24)
收到銀行匯款US$1481 +
去年Tpole 多匯US$2000</t>
      </text>
    </comment>
    <comment authorId="0" ref="I335">
      <text>
        <t xml:space="preserve">======
ID#AAABjx7qPMw
    (2025-05-21 11:33:24)
0830 Chloe:不計算獎金，因業務及採購都不須計算</t>
      </text>
    </comment>
    <comment authorId="0" ref="AB208">
      <text>
        <t xml:space="preserve">======
ID#AAABjx7qPMY
    (2025-05-21 11:33:24)
0428一半貨款共US$13184
0511一半貨款共US$13184</t>
      </text>
    </comment>
    <comment authorId="0" ref="H396">
      <text>
        <t xml:space="preserve">======
ID#AAABjx7qPL8
    (2025-05-21 11:33:24)
0822 chloe:收到銀行通知USD919</t>
      </text>
    </comment>
    <comment authorId="0" ref="H173">
      <text>
        <t xml:space="preserve">======
ID#AAABjx7qPLg
    (2025-05-21 11:33:24)
0428 Santiago: 收到銀行通知入帳一半貨款共US$22639
0415 Santiago: 收到銀行通知入帳一半貨款共US$22639</t>
      </text>
    </comment>
    <comment authorId="0" ref="H540">
      <text>
        <t xml:space="preserve">======
ID#AAABjx7qPLE
    (2025-05-21 11:33:24)
1207 chloe:收到銀行通知USD2804</t>
      </text>
    </comment>
    <comment authorId="0" ref="J287">
      <text>
        <t xml:space="preserve">======
ID#AAABjx7qPK0
    (2025-05-21 11:33:24)
0623 Santiago :客戶指定EXPRESS</t>
      </text>
    </comment>
    <comment authorId="0" ref="J628">
      <text>
        <t xml:space="preserve">======
ID#AAABjx7qPKg
    (2025-05-21 11:33:24)
1212 chloe:估錯材積，TNT Economy  運費 7925較便宜，故使用TNT</t>
      </text>
    </comment>
    <comment authorId="0" ref="L346">
      <text>
        <t xml:space="preserve">======
ID#AAABjx7qPJs
    (2025-05-21 11:33:24)
0712 chloe:待富佳堡貨送到則一併送出至戎克(當天可到)</t>
      </text>
    </comment>
    <comment authorId="0" ref="H364">
      <text>
        <t xml:space="preserve">======
ID#AAABjx7qPJ0
    (2025-05-21 11:33:24)
0905 chloe:收到銀行通知USD9314</t>
      </text>
    </comment>
    <comment authorId="0" ref="O454">
      <text>
        <t xml:space="preserve">======
ID#AAABjx7qPJg
    (2025-05-21 11:33:24)
160831 扣抵金額(含稅)US$798元,應支付貨款(含稅)為US$15456元</t>
      </text>
    </comment>
    <comment authorId="0" ref="H75">
      <text>
        <t xml:space="preserve">======
ID#AAABjx7qPJU
    (2025-05-21 11:33:24)
0311 Santiago 收到客戶水單US$1359</t>
      </text>
    </comment>
    <comment authorId="0" ref="K548">
      <text>
        <t xml:space="preserve">======
ID#AAABjx7qPJI
    (2025-05-21 11:33:24)
0728 chloe:請寄另外地址
T-POLE Srl
Via De Gasperi, 4
27040 PORTALBERA (PV)
Italy</t>
      </text>
    </comment>
    <comment authorId="0" ref="E92">
      <text>
        <t xml:space="preserve">======
ID#AAABjx7qPI8
    (2025-05-21 11:33:24)
3/16 Michelle:Demand3008 8" 這次樣品可以勉強接受2 Pin. 
但未來出貨一定要用3 pin 鳯凰接頭</t>
      </text>
    </comment>
    <comment authorId="0" ref="H547">
      <text>
        <t xml:space="preserve">======
ID#AAABjx7qPIk
    (2025-05-21 11:33:24)
20170118 chloe:收到銀行通知USD113</t>
      </text>
    </comment>
    <comment authorId="0" ref="H123">
      <text>
        <t xml:space="preserve">======
ID#AAABjx7qPIY
    (2025-05-21 11:33:24)
0321 Santiago: 收到US$9190 頭款
0415 Santiago: 收到US$9190 尾款</t>
      </text>
    </comment>
    <comment authorId="0" ref="J11">
      <text>
        <t xml:space="preserve">======
ID#AAABjx7qPIQ
    (2025-05-21 11:33:24)
160114 Karen: 由TNT變更為DHL</t>
      </text>
    </comment>
    <comment authorId="0" ref="H694">
      <text>
        <t xml:space="preserve">======
ID#AAABjx7qPIE
    (2025-05-21 11:33:24)
20170322 chloe:收到銀行通知USD2237</t>
      </text>
    </comment>
    <comment authorId="0" ref="H114">
      <text>
        <t xml:space="preserve">======
ID#AAABjx7qPHo
    (2025-05-21 11:33:24)
0322 Santiago: 收到銀行通知US$903.5</t>
      </text>
    </comment>
    <comment authorId="0" ref="H656">
      <text>
        <t xml:space="preserve">======
ID#AAABjx7qPHI
    (2025-05-21 11:33:24)
0119 chloe:收到銀行通知USD2514.6</t>
      </text>
    </comment>
    <comment authorId="0" ref="V209">
      <text>
        <t xml:space="preserve">======
ID#AAABjx7qPHE
    (2025-05-21 11:33:24)
同X207</t>
      </text>
    </comment>
    <comment authorId="0" ref="H197">
      <text>
        <t xml:space="preserve">======
ID#AAABjx7qPGw
    (2025-05-21 11:33:24)
0816 chloe : 收到銀行通知 USD113,524</t>
      </text>
    </comment>
    <comment authorId="0" ref="T186">
      <text>
        <t xml:space="preserve">======
ID#AAABjx7qPGs
    (2025-05-21 11:33:24)
請會計報研發費用發票</t>
      </text>
    </comment>
    <comment authorId="0" ref="L676">
      <text>
        <t xml:space="preserve">======
ID#AAABjx7qPGM
    (2025-05-21 11:33:24)
1206 chloe:預計產出時間
台灣2017/1/24
大陸無庫存(台灣生產)
Booking 中</t>
      </text>
    </comment>
    <comment authorId="0" ref="H329">
      <text>
        <t xml:space="preserve">======
ID#AAABjx7qPDk
    (2025-05-21 11:33:24)
0818 chloe:收到銀行通知USD5006</t>
      </text>
    </comment>
    <comment authorId="0" ref="I349">
      <text>
        <t xml:space="preserve">======
ID#AAABjx7qPDY
    (2025-05-21 11:33:24)
0830 Chloe:不計算獎金，因業務及採購都不須計算</t>
      </text>
    </comment>
    <comment authorId="0" ref="D185">
      <text>
        <t xml:space="preserve">======
ID#AAABjx7qPC8
    (2025-05-21 11:33:24)
0810 chloe: Santiago 指示此為樣品試產，不列入獎金計算</t>
      </text>
    </comment>
    <comment authorId="0" ref="H227">
      <text>
        <t xml:space="preserve">======
ID#AAABjx7qPCo
    (2025-05-21 11:33:24)
0622 Santiago : 收到銀行通知</t>
      </text>
    </comment>
    <comment authorId="0" ref="E125">
      <text>
        <t xml:space="preserve">======
ID#AAABjx7qPCY
    (2025-05-21 11:33:24)
EU Band w/ Cn Adapter</t>
      </text>
    </comment>
    <comment authorId="0" ref="H143">
      <text>
        <t xml:space="preserve">======
ID#AAABjx7qPBw
    (2025-05-21 11:33:24)
0518 Santiago:收到客戶通知</t>
      </text>
    </comment>
    <comment authorId="0" ref="K345">
      <text>
        <t xml:space="preserve">======
ID#AAABjx7qPAc
    (2025-05-21 11:33:24)
0707 chloe:FORWORD 說因受颱風影響若7/6晚上宣布停班則改由7/11取件</t>
      </text>
    </comment>
    <comment authorId="0" ref="U4">
      <text>
        <t xml:space="preserve">======
ID#AAABjx7qO-w
    (2025-05-21 11:33:24)
無廠商發票，線上刷卡</t>
      </text>
    </comment>
    <comment authorId="0" ref="D184">
      <text>
        <t xml:space="preserve">======
ID#AAABjx7qO-0
    (2025-05-21 11:33:24)
0810 chloe: Santiago 指示此為樣品試產，不列入獎金計算</t>
      </text>
    </comment>
    <comment authorId="0" ref="M382">
      <text>
        <t xml:space="preserve">======
ID#AAABjx7qO94
    (2025-05-21 11:33:24)
送至歐緯世</t>
      </text>
    </comment>
    <comment authorId="0" ref="H88">
      <text>
        <t xml:space="preserve">======
ID#AAABjx7qO9M
    (2025-05-21 11:33:24)
0323 Santiago: 收到客戶水單</t>
      </text>
    </comment>
    <comment authorId="0" ref="H452">
      <text>
        <t xml:space="preserve">======
ID#AAABjx7qO9Q
    (2025-05-21 11:33:24)
0919 chloe:收到銀行通知USD 21324</t>
      </text>
    </comment>
    <comment authorId="0" ref="V553">
      <text>
        <t xml:space="preserve">======
ID#AAABjx7qO9I
    (2025-05-21 11:33:24)
1031 chloe:已寫信催發票</t>
      </text>
    </comment>
    <comment authorId="0" ref="H136">
      <text>
        <t xml:space="preserve">======
ID#AAABjx7qO9E
    (2025-05-21 11:33:24)
0408 Santiago : 收到客戶支票</t>
      </text>
    </comment>
    <comment authorId="0" ref="H34">
      <text>
        <t xml:space="preserve">======
ID#AAABjx7qO8k
0322 Santiago    (2025-05-21 11:33:24)
收到銀行匯款US$1481 +
去年Tpole 多匯US$2000</t>
      </text>
    </comment>
    <comment authorId="0" ref="H124">
      <text>
        <t xml:space="preserve">======
ID#AAABjx7qO8M
    (2025-05-21 11:33:24)
0407 Santiago: 3/21 已收到貨款</t>
      </text>
    </comment>
    <comment authorId="0" ref="H240">
      <text>
        <t xml:space="preserve">======
ID#AAABjx7qO8I
    (2025-05-21 11:33:24)
0518 Santiago:收到銀竹通知</t>
      </text>
    </comment>
    <comment authorId="0" ref="H487">
      <text>
        <t xml:space="preserve">======
ID#AAABjx7qO74
    (2025-05-21 11:33:24)
1013 chloe:已收到銀行通知USD3160，因戶名錯誤故待修改電文後才能發放
1025 chloe: 已收到修改電文，故銀行放行款項</t>
      </text>
    </comment>
    <comment authorId="0" ref="H196">
      <text>
        <t xml:space="preserve">======
ID#AAABjx7qO78
    (2025-05-21 11:33:24)
2016/6/13 Benson: 20160609 received T/T copy from customer
2016/6/13 Benson: got payment notification from bank</t>
      </text>
    </comment>
    <comment authorId="0" ref="O124">
      <text>
        <t xml:space="preserve">======
ID#AAABjx7qO7s
    (2025-05-21 11:33:24)
160304 扣抵金額(含稅)US$399元,應支付貨款(含稅)為US$7728元
0605 chloe ：此貨款已付?</t>
      </text>
    </comment>
    <comment authorId="0" ref="D198">
      <text>
        <t xml:space="preserve">======
ID#AAABjx7qO5g
    (2025-05-21 11:33:24)
0415 Santiago: 收件地址有變. 
改寄墨爾本辦公室. 同日已發信通知Chloe</t>
      </text>
    </comment>
    <comment authorId="0" ref="H147">
      <text>
        <t xml:space="preserve">======
ID#AAABjx7qO5Y
    (2025-05-21 11:33:24)
0518 Santiago:收到客戶通知</t>
      </text>
    </comment>
    <comment authorId="0" ref="H349">
      <text>
        <t xml:space="preserve">======
ID#AAABjx7qO5E
    (2025-05-21 11:33:24)
20160805 Chloe: 收到銀行通知</t>
      </text>
    </comment>
    <comment authorId="0" ref="H283">
      <text>
        <t xml:space="preserve">======
ID#AAABjx7qO4w
    (2025-05-21 11:33:24)
0701 Santiago: 收到銀行通知</t>
      </text>
    </comment>
    <comment authorId="0" ref="H94">
      <text>
        <t xml:space="preserve">======
ID#AAABjx7qO4o
    (2025-05-21 11:33:24)
0520 Santiago: 收到銀行通知</t>
      </text>
    </comment>
    <comment authorId="0" ref="H583">
      <text>
        <t xml:space="preserve">======
ID#AAABjx7qO4c
    (2025-05-21 11:33:24)
20170104 chloe:收到NT23681</t>
      </text>
    </comment>
    <comment authorId="0" ref="H331">
      <text>
        <t xml:space="preserve">======
ID#AAABjx7qO4M
    (2025-05-21 11:33:24)
2016/6/24 Benson: get T/T copy from customer on June 24.
2016/6/27 Benson: get payment receipt from bank</t>
      </text>
    </comment>
    <comment authorId="0" ref="M552">
      <text>
        <t xml:space="preserve">======
ID#AAABjx7qO30
20161013 Santiago    (2025-05-21 11:33:24)
下單日期要和歐緯世錯開一週</t>
      </text>
    </comment>
    <comment authorId="0" ref="H600">
      <text>
        <t xml:space="preserve">======
ID#AAABjx7qO3A
    (2025-05-21 11:33:24)
1213 chloe:收到支票NT193565(12/30以兌換成功)</t>
      </text>
    </comment>
    <comment authorId="0" ref="J528">
      <text>
        <t xml:space="preserve">======
ID#AAABjx7qO1k
0930 Santiago    (2025-05-21 11:33:24)
1. FOB. 
2. 請Airlife 出口報關時提供COC (產地證明)</t>
      </text>
    </comment>
    <comment authorId="0" ref="U185">
      <text>
        <t xml:space="preserve">======
ID#AAABjx7qO1g
    (2025-05-21 11:33:24)
請會計報研發費用發票</t>
      </text>
    </comment>
    <comment authorId="0" ref="K344">
      <text>
        <t xml:space="preserve">======
ID#AAABjx7qO04
    (2025-05-21 11:33:24)
0707 chloe:FORWORD 說因受颱風影響若7/6晚上宣布停班則改由7/11取件</t>
      </text>
    </comment>
    <comment authorId="0" ref="H616">
      <text>
        <t xml:space="preserve">======
ID#AAABjx7qO0s
    (2025-05-21 11:33:24)
1116 chloe:收到銀行通知USD368</t>
      </text>
    </comment>
    <comment authorId="0" ref="L347">
      <text>
        <t xml:space="preserve">======
ID#AAABjx7qO0o
    (2025-05-21 11:33:24)
0712 chloe: 07/12送至歐緯世</t>
      </text>
    </comment>
    <comment authorId="0" ref="O79">
      <text>
        <t xml:space="preserve">======
ID#AAABjx7qO0Y
    (2025-05-21 11:33:24)
160203 扣抵金額(含稅)US$68.04元,應支付貨款(含稅)為US$322.56元</t>
      </text>
    </comment>
    <comment authorId="0" ref="K41">
      <text>
        <t xml:space="preserve">======
ID#AAABjx7qOzk
    (2025-05-21 11:33:24)
20160114 iBase 處理中</t>
      </text>
    </comment>
    <comment authorId="0" ref="H411">
      <text>
        <t xml:space="preserve">======
ID#AAABjx7qOzc
    (2025-05-21 11:33:24)
0816 chloe : 收到銀行通知 USD113,524</t>
      </text>
    </comment>
    <comment authorId="0" ref="D199">
      <text>
        <t xml:space="preserve">======
ID#AAABjx7qOyM
    (2025-05-21 11:33:24)
0415 Santiago: 收件地址有變. 
改寄墨爾本辦公室. 同日已發信通知Chloe</t>
      </text>
    </comment>
    <comment authorId="0" ref="H521">
      <text>
        <t xml:space="preserve">======
ID#AAABjx7qOxA
20161012 Santiago    (2025-05-21 11:33:24)
科技國同意匯率31.63
20161019 chloe: 合庫收到款項NT934291</t>
      </text>
    </comment>
    <comment authorId="0" ref="H374">
      <text>
        <t xml:space="preserve">======
ID#AAABjx7qOw8
    (2025-05-21 11:33:24)
0720 chloe: 收到銀行通知</t>
      </text>
    </comment>
    <comment authorId="0" ref="L101">
      <text>
        <t xml:space="preserve">======
ID#AAABjx7qOws
    (2025-05-21 11:33:24)
中午</t>
      </text>
    </comment>
    <comment authorId="0" ref="H651">
      <text>
        <t xml:space="preserve">======
ID#AAABjx7qOwE
    (2025-05-21 11:33:24)
1230 chloe:收到銀行通知USD7125</t>
      </text>
    </comment>
    <comment authorId="0" ref="H49">
      <text>
        <t xml:space="preserve">======
ID#AAABjx7qOvQ
    (2025-05-21 11:33:24)
0309 Santiago: 收到客戶支票</t>
      </text>
    </comment>
    <comment authorId="0" ref="H103">
      <text>
        <t xml:space="preserve">======
ID#AAABjx7qOu0
    (2025-05-21 11:33:24)
0311 Santiago 收到客戶水單US$1359</t>
      </text>
    </comment>
    <comment authorId="0" ref="X96">
      <text>
        <t xml:space="preserve">======
ID#AAABjx7qOtI
    (2025-05-21 11:33:24)
發票等資料已在CHLOE那</t>
      </text>
    </comment>
    <comment authorId="0" ref="E354">
      <text>
        <t xml:space="preserve">======
ID#AAABjx7qOtM
    (2025-05-21 11:33:24)
0706 Santiago: TS128GSSD420K 替換 TS512MSK64W6H</t>
      </text>
    </comment>
    <comment authorId="0" ref="L527">
      <text>
        <t xml:space="preserve">======
ID#AAABjx7qOs8
    (2025-05-21 11:33:24)
交期7天 提早10/5到貨</t>
      </text>
    </comment>
    <comment authorId="0" ref="H327">
      <text>
        <t xml:space="preserve">======
ID#AAABjx7qOs4
    (2025-05-21 11:33:24)
0818 chloe: 收到銀行通知USD3248</t>
      </text>
    </comment>
    <comment authorId="0" ref="H274">
      <text>
        <t xml:space="preserve">======
ID#AAABjx7qOs0
    (2025-05-21 11:33:24)
160707 Tammy: 收到銀行通知</t>
      </text>
    </comment>
    <comment authorId="0" ref="Z1">
      <text>
        <t xml:space="preserve">======
ID#AAABjx7qOsg
    (2025-05-21 11:33:24)
此欄位針對某些特定客戶. 要求使用出貨前一天的匯率. 才開發票的客戶. 例如 Z 和 Pharms</t>
      </text>
    </comment>
    <comment authorId="0" ref="H263">
      <text>
        <t xml:space="preserve">======
ID#AAABjx7qOsA
    (2025-05-21 11:33:24)
0630 Santiago: 收到銀行通知</t>
      </text>
    </comment>
    <comment authorId="0" ref="L28">
      <text>
        <t xml:space="preserve">======
ID#AAABjx7qOrs
    (2025-05-21 11:33:24)
1004 chloe : PULL IN 中，看能不能趕在10/27
1011 chloe: Pull in中，待回覆
1013 chloe: Pull in中，回覆無法提前→因機箱上色問題交期延至11/11
1025 chloe:到貨兩台</t>
      </text>
    </comment>
    <comment authorId="0" ref="H117">
      <text>
        <t xml:space="preserve">======
ID#AAABjx7qOrg
    (2025-05-21 11:33:24)
0520 Santiago: 收到銀行通知</t>
      </text>
    </comment>
    <comment authorId="0" ref="E122">
      <text>
        <t xml:space="preserve">======
ID#AAABjx7qOq8
    (2025-05-21 11:33:24)
160203 EU Band w/ Cn Adapter</t>
      </text>
    </comment>
    <comment authorId="0" ref="H39">
      <text>
        <t xml:space="preserve">======
ID#AAABjx7qOqA
    (2025-05-21 11:33:24)
2/5 michelle: 玉山通知匯入共USD8383</t>
      </text>
    </comment>
    <comment authorId="0" ref="L526">
      <text>
        <t xml:space="preserve">======
ID#AAABjx7qOpI
    (2025-05-21 11:33:24)
交期7天 提早10/5到貨</t>
      </text>
    </comment>
    <comment authorId="0" ref="V483">
      <text>
        <t xml:space="preserve">======
ID#AAABjx7qOpA
    (2025-05-21 11:33:24)
1017 chloe:估計22975元</t>
      </text>
    </comment>
    <comment authorId="0" ref="H298">
      <text>
        <t xml:space="preserve">======
ID#AAABjx7qOoM
    (2025-05-21 11:33:24)
2016/6/20 Benson: got T/T copy from customer</t>
      </text>
    </comment>
    <comment authorId="0" ref="H211">
      <text>
        <t xml:space="preserve">======
ID#AAABjx7qOn4
    (2025-05-21 11:33:24)
0503 Santiago : 收到銀行通知</t>
      </text>
    </comment>
    <comment authorId="0" ref="H520">
      <text>
        <t xml:space="preserve">======
ID#AAABjx7qOnw
    (2025-05-21 11:33:24)
1117 chloe:收到銀行通知USD13714</t>
      </text>
    </comment>
    <comment authorId="0" ref="I395">
      <text>
        <t xml:space="preserve">======
ID#AAABjx7qOnk
    (2025-05-21 11:33:24)
0830 Chloe:不計算獎金，因業務及採購都不須計算</t>
      </text>
    </comment>
    <comment authorId="0" ref="H32">
      <text>
        <t xml:space="preserve">======
ID#AAABjx7qOm4
0322 Santiago    (2025-05-21 11:33:24)
收到銀行匯款US$1481 +
去年Tpole 多匯US$2000</t>
      </text>
    </comment>
    <comment authorId="0" ref="G500">
      <text>
        <t xml:space="preserve">======
ID#AAABjx7qOmc
    (2025-05-21 11:33:24)
w/5%VAT</t>
      </text>
    </comment>
    <comment authorId="0" ref="X95">
      <text>
        <t xml:space="preserve">======
ID#AAABjx7qOk8
    (2025-05-21 11:33:24)
發票等資料已在CHLOE那</t>
      </text>
    </comment>
    <comment authorId="0" ref="H429">
      <text>
        <t xml:space="preserve">======
ID#AAABjx7qOkc
    (2025-05-21 11:33:24)
1011 chloe: 已收到銀行通知USD13735，因客戶匯款成舊戶名，修改後銀行才會入戶頭
1027 chloe:銀行收到修改電文，故發放此款</t>
      </text>
    </comment>
    <comment authorId="0" ref="H385">
      <text>
        <t xml:space="preserve">======
ID#AAABjx7qOkY
    (2025-05-21 11:33:24)
20160604 Santiago : received bank note</t>
      </text>
    </comment>
    <comment authorId="0" ref="H23">
      <text>
        <t xml:space="preserve">======
ID#AAABjx7qOkA
    (2025-05-21 11:33:24)
0922 chloe:收到銀行通知USD6071</t>
      </text>
    </comment>
    <comment authorId="0" ref="J450">
      <text>
        <t xml:space="preserve">======
ID#AAABjx7qOi8
    (2025-05-21 11:33:24)
大榮</t>
      </text>
    </comment>
    <comment authorId="0" ref="H441">
      <text>
        <t xml:space="preserve">======
ID#AAABjx7qOiA
    (2025-05-21 11:33:24)
1012 chloe:已收到銀行通知USD2998，因客戶匯款成舊戶名，修改後銀行才會入戶頭
1101由我方銀行通知客戶修改電文</t>
      </text>
    </comment>
    <comment authorId="0" ref="H163">
      <text>
        <t xml:space="preserve">======
ID#AAABjx7qOfI
    (2025-05-21 11:33:24)
2016/4/13 Benson: get payment notice from bank</t>
      </text>
    </comment>
    <comment authorId="0" ref="H555">
      <text>
        <t xml:space="preserve">======
ID#AAABjx7qOek
    (2025-05-21 11:33:24)
1213 chloe:收到支票NT193565(12/30以兌換成功)</t>
      </text>
    </comment>
    <comment authorId="0" ref="S567">
      <text>
        <t xml:space="preserve">======
ID#AAABjx7qOcE
    (2025-05-21 11:33:24)
1021 chloe:付款後三天出貨</t>
      </text>
    </comment>
    <comment authorId="0" ref="H481">
      <text>
        <t xml:space="preserve">======
ID#AAABjx7qObg
    (2025-05-21 11:33:24)
1117 chloe:收到銀行通知USD13714</t>
      </text>
    </comment>
    <comment authorId="0" ref="E468">
      <text>
        <t xml:space="preserve">======
ID#AAABjx7qObM
    (2025-05-21 11:33:24)
160907 Karen: UK ADAPTER</t>
      </text>
    </comment>
    <comment authorId="0" ref="H390">
      <text>
        <t xml:space="preserve">======
ID#AAABjx7qOZ4
    (2025-05-21 11:33:24)
1004 chloe:收到銀行通知USD3752</t>
      </text>
    </comment>
    <comment authorId="0" ref="H107">
      <text>
        <t xml:space="preserve">======
ID#AAABjx7qOZI
    (2025-05-21 11:33:24)
0407 Santiago: 收到銀行通知</t>
      </text>
    </comment>
    <comment authorId="0" ref="H488">
      <text>
        <t xml:space="preserve">======
ID#AAABjx7qOYw
    (2025-05-21 11:33:24)
1013 chloe:已收到銀行通知USD3160，因戶名錯誤故待修改電文後才能發放
1025 chloe: 已收到修改電文，故銀行放行款項</t>
      </text>
    </comment>
    <comment authorId="0" ref="D622">
      <text>
        <t xml:space="preserve">======
ID#AAABjx7qOYo
    (2025-05-21 11:33:24)
測試步驟：
1. Disable Fast Start-up function
2. Remove Power at 2nd stage
3. Check "Boot option priorities" in BIOS
4. Prepare DRAM module 2~3 pcs
5. 加測Memtest86+</t>
      </text>
    </comment>
    <comment authorId="0" ref="H72">
      <text>
        <t xml:space="preserve">======
ID#AAABjx7qOYQ
0322 Santiago    (2025-05-21 11:33:24)
收到銀行匯款US$1481 +
去年Tpole 多匯US$2000</t>
      </text>
    </comment>
    <comment authorId="0" ref="L373">
      <text>
        <t xml:space="preserve">======
ID#AAABjx7qOYA
    (2025-05-21 11:33:24)
0729 Chloe:原本預計9/3到貨</t>
      </text>
    </comment>
    <comment authorId="0" ref="L18">
      <text>
        <t xml:space="preserve">======
ID#AAABjx7qOXs
    (2025-05-21 11:33:24)
提早8/24到貨</t>
      </text>
    </comment>
    <comment authorId="0" ref="V223">
      <text>
        <t xml:space="preserve">======
ID#AAABjx7qOXU
    (2025-05-21 11:33:24)
1390630684</t>
      </text>
    </comment>
    <comment authorId="0" ref="H506">
      <text>
        <t xml:space="preserve">======
ID#AAABjx7qOXM
    (2025-05-21 11:33:24)
1111 chloe:收到銀行通知USD2399</t>
      </text>
    </comment>
    <comment authorId="0" ref="K417">
      <text>
        <t xml:space="preserve">======
ID#AAABjx7qOWY
    (2025-05-21 11:33:24)
0728 chloe:請寄另外地址
T-POLE Srl
Via De Gasperi, 4
27040 PORTALBERA (PV)
Italy</t>
      </text>
    </comment>
    <comment authorId="0" ref="H544">
      <text>
        <t xml:space="preserve">======
ID#AAABjx7qOVc
    (2025-05-21 11:33:24)
1205 chloe:收到銀行通知USD991</t>
      </text>
    </comment>
    <comment authorId="0" ref="H209">
      <text>
        <t xml:space="preserve">======
ID#AAABjx7qOUk
    (2025-05-21 11:33:24)
0511 Santiago: 收到銀行通知入帳一半貨款共US$13184
0428 Santiago: 收到銀行通知入帳一半貨款共US$13184</t>
      </text>
    </comment>
    <comment authorId="0" ref="G671">
      <text>
        <t xml:space="preserve">======
ID#AAABjx7qOUU
    (2025-05-21 11:33:24)
48美元 = 45歐元</t>
      </text>
    </comment>
    <comment authorId="0" ref="H87">
      <text>
        <t xml:space="preserve">======
ID#AAABjx7qOTk
    (2025-05-21 11:33:24)
0323 Santiago: 收到客戶水單</t>
      </text>
    </comment>
    <comment authorId="0" ref="X131">
      <text>
        <t xml:space="preserve">======
ID#AAABjx7qOSE
    (2025-05-21 11:33:24)
5111068395</t>
      </text>
    </comment>
    <comment authorId="0" ref="H264">
      <text>
        <t xml:space="preserve">======
ID#AAABjx7qOSI
    (2025-05-21 11:33:24)
20160607 Santiago: 收到16780</t>
      </text>
    </comment>
    <comment authorId="0" ref="H639">
      <text>
        <t xml:space="preserve">======
ID#AAABjx7qORc
    (2025-05-21 11:33:24)
20170112 chloe:收到銀行通知USD19203</t>
      </text>
    </comment>
    <comment authorId="0" ref="H322">
      <text>
        <t xml:space="preserve">======
ID#AAABjx7qORI
    (2025-05-21 11:33:24)
0818 chloe: 收到銀行通知USD3248</t>
      </text>
    </comment>
    <comment authorId="0" ref="H301">
      <text>
        <t xml:space="preserve">======
ID#AAABjx7qOQ8
    (2025-05-21 11:33:24)
0818 chloe:收到銀行通知USD5006</t>
      </text>
    </comment>
    <comment authorId="0" ref="H515">
      <text>
        <t xml:space="preserve">======
ID#AAABjx7qOQ0
    (2025-05-21 11:33:24)
1017 chloe:以收到銀行通知USD1620</t>
      </text>
    </comment>
    <comment authorId="0" ref="H457">
      <text>
        <t xml:space="preserve">======
ID#AAABjx7qOQs
    (2025-05-21 11:33:24)
0908 chloe:收到銀行通知USD106</t>
      </text>
    </comment>
    <comment authorId="0" ref="D246">
      <text>
        <t xml:space="preserve">======
ID#AAABjx7qOQw
    (2025-05-21 11:33:24)
Santiago 0525: 因為交期出問題, 客戶決定取消訂單</t>
      </text>
    </comment>
    <comment authorId="0" ref="H453">
      <text>
        <t xml:space="preserve">======
ID#AAABjx7qOPo
    (2025-05-21 11:33:24)
0919 chloe:收到銀行通知USD 21324</t>
      </text>
    </comment>
    <comment authorId="0" ref="J682">
      <text>
        <t xml:space="preserve">======
ID#AAABjx7qOPA
    (2025-05-21 11:33:24)
1212 chloe:估錯材積，TNT Economy  運費 7925較便宜，故使用TNT</t>
      </text>
    </comment>
    <comment authorId="0" ref="H445">
      <text>
        <t xml:space="preserve">======
ID#AAABjx7qOOk
    (2025-05-21 11:33:24)
1011 chloe: 已收到銀行通知USD13735，因客戶匯款成舊戶名，修改後銀行才會入戶頭
1027 chloe:銀行收到修改電文，故發放此款</t>
      </text>
    </comment>
    <comment authorId="0" ref="H335">
      <text>
        <t xml:space="preserve">======
ID#AAABjx7qOOc
    (2025-05-21 11:33:24)
0822 chloe:收到銀行通知USD919</t>
      </text>
    </comment>
    <comment authorId="0" ref="K391">
      <text>
        <t xml:space="preserve">======
ID#AAABjx7qOOU
    (2025-05-21 11:33:24)
0720 Chloe:尚未收到客戶付款待收款後出貨</t>
      </text>
    </comment>
    <comment authorId="0" ref="G470">
      <text>
        <t xml:space="preserve">======
ID#AAABjx7qOOE
    (2025-05-21 11:33:24)
w/5%VAT</t>
      </text>
    </comment>
    <comment authorId="0" ref="H503">
      <text>
        <t xml:space="preserve">======
ID#AAABjx7qONs
    (2025-05-21 11:33:24)
1129 chloe:收到銀行通知USD6330。
但客戶水單PI號碼填成 PI-20161121A，正確應該是PI-20160921C的匯款</t>
      </text>
    </comment>
    <comment authorId="0" ref="G151">
      <text>
        <t xml:space="preserve">======
ID#AAABjx7qONk
    (2025-05-21 11:33:24)
160319 Santiago: 僅此單用US$80元(未稅)接單`</t>
      </text>
    </comment>
    <comment authorId="0" ref="H194">
      <text>
        <t xml:space="preserve">======
ID#AAABjx7qONU
    (2025-05-21 11:33:24)
0630 Santiago: 收到銀行通知</t>
      </text>
    </comment>
    <comment authorId="0" ref="H484">
      <text>
        <t xml:space="preserve">======
ID#AAABjx7qONI
    (2025-05-21 11:33:24)
1111 chloe:收到銀行通知USD2399</t>
      </text>
    </comment>
    <comment authorId="0" ref="M682">
      <text>
        <t xml:space="preserve">======
ID#AAABjx7qOLo
    (2025-05-21 11:33:24)
1212 chloe:估錯材積，TNT Economy  運費 7925較便宜，故使用TNT</t>
      </text>
    </comment>
    <comment authorId="0" ref="H139">
      <text>
        <t xml:space="preserve">======
ID#AAABjx7qOLs
    (2025-05-21 11:33:24)
2016/3/18 Benson: getting bank notice for payment: US$ 511</t>
      </text>
    </comment>
    <comment authorId="0" ref="H226">
      <text>
        <t xml:space="preserve">======
ID#AAABjx7qOLU
    (2025-05-21 11:33:24)
0622 Santiago : 收到銀行通知</t>
      </text>
    </comment>
    <comment authorId="0" ref="H628">
      <text>
        <t xml:space="preserve">======
ID#AAABjx7qOLA
    (2025-05-21 11:33:24)
20170112 chloe:收到銀行通知USD19203</t>
      </text>
    </comment>
    <comment authorId="0" ref="P5">
      <text>
        <t xml:space="preserve">======
ID#AAABjx7qOK8
    (2025-05-21 11:33:24)
=USD130.58*31.67</t>
      </text>
    </comment>
    <comment authorId="0" ref="H308">
      <text>
        <t xml:space="preserve">======
ID#AAABjx7qOKs
    (2025-05-21 11:33:24)
2/5 michelle: 玉山通知匯入共USD8383</t>
      </text>
    </comment>
    <comment authorId="0" ref="H392">
      <text>
        <t xml:space="preserve">======
ID#AAABjx7qOKU
    (2025-05-21 11:33:24)
0808 chloe:收到銀行通知USD1699</t>
      </text>
    </comment>
    <comment authorId="0" ref="H613">
      <text>
        <t xml:space="preserve">======
ID#AAABjx7qOKQ
    (2025-05-21 11:33:24)
1122 chloe:收到銀行通知USD1786</t>
      </text>
    </comment>
    <comment authorId="0" ref="D173">
      <text>
        <t xml:space="preserve">======
ID#AAABjx7qOJ4
    (2025-05-21 11:33:24)
0401 Santiago: 東托再增庫存備用</t>
      </text>
    </comment>
    <comment authorId="0" ref="H187">
      <text>
        <t xml:space="preserve">======
ID#AAABjx7qOJg
    (2025-05-21 11:33:24)
2016/4/12 Benson: getting payment notice from bank</t>
      </text>
    </comment>
    <comment authorId="0" ref="H176">
      <text>
        <t xml:space="preserve">======
ID#AAABjx7qOJc
    (2025-05-21 11:33:24)
20160604 Santiago : received bank note</t>
      </text>
    </comment>
    <comment authorId="0" ref="M555">
      <text>
        <t xml:space="preserve">======
ID#AAABjx7qOIo
20161013 Santiago     (2025-05-21 11:33:24)
10/24 再下單</t>
      </text>
    </comment>
    <comment authorId="0" ref="H182">
      <text>
        <t xml:space="preserve">======
ID#AAABjx7qOIU
    (2025-05-21 11:33:24)
0524 chloe 收到貨款否?
0525 Benson:0519 收到客戶T/T copy</t>
      </text>
    </comment>
    <comment authorId="0" ref="H509">
      <text>
        <t xml:space="preserve">======
ID#AAABjx7qOHo
    (2025-05-21 11:33:24)
1111 chloe:收到銀行通知USD2399</t>
      </text>
    </comment>
    <comment authorId="0" ref="H146">
      <text>
        <t xml:space="preserve">======
ID#AAABjx7qOHE
    (2025-05-21 11:33:24)
0518 Santiago:收到客戶通知</t>
      </text>
    </comment>
    <comment authorId="0" ref="L561">
      <text>
        <t xml:space="preserve">======
ID#AAABjx7qOGs
    (2025-05-21 11:33:24)
1017 chloe:有庫存，因MOS-1120Y-1401E大陸調貨，</t>
      </text>
    </comment>
    <comment authorId="0" ref="K331">
      <text>
        <t xml:space="preserve">======
ID#AAABjx7qOGo
    (2025-05-21 11:33:24)
0707 chloe:FORWORD 說因受颱風影響若7/6晚上宣布停班則改由7/11取件</t>
      </text>
    </comment>
    <comment authorId="0" ref="AB123">
      <text>
        <t xml:space="preserve">======
ID#AAABjx7qOFw
    (2025-05-21 11:33:24)
0415一半貨款共US$9157.8
 0321一半貨款共US$9157.8</t>
      </text>
    </comment>
    <comment authorId="0" ref="H460">
      <text>
        <t xml:space="preserve">======
ID#AAABjx7qOFA
    (2025-05-21 11:33:24)
0907 chloe:收到銀行通知USD:183</t>
      </text>
    </comment>
    <comment authorId="0" ref="H324">
      <text>
        <t xml:space="preserve">======
ID#AAABjx7qOE8
    (2025-05-21 11:33:24)
0818 chloe: 收到銀行通知USD3248</t>
      </text>
    </comment>
    <comment authorId="0" ref="H267">
      <text>
        <t xml:space="preserve">======
ID#AAABjx7qOEg
    (2025-05-21 11:33:24)
0630 Santiago: 收到銀行通知</t>
      </text>
    </comment>
    <comment authorId="0" ref="H91">
      <text>
        <t xml:space="preserve">======
ID#AAABjx7qODU
    (2025-05-21 11:33:24)
2/22 michelle: TCB銀行通知匯入共USD4779</t>
      </text>
    </comment>
    <comment authorId="0" ref="X112">
      <text>
        <t xml:space="preserve">======
ID#AAABjx7qOCk
    (2025-05-21 11:33:24)
160224 Karen: 會安排２／２５交亞郁，戎克的發票日期請開２／２６，掛３月份的帳。</t>
      </text>
    </comment>
    <comment authorId="0" ref="E675">
      <text>
        <t xml:space="preserve">======
ID#AAABjx7qOCM
    (2025-05-21 11:33:24)
161202 Karen: w/ EU adaptor</t>
      </text>
    </comment>
    <comment authorId="0" ref="H343">
      <text>
        <t xml:space="preserve">======
ID#AAABjx7qOCI
    (2025-05-21 11:33:24)
0926 chloe:已收到銀行通知USD12216，因戎克戶名短少TD，故待客戶修改電文銀行才會發放
0929 chloe:給予客戶當初匯款水單後于與放行</t>
      </text>
    </comment>
    <comment authorId="0" ref="H612">
      <text>
        <t xml:space="preserve">======
ID#AAABjx7qOCA
    (2025-05-21 11:33:24)
1122 chloe:收到銀行通知USD1786</t>
      </text>
    </comment>
    <comment authorId="0" ref="H287">
      <text>
        <t xml:space="preserve">======
ID#AAABjx7qOB0
    (2025-05-21 11:33:24)
20160721 Santiago: 收到銀行通知</t>
      </text>
    </comment>
    <comment authorId="0" ref="H216">
      <text>
        <t xml:space="preserve">======
ID#AAABjx7qOA8
    (2025-05-21 11:33:24)
20160711 Santiago : 收到銀行通知</t>
      </text>
    </comment>
    <comment authorId="0" ref="G679">
      <text>
        <t xml:space="preserve">======
ID#AAABjx7qOAY
    (2025-05-21 11:33:24)
w/5%VAT</t>
      </text>
    </comment>
    <comment authorId="0" ref="H648">
      <text>
        <t xml:space="preserve">======
ID#AAABjx7qOAM
    (2025-05-21 11:33:24)
1230 chloe:收到銀行通知USD7125</t>
      </text>
    </comment>
    <comment authorId="0" ref="H698">
      <text>
        <t xml:space="preserve">======
ID#AAABjx7qN_I
    (2025-05-21 11:33:24)
20170202 chloe:收到銀行通知USD13551</t>
      </text>
    </comment>
    <comment authorId="0" ref="G382">
      <text>
        <t xml:space="preserve">======
ID#AAABjx7qN-4
    (2025-05-21 11:33:24)
0719 Santiago: 台幣固定值為NT5275.2</t>
      </text>
    </comment>
    <comment authorId="0" ref="H472">
      <text>
        <t xml:space="preserve">======
ID#AAABjx7qN-o
    (2025-05-21 11:33:24)
1117 chloe:收到銀行通知USD13714</t>
      </text>
    </comment>
    <comment authorId="0" ref="J451">
      <text>
        <t xml:space="preserve">======
ID#AAABjx7qN9s
    (2025-05-21 11:33:23)
大榮</t>
      </text>
    </comment>
    <comment authorId="0" ref="V281">
      <text>
        <t xml:space="preserve">======
ID#AAABjx7qN9Y
    (2025-05-21 11:33:23)
此為三片價格，出貨兩片，其中一片在外測試</t>
      </text>
    </comment>
    <comment authorId="0" ref="V417">
      <text>
        <t xml:space="preserve">======
ID#AAABjx7qN9I
    (2025-05-21 11:33:23)
發票已在8月份給予會計
出口報單編號：
CG053767L402</t>
      </text>
    </comment>
    <comment authorId="0" ref="H667">
      <text>
        <t xml:space="preserve">======
ID#AAABjx7qN88
    (2025-05-21 11:33:23)
1229 chloe:收到銀行通知USD4362</t>
      </text>
    </comment>
    <comment authorId="0" ref="H382">
      <text>
        <t xml:space="preserve">======
ID#AAABjx7qN78
    (2025-05-21 11:33:23)
0902 chloe 收到支票525837</t>
      </text>
    </comment>
    <comment authorId="0" ref="H357">
      <text>
        <t xml:space="preserve">======
ID#AAABjx7qN8A
    (2025-05-21 11:33:23)
0905 chloe:收到銀行通知USD9314</t>
      </text>
    </comment>
    <comment authorId="0" ref="H496">
      <text>
        <t xml:space="preserve">======
ID#AAABjx7qN7E
    (2025-05-21 11:33:23)
1011 chloe: 已收到銀行通知USD13735，因客戶匯款成舊戶名，修改後銀行才會入戶頭
1027 chloe:銀行收到修改電文，故發放此款</t>
      </text>
    </comment>
    <comment authorId="0" ref="H635">
      <text>
        <t xml:space="preserve">======
ID#AAABjx7qN68
    (2025-05-21 11:33:23)
20170105 chloe: 收到銀行通知USD2683.5</t>
      </text>
    </comment>
    <comment authorId="0" ref="G384">
      <text>
        <t xml:space="preserve">======
ID#AAABjx7qN6s
    (2025-05-21 11:33:23)
63</t>
      </text>
    </comment>
    <comment authorId="0" ref="L399">
      <text>
        <t xml:space="preserve">======
ID#AAABjx7qN6c
    (2025-05-21 11:33:23)
0726到貨</t>
      </text>
    </comment>
    <comment authorId="0" ref="O123">
      <text>
        <t xml:space="preserve">======
ID#AAABjx7qN6U
    (2025-05-21 11:33:23)
160304 扣抵金額(含稅)US$698.25,應支付貨款(含稅)為US$12201元</t>
      </text>
    </comment>
    <comment authorId="0" ref="H470">
      <text>
        <t xml:space="preserve">======
ID#AAABjx7qN54
    (2025-05-21 11:33:23)
1128 chloe:收到NT42509</t>
      </text>
    </comment>
    <comment authorId="0" ref="H78">
      <text>
        <t xml:space="preserve">======
ID#AAABjx7qN4I
    (2025-05-21 11:33:23)
2/22 michelle: TCB銀行通知匯入共USD4779</t>
      </text>
    </comment>
    <comment authorId="0" ref="H268">
      <text>
        <t xml:space="preserve">======
ID#AAABjx7qN3s
    (2025-05-21 11:33:23)
0630 Santiago: 收到銀行通知</t>
      </text>
    </comment>
    <comment authorId="0" ref="N557">
      <text>
        <t xml:space="preserve">======
ID#AAABjx7qN3A
20161013 Santiago    (2025-05-21 11:33:23)
等11/1 再確認是否下單</t>
      </text>
    </comment>
    <comment authorId="0" ref="K497">
      <text>
        <t xml:space="preserve">======
ID#AAABjx7qN20
    (2025-05-21 11:33:23)
0728 chloe:請寄另外地址
T-POLE Srl
Via De Gasperi, 4
27040 PORTALBERA (PV)
Italy</t>
      </text>
    </comment>
    <comment authorId="0" ref="H336">
      <text>
        <t xml:space="preserve">======
ID#AAABjx7qN2c
    (2025-05-21 11:33:23)
0301 Santiago 收到銀行通知</t>
      </text>
    </comment>
    <comment authorId="0" ref="H68">
      <text>
        <t xml:space="preserve">======
ID#AAABjx7qN10
    (2025-05-21 11:33:23)
0403 Santiago : 收到支票</t>
      </text>
    </comment>
    <comment authorId="0" ref="O419">
      <text>
        <t xml:space="preserve">======
ID#AAABjx7qN1o
    (2025-05-21 11:33:23)
160801 扣抵金額(含稅)US$698.25元,應支付貨款(含稅)為US$13524元
0908 chloe: MOXA帳單14383.95</t>
      </text>
    </comment>
    <comment authorId="0" ref="O332">
      <text>
        <t xml:space="preserve">======
ID#AAABjx7qN1k
    (2025-05-21 11:33:23)
160629 扣抵金額(含稅)US$252元,應支付貨款(含稅)為US$3223.5元</t>
      </text>
    </comment>
    <comment authorId="0" ref="H675">
      <text>
        <t xml:space="preserve">======
ID#AAABjx7qN1Y
    (2025-05-21 11:33:23)
1219 chloe:收到銀行通知USD183</t>
      </text>
    </comment>
    <comment authorId="0" ref="I299">
      <text>
        <t xml:space="preserve">======
ID#AAABjx7qN1Q
    (2025-05-21 11:33:23)
0830 Chloe:不計算獎金，因業務及採購都不須計算</t>
      </text>
    </comment>
    <comment authorId="0" ref="H259">
      <text>
        <t xml:space="preserve">======
ID#AAABjx7qN0Q
    (2025-05-21 11:33:23)
2016/6/29 Benson: get payment receipt from bank</t>
      </text>
    </comment>
    <comment authorId="0" ref="H381">
      <text>
        <t xml:space="preserve">======
ID#AAABjx7qNz4
    (2025-05-21 11:33:23)
0902 chloe 收到支票525837</t>
      </text>
    </comment>
    <comment authorId="0" ref="AB209">
      <text>
        <t xml:space="preserve">======
ID#AAABjx7qNzg
    (2025-05-21 11:33:23)
0428一半貨款共US$13184
0511一半貨款共US$13184</t>
      </text>
    </comment>
    <comment authorId="0" ref="H630">
      <text>
        <t xml:space="preserve">======
ID#AAABjx7qNzI
    (2025-05-21 11:33:23)
20170112 chloe:收到銀行通知USD19203</t>
      </text>
    </comment>
    <comment authorId="0" ref="H619">
      <text>
        <t xml:space="preserve">======
ID#AAABjx7qNvE
    (2025-05-21 11:33:23)
1118 chloe:已收到銀行通知USD6115</t>
      </text>
    </comment>
    <comment authorId="0" ref="H282">
      <text>
        <t xml:space="preserve">======
ID#AAABjx7qNsc
    (2025-05-21 11:33:23)
0701 Santiago: 收到銀行通知</t>
      </text>
    </comment>
    <comment authorId="0" ref="L581">
      <text>
        <t xml:space="preserve">======
ID#AAABjx7qNr8
    (2025-05-21 11:33:23)
1026 chloe:下單待回交期
1027 chloe:因更改BIOS故交期會往後延一個星期</t>
      </text>
    </comment>
    <comment authorId="0" ref="O216">
      <text>
        <t xml:space="preserve">======
ID#AAABjx7qNrs
    (2025-05-21 11:33:23)
160421 扣抵金額(含稅)US$997.5,應支付貨款(含稅)為US$16485元</t>
      </text>
    </comment>
    <comment authorId="0" ref="AB172">
      <text>
        <t xml:space="preserve">======
ID#AAABjx7qNrM
    (2025-05-21 11:33:23)
0428一半貨款共US$22632.81
0415一半貨款共22632.81</t>
      </text>
    </comment>
    <comment authorId="0" ref="E594">
      <text>
        <t xml:space="preserve">======
ID#AAABjx7qNrQ
    (2025-05-21 11:33:23)
20160929 Santiago: 和之前訂單一樣, w/o cable</t>
      </text>
    </comment>
    <comment authorId="0" ref="L216">
      <text>
        <t xml:space="preserve">======
ID#AAABjx7qNrA
    (2025-05-21 11:33:23)
20160506 Santiago : 已告知延到5/13 出貨到朋騏
160421 安排5/9到朋騏</t>
      </text>
    </comment>
    <comment authorId="0" ref="O8">
      <text>
        <t xml:space="preserve">======
ID#AAABjx7qNq8
    (2025-05-21 11:33:23)
151123 扣抵金額(含稅)US$764.4元,應支付貨款(含稅)為US$2866.5元</t>
      </text>
    </comment>
    <comment authorId="0" ref="O173">
      <text>
        <t xml:space="preserve">======
ID#AAABjx7qNqs
    (2025-05-21 11:33:23)
160402 扣抵金額(含稅)US$252,應支付貨款(含稅)為US$3223.5元</t>
      </text>
    </comment>
    <comment authorId="0" ref="L400">
      <text>
        <t xml:space="preserve">======
ID#AAABjx7qNqE
    (2025-05-21 11:33:23)
新北市新莊區化成路83巷17號
02-7729-2788
郭玟丰 (Christine) 小姐 #658</t>
      </text>
    </comment>
    <comment authorId="0" ref="H365">
      <text>
        <t xml:space="preserve">======
ID#AAABjx7qNqM
    (2025-05-21 11:33:23)
0822 chloe:收到銀行通知USD706</t>
      </text>
    </comment>
    <comment authorId="0" ref="H347">
      <text>
        <t xml:space="preserve">======
ID#AAABjx7qNpQ
    (2025-05-21 11:33:23)
0728 Chloe 收到支票30萬
其餘8月底付款351553元
0902 chloe 收到支票525837</t>
      </text>
    </comment>
    <comment authorId="0" ref="H258">
      <text>
        <t xml:space="preserve">======
ID#AAABjx7qNos
    (2025-05-21 11:33:23)
0125 chloe:收到銀行通知USD2102</t>
      </text>
    </comment>
    <comment authorId="0" ref="D125">
      <text>
        <t xml:space="preserve">======
ID#AAABjx7qNoE
    (2025-05-21 11:33:23)
0304 Santiago: 庫存備用</t>
      </text>
    </comment>
    <comment authorId="0" ref="L560">
      <text>
        <t xml:space="preserve">======
ID#AAABjx7qNoA
    (2025-05-21 11:33:23)
1017 chloe:有庫存，因MOS-1120Y-1401E大陸調貨，</t>
      </text>
    </comment>
    <comment authorId="0" ref="H20">
      <text>
        <t xml:space="preserve">======
ID#AAABjx7qNnU
    (2025-05-21 11:33:23)
0301 Santiago 收到銀行通知</t>
      </text>
    </comment>
    <comment authorId="0" ref="O452">
      <text>
        <t xml:space="preserve">======
ID#AAABjx7qNms
    (2025-05-21 11:33:23)
160704 扣抵金額(含稅)US$997.5,應支付貨款(含稅)為US$16485元</t>
      </text>
    </comment>
    <comment authorId="0" ref="H530">
      <text>
        <t xml:space="preserve">======
ID#AAABjx7qNmw
    (2025-05-21 11:33:23)
1117 chloe:收到銀行通知USD13714</t>
      </text>
    </comment>
    <comment authorId="0" ref="H432">
      <text>
        <t xml:space="preserve">======
ID#AAABjx7qNmM
    (2025-05-21 11:33:23)
2016/6/29 Benson: get payment receipt from bank</t>
      </text>
    </comment>
    <comment authorId="0" ref="H149">
      <text>
        <t xml:space="preserve">======
ID#AAABjx7qNk8
    (2025-05-21 11:33:23)
0518 Santiago:收到客戶通知</t>
      </text>
    </comment>
    <comment authorId="0" ref="H477">
      <text>
        <t xml:space="preserve">======
ID#AAABjx7qNk0
    (2025-05-21 11:33:23)
1117 chloe:收到銀行通知USD13714</t>
      </text>
    </comment>
    <comment authorId="0" ref="H293">
      <text>
        <t xml:space="preserve">======
ID#AAABjx7qNk4
    (2025-05-21 11:33:23)
0816 chloe : 收到銀行通知 USD113,524</t>
      </text>
    </comment>
    <comment authorId="0" ref="L464">
      <text>
        <t xml:space="preserve">======
ID#AAABjx7qNko
    (2025-05-21 11:33:23)
0902 chloe: 下單9/8中午前</t>
      </text>
    </comment>
    <comment authorId="0" ref="H58">
      <text>
        <t xml:space="preserve">======
ID#AAABjx7qNkc
    (2025-05-21 11:33:23)
20160607 Santiago: 收到16780
20160121 Santiago :收到一半貨款</t>
      </text>
    </comment>
    <comment authorId="0" ref="H483">
      <text>
        <t xml:space="preserve">======
ID#AAABjx7qNjo
    (2025-05-21 11:33:23)
1117 chloe:收到銀行通知USD13714</t>
      </text>
    </comment>
    <comment authorId="0" ref="S464">
      <text>
        <t xml:space="preserve">======
ID#AAABjx7qNi0
    (2025-05-21 11:33:23)
0906 chloe: 8月結款剩4722
4722-7367 = -2645</t>
      </text>
    </comment>
    <comment authorId="0" ref="H342">
      <text>
        <t xml:space="preserve">======
ID#AAABjx7qNho
    (2025-05-21 11:33:23)
0926 chloe:已收到銀行通知USD12216，因戎克戶名短少TD，故待客戶修改電文銀行才會發放
0929 chloe:給予客戶當初匯款水單後于與放行</t>
      </text>
    </comment>
    <comment authorId="0" ref="L558">
      <text>
        <t xml:space="preserve">======
ID#AAABjx7qNhY
    (2025-05-21 11:33:23)
11/10匯款後寄出貨物</t>
      </text>
    </comment>
    <comment authorId="0" ref="H498">
      <text>
        <t xml:space="preserve">======
ID#AAABjx7qNhQ
    (2025-05-21 11:33:23)
1115 chloe:收到銀行通知USD655</t>
      </text>
    </comment>
    <comment authorId="0" ref="H561">
      <text>
        <t xml:space="preserve">======
ID#AAABjx7qNgQ
    (2025-05-21 11:33:23)
1207 chloe:收到銀行通知USD2804</t>
      </text>
    </comment>
    <comment authorId="0" ref="L618">
      <text>
        <t xml:space="preserve">======
ID#AAABjx7qNgA
    (2025-05-21 11:33:23)
1116 chloe: 已協調供應商分批出貨，但交期仍要看工廠</t>
      </text>
    </comment>
    <comment authorId="0" ref="L417">
      <text>
        <t xml:space="preserve">======
ID#AAABjx7qNeU
    (2025-05-21 11:33:23)
0831 chloe:貨物提早8/30到貨</t>
      </text>
    </comment>
    <comment authorId="0" ref="H447">
      <text>
        <t xml:space="preserve">======
ID#AAABjx7qNdg
    (2025-05-21 11:33:23)
1020 chloe:收到銀行通知USD1815</t>
      </text>
    </comment>
    <comment authorId="0" ref="H686">
      <text>
        <t xml:space="preserve">======
ID#AAABjx7qNdQ
    (2025-05-21 11:33:23)
20170202 chloe:收到銀行通知USD13551</t>
      </text>
    </comment>
    <comment authorId="0" ref="H659">
      <text>
        <t xml:space="preserve">======
ID#AAABjx7qNbM
    (2025-05-21 11:33:23)
0119 chloe:收到銀行通知USD2514.6</t>
      </text>
    </comment>
    <comment authorId="0" ref="I313">
      <text>
        <t xml:space="preserve">======
ID#AAABjx7qNbA
    (2025-05-21 11:33:23)
0830 Chloe:不計算獎金，因業務及採購都不須計算</t>
      </text>
    </comment>
    <comment authorId="0" ref="H360">
      <text>
        <t xml:space="preserve">======
ID#AAABjx7qNas
    (2025-05-21 11:33:23)
0905 chloe:收到銀行通知USD9314</t>
      </text>
    </comment>
    <comment authorId="0" ref="H576">
      <text>
        <t xml:space="preserve">======
ID#AAABjx7qNZ4
    (2025-05-21 11:33:23)
1207 chloe:收到銀行通知USD2804</t>
      </text>
    </comment>
    <comment authorId="0" ref="H368">
      <text>
        <t xml:space="preserve">======
ID#AAABjx7qNX0
    (2025-05-21 11:33:23)
0822 chloe:收到銀行通知USD706</t>
      </text>
    </comment>
    <comment authorId="0" ref="H664">
      <text>
        <t xml:space="preserve">======
ID#AAABjx7qNW0
    (2025-05-21 11:33:23)
1223 chloe:收到銀行通知USD5904</t>
      </text>
    </comment>
    <comment authorId="0" ref="H35">
      <text>
        <t xml:space="preserve">======
ID#AAABjx7qNWw
0322 Santiago    (2025-05-21 11:33:23)
收到銀行匯款US$1481 +
去年Tpole 多匯US$2000</t>
      </text>
    </comment>
    <comment authorId="0" ref="H449">
      <text>
        <t xml:space="preserve">======
ID#AAABjx7qNWs
    (2025-05-21 11:33:23)
0818 chloe:收到銀行通知USD5006</t>
      </text>
    </comment>
    <comment authorId="0" ref="H599">
      <text>
        <t xml:space="preserve">======
ID#AAABjx7qNWU
    (2025-05-21 11:33:23)
20170105 chloe: 收到銀行通知USD2683.5</t>
      </text>
    </comment>
    <comment authorId="0" ref="H577">
      <text>
        <t xml:space="preserve">======
ID#AAABjx7qNWA
    (2025-05-21 11:33:23)
1207 chloe:收到銀行通知USD2804</t>
      </text>
    </comment>
    <comment authorId="0" ref="H597">
      <text>
        <t xml:space="preserve">======
ID#AAABjx7qNVs
    (2025-05-21 11:33:23)
1125 chloe:收到銀行通知USD2686</t>
      </text>
    </comment>
    <comment authorId="0" ref="H17">
      <text>
        <t xml:space="preserve">======
ID#AAABjx7qNVk
    (2025-05-21 11:33:23)
0301 Santiago 收到銀行通知</t>
      </text>
    </comment>
    <comment authorId="0" ref="S401">
      <text>
        <t xml:space="preserve">======
ID#AAABjx7qNVg
    (2025-05-21 11:33:23)
0808 chloe: 業務無給對帳單，故改為9/5付款</t>
      </text>
    </comment>
    <comment authorId="0" ref="L694">
      <text>
        <t xml:space="preserve">======
ID#AAABjx7qNVY
    (2025-05-21 11:33:23)
RMA 不報關</t>
      </text>
    </comment>
    <comment authorId="0" ref="H594">
      <text>
        <t xml:space="preserve">======
ID#AAABjx7qNVU
    (2025-05-21 11:33:23)
20161207 chloe: 合庫收到款項NT1057383</t>
      </text>
    </comment>
    <comment authorId="0" ref="U186">
      <text>
        <t xml:space="preserve">======
ID#AAABjx7qNU4
    (2025-05-21 11:33:23)
請會計報研發費用發票</t>
      </text>
    </comment>
    <comment authorId="0" ref="H666">
      <text>
        <t xml:space="preserve">======
ID#AAABjx7qNUY
    (2025-05-21 11:33:23)
1229 chloe:收到銀行通知USD4362</t>
      </text>
    </comment>
    <comment authorId="0" ref="K623">
      <text>
        <t xml:space="preserve">======
ID#AAABjx7qNUI
    (2025-05-21 11:33:23)
1116 chloe:已告知出貨日可提前11/28出貨</t>
      </text>
    </comment>
    <comment authorId="0" ref="L325">
      <text>
        <t xml:space="preserve">======
ID#AAABjx7qNUM
    (2025-05-21 11:33:23)
0712 chloe:JAY回復 7/12宅急便寄出</t>
      </text>
    </comment>
    <comment authorId="0" ref="H479">
      <text>
        <t xml:space="preserve">======
ID#AAABjx7qNTU
    (2025-05-21 11:33:23)
1117 chloe:收到銀行通知USD13714</t>
      </text>
    </comment>
    <comment authorId="0" ref="G394">
      <text>
        <t xml:space="preserve">======
ID#AAABjx7qNTI
    (2025-05-21 11:33:23)
w/5%VAT</t>
      </text>
    </comment>
    <comment authorId="0" ref="H676">
      <text>
        <t xml:space="preserve">======
ID#AAABjx7qNSw
    (2025-05-21 11:33:23)
20170202 chloe:收到銀行通知USD1906</t>
      </text>
    </comment>
    <comment authorId="0" ref="H378">
      <text>
        <t xml:space="preserve">======
ID#AAABjx7qNSo
    (2025-05-21 11:33:23)
0715 Santiago: 收到銀行通知</t>
      </text>
    </comment>
    <comment authorId="0" ref="H214">
      <text>
        <t xml:space="preserve">======
ID#AAABjx7qNSs
    (2025-05-21 11:33:23)
Santiago0513: 收到支票</t>
      </text>
    </comment>
    <comment authorId="0" ref="I272">
      <text>
        <t xml:space="preserve">======
ID#AAABjx7qNRY
    (2025-05-21 11:33:23)
0830 Chloe:不計算獎金，因業務及採購都不須計算</t>
      </text>
    </comment>
    <comment authorId="0" ref="D122">
      <text>
        <t xml:space="preserve">======
ID#AAABjx7qNRA
    (2025-05-21 11:33:23)
0302 Santiago: 原本1/26 下單30pcs 以備庫存. 今天收到東托通知要下100pcs, 故PI分成
0126 及 0126-1</t>
      </text>
    </comment>
    <comment authorId="0" ref="H568">
      <text>
        <t xml:space="preserve">======
ID#AAABjx7qNQ4
    (2025-05-21 11:33:23)
1202 chloe:收到銀行通知USD10342</t>
      </text>
    </comment>
    <comment authorId="0" ref="H557">
      <text>
        <t xml:space="preserve">======
ID#AAABjx7qNQU
    (2025-05-21 11:33:23)
1213 chloe:收到支票NT193565(12/30以兌換成功)</t>
      </text>
    </comment>
    <comment authorId="0" ref="H280">
      <text>
        <t xml:space="preserve">======
ID#AAABjx7qNQM
    (2025-05-21 11:33:23)
2016/6/15 Benson:6/15 got payment notification from bank</t>
      </text>
    </comment>
    <comment authorId="0" ref="L441">
      <text>
        <t xml:space="preserve">======
ID#AAABjx7qNPs
    (2025-05-21 11:33:23)
0815 Chloe:11pcs 8/16到貨
           15PCS 8/26到貨</t>
      </text>
    </comment>
    <comment authorId="0" ref="J59">
      <text>
        <t xml:space="preserve">======
ID#AAABjx7qNPo
    (2025-05-21 11:33:23)
1. 提單註明為computer parts
2. 出貨前將invoice &amp; packing list 先提供給客戶參考</t>
      </text>
    </comment>
    <comment authorId="0" ref="X97">
      <text>
        <t xml:space="preserve">======
ID#AAABjx7qNPc
    (2025-05-21 11:33:23)
發票等資料已在CHLOE那</t>
      </text>
    </comment>
    <comment authorId="0" ref="H383">
      <text>
        <t xml:space="preserve">======
ID#AAABjx7qNPU
    (2025-05-21 11:33:23)
0902 chloe 收到支票525837</t>
      </text>
    </comment>
    <comment authorId="0" ref="H206">
      <text>
        <t xml:space="preserve">======
ID#AAABjx7qNOc
    (2025-05-21 11:33:23)
0518 Santiago:收到客戶通知</t>
      </text>
    </comment>
    <comment authorId="0" ref="H319">
      <text>
        <t xml:space="preserve">======
ID#AAABjx7qNOA
    (2025-05-21 11:33:23)
20160805 Chloe: 收到銀行通知</t>
      </text>
    </comment>
    <comment authorId="0" ref="H637">
      <text>
        <t xml:space="preserve">======
ID#AAABjx7qNNk
    (2025-05-21 11:33:23)
1212 chloe:收到銀行通知USD6330</t>
      </text>
    </comment>
    <comment authorId="0" ref="H339">
      <text>
        <t xml:space="preserve">======
ID#AAABjx7qNNI
    (2025-05-21 11:33:23)
0926 chloe:已收到銀行通知USD12216，因戎克戶名短少TD，故待客戶修改電文銀行才會發放
0929 chloe:給予客戶當初匯款水單後于與放行</t>
      </text>
    </comment>
    <comment authorId="0" ref="K369">
      <text>
        <t xml:space="preserve">======
ID#AAABjx7qNMc
    (2025-05-21 11:33:23)
0822 chloe:此貨特殊，故不走出口報關，INVOICE需事先給予</t>
      </text>
    </comment>
    <comment authorId="0" ref="E663">
      <text>
        <t xml:space="preserve">======
ID#AAABjx7qNMQ
    (2025-05-21 11:33:23)
20160929 Santiago: 和之前訂單一樣, w/o cable</t>
      </text>
    </comment>
    <comment authorId="0" ref="H654">
      <text>
        <t xml:space="preserve">======
ID#AAABjx7qNLU
    (2025-05-21 11:33:23)
0119 chloe:收到銀行通知USD2514.6</t>
      </text>
    </comment>
    <comment authorId="0" ref="H265">
      <text>
        <t xml:space="preserve">======
ID#AAABjx7qNKQ
    (2025-05-21 11:33:23)
20160607 Santiago: 收到16780</t>
      </text>
    </comment>
    <comment authorId="0" ref="H291">
      <text>
        <t xml:space="preserve">======
ID#AAABjx7qNKE
    (2025-05-21 11:33:23)
0816 chloe : 收到銀行通知 USD113,524</t>
      </text>
    </comment>
    <comment authorId="0" ref="L485">
      <text>
        <t xml:space="preserve">======
ID#AAABjx7qNJo
    (2025-05-21 11:33:23)
提早交貨0922</t>
      </text>
    </comment>
    <comment authorId="0" ref="H478">
      <text>
        <t xml:space="preserve">======
ID#AAABjx7qNJI
    (2025-05-21 11:33:23)
1117 chloe:收到銀行通知USD13714</t>
      </text>
    </comment>
    <comment authorId="0" ref="H468">
      <text>
        <t xml:space="preserve">======
ID#AAABjx7qNI8
    (2025-05-21 11:33:23)
1020 chloe:收到銀行通知USD1815</t>
      </text>
    </comment>
    <comment authorId="0" ref="H225">
      <text>
        <t xml:space="preserve">======
ID#AAABjx7qNIc
    (2025-05-21 11:33:23)
0701 Santiago: 8/30 才會入帳
0830 chloe: 已收到貨款NT1324</t>
      </text>
    </comment>
    <comment authorId="0" ref="H170">
      <text>
        <t xml:space="preserve">======
ID#AAABjx7qNHs
    (2025-05-21 11:33:23)
0407 Santiago: 收到銀行通知</t>
      </text>
    </comment>
    <comment authorId="0" ref="H456">
      <text>
        <t xml:space="preserve">======
ID#AAABjx7qNHc
    (2025-05-21 11:33:23)
0908 chloe:收到銀行通知USD106</t>
      </text>
    </comment>
    <comment authorId="0" ref="H589">
      <text>
        <t xml:space="preserve">======
ID#AAABjx7qNHI
    (2025-05-21 11:33:23)
1206 chloe:收到銀行通知USD6761</t>
      </text>
    </comment>
    <comment authorId="0" ref="D135">
      <text>
        <t xml:space="preserve">======
ID#AAABjx7qNGI
    (2025-05-21 11:33:23)
0314 Santiago: 庫存備用</t>
      </text>
    </comment>
    <comment authorId="0" ref="Y381">
      <text>
        <t xml:space="preserve">======
ID#AAABjx7qNFQ
    (2025-05-21 11:33:23)
125600(不含稅)</t>
      </text>
    </comment>
    <comment authorId="0" ref="O239">
      <text>
        <t xml:space="preserve">======
ID#AAABjx7qNE0
    (2025-05-21 11:33:23)
160511 扣抵金額(含稅)US$498.75元,應支付貨款(含稅)為US$9660元</t>
      </text>
    </comment>
    <comment authorId="0" ref="E514">
      <text>
        <t xml:space="preserve">======
ID#AAABjx7qNEg
    (2025-05-21 11:33:23)
0926 chloe: (42C-00039)</t>
      </text>
    </comment>
    <comment authorId="0" ref="H118">
      <text>
        <t xml:space="preserve">======
ID#AAABjx7qNEU
    (2025-05-21 11:33:23)
0520 Santiago: 收到銀行通知</t>
      </text>
    </comment>
    <comment authorId="0" ref="N612">
      <text>
        <t xml:space="preserve">======
ID#AAABjx7qNEM
    (2025-05-21 11:33:23)
170116 原報單20161100193734有誤，修改</t>
      </text>
    </comment>
    <comment authorId="0" ref="K12">
      <text>
        <t xml:space="preserve">======
ID#AAABjx7qNEE
    (2025-05-21 11:33:23)
1/11 michelle: 等客戶付款</t>
      </text>
    </comment>
    <comment authorId="0" ref="K560">
      <text>
        <t xml:space="preserve">======
ID#AAABjx7qNDI
    (2025-05-21 11:33:23)
1021 chloe:業務指示可以的話11/1 出貨</t>
      </text>
    </comment>
    <comment authorId="0" ref="J288">
      <text>
        <t xml:space="preserve">======
ID#AAABjx7qNDE
    (2025-05-21 11:33:23)
0615 Santiago: 請Airlife 出口報關時提供COC (產地證明)
ONLY this shipment.</t>
      </text>
    </comment>
    <comment authorId="0" ref="X121">
      <text>
        <t xml:space="preserve">======
ID#AAABjx7qNC0
    (2025-05-21 11:33:23)
7155820221</t>
      </text>
    </comment>
    <comment authorId="0" ref="H84">
      <text>
        <t xml:space="preserve">======
ID#AAABjx7qNCk
    (2025-05-21 11:33:23)
0323 Santiago: 收到客戶水單</t>
      </text>
    </comment>
    <comment authorId="0" ref="H403">
      <text>
        <t xml:space="preserve">======
ID#AAABjx7qNCY
    (2025-05-21 11:33:23)
1004 chloe:收到銀行通知USD3752</t>
      </text>
    </comment>
    <comment authorId="0" ref="H304">
      <text>
        <t xml:space="preserve">======
ID#AAABjx7qNCQ
    (2025-05-21 11:33:23)
0818 chloe:收到銀行通知USD5006</t>
      </text>
    </comment>
    <comment authorId="0" ref="H116">
      <text>
        <t xml:space="preserve">======
ID#AAABjx7qNBg
    (2025-05-21 11:33:23)
0322 Santiago: 收到銀行通知US$903.5</t>
      </text>
    </comment>
    <comment authorId="0" ref="L54">
      <text>
        <t xml:space="preserve">======
ID#AAABjx7qNBM
    (2025-05-21 11:33:23)
2/22 michelle: 等客戶回工程問題, LT: 15工作天</t>
      </text>
    </comment>
    <comment authorId="0" ref="H454">
      <text>
        <t xml:space="preserve">======
ID#AAABjx7qNBA
    (2025-05-21 11:33:23)
0920 Chloe:收到銀行轉帳NT662535</t>
      </text>
    </comment>
    <comment authorId="0" ref="H367">
      <text>
        <t xml:space="preserve">======
ID#AAABjx7qNA4
    (2025-05-21 11:33:23)
0822 chloe:收到銀行通知USD706</t>
      </text>
    </comment>
    <comment authorId="0" ref="H622">
      <text>
        <t xml:space="preserve">======
ID#AAABjx7qNAw
    (2025-05-21 11:33:23)
20170112 chloe:收到銀行通知USD19203</t>
      </text>
    </comment>
    <comment authorId="0" ref="H529">
      <text>
        <t xml:space="preserve">======
ID#AAABjx7qNAM
    (2025-05-21 11:33:23)
1019 chloe:收到銀行通知USD2931</t>
      </text>
    </comment>
    <comment authorId="0" ref="H89">
      <text>
        <t xml:space="preserve">======
ID#AAABjx7qM_o
    (2025-05-21 11:33:23)
0323 Santiago: 收到客戶水單</t>
      </text>
    </comment>
    <comment authorId="0" ref="H379">
      <text>
        <t xml:space="preserve">======
ID#AAABjx7qM_M
    (2025-05-21 11:33:23)
0715 Santiago: 收到銀行通知</t>
      </text>
    </comment>
    <comment authorId="0" ref="H624">
      <text>
        <t xml:space="preserve">======
ID#AAABjx7qM-E
    (2025-05-21 11:33:23)
20170112 chloe:收到銀行通知USD19203</t>
      </text>
    </comment>
    <comment authorId="0" ref="J8">
      <text>
        <t xml:space="preserve">======
ID#AAABjx7qM9s
    (2025-05-21 11:33:23)
1. 提單註明為computer parts
2. 出貨前將invoice &amp; packing list 先提供給客戶參考</t>
      </text>
    </comment>
    <comment authorId="0" ref="T185">
      <text>
        <t xml:space="preserve">======
ID#AAABjx7qM84
    (2025-05-21 11:33:23)
請會計報研發費用發票</t>
      </text>
    </comment>
    <comment authorId="0" ref="H85">
      <text>
        <t xml:space="preserve">======
ID#AAABjx7qM80
    (2025-05-21 11:33:23)
0323 Santiago: 收到客戶水單</t>
      </text>
    </comment>
    <comment authorId="0" ref="H278">
      <text>
        <t xml:space="preserve">======
ID#AAABjx7qM8c
    (2025-05-21 11:33:23)
0802 chloe:收到客戶支票3274元</t>
      </text>
    </comment>
    <comment authorId="0" ref="H645">
      <text>
        <t xml:space="preserve">======
ID#AAABjx7qM8I
    (2025-05-21 11:33:23)
20170112 chloe:收到銀行通知USD19203</t>
      </text>
    </comment>
    <comment authorId="0" ref="H601">
      <text>
        <t xml:space="preserve">======
ID#AAABjx7qM7U
    (2025-05-21 11:33:23)
20161207 chloe: 合庫收到款項NT1057383</t>
      </text>
    </comment>
    <comment authorId="0" ref="G583">
      <text>
        <t xml:space="preserve">======
ID#AAABjx7qM7Q
    (2025-05-21 11:33:23)
w/5%VAT</t>
      </text>
    </comment>
    <comment authorId="0" ref="J627">
      <text>
        <t xml:space="preserve">======
ID#AAABjx7qM7A
    (2025-05-21 11:33:23)
1212 chloe:估錯材積，TNT Economy  運費 7925較便宜，故使用TNT</t>
      </text>
    </comment>
    <comment authorId="0" ref="E49">
      <text>
        <t xml:space="preserve">======
ID#AAABjx7qM6w
    (2025-05-21 11:33:23)
160115 Karen: 下單型號C218T/PCI</t>
      </text>
    </comment>
    <comment authorId="0" ref="H513">
      <text>
        <t xml:space="preserve">======
ID#AAABjx7qM6k
    (2025-05-21 11:33:23)
1117 chloe:收到銀行通知USD13714</t>
      </text>
    </comment>
    <comment authorId="0" ref="H184">
      <text>
        <t xml:space="preserve">======
ID#AAABjx7qM6c
    (2025-05-21 11:33:23)
20160721 Santiago: 收到銀行通知</t>
      </text>
    </comment>
    <comment authorId="0" ref="L402">
      <text>
        <t xml:space="preserve">======
ID#AAABjx7qM4w
    (2025-05-21 11:33:23)
新北市新莊區化成路83巷17號
02-7729-2788
郭玟丰 (Christine) 小姐 #658</t>
      </text>
    </comment>
    <comment authorId="0" ref="H491">
      <text>
        <t xml:space="preserve">======
ID#AAABjx7qM14
    (2025-05-21 11:33:23)
1111 chloe:收到銀行通知USD2399</t>
      </text>
    </comment>
    <comment authorId="0" ref="H419">
      <text>
        <t xml:space="preserve">======
ID#AAABjx7qM1k
    (2025-05-21 11:33:23)
0829 Santiago: 請chloe 確認是否已入款
0830 chloe:8/12 已收到NT524523</t>
      </text>
    </comment>
    <comment authorId="0" ref="M641">
      <text>
        <t xml:space="preserve">======
ID#AAABjx7qM1Q
    (2025-05-21 11:33:23)
1212 chloe:估錯材積，TNT Economy  運費 7925較便宜，故使用TNT</t>
      </text>
    </comment>
    <comment authorId="0" ref="H371">
      <text>
        <t xml:space="preserve">======
ID#AAABjx7qM1I
    (2025-05-21 11:33:23)
0720 chloe: 收到銀行通知</t>
      </text>
    </comment>
    <comment authorId="0" ref="H536">
      <text>
        <t xml:space="preserve">======
ID#AAABjx7qM00
    (2025-05-21 11:33:23)
1206 chloe:收到銀行通知USD6761</t>
      </text>
    </comment>
    <comment authorId="0" ref="H47">
      <text>
        <t xml:space="preserve">======
ID#AAABjx7qM0c
    (2025-05-21 11:33:23)
0310 Santiago : 收到銀行通知</t>
      </text>
    </comment>
    <comment authorId="0" ref="H253">
      <text>
        <t xml:space="preserve">======
ID#AAABjx7qMzw
    (2025-05-21 11:33:23)
20160607 Santiago: 收到16780</t>
      </text>
    </comment>
    <comment authorId="0" ref="L487">
      <text>
        <t xml:space="preserve">======
ID#AAABjx7qMzs
    (2025-05-21 11:33:23)
提早交貨0922</t>
      </text>
    </comment>
    <comment authorId="0" ref="K684">
      <text>
        <t xml:space="preserve">======
ID#AAABjx7qMy0
    (2025-05-21 11:33:23)
161212 Tammy: 不能晚於12/26出貨, 謝謝</t>
      </text>
    </comment>
    <comment authorId="0" ref="H172">
      <text>
        <t xml:space="preserve">======
ID#AAABjx7qMxg
    (2025-05-21 11:33:23)
0428 Santiago: 收到銀行通知入帳一半貨款共US$22639
0415 Santiago: 收到銀行通知入帳一半貨款共US$22639</t>
      </text>
    </comment>
    <comment authorId="0" ref="H620">
      <text>
        <t xml:space="preserve">======
ID#AAABjx7qMxM
    (2025-05-21 11:33:23)
1118 chloe:已收到銀行通知USD6115</t>
      </text>
    </comment>
    <comment authorId="0" ref="V140">
      <text>
        <t xml:space="preserve">======
ID#AAABjx7qMw4
    (2025-05-21 11:33:23)
MAIL已收到帳單尚未寄發票</t>
      </text>
    </comment>
    <comment authorId="0" ref="H151">
      <text>
        <t xml:space="preserve">======
ID#AAABjx7qMwU
    (2025-05-21 11:33:23)
0408 Santiago : 收到客戶支票</t>
      </text>
    </comment>
    <comment authorId="0" ref="E315">
      <text>
        <t xml:space="preserve">======
ID#AAABjx7qMwI
    (2025-05-21 11:33:23)
160617 Karen: EU adapter</t>
      </text>
    </comment>
    <comment authorId="0" ref="S570">
      <text>
        <t xml:space="preserve">======
ID#AAABjx7qMvo
    (2025-05-21 11:33:23)
1021 chloe:付款後三天出貨</t>
      </text>
    </comment>
    <comment authorId="0" ref="J12">
      <text>
        <t xml:space="preserve">======
ID#AAABjx7qMt8
    (2025-05-21 11:33:23)
160114 Karen: 由TNT變更為DHL</t>
      </text>
    </comment>
    <comment authorId="0" ref="J289">
      <text>
        <t xml:space="preserve">======
ID#AAABjx7qMtw
    (2025-05-21 11:33:23)
0615 Santiago: 請Airlife 出口報關時提供COC (產地證明)
ONLY this shipment.</t>
      </text>
    </comment>
    <comment authorId="0" ref="H409">
      <text>
        <t xml:space="preserve">======
ID#AAABjx7qMtk
    (2025-05-21 11:33:23)
0804 chloe:收到銀行通知
USD 2104</t>
      </text>
    </comment>
    <comment authorId="0" ref="H178">
      <text>
        <t xml:space="preserve">======
ID#AAABjx7qMtg
    (2025-05-21 11:33:23)
0531 Benson: 0531 got payment receipt from bank</t>
      </text>
    </comment>
    <comment authorId="0" ref="L559">
      <text>
        <t xml:space="preserve">======
ID#AAABjx7qMsw
    (2025-05-21 11:33:23)
1017 chloe:有庫存，因MOS-1120Y-1401E大陸調貨，</t>
      </text>
    </comment>
    <comment authorId="0" ref="K385">
      <text>
        <t xml:space="preserve">======
ID#AAABj82dpQM
    (2025-05-21 11:33:23)
0415 Santiago: 收件地址有變. 
改寄墨爾本辦公室. 同日已發信通知Chloe</t>
      </text>
    </comment>
    <comment authorId="0" ref="E199">
      <text>
        <t xml:space="preserve">======
ID#AAABj82dpQI
Description     (2025-05-21 11:33:23)
Win Pro Embedded 7 SP1 32-bit/x64 EMB ESD OEI 1-2CPU
chloe:微軟標籤紙放在超恩的六台裡面</t>
      </text>
    </comment>
    <comment authorId="0" ref="H256">
      <text>
        <t xml:space="preserve">======
ID#AAABj82dpQA
    (2025-05-21 11:33:23)
0830 chloe:已另外製作INVOICE與客戶請款
0905 chloe:收到銀行通知USD9314</t>
      </text>
    </comment>
    <comment authorId="0" ref="H500">
      <text>
        <t xml:space="preserve">======
ID#AAABj82dpPQ
    (2025-05-21 11:33:23)
1128 chloe:收到NT42509</t>
      </text>
    </comment>
    <comment authorId="0" ref="H8">
      <text>
        <t xml:space="preserve">======
ID#AAABj82dpPI
    (2025-05-21 11:33:23)
20160107 Santiago: 收到銀行通知</t>
      </text>
    </comment>
    <comment authorId="0" ref="O662">
      <text>
        <t xml:space="preserve">======
ID#AAABj82dpN0
    (2025-05-21 11:33:23)
161129 80-77, 剩3
161102 158-78, 剩80
161010 修改 225-67, 剩158
160930 225-76, 剩149</t>
      </text>
    </comment>
    <comment authorId="0" ref="K484">
      <text>
        <t xml:space="preserve">======
ID#AAABj82dpM8
    (2025-05-21 11:33:23)
160927 請直接安排10/3出貨
160921 Karen: 可以的話, 請安排9/29出貨
0921 chloe:與0914B一起併為10/3出貨</t>
      </text>
    </comment>
    <comment authorId="0" ref="G670">
      <text>
        <t xml:space="preserve">======
ID#AAABj82dpMc
    (2025-05-21 11:33:23)
140美元 = 131.3歐元</t>
      </text>
    </comment>
    <comment authorId="0" ref="H46">
      <text>
        <t xml:space="preserve">======
ID#AAABj82dpL0
    (2025-05-21 11:33:23)
0310 Santiago : 收到銀行通知</t>
      </text>
    </comment>
    <comment authorId="0" ref="I271">
      <text>
        <t xml:space="preserve">======
ID#AAABj82dpLs
    (2025-05-21 11:33:23)
0830 Chloe:不計算獎金，因業務及採購都不須計算</t>
      </text>
    </comment>
    <comment authorId="0" ref="J158">
      <text>
        <t xml:space="preserve">======
ID#AAABj82dpLM
    (2025-05-21 11:33:23)
大榮</t>
      </text>
    </comment>
    <comment authorId="0" ref="H269">
      <text>
        <t xml:space="preserve">======
ID#AAABj82dpKw
    (2025-05-21 11:33:23)
0630 Santiago: 收到銀行通知</t>
      </text>
    </comment>
    <comment authorId="0" ref="E327">
      <text>
        <t xml:space="preserve">======
ID#AAABj82dpKM
    (2025-05-21 11:33:23)
3/16 Michelle:Demand3008 8" 這次樣品可以勉強接受2 Pin. 
但未來出貨一定要用3 pin 鳯凰接頭</t>
      </text>
    </comment>
    <comment authorId="0" ref="H57">
      <text>
        <t xml:space="preserve">======
ID#AAABj82dpKE
    (2025-05-21 11:33:23)
20160607 Santiago: 收到16780
20160121 Santiago :收到一半貨款</t>
      </text>
    </comment>
    <comment authorId="0" ref="H420">
      <text>
        <t xml:space="preserve">======
ID#AAABj82dpJk
    (2025-05-21 11:33:23)
0829 Santiago: 請chloe 確認是否已入款
0830 chloe:8/12 已收到NT524523</t>
      </text>
    </comment>
    <comment authorId="0" ref="E392">
      <text>
        <t xml:space="preserve">======
ID#AAABj82dpIs
    (2025-05-21 11:33:23)
160721 Karen: EU adapter</t>
      </text>
    </comment>
    <comment authorId="0" ref="H135">
      <text>
        <t xml:space="preserve">======
ID#AAABj82dpIM
    (2025-05-21 11:33:23)
0428 Santiago: 收到銀行通知入帳一半貨款共US$22639
0415 Santiago: 收到銀行通知入帳一半貨款共US$22639</t>
      </text>
    </comment>
    <comment authorId="0" ref="H361">
      <text>
        <t xml:space="preserve">======
ID#AAABj82dpG8
    (2025-05-21 11:33:23)
0905 chloe:收到銀行通知USD9314</t>
      </text>
    </comment>
    <comment authorId="0" ref="H434">
      <text>
        <t xml:space="preserve">======
ID#AAABj82dpGQ
    (2025-05-21 11:33:23)
1011 chloe: 已收到銀行通知USD13735，因客戶匯款成舊戶名，修改後銀行才會入戶頭
1027 chloe:銀行收到修改電文，故發放此款</t>
      </text>
    </comment>
    <comment authorId="0" ref="K295">
      <text>
        <t xml:space="preserve">======
ID#AAABj82dpF0
    (2025-05-21 11:33:23)
0701 Santiago: RMA寄回時, Invoice 及 Packing 千萬別顯示這批RMA的數量,會引起不必要的麻煩</t>
      </text>
    </comment>
    <comment authorId="0" ref="X311">
      <text>
        <t xml:space="preserve">======
ID#AAABj82dpFw
    (2025-05-21 11:33:23)
0808 chloe: 此份已給會計(我方與供應商INVOICE+通運發票＋客戶水單）</t>
      </text>
    </comment>
    <comment authorId="0" ref="L637">
      <text>
        <t xml:space="preserve">======
ID#AAABj82dpFc
    (2025-05-21 11:33:23)
1122 chloe: 5台現貨，5台12月底
，客戶要一起交貨，故待PULL IN中
1125 chloe: 另外五台交期詢問中
1208 chloe:已超額待客戶付款</t>
      </text>
    </comment>
    <comment authorId="0" ref="H352">
      <text>
        <t xml:space="preserve">======
ID#AAABj82dpFQ
    (2025-05-21 11:33:23)
0905 chloe:收到銀行通知USD9314</t>
      </text>
    </comment>
    <comment authorId="0" ref="K498">
      <text>
        <t xml:space="preserve">======
ID#AAABj82dpE4
    (2025-05-21 11:33:23)
0728 chloe:請寄另外地址
T-POLE Srl
Via De Gasperi, 4
27040 PORTALBERA (PV)
Italy</t>
      </text>
    </comment>
  </commentList>
  <extLst>
    <ext uri="GoogleSheetsCustomDataVersion2">
      <go:sheetsCustomData xmlns:go="http://customooxmlschemas.google.com/" r:id="rId1" roundtripDataSignature="AMtx7mhbhp9pEluV/woq+WfUctE13ls/I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46">
      <text>
        <t xml:space="preserve">======
ID#AAABjx7qWbo
    (2025-05-21 11:33:27)
0911 Santiago : 入帳</t>
      </text>
    </comment>
    <comment authorId="0" ref="D404">
      <text>
        <t xml:space="preserve">======
ID#AAABjx7qWbU
    (2025-05-21 11:33:27)
0713 Santiago 客戶要求取消訂單
0629 Santiago:
追加訂單, 併PI-20150617A出貨</t>
      </text>
    </comment>
    <comment authorId="0" ref="H382">
      <text>
        <t xml:space="preserve">======
ID#AAABjx7qWac
0811 Santiago    (2025-05-21 11:33:27)
收到2000, 缺4000
0902 Santiago 收到6000</t>
      </text>
    </comment>
    <comment authorId="0" ref="H3">
      <text>
        <t xml:space="preserve">======
ID#AAABjx7qWaM
    (2025-05-21 11:33:27)
3/31 入帳</t>
      </text>
    </comment>
    <comment authorId="0" ref="N114">
      <text>
        <t xml:space="preserve">======
ID#AAABjx7qWZA
    (2025-05-21 11:33:27)
20150306 Lynn點收</t>
      </text>
    </comment>
    <comment authorId="0" ref="N100">
      <text>
        <t xml:space="preserve">======
ID#AAABjx7qWY4
    (2025-05-21 11:33:27)
20150316 Forster點收</t>
      </text>
    </comment>
    <comment authorId="0" ref="N111">
      <text>
        <t xml:space="preserve">======
ID#AAABjx7qWY8
    (2025-05-21 11:33:27)
20150306 Lynn點收</t>
      </text>
    </comment>
    <comment authorId="0" ref="N343">
      <text>
        <t xml:space="preserve">======
ID#AAABjx7qWYY
    (2025-05-21 11:33:27)
20150120 Forster點收</t>
      </text>
    </comment>
    <comment authorId="0" ref="H188">
      <text>
        <t xml:space="preserve">======
ID#AAABjx7qWXw
    (2025-05-21 11:33:27)
20150801 Santiago 收到款</t>
      </text>
    </comment>
    <comment authorId="0" ref="H252">
      <text>
        <t xml:space="preserve">======
ID#AAABjx7qWXg
    (2025-05-21 11:33:27)
chloe 0507收到銀行通知</t>
      </text>
    </comment>
    <comment authorId="0" ref="H399">
      <text>
        <t xml:space="preserve">======
ID#AAABjx7qWWA
    (2025-05-21 11:33:27)
12/2 michelle: 銀行通知匯入共USD2965.2</t>
      </text>
    </comment>
    <comment authorId="0" ref="J219">
      <text>
        <t xml:space="preserve">======
ID#AAABjx7qWVY
    (2025-05-21 11:33:27)
11/3 michelle: 已匯入款共67966</t>
      </text>
    </comment>
    <comment authorId="0" ref="G7">
      <text>
        <t xml:space="preserve">======
ID#AAABjx7qWS8
    (2025-05-21 11:33:27)
匯率31.2</t>
      </text>
    </comment>
    <comment authorId="0" ref="N122">
      <text>
        <t xml:space="preserve">======
ID#AAABjx7qWR4
    (2025-05-21 11:33:27)
20150323 Forster點收</t>
      </text>
    </comment>
    <comment authorId="0" ref="H231">
      <text>
        <t xml:space="preserve">======
ID#AAABjx7qWP8
    (2025-05-21 11:33:27)
3/3 入帳</t>
      </text>
    </comment>
    <comment authorId="0" ref="E230">
      <text>
        <t xml:space="preserve">======
ID#AAABjx7qWPU
    (2025-05-21 11:33:27)
150120 Karen: 以UK電源下單</t>
      </text>
    </comment>
    <comment authorId="0" ref="M67">
      <text>
        <t xml:space="preserve">======
ID#AAABjx7qWPE
Forster 0504    (2025-05-21 11:33:27)
提前一天連同發票一起寄出。0514 michelle 改0515 早上快遞</t>
      </text>
    </comment>
    <comment authorId="0" ref="H368">
      <text>
        <t xml:space="preserve">======
ID#AAABjx7qWPI
    (2025-05-21 11:33:27)
20151218 Santiago : 收到支票</t>
      </text>
    </comment>
    <comment authorId="0" ref="H50">
      <text>
        <t xml:space="preserve">======
ID#AAABjx7qWO4
    (2025-05-21 11:33:27)
12/1 michelle 收到10月份貨款支票共NTD2066</t>
      </text>
    </comment>
    <comment authorId="0" ref="Q413">
      <text>
        <t xml:space="preserve">======
ID#AAABjx7qWOo
    (2025-05-21 11:33:27)
151105 扣抵金額(含稅)US$147元,應支付貨款(含稅)為US$2866.5元</t>
      </text>
    </comment>
    <comment authorId="0" ref="V152">
      <text>
        <t xml:space="preserve">======
ID#AAABjx7qWOQ
    (2025-05-21 11:33:27)
0502 chloe
發票修改，待追研華
0505 chloe
收到研華發票</t>
      </text>
    </comment>
    <comment authorId="0" ref="Z339">
      <text>
        <t xml:space="preserve">======
ID#AAABjx7qWOI
    (2025-05-21 11:33:27)
發票已整理</t>
      </text>
    </comment>
    <comment authorId="0" ref="M235">
      <text>
        <t xml:space="preserve">======
ID#AAABjx7qWNk
    (2025-05-21 11:33:27)
啟良快遞忘了收件故改成3/3</t>
      </text>
    </comment>
    <comment authorId="0" ref="H300">
      <text>
        <t xml:space="preserve">======
ID#AAABjx7qWMI
    (2025-05-21 11:33:27)
1/13已入帳</t>
      </text>
    </comment>
    <comment authorId="0" ref="G352">
      <text>
        <t xml:space="preserve">======
ID#AAABjx7qWMA
    (2025-05-21 11:33:27)
含5%稅</t>
      </text>
    </comment>
    <comment authorId="0" ref="E279">
      <text>
        <t xml:space="preserve">======
ID#AAABjx7qWME
    (2025-05-21 11:33:27)
150327 Karen: 下EU BAND</t>
      </text>
    </comment>
    <comment authorId="0" ref="H56">
      <text>
        <t xml:space="preserve">======
ID#AAABjx7qWIc
Santiago 0422    (2025-05-21 11:33:27)
收到銀行通知</t>
      </text>
    </comment>
    <comment authorId="0" ref="H67">
      <text>
        <t xml:space="preserve">======
ID#AAABjx7qWHE
    (2025-05-21 11:33:27)
chloel：0630入帳
0528 chloe 已通知結算，預計0625追貨款</t>
      </text>
    </comment>
    <comment authorId="0" ref="H236">
      <text>
        <t xml:space="preserve">======
ID#AAABjx7qWG8
    (2025-05-21 11:33:27)
4/2 匯款通知 5G01371</t>
      </text>
    </comment>
    <comment authorId="0" ref="H365">
      <text>
        <t xml:space="preserve">======
ID#AAABjx7qWGY
    (2025-05-21 11:33:27)
11/3 michelle: 收到客戶支票NTD58577,到期日11/30,當天轉回chloe 
11/10 Santiago: Michelle的支票是轉交給Santiago 並不是Chloe</t>
      </text>
    </comment>
    <comment authorId="0" ref="N109">
      <text>
        <t xml:space="preserve">======
ID#AAABjx7qWGM
    (2025-05-21 11:33:27)
2015/3/3 Lynn點收</t>
      </text>
    </comment>
    <comment authorId="0" ref="H17">
      <text>
        <t xml:space="preserve">======
ID#AAABjx7qWEI
    (2025-05-21 11:33:27)
11/18 : TCB通知匯入款共USD2599</t>
      </text>
    </comment>
    <comment authorId="0" ref="M225">
      <text>
        <t xml:space="preserve">======
ID#AAABjx7qWDQ
    (2025-05-21 11:33:27)
啟良快遞忘了收件故改成3/3</t>
      </text>
    </comment>
    <comment authorId="0" ref="H425">
      <text>
        <t xml:space="preserve">======
ID#AAABjx7qWC0
    (2025-05-21 11:33:27)
1224 Santiago: 收到客戶水單
但戶名有問題, 錢還沒進帳戶
0106 Santiago: 已匯入</t>
      </text>
    </comment>
    <comment authorId="0" ref="E297">
      <text>
        <t xml:space="preserve">======
ID#AAABjx7qWCc
    (2025-05-21 11:33:27)
11/20 Michelle :歐規電源</t>
      </text>
    </comment>
    <comment authorId="0" ref="H377">
      <text>
        <t xml:space="preserve">======
ID#AAABjx7qWAc
    (2025-05-21 11:33:27)
0507 Santiago 收到客戶水單</t>
      </text>
    </comment>
    <comment authorId="0" ref="H325">
      <text>
        <t xml:space="preserve">======
ID#AAABjx7qV_4
    (2025-05-21 11:33:27)
7/1 michelle: 銀行通知到款共USD2725.4</t>
      </text>
    </comment>
    <comment authorId="0" ref="H412">
      <text>
        <t xml:space="preserve">======
ID#AAABjx7qV9A
    (2025-05-21 11:33:27)
1120 Santiago: 已匯入</t>
      </text>
    </comment>
    <comment authorId="0" ref="X384">
      <text>
        <t xml:space="preserve">======
ID#AAABjx7qV8E
    (2025-05-21 11:33:27)
1007 chloe 發票尚未給會計,存留中，待阿姐拍賣後開立國內發票</t>
      </text>
    </comment>
    <comment authorId="0" ref="R153">
      <text>
        <t xml:space="preserve">======
ID#AAABjx7qV7I
    (2025-05-21 11:33:27)
chloe
0506更改後與研華發票符合
0515收到四月份對帳單此筆金額與訂單不符合五月需注意
0528 收到對帳單與成本金額相符合</t>
      </text>
    </comment>
    <comment authorId="0" ref="J408">
      <text>
        <t xml:space="preserve">======
ID#AAABjx7qV6I
    (2025-05-21 11:33:27)
1. 科技國給戎克的貨款還多付NTD$1,449 (430,337-428,888)</t>
      </text>
    </comment>
    <comment authorId="0" ref="E231">
      <text>
        <t xml:space="preserve">======
ID#AAABjx7qV5Y
    (2025-05-21 11:33:27)
150125 Karen: 是power cord</t>
      </text>
    </comment>
    <comment authorId="0" ref="H255">
      <text>
        <t xml:space="preserve">======
ID#AAABjx7qV5A
    (2025-05-21 11:33:27)
5/27 michelle: 客戶水單</t>
      </text>
    </comment>
    <comment authorId="0" ref="Z246">
      <text>
        <t xml:space="preserve">======
ID#AAABjx7qV5E
    (2025-05-21 11:33:27)
4/17 michelle: BA52630410</t>
      </text>
    </comment>
    <comment authorId="0" ref="L420">
      <text>
        <t xml:space="preserve">======
ID#AAABjx7qV4o
    (2025-05-21 11:33:27)
11/9 Michelle: 已簽約</t>
      </text>
    </comment>
    <comment authorId="0" ref="H33">
      <text>
        <t xml:space="preserve">======
ID#AAABjx7qV4Y
    (2025-05-21 11:33:27)
0303 chloe 收到水單</t>
      </text>
    </comment>
    <comment authorId="0" ref="M324">
      <text>
        <t xml:space="preserve">======
ID#AAABjx7qV4U
    (2025-05-21 11:33:27)
delivery with PI-20150317A</t>
      </text>
    </comment>
    <comment authorId="0" ref="N361">
      <text>
        <t xml:space="preserve">======
ID#AAABjx7qV2Y
    (2025-05-21 11:33:27)
20150203 Forster點收</t>
      </text>
    </comment>
    <comment authorId="0" ref="S6">
      <text>
        <t xml:space="preserve">======
ID#AAABjx7qV2E
    (2025-05-21 11:33:27)
0421 michelle: 沖5月份應收帳款</t>
      </text>
    </comment>
    <comment authorId="0" ref="Z403">
      <text>
        <t xml:space="preserve">======
ID#AAABjx7qV0Y
    (2025-05-21 11:33:27)
7/28:已開折讓430337</t>
      </text>
    </comment>
    <comment authorId="0" ref="H389">
      <text>
        <t xml:space="preserve">======
ID#AAABjx7qVx4
    (2025-05-21 11:33:27)
11/16 michelle:玉山通知匯入共USD9905</t>
      </text>
    </comment>
    <comment authorId="0" ref="H410">
      <text>
        <t xml:space="preserve">======
ID#AAABjx7qVxk
    (2025-05-21 11:33:27)
0914 Santiago : 已收到匯款</t>
      </text>
    </comment>
    <comment authorId="0" ref="H264">
      <text>
        <t xml:space="preserve">======
ID#AAABjx7qVxM
    (2025-05-21 11:33:27)
0930 Santiago: 銀行通知4817</t>
      </text>
    </comment>
    <comment authorId="0" ref="L313">
      <text>
        <t xml:space="preserve">======
ID#AAABjx7qVxQ
    (2025-05-21 11:33:27)
Santiago 0420
稽核未來統一寫在總金額H欄位
尚未付兩成訂金，等FIONA通知</t>
      </text>
    </comment>
    <comment authorId="0" ref="E255">
      <text>
        <t xml:space="preserve">======
ID#AAABjx7qVxE
    (2025-05-21 11:33:27)
150506 Karen: w/ UK plug</t>
      </text>
    </comment>
    <comment authorId="0" ref="E364">
      <text>
        <t xml:space="preserve">======
ID#AAABjx7qVxA
    (2025-05-21 11:33:27)
150728 Karen: 下單型號ioLogik E2210</t>
      </text>
    </comment>
    <comment authorId="0" ref="N320">
      <text>
        <t xml:space="preserve">======
ID#AAABjx7qVwI
    (2025-05-21 11:33:27)
0410 michelle: Carlo組裝</t>
      </text>
    </comment>
    <comment authorId="0" ref="E273">
      <text>
        <t xml:space="preserve">======
ID#AAABjx7qVug
    (2025-05-21 11:33:27)
1012 michelle: 7400065009X00 FSP065-RAB
60233POW38X00 美規</t>
      </text>
    </comment>
    <comment authorId="0" ref="E293">
      <text>
        <t xml:space="preserve">======
ID#AAABjx7qVtU
    (2025-05-21 11:33:27)
1. Panel - AUO G104STN01.0
2. LVDS Cable
3. Backlight Power Cable</t>
      </text>
    </comment>
    <comment authorId="0" ref="H274">
      <text>
        <t xml:space="preserve">======
ID#AAABjx7qVtE
    (2025-05-21 11:33:27)
1/5 michelle: 玉山通知匯入共USD2490</t>
      </text>
    </comment>
    <comment authorId="0" ref="H253">
      <text>
        <t xml:space="preserve">======
ID#AAABjx7qVsY
    (2025-05-21 11:33:27)
chloe 0507收到銀行通知</t>
      </text>
    </comment>
    <comment authorId="0" ref="Q57">
      <text>
        <t xml:space="preserve">======
ID#AAABjx7qVrY
    (2025-05-21 11:33:27)
150421 
CP-104EL-DB9M US$85/PC
CBL-M44M9X4-50  US$8/PC</t>
      </text>
    </comment>
    <comment authorId="0" ref="J406">
      <text>
        <t xml:space="preserve">======
ID#AAABjx7qVrM
    (2025-05-21 11:33:27)
0727 Santiago: 已入帳</t>
      </text>
    </comment>
    <comment authorId="0" ref="E253">
      <text>
        <t xml:space="preserve">======
ID#AAABjx7qVqY
    (2025-05-21 11:33:27)
150416 Karen: 下單UK adapter</t>
      </text>
    </comment>
    <comment authorId="0" ref="M374">
      <text>
        <t xml:space="preserve">======
ID#AAABjx7qVp4
0325 Santiago    (2025-05-21 11:33:27)
和PI-20150212B-2 一起出貨</t>
      </text>
    </comment>
    <comment authorId="0" ref="H401">
      <text>
        <t xml:space="preserve">======
ID#AAABjx7qVo0
    (2025-05-21 11:33:27)
0110 Santiago: 收到客戶水單
0114 michelle:玉山通知入帳</t>
      </text>
    </comment>
    <comment authorId="0" ref="C452">
      <text>
        <t xml:space="preserve">======
ID#AAABjx7qVoM
    (2025-05-21 11:33:27)
chloe 0519借出</t>
      </text>
    </comment>
    <comment authorId="0" ref="H267">
      <text>
        <t xml:space="preserve">======
ID#AAABjx7qVn8
    (2025-05-21 11:33:27)
10/19 michelle: 10/19玉山通知匯入款</t>
      </text>
    </comment>
    <comment authorId="0" ref="M98">
      <text>
        <t xml:space="preserve">======
ID#AAABjx7qVlw
    (2025-05-21 11:33:27)
確認新調漲中
Forster 1/29已跟客戶協調這單吸收1/5%。</t>
      </text>
    </comment>
    <comment authorId="0" ref="E30">
      <text>
        <t xml:space="preserve">======
ID#AAABjx7qVlg
    (2025-05-21 11:33:27)
150209 Karen: EU電源</t>
      </text>
    </comment>
    <comment authorId="0" ref="AA1">
      <text>
        <t xml:space="preserve">======
ID#AAABjx7qVko
    (2025-05-21 11:33:27)
此欄位針對某些特定客戶. 要求使用出貨前一天的匯率. 才開發票的客戶. 例如 Z 和 Pharms</t>
      </text>
    </comment>
    <comment authorId="0" ref="L279">
      <text>
        <t xml:space="preserve">======
ID#AAABjx7qVkg
    (2025-05-21 11:33:27)
由MOXA業務順道交付客戶</t>
      </text>
    </comment>
    <comment authorId="0" ref="L164">
      <text>
        <t xml:space="preserve">======
ID#AAABjx7qVkM
0421 Forster    (2025-05-21 11:33:27)
連維修換下的SSD一同寄回</t>
      </text>
    </comment>
    <comment authorId="0" ref="X411">
      <text>
        <t xml:space="preserve">======
ID#AAABjx7qVjk
    (2025-05-21 11:33:27)
USD4299.75</t>
      </text>
    </comment>
    <comment authorId="0" ref="H309">
      <text>
        <t xml:space="preserve">======
ID#AAABjx7qVik
    (2025-05-21 11:33:27)
7/1 michelle: 銀行通知到款共USD2725.4</t>
      </text>
    </comment>
    <comment authorId="0" ref="N131">
      <text>
        <t xml:space="preserve">======
ID#AAABjx7qViI
    (2025-05-21 11:33:27)
20150327 Forster點收</t>
      </text>
    </comment>
    <comment authorId="0" ref="H381">
      <text>
        <t xml:space="preserve">======
ID#AAABjx7qVhY
    (2025-05-21 11:33:27)
0729 Santiago: 銀行通知入帳</t>
      </text>
    </comment>
    <comment authorId="0" ref="J191">
      <text>
        <t xml:space="preserve">======
ID#AAABjx7qVhI
    (2025-05-21 11:33:27)
7/29: michelle :8/1 tt</t>
      </text>
    </comment>
    <comment authorId="0" ref="H44">
      <text>
        <t xml:space="preserve">======
ID#AAABjx7qVgs
    (2025-05-21 11:33:27)
已通知,5月初付款
0526 chloe
 阿姐已通知匯款目前先進行卡貨動作
0528 chloe 預計6/3匯款
0529 michelle: 5/29 支票</t>
      </text>
    </comment>
    <comment authorId="0" ref="Y274">
      <text>
        <t xml:space="preserve">======
ID#AAABjx7qVdY
    (2025-05-21 11:33:27)
1/25 michelle: 已匯NTD75722,差1/29補NTD543</t>
      </text>
    </comment>
    <comment authorId="0" ref="H55">
      <text>
        <t xml:space="preserve">======
ID#AAABjx7qVZw
    (2025-05-21 11:33:27)
11/30 michelle: 玉山通知匯入款</t>
      </text>
    </comment>
    <comment authorId="0" ref="E321">
      <text>
        <t xml:space="preserve">======
ID#AAABjx7qVYc
    (2025-05-21 11:33:27)
GPS MiniPCIe Card and G-Sensor</t>
      </text>
    </comment>
    <comment authorId="0" ref="R154">
      <text>
        <t xml:space="preserve">======
ID#AAABjx7qVYU
    (2025-05-21 11:33:27)
chloe
0506更改後與研華發票符合
0515收到四月份對帳單此筆金額與訂單不符合五月需注意
0528 收到對帳單與成本金額相符合</t>
      </text>
    </comment>
    <comment authorId="0" ref="E407">
      <text>
        <t xml:space="preserve">======
ID#AAABjx7qVXk
    (2025-05-21 11:33:27)
150716 Karen: w/o adapter (同前票訂單)</t>
      </text>
    </comment>
    <comment authorId="0" ref="H305">
      <text>
        <t xml:space="preserve">======
ID#AAABjx7qVWI
    (2025-05-21 11:33:27)
0211 Santiago: 收到匯款</t>
      </text>
    </comment>
    <comment authorId="0" ref="R374">
      <text>
        <t xml:space="preserve">======
ID#AAABjx7qVVs
    (2025-05-21 11:33:27)
NT$6245+ 4/2 NT$5586</t>
      </text>
    </comment>
    <comment authorId="0" ref="H16">
      <text>
        <t xml:space="preserve">======
ID#AAABjx7qVVg
    (2025-05-21 11:33:27)
10/26 michelle: tcb-bank通知匯入USD3739</t>
      </text>
    </comment>
    <comment authorId="0" ref="H444">
      <text>
        <t xml:space="preserve">======
ID#AAABjx7qVTU
    (2025-05-21 11:33:27)
1224 Santiago: 收到客戶水單, 但戶名有問題, 錢還沒進帳戶
0106 Santiago: 已匯入</t>
      </text>
    </comment>
    <comment authorId="0" ref="C453">
      <text>
        <t xml:space="preserve">======
ID#AAABjx7qVR0
    (2025-05-21 11:33:27)
chloe 0519借出</t>
      </text>
    </comment>
    <comment authorId="0" ref="H53">
      <text>
        <t xml:space="preserve">======
ID#AAABjx7qVQc
    (2025-05-21 11:33:27)
1/4 michelle: 支票付款三筆總計NTD16973 SA0058701</t>
      </text>
    </comment>
    <comment authorId="0" ref="E300">
      <text>
        <t xml:space="preserve">======
ID#AAABjx7qVPo
    (2025-05-21 11:33:27)
150108 Karen: 下單型號NPort 5232 w/adapter (EU)</t>
      </text>
    </comment>
    <comment authorId="0" ref="G110">
      <text>
        <t xml:space="preserve">======
ID#AAABjx7qVO0
    (2025-05-21 11:33:27)
30</t>
      </text>
    </comment>
    <comment authorId="0" ref="Z319">
      <text>
        <t xml:space="preserve">======
ID#AAABjx7qVOE
    (2025-05-21 11:33:27)
0502 chloe 報單內容與CI不符合
0504 chloe 快遞只能向海關申請更改金額但內容不能變動，國外海關是以正本INVOICE填寫入口，故不會有問題
0526 chloe 已與會計聯絡提供他種發票為此次出貨廠商發票</t>
      </text>
    </comment>
    <comment authorId="0" ref="N98">
      <text>
        <t xml:space="preserve">======
ID#AAABjx7qVNo
    (2025-05-21 11:33:27)
20150203 Forster點收</t>
      </text>
    </comment>
    <comment authorId="0" ref="E166">
      <text>
        <t xml:space="preserve">======
ID#AAABjx7qVNQ
    (2025-05-21 11:33:27)
150501 Karen: 下單EU ADAPTER</t>
      </text>
    </comment>
    <comment authorId="0" ref="H341">
      <text>
        <t xml:space="preserve">======
ID#AAABjx7qVNU
    (2025-05-21 11:33:27)
12/8 michelle: 玉山通知匯入共USD30476</t>
      </text>
    </comment>
    <comment authorId="0" ref="Q192">
      <text>
        <t xml:space="preserve">======
ID#AAABjx7qVNA
    (2025-05-21 11:33:27)
20151020Santiago: Moxa 沖錯帳, 已沖銷. 待10/27 Jem 解釋</t>
      </text>
    </comment>
    <comment authorId="0" ref="H235">
      <text>
        <t xml:space="preserve">======
ID#AAABjx7qVLE
    (2025-05-21 11:33:27)
4/2 匯款通知 5G01371</t>
      </text>
    </comment>
    <comment authorId="0" ref="L26">
      <text>
        <t xml:space="preserve">======
ID#AAABjx7qVKY
    (2025-05-21 11:33:27)
AVIHS Technologies</t>
      </text>
    </comment>
    <comment authorId="0" ref="H277">
      <text>
        <t xml:space="preserve">======
ID#AAABjx7qVJo
    (2025-05-21 11:33:27)
牌價借測</t>
      </text>
    </comment>
    <comment authorId="0" ref="H247">
      <text>
        <t xml:space="preserve">======
ID#AAABjx7qVJQ
    (2025-05-21 11:33:27)
chloe 0507收到銀行通知</t>
      </text>
    </comment>
    <comment authorId="0" ref="L314">
      <text>
        <t xml:space="preserve">======
ID#AAABjx7qVGI
    (2025-05-21 11:33:27)
Santiago 0420
稽核未來統一寫在總金額H欄位
Chloe
尚未付兩成訂金，等FIONA通知</t>
      </text>
    </comment>
    <comment authorId="0" ref="J416">
      <text>
        <t xml:space="preserve">======
ID#AAABjx7qVFM
    (2025-05-21 11:33:27)
Santiago 1222 : 收到匯款</t>
      </text>
    </comment>
    <comment authorId="0" ref="H31">
      <text>
        <t xml:space="preserve">======
ID#AAABjx7qVC8
    (2025-05-21 11:33:27)
0303 chloe 收到水單</t>
      </text>
    </comment>
    <comment authorId="0" ref="H262">
      <text>
        <t xml:space="preserve">======
ID#AAABjx7qVCs
    (2025-05-21 11:33:27)
0930 Santiago: 銀行通知4817</t>
      </text>
    </comment>
    <comment authorId="0" ref="N84">
      <text>
        <t xml:space="preserve">======
ID#AAABjx7qVCc
    (2025-05-21 11:33:27)
20150120 Forster點收</t>
      </text>
    </comment>
    <comment authorId="0" ref="B449">
      <text>
        <t xml:space="preserve">======
ID#AAABjx7qVCY
    (2025-05-21 11:33:27)
1025 chloe 代老闆指示後才能核算獎金</t>
      </text>
    </comment>
    <comment authorId="0" ref="E299">
      <text>
        <t xml:space="preserve">======
ID#AAABjx7qVCM
    (2025-05-21 11:33:27)
150108 Karen: 下單EU ADAPTER</t>
      </text>
    </comment>
    <comment authorId="0" ref="H352">
      <text>
        <t xml:space="preserve">======
ID#AAABjx7qVBw
    (2025-05-21 11:33:27)
0520 michelle: 收到匯款通知USD22960</t>
      </text>
    </comment>
    <comment authorId="0" ref="G3">
      <text>
        <t xml:space="preserve">======
ID#AAABjx7qVBk
    (2025-05-21 11:33:27)
匯率30</t>
      </text>
    </comment>
    <comment authorId="0" ref="N87">
      <text>
        <t xml:space="preserve">======
ID#AAABjx7qVBQ
    (2025-05-21 11:33:27)
20150123 Forster點收</t>
      </text>
    </comment>
    <comment authorId="0" ref="N113">
      <text>
        <t xml:space="preserve">======
ID#AAABjx7qVA8
    (2025-05-21 11:33:27)
20150306 Lynn點收</t>
      </text>
    </comment>
    <comment authorId="0" ref="H317">
      <text>
        <t xml:space="preserve">======
ID#AAABjx7qVAw
    (2025-05-21 11:33:27)
7/1 michelle: 銀行通知到款共USD2725.4</t>
      </text>
    </comment>
    <comment authorId="0" ref="H272">
      <text>
        <t xml:space="preserve">======
ID#AAABjx7qVAM
    (2025-05-21 11:33:27)
Santiago 20151104 :已收到銀行通知</t>
      </text>
    </comment>
    <comment authorId="0" ref="E277">
      <text>
        <t xml:space="preserve">======
ID#AAABjx7qU_Y
    (2025-05-21 11:33:27)
( 1/28 已交還Forster )
(Forster 2/2: 還在我手上，1/28去新店要歸還，Ryan沒接電話)
(Forster 2/9交還給Ryan)</t>
      </text>
    </comment>
    <comment authorId="0" ref="J216">
      <text>
        <t xml:space="preserve">======
ID#AAABjx7qU9c
    (2025-05-21 11:33:27)
11/3 michelle: 已匯入款共67966</t>
      </text>
    </comment>
    <comment authorId="0" ref="H330">
      <text>
        <t xml:space="preserve">======
ID#AAABjx7qU9Y
    (2025-05-21 11:33:27)
10/15 michelle: 玉山通知匯款</t>
      </text>
    </comment>
    <comment authorId="0" ref="N5">
      <text>
        <t xml:space="preserve">======
ID#AAABjx7qU8k
    (2025-05-21 11:33:27)
0325 michelle: 再push</t>
      </text>
    </comment>
    <comment authorId="0" ref="H297">
      <text>
        <t xml:space="preserve">======
ID#AAABjx7qU8Y
    (2025-05-21 11:33:27)
12/30 michelle:TCB通知匯入共USD4012</t>
      </text>
    </comment>
    <comment authorId="0" ref="M93">
      <text>
        <t xml:space="preserve">======
ID#AAABjx7qU7U
    (2025-05-21 11:33:27)
確認新調漲中
Forster 1/29已跟客戶協調這單吸收1/5%。</t>
      </text>
    </comment>
    <comment authorId="0" ref="H294">
      <text>
        <t xml:space="preserve">======
ID#AAABjx7qU6k
    (2025-05-21 11:33:27)
20151210 Santiago: 匯入合作金庫</t>
      </text>
    </comment>
    <comment authorId="0" ref="H52">
      <text>
        <t xml:space="preserve">======
ID#AAABjx7qU6U
    (2025-05-21 11:33:27)
1/4 michelle: 支票付款三筆總計NTD16973 SA0058701</t>
      </text>
    </comment>
    <comment authorId="0" ref="L29">
      <text>
        <t xml:space="preserve">======
ID#AAABjx7qU14
    (2025-05-21 11:33:26)
AVIHS Technologies</t>
      </text>
    </comment>
    <comment authorId="0" ref="Z322">
      <text>
        <t xml:space="preserve">======
ID#AAABjx7qU1o
    (2025-05-21 11:33:26)
0502 chloe 報單內容與CI不符合
0504 chloe 快遞只能向海關申請更改金額但內容不能變動，國外海關是以正本INVOICE填寫入口，故不會有問題
0526 chloe 已與會計聯絡提供他種發票為此次出貨廠商發票</t>
      </text>
    </comment>
    <comment authorId="0" ref="M94">
      <text>
        <t xml:space="preserve">======
ID#AAABjx7qU1Y
    (2025-05-21 11:33:26)
確認新調漲中
Forster 1/29已跟客戶協調這單吸收1/5%。</t>
      </text>
    </comment>
    <comment authorId="0" ref="H257">
      <text>
        <t xml:space="preserve">======
ID#AAABjx7qU08
    (2025-05-21 11:33:26)
5/27 michelle: 客戶水單</t>
      </text>
    </comment>
    <comment authorId="0" ref="N77">
      <text>
        <t xml:space="preserve">======
ID#AAABjx7qUzc
    (2025-05-21 11:33:26)
20150121 Forster點收</t>
      </text>
    </comment>
    <comment authorId="0" ref="H411">
      <text>
        <t xml:space="preserve">======
ID#AAABjx7qUzA
    (2025-05-21 11:33:26)
0914 Santiago : 已收到匯款</t>
      </text>
    </comment>
    <comment authorId="0" ref="H342">
      <text>
        <t xml:space="preserve">======
ID#AAABjx7qUyg
20141113 Santiago    (2025-05-21 11:33:26)
已收到 US$5110</t>
      </text>
    </comment>
    <comment authorId="0" ref="G349">
      <text>
        <t xml:space="preserve">======
ID#AAABjx7qUyU
    (2025-05-21 11:33:26)
w/ 5% tax</t>
      </text>
    </comment>
    <comment authorId="0" ref="H448">
      <text>
        <t xml:space="preserve">======
ID#AAABjx7qUx4
    (2025-05-21 11:33:26)
0911 Santiago : 入帳</t>
      </text>
    </comment>
    <comment authorId="0" ref="Z316">
      <text>
        <t xml:space="preserve">======
ID#AAABjx7qUww
    (2025-05-21 11:33:26)
0502 chloe 報單內容與CI不符合
0504 chloe 快遞只能向海關申請更改金額但內容不能變動，國外海關是以正本INVOICE填寫入口，故不會有問題
0526 chloe 已與會計聯絡提供他種發票為此次出貨廠商發票</t>
      </text>
    </comment>
    <comment authorId="0" ref="K99">
      <text>
        <t xml:space="preserve">======
ID#AAABjx7qUv4
    (2025-05-21 11:33:26)
FORSTER的部分計算獎金，但不發給(因採固定制)</t>
      </text>
    </comment>
    <comment authorId="0" ref="H344">
      <text>
        <t xml:space="preserve">======
ID#AAABjx7qUvM
    (2025-05-21 11:33:26)
Santiago 0306 : 已入帳
Forster 0226
安排3/6匯款
2/25 Karen:改國內出貨，含５％稅
此單出上海新漢不含5%稅. 並以台幣計價</t>
      </text>
    </comment>
    <comment authorId="0" ref="H46">
      <text>
        <t xml:space="preserve">======
ID#AAABjx7qUts
    (2025-05-21 11:33:26)
0529 michelle: 5/29 支票</t>
      </text>
    </comment>
    <comment authorId="0" ref="H380">
      <text>
        <t xml:space="preserve">======
ID#AAABjx7qUtk
    (2025-05-21 11:33:26)
0729 Santiago: 銀行通知入帳</t>
      </text>
    </comment>
    <comment authorId="0" ref="R380">
      <text>
        <t xml:space="preserve">======
ID#AAABjx7qUto
    (2025-05-21 11:33:26)
USD12*30.98*1.05</t>
      </text>
    </comment>
    <comment authorId="0" ref="K96">
      <text>
        <t xml:space="preserve">======
ID#AAABjx7qUtU
    (2025-05-21 11:33:26)
FORSTER的部分計算獎金，但不發給(因採固定制)</t>
      </text>
    </comment>
    <comment authorId="0" ref="E143">
      <text>
        <t xml:space="preserve">======
ID#AAABjx7qUsg
    (2025-05-21 11:33:26)
150410 Karen: 下單EU ADAPTER</t>
      </text>
    </comment>
    <comment authorId="0" ref="X6">
      <text>
        <t xml:space="preserve">======
ID#AAABjx7qUrY
    (2025-05-21 11:33:26)
0602 chloe 發票金額含PI-20150423A</t>
      </text>
    </comment>
    <comment authorId="0" ref="H58">
      <text>
        <t xml:space="preserve">======
ID#AAABjx7qUrA
Santiago 0422    (2025-05-21 11:33:26)
收到銀行通知</t>
      </text>
    </comment>
    <comment authorId="0" ref="N89">
      <text>
        <t xml:space="preserve">======
ID#AAABjx7qTsA
    (2025-05-21 11:33:26)
20150123 Forster點收</t>
      </text>
    </comment>
    <comment authorId="0" ref="L418">
      <text>
        <t xml:space="preserve">======
ID#AAABjx7qTqg
    (2025-05-21 11:33:26)
11/9 Michelle: 已簽約</t>
      </text>
    </comment>
    <comment authorId="0" ref="E211">
      <text>
        <t xml:space="preserve">======
ID#AAABjx7qTpg
    (2025-05-21 11:33:26)
150917 Karen: 下單EU ADAPTER</t>
      </text>
    </comment>
    <comment authorId="0" ref="H241">
      <text>
        <t xml:space="preserve">======
ID#AAABjx7qToc
    (2025-05-21 11:33:26)
4/2 匯款通知 5G01371</t>
      </text>
    </comment>
    <comment authorId="0" ref="Z318">
      <text>
        <t xml:space="preserve">======
ID#AAABjx7qTns
    (2025-05-21 11:33:26)
0502 chloe 報單內容與CI不符合
0504 chloe 快遞只能向海關申請更改金額但內容不能變動，國外海關是以正本INVOICE填寫入口，故不會有問題
0526 chloe 已與會計聯絡提供他種發票為此次出貨廠商發票</t>
      </text>
    </comment>
    <comment authorId="0" ref="H280">
      <text>
        <t xml:space="preserve">======
ID#AAABjx7qTnI
    (2025-05-21 11:33:26)
4/16 玉山銀行通知</t>
      </text>
    </comment>
    <comment authorId="0" ref="X382">
      <text>
        <t xml:space="preserve">======
ID#AAABjx7qTmM
    (2025-05-21 11:33:26)
32.68</t>
      </text>
    </comment>
    <comment authorId="0" ref="D259">
      <text>
        <t xml:space="preserve">======
ID#AAABjx7qTkg
20150916 Santiago    (2025-05-21 11:33:26)
目前End User 庫存未消化. 案子還沒結案. 所以先取消訂單</t>
      </text>
    </comment>
    <comment authorId="0" ref="H441">
      <text>
        <t xml:space="preserve">======
ID#AAABjx7qTjU
    (2025-05-21 11:33:26)
1224 Santiago: 收到客戶水單, 但戶名有問題, 錢還沒進帳戶
0106 Santiago: 已匯入</t>
      </text>
    </comment>
    <comment authorId="0" ref="E54">
      <text>
        <t xml:space="preserve">======
ID#AAABjx7qTjE
    (2025-05-21 11:33:26)
151123 Karen: 下單歐規電源,正確型號EL100T-E</t>
      </text>
    </comment>
    <comment authorId="0" ref="H4">
      <text>
        <t xml:space="preserve">======
ID#AAABjx7qTi8
Santiago 0505    (2025-05-21 11:33:26)
0430 已匯款</t>
      </text>
    </comment>
    <comment authorId="0" ref="G139">
      <text>
        <t xml:space="preserve">======
ID#AAABjx7qTik
    (2025-05-21 11:33:26)
匯率30</t>
      </text>
    </comment>
    <comment authorId="0" ref="H322">
      <text>
        <t xml:space="preserve">======
ID#AAABjx7qThM
    (2025-05-21 11:33:26)
7/1 michelle: 銀行通知到款共USD2725.4</t>
      </text>
    </comment>
    <comment authorId="0" ref="H430">
      <text>
        <t xml:space="preserve">======
ID#AAABjx7qTgg
    (2025-05-21 11:33:26)
20150105 Santiago 收到客戶水單</t>
      </text>
    </comment>
    <comment authorId="0" ref="H385">
      <text>
        <t xml:space="preserve">======
ID#AAABjx7qTfM
    (2025-05-21 11:33:26)
11/16 michelle:玉山通知匯入共USD9905</t>
      </text>
    </comment>
    <comment authorId="0" ref="M36">
      <text>
        <t xml:space="preserve">======
ID#AAABjx7qTeY
    (2025-05-21 11:33:26)
3/25要付款完畢</t>
      </text>
    </comment>
    <comment authorId="0" ref="H345">
      <text>
        <t xml:space="preserve">======
ID#AAABjx7qTeQ
    (2025-05-21 11:33:26)
5/6 michelle:收到銀
行通知匯款</t>
      </text>
    </comment>
    <comment authorId="0" ref="H440">
      <text>
        <t xml:space="preserve">======
ID#AAABjx7qTcw
    (2025-05-21 11:33:26)
1224 Santiago: 收到客戶水單, 但戶名有問題, 錢還沒進帳戶
0106 Santiago: 已匯入</t>
      </text>
    </comment>
    <comment authorId="0" ref="Z307">
      <text>
        <t xml:space="preserve">======
ID#AAABjx7qTcE
    (2025-05-21 11:33:26)
0602 chloe 詢問簡易型出口報單可否辦理退稅
0603 chloe 會計回答簡易型出口報單統計方式若為04(申報的為02)則不能辦理退稅
0604 chloe 已向快遞申請02</t>
      </text>
    </comment>
    <comment authorId="0" ref="H372">
      <text>
        <t xml:space="preserve">======
ID#AAABjx7qTb8
    (2025-05-21 11:33:26)
Santiago 3/17 匯入(01112)</t>
      </text>
    </comment>
    <comment authorId="0" ref="H323">
      <text>
        <t xml:space="preserve">======
ID#AAABjx7qTac
4/13 Santiago    (2025-05-21 11:33:26)
收到US$4602.8
尚欠US$6000
0603 chloe：已匯入戶頭</t>
      </text>
    </comment>
    <comment authorId="0" ref="N312">
      <text>
        <t xml:space="preserve">======
ID#AAABjx7qTaE
    (2025-05-21 11:33:26)
stock</t>
      </text>
    </comment>
    <comment authorId="0" ref="K93">
      <text>
        <t xml:space="preserve">======
ID#AAABjx7qTZo
    (2025-05-21 11:33:26)
FORSTER的部分計算獎金，但不發給(因採固定制)</t>
      </text>
    </comment>
    <comment authorId="0" ref="L453">
      <text>
        <t xml:space="preserve">======
ID#AAABjx7qTYE
    (2025-05-21 11:33:26)
0526 chloe 運費1178</t>
      </text>
    </comment>
    <comment authorId="0" ref="Q18">
      <text>
        <t xml:space="preserve">======
ID#AAABjx7qTXw
    (2025-05-21 11:33:26)
151110 扣抵金額(含稅)US$126元,應支付貨款(含稅)為US$693元</t>
      </text>
    </comment>
    <comment authorId="0" ref="H371">
      <text>
        <t xml:space="preserve">======
ID#AAABjx7qTXk
    (2025-05-21 11:33:26)
20151104 收到銀行通知</t>
      </text>
    </comment>
    <comment authorId="0" ref="R266">
      <text>
        <t xml:space="preserve">======
ID#AAABjx7qTWU
    (2025-05-21 11:33:26)
32.13</t>
      </text>
    </comment>
    <comment authorId="0" ref="Z308">
      <text>
        <t xml:space="preserve">======
ID#AAABjx7qTU4
    (2025-05-21 11:33:26)
0602 chloe 詢問簡易型出口報單可否辦理退稅
0603 chloe 會計回答簡易型出口報單統計方式若為04(申報的為02)則不能辦理退稅
0604 chloe 已向快遞申請02</t>
      </text>
    </comment>
    <comment authorId="0" ref="V153">
      <text>
        <t xml:space="preserve">======
ID#AAABjx7qTUw
    (2025-05-21 11:33:26)
0502 chloe
發票修改，待追研華
0505 chloe
收到研華發票</t>
      </text>
    </comment>
    <comment authorId="0" ref="D409">
      <text>
        <t xml:space="preserve">======
ID#AAABjx7qTUc
    (2025-05-21 11:33:26)
PI-20150612A-1 銷退貨費用</t>
      </text>
    </comment>
    <comment authorId="0" ref="M449">
      <text>
        <t xml:space="preserve">======
ID#AAABjx7qTTw
    (2025-05-21 11:33:26)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</text>
    </comment>
    <comment authorId="0" ref="E405">
      <text>
        <t xml:space="preserve">======
ID#AAABjx7qTSY
    (2025-05-21 11:33:26)
0713 Santiago 客戶要求取消訂單</t>
      </text>
    </comment>
    <comment authorId="0" ref="M306">
      <text>
        <t xml:space="preserve">======
ID#AAABjx7qTSU
    (2025-05-21 11:33:26)
3/14要付款完畢</t>
      </text>
    </comment>
    <comment authorId="0" ref="H179">
      <text>
        <t xml:space="preserve">======
ID#AAABjx7qTQg
    (2025-05-21 11:33:26)
20150801 Santiago 收到款</t>
      </text>
    </comment>
    <comment authorId="0" ref="H181">
      <text>
        <t xml:space="preserve">======
ID#AAABjx7qTPI
    (2025-05-21 11:33:26)
20150801 Santiago 收到款</t>
      </text>
    </comment>
    <comment authorId="0" ref="H5">
      <text>
        <t xml:space="preserve">======
ID#AAABjx7qTOE
    (2025-05-21 11:33:26)
0528 chloe 已通知結算，預計0625追貨款
0703 已入帳</t>
      </text>
    </comment>
    <comment authorId="0" ref="G293">
      <text>
        <t xml:space="preserve">======
ID#AAABjx7qTN4
    (2025-05-21 11:33:26)
3/19台灣銀行買賣平均匯率為31.371</t>
      </text>
    </comment>
    <comment authorId="0" ref="H435">
      <text>
        <t xml:space="preserve">======
ID#AAABjx7qTL4
    (2025-05-21 11:33:26)
20150105 收到客戶水單</t>
      </text>
    </comment>
    <comment authorId="0" ref="C278">
      <text>
        <t xml:space="preserve">======
ID#AAABjx7qTKg
Santiago 0205    (2025-05-21 11:33:26)
請Forster 註明何時歸還
Forster 0209:
已註明
Forster 0305:
尚有技術問題待解決，延長一個月
Santiago 0327:
待Forster 4/4~15至鴻海取回. 先不計扣帳費用
Santiago 0407 : 由於MOXA取消meeting 緣故. 順延至5/2
Forster 0423:
由於MOXA不確定W2150A是否可滿足需求?? 故Vic現場同意續借此樣品做交叉驗證
預計5/24歸還)
(Forster預計5/26取回歸還)
(Forster 5/27已取回，5/28送至戎克辦公室</t>
      </text>
    </comment>
    <comment authorId="0" ref="H301">
      <text>
        <t xml:space="preserve">======
ID#AAABjx7qTI0
    (2025-05-21 11:33:26)
0716 Santiago: 已入帳</t>
      </text>
    </comment>
    <comment authorId="0" ref="H187">
      <text>
        <t xml:space="preserve">======
ID#AAABjx7qTIA
    (2025-05-21 11:33:26)
20150801 Santiago 收到款</t>
      </text>
    </comment>
    <comment authorId="0" ref="N307">
      <text>
        <t xml:space="preserve">======
ID#AAABjx7qTFs
    (2025-05-21 11:33:26)
6-8weeks</t>
      </text>
    </comment>
    <comment authorId="0" ref="M97">
      <text>
        <t xml:space="preserve">======
ID#AAABjx7qTEA
    (2025-05-21 11:33:26)
確認新調漲中
Forster 1/29已跟客戶協調這單吸收1/5%。</t>
      </text>
    </comment>
    <comment authorId="0" ref="H359">
      <text>
        <t xml:space="preserve">======
ID#AAABjx7qTDI
    (2025-05-21 11:33:26)
3/4 入帳</t>
      </text>
    </comment>
    <comment authorId="0" ref="L33">
      <text>
        <t xml:space="preserve">======
ID#AAABjx7qTDA
    (2025-05-21 11:33:26)
AVIHS Technologies</t>
      </text>
    </comment>
    <comment authorId="0" ref="K232">
      <text>
        <t xml:space="preserve">======
ID#AAABjx7qTDE
    (2025-05-21 11:33:26)
FORSTER的部分計算獎金，但不發給(因採固定制薪資)</t>
      </text>
    </comment>
    <comment authorId="0" ref="J214">
      <text>
        <t xml:space="preserve">======
ID#AAABjx7qTC8
    (2025-05-21 11:33:26)
11/3 michelle: 已匯入款共67966</t>
      </text>
    </comment>
    <comment authorId="0" ref="H427">
      <text>
        <t xml:space="preserve">======
ID#AAABjx7qTCw
    (2025-05-21 11:33:26)
1224 Santiago: 收到客戶水單
但戶名有問題, 錢還沒進帳戶
0106 Santiago: 已匯入0</t>
      </text>
    </comment>
    <comment authorId="0" ref="H225">
      <text>
        <t xml:space="preserve">======
ID#AAABjx7qTBg
    (2025-05-21 11:33:26)
4/2 匯款通知 5G01371</t>
      </text>
    </comment>
    <comment authorId="0" ref="E52">
      <text>
        <t xml:space="preserve">======
ID#AAABjx7qS_4
    (2025-05-21 11:33:26)
10/27 Karen: 下單US ADAPTER</t>
      </text>
    </comment>
    <comment authorId="0" ref="G116">
      <text>
        <t xml:space="preserve">======
ID#AAABjx7qS_w
    (2025-05-21 11:33:26)
30</t>
      </text>
    </comment>
    <comment authorId="0" ref="E57">
      <text>
        <t xml:space="preserve">======
ID#AAABjx7qS9M
    (2025-05-21 11:33:26)
cost
CP-104EL-DB9M, US$85/PC
CBL-M44M9X4-50, US$8/PC</t>
      </text>
    </comment>
    <comment authorId="0" ref="H66">
      <text>
        <t xml:space="preserve">======
ID#AAABjx7qS9A
    (2025-05-21 11:33:26)
chloel：0630入帳
0528 chloe 已通知結算，預計0625追貨款</t>
      </text>
    </comment>
    <comment authorId="0" ref="H2">
      <text>
        <t xml:space="preserve">======
ID#AAABjx7qS7Y
    (2025-05-21 11:33:26)
3/31 入帳</t>
      </text>
    </comment>
    <comment authorId="0" ref="Q447">
      <text>
        <t xml:space="preserve">======
ID#AAABjx7qS6s
    (2025-05-21 11:33:26)
150916 扣抵金額(含稅)US$170.1元,應支付貨款(含稅)為US$2299.5元</t>
      </text>
    </comment>
    <comment authorId="0" ref="K233">
      <text>
        <t xml:space="preserve">======
ID#AAABjx7qS6o
    (2025-05-21 11:33:26)
FORSTER的部分計算獎金，但不發給(因採固定制)</t>
      </text>
    </comment>
    <comment authorId="0" ref="H20">
      <text>
        <t xml:space="preserve">======
ID#AAABjx7qS6c
    (2025-05-21 11:33:26)
20151224 Santiago: 收到銀行通知</t>
      </text>
    </comment>
    <comment authorId="0" ref="H224">
      <text>
        <t xml:space="preserve">======
ID#AAABjx7qS24
    (2025-05-21 11:33:26)
3/3 入帳</t>
      </text>
    </comment>
    <comment authorId="0" ref="H438">
      <text>
        <t xml:space="preserve">======
ID#AAABjx7qS1A
    (2025-05-21 11:33:26)
1224 Santiago: 收到客戶水單, 但戶名有問題, 錢還沒進帳戶
0106 Santiago: 已匯入</t>
      </text>
    </comment>
    <comment authorId="0" ref="H240">
      <text>
        <t xml:space="preserve">======
ID#AAABjx7qS0s
    (2025-05-21 11:33:26)
4/2 匯款通知 5G01371</t>
      </text>
    </comment>
    <comment authorId="0" ref="H65">
      <text>
        <t xml:space="preserve">======
ID#AAABjx7qSz0
    (2025-05-21 11:33:26)
chloe：3/25結算，4/25追貨款到否?
chloe 4/30 入帳</t>
      </text>
    </comment>
    <comment authorId="0" ref="H450">
      <text>
        <t xml:space="preserve">======
ID#AAABjx7qSzs
    (2025-05-21 11:33:26)
0911 Santiago : 入帳</t>
      </text>
    </comment>
    <comment authorId="0" ref="G344">
      <text>
        <t xml:space="preserve">======
ID#AAABjx7qSzk
    (2025-05-21 11:33:26)
2/25 Karen: 改為NT$6536.25(w/5%) / RATE 30 = 217.88
匯率30
w/o 5% Tax</t>
      </text>
    </comment>
    <comment authorId="0" ref="R152">
      <text>
        <t xml:space="preserve">======
ID#AAABjx7qSwY
    (2025-05-21 11:33:26)
chloe
0506更改後與研華發票符合
0515收到四月份對帳單此筆金額與訂單不符合五月需注意
0528 收到對帳單與成本金額相符合</t>
      </text>
    </comment>
    <comment authorId="0" ref="H424">
      <text>
        <t xml:space="preserve">======
ID#AAABjx7qSvw
    (2025-05-21 11:33:26)
1224 Santiago: 收到客戶水單
但戶名有問題, 錢還沒進帳戶
0106 Santiago: 已匯入</t>
      </text>
    </comment>
    <comment authorId="0" ref="N115">
      <text>
        <t xml:space="preserve">======
ID#AAABjx7qSvU
    (2025-05-21 11:33:26)
20150306 Lynn點收</t>
      </text>
    </comment>
    <comment authorId="0" ref="H170">
      <text>
        <t xml:space="preserve">======
ID#AAABjx7qSt4
    (2025-05-21 11:33:26)
0601 Michelle: 客戶 通知已付
5月份貨款</t>
      </text>
    </comment>
    <comment authorId="0" ref="H364">
      <text>
        <t xml:space="preserve">======
ID#AAABjx7qStA
    (2025-05-21 11:33:26)
9/1 michelle: 客戶轉帳單NTD22813</t>
      </text>
    </comment>
    <comment authorId="0" ref="H266">
      <text>
        <t xml:space="preserve">======
ID#AAABjx7qSsc
    (2025-05-21 11:33:26)
9/8 Santiago 
已收到玉山預先通知</t>
      </text>
    </comment>
    <comment authorId="0" ref="N360">
      <text>
        <t xml:space="preserve">======
ID#AAABjx7qSrw
    (2025-05-21 11:33:26)
20150213 Forster點收</t>
      </text>
    </comment>
    <comment authorId="0" ref="N118">
      <text>
        <t xml:space="preserve">======
ID#AAABjx7qSrs
    (2025-05-21 11:33:26)
20150316 Forster點收</t>
      </text>
    </comment>
    <comment authorId="0" ref="H392">
      <text>
        <t xml:space="preserve">======
ID#AAABjx7qSrA
    (2025-05-21 11:33:26)
11/16 michelle:玉山通知匯入共USD9905</t>
      </text>
    </comment>
    <comment authorId="0" ref="N314">
      <text>
        <t xml:space="preserve">======
ID#AAABjx7qSpU
    (2025-05-21 11:33:26)
stock</t>
      </text>
    </comment>
    <comment authorId="0" ref="J403">
      <text>
        <t xml:space="preserve">======
ID#AAABjx7qSpM
    (2025-05-21 11:33:26)
7/25折讓430337,轉為暫付款</t>
      </text>
    </comment>
    <comment authorId="0" ref="H420">
      <text>
        <t xml:space="preserve">======
ID#AAABjx7qSls
    (2025-05-21 11:33:26)
1224 Santiago: 收到客戶水單, 但戶名有問題, 錢還沒進帳戶
0106 Santiago: 已匯入</t>
      </text>
    </comment>
    <comment authorId="0" ref="J218">
      <text>
        <t xml:space="preserve">======
ID#AAABjx7qSkg
    (2025-05-21 11:33:26)
11/3 michelle: 已匯入款共67966</t>
      </text>
    </comment>
    <comment authorId="0" ref="H256">
      <text>
        <t xml:space="preserve">======
ID#AAABjx7qSiI
    (2025-05-21 11:33:26)
5/27 michelle: 客戶水單</t>
      </text>
    </comment>
    <comment authorId="0" ref="E404">
      <text>
        <t xml:space="preserve">======
ID#AAABjx7qShw
    (2025-05-21 11:33:26)
0713 Santiago 客戶要求取消訂單
150629 Karen: w/o adapter (同前票訂單)</t>
      </text>
    </comment>
    <comment authorId="0" ref="J183">
      <text>
        <t xml:space="preserve">======
ID#AAABjx7qShU
    (2025-05-21 11:33:26)
7/3 michelle: 客戶已付款</t>
      </text>
    </comment>
    <comment authorId="0" ref="H311">
      <text>
        <t xml:space="preserve">======
ID#AAABjx7qSgo
4/13 Santiago    (2025-05-21 11:33:26)
收到US$4602.8
尚欠US$6000
0603 chloe：已匯入戶頭</t>
      </text>
    </comment>
    <comment authorId="0" ref="R419">
      <text>
        <t xml:space="preserve">======
ID#AAABjx7qSgE
    (2025-05-21 11:33:26)
32.645</t>
      </text>
    </comment>
    <comment authorId="0" ref="Z398">
      <text>
        <t xml:space="preserve">======
ID#AAABjx7qSf0
    (2025-05-21 11:33:26)
發票已整理</t>
      </text>
    </comment>
    <comment authorId="0" ref="M446">
      <text>
        <t xml:space="preserve">======
ID#AAABjx7qSfY
    (2025-05-21 11:33:26)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</text>
    </comment>
    <comment authorId="0" ref="E304">
      <text>
        <t xml:space="preserve">======
ID#AAABjx7qSfQ
    (2025-05-21 11:33:26)
151211 Karen: 下單歐規電源</t>
      </text>
    </comment>
    <comment authorId="0" ref="N136">
      <text>
        <t xml:space="preserve">======
ID#AAABjx7qSew
    (2025-05-21 11:33:26)
20150327 Forster點收</t>
      </text>
    </comment>
    <comment authorId="0" ref="H249">
      <text>
        <t xml:space="preserve">======
ID#AAABjx7qSd8
    (2025-05-21 11:33:26)
chloe 0507收到銀行通知</t>
      </text>
    </comment>
    <comment authorId="0" ref="H10">
      <text>
        <t xml:space="preserve">======
ID#AAABjx7qSdk
    (2025-05-21 11:33:26)
0715 Santiago : 玉山已入帳</t>
      </text>
    </comment>
    <comment authorId="0" ref="H289">
      <text>
        <t xml:space="preserve">======
ID#AAABjx7qSdc
    (2025-05-21 11:33:26)
Santiago 20160118 收到銀行通知</t>
      </text>
    </comment>
    <comment authorId="0" ref="H39">
      <text>
        <t xml:space="preserve">======
ID#AAABjx7qSdU
    (2025-05-21 11:33:26)
已通知,5月初付款
0526 chloe
 阿姐已通知匯款目前先進行卡貨動作
0528 chloe 預計6/3匯款
0529 michelle: 5/29 支票</t>
      </text>
    </comment>
    <comment authorId="0" ref="E233">
      <text>
        <t xml:space="preserve">======
ID#AAABjx7qScc
    (2025-05-21 11:33:26)
150126 Karen: 下單UK電源</t>
      </text>
    </comment>
    <comment authorId="0" ref="E358">
      <text>
        <t xml:space="preserve">======
ID#AAABjx7qScE
    (2025-05-21 11:33:26)
S/N: TBC</t>
      </text>
    </comment>
    <comment authorId="0" ref="H313">
      <text>
        <t xml:space="preserve">======
ID#AAABjx7qSbU
5/25 Santiago    (2025-05-21 11:33:26)
收到US$5904
4/13 Santiago:
收到US$4602.8
尚欠US$6000
0603 chloe：已匯入戶頭</t>
      </text>
    </comment>
    <comment authorId="0" ref="Q22">
      <text>
        <t xml:space="preserve">======
ID#AAABjx7qSaU
    (2025-05-21 11:33:26)
151215 扣抵金額(含稅)US$567元,應支付貨款(含稅)為US$3118.5元</t>
      </text>
    </comment>
    <comment authorId="0" ref="H68">
      <text>
        <t xml:space="preserve">======
ID#AAABjx7qSZY
    (2025-05-21 11:33:26)
10/22 michelle: 銀行通知匯入 歐元 153</t>
      </text>
    </comment>
    <comment authorId="0" ref="M448">
      <text>
        <t xml:space="preserve">======
ID#AAABjx7qSYE
    (2025-05-21 11:33:26)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</text>
    </comment>
    <comment authorId="0" ref="H284">
      <text>
        <t xml:space="preserve">======
ID#AAABjx7qSX4
    (2025-05-21 11:33:26)
0119 收到</t>
      </text>
    </comment>
    <comment authorId="0" ref="E301">
      <text>
        <t xml:space="preserve">======
ID#AAABjx7qSXs
    (2025-05-21 11:33:26)
150713 Karen: EU ADAPTER</t>
      </text>
    </comment>
    <comment authorId="0" ref="K231">
      <text>
        <t xml:space="preserve">======
ID#AAABjx7qSW4
    (2025-05-21 11:33:26)
FORSTER的部分計算獎金，但不發給(因採固定制)</t>
      </text>
    </comment>
    <comment authorId="0" ref="H449">
      <text>
        <t xml:space="preserve">======
ID#AAABjx7qSWw
    (2025-05-21 11:33:26)
0911 Santiago : 入帳</t>
      </text>
    </comment>
    <comment authorId="0" ref="Q450">
      <text>
        <t xml:space="preserve">======
ID#AAABjx7qSWo
    (2025-05-21 11:33:26)
150916 扣抵金額(含稅)US$498.75,應支付貨款(含稅)為US$8715元</t>
      </text>
    </comment>
    <comment authorId="0" ref="H428">
      <text>
        <t xml:space="preserve">======
ID#AAABjx7qSWA
    (2025-05-21 11:33:26)
1224 Santiago: 收到客戶水單
但戶名有問題, 錢還沒進帳戶
0106 Santiago: 已匯入</t>
      </text>
    </comment>
    <comment authorId="0" ref="H242">
      <text>
        <t xml:space="preserve">======
ID#AAABjx7qSV8
    (2025-05-21 11:33:26)
4/2 匯款通知 5G01371</t>
      </text>
    </comment>
    <comment authorId="0" ref="H437">
      <text>
        <t xml:space="preserve">======
ID#AAABjx7qSVU
    (2025-05-21 11:33:26)
1224 Santiago: 收到客戶水單, 但戶名有問題, 錢還沒進帳戶
0106 Santiago: 已匯入</t>
      </text>
    </comment>
    <comment authorId="0" ref="H32">
      <text>
        <t xml:space="preserve">======
ID#AAABjx7qSTo
    (2025-05-21 11:33:26)
0303 chloe 收到水單</t>
      </text>
    </comment>
    <comment authorId="0" ref="R260">
      <text>
        <t xml:space="preserve">======
ID#AAABjx7qSTI
    (2025-05-21 11:33:26)
32.13</t>
      </text>
    </comment>
    <comment authorId="0" ref="H37">
      <text>
        <t xml:space="preserve">======
ID#AAABjx7qSSs
    (2025-05-21 11:33:26)
chloe:0430收到支票</t>
      </text>
    </comment>
    <comment authorId="0" ref="H443">
      <text>
        <t xml:space="preserve">======
ID#AAABjx7qSRQ
    (2025-05-21 11:33:26)
1224 Santiago: 收到客戶水單, 但戶名有問題, 錢還沒進帳戶
0106 Santiago: 已匯入</t>
      </text>
    </comment>
    <comment authorId="0" ref="H54">
      <text>
        <t xml:space="preserve">======
ID#AAABjx7qSPU
    (2025-05-21 11:33:26)
11/30 michelle: 玉山通知匯入款</t>
      </text>
    </comment>
    <comment authorId="0" ref="E370">
      <text>
        <t xml:space="preserve">======
ID#AAABjx7qSOU
    (2025-05-21 11:33:26)
10/20 michelle :廠商料號 LS38-C3S-TC-N-DD</t>
      </text>
    </comment>
    <comment authorId="0" ref="I344">
      <text>
        <t xml:space="preserve">======
ID#AAABjx7qSNo
    (2025-05-21 11:33:26)
2/25 Karen: w/5%</t>
      </text>
    </comment>
    <comment authorId="0" ref="M4">
      <text>
        <t xml:space="preserve">======
ID#AAABjx7qSNk
    (2025-05-21 11:33:26)
CHLOE 4/25前付款</t>
      </text>
    </comment>
    <comment authorId="0" ref="M307">
      <text>
        <t xml:space="preserve">======
ID#AAABjx7qSL8
    (2025-05-21 11:33:26)
delivery with PI-20150317A</t>
      </text>
    </comment>
    <comment authorId="0" ref="E298">
      <text>
        <t xml:space="preserve">======
ID#AAABjx7qSLo
    (2025-05-21 11:33:26)
11/20 Michelle :歐規電源</t>
      </text>
    </comment>
    <comment authorId="0" ref="Q16">
      <text>
        <t xml:space="preserve">======
ID#AAABjx7qSLY
    (2025-05-21 11:33:26)
151014 扣抵金額(含稅)US$567元,應支付貨款(含稅)為US$3118.5元</t>
      </text>
    </comment>
    <comment authorId="0" ref="H349">
      <text>
        <t xml:space="preserve">======
ID#AAABjx7qSK8
    (2025-05-21 11:33:26)
0527 michelle:銀行通知USD5110</t>
      </text>
    </comment>
    <comment authorId="0" ref="E92">
      <text>
        <t xml:space="preserve">======
ID#AAABjx7qSJ8
    (2025-05-21 11:33:26)
150123 Karen: 下單型號CP-118EL-A w/o cable</t>
      </text>
    </comment>
    <comment authorId="0" ref="B450">
      <text>
        <t xml:space="preserve">======
ID#AAABjx7qSJw
    (2025-05-21 11:33:26)
1025 chloe 代老闆指示後才能核算獎金</t>
      </text>
    </comment>
    <comment authorId="0" ref="E356">
      <text>
        <t xml:space="preserve">======
ID#AAABjx7qSI8
    (2025-05-21 11:33:26)
S/N: B85338-0114</t>
      </text>
    </comment>
    <comment authorId="0" ref="H279">
      <text>
        <t xml:space="preserve">======
ID#AAABjx7qSGk
    (2025-05-21 11:33:26)
牌價借測</t>
      </text>
    </comment>
    <comment authorId="0" ref="H243">
      <text>
        <t xml:space="preserve">======
ID#AAABjx7qSDg
    (2025-05-21 11:33:25)
4/2 匯款通知 5G01371</t>
      </text>
    </comment>
    <comment authorId="0" ref="H18">
      <text>
        <t xml:space="preserve">======
ID#AAABjx7qSC4
    (2025-05-21 11:33:25)
11/18 : TCB通知匯入款共USD2599</t>
      </text>
    </comment>
    <comment authorId="0" ref="N112">
      <text>
        <t xml:space="preserve">======
ID#AAABjx7qSCs
    (2025-05-21 11:33:25)
20150306 Lynn點收</t>
      </text>
    </comment>
    <comment authorId="0" ref="H271">
      <text>
        <t xml:space="preserve">======
ID#AAABjx7qSB0
    (2025-05-21 11:33:25)
10/19 michelle: 10/19玉山通知匯入款</t>
      </text>
    </comment>
    <comment authorId="0" ref="N23">
      <text>
        <t xml:space="preserve">======
ID#AAABjx7qR_8
    (2025-05-21 11:33:25)
0105 Forster點收</t>
      </text>
    </comment>
    <comment authorId="0" ref="H340">
      <text>
        <t xml:space="preserve">======
ID#AAABjx7qR_s
    (2025-05-21 11:33:25)
12/8 michelle: 玉山通知匯入共USD30476</t>
      </text>
    </comment>
    <comment authorId="0" ref="N126">
      <text>
        <t xml:space="preserve">======
ID#AAABjx7qR_A
    (2025-05-21 11:33:25)
20150323 Forster點收</t>
      </text>
    </comment>
    <comment authorId="0" ref="H403">
      <text>
        <t xml:space="preserve">======
ID#AAABjx7qR-0
    (2025-05-21 11:33:25)
150721 Santiago: 客戶銷退. 換成PI-20150721A
6/23 santiago 已收到款 30.7</t>
      </text>
    </comment>
    <comment authorId="0" ref="N85">
      <text>
        <t xml:space="preserve">======
ID#AAABjx7qR9w
    (2025-05-21 11:33:25)
20150120 Forster點收</t>
      </text>
    </comment>
    <comment authorId="0" ref="N281">
      <text>
        <t xml:space="preserve">======
ID#AAABjx7qR9o
    (2025-05-21 11:33:25)
4/24 michelle: 4/27發料</t>
      </text>
    </comment>
    <comment authorId="0" ref="H287">
      <text>
        <t xml:space="preserve">======
ID#AAABjx7qR8Y
    (2025-05-21 11:33:25)
Santiago 20160118 收到銀行通知</t>
      </text>
    </comment>
    <comment authorId="0" ref="E246">
      <text>
        <t xml:space="preserve">======
ID#AAABjx7qR7k
    (2025-05-21 11:33:25)
150327 Karen: 下單型號C218T/PCI</t>
      </text>
    </comment>
    <comment authorId="0" ref="L162">
      <text>
        <t xml:space="preserve">======
ID#AAABjx7qR7M
0421 Forster    (2025-05-21 11:33:25)
連維修換下的SSD一同寄回</t>
      </text>
    </comment>
    <comment authorId="0" ref="H290">
      <text>
        <t xml:space="preserve">======
ID#AAABjx7qR4Q
    (2025-05-21 11:33:25)
Santiago 20160118 收到銀行通知</t>
      </text>
    </comment>
    <comment authorId="0" ref="H71">
      <text>
        <t xml:space="preserve">======
ID#AAABjx7qR2U
    (2025-05-21 11:33:25)
3/31 收到水單
4/7 銀行通知入帳</t>
      </text>
    </comment>
    <comment authorId="0" ref="N454">
      <text>
        <t xml:space="preserve">======
ID#AAABjx7qR1w
    (2025-05-21 11:33:25)
0109 Forster點收</t>
      </text>
    </comment>
    <comment authorId="0" ref="N132">
      <text>
        <t xml:space="preserve">======
ID#AAABjx7qRyA
    (2025-05-21 11:33:25)
20150327 Forster點收</t>
      </text>
    </comment>
    <comment authorId="0" ref="M344">
      <text>
        <t xml:space="preserve">======
ID#AAABjx7qRvo
    (2025-05-21 11:33:25)
Forster 0226
安排3/6匯款</t>
      </text>
    </comment>
    <comment authorId="0" ref="H346">
      <text>
        <t xml:space="preserve">======
ID#AAABjx7qRuU
    (2025-05-21 11:33:25)
Santiago0330 : 收到銀行通知</t>
      </text>
    </comment>
    <comment authorId="0" ref="M83">
      <text>
        <t xml:space="preserve">======
ID#AAABjx7qRts
    (2025-05-21 11:33:25)
20150210 宅急便寄出</t>
      </text>
    </comment>
    <comment authorId="0" ref="H348">
      <text>
        <t xml:space="preserve">======
ID#AAABjx7qRtU
    (2025-05-21 11:33:25)
Santiago0325 : 收到銀行通知</t>
      </text>
    </comment>
    <comment authorId="0" ref="H9">
      <text>
        <t xml:space="preserve">======
ID#AAABjx7qRsw
    (2025-05-21 11:33:25)
0715 Santiago : 玉山已入帳</t>
      </text>
    </comment>
    <comment authorId="0" ref="N134">
      <text>
        <t xml:space="preserve">======
ID#AAABjx7qRr8
    (2025-05-21 11:33:25)
20150327 Forster點收</t>
      </text>
    </comment>
    <comment authorId="0" ref="G350">
      <text>
        <t xml:space="preserve">======
ID#AAABjx7qRqw
    (2025-05-21 11:33:25)
w/ 5% tax</t>
      </text>
    </comment>
    <comment authorId="0" ref="G346">
      <text>
        <t xml:space="preserve">======
ID#AAABjx7qRp8
    (2025-05-21 11:33:25)
w/5%VAT</t>
      </text>
    </comment>
    <comment authorId="0" ref="L161">
      <text>
        <t xml:space="preserve">======
ID#AAABjx7qRos
0421 Forster    (2025-05-21 11:33:25)
連維修換下的SSD一同寄回</t>
      </text>
    </comment>
    <comment authorId="0" ref="H70">
      <text>
        <t xml:space="preserve">======
ID#AAABjx7qRoQ
    (2025-05-21 11:33:25)
3/6 收到</t>
      </text>
    </comment>
    <comment authorId="0" ref="H338">
      <text>
        <t xml:space="preserve">======
ID#AAABjx7qRnI
    (2025-05-21 11:33:25)
10/29 michelle: 玉山通知匯入USD1100</t>
      </text>
    </comment>
    <comment authorId="0" ref="F414">
      <text>
        <t xml:space="preserve">======
ID#AAABjx7qRmc
    (2025-05-21 11:33:25)
151106 Karen: 一組2片,下單4組</t>
      </text>
    </comment>
    <comment authorId="0" ref="W296">
      <text>
        <t xml:space="preserve">======
ID#AAABjx7qRkI
    (2025-05-21 11:33:25)
9/8副本發票將會送達</t>
      </text>
    </comment>
    <comment authorId="0" ref="F415">
      <text>
        <t xml:space="preserve">======
ID#AAABjx7qRjs
    (2025-05-21 11:33:25)
151106 Karen: 一組2片,下單4組</t>
      </text>
    </comment>
    <comment authorId="0" ref="H62">
      <text>
        <t xml:space="preserve">======
ID#AAABjx7qRjg
    (2025-05-21 11:33:25)
chloe：3/25結算，4/25追貨款到否?
chloe 4/30 入帳</t>
      </text>
    </comment>
    <comment authorId="0" ref="Y10">
      <text>
        <t xml:space="preserve">======
ID#AAABjx7qRis
    (2025-05-21 11:33:25)
有一筆6月份暫收款 NTD29385
會與 7/16出貨 此筆 帳款NTD18900  對沖帳款金額
目前餘額暫收款剩 NTD 10,485  請知 悉  謝謝</t>
      </text>
    </comment>
    <comment authorId="0" ref="G104">
      <text>
        <t xml:space="preserve">======
ID#AAABjx7qRiM
    (2025-05-21 11:33:25)
匯率30</t>
      </text>
    </comment>
    <comment authorId="0" ref="L165">
      <text>
        <t xml:space="preserve">======
ID#AAABjx7qRhM
0421 Forster    (2025-05-21 11:33:25)
連維修換下的SSD一同寄回</t>
      </text>
    </comment>
    <comment authorId="0" ref="H38">
      <text>
        <t xml:space="preserve">======
ID#AAABjx7qRgs
    (2025-05-21 11:33:25)
已通知,5月初付款
0528 chloe 預計6/3匯款 
0529 michelle: 5/29 支票</t>
      </text>
    </comment>
    <comment authorId="0" ref="N125">
      <text>
        <t xml:space="preserve">======
ID#AAABjx7qRfs
    (2025-05-21 11:33:25)
20150323 Forster點收</t>
      </text>
    </comment>
    <comment authorId="0" ref="H386">
      <text>
        <t xml:space="preserve">======
ID#AAABjx7qRe8
    (2025-05-21 11:33:25)
11/16 michelle:玉山通知匯入共USD9905</t>
      </text>
    </comment>
    <comment authorId="0" ref="Q416">
      <text>
        <t xml:space="preserve">======
ID#AAABjx7qReg
    (2025-05-21 11:33:25)
151130 扣抵金額(含稅)US$698.25元,應支付貨款(含稅)為US$13524元</t>
      </text>
    </comment>
    <comment authorId="0" ref="R264">
      <text>
        <t xml:space="preserve">======
ID#AAABjx7qRdk
    (2025-05-21 11:33:25)
32.13</t>
      </text>
    </comment>
    <comment authorId="0" ref="Q446">
      <text>
        <t xml:space="preserve">======
ID#AAABjx7qRYc
    (2025-05-21 11:33:25)
150916 扣抵金額(含稅)US$1627.5元,應支付貨款(含稅)為US$30502.5元</t>
      </text>
    </comment>
    <comment authorId="0" ref="H308">
      <text>
        <t xml:space="preserve">======
ID#AAABjx7qRX0
    (2025-05-21 11:33:25)
7/1 michelle: 銀行通知到款共USD2725.4</t>
      </text>
    </comment>
    <comment authorId="0" ref="H230">
      <text>
        <t xml:space="preserve">======
ID#AAABjx7qRW0
    (2025-05-21 11:33:25)
2/6 已入帳</t>
      </text>
    </comment>
    <comment authorId="0" ref="H339">
      <text>
        <t xml:space="preserve">======
ID#AAABjx7qRVE
    (2025-05-21 11:33:25)
12/8 michelle: 玉山通知匯入共USD30476</t>
      </text>
    </comment>
    <comment authorId="0" ref="V154">
      <text>
        <t xml:space="preserve">======
ID#AAABjx7qRU8
    (2025-05-21 11:33:25)
0502 chloe
發票修改，待追研華
0505 chloe
收到研華發票</t>
      </text>
    </comment>
    <comment authorId="0" ref="H15">
      <text>
        <t xml:space="preserve">======
ID#AAABjx7qRUY
    (2025-05-21 11:33:25)
0305 匯入</t>
      </text>
    </comment>
    <comment authorId="0" ref="H286">
      <text>
        <t xml:space="preserve">======
ID#AAABjx7qRSo
    (2025-05-21 11:33:25)
Santiago 20160118 收到銀行通知</t>
      </text>
    </comment>
    <comment authorId="0" ref="N242">
      <text>
        <t xml:space="preserve">======
ID#AAABjx7qRQk
    (2025-05-21 11:33:25)
20150316 Forster點收</t>
      </text>
    </comment>
    <comment authorId="0" ref="H451">
      <text>
        <t xml:space="preserve">======
ID#AAABjx7qRQo
    (2025-05-21 11:33:25)
20160106 收到銀行通知</t>
      </text>
    </comment>
    <comment authorId="0" ref="H307">
      <text>
        <t xml:space="preserve">======
ID#AAABjx7qRPs
    (2025-05-21 11:33:25)
7/1 michelle: 銀行通知到款共USD2725.4</t>
      </text>
    </comment>
    <comment authorId="0" ref="E402">
      <text>
        <t xml:space="preserve">======
ID#AAABjx7qRPY
    (2025-05-21 11:33:25)
150616 Karen: w/o adapter</t>
      </text>
    </comment>
    <comment authorId="0" ref="H406">
      <text>
        <t xml:space="preserve">======
ID#AAABjx7qRO0
    (2025-05-21 11:33:25)
0727 Santiago: 已入帳</t>
      </text>
    </comment>
    <comment authorId="0" ref="E303">
      <text>
        <t xml:space="preserve">======
ID#AAABjx7qRNU
    (2025-05-21 11:33:25)
1013 Santiago :原先adapter 為US, 要改為EU才行</t>
      </text>
    </comment>
    <comment authorId="0" ref="H295">
      <text>
        <t xml:space="preserve">======
ID#AAABjx7qRK8
    (2025-05-21 11:33:25)
0312 入帳</t>
      </text>
    </comment>
    <comment authorId="0" ref="E426">
      <text>
        <t xml:space="preserve">======
ID#AAABjx7qRKo
    (2025-05-21 11:33:25)
11/12 michelle: 58-80024-0000</t>
      </text>
    </comment>
    <comment authorId="0" ref="E396">
      <text>
        <t xml:space="preserve">======
ID#AAABjx7qRJs
    (2025-05-21 11:33:25)
11/20 michelle:報價單為BTC013-1-79-500  請確認更正</t>
      </text>
    </comment>
    <comment authorId="0" ref="E101">
      <text>
        <t xml:space="preserve">======
ID#AAABjx7qRJo
    (2025-05-21 11:33:25)
150217 Karen: 下單EU ADAPTER</t>
      </text>
    </comment>
    <comment authorId="0" ref="H312">
      <text>
        <t xml:space="preserve">======
ID#AAABjx7qRJY
5/25 Santiago    (2025-05-21 11:33:25)
收到US$5904
4/13 Santiago:
收到US$4602.8
尚欠US$6000
0603 chloe：已匯入戶頭</t>
      </text>
    </comment>
    <comment authorId="0" ref="X287">
      <text>
        <t xml:space="preserve">======
ID#AAABjx7qRJQ
    (2025-05-21 11:33:25)
此發票為10月份發票已給會計</t>
      </text>
    </comment>
    <comment authorId="0" ref="H11">
      <text>
        <t xml:space="preserve">======
ID#AAABjx7qRI4
    (2025-05-21 11:33:25)
0305 匯入</t>
      </text>
    </comment>
    <comment authorId="0" ref="E226">
      <text>
        <t xml:space="preserve">======
ID#AAABjx7qRIk
    (2025-05-21 11:33:25)
150108 Karen: 下單UK adapter</t>
      </text>
    </comment>
    <comment authorId="0" ref="L6">
      <text>
        <t xml:space="preserve">======
ID#AAABjx7qRHc
0421 Forster    (2025-05-21 11:33:25)
連維修換下的SSD一同寄回</t>
      </text>
    </comment>
    <comment authorId="0" ref="H421">
      <text>
        <t xml:space="preserve">======
ID#AAABjx7qRHA
    (2025-05-21 11:33:25)
1224 Santiago: 收到客戶水單
但戶名有問題, 錢還沒進帳戶
0106 Santiago: 已匯入</t>
      </text>
    </comment>
    <comment authorId="0" ref="N278">
      <text>
        <t xml:space="preserve">======
ID#AAABjx7qREo
    (2025-05-21 11:33:25)
20150123 Forster點收</t>
      </text>
    </comment>
    <comment authorId="0" ref="H48">
      <text>
        <t xml:space="preserve">======
ID#AAABjx7qREM
    (2025-05-21 11:33:25)
Chloe 7/25結算  8/25追款
michelle 8/31 收到支票NTD4517轉交santiago</t>
      </text>
    </comment>
    <comment authorId="0" ref="H24">
      <text>
        <t xml:space="preserve">======
ID#AAABjx7qRDg
    (2025-05-21 11:33:25)
1204 收到匯款</t>
      </text>
    </comment>
    <comment authorId="0" ref="H304">
      <text>
        <t xml:space="preserve">======
ID#AAABjx7qRCI
    (2025-05-21 11:33:25)
12/16 michelle: TCB-BANK通知匯入共USD1118.2</t>
      </text>
    </comment>
    <comment authorId="0" ref="H270">
      <text>
        <t xml:space="preserve">======
ID#AAABjx7qRAA
    (2025-05-21 11:33:25)
10/19 michelle: 10/19玉山通知匯入款</t>
      </text>
    </comment>
    <comment authorId="0" ref="J6">
      <text>
        <t xml:space="preserve">======
ID#AAABjx7qQ_w
    (2025-05-21 11:33:25)
0527 chloe 催款預計0625
0602 chloe 發票開立匯率已5/4央行30.69開立</t>
      </text>
    </comment>
    <comment authorId="0" ref="E236">
      <text>
        <t xml:space="preserve">======
ID#AAABjx7qQ8M
    (2025-05-21 11:33:25)
150226 Karen: 下單UK電源</t>
      </text>
    </comment>
    <comment authorId="0" ref="H43">
      <text>
        <t xml:space="preserve">======
ID#AAABjx7qQ8I
    (2025-05-21 11:33:25)
已通知,5月初付款
0526 chloe
 阿姐已通知匯款目前先進行卡貨動作
0528 chloe 預計6/3匯款
0529 michelle: 5/29 支票</t>
      </text>
    </comment>
    <comment authorId="0" ref="N90">
      <text>
        <t xml:space="preserve">======
ID#AAABjx7qQ7w
    (2025-05-21 11:33:25)
20150123 Forster點收</t>
      </text>
    </comment>
    <comment authorId="0" ref="H285">
      <text>
        <t xml:space="preserve">======
ID#AAABjx7qQ4c
    (2025-05-21 11:33:25)
0130 收到水單
0202 收到匯款</t>
      </text>
    </comment>
    <comment authorId="0" ref="H331">
      <text>
        <t xml:space="preserve">======
ID#AAABjx7qQ4Q
    (2025-05-21 11:33:25)
10/15 michelle: 玉山通知匯款</t>
      </text>
    </comment>
    <comment authorId="0" ref="G5">
      <text>
        <t xml:space="preserve">======
ID#AAABjx7qQ1o
    (2025-05-21 11:33:25)
匯率30</t>
      </text>
    </comment>
    <comment authorId="0" ref="M450">
      <text>
        <t xml:space="preserve">======
ID#AAABjx7qQ1c
    (2025-05-21 11:33:25)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</text>
    </comment>
    <comment authorId="0" ref="H12">
      <text>
        <t xml:space="preserve">======
ID#AAABjx7qQ1I
    (2025-05-21 11:33:25)
0305 匯入</t>
      </text>
    </comment>
    <comment authorId="0" ref="F281">
      <text>
        <t xml:space="preserve">======
ID#AAABjx7qQ04
    (2025-05-21 11:33:25)
5/4 :michelle 共216pcs,請修改</t>
      </text>
    </comment>
    <comment authorId="0" ref="E264">
      <text>
        <t xml:space="preserve">======
ID#AAABjx7qQ0s
    (2025-05-21 11:33:25)
9/9 michele: 原本就已加購 7400065009X00 +power code USD25</t>
      </text>
    </comment>
    <comment authorId="0" ref="N124">
      <text>
        <t xml:space="preserve">======
ID#AAABjx7qQ0g
    (2025-05-21 11:33:25)
20150323 Forster點收</t>
      </text>
    </comment>
    <comment authorId="0" ref="G345">
      <text>
        <t xml:space="preserve">======
ID#AAABjx7qQzk
    (2025-05-21 11:33:25)
w/ 5% tax</t>
      </text>
    </comment>
    <comment authorId="0" ref="N313">
      <text>
        <t xml:space="preserve">======
ID#AAABjx7qQy8
    (2025-05-21 11:33:25)
stock</t>
      </text>
    </comment>
    <comment authorId="0" ref="Q412">
      <text>
        <t xml:space="preserve">======
ID#AAABjx7qQyI
    (2025-05-21 11:33:25)
151105 扣抵金額(含稅)US$798元,應支付貨款(含稅)為US$15456元</t>
      </text>
    </comment>
    <comment authorId="0" ref="Q196">
      <text>
        <t xml:space="preserve">======
ID#AAABjx7qQto
    (2025-05-21 11:33:25)
20151020Santiago: Moxa 沖錯帳, 已沖銷. 待10/27 Jem 解釋</t>
      </text>
    </comment>
    <comment authorId="0" ref="Q340">
      <text>
        <t xml:space="preserve">======
ID#AAABjx7qQtQ
    (2025-05-21 11:33:25)
151122 Karen: 因爭取不多的庫存,故此單沒申請SRRC特殊專案價</t>
      </text>
    </comment>
    <comment authorId="0" ref="H251">
      <text>
        <t xml:space="preserve">======
ID#AAABjx7qQtA
    (2025-05-21 11:33:25)
Santiago 0330 : 此單較特別，待客戶來台再付現, 可以先出貨
0426 chloe:尚未得知客戶何時來台
0515 Forster:六月第一周
0601 Forster: 客戶已請人匯款至戎克玉山戶頭</t>
      </text>
    </comment>
    <comment authorId="0" ref="H51">
      <text>
        <t xml:space="preserve">======
ID#AAABjx7qQsU
    (2025-05-21 11:33:25)
1/4 michelle: 支票付款三筆總計NTD16973 SA0058701</t>
      </text>
    </comment>
    <comment authorId="0" ref="V155">
      <text>
        <t xml:space="preserve">======
ID#AAABjx7qQrk
    (2025-05-21 11:33:25)
0502 chloe
發票修改，待追研華
0505 chloe
收到研華發票</t>
      </text>
    </comment>
    <comment authorId="0" ref="H402">
      <text>
        <t xml:space="preserve">======
ID#AAABjx7qQrA
    (2025-05-21 11:33:25)
6/23 santiago 已收到款</t>
      </text>
    </comment>
    <comment authorId="0" ref="N139">
      <text>
        <t xml:space="preserve">======
ID#AAABjx7qQqw
    (2025-05-21 11:33:25)
20150402 Forster點收</t>
      </text>
    </comment>
    <comment authorId="0" ref="H431">
      <text>
        <t xml:space="preserve">======
ID#AAABjx7qQqk
    (2025-05-21 11:33:25)
20150105 Santiago 收到客戶水單</t>
      </text>
    </comment>
    <comment authorId="0" ref="Q212">
      <text>
        <t xml:space="preserve">======
ID#AAABjx7qQqQ
    (2025-05-21 11:33:25)
150918 扣抵金額(含稅)US$10.5,應支付貨款(含稅)為US$21元</t>
      </text>
    </comment>
    <comment authorId="0" ref="N95">
      <text>
        <t xml:space="preserve">======
ID#AAABjx7qQos
    (2025-05-21 11:33:25)
20150203 Forster點收</t>
      </text>
    </comment>
    <comment authorId="0" ref="Z309">
      <text>
        <t xml:space="preserve">======
ID#AAABjx7qQno
    (2025-05-21 11:33:25)
0602 chloe 詢問簡易型出口報單可否辦理退稅
0603 chloe 會計回答簡易型出口報單統計方式若為04(申報的為02)則不能辦理退稅
0604 chloe 已向快遞申請02</t>
      </text>
    </comment>
    <comment authorId="0" ref="H237">
      <text>
        <t xml:space="preserve">======
ID#AAABjx7qQk4
    (2025-05-21 11:33:25)
4/2 匯款通知 5G01371</t>
      </text>
    </comment>
    <comment authorId="0" ref="R220">
      <text>
        <t xml:space="preserve">======
ID#AAABjx7qQkk
    (2025-05-21 11:33:25)
150212 Karen: 每台僅收維修費NT$6000(未稅)
150208 Karen: 一台的檢測費750, 一台的維修費6000</t>
      </text>
    </comment>
    <comment authorId="0" ref="G353">
      <text>
        <t xml:space="preserve">======
ID#AAABjx7qQiE
    (2025-05-21 11:33:25)
w/ 5% tax</t>
      </text>
    </comment>
    <comment authorId="0" ref="D384">
      <text>
        <t xml:space="preserve">======
ID#AAABjx7qQh0
    (2025-05-21 11:33:25)
0911 Santiago
客戶取消訂單, 下次等客戶簽回PI 再下單</t>
      </text>
    </comment>
    <comment authorId="0" ref="P26">
      <text>
        <t xml:space="preserve">======
ID#AAABjx7qQgo
    (2025-05-21 11:33:25)
150115 Karen: 分批出貨</t>
      </text>
    </comment>
    <comment authorId="0" ref="Z324">
      <text>
        <t xml:space="preserve">======
ID#AAABjx7qQgU
    (2025-05-21 11:33:25)
0602 chloe 詢問簡易型出口報單可否辦理退稅
0603 chloe 會計回答簡易型出口報單統計方式若為04(申報的為02)則不能辦理退稅
0604 chloe 已向快遞申請02</t>
      </text>
    </comment>
    <comment authorId="0" ref="W326">
      <text>
        <t xml:space="preserve">======
ID#AAABjx7qQgM
    (2025-05-21 11:33:25)
5/25 michelle: 客戶進口報單稅基NTD12507,稅金共625</t>
      </text>
    </comment>
    <comment authorId="0" ref="R274">
      <text>
        <t xml:space="preserve">======
ID#AAABjx7qQe4
    (2025-05-21 11:33:25)
1/25 michelle: 已匯NTD75722,並補NTD543</t>
      </text>
    </comment>
    <comment authorId="0" ref="R357">
      <text>
        <t xml:space="preserve">======
ID#AAABjx7qQbc
    (2025-05-21 11:33:25)
匯率同售價
31.571</t>
      </text>
    </comment>
    <comment authorId="0" ref="H366">
      <text>
        <t xml:space="preserve">======
ID#AAABjx7qQbQ
    (2025-05-21 11:33:25)
20151218 Santiago : 收到支票</t>
      </text>
    </comment>
    <comment authorId="0" ref="I7">
      <text>
        <t xml:space="preserve">======
ID#AAABjx7qQa8
    (2025-05-21 11:33:25)
Forster 0401: Margin 50%</t>
      </text>
    </comment>
    <comment authorId="0" ref="N96">
      <text>
        <t xml:space="preserve">======
ID#AAABjx7qQaY
    (2025-05-21 11:33:25)
20150203 Forster點收</t>
      </text>
    </comment>
    <comment authorId="0" ref="H310">
      <text>
        <t xml:space="preserve">======
ID#AAABjx7qQaI
5/25 Santiago    (2025-05-21 11:33:25)
收到US$5904
4/13 Santiago:
收到US$4602.8
尚欠US$6000
0603 chloe：已匯入戶頭</t>
      </text>
    </comment>
    <comment authorId="0" ref="N133">
      <text>
        <t xml:space="preserve">======
ID#AAABjx7qQaE
    (2025-05-21 11:33:25)
20150327 Forster點收</t>
      </text>
    </comment>
    <comment authorId="0" ref="H328">
      <text>
        <t xml:space="preserve">======
ID#AAABjx7qQYo
    (2025-05-21 11:33:25)
10/15 michelle: 玉山通知匯款</t>
      </text>
    </comment>
    <comment authorId="0" ref="Y9">
      <text>
        <t xml:space="preserve">======
ID#AAABjx7qQYI
    (2025-05-21 11:33:25)
有一筆6月份暫收款 NTD29385
會與 7/16出貨 此筆 帳款NTD18900  對沖帳款金額
目前餘額暫收款剩 NTD 10,485  請知 悉  謝謝</t>
      </text>
    </comment>
    <comment authorId="0" ref="N99">
      <text>
        <t xml:space="preserve">======
ID#AAABjx7qQWs
    (2025-05-21 11:33:25)
2015/2/13 Forster以點收</t>
      </text>
    </comment>
    <comment authorId="0" ref="H407">
      <text>
        <t xml:space="preserve">======
ID#AAABjx7qQW4
    (2025-05-21 11:33:25)
0727 Santiago: 已入帳</t>
      </text>
    </comment>
    <comment authorId="0" ref="H245">
      <text>
        <t xml:space="preserve">======
ID#AAABjx7qQV8
    (2025-05-21 11:33:25)
chloe 0507收到銀行通知</t>
      </text>
    </comment>
    <comment authorId="0" ref="L32">
      <text>
        <t xml:space="preserve">======
ID#AAABjx7qQVA
    (2025-05-21 11:33:25)
AVIHS Technologies</t>
      </text>
    </comment>
    <comment authorId="0" ref="W403">
      <text>
        <t xml:space="preserve">======
ID#AAABjx7qQUM
    (2025-05-21 11:33:25)
7/28 michelle: 已開折讓393697</t>
      </text>
    </comment>
    <comment authorId="0" ref="H177">
      <text>
        <t xml:space="preserve">======
ID#AAABjx7qQT8
    (2025-05-21 11:33:25)
20150801 Santiago 收到款</t>
      </text>
    </comment>
    <comment authorId="0" ref="H14">
      <text>
        <t xml:space="preserve">======
ID#AAABjx7qQTY
    (2025-05-21 11:33:25)
0305 匯入</t>
      </text>
    </comment>
    <comment authorId="0" ref="Q403">
      <text>
        <t xml:space="preserve">======
ID#AAABjx7qQQ8
    (2025-05-21 11:33:25)
0728 michelle: 已開折讓393697,為戎克暫付MOXA</t>
      </text>
    </comment>
    <comment authorId="0" ref="H336">
      <text>
        <t xml:space="preserve">======
ID#AAABjx7qQQo
    (2025-05-21 11:33:25)
0826 Santiago 收到銀行通知</t>
      </text>
    </comment>
    <comment authorId="0" ref="H260">
      <text>
        <t xml:space="preserve">======
ID#AAABjx7qQO4
    (2025-05-21 11:33:25)
0930 Santiago: 銀行通知4817</t>
      </text>
    </comment>
    <comment authorId="0" ref="C35">
      <text>
        <t xml:space="preserve">======
ID#AAABjx7qQOA
    (2025-05-21 11:33:25)
Forster 0312
收到借測品，返還給Vic
Forster 0304
預計3/6轉出貨
Forster 0226
尚未，再確認
Santiago 02011 歸還否?</t>
      </text>
    </comment>
    <comment authorId="0" ref="J363">
      <text>
        <t xml:space="preserve">======
ID#AAABjx7qQNM
    (2025-05-21 11:33:25)
匯率31.5</t>
      </text>
    </comment>
    <comment authorId="0" ref="H299">
      <text>
        <t xml:space="preserve">======
ID#AAABjx7qQMo
    (2025-05-21 11:33:25)
1/13 已收到</t>
      </text>
    </comment>
    <comment authorId="0" ref="H263">
      <text>
        <t xml:space="preserve">======
ID#AAABjx7qQJ4
    (2025-05-21 11:33:25)
0930 Santiago: 銀行通知4817</t>
      </text>
    </comment>
    <comment authorId="0" ref="H6">
      <text>
        <t xml:space="preserve">======
ID#AAABjx7qQIU
    (2025-05-21 11:33:25)
0528 chloe 已通知結算，預計0625追貨款
0703 已入帳</t>
      </text>
    </comment>
    <comment authorId="0" ref="H41">
      <text>
        <t xml:space="preserve">======
ID#AAABjx7qQH8
    (2025-05-21 11:33:25)
已通知,5月初付款
0526 chloe
 阿姐已通知匯款目前先進行卡貨動作
0528 chloe 預計6/3匯款
0529 michelle: 5/29 支票</t>
      </text>
    </comment>
    <comment authorId="0" ref="H7">
      <text>
        <t xml:space="preserve">======
ID#AAABjx7qQHs
    (2025-05-21 11:33:25)
0426 chloe:5/25追貨款
0528 chloe:已通知業務
0601 chloe:已收到款項</t>
      </text>
    </comment>
    <comment authorId="0" ref="X402">
      <text>
        <t xml:space="preserve">======
ID#AAABjx7qQHk
    (2025-05-21 11:33:25)
chloe 0805 發票開立440195</t>
      </text>
    </comment>
    <comment authorId="0" ref="Z247">
      <text>
        <t xml:space="preserve">======
ID#AAABjx7qQHc
    (2025-05-21 11:33:25)
4/17 michelle: BA52630410</t>
      </text>
    </comment>
    <comment authorId="0" ref="H374">
      <text>
        <t xml:space="preserve">======
ID#AAABjx7qQGw
    (2025-05-21 11:33:25)
Santiago 0423
收到銀行通知</t>
      </text>
    </comment>
    <comment authorId="0" ref="Z341">
      <text>
        <t xml:space="preserve">======
ID#AAABjx7qQGo
    (2025-05-21 11:33:25)
發票已整理</t>
      </text>
    </comment>
    <comment authorId="0" ref="H22">
      <text>
        <t xml:space="preserve">======
ID#AAABjx7qQFo
    (2025-05-21 11:33:25)
20151224 Santiago: 收到銀行通知</t>
      </text>
    </comment>
    <comment authorId="0" ref="N138">
      <text>
        <t xml:space="preserve">======
ID#AAABjx7qQFY
    (2025-05-21 11:33:25)
20150331 Forster點收</t>
      </text>
    </comment>
    <comment authorId="0" ref="H439">
      <text>
        <t xml:space="preserve">======
ID#AAABjx7qQE4
    (2025-05-21 11:33:25)
1224 Santiago: 收到客戶水單, 但戶名有問題, 錢還沒進帳戶
0106 Santiago: 已匯入</t>
      </text>
    </comment>
    <comment authorId="0" ref="H397">
      <text>
        <t xml:space="preserve">======
ID#AAABjx7qQDo
    (2025-05-21 11:33:25)
12/2 michelle: 銀行通知匯入共USD2965.2</t>
      </text>
    </comment>
    <comment authorId="0" ref="H327">
      <text>
        <t xml:space="preserve">======
ID#AAABjx7qQDU
    (2025-05-21 11:33:25)
10/15 michelle: 玉山通知匯款</t>
      </text>
    </comment>
    <comment authorId="0" ref="H378">
      <text>
        <t xml:space="preserve">======
ID#AAABjx7qQCE
    (2025-05-21 11:33:25)
5/22 michelle: 客戶水單USD9000</t>
      </text>
    </comment>
    <comment authorId="0" ref="H332">
      <text>
        <t xml:space="preserve">======
ID#AAABjx7qQB4
    (2025-05-21 11:33:25)
20160310 Santiago : 收到銀行通知</t>
      </text>
    </comment>
    <comment authorId="0" ref="L312">
      <text>
        <t xml:space="preserve">======
ID#AAABjx7qQBo
    (2025-05-21 11:33:25)
Santiago 0420
稽核未來統一寫在總金額H欄位
尚未付兩成訂金，等FIONA通知</t>
      </text>
    </comment>
    <comment authorId="0" ref="N91">
      <text>
        <t xml:space="preserve">======
ID#AAABjx7qP98
    (2025-05-21 11:33:25)
20150123 Forster點收</t>
      </text>
    </comment>
    <comment authorId="0" ref="B447">
      <text>
        <t xml:space="preserve">======
ID#AAABjx7qP80
    (2025-05-21 11:33:24)
1025 chloe 代老闆指示後才能核算獎金</t>
      </text>
    </comment>
    <comment authorId="0" ref="M447">
      <text>
        <t xml:space="preserve">======
ID#AAABjx7qP60
    (2025-05-21 11:33:24)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</text>
    </comment>
    <comment authorId="0" ref="H13">
      <text>
        <t xml:space="preserve">======
ID#AAABjx7qP6c
    (2025-05-21 11:33:24)
0305 匯入</t>
      </text>
    </comment>
    <comment authorId="0" ref="H426">
      <text>
        <t xml:space="preserve">======
ID#AAABjx7qP6I
    (2025-05-21 11:33:24)
1224 Santiago: 收到客戶水單
但戶名有問題, 錢還沒進帳戶
0106 Santiago: 已匯入</t>
      </text>
    </comment>
    <comment authorId="0" ref="Z250">
      <text>
        <t xml:space="preserve">======
ID#AAABjx7qP5c
    (2025-05-21 11:33:24)
4/17 michelle: BA52630410</t>
      </text>
    </comment>
    <comment authorId="0" ref="H316">
      <text>
        <t xml:space="preserve">======
ID#AAABjx7qP5M
    (2025-05-21 11:33:24)
7/1 michelle: 銀行通知到款共USD2725.4</t>
      </text>
    </comment>
    <comment authorId="0" ref="AB1">
      <text>
        <t xml:space="preserve">======
ID#AAABjx7qP4U
    (2025-05-21 11:33:24)
此欄位針對某些特定客戶. 要求使用出貨前一天的匯率. 才開發票的客戶. 例如 Z 和 Pharms</t>
      </text>
    </comment>
    <comment authorId="0" ref="H250">
      <text>
        <t xml:space="preserve">======
ID#AAABjx7qP4A
    (2025-05-21 11:33:24)
chloe 0507收到銀行通知</t>
      </text>
    </comment>
    <comment authorId="0" ref="H436">
      <text>
        <t xml:space="preserve">======
ID#AAABjx7qP04
    (2025-05-21 11:33:24)
20150105 Santiago 收到客戶水單</t>
      </text>
    </comment>
    <comment authorId="0" ref="D23">
      <text>
        <t xml:space="preserve">======
ID#AAABjx7qP00
    (2025-05-21 11:33:24)
PI-20141222B為RMA，預計2015結案</t>
      </text>
    </comment>
    <comment authorId="0" ref="P259">
      <text>
        <t xml:space="preserve">======
ID#AAABjx7qP0k
    (2025-05-21 11:33:24)
150728 Karen: 預計在8/24重下單。</t>
      </text>
    </comment>
    <comment authorId="0" ref="H379">
      <text>
        <t xml:space="preserve">======
ID#AAABjx7qPz0
    (2025-05-21 11:33:24)
0729 Santiago: 銀行通知入帳</t>
      </text>
    </comment>
    <comment authorId="0" ref="G343">
      <text>
        <t xml:space="preserve">======
ID#AAABjx7qPzo
    (2025-05-21 11:33:24)
匯率30</t>
      </text>
    </comment>
    <comment authorId="0" ref="M309">
      <text>
        <t xml:space="preserve">======
ID#AAABjx7qPzc
    (2025-05-21 11:33:24)
delivery with PI-20150317A</t>
      </text>
    </comment>
    <comment authorId="0" ref="H258">
      <text>
        <t xml:space="preserve">======
ID#AAABjx7qPyA
    (2025-05-21 11:33:24)
0701 michelle : 銀行通知收到款USD5267</t>
      </text>
    </comment>
    <comment authorId="0" ref="J215">
      <text>
        <t xml:space="preserve">======
ID#AAABjx7qPwc
    (2025-05-21 11:33:24)
11/3 michelle: 已匯入款共67966</t>
      </text>
    </comment>
    <comment authorId="0" ref="H387">
      <text>
        <t xml:space="preserve">======
ID#AAABjx7qPwM
    (2025-05-21 11:33:24)
11/16 michelle:玉山通知匯入共USD9905</t>
      </text>
    </comment>
    <comment authorId="0" ref="B448">
      <text>
        <t xml:space="preserve">======
ID#AAABjx7qPtg
    (2025-05-21 11:33:24)
1025 chloe 代老闆指示後才能核算獎金</t>
      </text>
    </comment>
    <comment authorId="0" ref="H190">
      <text>
        <t xml:space="preserve">======
ID#AAABjx7qPs4
    (2025-05-21 11:33:24)
20150801 Santiago 收到款</t>
      </text>
    </comment>
    <comment authorId="0" ref="H182">
      <text>
        <t xml:space="preserve">======
ID#AAABjx7qPr8
    (2025-05-21 11:33:24)
20150801 Santiago 收到款
0703 Santiago : 已付款</t>
      </text>
    </comment>
    <comment authorId="0" ref="H298">
      <text>
        <t xml:space="preserve">======
ID#AAABjx7qPrw
    (2025-05-21 11:33:24)
12/30 michelle:TCB通知匯入共USD4012</t>
      </text>
    </comment>
    <comment authorId="0" ref="H409">
      <text>
        <t xml:space="preserve">======
ID#AAABjx7qPqY
    (2025-05-21 11:33:24)
0727 Santiago: 已入帳</t>
      </text>
    </comment>
    <comment authorId="0" ref="H178">
      <text>
        <t xml:space="preserve">======
ID#AAABjx7qPqQ
    (2025-05-21 11:33:24)
20150801 Santiago 收到款</t>
      </text>
    </comment>
    <comment authorId="0" ref="N80">
      <text>
        <t xml:space="preserve">======
ID#AAABjx7qPqE
    (2025-05-21 11:33:24)
20150114 Forster點收</t>
      </text>
    </comment>
    <comment authorId="0" ref="E283">
      <text>
        <t xml:space="preserve">======
ID#AAABjx7qPqI
    (2025-05-21 11:33:24)
此為戎克樣品</t>
      </text>
    </comment>
    <comment authorId="0" ref="R370">
      <text>
        <t xml:space="preserve">======
ID#AAABjx7qPp8
Santiago 1019    (2025-05-21 11:33:24)
原本APAC前鼎光電的成本為20286, 但軟體因為有Moxa 版權, APAC前鼎光電不能燒錄. 後來前鼎的業務有私下介紹翔生的工程師幫我們燒錄Moxa 軟體, 由於是私人幫忙性質. 要另外多付10,000給翔生工程師, 不會有發票, 所以總成本成20,286 + 10,000</t>
      </text>
    </comment>
    <comment authorId="0" ref="G292">
      <text>
        <t xml:space="preserve">======
ID#AAABjx7qPp4
    (2025-05-21 11:33:24)
3/19台灣銀行買賣平均匯率為31.371</t>
      </text>
    </comment>
    <comment authorId="0" ref="N94">
      <text>
        <t xml:space="preserve">======
ID#AAABjx7qPpk
    (2025-05-21 11:33:24)
20150203 Forster點收</t>
      </text>
    </comment>
    <comment authorId="0" ref="R311">
      <text>
        <t xml:space="preserve">======
ID#AAABjx7qPpU
    (2025-05-21 11:33:24)
USD360*12*1.05* 匯率31.458</t>
      </text>
    </comment>
    <comment authorId="0" ref="H337">
      <text>
        <t xml:space="preserve">======
ID#AAABjx7qPm4
    (2025-05-21 11:33:24)
10/1 玉山通知到款USD930</t>
      </text>
    </comment>
    <comment authorId="0" ref="H248">
      <text>
        <t xml:space="preserve">======
ID#AAABjx7qPmo
    (2025-05-21 11:33:24)
chloe 0507收到銀行通知</t>
      </text>
    </comment>
    <comment authorId="0" ref="H268">
      <text>
        <t xml:space="preserve">======
ID#AAABjx7qPlg
    (2025-05-21 11:33:24)
10/19 michelle: 10/19玉山通知匯入款</t>
      </text>
    </comment>
    <comment authorId="0" ref="H429">
      <text>
        <t xml:space="preserve">======
ID#AAABjx7qPlE
    (2025-05-21 11:33:24)
20150105 Santiago 收到客戶水單</t>
      </text>
    </comment>
    <comment authorId="0" ref="J407">
      <text>
        <t xml:space="preserve">======
ID#AAABjx7qPkI
    (2025-05-21 11:33:24)
0727 Santiago: 已入帳</t>
      </text>
    </comment>
    <comment authorId="0" ref="N137">
      <text>
        <t xml:space="preserve">======
ID#AAABjx7qPj4
    (2025-05-21 11:33:24)
20150327 Forster點收</t>
      </text>
    </comment>
    <comment authorId="0" ref="H400">
      <text>
        <t xml:space="preserve">======
ID#AAABjx7qPjY
    (2025-05-21 11:33:24)
12/2 michelle: 銀行通知匯入共USD2965.2</t>
      </text>
    </comment>
    <comment authorId="0" ref="H278">
      <text>
        <t xml:space="preserve">======
ID#AAABjx7qPig
    (2025-05-21 11:33:24)
牌價借測</t>
      </text>
    </comment>
    <comment authorId="0" ref="H433">
      <text>
        <t xml:space="preserve">======
ID#AAABjx7qPiQ
    (2025-05-21 11:33:24)
20150105 收到客戶水單</t>
      </text>
    </comment>
    <comment authorId="0" ref="M325">
      <text>
        <t xml:space="preserve">======
ID#AAABjx7qPhc
    (2025-05-21 11:33:24)
delivery with PI-20150317A</t>
      </text>
    </comment>
    <comment authorId="0" ref="L34">
      <text>
        <t xml:space="preserve">======
ID#AAABjx7qPgM
    (2025-05-21 11:33:24)
AVIHS Technologies</t>
      </text>
    </comment>
    <comment authorId="0" ref="G354">
      <text>
        <t xml:space="preserve">======
ID#AAABjx7qPfY
    (2025-05-21 11:33:24)
W/5%
NT$8100*105%/33</t>
      </text>
    </comment>
    <comment authorId="0" ref="H395">
      <text>
        <t xml:space="preserve">======
ID#AAABjx7qPdY
    (2025-05-21 11:33:24)
12/2 michelle: 銀行通知匯入共USD2965.2</t>
      </text>
    </comment>
    <comment authorId="0" ref="G347">
      <text>
        <t xml:space="preserve">======
ID#AAABjx7qPZY
    (2025-05-21 11:33:24)
含5%稅</t>
      </text>
    </comment>
    <comment authorId="0" ref="Q411">
      <text>
        <t xml:space="preserve">======
ID#AAABjx7qPZM
    (2025-05-21 11:33:24)
150916 扣抵金額(含稅)US$220.5,應支付貨款為(含稅)US$4299.75元</t>
      </text>
    </comment>
    <comment authorId="0" ref="F384">
      <text>
        <t xml:space="preserve">======
ID#AAABjx7qPY0
    (2025-05-21 11:33:24)
0911 Santiago
客戶取消訂單, 下次等客戶簽回PI 再下單</t>
      </text>
    </comment>
    <comment authorId="0" ref="H324">
      <text>
        <t xml:space="preserve">======
ID#AAABjx7qPUA
    (2025-05-21 11:33:24)
7/1 michelle: 銀行通知到款共USD2725.4</t>
      </text>
    </comment>
    <comment authorId="0" ref="H417">
      <text>
        <t xml:space="preserve">======
ID#AAABjx7qPUE
    (2025-05-21 11:33:24)
Santiago 1222 : 收到匯款</t>
      </text>
    </comment>
    <comment authorId="0" ref="H40">
      <text>
        <t xml:space="preserve">======
ID#AAABjx7qPS4
    (2025-05-21 11:33:24)
已通知,5月初付款
0526 chloe
 阿姐已通知匯款目前先進行卡貨動作
0529 michelle: 5/29 支票</t>
      </text>
    </comment>
    <comment authorId="0" ref="E413">
      <text>
        <t xml:space="preserve">======
ID#AAABjx7qPS8
    (2025-05-21 11:33:24)
151105 Karen: w/o adapter (同前票訂單)</t>
      </text>
    </comment>
    <comment authorId="0" ref="N97">
      <text>
        <t xml:space="preserve">======
ID#AAABjx7qPSQ
    (2025-05-21 11:33:24)
20150203 Forster點收</t>
      </text>
    </comment>
    <comment authorId="0" ref="M329">
      <text>
        <t xml:space="preserve">======
ID#AAABjx7qPR8
    (2025-05-21 11:33:24)
9/22 michelle: 等齊飛的貨一起出</t>
      </text>
    </comment>
    <comment authorId="0" ref="M6">
      <text>
        <t xml:space="preserve">======
ID#AAABjx7qPRU
    (2025-05-21 11:33:24)
5/5 michelle : 業務說5/8 親送</t>
      </text>
    </comment>
    <comment authorId="0" ref="H396">
      <text>
        <t xml:space="preserve">======
ID#AAABjx7qPQc
    (2025-05-21 11:33:24)
12/2 michelle: 銀行通知匯入共USD2965.2</t>
      </text>
    </comment>
    <comment authorId="0" ref="H63">
      <text>
        <t xml:space="preserve">======
ID#AAABjx7qPQE
    (2025-05-21 11:33:24)
chloe：3/25結算，4/25追貨款到否?
chloe 4/30 入帳</t>
      </text>
    </comment>
    <comment authorId="0" ref="H353">
      <text>
        <t xml:space="preserve">======
ID#AAABjx7qPPs
    (2025-05-21 11:33:24)
20150918 收到銀行通知</t>
      </text>
    </comment>
    <comment authorId="0" ref="C326">
      <text>
        <t xml:space="preserve">======
ID#AAABjx7qPNA
    (2025-05-21 11:33:24)
arrived on 2015/5/25</t>
      </text>
    </comment>
    <comment authorId="0" ref="G351">
      <text>
        <t xml:space="preserve">======
ID#AAABjx7qPG0
    (2025-05-21 11:33:24)
含5%稅</t>
      </text>
    </comment>
    <comment authorId="0" ref="H261">
      <text>
        <t xml:space="preserve">======
ID#AAABjx7qPGk
    (2025-05-21 11:33:24)
0930 Santiago: 銀行通知4817</t>
      </text>
    </comment>
    <comment authorId="0" ref="H350">
      <text>
        <t xml:space="preserve">======
ID#AAABjx7qPGg
    (2025-05-21 11:33:24)
7/1 michelle: 銀行通知到款USD5110</t>
      </text>
    </comment>
    <comment authorId="0" ref="H59">
      <text>
        <t xml:space="preserve">======
ID#AAABjx7qPFg
Santiago 0422    (2025-05-21 11:33:24)
收到銀行通知</t>
      </text>
    </comment>
    <comment authorId="0" ref="K98">
      <text>
        <t xml:space="preserve">======
ID#AAABjx7qPFE
    (2025-05-21 11:33:24)
FORSTER的部分計算獎金，但不發給(因採固定制)</t>
      </text>
    </comment>
    <comment authorId="0" ref="Z340">
      <text>
        <t xml:space="preserve">======
ID#AAABjx7qPBc
    (2025-05-21 11:33:24)
發票已整理</t>
      </text>
    </comment>
    <comment authorId="0" ref="C357">
      <text>
        <t xml:space="preserve">======
ID#AAABjx7qO_s
    (2025-05-21 11:33:24)
chloe：4/24追歸還否?
forster 0427: 4/24已收客戶歸還借測品，4/27開會再送至辦公室</t>
      </text>
    </comment>
    <comment authorId="0" ref="C321">
      <text>
        <t xml:space="preserve">======
ID#AAABjx7qO_A
    (2025-05-21 11:33:24)
Santiago 0409
Re: CB15-178.180,.181PO
客戶取消CB15-180 訂單</t>
      </text>
    </comment>
    <comment authorId="0" ref="K95">
      <text>
        <t xml:space="preserve">======
ID#AAABjx7qO-U
    (2025-05-21 11:33:24)
FORSTER的部分計算獎金，但不發給(因採固定制)</t>
      </text>
    </comment>
    <comment authorId="0" ref="H302">
      <text>
        <t xml:space="preserve">======
ID#AAABjx7qO98
    (2025-05-21 11:33:24)
1014 Santiago: 銀行通知</t>
      </text>
    </comment>
    <comment authorId="0" ref="N309">
      <text>
        <t xml:space="preserve">======
ID#AAABjx7qO88
    (2025-05-21 11:33:24)
6-8weeks</t>
      </text>
    </comment>
    <comment authorId="0" ref="H292">
      <text>
        <t xml:space="preserve">======
ID#AAABjx7qO8E
Santiago 0429    (2025-05-21 11:33:24)
Re. PI20150319C1+2
已匯入NT$99,843元
Forster 20150413:
預計4/28匯入
chloe 0602
此獎金暫不發放，待Santiago通知</t>
      </text>
    </comment>
    <comment authorId="0" ref="C277">
      <text>
        <t xml:space="preserve">======
ID#AAABjx7qO5o
    (2025-05-21 11:33:24)
(Forster 2/9交還給Ryan)</t>
      </text>
    </comment>
    <comment authorId="0" ref="H423">
      <text>
        <t xml:space="preserve">======
ID#AAABjx7qO5k
    (2025-05-21 11:33:24)
1224 Santiago: 收到客戶水單
但戶名有問題, 錢還沒進帳戶
0106 Santiago: 已匯入</t>
      </text>
    </comment>
    <comment authorId="0" ref="N105">
      <text>
        <t xml:space="preserve">======
ID#AAABjx7qO3g
    (2025-05-21 11:33:24)
2015/3/9 Chloe點收</t>
      </text>
    </comment>
    <comment authorId="0" ref="K94">
      <text>
        <t xml:space="preserve">======
ID#AAABjx7qO2o
    (2025-05-21 11:33:24)
FORSTER的部分計算獎金，但不發給(因採固定制)</t>
      </text>
    </comment>
    <comment authorId="0" ref="E234">
      <text>
        <t xml:space="preserve">======
ID#AAABjx7qO2s
    (2025-05-21 11:33:24)
150204 Karen: 下單型號MGate MB3480，UK ADAPTER</t>
      </text>
    </comment>
    <comment authorId="0" ref="D405">
      <text>
        <t xml:space="preserve">======
ID#AAABjx7qO2U
    (2025-05-21 11:33:24)
0713 Santiago 客戶要求取消訂單
0629 Santiago:
追加訂單, 併PI-20150617A出貨</t>
      </text>
    </comment>
    <comment authorId="0" ref="H169">
      <text>
        <t xml:space="preserve">======
ID#AAABjx7qO2I
    (2025-05-21 11:33:24)
0527 chloe:已匯入170285</t>
      </text>
    </comment>
    <comment authorId="0" ref="H60">
      <text>
        <t xml:space="preserve">======
ID#AAABjx7qO1M
    (2025-05-21 11:33:24)
0505 收到銀行通知NT$2488</t>
      </text>
    </comment>
    <comment authorId="0" ref="H434">
      <text>
        <t xml:space="preserve">======
ID#AAABjx7qOzY
    (2025-05-21 11:33:24)
20150105 收到客戶水單</t>
      </text>
    </comment>
    <comment authorId="0" ref="K234">
      <text>
        <t xml:space="preserve">======
ID#AAABjx7qOyw
    (2025-05-21 11:33:24)
計算獎金，但不發給(因採固定制)</t>
      </text>
    </comment>
    <comment authorId="0" ref="R69">
      <text>
        <t xml:space="preserve">======
ID#AAABjx7qOx4
    (2025-05-21 11:33:24)
=1438.5*31 暫抓,以發票為准</t>
      </text>
    </comment>
    <comment authorId="0" ref="H291">
      <text>
        <t xml:space="preserve">======
ID#AAABjx7qOuU
    (2025-05-21 11:33:24)
0615 立端來信重開規格故此單先暫時刪除，待規格確定才會下單</t>
      </text>
    </comment>
    <comment authorId="0" ref="Q369">
      <text>
        <t xml:space="preserve">======
ID#AAABjx7qOo0
    (2025-05-21 11:33:24)
151014 扣抵金額(含稅)US$617.4元,應支付貨款(含稅)為US$3381元</t>
      </text>
    </comment>
    <comment authorId="0" ref="X410">
      <text>
        <t xml:space="preserve">======
ID#AAABjx7qOoE
    (2025-05-21 11:33:24)
USD13524</t>
      </text>
    </comment>
    <comment authorId="0" ref="G268">
      <text>
        <t xml:space="preserve">======
ID#AAABjx7qOns
Santiago 0909    (2025-05-21 11:33:24)
報價給客戶應為US$50
但由於是戎克疏失, 只要客戶下次付款即可</t>
      </text>
    </comment>
    <comment authorId="0" ref="H413">
      <text>
        <t xml:space="preserve">======
ID#AAABjx7qOm8
    (2025-05-21 11:33:24)
1120 Santiago: 已匯入</t>
      </text>
    </comment>
    <comment authorId="0" ref="H388">
      <text>
        <t xml:space="preserve">======
ID#AAABjx7qOmI
    (2025-05-21 11:33:24)
11/16 michelle:玉山通知匯入共USD9905</t>
      </text>
    </comment>
    <comment authorId="0" ref="H398">
      <text>
        <t xml:space="preserve">======
ID#AAABjx7qOlc
    (2025-05-21 11:33:24)
12/2 michelle: 銀行通知匯入共USD2965.2</t>
      </text>
    </comment>
    <comment authorId="0" ref="K97">
      <text>
        <t xml:space="preserve">======
ID#AAABjx7qOlM
    (2025-05-21 11:33:24)
FORSTER的部分計算獎金，但不發給(因採固定制)</t>
      </text>
    </comment>
    <comment authorId="0" ref="Q448">
      <text>
        <t xml:space="preserve">======
ID#AAABjx7qOk4
    (2025-05-21 11:33:24)
150916 扣抵金額(含稅)US$252元,應支付貨款(含稅)為US$3402元</t>
      </text>
    </comment>
    <comment authorId="0" ref="H246">
      <text>
        <t xml:space="preserve">======
ID#AAABjx7qOjw
    (2025-05-21 11:33:24)
chloe 0507收到銀行通知</t>
      </text>
    </comment>
    <comment authorId="0" ref="R373">
      <text>
        <t xml:space="preserve">======
ID#AAABjx7qOjs
    (2025-05-21 11:33:24)
4/13匯率USD4095*31.28</t>
      </text>
    </comment>
    <comment authorId="0" ref="R281">
      <text>
        <t xml:space="preserve">======
ID#AAABjx7qOjM
    (2025-05-21 11:33:24)
0520 michelle: 更正金額為6804
0520 Santiago: 更正3087</t>
      </text>
    </comment>
    <comment authorId="0" ref="H69">
      <text>
        <t xml:space="preserve">======
ID#AAABjx7qOi4
    (2025-05-21 11:33:24)
1/29 收到水單
2/3 錢收到</t>
      </text>
    </comment>
    <comment authorId="0" ref="Q451">
      <text>
        <t xml:space="preserve">======
ID#AAABjx7qOic
    (2025-05-21 11:33:24)
151130 扣抵金額(含稅)US$1047.375,應支付貨款(含稅)為US$18301.5元</t>
      </text>
    </comment>
    <comment authorId="0" ref="L30">
      <text>
        <t xml:space="preserve">======
ID#AAABjx7qOhs
    (2025-05-21 11:33:24)
AVIHS Technologies</t>
      </text>
    </comment>
    <comment authorId="0" ref="H306">
      <text>
        <t xml:space="preserve">======
ID#AAABjx7qOhM
    (2025-05-21 11:33:24)
3/26 銀行通知</t>
      </text>
    </comment>
    <comment authorId="0" ref="H61">
      <text>
        <t xml:space="preserve">======
ID#AAABjx7qOhI
    (2025-05-21 11:33:24)
0505 收到銀行通知NT$2488</t>
      </text>
    </comment>
    <comment authorId="0" ref="Q417">
      <text>
        <t xml:space="preserve">======
ID#AAABjx7qOgw
    (2025-05-21 11:33:24)
151207 扣抵金額(含稅)US$319.2元,應支付貨款(含稅)為US$6182.4元</t>
      </text>
    </comment>
    <comment authorId="0" ref="H442">
      <text>
        <t xml:space="preserve">======
ID#AAABjx7qOgM
    (2025-05-21 11:33:24)
1224 Santiago: 收到客戶水單, 但戶名有問題, 錢還沒進帳戶
0106 Santiago: 已匯入</t>
      </text>
    </comment>
    <comment authorId="0" ref="Q449">
      <text>
        <t xml:space="preserve">======
ID#AAABjx7qOe0
    (2025-05-21 11:33:24)
150916 扣抵金額(含稅)US$498.75,應支付貨款(含稅)為US$8715元</t>
      </text>
    </comment>
    <comment authorId="0" ref="R315">
      <text>
        <t xml:space="preserve">======
ID#AAABjx7qOeA
    (2025-05-21 11:33:24)
在此輸入
USD320*12*1.05* 4/13
匯率31.919</t>
      </text>
    </comment>
    <comment authorId="0" ref="R191">
      <text>
        <t xml:space="preserve">======
ID#AAABjx7qOdM
    (2025-05-21 11:33:24)
匯率: 31.45</t>
      </text>
    </comment>
    <comment authorId="0" ref="H432">
      <text>
        <t xml:space="preserve">======
ID#AAABjx7qOcw
    (2025-05-21 11:33:24)
20150105 收到客戶水單</t>
      </text>
    </comment>
    <comment authorId="0" ref="Q410">
      <text>
        <t xml:space="preserve">======
ID#AAABjx7qOcM
    (2025-05-21 11:33:24)
150916 扣抵金額(含稅)US$698.25,應支付貨款為(含稅)US$13524元</t>
      </text>
    </comment>
    <comment authorId="0" ref="N72">
      <text>
        <t xml:space="preserve">======
ID#AAABjx7qObA
    (2025-05-21 11:33:24)
0109 Forster點收</t>
      </text>
    </comment>
    <comment authorId="0" ref="E13">
      <text>
        <t xml:space="preserve">======
ID#AAABjx7qOa8
    (2025-05-21 11:33:24)
150302 Karen: 下單EU電源</t>
      </text>
    </comment>
    <comment authorId="0" ref="N308">
      <text>
        <t xml:space="preserve">======
ID#AAABjx7qOXQ
    (2025-05-21 11:33:24)
6-8weeks</t>
      </text>
    </comment>
    <comment authorId="0" ref="H347">
      <text>
        <t xml:space="preserve">======
ID#AAABjx7qOW0
    (2025-05-21 11:33:24)
Santiago0325 : 收到銀行通知</t>
      </text>
    </comment>
    <comment authorId="0" ref="N135">
      <text>
        <t xml:space="preserve">======
ID#AAABjx7qOVg
    (2025-05-21 11:33:24)
20150327 Forster點收</t>
      </text>
    </comment>
    <comment authorId="0" ref="E411">
      <text>
        <t xml:space="preserve">======
ID#AAABjx7qOVI
    (2025-05-21 11:33:24)
150818 Karen: w/o adapter (同前票訂單)</t>
      </text>
    </comment>
    <comment authorId="0" ref="R372">
      <text>
        <t xml:space="preserve">======
ID#AAABjx7qOVA
    (2025-05-21 11:33:24)
匯率暫抓USD5460*31.5</t>
      </text>
    </comment>
    <comment authorId="0" ref="G348">
      <text>
        <t xml:space="preserve">======
ID#AAABjx7qOSg
    (2025-05-21 11:33:24)
含5%稅</t>
      </text>
    </comment>
    <comment authorId="0" ref="H29">
      <text>
        <t xml:space="preserve">======
ID#AAABjx7qOSc
    (2025-05-21 11:33:24)
2/3 入帳</t>
      </text>
    </comment>
    <comment authorId="0" ref="N110">
      <text>
        <t xml:space="preserve">======
ID#AAABjx7qORg
    (2025-05-21 11:33:24)
2015/3/9 Chloe點收</t>
      </text>
    </comment>
    <comment authorId="0" ref="L163">
      <text>
        <t xml:space="preserve">======
ID#AAABjx7qOQI
0421 Forster    (2025-05-21 11:33:24)
連維修換下的SSD一同寄回</t>
      </text>
    </comment>
    <comment authorId="0" ref="E363">
      <text>
        <t xml:space="preserve">======
ID#AAABjx7qOPU
    (2025-05-21 11:33:24)
150206 Karen: 下單型號C218T/PCI</t>
      </text>
    </comment>
    <comment authorId="0" ref="H293">
      <text>
        <t xml:space="preserve">======
ID#AAABjx7qOOA
    (2025-05-21 11:33:24)
chloe 0625
此獎金暫不發放，待Santiago通知
Santiago 0429:
Re. PI20150319C1+2
已匯入NT$99,843元
Forster 20150413:
預計4/28匯入</t>
      </text>
    </comment>
    <comment authorId="0" ref="E434">
      <text>
        <t xml:space="preserve">======
ID#AAABjx7qONo
    (2025-05-21 11:33:24)
11/12 michelle: 58-80024-0000</t>
      </text>
    </comment>
    <comment authorId="0" ref="H319">
      <text>
        <t xml:space="preserve">======
ID#AAABjx7qOJk
    (2025-05-21 11:33:24)
7/1 michelle: 銀行通知到款共USD2725.4</t>
      </text>
    </comment>
    <comment authorId="0" ref="J409">
      <text>
        <t xml:space="preserve">======
ID#AAABjx7qOI8
    (2025-05-21 11:33:24)
0727 Santiago: 已入帳
會計說不用開發票給科技國</t>
      </text>
    </comment>
    <comment authorId="0" ref="N83">
      <text>
        <t xml:space="preserve">======
ID#AAABjx7qOG4
    (2025-05-21 11:33:24)
20150204 Forster點收</t>
      </text>
    </comment>
    <comment authorId="0" ref="H42">
      <text>
        <t xml:space="preserve">======
ID#AAABjx7qOG0
    (2025-05-21 11:33:24)
已通知,5月初付款
0526 chloe
 阿姐已通知匯款目前先進行卡貨動作
0528 chloe 預計6/3匯款
0529michelle: 5/29 支票</t>
      </text>
    </comment>
    <comment authorId="0" ref="F280">
      <text>
        <t xml:space="preserve">======
ID#AAABjx7qOGc
    (2025-05-21 11:33:24)
4/16 先交82pcs</t>
      </text>
    </comment>
    <comment authorId="0" ref="H47">
      <text>
        <t xml:space="preserve">======
ID#AAABjx7qOFE
    (2025-05-21 11:33:24)
0529 michelle: 6/1-&gt;6/3 TT
0602 michelle: 客戶水單</t>
      </text>
    </comment>
    <comment authorId="0" ref="H373">
      <text>
        <t xml:space="preserve">======
ID#AAABjx7qOD0
    (2025-05-21 11:33:24)
Santiago 0423
收到銀行通知</t>
      </text>
    </comment>
    <comment authorId="0" ref="H422">
      <text>
        <t xml:space="preserve">======
ID#AAABjx7qODs
    (2025-05-21 11:33:24)
1224 Santiago: 收到客戶水單
但戶名有問題, 錢還沒進帳戶
0106 Santiago: 已匯入</t>
      </text>
    </comment>
    <comment authorId="0" ref="Q17">
      <text>
        <t xml:space="preserve">======
ID#AAABjx7qOCo
    (2025-05-21 11:33:24)
151110 扣抵金額(含稅)US$283.5元,應支付貨款(含稅)為US$1501.5元</t>
      </text>
    </comment>
    <comment authorId="0" ref="L419">
      <text>
        <t xml:space="preserve">======
ID#AAABjx7qOB8
    (2025-05-21 11:33:24)
11/9 Michelle: 已簽約</t>
      </text>
    </comment>
    <comment authorId="0" ref="Q366">
      <text>
        <t xml:space="preserve">======
ID#AAABjx7qOBA
    (2025-05-21 11:33:24)
151103 扣抵金額(含稅)US$787.5元,應支付貨款(含稅)為US$4331.25元</t>
      </text>
    </comment>
    <comment authorId="0" ref="H45">
      <text>
        <t xml:space="preserve">======
ID#AAABjx7qN-k
    (2025-05-21 11:33:24)
0625結算，0725追款
0731 michelle: 支票到,轉回土城</t>
      </text>
    </comment>
    <comment authorId="0" ref="E38">
      <text>
        <t xml:space="preserve">======
ID#AAABjx7qN-c
    (2025-05-21 11:33:24)
150319 Karen: 下單w/US adapter</t>
      </text>
    </comment>
    <comment authorId="0" ref="H213">
      <text>
        <t xml:space="preserve">======
ID#AAABjx7qN-I
    (2025-05-21 11:33:23)
chloe 已付款</t>
      </text>
    </comment>
    <comment authorId="0" ref="R70">
      <text>
        <t xml:space="preserve">======
ID#AAABjx7qN94
    (2025-05-21 11:33:23)
=1438.5*31 暫抓,以發票為准</t>
      </text>
    </comment>
    <comment authorId="0" ref="E78">
      <text>
        <t xml:space="preserve">======
ID#AAABjx7qN9c
    (2025-05-21 11:33:23)
150111 Karen: 下單型號C104H/PCI-DB9M</t>
      </text>
    </comment>
    <comment authorId="0" ref="E252">
      <text>
        <t xml:space="preserve">======
ID#AAABjx7qN8o
    (2025-05-21 11:33:23)
150416 Karen：下單UK adapter</t>
      </text>
    </comment>
    <comment authorId="0" ref="R377">
      <text>
        <t xml:space="preserve">======
ID#AAABjx7qN5s
    (2025-05-21 11:33:23)
同前QA36248906</t>
      </text>
    </comment>
    <comment authorId="0" ref="R397">
      <text>
        <t xml:space="preserve">======
ID#AAABjx7qN2M
    (2025-05-21 11:33:23)
NET30</t>
      </text>
    </comment>
    <comment authorId="0" ref="G261">
      <text>
        <t xml:space="preserve">======
ID#AAABjx7qN1w
Santiago 0909    (2025-05-21 11:33:23)
報價給客戶應為US$50
但由於是戎克疏失, 只要客戶下次付款即可</t>
      </text>
    </comment>
    <comment authorId="0" ref="H19">
      <text>
        <t xml:space="preserve">======
ID#AAABjx7qN1s
    (2025-05-21 11:33:23)
20151224 Santiago: 收到銀行通知</t>
      </text>
    </comment>
    <comment authorId="0" ref="E232">
      <text>
        <t xml:space="preserve">======
ID#AAABjx7qNy8
    (2025-05-21 11:33:23)
150126 Karen: 下單UK電源</t>
      </text>
    </comment>
    <comment authorId="0" ref="H383">
      <text>
        <t xml:space="preserve">======
ID#AAABjx7qNzA
    (2025-05-21 11:33:23)
0902 Santiago 收到</t>
      </text>
    </comment>
    <comment authorId="0" ref="M5">
      <text>
        <t xml:space="preserve">======
ID#AAABjx7qNy0
    (2025-05-21 11:33:23)
3/25要付款完畢</t>
      </text>
    </comment>
    <comment authorId="0" ref="H265">
      <text>
        <t xml:space="preserve">======
ID#AAABjx7qNyk
    (2025-05-21 11:33:23)
0930 Santiago: 銀行通知4817</t>
      </text>
    </comment>
    <comment authorId="0" ref="X377">
      <text>
        <t xml:space="preserve">======
ID#AAABjx7qNyY
    (2025-05-21 11:33:23)
Z將國內外出口發票打成同一張</t>
      </text>
    </comment>
    <comment authorId="0" ref="Z399">
      <text>
        <t xml:space="preserve">======
ID#AAABjx7qNxA
    (2025-05-21 11:33:23)
發票已整理</t>
      </text>
    </comment>
    <comment authorId="0" ref="E239">
      <text>
        <t xml:space="preserve">======
ID#AAABjx7qNtw
    (2025-05-21 11:33:23)
150304 Karen: 下單型號CBL-M44M25x4-50</t>
      </text>
    </comment>
    <comment authorId="0" ref="G23">
      <text>
        <t xml:space="preserve">======
ID#AAABjx7qNtI
    (2025-05-21 11:33:23)
匯率30</t>
      </text>
    </comment>
    <comment authorId="0" ref="H25">
      <text>
        <t xml:space="preserve">======
ID#AAABjx7qNs8
    (2025-05-21 11:33:23)
1/21 收到匯款</t>
      </text>
    </comment>
    <comment authorId="0" ref="Z400">
      <text>
        <t xml:space="preserve">======
ID#AAABjx7qNs4
    (2025-05-21 11:33:23)
發票已整理</t>
      </text>
    </comment>
    <comment authorId="0" ref="H416">
      <text>
        <t xml:space="preserve">======
ID#AAABjx7qNsI
    (2025-05-21 11:33:23)
Santiago 1222 : 收到匯款</t>
      </text>
    </comment>
    <comment authorId="0" ref="N79">
      <text>
        <t xml:space="preserve">======
ID#AAABjx7qNq4
    (2025-05-21 11:33:23)
20150114 Forster點收</t>
      </text>
    </comment>
    <comment authorId="0" ref="M3">
      <text>
        <t xml:space="preserve">======
ID#AAABjx7qNqY
    (2025-05-21 11:33:23)
3/25要付款完畢</t>
      </text>
    </comment>
    <comment authorId="0" ref="N108">
      <text>
        <t xml:space="preserve">======
ID#AAABjx7qNpc
    (2025-05-21 11:33:23)
2015/3/3 Lynn點收</t>
      </text>
    </comment>
    <comment authorId="0" ref="R155">
      <text>
        <t xml:space="preserve">======
ID#AAABjx7qNpI
    (2025-05-21 11:33:23)
chloe
0506更改後與研華發票符合
0515收到四月份對帳單此筆金額與訂單不符合五月需注意
0528 收到對帳單與成本金額相符合</t>
      </text>
    </comment>
    <comment authorId="0" ref="M95">
      <text>
        <t xml:space="preserve">======
ID#AAABjx7qNoU
    (2025-05-21 11:33:23)
確認新調漲中
Forster 1/29已跟客戶協調這單吸收1/5%。</t>
      </text>
    </comment>
    <comment authorId="0" ref="H418">
      <text>
        <t xml:space="preserve">======
ID#AAABjx7qNmU
    (2025-05-21 11:33:23)
1224 Santiago: 收到客戶水單, 但戶名有問題, 錢還沒進帳戶
0106 Santiago: 已匯入</t>
      </text>
    </comment>
    <comment authorId="0" ref="K83">
      <text>
        <t xml:space="preserve">======
ID#AAABjx7qNks
    (2025-05-21 11:33:23)
FORSTER的部分計算獎金，但不發給(因採固定制)</t>
      </text>
    </comment>
    <comment authorId="0" ref="E302">
      <text>
        <t xml:space="preserve">======
ID#AAABjx7qNjQ
    (2025-05-21 11:33:23)
1006 Santiago : w/adapter (EU)</t>
      </text>
    </comment>
    <comment authorId="0" ref="H254">
      <text>
        <t xml:space="preserve">======
ID#AAABjx7qNhA
    (2025-05-21 11:33:23)
5/27 michelle: 客戶水單</t>
      </text>
    </comment>
    <comment authorId="0" ref="X446">
      <text>
        <t xml:space="preserve">======
ID#AAABjx7qNgg
    (2025-05-21 11:33:23)
0906 chloe 廠商開立折讓單，64706元</t>
      </text>
    </comment>
    <comment authorId="0" ref="J417">
      <text>
        <t xml:space="preserve">======
ID#AAABjx7qNfs
    (2025-05-21 11:33:23)
Santiago 1222 : 收到匯款</t>
      </text>
    </comment>
    <comment authorId="0" ref="D403">
      <text>
        <t xml:space="preserve">======
ID#AAABjx7qNdE
    (2025-05-21 11:33:23)
150721 Santiago: 客戶銷退. 換成PI-20150721A</t>
      </text>
    </comment>
    <comment authorId="0" ref="N357">
      <text>
        <t xml:space="preserve">======
ID#AAABjx7qNc4
    (2025-05-21 11:33:23)
3/13料齊</t>
      </text>
    </comment>
    <comment authorId="0" ref="H282">
      <text>
        <t xml:space="preserve">======
ID#AAABjx7qNcM
    (2025-05-21 11:33:23)
0714 michelle: santiago說已收到款</t>
      </text>
    </comment>
    <comment authorId="0" ref="X381">
      <text>
        <t xml:space="preserve">======
ID#AAABjx7qNbk
    (2025-05-21 11:33:23)
發票在chloe那</t>
      </text>
    </comment>
    <comment authorId="0" ref="H184">
      <text>
        <t xml:space="preserve">======
ID#AAABjx7qNac
    (2025-05-21 11:33:23)
20150801 Santiago 收到款</t>
      </text>
    </comment>
    <comment authorId="0" ref="Q367">
      <text>
        <t xml:space="preserve">======
ID#AAABjx7qNZ8
    (2025-05-21 11:33:23)
151103 己是專案價,故未再向MOXA詢問SRRC的特殊專案價</t>
      </text>
    </comment>
    <comment authorId="0" ref="H64">
      <text>
        <t xml:space="preserve">======
ID#AAABjx7qNZo
    (2025-05-21 11:33:23)
chloe：3/25結算，4/25追貨款到否?
chloe 4/30 入帳</t>
      </text>
    </comment>
    <comment authorId="0" ref="L31">
      <text>
        <t xml:space="preserve">======
ID#AAABjx7qNZI
    (2025-05-21 11:33:23)
AVIHS Technologies</t>
      </text>
    </comment>
    <comment authorId="0" ref="H34">
      <text>
        <t xml:space="preserve">======
ID#AAABjx7qNXo
    (2025-05-21 11:33:23)
0320 銀行通知(01176)</t>
      </text>
    </comment>
    <comment authorId="0" ref="H356">
      <text>
        <t xml:space="preserve">======
ID#AAABjx7qNWM
Santiago 0122    (2025-05-21 11:33:23)
這次是為了幫NEXCOM 趕交期. 怕他們來不及匯款.  才先用Evaluation PI 幫他們過關. 
請Forster要求Nexcom下週內完成付款
Forster0210: 安排2/17匯款</t>
      </text>
    </comment>
    <comment authorId="0" ref="Z317">
      <text>
        <t xml:space="preserve">======
ID#AAABjx7qNVo
    (2025-05-21 11:33:23)
0502 chloe 報單內容與CI不符合
0504 chloe 快遞只能向海關申請更改金額但內容不能變動，國外海關是以正本INVOICE填寫入口，故不會有問題
0526 chloe 已與會計聯絡提供他種發票為此次出貨廠商發票</t>
      </text>
    </comment>
    <comment authorId="0" ref="N116">
      <text>
        <t xml:space="preserve">======
ID#AAABjx7qNVE
    (2025-05-21 11:33:23)
20150316 Forster點收</t>
      </text>
    </comment>
    <comment authorId="0" ref="L310">
      <text>
        <t xml:space="preserve">======
ID#AAABjx7qNUs
    (2025-05-21 11:33:23)
Santiago 0420
稽核未來統一寫在總金額H欄位
Chloe
尚未付兩成訂金，等FIONA通知</t>
      </text>
    </comment>
    <comment authorId="0" ref="G342">
      <text>
        <t xml:space="preserve">======
ID#AAABjx7qNUo
    (2025-05-21 11:33:23)
w/ 5% tax</t>
      </text>
    </comment>
    <comment authorId="0" ref="N93">
      <text>
        <t xml:space="preserve">======
ID#AAABjx7qNTw
    (2025-05-21 11:33:23)
20150203 Forster點收</t>
      </text>
    </comment>
    <comment authorId="0" ref="Z325">
      <text>
        <t xml:space="preserve">======
ID#AAABjx7qNTY
    (2025-05-21 11:33:23)
0602 chloe 詢問簡易型出口報單可否辦理退稅
0603 chloe 會計回答簡易型出口報單統計方式若為04(申報的為02)則不能辦理退稅
0604 chloe 已向快遞申請02</t>
      </text>
    </comment>
    <comment authorId="0" ref="H275">
      <text>
        <t xml:space="preserve">======
ID#AAABjx7qNS0
    (2025-05-21 11:33:23)
1/13 michelle: 玉山通知匯入共USD60</t>
      </text>
    </comment>
    <comment authorId="0" ref="H375">
      <text>
        <t xml:space="preserve">======
ID#AAABjx7qNSQ
0420 Santiago    (2025-05-21 11:33:23)
客戶已傳水單
0421 Santiago: 
銀行通知收到匯款</t>
      </text>
    </comment>
    <comment authorId="0" ref="N88">
      <text>
        <t xml:space="preserve">======
ID#AAABjx7qNRc
    (2025-05-21 11:33:23)
20150123 Forster點收</t>
      </text>
    </comment>
    <comment authorId="0" ref="H244">
      <text>
        <t xml:space="preserve">======
ID#AAABjx7qNQc
    (2025-05-21 11:33:23)
4/2 匯款通知 5G01371</t>
      </text>
    </comment>
    <comment authorId="0" ref="H296">
      <text>
        <t xml:space="preserve">======
ID#AAABjx7qNPI
    (2025-05-21 11:33:23)
0828</t>
      </text>
    </comment>
    <comment authorId="0" ref="X286">
      <text>
        <t xml:space="preserve">======
ID#AAABjx7qNOg
    (2025-05-21 11:33:23)
此發票為10月份發票已給會計</t>
      </text>
    </comment>
    <comment authorId="0" ref="E21">
      <text>
        <t xml:space="preserve">======
ID#AAABjx7qNOE
    (2025-05-21 11:33:23)
151209 Karen: 下單EU電源</t>
      </text>
    </comment>
    <comment authorId="0" ref="H367">
      <text>
        <t xml:space="preserve">======
ID#AAABjx7qNN0
    (2025-05-21 11:33:23)
1/7 michelle: 收到支票金額共423,587.轉交Santiago</t>
      </text>
    </comment>
    <comment authorId="0" ref="H355">
      <text>
        <t xml:space="preserve">======
ID#AAABjx7qNNs
    (2025-05-21 11:33:23)
1/20 台銀平均匯率31.571
Forster0210: 安排2/17匯款</t>
      </text>
    </comment>
    <comment authorId="0" ref="G138">
      <text>
        <t xml:space="preserve">======
ID#AAABjx7qNL0
    (2025-05-21 11:33:23)
30</t>
      </text>
    </comment>
    <comment authorId="0" ref="H180">
      <text>
        <t xml:space="preserve">======
ID#AAABjx7qNKA
    (2025-05-21 11:33:23)
20150801 Santiago 收到款</t>
      </text>
    </comment>
    <comment authorId="0" ref="N106">
      <text>
        <t xml:space="preserve">======
ID#AAABjx7qNJg
    (2025-05-21 11:33:23)
2015/3/3 Lynn點收</t>
      </text>
    </comment>
    <comment authorId="0" ref="M2">
      <text>
        <t xml:space="preserve">======
ID#AAABjx7qNI0
    (2025-05-21 11:33:23)
3/25要付款完畢</t>
      </text>
    </comment>
    <comment authorId="0" ref="P25">
      <text>
        <t xml:space="preserve">======
ID#AAABjx7qNII
    (2025-05-21 11:33:23)
150115 Karen: 分批出貨</t>
      </text>
    </comment>
    <comment authorId="0" ref="R323">
      <text>
        <t xml:space="preserve">======
ID#AAABjx7qNGw
    (2025-05-21 11:33:23)
30*12*1.05 4/13Michelle:  *31.27</t>
      </text>
    </comment>
    <comment authorId="0" ref="H334">
      <text>
        <t xml:space="preserve">======
ID#AAABjx7qNFc
    (2025-05-21 11:33:23)
0826 Santiago 收到銀行通知</t>
      </text>
    </comment>
    <comment authorId="0" ref="H318">
      <text>
        <t xml:space="preserve">======
ID#AAABjx7qNFA
    (2025-05-21 11:33:23)
7/1 michelle: 銀行通知到款共USD2725.4</t>
      </text>
    </comment>
    <comment authorId="0" ref="H351">
      <text>
        <t xml:space="preserve">======
ID#AAABjx7qNCo
    (2025-05-21 11:33:23)
5/6 michelle:收到銀
行通知匯款</t>
      </text>
    </comment>
    <comment authorId="0" ref="H288">
      <text>
        <t xml:space="preserve">======
ID#AAABjx7qNA8
    (2025-05-21 11:33:23)
Santiago 20160118 收到銀行通知</t>
      </text>
    </comment>
    <comment authorId="0" ref="B446">
      <text>
        <t xml:space="preserve">======
ID#AAABjx7qNAQ
    (2025-05-21 11:33:23)
1025 chloe 代老闆指示後才能核算獎金</t>
      </text>
    </comment>
    <comment authorId="0" ref="H49">
      <text>
        <t xml:space="preserve">======
ID#AAABjx7qNAA
    (2025-05-21 11:33:23)
12/1 michelle 收到10月份貨款支票共NTD2066</t>
      </text>
    </comment>
    <comment authorId="0" ref="H189">
      <text>
        <t xml:space="preserve">======
ID#AAABjx7qM_k
    (2025-05-21 11:33:23)
20150801 Santiago 收到款</t>
      </text>
    </comment>
    <comment authorId="0" ref="E82">
      <text>
        <t xml:space="preserve">======
ID#AAABjx7qM-Y
    (2025-05-21 11:33:23)
150116 Karen: 下單型號CP-118EL-A w/o cable</t>
      </text>
    </comment>
    <comment authorId="0" ref="C8">
      <text>
        <t xml:space="preserve">======
ID#AAABjx7qM94
    (2025-05-21 11:33:23)
0526 chloe 已詢問Santiago 5/26會取回
0529 michelle 6/12
0612 michelle 0615寄還Nicky</t>
      </text>
    </comment>
    <comment authorId="0" ref="H376">
      <text>
        <t xml:space="preserve">======
ID#AAABjx7qM50
0420 Santiago    (2025-05-21 11:33:23)
客戶已傳水單
0421 Santiago: 
銀行通知收到匯款</t>
      </text>
    </comment>
    <comment authorId="0" ref="H329">
      <text>
        <t xml:space="preserve">======
ID#AAABjx7qM5o
    (2025-05-21 11:33:23)
10/15 michelle: 玉山通知匯款</t>
      </text>
    </comment>
    <comment authorId="0" ref="L160">
      <text>
        <t xml:space="preserve">======
ID#AAABjx7qM5c
0421 Forster    (2025-05-21 11:33:23)
連維修換下的SSD一同寄回</t>
      </text>
    </comment>
    <comment authorId="0" ref="H320">
      <text>
        <t xml:space="preserve">======
ID#AAABjx7qM5E
    (2025-05-21 11:33:23)
7/1 michelle: 銀行通知到款共USD2725.4</t>
      </text>
    </comment>
    <comment authorId="0" ref="H419">
      <text>
        <t xml:space="preserve">======
ID#AAABjx7qM40
    (2025-05-21 11:33:23)
1224 Santiago: 收到客戶水單, 但戶名有問題, 錢還沒進帳戶
0106 Santiago: 已匯入</t>
      </text>
    </comment>
    <comment authorId="0" ref="H303">
      <text>
        <t xml:space="preserve">======
ID#AAABjx7qM4I
    (2025-05-21 11:33:23)
1014 Santiago: 銀行通知</t>
      </text>
    </comment>
    <comment authorId="0" ref="H333">
      <text>
        <t xml:space="preserve">======
ID#AAABjx7qM2s
    (2025-05-21 11:33:23)
20160310 Santiago : 收到銀行通知</t>
      </text>
    </comment>
    <comment authorId="0" ref="M308">
      <text>
        <t xml:space="preserve">======
ID#AAABjx7qM2U
    (2025-05-21 11:33:23)
delivery with PI-20150317A</t>
      </text>
    </comment>
    <comment authorId="0" ref="C358">
      <text>
        <t xml:space="preserve">======
ID#AAABjx7qM10
    (2025-05-21 11:33:23)
chloe：4/24追歸還否?
forster 0427: 4/24已收客戶歸還借測品，4/27開會再送至辦公室</t>
      </text>
    </comment>
    <comment authorId="0" ref="H335">
      <text>
        <t xml:space="preserve">======
ID#AAABjx7qM1A
    (2025-05-21 11:33:23)
0826 Santiago 收到銀行通知</t>
      </text>
    </comment>
    <comment authorId="0" ref="H315">
      <text>
        <t xml:space="preserve">======
ID#AAABjx7qMz8
4/13 Santiago    (2025-05-21 11:33:23)
收到US$4602.8</t>
      </text>
    </comment>
    <comment authorId="0" ref="D251">
      <text>
        <t xml:space="preserve">======
ID#AAABjx7qMzM
Santiago 0518     (2025-05-21 11:33:23)
請業務處理, 即使不知客戶何時來台. 勿使帳款拖過2個月
Forster 0601：
Oscar已請人匯款至戎克玉山戶頭</t>
      </text>
    </comment>
    <comment authorId="0" ref="H36">
      <text>
        <t xml:space="preserve">======
ID#AAABjx7qMzA
    (2025-05-21 11:33:23)
3/31 收到支票 NT2237
chloe：Santiago 將支票存入玉山戎克</t>
      </text>
    </comment>
    <comment authorId="0" ref="H186">
      <text>
        <t xml:space="preserve">======
ID#AAABjx7qMyk
    (2025-05-21 11:33:23)
20150801 Santiago 收到款</t>
      </text>
    </comment>
    <comment authorId="0" ref="G4">
      <text>
        <t xml:space="preserve">======
ID#AAABjx7qMyM
    (2025-05-21 11:33:23)
匯率30</t>
      </text>
    </comment>
    <comment authorId="0" ref="L452">
      <text>
        <t xml:space="preserve">======
ID#AAABjx7qMyE
    (2025-05-21 11:33:23)
0526 chloe 運費1178</t>
      </text>
    </comment>
    <comment authorId="0" ref="E403">
      <text>
        <t xml:space="preserve">======
ID#AAABjx7qMxk
    (2025-05-21 11:33:23)
150721 Santiago: 客戶銷退. 換成PI-20150721A
150616 Karen: 歐規電源</t>
      </text>
    </comment>
    <comment authorId="0" ref="H314">
      <text>
        <t xml:space="preserve">======
ID#AAABjx7qMxQ
5/25 Santiago    (2025-05-21 11:33:23)
收到US$5904
4/13 Santiago:
收到US$4602.8
尚欠US$6000
0603 chloe：已匯入戶頭</t>
      </text>
    </comment>
    <comment authorId="0" ref="H30">
      <text>
        <t xml:space="preserve">======
ID#AAABjx7qMxI
    (2025-05-21 11:33:23)
0211 Santiago: 收到匯款</t>
      </text>
    </comment>
    <comment authorId="0" ref="G2">
      <text>
        <t xml:space="preserve">======
ID#AAABjx7qMxE
    (2025-05-21 11:33:23)
匯率30</t>
      </text>
    </comment>
    <comment authorId="0" ref="Z397">
      <text>
        <t xml:space="preserve">======
ID#AAABjx7qMwo
    (2025-05-21 11:33:23)
發票已整理</t>
      </text>
    </comment>
    <comment authorId="0" ref="N123">
      <text>
        <t xml:space="preserve">======
ID#AAABjx7qMvY
    (2025-05-21 11:33:23)
20150323 Forster點收</t>
      </text>
    </comment>
    <comment authorId="0" ref="N81">
      <text>
        <t xml:space="preserve">======
ID#AAABjx7qMug
    (2025-05-21 11:33:23)
20150120 Forster點收</t>
      </text>
    </comment>
    <comment authorId="0" ref="H445">
      <text>
        <t xml:space="preserve">======
ID#AAABjx7qMuU
    (2025-05-21 11:33:23)
1224 Santiago: 收到客戶水單, 但戶名有問題, 錢還沒進帳戶
0106 Santiago: 已匯入</t>
      </text>
    </comment>
    <comment authorId="0" ref="H269">
      <text>
        <t xml:space="preserve">======
ID#AAABjx7qMuA
    (2025-05-21 11:33:23)
10/19 michelle: 10/19玉山通知匯入款</t>
      </text>
    </comment>
    <comment authorId="0" ref="N107">
      <text>
        <t xml:space="preserve">======
ID#AAABjx7qMsY
    (2025-05-21 11:33:23)
2015/3/3 Lynn點收</t>
      </text>
    </comment>
    <comment authorId="0" ref="Q211">
      <text>
        <t xml:space="preserve">======
ID#AAABjx7qMrQ
    (2025-05-21 11:33:23)
150918 扣抵金額(含稅)US$84,應支付貨款(含稅)為US$1260元</t>
      </text>
    </comment>
    <comment authorId="0" ref="H185">
      <text>
        <t xml:space="preserve">======
ID#AAABjx7qMrI
    (2025-05-21 11:33:23)
20150801 Santiago 收到款</t>
      </text>
    </comment>
    <comment authorId="0" ref="H343">
      <text>
        <t xml:space="preserve">======
ID#AAABjx7qMqc
    (2025-05-21 11:33:23)
Forster 0202
借轉銷，已完成流程，待客戶付款，客戶安排2/3匯款。
Santiago 0203
已收到匯款</t>
      </text>
    </comment>
    <comment authorId="0" ref="L251">
      <text>
        <t xml:space="preserve">======
ID#AAABj82dpPM
    (2025-05-21 11:33:23)
客戶指定送安勤</t>
      </text>
    </comment>
    <comment authorId="0" ref="N104">
      <text>
        <t xml:space="preserve">======
ID#AAABj82dpOM
    (2025-05-21 11:33:23)
2015/3/3 Lynn點收</t>
      </text>
    </comment>
    <comment authorId="0" ref="M96">
      <text>
        <t xml:space="preserve">======
ID#AAABj82dpNk
    (2025-05-21 11:33:23)
確認新調漲中
Forster 1/29已跟客戶協調這單吸收1/5%。</t>
      </text>
    </comment>
    <comment authorId="0" ref="J217">
      <text>
        <t xml:space="preserve">======
ID#AAABj82dpMU
    (2025-05-21 11:33:23)
11/3 michelle: 已匯入款共67966</t>
      </text>
    </comment>
    <comment authorId="0" ref="H21">
      <text>
        <t xml:space="preserve">======
ID#AAABj82dpLw
    (2025-05-21 11:33:23)
20151224 Santiago: 收到銀行通知</t>
      </text>
    </comment>
    <comment authorId="0" ref="D220">
      <text>
        <t xml:space="preserve">======
ID#AAABj82dpLk
    (2025-05-21 11:33:23)
此筆費用攤入PI-20150106A
0212 Santiago :
此筆PI 賠錢, 待Chloe 於3月初向業務扣款NT1400
chloel：4/7已扣</t>
      </text>
    </comment>
    <comment authorId="0" ref="L158">
      <text>
        <t xml:space="preserve">======
ID#AAABj82dpKU
0421 Forster    (2025-05-21 11:33:23)
連維修換下的SSD一同寄回</t>
      </text>
    </comment>
    <comment authorId="0" ref="Q408">
      <text>
        <t xml:space="preserve">======
ID#AAABj82dpJY
0728 Santiago    (2025-05-21 11:33:23)
今日先墊付, 待MOXA安排讓 PI-20150612A-1 折讓成其他放帳額度</t>
      </text>
    </comment>
    <comment authorId="0" ref="L25">
      <text>
        <t xml:space="preserve">======
ID#AAABj82dpJM
    (2025-05-21 11:33:23)
JUDY KAO
Supervisor Of Sales Div.
FETA FREIGHT SYSTEMS (TAIWAN ) LTD. 
Tel: +886-3-399-2033 EXT: 135
Direct: +886-3-3992106
Fax: +886-3-3992036/2055
E-mail: judykao@ffsi.com.tw
Skype:judykao-mlattao</t>
      </text>
    </comment>
    <comment authorId="0" ref="H273">
      <text>
        <t xml:space="preserve">======
ID#AAABj82dpIE
    (2025-05-21 11:33:23)
Santiago 20151104 :已收到銀行通知</t>
      </text>
    </comment>
    <comment authorId="0" ref="H447">
      <text>
        <t xml:space="preserve">======
ID#AAABj82dpH4
    (2025-05-21 11:33:23)
0911 Santiago : 入帳</t>
      </text>
    </comment>
    <comment authorId="0" ref="Z249">
      <text>
        <t xml:space="preserve">======
ID#AAABj82dpFE
    (2025-05-21 11:33:23)
4/17 michelle: BA52630410</t>
      </text>
    </comment>
    <comment authorId="0" ref="H57">
      <text>
        <t xml:space="preserve">======
ID#AAABj82dpE8
Santiago 0422    (2025-05-21 11:33:23)
收到銀行通知</t>
      </text>
    </comment>
  </commentList>
  <extLst>
    <ext uri="GoogleSheetsCustomDataVersion2">
      <go:sheetsCustomData xmlns:go="http://customooxmlschemas.google.com/" r:id="rId1" roundtripDataSignature="AMtx7mgef+Xq4JhdPEde7EHMe3Xen/0WnA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6">
      <text>
        <t xml:space="preserve">======
ID#AAABjx7qWbA
    (2025-05-21 11:33:27)
w/VAT</t>
      </text>
    </comment>
    <comment authorId="0" ref="W87">
      <text>
        <t xml:space="preserve">======
ID#AAABjx7qWa4
    (2025-05-21 11:33:27)
由大陸進口</t>
      </text>
    </comment>
    <comment authorId="0" ref="H175">
      <text>
        <t xml:space="preserve">======
ID#AAABjx7qWZk
    (2025-05-21 11:33:27)
9/17台銀美元匯率30.06
20140922 匯入</t>
      </text>
    </comment>
    <comment authorId="0" ref="O302">
      <text>
        <t xml:space="preserve">======
ID#AAABjx7qWZE
    (2025-05-21 11:33:27)
10/30到貨</t>
      </text>
    </comment>
    <comment authorId="0" ref="H105">
      <text>
        <t xml:space="preserve">======
ID#AAABjx7qWYc
    (2025-05-21 11:33:27)
with VAT 5%</t>
      </text>
    </comment>
    <comment authorId="0" ref="K67">
      <text>
        <t xml:space="preserve">======
ID#AAABjx7qWYI
    (2025-05-21 11:33:27)
20110507 Forster 的獎金已於5月初發放. 經Michelle同意. 她的獎金留待下月發放</t>
      </text>
    </comment>
    <comment authorId="0" ref="O396">
      <text>
        <t xml:space="preserve">======
ID#AAABjx7qWXc
    (2025-05-21 11:33:27)
20141218 Forster點收</t>
      </text>
    </comment>
    <comment authorId="0" ref="J221">
      <text>
        <t xml:space="preserve">======
ID#AAABjx7qWV0
    (2025-05-21 11:33:27)
2014/12/31 收到匯款</t>
      </text>
    </comment>
    <comment authorId="0" ref="H116">
      <text>
        <t xml:space="preserve">======
ID#AAABjx7qWRo
    (2025-05-21 11:33:27)
with VAT 5%</t>
      </text>
    </comment>
    <comment authorId="0" ref="G64">
      <text>
        <t xml:space="preserve">======
ID#AAABjx7qWRM
    (2025-05-21 11:33:27)
W/VAT</t>
      </text>
    </comment>
    <comment authorId="0" ref="D154">
      <text>
        <t xml:space="preserve">======
ID#AAABjx7qWNY
8/1 Santiago    (2025-05-21 11:33:27)
原本Forster 打的PI 號碼為0730A. 但因為和Alan 7/30 受訂號碼是同一筆, 因此修改為0731B.</t>
      </text>
    </comment>
    <comment authorId="0" ref="G379">
      <text>
        <t xml:space="preserve">======
ID#AAABjx7qWLE
    (2025-05-21 11:33:27)
台幣報價，匯率用30計算</t>
      </text>
    </comment>
    <comment authorId="0" ref="G33">
      <text>
        <t xml:space="preserve">======
ID#AAABjx7qWJU
    (2025-05-21 11:33:27)
w/Tax</t>
      </text>
    </comment>
    <comment authorId="0" ref="X10">
      <text>
        <t xml:space="preserve">======
ID#AAABjx7qWHk
    (2025-05-21 11:33:27)
29.979</t>
      </text>
    </comment>
    <comment authorId="0" ref="O392">
      <text>
        <t xml:space="preserve">======
ID#AAABjx7qWHc
    (2025-05-21 11:33:27)
12/18 Forster點收</t>
      </text>
    </comment>
    <comment authorId="0" ref="V155">
      <text>
        <t xml:space="preserve">======
ID#AAABjx7qWFY
    (2025-05-21 11:33:27)
與PI-20140813A 一起</t>
      </text>
    </comment>
    <comment authorId="0" ref="O366">
      <text>
        <t xml:space="preserve">======
ID#AAABjx7qWEM
    (2025-05-21 11:33:27)
實際到貨12/10，因地址給錯</t>
      </text>
    </comment>
    <comment authorId="0" ref="H135">
      <text>
        <t xml:space="preserve">======
ID#AAABjx7qV_o
    (2025-05-21 11:33:27)
台銀8/12匯率29.4</t>
      </text>
    </comment>
    <comment authorId="0" ref="M136">
      <text>
        <t xml:space="preserve">======
ID#AAABjx7qV-g
    (2025-05-21 11:33:27)
原本交期 7/24. 
待Karen 和業務重新確認</t>
      </text>
    </comment>
    <comment authorId="0" ref="H372">
      <text>
        <t xml:space="preserve">======
ID#AAABjx7qV7A
    (2025-05-21 11:33:27)
20141229 已收到US$1940.2
($6551*20%+$630)
20150204 Santiago: 已收到水單</t>
      </text>
    </comment>
    <comment authorId="0" ref="H312">
      <text>
        <t xml:space="preserve">======
ID#AAABjx7qV6M
    (2025-05-21 11:33:27)
2014/12/31 收到匯款</t>
      </text>
    </comment>
    <comment authorId="0" ref="O287">
      <text>
        <t xml:space="preserve">======
ID#AAABjx7qV4c
    (2025-05-21 11:33:27)
11/7到貨</t>
      </text>
    </comment>
    <comment authorId="0" ref="O373">
      <text>
        <t xml:space="preserve">======
ID#AAABjx7qV2M
    (2025-05-21 11:33:27)
12/22 Santiago 收貨</t>
      </text>
    </comment>
    <comment authorId="0" ref="H182">
      <text>
        <t xml:space="preserve">======
ID#AAABjx7qVwM
    (2025-05-21 11:33:27)
9/2 提供水單</t>
      </text>
    </comment>
    <comment authorId="0" ref="G293">
      <text>
        <t xml:space="preserve">======
ID#AAABjx7qVrE
    (2025-05-21 11:33:27)
w/5%VAT</t>
      </text>
    </comment>
    <comment authorId="0" ref="T75">
      <text>
        <t xml:space="preserve">======
ID#AAABjx7qVqU
    (2025-05-21 11:33:27)
預付</t>
      </text>
    </comment>
    <comment authorId="0" ref="H375">
      <text>
        <t xml:space="preserve">======
ID#AAABjx7qVpc
    (2025-05-21 11:33:27)
20141229 已收到US$1940.2
($6551*20%+$630)
20150204 Santiago: 已收到水單</t>
      </text>
    </comment>
    <comment authorId="0" ref="L97">
      <text>
        <t xml:space="preserve">======
ID#AAABjx7qVok
    (2025-05-21 11:33:27)
不需產地證明
但invoice and packing 註明Country of origin</t>
      </text>
    </comment>
    <comment authorId="0" ref="G135">
      <text>
        <t xml:space="preserve">======
ID#AAABjx7qVi0
    (2025-05-21 11:33:27)
w/Tax</t>
      </text>
    </comment>
    <comment authorId="0" ref="H171">
      <text>
        <t xml:space="preserve">======
ID#AAABjx7qViQ
    (2025-05-21 11:33:27)
0902 收到匯款</t>
      </text>
    </comment>
    <comment authorId="0" ref="D65">
      <text>
        <t xml:space="preserve">======
ID#AAABjx7qVho
    (2025-05-21 11:33:27)
To Angela, 
PI 編碼少了最後一碼英文字. 無法區分當天PI 的先後順序</t>
      </text>
    </comment>
    <comment authorId="0" ref="H151">
      <text>
        <t xml:space="preserve">======
ID#AAABjx7qVhc
    (2025-05-21 11:33:27)
台銀8/12匯率29.4</t>
      </text>
    </comment>
    <comment authorId="0" ref="T79">
      <text>
        <t xml:space="preserve">======
ID#AAABjx7qVg8
    (2025-05-21 11:33:27)
預付</t>
      </text>
    </comment>
    <comment authorId="0" ref="E372">
      <text>
        <t xml:space="preserve">======
ID#AAABjx7qVgY
    (2025-05-21 11:33:27)
3 IPC924-212-FL with 4 MOXA 
2 IPC924-212-FL with 3 MOXA</t>
      </text>
    </comment>
    <comment authorId="0" ref="E75">
      <text>
        <t xml:space="preserve">======
ID#AAABjx7qVc8
    (2025-05-21 11:33:27)
請修正:V101ZHU110+
HJ101NA-02C</t>
      </text>
    </comment>
    <comment authorId="0" ref="G2">
      <text>
        <t xml:space="preserve">======
ID#AAABjx7qVYA
    (2025-05-21 11:33:27)
含5%稅</t>
      </text>
    </comment>
    <comment authorId="0" ref="Q160">
      <text>
        <t xml:space="preserve">======
ID#AAABjx7qVTE
    (2025-05-21 11:33:27)
8/18 舊單號20140800131152</t>
      </text>
    </comment>
    <comment authorId="0" ref="O379">
      <text>
        <t xml:space="preserve">======
ID#AAABjx7qVQw
    (2025-05-21 11:33:27)
12/15 Forster 已收貨</t>
      </text>
    </comment>
    <comment authorId="0" ref="H107">
      <text>
        <t xml:space="preserve">======
ID#AAABjx7qVPk
    (2025-05-21 11:33:27)
with VAT 5%
0813 Santiago:
Alan 報錯價為US$144.
實際應為US$152
已發信通知客戶此錯誤,
未來會調整回來152</t>
      </text>
    </comment>
    <comment authorId="0" ref="G85">
      <text>
        <t xml:space="preserve">======
ID#AAABjx7qVOk
    (2025-05-21 11:33:27)
w/VAT</t>
      </text>
    </comment>
    <comment authorId="0" ref="M71">
      <text>
        <t xml:space="preserve">======
ID#AAABjx7qVN8
    (2025-05-21 11:33:27)
與PI20140505A 兩個品項一起出</t>
      </text>
    </comment>
    <comment authorId="0" ref="G256">
      <text>
        <t xml:space="preserve">======
ID#AAABjx7qVLM
    (2025-05-21 11:33:27)
w/5% tax</t>
      </text>
    </comment>
    <comment authorId="0" ref="H241">
      <text>
        <t xml:space="preserve">======
ID#AAABjx7qVJ0
    (2025-05-21 11:33:27)
11/14 Santiago: 收到水單</t>
      </text>
    </comment>
    <comment authorId="0" ref="H315">
      <text>
        <t xml:space="preserve">======
ID#AAABjx7qVHo
    (2025-05-21 11:33:27)
2014/12/31 收到匯款</t>
      </text>
    </comment>
    <comment authorId="0" ref="G257">
      <text>
        <t xml:space="preserve">======
ID#AAABjx7qVGo
    (2025-05-21 11:33:27)
w/ 5% tax</t>
      </text>
    </comment>
    <comment authorId="0" ref="H108">
      <text>
        <t xml:space="preserve">======
ID#AAABjx7qVGc
    (2025-05-21 11:33:27)
with VAT 5%</t>
      </text>
    </comment>
    <comment authorId="0" ref="X48">
      <text>
        <t xml:space="preserve">======
ID#AAABjx7qVFE
    (2025-05-21 11:33:27)
GD474296873WW</t>
      </text>
    </comment>
    <comment authorId="0" ref="G41">
      <text>
        <t xml:space="preserve">======
ID#AAABjx7qVEY
    (2025-05-21 11:33:27)
w/Tax</t>
      </text>
    </comment>
    <comment authorId="0" ref="G63">
      <text>
        <t xml:space="preserve">======
ID#AAABjx7qU_c
    (2025-05-21 11:33:27)
w/VAT</t>
      </text>
    </comment>
    <comment authorId="0" ref="H280">
      <text>
        <t xml:space="preserve">======
ID#AAABjx7qU_Q
    (2025-05-21 11:33:27)
1029 收到水單</t>
      </text>
    </comment>
    <comment authorId="0" ref="H376">
      <text>
        <t xml:space="preserve">======
ID#AAABjx7qU6g
    (2025-05-21 11:33:27)
20141229 已收到US$1940.2
($6551*20%+$630)
20150204 Santiago: 已收到水單</t>
      </text>
    </comment>
    <comment authorId="0" ref="H155">
      <text>
        <t xml:space="preserve">======
ID#AAABjx7qU5w
    (2025-05-21 11:33:27)
入帳 USD23020.32
0820 收到款項</t>
      </text>
    </comment>
    <comment authorId="0" ref="J265">
      <text>
        <t xml:space="preserve">======
ID#AAABjx7qU5c
    (2025-05-21 11:33:27)
30.46</t>
      </text>
    </comment>
    <comment authorId="0" ref="G130">
      <text>
        <t xml:space="preserve">======
ID#AAABjx7qU3Q
    (2025-05-21 11:33:26)
VAT 5%</t>
      </text>
    </comment>
    <comment authorId="0" ref="S373">
      <text>
        <t xml:space="preserve">======
ID#AAABjx7qU3A
    (2025-05-21 11:33:26)
匯率:31</t>
      </text>
    </comment>
    <comment authorId="0" ref="W279">
      <text>
        <t xml:space="preserve">======
ID#AAABjx7qU2k
    (2025-05-21 11:33:26)
匯率30.34</t>
      </text>
    </comment>
    <comment authorId="0" ref="O374">
      <text>
        <t xml:space="preserve">======
ID#AAABjx7qUzg
    (2025-05-21 11:33:26)
12/22 Santiago 收貨</t>
      </text>
    </comment>
    <comment authorId="0" ref="O368">
      <text>
        <t xml:space="preserve">======
ID#AAABjx7qUzE
    (2025-05-21 11:33:26)
實際到貨12/10，因地址給錯</t>
      </text>
    </comment>
    <comment authorId="0" ref="H158">
      <text>
        <t xml:space="preserve">======
ID#AAABjx7qUyw
    (2025-05-21 11:33:26)
0901匯入</t>
      </text>
    </comment>
    <comment authorId="0" ref="X56">
      <text>
        <t xml:space="preserve">======
ID#AAABjx7qUw0
    (2025-05-21 11:33:26)
UNO-2170-C11BE貨物有誤，故5/15走TNT出新貨
5/20TNT荷蘭取舊貨運回研華工廠預計5/23到，運費4012</t>
      </text>
    </comment>
    <comment authorId="0" ref="H130">
      <text>
        <t xml:space="preserve">======
ID#AAABjx7qUv0
    (2025-05-21 11:33:26)
0901 匯入</t>
      </text>
    </comment>
    <comment authorId="0" ref="G40">
      <text>
        <t xml:space="preserve">======
ID#AAABjx7qUtM
    (2025-05-21 11:33:26)
w/Tax</t>
      </text>
    </comment>
    <comment authorId="0" ref="G19">
      <text>
        <t xml:space="preserve">======
ID#AAABjx7qTrM
    (2025-05-21 11:33:26)
w/Tax</t>
      </text>
    </comment>
    <comment authorId="0" ref="O390">
      <text>
        <t xml:space="preserve">======
ID#AAABjx7qTpw
    (2025-05-21 11:33:26)
12/18 Forster點收</t>
      </text>
    </comment>
    <comment authorId="0" ref="M112">
      <text>
        <t xml:space="preserve">======
ID#AAABjx7qTos
0710 Santiago    (2025-05-21 11:33:26)
此單延至週二出. 
因為要確認好貨款到位以及包材事宜</t>
      </text>
    </comment>
    <comment authorId="0" ref="O378">
      <text>
        <t xml:space="preserve">======
ID#AAABjx7qTkM
    (2025-05-21 11:33:26)
12/15 Forster 已收貨</t>
      </text>
    </comment>
    <comment authorId="0" ref="Q294">
      <text>
        <t xml:space="preserve">======
ID#AAABjx7qTeE
    (2025-05-21 11:33:26)
141027 原報價單號20141000135858,更換成專案價的報價單20141000136066</t>
      </text>
    </comment>
    <comment authorId="0" ref="G107">
      <text>
        <t xml:space="preserve">======
ID#AAABjx7qTaI
0813 Santiago    (2025-05-21 11:33:26)
Alan 報錯價為US$144.
實際應為US$152
已發信通知客戶此錯誤,
未來會調整回來152</t>
      </text>
    </comment>
    <comment authorId="0" ref="G31">
      <text>
        <t xml:space="preserve">======
ID#AAABjx7qTZY
    (2025-05-21 11:33:26)
w/Tax</t>
      </text>
    </comment>
    <comment authorId="0" ref="Q135">
      <text>
        <t xml:space="preserve">======
ID#AAABjx7qTYQ
    (2025-05-21 11:33:26)
140722
8679: 9pcs
8681: 11pcs</t>
      </text>
    </comment>
    <comment authorId="0" ref="R56">
      <text>
        <t xml:space="preserve">======
ID#AAABjx7qTVQ
    (2025-05-21 11:33:26)
To Angela,
這 L~ Q 綠色欄位是PM 在寫的. 
請你不要寫</t>
      </text>
    </comment>
    <comment authorId="0" ref="X38">
      <text>
        <t xml:space="preserve">======
ID#AAABjx7qTS8
    (2025-05-21 11:33:26)
GD474296873WW</t>
      </text>
    </comment>
    <comment authorId="0" ref="H114">
      <text>
        <t xml:space="preserve">======
ID#AAABjx7qTRk
    (2025-05-21 11:33:26)
入帳 47944.62
10% down payment(7/8 received)
90% T/T in advance</t>
      </text>
    </comment>
    <comment authorId="0" ref="O383">
      <text>
        <t xml:space="preserve">======
ID#AAABjx7qTOk
    (2025-05-21 11:33:26)
20141217 Lynn已收貨</t>
      </text>
    </comment>
    <comment authorId="0" ref="L100">
      <text>
        <t xml:space="preserve">======
ID#AAABjx7qTMM
    (2025-05-21 11:33:26)
Applied Industrial的客戶 GE - Bangalore的DHL帳號</t>
      </text>
    </comment>
    <comment authorId="0" ref="H371">
      <text>
        <t xml:space="preserve">======
ID#AAABjx7qTKw
    (2025-05-21 11:33:26)
20141229 已收到US$1940.2
($6551*20%+$630)
20150204 Santiago: 已收到水單
0209 已收到匯款</t>
      </text>
    </comment>
    <comment authorId="0" ref="O263">
      <text>
        <t xml:space="preserve">======
ID#AAABjx7qTIg
    (2025-05-21 11:33:26)
Santiago 10/23 註記</t>
      </text>
    </comment>
    <comment authorId="0" ref="G72">
      <text>
        <t xml:space="preserve">======
ID#AAABjx7qTFw
    (2025-05-21 11:33:26)
plus 67USD freight and 25USD bank charges</t>
      </text>
    </comment>
    <comment authorId="0" ref="X43">
      <text>
        <t xml:space="preserve">======
ID#AAABjx7qTE0
    (2025-05-21 11:33:26)
GD474296887WW</t>
      </text>
    </comment>
    <comment authorId="0" ref="V290">
      <text>
        <t xml:space="preserve">======
ID#AAABjx7qTCU
12/10 Sanitago    (2025-05-21 11:33:26)
客戶已歸還. 不需要開發票</t>
      </text>
    </comment>
    <comment authorId="0" ref="H43">
      <text>
        <t xml:space="preserve">======
ID#AAABjx7qTAY
    (2025-05-21 11:33:26)
3/27 連同 PI-20131210C 已匯US$5707, 尚有US$6000 O/A待收
5/8 收到匯款5890 (扣除US$110 組裝)</t>
      </text>
    </comment>
    <comment authorId="0" ref="O393">
      <text>
        <t xml:space="preserve">======
ID#AAABjx7qS8w
    (2025-05-21 11:33:26)
12/18 Forster點收</t>
      </text>
    </comment>
    <comment authorId="0" ref="G65">
      <text>
        <t xml:space="preserve">======
ID#AAABjx7qS70
    (2025-05-21 11:33:26)
W/5% VAT</t>
      </text>
    </comment>
    <comment authorId="0" ref="H132">
      <text>
        <t xml:space="preserve">======
ID#AAABjx7qS7M
    (2025-05-21 11:33:26)
入帳 USD 1034.52</t>
      </text>
    </comment>
    <comment authorId="0" ref="L74">
      <text>
        <t xml:space="preserve">======
ID#AAABjx7qS6E
    (2025-05-21 11:33:26)
不需產地證明
但invoice and packing 註明Country of origin</t>
      </text>
    </comment>
    <comment authorId="0" ref="S59">
      <text>
        <t xml:space="preserve">======
ID#AAABjx7qS5o
    (2025-05-21 11:33:26)
戎克11/20 已付20%賠償給Mean Well</t>
      </text>
    </comment>
    <comment authorId="0" ref="H224">
      <text>
        <t xml:space="preserve">======
ID#AAABjx7qS5c
    (2025-05-21 11:33:26)
1029 收到水單</t>
      </text>
    </comment>
    <comment authorId="0" ref="L162">
      <text>
        <t xml:space="preserve">======
ID#AAABjx7qS5A
    (2025-05-21 11:33:26)
同PI-20140805B出貨
B.RGDS
JUDY KAO
Supervisor Of Sales Div.
FETA FREIGHT SYSTEMS (TAIWAN ) LTD. 
Tel: +886-3-399-2033 EXT: 135
Direct: +886-3-3992106
Fax: +886-3-3992036/2055
E-mail: judykao@ffsi.com.tw
Skype:judykao-mlattao</t>
      </text>
    </comment>
    <comment authorId="0" ref="H204">
      <text>
        <t xml:space="preserve">======
ID#AAABjx7qS44
    (2025-05-21 11:33:26)
匯率30
20140916收到78,435</t>
      </text>
    </comment>
    <comment authorId="0" ref="M286">
      <text>
        <t xml:space="preserve">======
ID#AAABjx7qS3g
    (2025-05-21 11:33:26)
10/27叫大榮貨運</t>
      </text>
    </comment>
    <comment authorId="0" ref="M173">
      <text>
        <t xml:space="preserve">======
ID#AAABjx7qS2c
    (2025-05-21 11:33:26)
2014/08/25寄出</t>
      </text>
    </comment>
    <comment authorId="0" ref="H71">
      <text>
        <t xml:space="preserve">======
ID#AAABjx7qS18
    (2025-05-21 11:33:26)
5/9收到錢</t>
      </text>
    </comment>
    <comment authorId="0" ref="H263">
      <text>
        <t xml:space="preserve">======
ID#AAABjx7qS1o
    (2025-05-21 11:33:26)
20141016, US$3667</t>
      </text>
    </comment>
    <comment authorId="0" ref="H98">
      <text>
        <t xml:space="preserve">======
ID#AAABjx7qSwE
    (2025-05-21 11:33:26)
w/5%VAT</t>
      </text>
    </comment>
    <comment authorId="0" ref="H257">
      <text>
        <t xml:space="preserve">======
ID#AAABjx7qSvI
    (2025-05-21 11:33:26)
1,659.00</t>
      </text>
    </comment>
    <comment authorId="0" ref="X290">
      <text>
        <t xml:space="preserve">======
ID#AAABjx7qSu8
12/10 Sanitago    (2025-05-21 11:33:26)
客戶已歸還. 不需要開發票</t>
      </text>
    </comment>
    <comment authorId="0" ref="H109">
      <text>
        <t xml:space="preserve">======
ID#AAABjx7qSuU
    (2025-05-21 11:33:26)
with VAT 5%</t>
      </text>
    </comment>
    <comment authorId="0" ref="H209">
      <text>
        <t xml:space="preserve">======
ID#AAABjx7qSsk
    (2025-05-21 11:33:26)
匯率30</t>
      </text>
    </comment>
    <comment authorId="0" ref="G11">
      <text>
        <t xml:space="preserve">======
ID#AAABjx7qSpI
    (2025-05-21 11:33:26)
w/Tax</t>
      </text>
    </comment>
    <comment authorId="0" ref="O391">
      <text>
        <t xml:space="preserve">======
ID#AAABjx7qSlk
    (2025-05-21 11:33:26)
12/18 Forster點收</t>
      </text>
    </comment>
    <comment authorId="0" ref="Q155">
      <text>
        <t xml:space="preserve">======
ID#AAABjx7qSes
    (2025-05-21 11:33:26)
8/19 舊單號20140800131264</t>
      </text>
    </comment>
    <comment authorId="0" ref="H276">
      <text>
        <t xml:space="preserve">======
ID#AAABjx7qSbI
    (2025-05-21 11:33:26)
20150204 Santiago: 已收到水單</t>
      </text>
    </comment>
    <comment authorId="0" ref="H208">
      <text>
        <t xml:space="preserve">======
ID#AAABjx7qSa0
    (2025-05-21 11:33:26)
匯率30</t>
      </text>
    </comment>
    <comment authorId="0" ref="H293">
      <text>
        <t xml:space="preserve">======
ID#AAABjx7qSMU
    (2025-05-21 11:33:26)
10/31 已收到水單</t>
      </text>
    </comment>
    <comment authorId="0" ref="H279">
      <text>
        <t xml:space="preserve">======
ID#AAABjx7qSKw
    (2025-05-21 11:33:26)
匯率30.63</t>
      </text>
    </comment>
    <comment authorId="0" ref="H112">
      <text>
        <t xml:space="preserve">======
ID#AAABjx7qSIQ
    (2025-05-21 11:33:26)
入帳 47944.62
10% down payment (7/8 received)
90% T/T in advance</t>
      </text>
    </comment>
    <comment authorId="0" ref="G79">
      <text>
        <t xml:space="preserve">======
ID#AAABjx7qSHI
    (2025-05-21 11:33:26)
w/VAT (NT$5670)</t>
      </text>
    </comment>
    <comment authorId="0" ref="H245">
      <text>
        <t xml:space="preserve">======
ID#AAABjx7qSDY
    (2025-05-21 11:33:25)
1029 收到水單</t>
      </text>
    </comment>
    <comment authorId="0" ref="H167">
      <text>
        <t xml:space="preserve">======
ID#AAABjx7qSCA
    (2025-05-21 11:33:25)
入帳 USD7465.82
0825 匯入</t>
      </text>
    </comment>
    <comment authorId="0" ref="H306">
      <text>
        <t xml:space="preserve">======
ID#AAABjx7qSAk
    (2025-05-21 11:33:25)
11/11 收到70%
12/22 收到30%</t>
      </text>
    </comment>
    <comment authorId="0" ref="G34">
      <text>
        <t xml:space="preserve">======
ID#AAABjx7qSAA
    (2025-05-21 11:33:25)
W/TAX</t>
      </text>
    </comment>
    <comment authorId="0" ref="G136">
      <text>
        <t xml:space="preserve">======
ID#AAABjx7qR-g
    (2025-05-21 11:33:25)
w/Tax</t>
      </text>
    </comment>
    <comment authorId="0" ref="H99">
      <text>
        <t xml:space="preserve">======
ID#AAABjx7qR84
    (2025-05-21 11:33:25)
w/5%VAT</t>
      </text>
    </comment>
    <comment authorId="0" ref="H74">
      <text>
        <t xml:space="preserve">======
ID#AAABjx7qR8o
    (2025-05-21 11:33:25)
5/9收到錢</t>
      </text>
    </comment>
    <comment authorId="0" ref="H92">
      <text>
        <t xml:space="preserve">======
ID#AAABjx7qR5Q
    (2025-05-21 11:33:25)
5/26已TT</t>
      </text>
    </comment>
    <comment authorId="0" ref="G50">
      <text>
        <t xml:space="preserve">======
ID#AAABjx7qR30
    (2025-05-21 11:33:25)
w/Tax</t>
      </text>
    </comment>
    <comment authorId="0" ref="L262">
      <text>
        <t xml:space="preserve">======
ID#AAABjx7qR1o
    (2025-05-21 11:33:25)
同PI-20141028A出貨
B.RGDS
JUDY KAO
Supervisor Of Sales Div.
FETA FREIGHT SYSTEMS (TAIWAN ) LTD. 
Tel: +886-3-399-2033 EXT: 135
Direct: +886-3-3992106
Fax: +886-3-3992036/2055
E-mail: judykao@ffsi.com.tw
Skype:judykao-mlattao</t>
      </text>
    </comment>
    <comment authorId="0" ref="S375">
      <text>
        <t xml:space="preserve">======
ID#AAABjx7qRzA
    (2025-05-21 11:33:25)
要付給Carlo 的組裝費</t>
      </text>
    </comment>
    <comment authorId="0" ref="R92">
      <text>
        <t xml:space="preserve">======
ID#AAABjx7qRsg
Santiago    (2025-05-21 11:33:25)
0523 已付款
故用黑字註記</t>
      </text>
    </comment>
    <comment authorId="0" ref="G29">
      <text>
        <t xml:space="preserve">======
ID#AAABjx7qRsU
    (2025-05-21 11:33:25)
w/Tax</t>
      </text>
    </comment>
    <comment authorId="0" ref="E263">
      <text>
        <t xml:space="preserve">======
ID#AAABjx7qRrM
1101 Santiago    (2025-05-21 11:33:25)
因為是未組裝的散裝形式出貨. 
因此型號從BPC-100S1
改為BPC-100S1C
(A/B 已在Datasheet中出現)</t>
      </text>
    </comment>
    <comment authorId="0" ref="H113">
      <text>
        <t xml:space="preserve">======
ID#AAABjx7qRmM
    (2025-05-21 11:33:25)
入帳 47944.62
10% down payment (7/8 received)
90% T/T in advance</t>
      </text>
    </comment>
    <comment authorId="0" ref="H104">
      <text>
        <t xml:space="preserve">======
ID#AAABjx7qRjw
    (2025-05-21 11:33:25)
with VAT 5%</t>
      </text>
    </comment>
    <comment authorId="0" ref="H177">
      <text>
        <t xml:space="preserve">======
ID#AAABjx7qRYQ
    (2025-05-21 11:33:25)
入帳 USD980.3
total $998(25)
0828 received payment</t>
      </text>
    </comment>
    <comment authorId="0" ref="H288">
      <text>
        <t xml:space="preserve">======
ID#AAABjx7qRX4
    (2025-05-21 11:33:25)
11/3 Santiago 收到
US$4441.2</t>
      </text>
    </comment>
    <comment authorId="0" ref="G134">
      <text>
        <t xml:space="preserve">======
ID#AAABjx7qRW4
    (2025-05-21 11:33:25)
w/Tax</t>
      </text>
    </comment>
    <comment authorId="0" ref="X47">
      <text>
        <t xml:space="preserve">======
ID#AAABjx7qRT0
    (2025-05-21 11:33:25)
5717864445</t>
      </text>
    </comment>
    <comment authorId="0" ref="O369">
      <text>
        <t xml:space="preserve">======
ID#AAABjx7qROU
    (2025-05-21 11:33:25)
實際到貨12/10，因地址給錯</t>
      </text>
    </comment>
    <comment authorId="0" ref="H103">
      <text>
        <t xml:space="preserve">======
ID#AAABjx7qRNw
    (2025-05-21 11:33:25)
with VAT 5%</t>
      </text>
    </comment>
    <comment authorId="0" ref="Q162">
      <text>
        <t xml:space="preserve">======
ID#AAABjx7qRMU
    (2025-05-21 11:33:25)
8/19 舊單號20140800131264</t>
      </text>
    </comment>
    <comment authorId="0" ref="H147">
      <text>
        <t xml:space="preserve">======
ID#AAABjx7qRK4
    (2025-05-21 11:33:25)
入帳 USD 3980.32
$25 credit from last order (PI-20140212A)</t>
      </text>
    </comment>
    <comment authorId="0" ref="J222">
      <text>
        <t xml:space="preserve">======
ID#AAABjx7qRKs
    (2025-05-21 11:33:25)
201412/31 收到匯款</t>
      </text>
    </comment>
    <comment authorId="0" ref="G69">
      <text>
        <t xml:space="preserve">======
ID#AAABjx7qRKI
    (2025-05-21 11:33:25)
w/Tax</t>
      </text>
    </comment>
    <comment authorId="0" ref="H161">
      <text>
        <t xml:space="preserve">======
ID#AAABjx7qRIo
    (2025-05-21 11:33:25)
台銀8/12匯率29.4
20140922收到</t>
      </text>
    </comment>
    <comment authorId="0" ref="H211">
      <text>
        <t xml:space="preserve">======
ID#AAABjx7qRGs
    (2025-05-21 11:33:25)
1001 Santiago : 客戶1005 才會匯款. 先併入計算10月初獎金</t>
      </text>
    </comment>
    <comment authorId="0" ref="O395">
      <text>
        <t xml:space="preserve">======
ID#AAABjx7qQ9M
    (2025-05-21 11:33:25)
20141218 Forster點收</t>
      </text>
    </comment>
    <comment authorId="0" ref="L91">
      <text>
        <t xml:space="preserve">======
ID#AAABjx7qQ6I
    (2025-05-21 11:33:25)
不需產地證明
但invoice and packing 註明Country of origin</t>
      </text>
    </comment>
    <comment authorId="0" ref="H123">
      <text>
        <t xml:space="preserve">======
ID#AAABjx7qQ5Q
    (2025-05-21 11:33:25)
9/29 收到US$1962.1</t>
      </text>
    </comment>
    <comment authorId="0" ref="H344">
      <text>
        <t xml:space="preserve">======
ID#AAABjx7qQ4Y
    (2025-05-21 11:33:25)
11/20 收到水單</t>
      </text>
    </comment>
    <comment authorId="0" ref="W265">
      <text>
        <t xml:space="preserve">======
ID#AAABjx7qQ2Q
    (2025-05-21 11:33:25)
匯率30.34</t>
      </text>
    </comment>
    <comment authorId="0" ref="H278">
      <text>
        <t xml:space="preserve">======
ID#AAABjx7qQ1Y
    (2025-05-21 11:33:25)
10/31 付</t>
      </text>
    </comment>
    <comment authorId="0" ref="R214">
      <text>
        <t xml:space="preserve">======
ID#AAABjx7qQp4
    (2025-05-21 11:33:25)
9/22 62*2+4(運費)=128
     128*105%=134.4</t>
      </text>
    </comment>
    <comment authorId="0" ref="H345">
      <text>
        <t xml:space="preserve">======
ID#AAABjx7qQo8
    (2025-05-21 11:33:25)
1120 收到水單</t>
      </text>
    </comment>
    <comment authorId="0" ref="H304">
      <text>
        <t xml:space="preserve">======
ID#AAABjx7qQnI
    (2025-05-21 11:33:25)
匯率 30.515</t>
      </text>
    </comment>
    <comment authorId="0" ref="H262">
      <text>
        <t xml:space="preserve">======
ID#AAABjx7qQm8
    (2025-05-21 11:33:25)
20141016, US$3667</t>
      </text>
    </comment>
    <comment authorId="0" ref="G30">
      <text>
        <t xml:space="preserve">======
ID#AAABjx7qQms
    (2025-05-21 11:33:25)
w/Tax</t>
      </text>
    </comment>
    <comment authorId="0" ref="C6">
      <text>
        <t xml:space="preserve">======
ID#AAABjx7qQi8
    (2025-05-21 11:33:25)
12/20追加 無PO及PI</t>
      </text>
    </comment>
    <comment authorId="0" ref="H374">
      <text>
        <t xml:space="preserve">======
ID#AAABjx7qQgk
    (2025-05-21 11:33:25)
20141229 已收到US$1940.2
($6551*20%+$630)
20150204 Santiago: 已收到水單</t>
      </text>
    </comment>
    <comment authorId="0" ref="X85">
      <text>
        <t xml:space="preserve">======
ID#AAABjx7qQek
    (2025-05-21 11:33:25)
參考富邦5/23即期匯率，開票匯率：30.139</t>
      </text>
    </comment>
    <comment authorId="0" ref="M283">
      <text>
        <t xml:space="preserve">======
ID#AAABjx7qQcg
    (2025-05-21 11:33:25)
10/27叫大榮貨運</t>
      </text>
    </comment>
    <comment authorId="0" ref="O283">
      <text>
        <t xml:space="preserve">======
ID#AAABjx7qQbk
    (2025-05-21 11:33:25)
10/24到貨</t>
      </text>
    </comment>
    <comment authorId="0" ref="H101">
      <text>
        <t xml:space="preserve">======
ID#AAABjx7qQaU
    (2025-05-21 11:33:25)
with VAT 5%</t>
      </text>
    </comment>
    <comment authorId="0" ref="G70">
      <text>
        <t xml:space="preserve">======
ID#AAABjx7qQWU
    (2025-05-21 11:33:25)
w/Tax</t>
      </text>
    </comment>
    <comment authorId="0" ref="R57">
      <text>
        <t xml:space="preserve">======
ID#AAABjx7qQUE
    (2025-05-21 11:33:25)
To Angela,
這 L~ Q 綠色欄位是PM 在寫的. 
請你不要寫</t>
      </text>
    </comment>
    <comment authorId="0" ref="L95">
      <text>
        <t xml:space="preserve">======
ID#AAABjx7qQTM
    (2025-05-21 11:33:25)
不需產地證明
但invoice and packing 註明Country of origin</t>
      </text>
    </comment>
    <comment authorId="0" ref="D64">
      <text>
        <t xml:space="preserve">======
ID#AAABjx7qQSw
    (2025-05-21 11:33:25)
To Angela, 
PI 編碼少了最後一碼英文字. 無法區分當天PI 的先後順序</t>
      </text>
    </comment>
    <comment authorId="0" ref="G12">
      <text>
        <t xml:space="preserve">======
ID#AAABjx7qQNE
    (2025-05-21 11:33:25)
w/Tax</t>
      </text>
    </comment>
    <comment authorId="0" ref="H131">
      <text>
        <t xml:space="preserve">======
ID#AAABjx7qQL4
    (2025-05-21 11:33:25)
入帳 USD 700.32</t>
      </text>
    </comment>
    <comment authorId="0" ref="H82">
      <text>
        <t xml:space="preserve">======
ID#AAABjx7qQIM
    (2025-05-21 11:33:25)
含NRE $500</t>
      </text>
    </comment>
    <comment authorId="0" ref="D112">
      <text>
        <t xml:space="preserve">======
ID#AAABjx7qQFs
    (2025-05-21 11:33:25)
配合客戶發QUOTATION LIST 因此PI 延遲於6/30發出</t>
      </text>
    </comment>
    <comment authorId="0" ref="S220">
      <text>
        <t xml:space="preserve">======
ID#AAABjx7qQBQ
    (2025-05-21 11:33:25)
11/11
(付款500,000)</t>
      </text>
    </comment>
    <comment authorId="0" ref="G53">
      <text>
        <t xml:space="preserve">======
ID#AAABjx7qQAg
    (2025-05-21 11:33:25)
w/Tax</t>
      </text>
    </comment>
    <comment authorId="0" ref="L96">
      <text>
        <t xml:space="preserve">======
ID#AAABjx7qP_c
    (2025-05-21 11:33:25)
不需產地證明
但invoice and packing 註明Country of origin</t>
      </text>
    </comment>
    <comment authorId="0" ref="H275">
      <text>
        <t xml:space="preserve">======
ID#AAABjx7qP9o
    (2025-05-21 11:33:25)
20141029 收到366</t>
      </text>
    </comment>
    <comment authorId="0" ref="H162">
      <text>
        <t xml:space="preserve">======
ID#AAABjx7qP9E
    (2025-05-21 11:33:25)
入帳 USD23020.32
0820 收到款項</t>
      </text>
    </comment>
    <comment authorId="0" ref="O318">
      <text>
        <t xml:space="preserve">======
ID#AAABjx7qP8M
    (2025-05-21 11:33:24)
11/10到貨</t>
      </text>
    </comment>
    <comment authorId="0" ref="H319">
      <text>
        <t xml:space="preserve">======
ID#AAABjx7qP7s
    (2025-05-21 11:33:24)
11/27 收到水單</t>
      </text>
    </comment>
    <comment authorId="0" ref="H305">
      <text>
        <t xml:space="preserve">======
ID#AAABjx7qP7U
    (2025-05-21 11:33:24)
20141023, US$1137</t>
      </text>
    </comment>
    <comment authorId="0" ref="H59">
      <text>
        <t xml:space="preserve">======
ID#AAABjx7qP6U
    (2025-05-21 11:33:24)
此筆客戶已答應賠償
1. 戎克11/20 已付20%賠償給Mean Well
2. 客戶賠償PI-20141204A Testing US$630</t>
      </text>
    </comment>
    <comment authorId="0" ref="M113">
      <text>
        <t xml:space="preserve">======
ID#AAABjx7qP40
0710 Santiago    (2025-05-21 11:33:24)
此單延至週二出. 
因為要確認好貨款到位以及包材事宜</t>
      </text>
    </comment>
    <comment authorId="0" ref="G378">
      <text>
        <t xml:space="preserve">======
ID#AAABjx7qP3U
    (2025-05-21 11:33:24)
台幣報價，匯率用30計算</t>
      </text>
    </comment>
    <comment authorId="0" ref="H256">
      <text>
        <t xml:space="preserve">======
ID#AAABjx7qP20
    (2025-05-21 11:33:24)
1008 Santiago 收到匯款US$6821</t>
      </text>
    </comment>
    <comment authorId="0" ref="S374">
      <text>
        <t xml:space="preserve">======
ID#AAABjx7qP2E
    (2025-05-21 11:33:24)
匯率:31</t>
      </text>
    </comment>
    <comment authorId="0" ref="M284">
      <text>
        <t xml:space="preserve">======
ID#AAABjx7qPuw
    (2025-05-21 11:33:24)
10/27叫大榮貨運</t>
      </text>
    </comment>
    <comment authorId="0" ref="H213">
      <text>
        <t xml:space="preserve">======
ID#AAABjx7qPns
    (2025-05-21 11:33:24)
1029 收到水單</t>
      </text>
    </comment>
    <comment authorId="0" ref="G18">
      <text>
        <t xml:space="preserve">======
ID#AAABjx7qPio
    (2025-05-21 11:33:24)
w/Tax</t>
      </text>
    </comment>
    <comment authorId="0" ref="G93">
      <text>
        <t xml:space="preserve">======
ID#AAABjx7qPfk
    (2025-05-21 11:33:24)
w/vot</t>
      </text>
    </comment>
    <comment authorId="0" ref="H160">
      <text>
        <t xml:space="preserve">======
ID#AAABjx7qPfc
    (2025-05-21 11:33:24)
台銀8/12匯率29.4
20140922收到</t>
      </text>
    </comment>
    <comment authorId="0" ref="G156">
      <text>
        <t xml:space="preserve">======
ID#AAABjx7qPeg
    (2025-05-21 11:33:24)
後改需要DB9 cable故少收 $6x5pcs=$30,客戶下次補</t>
      </text>
    </comment>
    <comment authorId="0" ref="W213">
      <text>
        <t xml:space="preserve">======
ID#AAABjx7qPdQ
    (2025-05-21 11:33:24)
與W 215.216.217 同一張發票</t>
      </text>
    </comment>
    <comment authorId="0" ref="O394">
      <text>
        <t xml:space="preserve">======
ID#AAABjx7qPdE
    (2025-05-21 11:33:24)
12/18 Forster點收</t>
      </text>
    </comment>
    <comment authorId="0" ref="L71">
      <text>
        <t xml:space="preserve">======
ID#AAABjx7qPbs
    (2025-05-21 11:33:24)
不需產地證明
但invoice and packing 註明Country of origin</t>
      </text>
    </comment>
    <comment authorId="0" ref="G81">
      <text>
        <t xml:space="preserve">======
ID#AAABjx7qPYA
    (2025-05-21 11:33:24)
W/5%VAT</t>
      </text>
    </comment>
    <comment authorId="0" ref="H264">
      <text>
        <t xml:space="preserve">======
ID#AAABjx7qPXU
    (2025-05-21 11:33:24)
20141016, US$3667</t>
      </text>
    </comment>
    <comment authorId="0" ref="H168">
      <text>
        <t xml:space="preserve">======
ID#AAABjx7qPWk
    (2025-05-21 11:33:24)
入帳 USD7465.82</t>
      </text>
    </comment>
    <comment authorId="0" ref="M111">
      <text>
        <t xml:space="preserve">======
ID#AAABjx7qPWg
    (2025-05-21 11:33:24)
因大榮貨運問題，遲一天出</t>
      </text>
    </comment>
    <comment authorId="0" ref="H311">
      <text>
        <t xml:space="preserve">======
ID#AAABjx7qPV8
    (2025-05-21 11:33:24)
2014/12/31收到匯款</t>
      </text>
    </comment>
    <comment authorId="0" ref="D3">
      <text>
        <t xml:space="preserve">======
ID#AAABjx7qPRg
    (2025-05-21 11:33:24)
12/5 給新漢的PI號是20131205A,因為跟MMC撞號,故由A改為B,但並沒有通知新漢做變動</t>
      </text>
    </comment>
    <comment authorId="0" ref="O364">
      <text>
        <t xml:space="preserve">======
ID#AAABjx7qPM8
    (2025-05-21 11:33:24)
20141217 Lynn已收貨</t>
      </text>
    </comment>
    <comment authorId="0" ref="H202">
      <text>
        <t xml:space="preserve">======
ID#AAABjx7qPKw
9/29 Santiago    (2025-05-21 11:33:24)
收到 US$2302</t>
      </text>
    </comment>
    <comment authorId="0" ref="H320">
      <text>
        <t xml:space="preserve">======
ID#AAABjx7qPKU
    (2025-05-21 11:33:24)
141109 補之前出貨損壞的</t>
      </text>
    </comment>
    <comment authorId="0" ref="O370">
      <text>
        <t xml:space="preserve">======
ID#AAABjx7qPJw
    (2025-05-21 11:33:24)
實際到貨12/10，因地址給錯</t>
      </text>
    </comment>
    <comment authorId="0" ref="G168">
      <text>
        <t xml:space="preserve">======
ID#AAABjx7qPHQ
    (2025-05-21 11:33:24)
w/5% VAT</t>
      </text>
    </comment>
    <comment authorId="0" ref="J130">
      <text>
        <t xml:space="preserve">======
ID#AAABjx7qPCc
    (2025-05-21 11:33:24)
VAT 5%
9/1匯</t>
      </text>
    </comment>
    <comment authorId="0" ref="J180">
      <text>
        <t xml:space="preserve">======
ID#AAABjx7qO8s
    (2025-05-21 11:33:24)
8/26中央銀行30.026</t>
      </text>
    </comment>
    <comment authorId="0" ref="H242">
      <text>
        <t xml:space="preserve">======
ID#AAABjx7qO6U
    (2025-05-21 11:33:24)
1104 Santiago 已收到水單</t>
      </text>
    </comment>
    <comment authorId="0" ref="M74">
      <text>
        <t xml:space="preserve">======
ID#AAABjx7qO54
    (2025-05-21 11:33:24)
與20140422B一起出</t>
      </text>
    </comment>
    <comment authorId="0" ref="W59">
      <text>
        <t xml:space="preserve">======
ID#AAABjx7qO34
    (2025-05-21 11:33:24)
11/20 戎克已付20%賠償費用14400</t>
      </text>
    </comment>
    <comment authorId="0" ref="G49">
      <text>
        <t xml:space="preserve">======
ID#AAABjx7qO1s
    (2025-05-21 11:33:24)
w/Tax</t>
      </text>
    </comment>
    <comment authorId="0" ref="H73">
      <text>
        <t xml:space="preserve">======
ID#AAABjx7qOzQ
    (2025-05-21 11:33:24)
5/9收到錢</t>
      </text>
    </comment>
    <comment authorId="0" ref="H277">
      <text>
        <t xml:space="preserve">======
ID#AAABjx7qOy8
    (2025-05-21 11:33:24)
11/14 Santiago: 收到水單</t>
      </text>
    </comment>
    <comment authorId="0" ref="G14">
      <text>
        <t xml:space="preserve">======
ID#AAABjx7qOy0
    (2025-05-21 11:33:24)
w/Tax</t>
      </text>
    </comment>
    <comment authorId="0" ref="L131">
      <text>
        <t xml:space="preserve">======
ID#AAABjx7qOyA
    (2025-05-21 11:33:24)
Applied Industrial的客戶 GE - Bangalore的DHL帳號</t>
      </text>
    </comment>
    <comment authorId="0" ref="G3">
      <text>
        <t xml:space="preserve">======
ID#AAABjx7qOww
    (2025-05-21 11:33:24)
含5%稅</t>
      </text>
    </comment>
    <comment authorId="0" ref="L73">
      <text>
        <t xml:space="preserve">======
ID#AAABjx7qOwU
    (2025-05-21 11:33:24)
不需產地證明
但invoice and packing 註明Country of origin</t>
      </text>
    </comment>
    <comment authorId="0" ref="O367">
      <text>
        <t xml:space="preserve">======
ID#AAABjx7qOvc
    (2025-05-21 11:33:24)
實際到貨12/10，因地址給錯</t>
      </text>
    </comment>
    <comment authorId="0" ref="H321">
      <text>
        <t xml:space="preserve">======
ID#AAABjx7qOvU
    (2025-05-21 11:33:24)
匯率 30.605</t>
      </text>
    </comment>
    <comment authorId="0" ref="G240">
      <text>
        <t xml:space="preserve">======
ID#AAABjx7qOrc
    (2025-05-21 11:33:24)
w/5% tax</t>
      </text>
    </comment>
    <comment authorId="0" ref="G129">
      <text>
        <t xml:space="preserve">======
ID#AAABjx7qOrU
    (2025-05-21 11:33:24)
w/Tax</t>
      </text>
    </comment>
    <comment authorId="0" ref="H136">
      <text>
        <t xml:space="preserve">======
ID#AAABjx7qOqg
    (2025-05-21 11:33:24)
台銀匯率29.9</t>
      </text>
    </comment>
    <comment authorId="0" ref="T80">
      <text>
        <t xml:space="preserve">======
ID#AAABjx7qOlw
    (2025-05-21 11:33:24)
C1030514.84報價單</t>
      </text>
    </comment>
    <comment authorId="0" ref="H124">
      <text>
        <t xml:space="preserve">======
ID#AAABjx7qOkk
    (2025-05-21 11:33:24)
入帳 USD3215.32
0826 匯入</t>
      </text>
    </comment>
    <comment authorId="0" ref="J294">
      <text>
        <t xml:space="preserve">======
ID#AAABjx7qOj0
    (2025-05-21 11:33:24)
10/31 已收到款項</t>
      </text>
    </comment>
    <comment authorId="0" ref="M114">
      <text>
        <t xml:space="preserve">======
ID#AAABjx7qOhA
0710 Santiago    (2025-05-21 11:33:24)
此單延至週二出. 
因為要確認好貨款到位以及包材事宜</t>
      </text>
    </comment>
    <comment authorId="0" ref="G54">
      <text>
        <t xml:space="preserve">======
ID#AAABjx7qOgs
    (2025-05-21 11:33:24)
w/Tax</t>
      </text>
    </comment>
    <comment authorId="0" ref="O386">
      <text>
        <t xml:space="preserve">======
ID#AAABjx7qOfU
    (2025-05-21 11:33:24)
12/16 Santiago 收到</t>
      </text>
    </comment>
    <comment authorId="0" ref="G55">
      <text>
        <t xml:space="preserve">======
ID#AAABjx7qOec
    (2025-05-21 11:33:24)
w/Tax</t>
      </text>
    </comment>
    <comment authorId="0" ref="L305">
      <text>
        <t xml:space="preserve">======
ID#AAABjx7qObw
    (2025-05-21 11:33:24)
同PI-20141008A出貨
B.RGDS
JUDY KAO
Supervisor Of Sales Div.
FETA FREIGHT SYSTEMS (TAIWAN ) LTD. 
Tel: +886-3-399-2033 EXT: 135
Direct: +886-3-3992106
Fax: +886-3-3992036/2055
E-mail: judykao@ffsi.com.tw
Skype:judykao-mlattao</t>
      </text>
    </comment>
    <comment authorId="0" ref="U240">
      <text>
        <t xml:space="preserve">======
ID#AAABjx7qOZw
    (2025-05-21 11:33:24)
11/4 張杰回覆已沖帳</t>
      </text>
    </comment>
    <comment authorId="0" ref="G32">
      <text>
        <t xml:space="preserve">======
ID#AAABjx7qOWs
    (2025-05-21 11:33:24)
w/Tax</t>
      </text>
    </comment>
    <comment authorId="0" ref="G10">
      <text>
        <t xml:space="preserve">======
ID#AAABjx7qOVU
    (2025-05-21 11:33:24)
w/Tax</t>
      </text>
    </comment>
    <comment authorId="0" ref="J220">
      <text>
        <t xml:space="preserve">======
ID#AAABjx7qOSw
    (2025-05-21 11:33:24)
201412/31 收到匯款</t>
      </text>
    </comment>
    <comment authorId="0" ref="G83">
      <text>
        <t xml:space="preserve">======
ID#AAABjx7qORM
    (2025-05-21 11:33:24)
w/5% VAT</t>
      </text>
    </comment>
    <comment authorId="0" ref="G42">
      <text>
        <t xml:space="preserve">======
ID#AAABjx7qORA
    (2025-05-21 11:33:24)
w/Tax</t>
      </text>
    </comment>
    <comment authorId="0" ref="S320">
      <text>
        <t xml:space="preserve">======
ID#AAABjx7qOQk
    (2025-05-21 11:33:24)
(1300*1.05 + 運費 100)</t>
      </text>
    </comment>
    <comment authorId="0" ref="H111">
      <text>
        <t xml:space="preserve">======
ID#AAABjx7qOPc
    (2025-05-21 11:33:24)
with VAT 5%</t>
      </text>
    </comment>
    <comment authorId="0" ref="H210">
      <text>
        <t xml:space="preserve">======
ID#AAABjx7qONM
    (2025-05-21 11:33:24)
匯率30</t>
      </text>
    </comment>
    <comment authorId="0" ref="E72">
      <text>
        <t xml:space="preserve">======
ID#AAABjx7qOMI
    (2025-05-21 11:33:24)
invoice的備註
ETHERNET SWITCH, HS CODE: 8517.62.90</t>
      </text>
    </comment>
    <comment authorId="0" ref="H205">
      <text>
        <t xml:space="preserve">======
ID#AAABjx7qOKg
    (2025-05-21 11:33:24)
1001 Santiago : 客戶1005 才會匯款. 先併入計算10月初獎金</t>
      </text>
    </comment>
    <comment authorId="0" ref="D290">
      <text>
        <t xml:space="preserve">======
ID#AAABjx7qOJM
    (2025-05-21 11:33:24)
Evaluation PI 是指客戶借測用的PI number</t>
      </text>
    </comment>
    <comment authorId="0" ref="H110">
      <text>
        <t xml:space="preserve">======
ID#AAABjx7qOFg
    (2025-05-21 11:33:24)
with VAT 5%</t>
      </text>
    </comment>
    <comment authorId="0" ref="S327">
      <text>
        <t xml:space="preserve">======
ID#AAABjx7qOEk
    (2025-05-21 11:33:24)
US$1144.5</t>
      </text>
    </comment>
    <comment authorId="0" ref="E371">
      <text>
        <t xml:space="preserve">======
ID#AAABjx7qOAg
    (2025-05-21 11:33:24)
3 IPC924-212-FL with 4 MOXA 
2 IPC924-212-FL with 3 MOXA</t>
      </text>
    </comment>
    <comment authorId="0" ref="H327">
      <text>
        <t xml:space="preserve">======
ID#AAABjx7qN9M
    (2025-05-21 11:33:23)
收到水單</t>
      </text>
    </comment>
    <comment authorId="0" ref="H207">
      <text>
        <t xml:space="preserve">======
ID#AAABjx7qN7c
    (2025-05-21 11:33:23)
匯率30</t>
      </text>
    </comment>
    <comment authorId="0" ref="H176">
      <text>
        <t xml:space="preserve">======
ID#AAABjx7qN7Y
    (2025-05-21 11:33:23)
9/17台銀美元匯率30.06
20140922 匯入</t>
      </text>
    </comment>
    <comment authorId="0" ref="O274">
      <text>
        <t xml:space="preserve">======
ID#AAABjx7qN6o
    (2025-05-21 11:33:23)
2014/10/29到貨</t>
      </text>
    </comment>
    <comment authorId="0" ref="G167">
      <text>
        <t xml:space="preserve">======
ID#AAABjx7qN5g
    (2025-05-21 11:33:23)
w/5% VAT</t>
      </text>
    </comment>
    <comment authorId="0" ref="M238">
      <text>
        <t xml:space="preserve">======
ID#AAABjx7qN5Y
    (2025-05-21 11:33:23)
可能改為10/14出，等併單</t>
      </text>
    </comment>
    <comment authorId="0" ref="M73">
      <text>
        <t xml:space="preserve">======
ID#AAABjx7qN4g
    (2025-05-21 11:33:23)
與20140422B一起出</t>
      </text>
    </comment>
    <comment authorId="0" ref="W290">
      <text>
        <t xml:space="preserve">======
ID#AAABjx7qN24
12/10 Sanitago    (2025-05-21 11:33:23)
客戶已歸還. 不需要開發票</t>
      </text>
    </comment>
    <comment authorId="0" ref="H180">
      <text>
        <t xml:space="preserve">======
ID#AAABjx7qN2o
    (2025-05-21 11:33:23)
0829 匯入台企銀</t>
      </text>
    </comment>
    <comment authorId="0" ref="H140">
      <text>
        <t xml:space="preserve">======
ID#AAABjx7qNys
    (2025-05-21 11:33:23)
入帳 3593.32</t>
      </text>
    </comment>
    <comment authorId="0" ref="H119">
      <text>
        <t xml:space="preserve">======
ID#AAABjx7qNvk
    (2025-05-21 11:33:23)
入帳 USD 3580</t>
      </text>
    </comment>
    <comment authorId="0" ref="W381">
      <text>
        <t xml:space="preserve">======
ID#AAABjx7qNuc
    (2025-05-21 11:33:23)
PI-20141210A兩筆的價格</t>
      </text>
    </comment>
    <comment authorId="0" ref="H122">
      <text>
        <t xml:space="preserve">======
ID#AAABjx7qNt4
    (2025-05-21 11:33:23)
9/29 收到US$1962.1</t>
      </text>
    </comment>
    <comment authorId="0" ref="L308">
      <text>
        <t xml:space="preserve">======
ID#AAABjx7qNss
    (2025-05-21 11:33:23)
運費158元</t>
      </text>
    </comment>
    <comment authorId="0" ref="O329">
      <text>
        <t xml:space="preserve">======
ID#AAABjx7qNnY
    (2025-05-21 11:33:23)
20141225 Forster已收貨</t>
      </text>
    </comment>
    <comment authorId="0" ref="G35">
      <text>
        <t xml:space="preserve">======
ID#AAABjx7qNlY
    (2025-05-21 11:33:23)
w/Tax</t>
      </text>
    </comment>
    <comment authorId="0" ref="K59">
      <text>
        <t xml:space="preserve">======
ID#AAABjx7qNkQ
    (2025-05-21 11:33:23)
11/20 客戶決定取消訂單. 因此不發獎金</t>
      </text>
    </comment>
    <comment authorId="0" ref="H148">
      <text>
        <t xml:space="preserve">======
ID#AAABjx7qNhc
    (2025-05-21 11:33:23)
入帳 USD 3980.32</t>
      </text>
    </comment>
    <comment authorId="0" ref="G67">
      <text>
        <t xml:space="preserve">======
ID#AAABjx7qNgY
    (2025-05-21 11:33:23)
w/5% VAT</t>
      </text>
    </comment>
    <comment authorId="0" ref="O371">
      <text>
        <t xml:space="preserve">======
ID#AAABjx7qNdo
    (2025-05-21 11:33:23)
12/15 Santiago 已收貨</t>
      </text>
    </comment>
    <comment authorId="0" ref="O173">
      <text>
        <t xml:space="preserve">======
ID#AAABjx7qNco
    (2025-05-21 11:33:23)
2014/08/22到貨</t>
      </text>
    </comment>
    <comment authorId="0" ref="R135">
      <text>
        <t xml:space="preserve">======
ID#AAABjx7qNbE
    (2025-05-21 11:33:23)
140722
8679: 9pcs US$1077.3
8681: 11pcs US$1316.7</t>
      </text>
    </comment>
    <comment authorId="0" ref="X148">
      <text>
        <t xml:space="preserve">======
ID#AAABjx7qNak
    (2025-05-21 11:33:23)
FEDEX-898466913765</t>
      </text>
    </comment>
    <comment authorId="0" ref="G98">
      <text>
        <t xml:space="preserve">======
ID#AAABjx7qNZY
    (2025-05-21 11:33:23)
w/5%VAT</t>
      </text>
    </comment>
    <comment authorId="0" ref="X81">
      <text>
        <t xml:space="preserve">======
ID#AAABjx7qNS4
    (2025-05-21 11:33:23)
參考兆豐5/22即期匯率，開票匯率：30.12</t>
      </text>
    </comment>
    <comment authorId="0" ref="O170">
      <text>
        <t xml:space="preserve">======
ID#AAABjx7qNSc
    (2025-05-21 11:33:23)
2014/08/18到貨</t>
      </text>
    </comment>
    <comment authorId="0" ref="H351">
      <text>
        <t xml:space="preserve">======
ID#AAABjx7qNEs
    (2025-05-21 11:33:23)
2/2 收到</t>
      </text>
    </comment>
    <comment authorId="0" ref="W399">
      <text>
        <t xml:space="preserve">======
ID#AAABjx7qM_g
    (2025-05-21 11:33:23)
兩項併一張發票</t>
      </text>
    </comment>
    <comment authorId="0" ref="L155">
      <text>
        <t xml:space="preserve">======
ID#AAABjx7qM_E
    (2025-05-21 11:33:23)
同PI-20140813A出貨
B.RGDS
JUDY KAO
Supervisor Of Sales Div.
FETA FREIGHT SYSTEMS (TAIWAN ) LTD. 
Tel: +886-3-399-2033 EXT: 135
Direct: +886-3-3992106
Fax: +886-3-3992036/2055
E-mail: judykao@ffsi.com.tw
Skype:judykao-mlattao</t>
      </text>
    </comment>
    <comment authorId="0" ref="O365">
      <text>
        <t xml:space="preserve">======
ID#AAABjx7qM-M
    (2025-05-21 11:33:23)
實際到貨12/10，因地址給錯</t>
      </text>
    </comment>
    <comment authorId="0" ref="H150">
      <text>
        <t xml:space="preserve">======
ID#AAABjx7qM8o
    (2025-05-21 11:33:23)
1001 Santiago 收到貨款</t>
      </text>
    </comment>
    <comment authorId="0" ref="H93">
      <text>
        <t xml:space="preserve">======
ID#AAABjx7qM60
    (2025-05-21 11:33:23)
5/26已TT</t>
      </text>
    </comment>
    <comment authorId="0" ref="H373">
      <text>
        <t xml:space="preserve">======
ID#AAABjx7qM5k
    (2025-05-21 11:33:23)
20141229 已收到US$1940.2
($6551*20%+$630)
20150204 Santiago: 已收到水單</t>
      </text>
    </comment>
    <comment authorId="0" ref="H302">
      <text>
        <t xml:space="preserve">======
ID#AAABjx7qM5M
    (2025-05-21 11:33:23)
11/18 收到 US$233</t>
      </text>
    </comment>
    <comment authorId="0" ref="C7">
      <text>
        <t xml:space="preserve">======
ID#AAABjx7qM4Q
    (2025-05-21 11:33:23)
12/20追加 無PO及PI</t>
      </text>
    </comment>
    <comment authorId="0" ref="H102">
      <text>
        <t xml:space="preserve">======
ID#AAABjx7qM3E
    (2025-05-21 11:33:23)
with VAT 5%</t>
      </text>
    </comment>
    <comment authorId="0" ref="H203">
      <text>
        <t xml:space="preserve">======
ID#AAABjx7qM2k
    (2025-05-21 11:33:23)
1001 Santiago : 客戶1005 才會匯款. 先併入計算10月初獎金</t>
      </text>
    </comment>
    <comment authorId="0" ref="O380">
      <text>
        <t xml:space="preserve">======
ID#AAABjx7qM2M
    (2025-05-21 11:33:23)
12/15 Forster 已收貨</t>
      </text>
    </comment>
    <comment authorId="0" ref="G68">
      <text>
        <t xml:space="preserve">======
ID#AAABjx7qM1c
    (2025-05-21 11:33:23)
w/Tax</t>
      </text>
    </comment>
    <comment authorId="0" ref="G380">
      <text>
        <t xml:space="preserve">======
ID#AAABjx7qMx4
    (2025-05-21 11:33:23)
台幣報價，匯率用30計算</t>
      </text>
    </comment>
    <comment authorId="0" ref="H240">
      <text>
        <t xml:space="preserve">======
ID#AAABjx7qMsQ
    (2025-05-21 11:33:23)
1001 Santiago: 收到水單</t>
      </text>
    </comment>
    <comment authorId="0" ref="G80">
      <text>
        <t xml:space="preserve">======
ID#AAABjx7qMr0
    (2025-05-21 11:33:23)
w/VAT (NTS$ 9870)</t>
      </text>
    </comment>
    <comment authorId="0" ref="L177">
      <text>
        <t xml:space="preserve">======
ID#AAABjx7qMqk
    (2025-05-21 11:33:23)
公司名: ADITECH ICT PVT LTD.</t>
      </text>
    </comment>
    <comment authorId="0" ref="G92">
      <text>
        <t xml:space="preserve">======
ID#AAABj82dpOI
    (2025-05-21 11:33:23)
w/vat</t>
      </text>
    </comment>
    <comment authorId="0" ref="H206">
      <text>
        <t xml:space="preserve">======
ID#AAABj82dpLQ
    (2025-05-21 11:33:23)
匯率30</t>
      </text>
    </comment>
    <comment authorId="0" ref="G76">
      <text>
        <t xml:space="preserve">======
ID#AAABj82dpIc
    (2025-05-21 11:33:23)
在此輸入
w/ VAT</t>
      </text>
    </comment>
    <comment authorId="0" ref="G84">
      <text>
        <t xml:space="preserve">======
ID#AAABj82dpHg
    (2025-05-21 11:33:23)
w/VAT</t>
      </text>
    </comment>
    <comment authorId="0" ref="L60">
      <text>
        <t xml:space="preserve">======
ID#AAABj82dpGY
    (2025-05-21 11:33:23)
公司名: ADITECH ICT PVT LTD.</t>
      </text>
    </comment>
  </commentList>
  <extLst>
    <ext uri="GoogleSheetsCustomDataVersion2">
      <go:sheetsCustomData xmlns:go="http://customooxmlschemas.google.com/" r:id="rId1" roundtripDataSignature="AMtx7mjTWt4eJrkr076AY4XjkfOwsg+huA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13">
      <text>
        <t xml:space="preserve">======
ID#AAABjx7qWZs
    (2025-05-21 11:33:27)
w/Tax</t>
      </text>
    </comment>
    <comment authorId="0" ref="G90">
      <text>
        <t xml:space="preserve">======
ID#AAABjx7qWXA
    (2025-05-21 11:33:27)
w/Tax</t>
      </text>
    </comment>
    <comment authorId="0" ref="S61">
      <text>
        <t xml:space="preserve">======
ID#AAABjx7qWVc
    (2025-05-21 11:33:27)
7/24 付20790
這筆佔10962</t>
      </text>
    </comment>
    <comment authorId="0" ref="G92">
      <text>
        <t xml:space="preserve">======
ID#AAABjx7qWUA
    (2025-05-21 11:33:27)
w/Tax</t>
      </text>
    </comment>
    <comment authorId="0" ref="V138">
      <text>
        <t xml:space="preserve">======
ID#AAABjx7qWL4
    (2025-05-21 11:33:27)
重開發票20140102</t>
      </text>
    </comment>
    <comment authorId="0" ref="G87">
      <text>
        <t xml:space="preserve">======
ID#AAABjx7qWJY
    (2025-05-21 11:33:27)
w/ Tax</t>
      </text>
    </comment>
    <comment authorId="0" ref="H79">
      <text>
        <t xml:space="preserve">======
ID#AAABjx7qWEc
    (2025-05-21 11:33:27)
7/17收到水單</t>
      </text>
    </comment>
    <comment authorId="0" ref="H70">
      <text>
        <t xml:space="preserve">======
ID#AAABjx7qWA0
    (2025-05-21 11:33:27)
6/26收到貨款</t>
      </text>
    </comment>
    <comment authorId="0" ref="G131">
      <text>
        <t xml:space="preserve">======
ID#AAABjx7qV70
    (2025-05-21 11:33:27)
w/Tax</t>
      </text>
    </comment>
    <comment authorId="0" ref="H21">
      <text>
        <t xml:space="preserve">======
ID#AAABjx7qV7w
    (2025-05-21 11:33:27)
O/A 30 days
US$2000</t>
      </text>
    </comment>
    <comment authorId="0" ref="G103">
      <text>
        <t xml:space="preserve">======
ID#AAABjx7qVmQ
    (2025-05-21 11:33:27)
含5%稅</t>
      </text>
    </comment>
    <comment authorId="0" ref="G91">
      <text>
        <t xml:space="preserve">======
ID#AAABjx7qVhA
    (2025-05-21 11:33:27)
w/Tax</t>
      </text>
    </comment>
    <comment authorId="0" ref="G108">
      <text>
        <t xml:space="preserve">======
ID#AAABjx7qVYs
    (2025-05-21 11:33:27)
w/Tax</t>
      </text>
    </comment>
    <comment authorId="0" ref="G127">
      <text>
        <t xml:space="preserve">======
ID#AAABjx7qVHk
    (2025-05-21 11:33:27)
W/ TAX</t>
      </text>
    </comment>
    <comment authorId="0" ref="H93">
      <text>
        <t xml:space="preserve">======
ID#AAABjx7qVG4
    (2025-05-21 11:33:27)
OA 30</t>
      </text>
    </comment>
    <comment authorId="0" ref="G126">
      <text>
        <t xml:space="preserve">======
ID#AAABjx7qVC0
    (2025-05-21 11:33:27)
w/ TAX</t>
      </text>
    </comment>
    <comment authorId="0" ref="G61">
      <text>
        <t xml:space="preserve">======
ID#AAABjx7qVAk
    (2025-05-21 11:33:27)
w/ Tax</t>
      </text>
    </comment>
    <comment authorId="0" ref="S141">
      <text>
        <t xml:space="preserve">======
ID#AAABjx7qUuI
    (2025-05-21 11:33:26)
12/17
先付 36pcs , 1000x 36 x 1.05=37800 VAT
1/17 再付100pcs, 105000元, VAT</t>
      </text>
    </comment>
    <comment authorId="0" ref="G116">
      <text>
        <t xml:space="preserve">======
ID#AAABjx7qTlI
    (2025-05-21 11:33:26)
w/ Tax</t>
      </text>
    </comment>
    <comment authorId="0" ref="G135">
      <text>
        <t xml:space="preserve">======
ID#AAABjx7qTcA
    (2025-05-21 11:33:26)
w/Tax</t>
      </text>
    </comment>
    <comment authorId="0" ref="G140">
      <text>
        <t xml:space="preserve">======
ID#AAABjx7qTao
    (2025-05-21 11:33:26)
報錯價 正確為133.2</t>
      </text>
    </comment>
    <comment authorId="0" ref="G22">
      <text>
        <t xml:space="preserve">======
ID#AAABjx7qTVY
    (2025-05-21 11:33:26)
w/ Tax</t>
      </text>
    </comment>
    <comment authorId="0" ref="G27">
      <text>
        <t xml:space="preserve">======
ID#AAABjx7qTSk
    (2025-05-21 11:33:26)
w/ TAX</t>
      </text>
    </comment>
    <comment authorId="0" ref="H89">
      <text>
        <t xml:space="preserve">======
ID#AAABjx7qTLU
    (2025-05-21 11:33:26)
OA 30
9/16 收到匯款2188</t>
      </text>
    </comment>
    <comment authorId="0" ref="G26">
      <text>
        <t xml:space="preserve">======
ID#AAABjx7qTIc
    (2025-05-21 11:33:26)
w/ TAX</t>
      </text>
    </comment>
    <comment authorId="0" ref="S80">
      <text>
        <t xml:space="preserve">======
ID#AAABjx7qTAs
    (2025-05-21 11:33:26)
7/24 付69675, 
其中24675付在此筆</t>
      </text>
    </comment>
    <comment authorId="0" ref="G118">
      <text>
        <t xml:space="preserve">======
ID#AAABjx7qSuw
    (2025-05-21 11:33:26)
w/Tax</t>
      </text>
    </comment>
    <comment authorId="0" ref="G125">
      <text>
        <t xml:space="preserve">======
ID#AAABjx7qStg
    (2025-05-21 11:33:26)
w/Tax</t>
      </text>
    </comment>
    <comment authorId="0" ref="G23">
      <text>
        <t xml:space="preserve">======
ID#AAABjx7qSZU
    (2025-05-21 11:33:26)
w/ Tax</t>
      </text>
    </comment>
    <comment authorId="0" ref="J52">
      <text>
        <t xml:space="preserve">======
ID#AAABjx7qSYU
    (2025-05-21 11:33:26)
BCN 942854</t>
      </text>
    </comment>
    <comment authorId="0" ref="H140">
      <text>
        <t xml:space="preserve">======
ID#AAABjx7qSGg
    (2025-05-21 11:33:26)
C126 $5100+ C105 $1161 + C123 $369.6 =6630.6 1/20前付款</t>
      </text>
    </comment>
    <comment authorId="0" ref="V91">
      <text>
        <t xml:space="preserve">======
ID#AAABjx7qSDM
    (2025-05-21 11:33:25)
29.59</t>
      </text>
    </comment>
    <comment authorId="0" ref="S51">
      <text>
        <t xml:space="preserve">======
ID#AAABjx7qSCY
    (2025-05-21 11:33:25)
7/24 付69675, 
其中45000付在此筆
9/11 付60000</t>
      </text>
    </comment>
    <comment authorId="0" ref="G105">
      <text>
        <t xml:space="preserve">======
ID#AAABjx7qSB8
    (2025-05-21 11:33:25)
w/ 5% 的稅</t>
      </text>
    </comment>
    <comment authorId="0" ref="G124">
      <text>
        <t xml:space="preserve">======
ID#AAABjx7qR_M
    (2025-05-21 11:33:25)
w/Tax</t>
      </text>
    </comment>
    <comment authorId="0" ref="J94">
      <text>
        <t xml:space="preserve">======
ID#AAABjx7qR9s
    (2025-05-21 11:33:25)
BCN 942854</t>
      </text>
    </comment>
    <comment authorId="0" ref="J119">
      <text>
        <t xml:space="preserve">======
ID#AAABjx7qR70
    (2025-05-21 11:33:25)
10/30老闆確認付款</t>
      </text>
    </comment>
    <comment authorId="0" ref="H141">
      <text>
        <t xml:space="preserve">======
ID#AAABjx7qRro
    (2025-05-21 11:33:25)
C126 $5100+ C105 $1161 + C123 $369.6 =6630.6 1/20前付款</t>
      </text>
    </comment>
    <comment authorId="0" ref="H73">
      <text>
        <t xml:space="preserve">======
ID#AAABjx7qRqg
    (2025-05-21 11:33:25)
7/22 T/T</t>
      </text>
    </comment>
    <comment authorId="0" ref="G89">
      <text>
        <t xml:space="preserve">======
ID#AAABjx7qRW8
    (2025-05-21 11:33:25)
W/ Tax</t>
      </text>
    </comment>
    <comment authorId="0" ref="H51">
      <text>
        <t xml:space="preserve">======
ID#AAABjx7qRQU
    (2025-05-21 11:33:25)
7/19收到水單$1700
9/2 收到水單$2000</t>
      </text>
    </comment>
    <comment authorId="0" ref="H115">
      <text>
        <t xml:space="preserve">======
ID#AAABjx7qRPE
    (2025-05-21 11:33:25)
11/5 收到款項</t>
      </text>
    </comment>
    <comment authorId="0" ref="H72">
      <text>
        <t xml:space="preserve">======
ID#AAABjx7qRLU
    (2025-05-21 11:33:25)
7/22 T/T</t>
      </text>
    </comment>
    <comment authorId="0" ref="J33">
      <text>
        <t xml:space="preserve">======
ID#AAABjx7qRF0
    (2025-05-21 11:33:25)
運費240元</t>
      </text>
    </comment>
    <comment authorId="0" ref="P141">
      <text>
        <t xml:space="preserve">======
ID#AAABjx7qRCU
    (2025-05-21 11:33:25)
12/17 先付36pcs
1/17  再付100pcs</t>
      </text>
    </comment>
    <comment authorId="0" ref="G10">
      <text>
        <t xml:space="preserve">======
ID#AAABjx7qQ_0
    (2025-05-21 11:33:25)
w/ Tax</t>
      </text>
    </comment>
    <comment authorId="0" ref="J61">
      <text>
        <t xml:space="preserve">======
ID#AAABjx7qQ9s
    (2025-05-21 11:33:25)
運費90元</t>
      </text>
    </comment>
    <comment authorId="0" ref="U71">
      <text>
        <t xml:space="preserve">======
ID#AAABjx7qQ5U
    (2025-05-21 11:33:25)
電子發票，申請紙本發票中(發票無統編不可報帳)</t>
      </text>
    </comment>
    <comment authorId="0" ref="J59">
      <text>
        <t xml:space="preserve">======
ID#AAABjx7qQ3c
    (2025-05-21 11:33:25)
運費90元</t>
      </text>
    </comment>
    <comment authorId="0" ref="G132">
      <text>
        <t xml:space="preserve">======
ID#AAABjx7qQu4
    (2025-05-21 11:33:25)
w/Tax</t>
      </text>
    </comment>
    <comment authorId="0" ref="H84">
      <text>
        <t xml:space="preserve">======
ID#AAABjx7qQtE
    (2025-05-21 11:33:25)
O/A 30days
9/10 收到匯款4419</t>
      </text>
    </comment>
    <comment authorId="0" ref="H90">
      <text>
        <t xml:space="preserve">======
ID#AAABjx7qQjg
    (2025-05-21 11:33:25)
OA 30</t>
      </text>
    </comment>
    <comment authorId="0" ref="G93">
      <text>
        <t xml:space="preserve">======
ID#AAABjx7qQdk
    (2025-05-21 11:33:25)
w/Tax</t>
      </text>
    </comment>
    <comment authorId="0" ref="G58">
      <text>
        <t xml:space="preserve">======
ID#AAABjx7qQZA
    (2025-05-21 11:33:25)
w/ Tax</t>
      </text>
    </comment>
    <comment authorId="0" ref="G88">
      <text>
        <t xml:space="preserve">======
ID#AAABjx7qQVo
    (2025-05-21 11:33:25)
w/ Tax</t>
      </text>
    </comment>
    <comment authorId="0" ref="V90">
      <text>
        <t xml:space="preserve">======
ID#AAABjx7qQTQ
    (2025-05-21 11:33:25)
29.99</t>
      </text>
    </comment>
    <comment authorId="0" ref="G104">
      <text>
        <t xml:space="preserve">======
ID#AAABjx7qQNQ
    (2025-05-21 11:33:25)
含5%稅</t>
      </text>
    </comment>
    <comment authorId="0" ref="G59">
      <text>
        <t xml:space="preserve">======
ID#AAABjx7qQFE
    (2025-05-21 11:33:25)
w/ Tax</t>
      </text>
    </comment>
    <comment authorId="0" ref="H134">
      <text>
        <t xml:space="preserve">======
ID#AAABjx7qP0E
    (2025-05-21 11:33:24)
C126 $5100+ C105 $1161 + C123 $369.6 =6630.6 1/20前付款</t>
      </text>
    </comment>
    <comment authorId="0" ref="H133">
      <text>
        <t xml:space="preserve">======
ID#AAABjx7qPyg
    (2025-05-21 11:33:24)
12/30 已收到 US$615, 匯費約30美金</t>
      </text>
    </comment>
    <comment authorId="0" ref="S21">
      <text>
        <t xml:space="preserve">======
ID#AAABjx7qPkU
    (2025-05-21 11:33:24)
7/5 已付60,000
5/20 O/A 尚欠60,000</t>
      </text>
    </comment>
    <comment authorId="0" ref="H92">
      <text>
        <t xml:space="preserve">======
ID#AAABjx7qPd8
    (2025-05-21 11:33:24)
OA 30</t>
      </text>
    </comment>
    <comment authorId="0" ref="G60">
      <text>
        <t xml:space="preserve">======
ID#AAABjx7qPUw
    (2025-05-21 11:33:24)
w/ Tax</t>
      </text>
    </comment>
    <comment authorId="0" ref="G86">
      <text>
        <t xml:space="preserve">======
ID#AAABjx7qPTk
    (2025-05-21 11:33:24)
w/ Tax</t>
      </text>
    </comment>
    <comment authorId="0" ref="U63">
      <text>
        <t xml:space="preserve">======
ID#AAABjx7qPSI
    (2025-05-21 11:33:24)
匯率29.82</t>
      </text>
    </comment>
    <comment authorId="0" ref="S59">
      <text>
        <t xml:space="preserve">======
ID#AAABjx7qPPk
    (2025-05-21 11:33:24)
7/24 付20790
這筆佔9828</t>
      </text>
    </comment>
    <comment authorId="0" ref="H91">
      <text>
        <t xml:space="preserve">======
ID#AAABjx7qPOg
    (2025-05-21 11:33:24)
OA 30</t>
      </text>
    </comment>
    <comment authorId="0" ref="V125">
      <text>
        <t xml:space="preserve">======
ID#AAABjx7qPM4
    (2025-05-21 11:33:24)
匯率29.62</t>
      </text>
    </comment>
    <comment authorId="0" ref="H69">
      <text>
        <t xml:space="preserve">======
ID#AAABjx7qPHU
    (2025-05-21 11:33:24)
7/31 收到匯款</t>
      </text>
    </comment>
    <comment authorId="0" ref="V93">
      <text>
        <t xml:space="preserve">======
ID#AAABjx7qPFo
    (2025-05-21 11:33:24)
29.94</t>
      </text>
    </comment>
    <comment authorId="0" ref="V139">
      <text>
        <t xml:space="preserve">======
ID#AAABjx7qO24
    (2025-05-21 11:33:24)
29.54</t>
      </text>
    </comment>
    <comment authorId="0" ref="V98">
      <text>
        <t xml:space="preserve">======
ID#AAABjx7qOv8
    (2025-05-21 11:33:24)
GD683395605WW</t>
      </text>
    </comment>
    <comment authorId="0" ref="G117">
      <text>
        <t xml:space="preserve">======
ID#AAABjx7qOjc
    (2025-05-21 11:33:24)
w/ Tax</t>
      </text>
    </comment>
    <comment authorId="0" ref="V131">
      <text>
        <t xml:space="preserve">======
ID#AAABjx7qOiI
    (2025-05-21 11:33:24)
29.58</t>
      </text>
    </comment>
    <comment authorId="0" ref="G109">
      <text>
        <t xml:space="preserve">======
ID#AAABjx7qOS0
    (2025-05-21 11:33:24)
w/Tax</t>
      </text>
    </comment>
    <comment authorId="0" ref="H52">
      <text>
        <t xml:space="preserve">======
ID#AAABjx7qOQM
    (2025-05-21 11:33:24)
9/30 付USD 1700
11/5 付USD 2000</t>
      </text>
    </comment>
    <comment authorId="0" ref="G9">
      <text>
        <t xml:space="preserve">======
ID#AAABjx7qOM4
    (2025-05-21 11:33:24)
w/ Tax</t>
      </text>
    </comment>
    <comment authorId="0" ref="U69">
      <text>
        <t xml:space="preserve">======
ID#AAABjx7qOFY
    (2025-05-21 11:33:24)
匯率30.06</t>
      </text>
    </comment>
    <comment authorId="0" ref="G85">
      <text>
        <t xml:space="preserve">======
ID#AAABjx7qOCw
    (2025-05-21 11:33:24)
w/ Tax</t>
      </text>
    </comment>
    <comment authorId="0" ref="G123">
      <text>
        <t xml:space="preserve">======
ID#AAABjx7qN-8
    (2025-05-21 11:33:24)
w/Tax</t>
      </text>
    </comment>
    <comment authorId="0" ref="B58">
      <text>
        <t xml:space="preserve">======
ID#AAABjx7qNxY
    (2025-05-21 11:33:23)
中文: 芳慎企業有限公司</t>
      </text>
    </comment>
    <comment authorId="0" ref="V124">
      <text>
        <t xml:space="preserve">======
ID#AAABjx7qNv8
    (2025-05-21 11:33:23)
29.54</t>
      </text>
    </comment>
    <comment authorId="0" ref="S52">
      <text>
        <t xml:space="preserve">======
ID#AAABjx7qNbI
    (2025-05-21 11:33:23)
10/2 匯45000
11/7 匯60000</t>
      </text>
    </comment>
    <comment authorId="0" ref="G111">
      <text>
        <t xml:space="preserve">======
ID#AAABjx7qNNM
    (2025-05-21 11:33:23)
w/Tax</t>
      </text>
    </comment>
    <comment authorId="0" ref="G137">
      <text>
        <t xml:space="preserve">======
ID#AAABjx7qNL4
    (2025-05-21 11:33:23)
含5%稅</t>
      </text>
    </comment>
    <comment authorId="0" ref="J117">
      <text>
        <t xml:space="preserve">======
ID#AAABjx7qNIg
    (2025-05-21 11:33:23)
運費158元</t>
      </text>
    </comment>
    <comment authorId="0" ref="K98">
      <text>
        <t xml:space="preserve">======
ID#AAABjx7qNIY
    (2025-05-21 11:33:23)
尚未匯款</t>
      </text>
    </comment>
    <comment authorId="0" ref="G114">
      <text>
        <t xml:space="preserve">======
ID#AAABjx7qNGg
    (2025-05-21 11:33:23)
w/Tax</t>
      </text>
    </comment>
    <comment authorId="0" ref="G25">
      <text>
        <t xml:space="preserve">======
ID#AAABjx7qNFk
    (2025-05-21 11:33:23)
w/ TAX</t>
      </text>
    </comment>
    <comment authorId="0" ref="G78">
      <text>
        <t xml:space="preserve">======
ID#AAABjx7qNEY
    (2025-05-21 11:33:23)
w/ TAX</t>
      </text>
    </comment>
    <comment authorId="0" ref="G112">
      <text>
        <t xml:space="preserve">======
ID#AAABjx7qNDo
    (2025-05-21 11:33:23)
w/Tax</t>
      </text>
    </comment>
    <comment authorId="0" ref="G139">
      <text>
        <t xml:space="preserve">======
ID#AAABjx7qM6s
    (2025-05-21 11:33:23)
w/Tax</t>
      </text>
    </comment>
    <comment authorId="0" ref="G102">
      <text>
        <t xml:space="preserve">======
ID#AAABjx7qM3g
    (2025-05-21 11:33:23)
含5%稅</t>
      </text>
    </comment>
    <comment authorId="0" ref="H81">
      <text>
        <t xml:space="preserve">======
ID#AAABjx7qMtE
    (2025-05-21 11:33:23)
8/1 收到匯款</t>
      </text>
    </comment>
    <comment authorId="0" ref="K99">
      <text>
        <t xml:space="preserve">======
ID#AAABjx7qMr8
    (2025-05-21 11:33:23)
尚未匯款</t>
      </text>
    </comment>
    <comment authorId="0" ref="G138">
      <text>
        <t xml:space="preserve">======
ID#AAABj82dpOA
    (2025-05-21 11:33:23)
含5%稅</t>
      </text>
    </comment>
    <comment authorId="0" ref="G110">
      <text>
        <t xml:space="preserve">======
ID#AAABj82dpIU
    (2025-05-21 11:33:23)
w/Tax</t>
      </text>
    </comment>
  </commentList>
  <extLst>
    <ext uri="GoogleSheetsCustomDataVersion2">
      <go:sheetsCustomData xmlns:go="http://customooxmlschemas.google.com/" r:id="rId1" roundtripDataSignature="AMtx7mggcjyNSlfFurmkZl/I1aWlJ7EQwg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3">
      <text>
        <t xml:space="preserve">======
ID#AAABjx7qWIM
    (2025-05-21 11:33:27)
貨款US$300*10PCS+銀行手續費US$18.5 = US$3018.5 by Santiago_20120704</t>
      </text>
    </comment>
    <comment authorId="0" ref="S22">
      <text>
        <t xml:space="preserve">======
ID#AAABjx7qV7k
    (2025-05-21 11:33:27)
隨貨附產地証明</t>
      </text>
    </comment>
    <comment authorId="0" ref="J55">
      <text>
        <t xml:space="preserve">======
ID#AAABjx7qVZA
    (2025-05-21 11:33:27)
取件找如下聯絡人：
四零四科技股份有限公司 
新北市新店區寶橋路235巷128號5樓 
黃政傑先生(倉庫)
02-89191230-1869</t>
      </text>
    </comment>
    <comment authorId="0" ref="B44">
      <text>
        <t xml:space="preserve">======
ID#AAABjx7qVQ0
    (2025-05-21 11:33:27)
中文: 芳慎企業有限公司</t>
      </text>
    </comment>
    <comment authorId="0" ref="H58">
      <text>
        <t xml:space="preserve">======
ID#AAABjx7qVPs
    (2025-05-21 11:33:27)
放帳US$1500額度內</t>
      </text>
    </comment>
    <comment authorId="0" ref="H66">
      <text>
        <t xml:space="preserve">======
ID#AAABjx7qVBI
    (2025-05-21 11:33:27)
2013/01/15 已付US$150</t>
      </text>
    </comment>
    <comment authorId="0" ref="I66">
      <text>
        <t xml:space="preserve">======
ID#AAABjx7qTsY
    (2025-05-21 11:33:26)
報關日12/14</t>
      </text>
    </comment>
    <comment authorId="0" ref="P69">
      <text>
        <t xml:space="preserve">======
ID#AAABjx7qTYo
    (2025-05-21 11:33:26)
2013/01/11 已付</t>
      </text>
    </comment>
    <comment authorId="0" ref="D50">
      <text>
        <t xml:space="preserve">======
ID#AAABjx7qTV0
    (2025-05-21 11:33:26)
訂單金額超過US$1500, 客戶要求不付銀行手續費US$39. 已同意. 做INVOICE時要注意到</t>
      </text>
    </comment>
    <comment authorId="0" ref="P41">
      <text>
        <t xml:space="preserve">======
ID#AAABjx7qTKk
    (2025-05-21 11:33:26)
0828 付105000
1004 付105000</t>
      </text>
    </comment>
    <comment authorId="0" ref="P17">
      <text>
        <t xml:space="preserve">======
ID#AAABjx7qSyE
    (2025-05-21 11:33:26)
3項MOXA 合加的美金總額</t>
      </text>
    </comment>
    <comment authorId="0" ref="J57">
      <text>
        <t xml:space="preserve">======
ID#AAABjx7qSp4
    (2025-05-21 11:33:26)
取件找如下聯絡人：
四零四科技股份有限公司 
新北市新店區寶橋路235巷128號5樓 
黃政傑先生(倉庫)
02-89191230-1869</t>
      </text>
    </comment>
    <comment authorId="0" ref="Q65">
      <text>
        <t xml:space="preserve">======
ID#AAABjx7qSko
    (2025-05-21 11:33:26)
走貨運寄出故發票晚開</t>
      </text>
    </comment>
    <comment authorId="0" ref="J56">
      <text>
        <t xml:space="preserve">======
ID#AAABjx7qSgI
    (2025-05-21 11:33:26)
取件找如下聯絡人：
四零四科技股份有限公司 
新北市新店區寶橋路235巷128號5樓 
黃政傑先生(倉庫)
02-89191230-1869</t>
      </text>
    </comment>
    <comment authorId="0" ref="P9">
      <text>
        <t xml:space="preserve">======
ID#AAABjx7qSYg
    (2025-05-21 11:33:26)
尚欠放帳NT60,000
20121002 已匯出60,000</t>
      </text>
    </comment>
    <comment authorId="0" ref="H30">
      <text>
        <t xml:space="preserve">======
ID#AAABjx7qSCE
    (2025-05-21 11:33:25)
台幣含稅. 發票請開NT$22,523</t>
      </text>
    </comment>
    <comment authorId="0" ref="D41">
      <text>
        <t xml:space="preserve">======
ID#AAABjx7qR_4
    (2025-05-21 11:33:25)
0829 只出100片
1005出剩下100片</t>
      </text>
    </comment>
    <comment authorId="0" ref="C12">
      <text>
        <t xml:space="preserve">======
ID#AAABjx7qRpA
    (2025-05-21 11:33:25)
3/14 出貨. 請Maggie 在4/14 併 MMC PPS-200-27 x 300 一起收款</t>
      </text>
    </comment>
    <comment authorId="0" ref="F24">
      <text>
        <t xml:space="preserve">======
ID#AAABjx7qQnY
    (2025-05-21 11:33:25)
5/1 Chloe :與客戶回簽之pi不同數量
Santiago 5/2 註明: 後來MMC 有增加訂單到200 pcs. PI正等MMC回簽. 原PI 請作廢</t>
      </text>
    </comment>
    <comment authorId="0" ref="D12">
      <text>
        <t xml:space="preserve">======
ID#AAABjx7qQYA
    (2025-05-21 11:33:25)
3/14 出貨. 請Maggie 在4/14 併 MMC PPS-200-27 x 300 一起收款</t>
      </text>
    </comment>
    <comment authorId="0" ref="B64">
      <text>
        <t xml:space="preserve">======
ID#AAABjx7qQTo
    (2025-05-21 11:33:25)
中文: 芳慎企業有限公司</t>
      </text>
    </comment>
    <comment authorId="0" ref="H45">
      <text>
        <t xml:space="preserve">======
ID#AAABjx7qP2c
    (2025-05-21 11:33:24)
未含５％稅</t>
      </text>
    </comment>
    <comment authorId="0" ref="D44">
      <text>
        <t xml:space="preserve">======
ID#AAABjx7qP1U
    (2025-05-21 11:33:24)
7/12芳慎要求09A和09B一起出貨</t>
      </text>
    </comment>
    <comment authorId="0" ref="D45">
      <text>
        <t xml:space="preserve">======
ID#AAABjx7qPkM
    (2025-05-21 11:33:24)
7/12芳慎要求09A和09B一起出貨</t>
      </text>
    </comment>
    <comment authorId="0" ref="H67">
      <text>
        <t xml:space="preserve">======
ID#AAABjx7qPZc
    (2025-05-21 11:33:24)
2013/01/15/ 已付O/A
US$2000</t>
      </text>
    </comment>
    <comment authorId="0" ref="H74">
      <text>
        <t xml:space="preserve">======
ID#AAABjx7qPOA
    (2025-05-21 11:33:24)
2011- US187,990</t>
      </text>
    </comment>
    <comment authorId="0" ref="P8">
      <text>
        <t xml:space="preserve">======
ID#AAABjx7qPBQ
    (2025-05-21 11:33:24)
2 成訂金 40,000 已於 2/24付
8 成尾款170,000 已於4/19付</t>
      </text>
    </comment>
    <comment authorId="0" ref="P67">
      <text>
        <t xml:space="preserve">======
ID#AAABjx7qNtA
    (2025-05-21 11:33:23)
O/A 12/11放帳60000元
2013/01/16 已付60000元</t>
      </text>
    </comment>
    <comment authorId="0" ref="H44">
      <text>
        <t xml:space="preserve">======
ID#AAABjx7qNZw
    (2025-05-21 11:33:23)
未含５％稅</t>
      </text>
    </comment>
    <comment authorId="0" ref="J54">
      <text>
        <t xml:space="preserve">======
ID#AAABjx7qNQA
    (2025-05-21 11:33:23)
取件找如下聯絡人：
四零四科技股份有限公司 
新北市新店區寶橋路235巷128號5樓 
黃政傑先生(倉庫)
02-89191230-1869</t>
      </text>
    </comment>
    <comment authorId="0" ref="H40">
      <text>
        <t xml:space="preserve">======
ID#AAABjx7qNBE
    (2025-05-21 11:33:23)
台幣總價含稅為NT$53708, 稅為NT$2558, 單價為NT$51150</t>
      </text>
    </comment>
    <comment authorId="0" ref="B10">
      <text>
        <t xml:space="preserve">======
ID#AAABjx7qM3o
    (2025-05-21 11:33:23)
統編 53323697</t>
      </text>
    </comment>
    <comment authorId="0" ref="D37">
      <text>
        <t xml:space="preserve">======
ID#AAABjx7qMso
    (2025-05-21 11:33:23)
PI應為PI-20120524A. 但Amjad 忘記更新PI內的號碼. 為避免出口報關的問題. 將錯就錯. 就用舊的PI號碼</t>
      </text>
    </comment>
  </commentList>
  <extLst>
    <ext uri="GoogleSheetsCustomDataVersion2">
      <go:sheetsCustomData xmlns:go="http://customooxmlschemas.google.com/" r:id="rId1" roundtripDataSignature="AMtx7mgRgyvZufr6LFAJdyVuP6tWE62PoQ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5">
      <text>
        <t xml:space="preserve">======
ID#AAABjx7qQKQ
0314 Santiago    (2025-05-21 11:33:25)
1. US$100,0000
2. 未必有合作機會. 故先不列入額度</t>
      </text>
    </comment>
    <comment authorId="0" ref="D23">
      <text>
        <t xml:space="preserve">======
ID#AAABjx7qPNE
    (2025-05-21 11:33:24)
1.	We will change the O/A term to US$20,000 before 2019 Oct 1st.
2.	If the purchasing amount will reach 100,000 in 2020 Q2, let's increase it to US$30,000 / 1 months in 2020 July 1st.
3.	If the purchasing amount will reach 150,000 in 2021 Q3, let's increase it to US$40,000 / 1 months in 2021 July 1st.
4.	The above amount includes the placing order amount and shipping amount.
5.	O/A 30 days.
6.	Exclude NRE charge because NRE charge (tooling fee) must be paid next 1~2 weeks upon receiving PO, which is belonged to 4th party.</t>
      </text>
    </comment>
  </commentList>
  <extLst>
    <ext uri="GoogleSheetsCustomDataVersion2">
      <go:sheetsCustomData xmlns:go="http://customooxmlschemas.google.com/" r:id="rId1" roundtripDataSignature="AMtx7mgISTfgKdbQLmZWLaRa+N1g3ztypA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7">
      <text>
        <t xml:space="preserve">======
ID#AAABjx7qMsI
    (2025-05-21 11:33:23)
2011 含Dan 的出貨為 US187,990</t>
      </text>
    </comment>
  </commentList>
  <extLst>
    <ext uri="GoogleSheetsCustomDataVersion2">
      <go:sheetsCustomData xmlns:go="http://customooxmlschemas.google.com/" r:id="rId1" roundtripDataSignature="AMtx7mjz25SZMVtJBSLyYkZYVM4GgME6vw=="/>
    </ext>
  </extLst>
</comments>
</file>

<file path=xl/sharedStrings.xml><?xml version="1.0" encoding="utf-8"?>
<sst xmlns="http://schemas.openxmlformats.org/spreadsheetml/2006/main" count="68027" uniqueCount="14548">
  <si>
    <t xml:space="preserve"> </t>
  </si>
  <si>
    <t>Client 
客戶.</t>
  </si>
  <si>
    <t>PO No.
採購單號</t>
  </si>
  <si>
    <t>PI No.
確認訂單</t>
  </si>
  <si>
    <t>Model No.
產品名</t>
  </si>
  <si>
    <t>Q'nty
數量</t>
  </si>
  <si>
    <t>單價
 (含稅)</t>
  </si>
  <si>
    <t>Total Price 
總價 (含稅)</t>
  </si>
  <si>
    <t>Sales
業務</t>
  </si>
  <si>
    <t>Shipping 
運輸方式</t>
  </si>
  <si>
    <t>Delivery 
出貨日</t>
  </si>
  <si>
    <t>抵達戎克
/客戶</t>
  </si>
  <si>
    <t>Supplier
供應商</t>
  </si>
  <si>
    <t>廠商訂單/工單
(ERP單號)</t>
  </si>
  <si>
    <t>USD成本
單價(未稅)</t>
  </si>
  <si>
    <t>USD 
成本(含稅)</t>
  </si>
  <si>
    <t>台幣NTD
單價(未稅)</t>
  </si>
  <si>
    <t>NTD  
成本(含稅)</t>
  </si>
  <si>
    <t>Vendor Ac No
供應商銀行帳號</t>
  </si>
  <si>
    <t>Ex Pay Date
應付貨款到期日</t>
  </si>
  <si>
    <t>Invoice Date
廠商發票日期</t>
  </si>
  <si>
    <t>Invoice Number
廠商發票號碼</t>
  </si>
  <si>
    <t>Invoice 
廠商發票金額
(含稅)</t>
  </si>
  <si>
    <t>Payment Date
廠商付款確認</t>
  </si>
  <si>
    <t>進出口報關單號/ 客戶發票號碼</t>
  </si>
  <si>
    <t>Tracking No.
寄出快遞單號</t>
  </si>
  <si>
    <t>國內發票匯率</t>
  </si>
  <si>
    <t>Cus Inv Amount
國內客戶發票金額</t>
  </si>
  <si>
    <t xml:space="preserve"> Cus Inv Date
國內客戶發票寄出日</t>
  </si>
  <si>
    <t>國外匯款通知書</t>
  </si>
  <si>
    <t>出口報單匯率</t>
  </si>
  <si>
    <t>應收金額(NT)</t>
  </si>
  <si>
    <t>收款日期</t>
  </si>
  <si>
    <t>實收金額(NT)</t>
  </si>
  <si>
    <t>手續費
(NT)</t>
  </si>
  <si>
    <t>應收帳款狀態</t>
  </si>
  <si>
    <t>訂單狀態</t>
  </si>
  <si>
    <t>類別</t>
  </si>
  <si>
    <t>區域</t>
  </si>
  <si>
    <t>業績獎金計算月份</t>
  </si>
  <si>
    <t>Elektronix
(HATTELAND)</t>
  </si>
  <si>
    <t>PI-20190227I
(PI-20191009005)</t>
  </si>
  <si>
    <t>719_Core™ i7-3612QM
(向捷毅國際購買,交由新漢組裝)</t>
  </si>
  <si>
    <t>Tammy</t>
  </si>
  <si>
    <t>UPS EXPEDITED 1W5651</t>
  </si>
  <si>
    <t>捷毅國際到新漢組裝</t>
  </si>
  <si>
    <t>PO-20190227I-2</t>
  </si>
  <si>
    <t>渣打銀行南崁052-0281
033-53-00017001-5</t>
  </si>
  <si>
    <t>CU0957BF0077</t>
  </si>
  <si>
    <t>1913EESZ8RN</t>
  </si>
  <si>
    <t>已清帳</t>
  </si>
  <si>
    <t>買賣</t>
  </si>
  <si>
    <t>國外</t>
  </si>
  <si>
    <t>19V, 120W AC/DC power adapter w/o power cord (P/N: 7400120019X00)</t>
  </si>
  <si>
    <t>NEXCOM
新漢</t>
  </si>
  <si>
    <t>PO-20190227I-1</t>
  </si>
  <si>
    <t>玉山銀行連城分行0808940013208</t>
  </si>
  <si>
    <t>同AH2</t>
  </si>
  <si>
    <t>同AI2</t>
  </si>
  <si>
    <t>EU power cord (P/N: 60233POW39X00)</t>
  </si>
  <si>
    <r>
      <rPr>
        <rFont val="arial,sans,sans-serif"/>
        <color rgb="FF000000"/>
        <sz val="10.0"/>
      </rPr>
      <t xml:space="preserve">PI-20190227I
(PI-20191009005)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</si>
  <si>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719_NISE 3600E</t>
  </si>
  <si>
    <t>PI-20190227J
(PI-20191009006)</t>
  </si>
  <si>
    <t>PO-20190227J-2</t>
  </si>
  <si>
    <t>TN57563093</t>
  </si>
  <si>
    <t>同X269</t>
  </si>
  <si>
    <t>PO-20190227J-1</t>
  </si>
  <si>
    <t>同AH6</t>
  </si>
  <si>
    <t>同AI6</t>
  </si>
  <si>
    <r>
      <rPr>
        <rFont val="arial,sans,sans-serif"/>
        <color rgb="FF000000"/>
        <sz val="10.0"/>
      </rPr>
      <t xml:space="preserve">PI-20190227J
(PI-20191009006)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</si>
  <si>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PI-20190717B
(PI-20191009008)</t>
  </si>
  <si>
    <t>TBC</t>
  </si>
  <si>
    <t>PO-20190717B-2</t>
  </si>
  <si>
    <t>PO-20190717B-1</t>
  </si>
  <si>
    <t>同AH10</t>
  </si>
  <si>
    <t>同AI10</t>
  </si>
  <si>
    <r>
      <rPr>
        <rFont val="arial,sans,sans-serif"/>
        <color rgb="FF000000"/>
        <sz val="10.0"/>
      </rPr>
      <t xml:space="preserve">PI-20190717B
(PI-20191009008)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</si>
  <si>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Tpole</t>
  </si>
  <si>
    <t>PI-20191014005</t>
  </si>
  <si>
    <t>7006990001
719_FSP120-AHAN2</t>
  </si>
  <si>
    <t>TBD</t>
  </si>
  <si>
    <t>全漢</t>
  </si>
  <si>
    <t>PO-2019103100001</t>
  </si>
  <si>
    <t xml:space="preserve">Comintel  </t>
  </si>
  <si>
    <t>PO00065</t>
  </si>
  <si>
    <t>PI-20191030003</t>
  </si>
  <si>
    <r>
      <rPr>
        <rFont val="Arial"/>
        <color rgb="FF000000"/>
        <sz val="10.0"/>
      </rPr>
      <t>719_CFastCard8GB</t>
    </r>
    <r>
      <rPr>
        <rFont val="Arial"/>
        <color rgb="FF0000FF"/>
        <sz val="10.0"/>
      </rPr>
      <t xml:space="preserve"> 
w/ Debian 7 pre-installed</t>
    </r>
    <r>
      <rPr>
        <rFont val="Arial"/>
        <color rgb="FF000000"/>
        <sz val="10.0"/>
      </rPr>
      <t xml:space="preserve">
</t>
    </r>
    <r>
      <rPr>
        <rFont val="Arial"/>
        <b/>
        <color rgb="FF0000FF"/>
        <sz val="10.0"/>
      </rPr>
      <t>(須直接裝在系統內)</t>
    </r>
  </si>
  <si>
    <t>Yvonne</t>
  </si>
  <si>
    <t xml:space="preserve"> TBC</t>
  </si>
  <si>
    <t>2020年3月底前</t>
  </si>
  <si>
    <t>MOXA</t>
  </si>
  <si>
    <t>PO-2019110600002</t>
  </si>
  <si>
    <t>同P878</t>
  </si>
  <si>
    <t>同Q878</t>
  </si>
  <si>
    <t>匯豐台北分行(美金):081-0016
23881029170405</t>
  </si>
  <si>
    <t>同AI875</t>
  </si>
  <si>
    <t>同AJ875</t>
  </si>
  <si>
    <t>719_CBL-M12(FF5P)</t>
  </si>
  <si>
    <t>719_M12XMM8PRJ45</t>
  </si>
  <si>
    <r>
      <rPr>
        <rFont val="Arial"/>
        <color rgb="FF000000"/>
        <sz val="10.0"/>
      </rPr>
      <t xml:space="preserve">PI-20191030003
</t>
    </r>
    <r>
      <rPr>
        <rFont val="Arial"/>
        <b/>
        <color rgb="FF000000"/>
        <sz val="10.0"/>
      </rPr>
      <t xml:space="preserve">(成品回廠請確認又否安裝CFast Card於內) </t>
    </r>
  </si>
  <si>
    <t>719_V2406A-C2</t>
  </si>
  <si>
    <t>Ti2 Pty Ltd</t>
  </si>
  <si>
    <t>P191101NP0</t>
  </si>
  <si>
    <t>PI-20191104001( FAE Put DRAM Label )</t>
  </si>
  <si>
    <t>RES-3000 (M12) with Intel i7-8665UE</t>
  </si>
  <si>
    <t>AMY</t>
  </si>
  <si>
    <t>Elgens DHL A/C</t>
  </si>
  <si>
    <t>超恩</t>
  </si>
  <si>
    <t>PO-2019110400002</t>
  </si>
  <si>
    <t>719_D4S-8G24H518C2</t>
  </si>
  <si>
    <t>MemxPro敏博
到超恩組裝</t>
  </si>
  <si>
    <t xml:space="preserve">PO-2019110600001 </t>
  </si>
  <si>
    <t>VH37205034</t>
  </si>
  <si>
    <t>719_FES25-010MTS5J4C1  2.5" SSD 1TB</t>
  </si>
  <si>
    <t>同X890</t>
  </si>
  <si>
    <t>719_IP67 Rated DVI Cable</t>
  </si>
  <si>
    <t>719_IP67 Rated USB Cable</t>
  </si>
  <si>
    <t>719_IP67 Rated Ethernet Cable</t>
  </si>
  <si>
    <t>719_IP67 Rated COM Cable</t>
  </si>
  <si>
    <t>SA Electroequip</t>
  </si>
  <si>
    <t>PI-20191108001</t>
  </si>
  <si>
    <t>719_EDS-208A-SS-SC-T</t>
  </si>
  <si>
    <t>PGS Express/
柏域斯</t>
  </si>
  <si>
    <t>PO-2019111100002</t>
  </si>
  <si>
    <t>MAN-1911-129</t>
  </si>
  <si>
    <t>PI-20191112001</t>
  </si>
  <si>
    <t>719_NISE2300-M AtomD2550, incl 4GB RAM, Power adapter(7400065020X00) &amp; European Power cord        
(60233POW39X00) for NISE2300-M</t>
  </si>
  <si>
    <t>新漢</t>
  </si>
  <si>
    <t xml:space="preserve">PO-2019111500004 </t>
  </si>
  <si>
    <t>719_MB-NISE2300-M</t>
  </si>
  <si>
    <t>Aditech</t>
  </si>
  <si>
    <t>PO/IMP/0118</t>
  </si>
  <si>
    <t>PI-20191119002</t>
  </si>
  <si>
    <t>719_CP-168EL-A w/o cable</t>
  </si>
  <si>
    <t>DHL A/C No 
969740245</t>
  </si>
  <si>
    <t>PO-201911200002</t>
  </si>
  <si>
    <t>CX0922300ALF</t>
  </si>
  <si>
    <t>719_CBL-M68M9x8-100</t>
  </si>
  <si>
    <t>同AH29</t>
  </si>
  <si>
    <t>同AI29</t>
  </si>
  <si>
    <t>Aironix</t>
  </si>
  <si>
    <t>PO19000421</t>
  </si>
  <si>
    <t>PI-20191121001</t>
  </si>
  <si>
    <t>719_9999 21.5" touch replacement</t>
  </si>
  <si>
    <t>Cathy</t>
  </si>
  <si>
    <t>TNT # 39443 EXPRESS</t>
  </si>
  <si>
    <t>719-9998 21.5 stainless steel chassis replacement</t>
  </si>
  <si>
    <t>同AH31</t>
  </si>
  <si>
    <t>同AI31</t>
  </si>
  <si>
    <t>PI-20191125002</t>
  </si>
  <si>
    <t>Yvonne/Santiago</t>
  </si>
  <si>
    <t>PO-20191211003</t>
  </si>
  <si>
    <t>719_IKS-6726A-2GTXSFP-24-T</t>
  </si>
  <si>
    <t>PO-20191211002</t>
  </si>
  <si>
    <t>同AH33</t>
  </si>
  <si>
    <t>同AI33</t>
  </si>
  <si>
    <t>719_IM-6700A-2SSC4TX</t>
  </si>
  <si>
    <t>719_IM-6700A-8TX</t>
  </si>
  <si>
    <t>719_NPort S8455I-MM-SC-T</t>
  </si>
  <si>
    <t>PO-20191211001</t>
  </si>
  <si>
    <t>719_NPort 5650I-8-DT</t>
  </si>
  <si>
    <t>719_NPort 5450I-T</t>
  </si>
  <si>
    <t>719_EDS-408A-SS-SC-T</t>
  </si>
  <si>
    <t>719_NPort-5210A-T</t>
  </si>
  <si>
    <t>719_TCC-82</t>
  </si>
  <si>
    <t>719_TCF-142-M-ST</t>
  </si>
  <si>
    <t>719_NPort 5650I-8-DTL-T</t>
  </si>
  <si>
    <t>Anteor</t>
  </si>
  <si>
    <t>20191127-ELG01</t>
  </si>
  <si>
    <t>PI-20191128001</t>
  </si>
  <si>
    <t>LPC-P156WHOB-25SG3</t>
  </si>
  <si>
    <t>Santiago</t>
  </si>
  <si>
    <t xml:space="preserve">DHL: 951629194
EXPRESS </t>
  </si>
  <si>
    <t>CX0922300B63</t>
  </si>
  <si>
    <t>2nd year warranty</t>
  </si>
  <si>
    <t>同AH45</t>
  </si>
  <si>
    <t>同AI45</t>
  </si>
  <si>
    <t>719_D4S-8G24H1G8W1 DDR4 8GB, wide temp</t>
  </si>
  <si>
    <t>敏博</t>
  </si>
  <si>
    <t>戎克庫存</t>
  </si>
  <si>
    <t>PI-20191128003</t>
  </si>
  <si>
    <t>PI-20191203001</t>
  </si>
  <si>
    <t>70080Z0009
BTC013-MHF4-70-500
wifi cable</t>
  </si>
  <si>
    <t>FEDEX Int'l Priority # 20483387</t>
  </si>
  <si>
    <t>亞驪</t>
  </si>
  <si>
    <t>PO-20191204002</t>
  </si>
  <si>
    <t>華南商業銀行板新分行
175-10-0021788</t>
  </si>
  <si>
    <t>PI-20191204001</t>
  </si>
  <si>
    <t>123240
NISE50</t>
  </si>
  <si>
    <t>PI-20191204002</t>
  </si>
  <si>
    <t>20191206-ELG01</t>
  </si>
  <si>
    <t>PI-20191209001</t>
  </si>
  <si>
    <t>PI-20191211003</t>
  </si>
  <si>
    <t>1004700003
719_IB897-I45</t>
  </si>
  <si>
    <t>同AH51</t>
  </si>
  <si>
    <t>同AI51</t>
  </si>
  <si>
    <t xml:space="preserve"> PO19000442</t>
  </si>
  <si>
    <t>PI-20191216002</t>
  </si>
  <si>
    <t xml:space="preserve">719_UPORT 404 </t>
  </si>
  <si>
    <t>TNT # 39443  EXPRESS</t>
  </si>
  <si>
    <t>PO-20191220003</t>
  </si>
  <si>
    <t xml:space="preserve">719_ioLogik E1214-T </t>
  </si>
  <si>
    <r>
      <rPr>
        <rFont val="Arial"/>
        <color rgb="FF000000"/>
        <sz val="10.0"/>
      </rPr>
      <t xml:space="preserve"> PO19000442
</t>
    </r>
    <r>
      <rPr>
        <rFont val="Arial"/>
        <color rgb="FFFF0000"/>
        <sz val="10.0"/>
      </rPr>
      <t xml:space="preserve">PO20000021
(20200109 客人新增1PCS) </t>
    </r>
  </si>
  <si>
    <t xml:space="preserve">719_MGate MB3180 </t>
  </si>
  <si>
    <t xml:space="preserve">2020/2/7 14 PCS
2020/3/3 17PCS
2020/3/9 1PCS
</t>
  </si>
  <si>
    <t xml:space="preserve">2020/2/4 14 PCS
2020/2/26 17PCS
2020/3/3 1PCS </t>
  </si>
  <si>
    <t>PO-20191220003
PO-20200109001</t>
  </si>
  <si>
    <t>2020/01/30.2020/02/21</t>
  </si>
  <si>
    <t>PO19000458</t>
  </si>
  <si>
    <t>PI-20191216003</t>
  </si>
  <si>
    <t>719_CP-114EL-DB9M</t>
  </si>
  <si>
    <t>719_CP-168EL-A</t>
  </si>
  <si>
    <t xml:space="preserve">719_CBL-M68M9x8-100 </t>
  </si>
  <si>
    <t>NIJKERK Computer Solutions NV</t>
  </si>
  <si>
    <t>IG-19-1300894</t>
  </si>
  <si>
    <t>PI-20191219001</t>
  </si>
  <si>
    <t>719_CP-168EL-A-w/o</t>
  </si>
  <si>
    <t>UPS Express Saver A74-215</t>
  </si>
  <si>
    <t>PO-20191220004</t>
  </si>
  <si>
    <t xml:space="preserve">719_ZZ004 </t>
  </si>
  <si>
    <t>銀行手續費</t>
  </si>
  <si>
    <t>同AH64</t>
  </si>
  <si>
    <t>同AI64</t>
  </si>
  <si>
    <t>亞郁</t>
  </si>
  <si>
    <t>PO201912190022</t>
  </si>
  <si>
    <t>PI-20191220001</t>
  </si>
  <si>
    <t>719_Nport-5130
(us adapter)</t>
  </si>
  <si>
    <t>MOXA直送</t>
  </si>
  <si>
    <t>PO-20191220002</t>
  </si>
  <si>
    <t>Techjoa
科技國</t>
  </si>
  <si>
    <t>PO-191223-1</t>
  </si>
  <si>
    <t>PI-20191224002</t>
  </si>
  <si>
    <t>719_NPort 5650-8-DT w/ European adapter</t>
  </si>
  <si>
    <t>Moxa</t>
  </si>
  <si>
    <t>PO-20191224001</t>
  </si>
  <si>
    <t>PO/IMP/0137</t>
  </si>
  <si>
    <t>PI-20191224003</t>
  </si>
  <si>
    <t xml:space="preserve">719_EDS-205 </t>
  </si>
  <si>
    <t>PO-20191226001</t>
  </si>
  <si>
    <t xml:space="preserve">719_Uport-1150(84733099) </t>
  </si>
  <si>
    <t>PO-20191224003</t>
  </si>
  <si>
    <t>719_NPORT-5150 (84715000) /EU</t>
  </si>
  <si>
    <t>719_Nport-5110 W/EU Adaptor (84715000)</t>
  </si>
  <si>
    <t>PO-20191224004</t>
  </si>
  <si>
    <t>719_UPORT-1130</t>
  </si>
  <si>
    <t xml:space="preserve">PO19000489
</t>
  </si>
  <si>
    <t>PI-20191227001</t>
  </si>
  <si>
    <t>719_NPort-5450I</t>
  </si>
  <si>
    <t xml:space="preserve">Cathy </t>
  </si>
  <si>
    <t>PO-20200107001</t>
  </si>
  <si>
    <t>Itecs (Japan)</t>
  </si>
  <si>
    <t>PO191227-1</t>
  </si>
  <si>
    <t>PI-20191227002</t>
  </si>
  <si>
    <t>719_TPM-68156040002</t>
  </si>
  <si>
    <t>DHL account #  966674875</t>
  </si>
  <si>
    <t>亞磊</t>
  </si>
  <si>
    <t>PO-20191231001</t>
  </si>
  <si>
    <t>銀行:富邦銀行-板橋分行
台幣帳號:721120308296</t>
  </si>
  <si>
    <t>PI-20191230001</t>
  </si>
  <si>
    <t>PGS</t>
  </si>
  <si>
    <t>PO-20191230002</t>
  </si>
  <si>
    <t>PI-20191231001</t>
  </si>
  <si>
    <t>719_ZZ019
DHL Freight (PI-20191127001&amp;PI-20191213001)</t>
  </si>
  <si>
    <t>DHL</t>
  </si>
  <si>
    <t>上旬</t>
  </si>
  <si>
    <t>下旬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</si>
  <si>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</si>
  <si>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1月匯率</t>
  </si>
  <si>
    <t>2月匯率</t>
  </si>
  <si>
    <t>3月匯率</t>
  </si>
  <si>
    <t>4月匯率</t>
  </si>
  <si>
    <t>5月匯率</t>
  </si>
  <si>
    <t>6月匯率</t>
  </si>
  <si>
    <t>7月匯率</t>
  </si>
  <si>
    <t>8月匯率</t>
  </si>
  <si>
    <t>9月匯率</t>
  </si>
  <si>
    <t>10月匯率</t>
  </si>
  <si>
    <t>11月匯率</t>
  </si>
  <si>
    <t>12月匯率</t>
  </si>
  <si>
    <t>日期</t>
  </si>
  <si>
    <t>PI-20180822B</t>
  </si>
  <si>
    <t>719_AU Power cord (SL-16+SL-3)</t>
  </si>
  <si>
    <t>暫放客供料倉</t>
  </si>
  <si>
    <t>GE06187919</t>
  </si>
  <si>
    <t>V</t>
  </si>
  <si>
    <t>已結案</t>
  </si>
  <si>
    <t>專案</t>
  </si>
  <si>
    <t>P180904NP1</t>
  </si>
  <si>
    <t>PI-20180906D</t>
  </si>
  <si>
    <t>719_SPC-3520-300U 
(S/N.Q18A525001~3)</t>
  </si>
  <si>
    <t>ElgensDHL</t>
  </si>
  <si>
    <t>KY38209905</t>
  </si>
  <si>
    <t>719_Din rail bracket</t>
  </si>
  <si>
    <t>719_2 years additional warranty</t>
  </si>
  <si>
    <t>PI-20181017A</t>
  </si>
  <si>
    <t>40021F0001
LPC-P10110TE</t>
  </si>
  <si>
    <t>取消</t>
  </si>
  <si>
    <t>D3SS56161XL12AB</t>
  </si>
  <si>
    <t>PI-20181017B</t>
  </si>
  <si>
    <t>Da</t>
  </si>
  <si>
    <t>P181019NP0</t>
  </si>
  <si>
    <r>
      <rPr>
        <rFont val="Arial"/>
        <color rgb="FF000000"/>
        <sz val="10.0"/>
      </rPr>
      <t>PI-20181022C-1
(IQC/DRAM</t>
    </r>
    <r>
      <rPr>
        <rFont val="微軟正黑體"/>
        <color rgb="FF000000"/>
        <sz val="10.0"/>
      </rPr>
      <t>標籤</t>
    </r>
    <r>
      <rPr>
        <rFont val="Arial"/>
        <color rgb="FF000000"/>
        <sz val="10.0"/>
      </rPr>
      <t>)</t>
    </r>
  </si>
  <si>
    <t xml:space="preserve">719_D4S8GHIOFFC </t>
  </si>
  <si>
    <t>Amy</t>
  </si>
  <si>
    <t>JB37420843</t>
  </si>
  <si>
    <t>5月</t>
  </si>
  <si>
    <r>
      <rPr>
        <rFont val="Arial"/>
        <b/>
        <color rgb="FF0000FF"/>
        <sz val="10.0"/>
      </rPr>
      <t>PI-20181022C-1
(IQC/DRAM</t>
    </r>
    <r>
      <rPr>
        <rFont val="微軟正黑體"/>
        <b/>
        <color rgb="FF0000FF"/>
        <sz val="10.0"/>
      </rPr>
      <t>標籤</t>
    </r>
    <r>
      <rPr>
        <rFont val="Arial"/>
        <b/>
        <color rgb="FF0000FF"/>
        <sz val="10.0"/>
      </rPr>
      <t>)</t>
    </r>
  </si>
  <si>
    <r>
      <rPr>
        <rFont val="Arial"/>
        <color theme="1"/>
        <sz val="10.0"/>
      </rPr>
      <t xml:space="preserve">719_SPC-3520-300U
</t>
    </r>
    <r>
      <rPr>
        <rFont val="Arial"/>
        <color rgb="FF0000FF"/>
        <sz val="10.0"/>
      </rPr>
      <t>(S/N:Q18A525005~14)</t>
    </r>
  </si>
  <si>
    <t>MV38071604</t>
  </si>
  <si>
    <t>PI-20181022C-1
(IQC/FAE+DRAM標籤)</t>
  </si>
  <si>
    <t>719_Din rail bracket for SPC-2000</t>
  </si>
  <si>
    <t>PI-20181022C-2
(IQC/FAE+DRAM標籤)</t>
  </si>
  <si>
    <r>
      <rPr>
        <rFont val="Arial"/>
        <color theme="1"/>
        <sz val="10.0"/>
      </rPr>
      <t xml:space="preserve">719_SPC-3520-300U
</t>
    </r>
    <r>
      <rPr>
        <rFont val="Arial"/>
        <color rgb="FFFF0000"/>
        <sz val="10.0"/>
      </rPr>
      <t>(S/N:Q19A525001~6/Q18A525017~20)</t>
    </r>
  </si>
  <si>
    <t>MV38071629</t>
  </si>
  <si>
    <t>PI-20181026B</t>
  </si>
  <si>
    <t>1001700001
IB970RF V1.1</t>
  </si>
  <si>
    <t>TNT Economy Service 182056</t>
  </si>
  <si>
    <t>MK84254031</t>
  </si>
  <si>
    <t>1001700002
IB970 (standard BIOS)</t>
  </si>
  <si>
    <t>PI-20181031A-2</t>
  </si>
  <si>
    <t>07-ED0-PA90150-RG1A
 RG58 adapter 12V 90W(客供料)</t>
  </si>
  <si>
    <t>KY34928571</t>
  </si>
  <si>
    <t>PO-1642018</t>
  </si>
  <si>
    <t>PI-20181207A-2</t>
  </si>
  <si>
    <t>LY18392924</t>
  </si>
  <si>
    <t>719_IM-6700A-4SSC2TX</t>
  </si>
  <si>
    <t>Elektronix</t>
  </si>
  <si>
    <t>PI-20181210B</t>
  </si>
  <si>
    <t>719_NISE2300-M AtomD2550, incl 4GB RAM</t>
  </si>
  <si>
    <t xml:space="preserve">台灣泛亞班拿股份有限公司 </t>
  </si>
  <si>
    <t>KY34768220</t>
  </si>
  <si>
    <r>
      <rPr>
        <rFont val="Arial"/>
        <color theme="1"/>
        <sz val="10.0"/>
      </rPr>
      <t>Power adapter</t>
    </r>
    <r>
      <rPr>
        <rFont val="Arial"/>
        <color rgb="FFFF0000"/>
        <sz val="10.0"/>
      </rPr>
      <t>(7400065020X00)</t>
    </r>
    <r>
      <rPr>
        <rFont val="Arial"/>
        <color rgb="FF000000"/>
        <sz val="10.0"/>
      </rPr>
      <t xml:space="preserve"> &amp; European Power cord        
</t>
    </r>
    <r>
      <rPr>
        <rFont val="Arial"/>
        <color rgb="FFFF0000"/>
        <sz val="10.0"/>
      </rPr>
      <t>(60233POW39X00)</t>
    </r>
    <r>
      <rPr>
        <rFont val="Arial"/>
        <color rgb="FF000000"/>
        <sz val="10.0"/>
      </rPr>
      <t xml:space="preserve"> for NISE2300-M</t>
    </r>
  </si>
  <si>
    <t>LA57562165</t>
  </si>
  <si>
    <r>
      <rPr>
        <rFont val="arial,sans,sans-serif"/>
        <color rgb="FF000000"/>
        <sz val="10.0"/>
      </rPr>
      <t xml:space="preserve">PI-20181210B
</t>
    </r>
    <r>
      <rPr>
        <rFont val="arial,sans,sans-serif"/>
        <b/>
        <color rgb="FF0000FF"/>
        <sz val="10.0"/>
      </rPr>
      <t>(IQC檢驗CPU)</t>
    </r>
  </si>
  <si>
    <t>Q181212NP0</t>
  </si>
  <si>
    <t>PI-20181212A</t>
  </si>
  <si>
    <t>D4SAGHLPGFC 16GB DDR4 DRAM ( Normal Temp. )</t>
  </si>
  <si>
    <t>JB37420927</t>
  </si>
  <si>
    <t>PWA-120W - 120W, 24V, 90V AC to 264V AC Power Adapter with 3-pin Terminal Block</t>
  </si>
  <si>
    <t>JB38633752</t>
  </si>
  <si>
    <t>Intel® Core i7-6700TE</t>
  </si>
  <si>
    <t>JD77103204</t>
  </si>
  <si>
    <t>Mini PCIe WiFI+Antenna.</t>
  </si>
  <si>
    <t>KY34868151</t>
  </si>
  <si>
    <t>PI-20181212A 
(加DRAM/CPU &amp; 貼紙)</t>
  </si>
  <si>
    <t>Neousys 5006LP - Intel® 6th-Gen Skylake Core i7/i5 Fanless bare bone system
(S/N.J0121049)</t>
  </si>
  <si>
    <t>PI-20181212A-F</t>
  </si>
  <si>
    <t>DHL Freight</t>
  </si>
  <si>
    <t>MD72019337</t>
  </si>
  <si>
    <t>Q181212NP1</t>
  </si>
  <si>
    <t>PI-20181212B
(組裝)</t>
  </si>
  <si>
    <t xml:space="preserve">719_HPCI-14S12U
 </t>
  </si>
  <si>
    <t>KR47862761</t>
  </si>
  <si>
    <t xml:space="preserve">719_APS935XA-EPS12/FSP350-60PFG(EA)
</t>
  </si>
  <si>
    <t>719_RK-610A-W</t>
  </si>
  <si>
    <t>719_Mounting plate (2.5 to 3.5)</t>
  </si>
  <si>
    <t>719_44 pin to 40 converter cable</t>
  </si>
  <si>
    <t>719_IDE cable 45 cm</t>
  </si>
  <si>
    <t>719_AU Power cord(客供料倉)</t>
  </si>
  <si>
    <t>719_Assembly</t>
  </si>
  <si>
    <t>PI-20181212C</t>
  </si>
  <si>
    <t>CRK18121001_A0
USB CABLE</t>
  </si>
  <si>
    <t>7008000004
(AS-25C-RS)</t>
  </si>
  <si>
    <t>KS01353715</t>
  </si>
  <si>
    <t>Q181212NP2</t>
  </si>
  <si>
    <t>PI-20181212D</t>
  </si>
  <si>
    <t>719-Moxa ioLogik E1212
(S/N 請見備註)</t>
  </si>
  <si>
    <t>LY18392925</t>
  </si>
  <si>
    <t>PI-20181212D
(加DRAM &amp; 貼紙)</t>
  </si>
  <si>
    <t>719_DDS8GHIMBFC (0- 85°C)
8G DDR3L SO-DIMM (0- 85°C)</t>
  </si>
  <si>
    <r>
      <rPr>
        <rFont val="Arial"/>
        <b/>
        <color rgb="FF0000FF"/>
        <sz val="10.0"/>
      </rPr>
      <t>PI-20181212D
(</t>
    </r>
    <r>
      <rPr>
        <rFont val="微軟正黑體"/>
        <b/>
        <color rgb="FF0000FF"/>
        <sz val="10.0"/>
      </rPr>
      <t>加</t>
    </r>
    <r>
      <rPr>
        <rFont val="Arial"/>
        <b/>
        <color rgb="FF0000FF"/>
        <sz val="10.0"/>
      </rPr>
      <t xml:space="preserve">DRAM &amp; </t>
    </r>
    <r>
      <rPr>
        <rFont val="微軟正黑體"/>
        <b/>
        <color rgb="FF0000FF"/>
        <sz val="10.0"/>
      </rPr>
      <t>貼紙</t>
    </r>
    <r>
      <rPr>
        <rFont val="Arial"/>
        <b/>
        <color rgb="FF0000FF"/>
        <sz val="10.0"/>
      </rPr>
      <t>)</t>
    </r>
  </si>
  <si>
    <t xml:space="preserve">719_POC-210  
(S/N.J0321589~1602, J0321606~1609)*18PCS
(S/N.13911653,13919738)*2PCS(戎克庫存)  </t>
  </si>
  <si>
    <t>KY34868157</t>
  </si>
  <si>
    <t>Jet One
捷毅</t>
  </si>
  <si>
    <t>PI-20181217A</t>
  </si>
  <si>
    <t>CP-132UL-DB9M</t>
  </si>
  <si>
    <t xml:space="preserve"> LY18392770</t>
  </si>
  <si>
    <t>國內</t>
  </si>
  <si>
    <t>Hectronic</t>
  </si>
  <si>
    <t>PI-20181218A</t>
  </si>
  <si>
    <t>CG-070W-AROB</t>
  </si>
  <si>
    <t>UPS /Expedited
: WF1740</t>
  </si>
  <si>
    <t>KY53482978</t>
  </si>
  <si>
    <t>7" LCD Mitsubishi(AA070ME01)</t>
  </si>
  <si>
    <t>330-18120708</t>
  </si>
  <si>
    <t>PI-20181219A</t>
  </si>
  <si>
    <t>7900000062X00 
(719_Uport 404 w/European adapter)</t>
  </si>
  <si>
    <t>LY18393022</t>
  </si>
  <si>
    <t>P181220NP2</t>
  </si>
  <si>
    <r>
      <rPr>
        <rFont val="Arial"/>
        <b/>
        <color rgb="FF0000FF"/>
        <sz val="10.0"/>
      </rPr>
      <t>PI-20181221A-1
(IQC+DRAM</t>
    </r>
    <r>
      <rPr>
        <rFont val="微軟正黑體"/>
        <b/>
        <color rgb="FF0000FF"/>
        <sz val="10.0"/>
      </rPr>
      <t>標籤</t>
    </r>
    <r>
      <rPr>
        <rFont val="Arial"/>
        <b/>
        <color rgb="FF0000FF"/>
        <sz val="10.0"/>
      </rPr>
      <t>)</t>
    </r>
  </si>
  <si>
    <r>
      <rPr>
        <rFont val="Arial"/>
        <color rgb="FF000000"/>
        <sz val="10.0"/>
      </rPr>
      <t xml:space="preserve">719_ECX-1000-2R
</t>
    </r>
    <r>
      <rPr>
        <rFont val="Arial"/>
        <color rgb="FFFF0000"/>
        <sz val="10.0"/>
      </rPr>
      <t>S/N.K18G110039~41</t>
    </r>
  </si>
  <si>
    <t>KY38209935</t>
  </si>
  <si>
    <t>PI-20181221A-1
(IQC+DRAM標籤)</t>
  </si>
  <si>
    <t>719_Intel i5-8500T ( Vecow )</t>
  </si>
  <si>
    <t xml:space="preserve">719_D4S8GHLOFEC DDR4 8G </t>
  </si>
  <si>
    <t>PO-20180514A -3已付款</t>
  </si>
  <si>
    <t>PI-20181221A-2
(IQC+DRAM標籤)</t>
  </si>
  <si>
    <t>MV38071624</t>
  </si>
  <si>
    <t>4月</t>
  </si>
  <si>
    <r>
      <rPr>
        <rFont val="Arial"/>
        <color rgb="FF000000"/>
        <sz val="10.0"/>
      </rPr>
      <t xml:space="preserve">719_ECX-1000-2R
</t>
    </r>
    <r>
      <rPr>
        <rFont val="Arial"/>
        <color rgb="FFFF0000"/>
        <sz val="10.0"/>
      </rPr>
      <t>S/N.K18G110054~56</t>
    </r>
  </si>
  <si>
    <t>ALCOM</t>
  </si>
  <si>
    <t>PO138611-1</t>
  </si>
  <si>
    <t>PI-20181224A</t>
  </si>
  <si>
    <t>719_CP-118EL-A</t>
  </si>
  <si>
    <t>TNT account: 101009</t>
  </si>
  <si>
    <t>LY18393027</t>
  </si>
  <si>
    <t>Koning &amp; Hartman
(Nederlands)</t>
  </si>
  <si>
    <t>PI-20181224B</t>
  </si>
  <si>
    <t>719_ADAM-4520-EE</t>
  </si>
  <si>
    <t>DHL 
A/C No : 969740245</t>
  </si>
  <si>
    <t>LA40233211</t>
  </si>
  <si>
    <t>PO-1742018</t>
  </si>
  <si>
    <t>PI-20181224C</t>
  </si>
  <si>
    <t>LY18393231</t>
  </si>
  <si>
    <t xml:space="preserve">719_IM-6700A-8TX        </t>
  </si>
  <si>
    <t>719_IM-6700A-2S-SC4TX</t>
  </si>
  <si>
    <t>Datasol</t>
  </si>
  <si>
    <t>3902-CR5127
-CR5136</t>
  </si>
  <si>
    <t>PI-20181224D</t>
  </si>
  <si>
    <t>719_MB-215-94 V1</t>
  </si>
  <si>
    <t>Charles</t>
  </si>
  <si>
    <t>TBCE&amp;E Transport
 International Co., Ltd.</t>
  </si>
  <si>
    <t>T/T</t>
  </si>
  <si>
    <t>KY53552203</t>
  </si>
  <si>
    <t>719_IDK-1121WR-30FHA1E</t>
  </si>
  <si>
    <t>LA40233620</t>
  </si>
  <si>
    <t>719_CP-134EL-A-I-DB9M 
with 719_CBL-M44M9x4-50</t>
  </si>
  <si>
    <t>LY18392926</t>
  </si>
  <si>
    <t>PI-20190102A</t>
  </si>
  <si>
    <t>719_CP-132EL-I-DB9M</t>
  </si>
  <si>
    <t>NV18392761</t>
  </si>
  <si>
    <t>PI-20190104A</t>
  </si>
  <si>
    <t>KY34768275</t>
  </si>
  <si>
    <t xml:space="preserve">PI-20190104A     </t>
  </si>
  <si>
    <t>LA57562447</t>
  </si>
  <si>
    <r>
      <rPr>
        <rFont val="arial,sans,sans-serif"/>
        <color rgb="FF000000"/>
        <sz val="10.0"/>
      </rPr>
      <t xml:space="preserve">PI-20190104A                         
</t>
    </r>
    <r>
      <rPr>
        <rFont val="arial,sans,sans-serif"/>
        <b/>
        <color rgb="FF0000FF"/>
        <sz val="10.0"/>
      </rPr>
      <t xml:space="preserve">(IQC檢驗CPU)  </t>
    </r>
    <r>
      <rPr>
        <rFont val="arial,sans,sans-serif"/>
        <color rgb="FF000000"/>
        <sz val="10.0"/>
      </rPr>
      <t xml:space="preserve">         </t>
    </r>
  </si>
  <si>
    <t>PI-20190107A</t>
  </si>
  <si>
    <t>719_6EU-00031 (Win10 IoT Ent LTSB 2016 MultiLang OEI Entry (ESD)</t>
  </si>
  <si>
    <t>DHL Elgens account</t>
  </si>
  <si>
    <t>LA57562980</t>
  </si>
  <si>
    <t>6月</t>
  </si>
  <si>
    <r>
      <rPr>
        <rFont val="Arial"/>
        <color rgb="FF000000"/>
        <sz val="10.0"/>
      </rPr>
      <t xml:space="preserve">LPC-P121W-16VYRG
</t>
    </r>
    <r>
      <rPr>
        <rFont val="Arial"/>
        <color rgb="FF0000FF"/>
        <sz val="10.0"/>
      </rPr>
      <t>(S/N:PD20190107A0001)</t>
    </r>
  </si>
  <si>
    <t>WFK-524- WiFi Module kits with full-size miniPCIe extension bracket</t>
  </si>
  <si>
    <t>719_D4S8GHLOFEC
8GB DDR4 DRAM ( Normal Temp )</t>
  </si>
  <si>
    <t>719_MI3EM5125602EN 
 (256GB SSD -25 ~+85 ℃)</t>
  </si>
  <si>
    <t>07-AE0-W16W600-001A
 WiFi cable for extension</t>
  </si>
  <si>
    <t>PI-20190107B</t>
  </si>
  <si>
    <t>NRE Charge for LPC-P121W-16VYRG</t>
  </si>
  <si>
    <t>PI-20190107C</t>
  </si>
  <si>
    <r>
      <rPr>
        <rFont val="Arial"/>
        <color rgb="FF000000"/>
        <sz val="10.0"/>
      </rPr>
      <t xml:space="preserve">LPC-P121W-10VYRG
</t>
    </r>
    <r>
      <rPr>
        <rFont val="Arial"/>
        <color rgb="FFFF0000"/>
        <sz val="10.0"/>
      </rPr>
      <t>S/N:PD20181217A0001~2</t>
    </r>
  </si>
  <si>
    <t>719_TSIGSK64W6H
 (8GB DDR3L DRAM Normal Temp)</t>
  </si>
  <si>
    <t>PO/IMP/115</t>
  </si>
  <si>
    <t>PI-20190107D</t>
  </si>
  <si>
    <t>719_Uport-1150</t>
  </si>
  <si>
    <t>DHL Account 
No.950245025</t>
  </si>
  <si>
    <t>LY18393197</t>
  </si>
  <si>
    <t>PO-1802018</t>
  </si>
  <si>
    <t>PI-20190108A</t>
  </si>
  <si>
    <t>719_EDS-408A-3S-SC-T</t>
  </si>
  <si>
    <t>LY18393230</t>
  </si>
  <si>
    <t>PO-190108</t>
  </si>
  <si>
    <t>PI-20190108B</t>
  </si>
  <si>
    <t>NPort 5650-8-DT w/ European adapter</t>
  </si>
  <si>
    <t>LY18393158</t>
  </si>
  <si>
    <t>ACTE AS</t>
  </si>
  <si>
    <t>PI-20190111A</t>
  </si>
  <si>
    <t>719_MPC-MD-2-24-VESAMTK</t>
  </si>
  <si>
    <t>TNT economy
002016562</t>
  </si>
  <si>
    <t>LY18394003</t>
  </si>
  <si>
    <t>PI-20190111A
(FAE組裝)</t>
  </si>
  <si>
    <t>719_M3S0-8GSSDLPC
(8GB DRAM )</t>
  </si>
  <si>
    <t>LA42930071</t>
  </si>
  <si>
    <t>719_DES25-A28M41BC1DC
(128GB SSD)</t>
  </si>
  <si>
    <t>719_6EU-00034 
(Win10 IoT LTSB EPKEA)</t>
  </si>
  <si>
    <t>LA57562896</t>
  </si>
  <si>
    <t xml:space="preserve">PI-20190111A
(FAE組裝)
</t>
  </si>
  <si>
    <t>719_MPC-2247Z 24" Panel PC -Marine certified, with MPC-MD-2-24-VESAMTK</t>
  </si>
  <si>
    <t>PI-20190114A</t>
  </si>
  <si>
    <t>70080Z0006
BTC013-1-79-500 
(WiFi Cable)</t>
  </si>
  <si>
    <t>UX logistics</t>
  </si>
  <si>
    <t>PI-20190116A</t>
  </si>
  <si>
    <t>719_ADAM-6050-D</t>
  </si>
  <si>
    <t xml:space="preserve">DHL A/C No : 
 969740245 </t>
  </si>
  <si>
    <t>LA40233738</t>
  </si>
  <si>
    <t>719_ADAM-4055-BE</t>
  </si>
  <si>
    <t>719_PCI-1760U-BE</t>
  </si>
  <si>
    <t>PI-20180906D-F</t>
  </si>
  <si>
    <t>MD72024870</t>
  </si>
  <si>
    <t>P190118NP0</t>
  </si>
  <si>
    <t>PI-20190118A</t>
  </si>
  <si>
    <t>719_750-8212 PFC200 (WAGO)</t>
  </si>
  <si>
    <t>首次T/T,第二次當月結30天</t>
  </si>
  <si>
    <t>LM15593311</t>
  </si>
  <si>
    <t>719_750-375 FC PROFINET (WAGO)</t>
  </si>
  <si>
    <r>
      <rPr>
        <rFont val="Arial"/>
        <color rgb="FF000000"/>
        <sz val="10.0"/>
      </rPr>
      <t xml:space="preserve">719_750-375 FC PROFINET (WAGO)
</t>
    </r>
    <r>
      <rPr>
        <rFont val="Arial"/>
        <color rgb="FFFF0000"/>
        <sz val="10.0"/>
      </rPr>
      <t>(下單錯誤: 下成750-8101)</t>
    </r>
  </si>
  <si>
    <t>PI-20190119A-1</t>
  </si>
  <si>
    <t>LPC-P156W25-SG
(S/N:PD20190119A0001~3)</t>
  </si>
  <si>
    <t>719_D4S8GHIOFFI DDR4 8GB, wide temp</t>
  </si>
  <si>
    <t>719_PB-409</t>
  </si>
  <si>
    <t>PI-20190119A-2</t>
  </si>
  <si>
    <t>LPC-P156W25-SG
(S/N:PD20190119A0004)</t>
  </si>
  <si>
    <t>719_D4S8GHIOFFI DDR4L 8GB, wide temp</t>
  </si>
  <si>
    <t>P19000020</t>
  </si>
  <si>
    <t>PI-20190121A</t>
  </si>
  <si>
    <t>719_62IN-16E-8-4S  Power cable</t>
  </si>
  <si>
    <t>TNT Account 40083</t>
  </si>
  <si>
    <t>KY52112901</t>
  </si>
  <si>
    <t>8月</t>
  </si>
  <si>
    <t>719_62IN-16E-12-14S DVI cable</t>
  </si>
  <si>
    <t>719_62IN-16E-12-14S HDMI cable</t>
  </si>
  <si>
    <t>719_62IN-16E-8-4S USB Cable</t>
  </si>
  <si>
    <r>
      <rPr>
        <rFont val="Arial, sans-serif"/>
        <color rgb="FF000000"/>
        <sz val="10.0"/>
      </rPr>
      <t xml:space="preserve">PI-20190121B
</t>
    </r>
    <r>
      <rPr>
        <rFont val="Arial, sans-serif"/>
        <b/>
        <color rgb="FF0000FF"/>
        <sz val="10.0"/>
      </rPr>
      <t>(FAE</t>
    </r>
    <r>
      <rPr>
        <rFont val="微軟正黑體"/>
        <b/>
        <color rgb="FF0000FF"/>
        <sz val="10.0"/>
      </rPr>
      <t>組裝</t>
    </r>
    <r>
      <rPr>
        <rFont val="Arial"/>
        <b/>
        <color rgb="FF0000FF"/>
        <sz val="10.0"/>
      </rPr>
      <t>)</t>
    </r>
  </si>
  <si>
    <t>TS32GSSD420K (32G SSD)</t>
  </si>
  <si>
    <t>DHL Express 
969740245</t>
  </si>
  <si>
    <r>
      <rPr>
        <rFont val="Arial, sans-serif"/>
        <color rgb="FF000000"/>
        <sz val="10.0"/>
      </rPr>
      <t xml:space="preserve">PI-20190121B
</t>
    </r>
    <r>
      <rPr>
        <rFont val="Arial, sans-serif"/>
        <b/>
        <color rgb="FF0000FF"/>
        <sz val="10.0"/>
      </rPr>
      <t>(FAE組裝)</t>
    </r>
  </si>
  <si>
    <t>TS512MSK64W6H (4GB DRAM)</t>
  </si>
  <si>
    <r>
      <rPr>
        <rFont val="Arial, sans-serif"/>
        <color rgb="FF000000"/>
        <sz val="10.0"/>
      </rPr>
      <t xml:space="preserve">PI-20190121B
</t>
    </r>
    <r>
      <rPr>
        <rFont val="Arial, sans-serif"/>
        <b/>
        <color rgb="FF0000FF"/>
        <sz val="10.0"/>
      </rPr>
      <t>(FAE測試)</t>
    </r>
  </si>
  <si>
    <r>
      <rPr>
        <rFont val="Arial"/>
        <color rgb="FF000000"/>
        <sz val="10.0"/>
      </rPr>
      <t xml:space="preserve">LPC-P185W-10KH (BAREBONE) w/ EU power cord
</t>
    </r>
    <r>
      <rPr>
        <rFont val="Arial"/>
        <color rgb="FF0000FF"/>
        <sz val="10.0"/>
      </rPr>
      <t>(S/N:MO20190121B0001~0005)</t>
    </r>
  </si>
  <si>
    <t>PI-20190123A</t>
  </si>
  <si>
    <t>719_ADAM-6066-D</t>
  </si>
  <si>
    <t>GEODIS</t>
  </si>
  <si>
    <t>LA40233978</t>
  </si>
  <si>
    <t>P190122NP0</t>
  </si>
  <si>
    <t>PI-20190123B</t>
  </si>
  <si>
    <t>719_Additional 2 years warranty for POC-212 (抓15%)</t>
  </si>
  <si>
    <t>KY34868183</t>
  </si>
  <si>
    <r>
      <rPr>
        <rFont val="arial,sans,sans-serif"/>
        <b/>
        <color rgb="FF000000"/>
        <sz val="10.0"/>
      </rPr>
      <t xml:space="preserve">PI-20190123B
</t>
    </r>
    <r>
      <rPr>
        <rFont val="arial,sans,sans-serif"/>
        <b/>
        <color rgb="FF0000FF"/>
        <sz val="10.0"/>
      </rPr>
      <t>(FAE組裝SSD 
(IQC+DRAM標籤))</t>
    </r>
  </si>
  <si>
    <r>
      <rPr>
        <rFont val="Arial"/>
        <color rgb="FF000000"/>
        <sz val="10.0"/>
      </rPr>
      <t xml:space="preserve">719_POC-212
 Intel® Atom™ E3845 ultra-compact fanless embedded computer with 2x GbE ports, 3x USB 3.0 and 2x COM ports
</t>
    </r>
    <r>
      <rPr>
        <rFont val="Arial"/>
        <color rgb="FFFF0000"/>
        <sz val="10.0"/>
      </rPr>
      <t>(S/N. J0721890~895)</t>
    </r>
  </si>
  <si>
    <r>
      <rPr>
        <rFont val="arial,sans,sans-serif"/>
        <b/>
        <color rgb="FF000000"/>
        <sz val="10.0"/>
      </rPr>
      <t xml:space="preserve">PI-20190123B
</t>
    </r>
    <r>
      <rPr>
        <rFont val="arial,sans,sans-serif"/>
        <b/>
        <color rgb="FF0000FF"/>
        <sz val="10.0"/>
      </rPr>
      <t>(FAE組裝SSD &amp; DRAM,加DRAM 貼紙)</t>
    </r>
  </si>
  <si>
    <t>719_TS512MSK64W6H-I
(Wide Temp) 4GB DDR3L wide temp</t>
  </si>
  <si>
    <t>LM56253945</t>
  </si>
  <si>
    <r>
      <rPr>
        <rFont val="arial,sans,sans-serif"/>
        <b/>
        <color rgb="FF000000"/>
        <sz val="10.0"/>
      </rPr>
      <t xml:space="preserve">PI-20190123B
</t>
    </r>
    <r>
      <rPr>
        <rFont val="arial,sans,sans-serif"/>
        <b/>
        <color rgb="FF0000FF"/>
        <sz val="10.0"/>
      </rPr>
      <t>(FAE組裝SSD &amp; DRAM,加DRAM 貼紙)</t>
    </r>
  </si>
  <si>
    <t>719_TS128GSSD420I
 (Wide Temp)</t>
  </si>
  <si>
    <t>PI-20190123B-F</t>
  </si>
  <si>
    <t>Elgens DHL</t>
  </si>
  <si>
    <t>MD72125916</t>
  </si>
  <si>
    <t>PO-1862018</t>
  </si>
  <si>
    <t>PI-20190123C-1</t>
  </si>
  <si>
    <t>719_TCC-82 Port Powered RS232 Isolator</t>
  </si>
  <si>
    <t>LY18393831</t>
  </si>
  <si>
    <t>V-1
V-2</t>
  </si>
  <si>
    <t>PI-20190123C-2</t>
  </si>
  <si>
    <t>NV18392844</t>
  </si>
  <si>
    <t>PI-20190124A</t>
  </si>
  <si>
    <r>
      <rPr>
        <rFont val="Arial"/>
        <color rgb="FF000000"/>
        <sz val="10.0"/>
      </rPr>
      <t xml:space="preserve">LPC-P121S-10VYRG
</t>
    </r>
    <r>
      <rPr>
        <rFont val="Arial"/>
        <color rgb="FF0000FF"/>
        <sz val="10.0"/>
      </rPr>
      <t>(S/N:MO20190124A0001~8)</t>
    </r>
  </si>
  <si>
    <t>719_DDS8GHIMBFC
 (8GB DDR3L DRAM Normal Temp)</t>
  </si>
  <si>
    <t>6EU-00031 (Win10 IoT Ent LTSB 2016 MultiLang OEI Entry (ESD)</t>
  </si>
  <si>
    <t>07-YB0-BTSA121-001A防水三角錐</t>
  </si>
  <si>
    <t>NetEon (M) Sdn Bhd</t>
  </si>
  <si>
    <t>19/0039M</t>
  </si>
  <si>
    <t>PI-20190124B</t>
  </si>
  <si>
    <t>719_ECU-4784-D55SBE</t>
  </si>
  <si>
    <t>DHL A/C No : 951842593
TNT account : 3001651 (Economy Express)</t>
  </si>
  <si>
    <t>LA40237042</t>
  </si>
  <si>
    <t>PI-20190125A</t>
  </si>
  <si>
    <t>7008000426
CRK18121001_A1
(USB CABLE)</t>
  </si>
  <si>
    <t>MX60336708</t>
  </si>
  <si>
    <t>PI-20190125B</t>
  </si>
  <si>
    <t>719_ADAM-6060-D</t>
  </si>
  <si>
    <t>LA40234027</t>
  </si>
  <si>
    <t>Shung Ju Tech
雄鉅科技(股)公司.</t>
  </si>
  <si>
    <t>PI-20190125C</t>
  </si>
  <si>
    <t>代墊參展費用</t>
  </si>
  <si>
    <t>Together with Elgens Sample</t>
  </si>
  <si>
    <t>PI-20190125D-1</t>
  </si>
  <si>
    <t>LY18393969</t>
  </si>
  <si>
    <t>719-TCF-142-M-ST</t>
  </si>
  <si>
    <t>PI-20190125D-2</t>
  </si>
  <si>
    <t>NV18392842</t>
  </si>
  <si>
    <t>2019/03/27
2019/04/08</t>
  </si>
  <si>
    <t>PI-20190125D-3</t>
  </si>
  <si>
    <t>719_NISE 105-E3826</t>
  </si>
  <si>
    <t>MV34702518</t>
  </si>
  <si>
    <t>PI-20190125D-4</t>
  </si>
  <si>
    <t>MV34702519</t>
  </si>
  <si>
    <t>PI-20181026B-Revised</t>
  </si>
  <si>
    <t>Elgens TNT account: 540458</t>
  </si>
  <si>
    <t>MK84254184</t>
  </si>
  <si>
    <t>樣品</t>
  </si>
  <si>
    <t>Yi Ho Tech
誼龢科技</t>
  </si>
  <si>
    <t>PI-20190128A</t>
  </si>
  <si>
    <t>UE-1004</t>
  </si>
  <si>
    <t>Vecow</t>
  </si>
  <si>
    <t>KY38209921</t>
  </si>
  <si>
    <t>PI-20190128B</t>
  </si>
  <si>
    <t>719_FPM-3171G-R3BE</t>
  </si>
  <si>
    <t>LA40237040</t>
  </si>
  <si>
    <t>719_96PSA-A60W12V1-1</t>
  </si>
  <si>
    <t>PI-20190130A</t>
  </si>
  <si>
    <t>70122M0001 /STR002170
touch screen for PDK-170STE (電阻式 miracletouch) with tape (白色膠條 3M 4956 VHB  0.54T  (touch screen 用))</t>
  </si>
  <si>
    <t>KY32035264</t>
  </si>
  <si>
    <t>Fieldworks</t>
  </si>
  <si>
    <t>PI-20190130B</t>
  </si>
  <si>
    <t>719_FPK-01-R10. mounting H/W</t>
  </si>
  <si>
    <t>UPS Express Saver 157604</t>
  </si>
  <si>
    <t>MM66079102</t>
  </si>
  <si>
    <t>PO-1922018</t>
  </si>
  <si>
    <t>PI-20190131A-3</t>
  </si>
  <si>
    <t>NV18393005</t>
  </si>
  <si>
    <t>PI-20190131A-4</t>
  </si>
  <si>
    <t>LY18393954</t>
  </si>
  <si>
    <t>KI-SEN 季宣</t>
  </si>
  <si>
    <t>KG201901000001</t>
  </si>
  <si>
    <t>PI-20190131B</t>
  </si>
  <si>
    <t>719_IGPS1411GTPA</t>
  </si>
  <si>
    <t>大榮</t>
  </si>
  <si>
    <t>KY08818102</t>
  </si>
  <si>
    <t>719_DR-120-48</t>
  </si>
  <si>
    <r>
      <rPr>
        <rFont val="Arial"/>
        <color rgb="FF000000"/>
        <sz val="10.0"/>
      </rPr>
      <t>PI-20190131C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(FAE測試)</t>
    </r>
  </si>
  <si>
    <r>
      <rPr>
        <rFont val="Arial"/>
        <color rgb="FF000000"/>
        <sz val="10.0"/>
      </rPr>
      <t xml:space="preserve">LPC-P185W-1NKH (BAREBONE) w/ EU power cord
</t>
    </r>
    <r>
      <rPr>
        <rFont val="Arial"/>
        <color rgb="FF0000FF"/>
        <sz val="10.0"/>
      </rPr>
      <t>(S/N:PD20190131C0001~5)</t>
    </r>
  </si>
  <si>
    <t>PI-20190201A</t>
  </si>
  <si>
    <t>719_ADAM-6052-D</t>
  </si>
  <si>
    <t>LA40237037</t>
  </si>
  <si>
    <t>PI-20190201B</t>
  </si>
  <si>
    <t>719_AIMB-786G2-00A1</t>
  </si>
  <si>
    <t>LA40237038</t>
  </si>
  <si>
    <t>719_1960052651N021</t>
  </si>
  <si>
    <t xml:space="preserve">PI-20190206A     </t>
  </si>
  <si>
    <t>LA57562965</t>
  </si>
  <si>
    <t>MV34702502</t>
  </si>
  <si>
    <r>
      <rPr>
        <rFont val="arial,sans,sans-serif"/>
        <color rgb="FF000000"/>
        <sz val="10.0"/>
      </rPr>
      <t xml:space="preserve">PI-20190206A                         
</t>
    </r>
    <r>
      <rPr>
        <rFont val="arial,sans,sans-serif"/>
        <b/>
        <color rgb="FF0000FF"/>
        <sz val="10.0"/>
      </rPr>
      <t xml:space="preserve">(IQC檢驗CPU)  </t>
    </r>
    <r>
      <rPr>
        <rFont val="arial,sans,sans-serif"/>
        <color rgb="FF000000"/>
        <sz val="10.0"/>
      </rPr>
      <t xml:space="preserve">         </t>
    </r>
  </si>
  <si>
    <t>3ISYS Networks
思碩網路</t>
  </si>
  <si>
    <t>PI-20190206B</t>
  </si>
  <si>
    <t>719_UC-2112-LX</t>
  </si>
  <si>
    <t>LY18393936</t>
  </si>
  <si>
    <t>3pin terminal block (male) (鳳凰接頭)</t>
  </si>
  <si>
    <t>PI-20190211A-1</t>
  </si>
  <si>
    <t>RCS-9422R-YH
(S/N:PD20190211A0003)</t>
  </si>
  <si>
    <t>ELGENS</t>
  </si>
  <si>
    <t>PI-20190211A-2</t>
  </si>
  <si>
    <t xml:space="preserve">ELS-MB990VF
(S/N: PD20190211A0001~0002) </t>
  </si>
  <si>
    <t>Pharms
芳慎企業</t>
  </si>
  <si>
    <t>20190212-AA</t>
  </si>
  <si>
    <t>PI-20190212A</t>
  </si>
  <si>
    <t>719_PCI-7432</t>
  </si>
  <si>
    <t>KY36508017</t>
  </si>
  <si>
    <t>503870-1</t>
  </si>
  <si>
    <t>PI-20190212B
(FAE組裝)</t>
  </si>
  <si>
    <t>719_ M3S0-8GSSDLPC
(8GB DRAM )</t>
  </si>
  <si>
    <t>MX42929317</t>
  </si>
  <si>
    <t>MX57562422</t>
  </si>
  <si>
    <t>719_MPC-2247Z</t>
  </si>
  <si>
    <t>NV18393119</t>
  </si>
  <si>
    <t>PI-20190212C</t>
  </si>
  <si>
    <t>70111E0002 (PDK-170STE) includes 1-6
1) LCD : G170ETN01.0</t>
  </si>
  <si>
    <t>MV51931315</t>
  </si>
  <si>
    <t>2) Touch : Resistive Touch from Miracle</t>
  </si>
  <si>
    <t>3) Air Taping</t>
  </si>
  <si>
    <t>4) ETP-MER4050UEBG-02</t>
  </si>
  <si>
    <t>5) ETP-CB-5XN00</t>
  </si>
  <si>
    <t>7008000401
(Backlight cable IMB-150D for G170ETN01.0)
戎克料號:02-BE-00060</t>
  </si>
  <si>
    <t>7009000005
(LVDS cable IMB-150D for G170ETN01.0)
戎克料號:02-BE-00061</t>
  </si>
  <si>
    <t>6)USB cable from USB controller to board
戎克料號:02-BE-00059</t>
  </si>
  <si>
    <t>PI-20190131C</t>
  </si>
  <si>
    <t>NRE-N4200</t>
  </si>
  <si>
    <r>
      <rPr>
        <rFont val="Arial"/>
        <color rgb="FF000000"/>
        <sz val="10.0"/>
      </rPr>
      <t>PI-20190131C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</si>
  <si>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>PI-20190131C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</si>
  <si>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>PI-20190131D-1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</si>
  <si>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>PI-20190131D-1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</si>
  <si>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 xml:space="preserve">PI-20190131D-1
</t>
    </r>
    <r>
      <rPr>
        <rFont val="Arial"/>
        <b/>
        <color rgb="FF0000FF"/>
        <sz val="10.0"/>
      </rPr>
      <t>(FAE測試)</t>
    </r>
  </si>
  <si>
    <r>
      <rPr>
        <rFont val="Arial"/>
        <color rgb="FF000000"/>
        <sz val="10.0"/>
      </rPr>
      <t xml:space="preserve">LPC-P185W-1NKH (BAREBONE) w/ EU power cord
</t>
    </r>
    <r>
      <rPr>
        <rFont val="Arial"/>
        <color rgb="FF0000FF"/>
        <sz val="10.0"/>
      </rPr>
      <t>(S/N:MO20190131D0001~0005)</t>
    </r>
  </si>
  <si>
    <r>
      <rPr>
        <rFont val="Arial"/>
        <color rgb="FF000000"/>
        <sz val="10.0"/>
      </rPr>
      <t xml:space="preserve">PI-20190131D-2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</si>
  <si>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>PI-20190131D-2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</si>
  <si>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 xml:space="preserve">PI-20190131D-2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</si>
  <si>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>PI-20190131D-2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</si>
  <si>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>PI-20190131D-2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(FAE測試)</t>
    </r>
  </si>
  <si>
    <r>
      <rPr>
        <rFont val="Arial"/>
        <color rgb="FF000000"/>
        <sz val="10.0"/>
      </rPr>
      <t xml:space="preserve">LPC-P185W-1NKH (BAREBONE) w/ EU power cord
</t>
    </r>
    <r>
      <rPr>
        <rFont val="Arial"/>
        <color rgb="FF0000FF"/>
        <sz val="10.0"/>
      </rPr>
      <t>(S/N:MO20190131D0006~0019)</t>
    </r>
  </si>
  <si>
    <r>
      <rPr>
        <rFont val="Arial"/>
        <color rgb="FF000000"/>
        <sz val="10.0"/>
      </rPr>
      <t>PI-20190131D-2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(FAE測試)</t>
    </r>
  </si>
  <si>
    <r>
      <rPr>
        <rFont val="Arial"/>
        <color rgb="FF000000"/>
        <sz val="10.0"/>
      </rPr>
      <t xml:space="preserve">LPC-P185W-1NKH (BAREBONE) w/ EU power cord
</t>
    </r>
    <r>
      <rPr>
        <rFont val="Arial"/>
        <color rgb="FF0000FF"/>
        <sz val="10.0"/>
      </rPr>
      <t>(S/N:MO20190131D0020)</t>
    </r>
  </si>
  <si>
    <r>
      <rPr>
        <rFont val="Arial"/>
        <color rgb="FF000000"/>
        <sz val="10.0"/>
      </rPr>
      <t>PI-20190131D-3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</si>
  <si>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>PI-20190131D-3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</si>
  <si>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 xml:space="preserve">PI-20190131D-3
</t>
    </r>
    <r>
      <rPr>
        <rFont val="Arial"/>
        <b/>
        <color rgb="FF0000FF"/>
        <sz val="10.0"/>
      </rPr>
      <t>(FAE測試)</t>
    </r>
  </si>
  <si>
    <r>
      <rPr>
        <rFont val="Arial"/>
        <color rgb="FF000000"/>
        <sz val="10.0"/>
      </rPr>
      <t xml:space="preserve">LPC-P185W-1NKH (BAREBONE) w/ EU power cord
</t>
    </r>
    <r>
      <rPr>
        <rFont val="Arial"/>
        <color rgb="FF0000FF"/>
        <sz val="10.0"/>
      </rPr>
      <t>(S/N:MO20190131D0021~0045)</t>
    </r>
  </si>
  <si>
    <t>Lextron</t>
  </si>
  <si>
    <t>PI-20190213A</t>
  </si>
  <si>
    <t>TDM-P173WHGB
(S/N:PD20190213A0001)</t>
  </si>
  <si>
    <t xml:space="preserve"> DHL 958791254</t>
  </si>
  <si>
    <t>PI-20190213B</t>
  </si>
  <si>
    <t>UPS /Expedited
 WF1740</t>
  </si>
  <si>
    <t>MV53294716</t>
  </si>
  <si>
    <t>PI-20181026B-Revised-2</t>
  </si>
  <si>
    <t>MK84254249</t>
  </si>
  <si>
    <t>PI-20190217A</t>
  </si>
  <si>
    <t>MX40233116</t>
  </si>
  <si>
    <t>719_ADAM-4571-CE</t>
  </si>
  <si>
    <t>719_PCIE-1610B-AE</t>
  </si>
  <si>
    <t>MX40233608</t>
  </si>
  <si>
    <t>PO-962018</t>
  </si>
  <si>
    <t>PI-20190218A</t>
  </si>
  <si>
    <t>NV18393118</t>
  </si>
  <si>
    <t>2019/05/04
2019/05/15
2019/05/30</t>
  </si>
  <si>
    <t>PI-20190205A-1</t>
  </si>
  <si>
    <r>
      <rPr>
        <rFont val="Arial"/>
        <color rgb="FF000000"/>
        <sz val="10.0"/>
      </rPr>
      <t xml:space="preserve">719_OPE1503FBDTR
</t>
    </r>
    <r>
      <rPr>
        <rFont val="Arial"/>
        <color rgb="FF0000FF"/>
        <sz val="10.0"/>
      </rPr>
      <t>S/N.WA191302A0006~9</t>
    </r>
  </si>
  <si>
    <t>KY51870517</t>
  </si>
  <si>
    <t>PI-20190205A-2</t>
  </si>
  <si>
    <r>
      <rPr>
        <rFont val="Arial"/>
        <color rgb="FF000000"/>
        <sz val="10.0"/>
      </rPr>
      <t xml:space="preserve">719_OPE1503FBDTR 
</t>
    </r>
    <r>
      <rPr>
        <rFont val="Arial"/>
        <color rgb="FF0000FF"/>
        <sz val="10.0"/>
      </rPr>
      <t>S/N:WA191303A0001&amp;2</t>
    </r>
  </si>
  <si>
    <t>MV51693054</t>
  </si>
  <si>
    <t>503925-1</t>
  </si>
  <si>
    <t>PI-20190219A</t>
  </si>
  <si>
    <t>TDM-173WGARB
(S/N:PD20190219A0001)</t>
  </si>
  <si>
    <t>Bank transmitting service charge</t>
  </si>
  <si>
    <t>PI-20190219B</t>
  </si>
  <si>
    <r>
      <rPr>
        <rFont val="Arial"/>
        <color rgb="FF000000"/>
        <sz val="10.0"/>
      </rPr>
      <t xml:space="preserve">719_ARCHMI-817
</t>
    </r>
    <r>
      <rPr>
        <rFont val="Arial"/>
        <color rgb="FF0000FF"/>
        <sz val="10.0"/>
      </rPr>
      <t>(S/N: A3190301794&amp;A3190301795)</t>
    </r>
  </si>
  <si>
    <t>amy</t>
  </si>
  <si>
    <t>MV34722414</t>
  </si>
  <si>
    <t>PI-20190220A</t>
  </si>
  <si>
    <t>見MO-20190220A-1</t>
  </si>
  <si>
    <r>
      <rPr>
        <rFont val="Arial"/>
        <color rgb="FF000000"/>
        <sz val="10.0"/>
      </rPr>
      <t xml:space="preserve">LPC-P156W-25SG
</t>
    </r>
    <r>
      <rPr>
        <rFont val="Arial"/>
        <color rgb="FF0000FF"/>
        <sz val="10.0"/>
      </rPr>
      <t>(S/N:MO20190220A0001~2)</t>
    </r>
  </si>
  <si>
    <t>PI-20190221A</t>
  </si>
  <si>
    <t>MV34702581</t>
  </si>
  <si>
    <r>
      <rPr>
        <rFont val="Arial"/>
        <color rgb="FF000000"/>
        <sz val="10.0"/>
      </rPr>
      <t>Power adapter</t>
    </r>
    <r>
      <rPr>
        <rFont val="Arial"/>
        <color rgb="FFFF0000"/>
        <sz val="10.0"/>
      </rPr>
      <t>(7400065020X00)</t>
    </r>
    <r>
      <rPr>
        <rFont val="Arial"/>
        <color rgb="FF000000"/>
        <sz val="10.0"/>
      </rPr>
      <t xml:space="preserve"> &amp; European Power cord        
</t>
    </r>
    <r>
      <rPr>
        <rFont val="Arial"/>
        <color rgb="FFFF0000"/>
        <sz val="10.0"/>
      </rPr>
      <t>(60233POW39X00)</t>
    </r>
    <r>
      <rPr>
        <rFont val="Arial"/>
        <color rgb="FF000000"/>
        <sz val="10.0"/>
      </rPr>
      <t xml:space="preserve"> for NISE2300-M</t>
    </r>
  </si>
  <si>
    <t>719_Core™  i7-3612QM
(向捷毅國際購買,交由新漢組裝)</t>
  </si>
  <si>
    <t>MX57562431</t>
  </si>
  <si>
    <r>
      <rPr>
        <rFont val="arial,sans,sans-serif"/>
        <color rgb="FF000000"/>
        <sz val="10.0"/>
      </rPr>
      <t>PI-20190221A</t>
    </r>
    <r>
      <rPr>
        <rFont val="arial,sans,sans-serif"/>
        <color rgb="FFFF0000"/>
        <sz val="10.0"/>
      </rPr>
      <t xml:space="preserve">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FF0000"/>
        <sz val="10.0"/>
      </rPr>
      <t xml:space="preserve">  </t>
    </r>
  </si>
  <si>
    <t>PO/IMP/141</t>
  </si>
  <si>
    <t>PI-20190221B</t>
  </si>
  <si>
    <t>719_N-port5150</t>
  </si>
  <si>
    <t>NV18392800</t>
  </si>
  <si>
    <t>719_Uport-1130</t>
  </si>
  <si>
    <t>PI-20190221C</t>
  </si>
  <si>
    <t>70080Z0007
(RFA-02-3-C52M3-B70)
(WIFI antenna)</t>
  </si>
  <si>
    <t>Avihs Technologies</t>
  </si>
  <si>
    <t>PI-20190223A</t>
  </si>
  <si>
    <t>719_EDS-208A</t>
  </si>
  <si>
    <t>FETA FREIGHT SYSTEMS (TAIWAN ) LTD.</t>
  </si>
  <si>
    <t>NV18392830</t>
  </si>
  <si>
    <t>719_NPORT5450</t>
  </si>
  <si>
    <t>719_NPort 5232</t>
  </si>
  <si>
    <t>PI-20181221A-1-F</t>
  </si>
  <si>
    <t>PI-20190118A-F</t>
  </si>
  <si>
    <t>PI-20190226A</t>
  </si>
  <si>
    <t>719＿CP-132UL-DB9M</t>
  </si>
  <si>
    <t>NV18392901</t>
  </si>
  <si>
    <t>PO-190227</t>
  </si>
  <si>
    <t>PI-20190226B</t>
  </si>
  <si>
    <t>NV18392953</t>
  </si>
  <si>
    <t>719_NPort 5450</t>
  </si>
  <si>
    <t>719_PWR-12200-DT-S1
(EU power cord)</t>
  </si>
  <si>
    <t>NV18393133</t>
  </si>
  <si>
    <t>PI-20190227A</t>
  </si>
  <si>
    <t>Kuehne&amp;Nagel</t>
  </si>
  <si>
    <t>MV34702743</t>
  </si>
  <si>
    <t>MX57562990</t>
  </si>
  <si>
    <r>
      <rPr>
        <rFont val="arial,sans,sans-serif"/>
        <color rgb="FF000000"/>
        <sz val="10.0"/>
      </rPr>
      <t xml:space="preserve">PI-20190227A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</si>
  <si>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PI-20190227B</t>
  </si>
  <si>
    <t>PS34821834</t>
  </si>
  <si>
    <t>PU57562476</t>
  </si>
  <si>
    <r>
      <rPr>
        <rFont val="arial,sans,sans-serif"/>
        <color rgb="FF000000"/>
        <sz val="10.0"/>
      </rPr>
      <t xml:space="preserve">PI-20190227B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</si>
  <si>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PI-20190227C</t>
  </si>
  <si>
    <t>PS34821982</t>
  </si>
  <si>
    <t>7月</t>
  </si>
  <si>
    <t>PU57563017</t>
  </si>
  <si>
    <r>
      <rPr>
        <rFont val="arial,sans,sans-serif"/>
        <color rgb="FF000000"/>
        <sz val="10.0"/>
      </rPr>
      <t xml:space="preserve">PI-20190227C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</si>
  <si>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PI-20190227D</t>
  </si>
  <si>
    <t>RP34764630</t>
  </si>
  <si>
    <t>RR57562530</t>
  </si>
  <si>
    <r>
      <rPr>
        <rFont val="arial,sans,sans-serif"/>
        <color rgb="FF000000"/>
        <sz val="10.0"/>
      </rPr>
      <t xml:space="preserve">PI-20190227D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</si>
  <si>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PI-20190227E</t>
  </si>
  <si>
    <t>RR57563117</t>
  </si>
  <si>
    <t>TL34762390</t>
  </si>
  <si>
    <r>
      <rPr>
        <rFont val="arial,sans,sans-serif"/>
        <color rgb="FF000000"/>
        <sz val="10.0"/>
      </rPr>
      <t xml:space="preserve">PI-20190227E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</si>
  <si>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PI-20190227F
(PI-20191009002)</t>
  </si>
  <si>
    <t>TL34762496</t>
  </si>
  <si>
    <t>11月</t>
  </si>
  <si>
    <t>TN57562439</t>
  </si>
  <si>
    <r>
      <rPr>
        <rFont val="arial,sans,sans-serif"/>
        <color rgb="FF000000"/>
        <sz val="10.0"/>
      </rPr>
      <t xml:space="preserve">PI-20190227F
(PI-20191009002)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</si>
  <si>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PI-20190227G
(PI-20191009003)</t>
  </si>
  <si>
    <t>TL34762565</t>
  </si>
  <si>
    <r>
      <rPr>
        <rFont val="arial,sans,sans-serif"/>
        <color rgb="FF000000"/>
        <sz val="10.0"/>
      </rPr>
      <t xml:space="preserve">PI-20190227G
(PI-20191009003)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</si>
  <si>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PI-20190227H
(PI-20191009004)</t>
  </si>
  <si>
    <r>
      <rPr>
        <rFont val="arial,sans,sans-serif"/>
        <color rgb="FF000000"/>
        <sz val="10.0"/>
      </rPr>
      <t xml:space="preserve">PI-20190227H
(PI-20191009004)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</si>
  <si>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PI-20190228A</t>
  </si>
  <si>
    <t>719-UE-1004</t>
  </si>
  <si>
    <t>MV38071603</t>
  </si>
  <si>
    <t>PO-2012018</t>
  </si>
  <si>
    <t>PI-20190302A</t>
  </si>
  <si>
    <t>NV18393120</t>
  </si>
  <si>
    <t>NV18393826</t>
  </si>
  <si>
    <t>PI-20190303A</t>
  </si>
  <si>
    <t>719_EDS-G509</t>
  </si>
  <si>
    <t>NV18392984</t>
  </si>
  <si>
    <t>719_ABC-01</t>
  </si>
  <si>
    <t>719_SFP-1GSXLC</t>
  </si>
  <si>
    <t>719_SFP-1GTXRJ45-T</t>
  </si>
  <si>
    <t>719_RK-4U</t>
  </si>
  <si>
    <t>P190301VA0</t>
  </si>
  <si>
    <r>
      <rPr>
        <rFont val="Arial"/>
        <color rgb="FF000000"/>
        <sz val="10.0"/>
      </rPr>
      <t xml:space="preserve">PI-20190304A
</t>
    </r>
    <r>
      <rPr>
        <rFont val="Arial"/>
        <b/>
        <color rgb="FF0000FF"/>
        <sz val="10.0"/>
      </rPr>
      <t>(FAE change AU Power cord)</t>
    </r>
  </si>
  <si>
    <r>
      <rPr>
        <rFont val="Arial"/>
        <color rgb="FF000000"/>
        <sz val="10.0"/>
      </rPr>
      <t xml:space="preserve">719_OPE1503FBDTR        
"Panel mount 15"" LCD Touch monitor VGA /5wire Resistive /RS-232 /Black VGA+DVI+HDMI /12V/ Terminal block12V/24V
( </t>
    </r>
    <r>
      <rPr>
        <rFont val="Arial"/>
        <color rgb="FF0000FF"/>
        <sz val="10.0"/>
      </rPr>
      <t>change to AU power cord</t>
    </r>
    <r>
      <rPr>
        <rFont val="Arial"/>
        <color rgb="FF000000"/>
        <sz val="10.0"/>
      </rPr>
      <t xml:space="preserve"> )"</t>
    </r>
  </si>
  <si>
    <t>MV51693070</t>
  </si>
  <si>
    <t>PI-20190304A-1</t>
  </si>
  <si>
    <t>MV34770430</t>
  </si>
  <si>
    <t>07-AE0-W16W01M-001A
WiFi cable for extension 1M</t>
  </si>
  <si>
    <t>MV51931305</t>
  </si>
  <si>
    <r>
      <rPr>
        <rFont val="Arial"/>
        <color rgb="FF000000"/>
        <sz val="10.0"/>
      </rPr>
      <t xml:space="preserve">PI-20190304A-1
</t>
    </r>
    <r>
      <rPr>
        <rFont val="Arial"/>
        <b/>
        <color rgb="FF0000FF"/>
        <sz val="10.0"/>
      </rPr>
      <t xml:space="preserve"> (FAE組裝，外盒請用標籤註明DRAM)</t>
    </r>
    <r>
      <rPr>
        <rFont val="Arial"/>
        <color rgb="FF000000"/>
        <sz val="10.0"/>
      </rPr>
      <t xml:space="preserve">
 </t>
    </r>
  </si>
  <si>
    <r>
      <rPr>
        <rFont val="Arial"/>
        <color rgb="FF000000"/>
        <sz val="10.0"/>
      </rPr>
      <t xml:space="preserve">719-Nuvo-5002LP 
</t>
    </r>
    <r>
      <rPr>
        <rFont val="Arial"/>
        <color rgb="FF0000FF"/>
        <sz val="10.0"/>
      </rPr>
      <t>(S/N:J1422596~99)</t>
    </r>
  </si>
  <si>
    <t xml:space="preserve">PI-20190304A-1
 (FAE組裝，外盒請用標籤註明DRAM)
 </t>
  </si>
  <si>
    <t>Intel® Core™ i7-6700TE Processor
 (向捷毅國際購買)</t>
  </si>
  <si>
    <r>
      <rPr>
        <rFont val="Arial"/>
        <color rgb="FF000000"/>
        <sz val="10.0"/>
      </rPr>
      <t xml:space="preserve">PI-20190304A-1
</t>
    </r>
    <r>
      <rPr>
        <rFont val="Arial"/>
        <b/>
        <color rgb="FF0000FF"/>
        <sz val="10.0"/>
      </rPr>
      <t>(FAE組裝，外盒請用標籤註明DRAM)</t>
    </r>
  </si>
  <si>
    <t>D4S8GHLOFEC  DDR4 8G</t>
  </si>
  <si>
    <t>MV36926213</t>
  </si>
  <si>
    <t>719_MiiNe Port E3</t>
  </si>
  <si>
    <t>NV18392973</t>
  </si>
  <si>
    <t>719_Nport-5110 W/EU Adaptor</t>
  </si>
  <si>
    <t>330-19020812</t>
  </si>
  <si>
    <t>PI-20190305A</t>
  </si>
  <si>
    <t>NV18393285</t>
  </si>
  <si>
    <t>PI-20190306A</t>
  </si>
  <si>
    <t>719_FPM-2150G-R3BE</t>
  </si>
  <si>
    <t>MX40233607</t>
  </si>
  <si>
    <t>719_PS8-300ATX-ZBE</t>
  </si>
  <si>
    <t>MX40233610</t>
  </si>
  <si>
    <t>719_AIMB-585QG2-00A1E</t>
  </si>
  <si>
    <t>719_1960047831N001</t>
  </si>
  <si>
    <t>719_989K008734</t>
  </si>
  <si>
    <t>PI-20190205A-F</t>
  </si>
  <si>
    <t>PA72013843</t>
  </si>
  <si>
    <t>PI-20181022C-1-F</t>
  </si>
  <si>
    <t>CTR NETWORK</t>
  </si>
  <si>
    <t>PI-20190312A</t>
  </si>
  <si>
    <t>NV18393117</t>
  </si>
  <si>
    <t>PI-20190312A-F</t>
  </si>
  <si>
    <t>PA72028522</t>
  </si>
  <si>
    <t>PI-20190313A</t>
  </si>
  <si>
    <t>MX40233609</t>
  </si>
  <si>
    <t>719_PPC-3150-RE4AE</t>
  </si>
  <si>
    <t>PI-20190107A-F</t>
  </si>
  <si>
    <t>PI-20190318A</t>
  </si>
  <si>
    <t>7008000006
(AS-35A-RS)</t>
  </si>
  <si>
    <t>PJ66079044</t>
  </si>
  <si>
    <t>P190318NP0</t>
  </si>
  <si>
    <t>PI-20190318B</t>
  </si>
  <si>
    <t>719-SPC-3010-600U with i7-6600U CPU</t>
  </si>
  <si>
    <t>MV38071642</t>
  </si>
  <si>
    <r>
      <rPr>
        <rFont val="Arial"/>
        <color rgb="FF000000"/>
        <sz val="10.0"/>
      </rPr>
      <t xml:space="preserve">PI-20190318B
</t>
    </r>
    <r>
      <rPr>
        <rFont val="Arial"/>
        <b/>
        <color rgb="FF0000FF"/>
        <sz val="10.0"/>
      </rPr>
      <t>(IQC+DRAM標籤)</t>
    </r>
  </si>
  <si>
    <t>719_PWA-120W - 120W, 24V, 90V AC to 264V AC Power Adapter with 3-pin Terminal Block
(S/N:Q18A017009)</t>
  </si>
  <si>
    <t>DHL ELGENS Account</t>
  </si>
  <si>
    <r>
      <rPr>
        <rFont val="Arial"/>
        <color rgb="FF000000"/>
        <sz val="10.0"/>
      </rPr>
      <t xml:space="preserve">PI-20190318B
</t>
    </r>
    <r>
      <rPr>
        <rFont val="Arial"/>
        <b/>
        <color rgb="FF0000FF"/>
        <sz val="10.0"/>
      </rPr>
      <t>(IQC+DRAM標籤)</t>
    </r>
  </si>
  <si>
    <t>PO-4012-1319</t>
  </si>
  <si>
    <t xml:space="preserve">PI-20190320A </t>
  </si>
  <si>
    <t>719_NPORT-5110T</t>
  </si>
  <si>
    <t>UPS 1A24W6</t>
  </si>
  <si>
    <t>NV18393132</t>
  </si>
  <si>
    <t xml:space="preserve">Banking charge </t>
  </si>
  <si>
    <t>PI-20190320B</t>
  </si>
  <si>
    <t>MX40233755</t>
  </si>
  <si>
    <t xml:space="preserve">719_PCM-9343EF-S6A1E </t>
  </si>
  <si>
    <t>MX40237091</t>
  </si>
  <si>
    <t>PI-20190321A</t>
  </si>
  <si>
    <t>719_EDS-G308-T</t>
  </si>
  <si>
    <t>NV18393268</t>
  </si>
  <si>
    <t>PI-20190322A</t>
  </si>
  <si>
    <t>719_TPC-1582H-433BE</t>
  </si>
  <si>
    <t>MK40236915</t>
  </si>
  <si>
    <t>719_ACP-4000MB-00CE</t>
  </si>
  <si>
    <t>719_AIMB-701G2-00A1E</t>
  </si>
  <si>
    <t>719_1960047669N001</t>
  </si>
  <si>
    <t>719_1701260305</t>
  </si>
  <si>
    <t>719_1700002204</t>
  </si>
  <si>
    <t>330-19030894</t>
  </si>
  <si>
    <t>PI-20190323A</t>
  </si>
  <si>
    <t>NV18393971</t>
  </si>
  <si>
    <t>PI-20190306B</t>
  </si>
  <si>
    <t>NV18392974</t>
  </si>
  <si>
    <t xml:space="preserve">PI-20190304A-1-F
</t>
  </si>
  <si>
    <t>PA72113384</t>
  </si>
  <si>
    <r>
      <rPr>
        <rFont val="Arial"/>
        <color rgb="FF000000"/>
        <sz val="10.0"/>
      </rPr>
      <t>PI-20190304A</t>
    </r>
    <r>
      <rPr>
        <rFont val="Arial"/>
        <color rgb="FF0000FF"/>
        <sz val="10.0"/>
      </rPr>
      <t>-F</t>
    </r>
  </si>
  <si>
    <t>PO19000116</t>
  </si>
  <si>
    <r>
      <rPr>
        <rFont val="Arial"/>
        <color rgb="FF000000"/>
        <sz val="10.0"/>
      </rPr>
      <t xml:space="preserve">PI-20190328A
</t>
    </r>
    <r>
      <rPr>
        <rFont val="Arial"/>
        <b/>
        <color rgb="FF0000FF"/>
        <sz val="10.0"/>
      </rPr>
      <t>1. 出貨文件備註po No.
2. 隨貨附出貨文件及產證</t>
    </r>
  </si>
  <si>
    <t xml:space="preserve">2.5" SSD 128GB 
(Memxpro  MI3MB1112802SN ) </t>
  </si>
  <si>
    <t xml:space="preserve">TNT # 39443 Economy. </t>
  </si>
  <si>
    <t>MV36926189</t>
  </si>
  <si>
    <r>
      <rPr>
        <rFont val="Arial"/>
        <color rgb="FF000000"/>
        <sz val="10.0"/>
      </rPr>
      <t xml:space="preserve">PI-20190328A
</t>
    </r>
    <r>
      <rPr>
        <rFont val="Arial"/>
        <b/>
        <color rgb="FF0000FF"/>
        <sz val="10.0"/>
      </rPr>
      <t>1. 出貨文件備註po No.
2. 隨貨附出貨文件及產證</t>
    </r>
  </si>
  <si>
    <t>DDR3L 4GB
DDS4GHIMBEC</t>
  </si>
  <si>
    <t>PS37022207</t>
  </si>
  <si>
    <r>
      <rPr>
        <rFont val="Arial"/>
        <color rgb="FF000000"/>
        <sz val="10.0"/>
      </rPr>
      <t xml:space="preserve">PI-20190328A
</t>
    </r>
    <r>
      <rPr>
        <rFont val="Arial"/>
        <b/>
        <color rgb="FF0000FF"/>
        <sz val="10.0"/>
      </rPr>
      <t>1. 出貨文件備註po No.
2. 隨貨附出貨文件及產證</t>
    </r>
  </si>
  <si>
    <t>LPC-P121S-10
S/N:MO20190328A0001</t>
  </si>
  <si>
    <r>
      <rPr>
        <rFont val="Arial"/>
        <color rgb="FF000000"/>
        <sz val="10.0"/>
      </rPr>
      <t xml:space="preserve">PI-20190328A
</t>
    </r>
    <r>
      <rPr>
        <rFont val="Arial"/>
        <b/>
        <color rgb="FF0000FF"/>
        <sz val="10.0"/>
      </rPr>
      <t>1. 出貨文件備註po No.
2. 隨貨附出貨文件及產證</t>
    </r>
  </si>
  <si>
    <r>
      <rPr>
        <rFont val="Arial"/>
        <color rgb="FF000000"/>
        <sz val="10.0"/>
      </rPr>
      <t xml:space="preserve">PI-20190328A-1
</t>
    </r>
    <r>
      <rPr>
        <rFont val="Arial"/>
        <b/>
        <color rgb="FF0000FF"/>
        <sz val="10.0"/>
      </rPr>
      <t>1. 出貨文件備註po No.
2. 隨貨附出貨文件及產證</t>
    </r>
  </si>
  <si>
    <t>GSM90A12-P1M</t>
  </si>
  <si>
    <t>PL06215552</t>
  </si>
  <si>
    <r>
      <rPr>
        <rFont val="Arial"/>
        <color rgb="FF000000"/>
        <sz val="10.0"/>
      </rPr>
      <t xml:space="preserve">PI-20190328A-1
</t>
    </r>
    <r>
      <rPr>
        <rFont val="Arial"/>
        <b/>
        <color rgb="FF0000FF"/>
        <sz val="10.0"/>
      </rPr>
      <t>1. 出貨文件備註po No.
2. 隨貨附出貨文件及產證</t>
    </r>
  </si>
  <si>
    <t>DC Jack cable 1M</t>
  </si>
  <si>
    <t>PO/IMP/159</t>
  </si>
  <si>
    <t>PI-20190401A</t>
  </si>
  <si>
    <t>719_Mini DB9F-to-TB Adapter</t>
  </si>
  <si>
    <t>NV18393950</t>
  </si>
  <si>
    <t xml:space="preserve">719_DK35A </t>
  </si>
  <si>
    <t>719_NPORT-5130(84715000) /EU</t>
  </si>
  <si>
    <t>719_Uport -1150I</t>
  </si>
  <si>
    <t>719_NPORT-5150(84715000) /EU</t>
  </si>
  <si>
    <t>PI-20190403A:(請依照PI開立
台幣發票 $22 334) including tax</t>
  </si>
  <si>
    <t>代墊參展運費( Embedded world 2019)</t>
  </si>
  <si>
    <t>PI-20181221A-2-F</t>
  </si>
  <si>
    <t>PI-20190408A</t>
  </si>
  <si>
    <t>MK40237211</t>
  </si>
  <si>
    <t>PI-20190409A</t>
  </si>
  <si>
    <r>
      <rPr>
        <rFont val="Arial"/>
        <color rgb="FF000000"/>
        <sz val="10.0"/>
      </rPr>
      <t>Power adapter</t>
    </r>
    <r>
      <rPr>
        <rFont val="Arial"/>
        <color rgb="FFFF0000"/>
        <sz val="10.0"/>
      </rPr>
      <t>(7400065020X00)</t>
    </r>
    <r>
      <rPr>
        <rFont val="Arial"/>
        <color rgb="FF000000"/>
        <sz val="10.0"/>
      </rPr>
      <t xml:space="preserve"> &amp; European Power cord        
</t>
    </r>
    <r>
      <rPr>
        <rFont val="Arial"/>
        <color rgb="FFFF0000"/>
        <sz val="10.0"/>
      </rPr>
      <t>(60233POW39X00)</t>
    </r>
    <r>
      <rPr>
        <rFont val="Arial"/>
        <color rgb="FF000000"/>
        <sz val="10.0"/>
      </rPr>
      <t xml:space="preserve"> for NISE2300-M</t>
    </r>
  </si>
  <si>
    <t>MV34702822</t>
  </si>
  <si>
    <t>PI-20190409B</t>
  </si>
  <si>
    <t>PS51836265</t>
  </si>
  <si>
    <t>PT22915761</t>
  </si>
  <si>
    <t xml:space="preserve">PI-20181022C-2-F
</t>
  </si>
  <si>
    <t>PA72120399</t>
  </si>
  <si>
    <t>330-19040123</t>
  </si>
  <si>
    <t>PI-20190409C</t>
  </si>
  <si>
    <t>NV18394209</t>
  </si>
  <si>
    <t>Proxis
(LLC «DISTI-PRO»)</t>
  </si>
  <si>
    <t>PI-20190411A</t>
  </si>
  <si>
    <t>CP-138U-I MOXA 8 Port UPCI Board, RS-422/485, w/ Isolation</t>
  </si>
  <si>
    <t>TNT Pick up no.167874992</t>
  </si>
  <si>
    <t>NV18394085</t>
  </si>
  <si>
    <t>M78M9x8-100 MOXA Cable/CBL-M78M9x8-100</t>
  </si>
  <si>
    <t>MAN-1904-88</t>
  </si>
  <si>
    <t>PI-20190411B</t>
  </si>
  <si>
    <t>"719_i5-6500TE
(向捷毅國際購買,交由新漢組裝)"</t>
  </si>
  <si>
    <t>FEDEX Economy (268438726)</t>
  </si>
  <si>
    <t>MX57563112</t>
  </si>
  <si>
    <t>"Power adapter &amp; European Power cord for NISE 3800E"</t>
  </si>
  <si>
    <t>PS34821863</t>
  </si>
  <si>
    <r>
      <rPr>
        <rFont val="arial,sans,sans-serif"/>
        <color rgb="FF000000"/>
        <sz val="10.0"/>
      </rPr>
      <t xml:space="preserve">PI-20190411B
</t>
    </r>
    <r>
      <rPr>
        <rFont val="arial,sans,sans-serif"/>
        <b/>
        <color rgb="FF0000FF"/>
        <sz val="10.0"/>
      </rPr>
      <t>(IQC檢驗CPU)</t>
    </r>
  </si>
  <si>
    <t>719_NISE3800E</t>
  </si>
  <si>
    <t>Sample</t>
  </si>
  <si>
    <t>Adaptor</t>
  </si>
  <si>
    <t>Accuview</t>
  </si>
  <si>
    <t>Evaluation
PI-20190412A</t>
  </si>
  <si>
    <t>LPC-P150S-28+adaptor+展示架 
(9/10 轉寄Captec Canada PI-20190910A ( freight pay by Accuview )</t>
  </si>
  <si>
    <t>FedEx account 169895139</t>
  </si>
  <si>
    <t>PO/IMP/007</t>
  </si>
  <si>
    <t xml:space="preserve">PI-20190415A </t>
  </si>
  <si>
    <t xml:space="preserve">719_UPort 2410 </t>
  </si>
  <si>
    <t>NV18394105</t>
  </si>
  <si>
    <t>RAM</t>
  </si>
  <si>
    <t>PI-20190416A</t>
  </si>
  <si>
    <t>RAM-20190326A return</t>
  </si>
  <si>
    <t>TNT</t>
  </si>
  <si>
    <t>PI-20190418A</t>
  </si>
  <si>
    <t>UX LOGISTICS</t>
  </si>
  <si>
    <t>PG84254241</t>
  </si>
  <si>
    <t>PO/IMP/011</t>
  </si>
  <si>
    <t>PI-20190418B</t>
  </si>
  <si>
    <t>NV18394106</t>
  </si>
  <si>
    <t>PO-1032019</t>
  </si>
  <si>
    <t>PI-20190418C</t>
  </si>
  <si>
    <t>QS18392916</t>
  </si>
  <si>
    <t>20190418-EL01</t>
  </si>
  <si>
    <t>PI-20190418D</t>
  </si>
  <si>
    <t>MV36926212</t>
  </si>
  <si>
    <t>LPC-P156WHOB-25SG2
(S/N:PD20190418A0001)</t>
  </si>
  <si>
    <t xml:space="preserve">PO/IMP/014 </t>
  </si>
  <si>
    <t>PI-20190419A</t>
  </si>
  <si>
    <t>719_CP-134EL-A-I-DB9M</t>
  </si>
  <si>
    <t>NV18394107</t>
  </si>
  <si>
    <t>719_NPort 5610-8-DT</t>
  </si>
  <si>
    <t>PI-20190422A</t>
  </si>
  <si>
    <t>PG84254240</t>
  </si>
  <si>
    <t>PI-20190422B</t>
  </si>
  <si>
    <t>719_ADAM-6015-DE</t>
  </si>
  <si>
    <t>MX40237540</t>
  </si>
  <si>
    <t>719_ADAM-6520-BE</t>
  </si>
  <si>
    <t>190414-EL</t>
  </si>
  <si>
    <t>PI-20190422C</t>
  </si>
  <si>
    <t>719_MOXA Nport IA5450A</t>
  </si>
  <si>
    <t>QS18392941</t>
  </si>
  <si>
    <t>719_MINI DB9F- TO-TB</t>
  </si>
  <si>
    <t>PO_190424-1</t>
  </si>
  <si>
    <t>PI-20190423A</t>
  </si>
  <si>
    <t>QS18392823</t>
  </si>
  <si>
    <t>PI-20190424A</t>
  </si>
  <si>
    <t>719_ACL8216</t>
  </si>
  <si>
    <t>PJ15543128</t>
  </si>
  <si>
    <t>719_ACL7122</t>
  </si>
  <si>
    <t>PI-20190318B-F</t>
  </si>
  <si>
    <t>PA72131904</t>
  </si>
  <si>
    <t>20190426-BB</t>
  </si>
  <si>
    <t>PI-20190426A</t>
  </si>
  <si>
    <t>719_CP-168U</t>
  </si>
  <si>
    <t xml:space="preserve">MOXA </t>
  </si>
  <si>
    <t>QS18392862</t>
  </si>
  <si>
    <t>719_CBL-M62M9X8-100</t>
  </si>
  <si>
    <t xml:space="preserve">Elgens stock </t>
  </si>
  <si>
    <t>PI-20190307A (原RMA-20190307A )</t>
  </si>
  <si>
    <t>IB970 (序號160800457)
(inspection fee US$40)</t>
  </si>
  <si>
    <t>PG84254244</t>
  </si>
  <si>
    <t>維修</t>
  </si>
  <si>
    <t>PI-20190502A
(FAE組裝)</t>
  </si>
  <si>
    <t>PU42929785</t>
  </si>
  <si>
    <t>PU57562576</t>
  </si>
  <si>
    <t>719_MPC-2247Z 24" Panel PC -Marine certified,</t>
  </si>
  <si>
    <t>QS18393190</t>
  </si>
  <si>
    <t>138611-1</t>
  </si>
  <si>
    <t>PI-20190502B</t>
  </si>
  <si>
    <t>VPTRONICS 雙創</t>
  </si>
  <si>
    <t>PO/IMP/020</t>
  </si>
  <si>
    <t>PI-20190502C</t>
  </si>
  <si>
    <t>719_CP-102U</t>
  </si>
  <si>
    <t>QS18392942</t>
  </si>
  <si>
    <t xml:space="preserve">719_UPORT 1610-8(EU Plug) </t>
  </si>
  <si>
    <t>PI-20190502D</t>
  </si>
  <si>
    <t>Triangular cylinder Sample</t>
  </si>
  <si>
    <t>PU21487583</t>
  </si>
  <si>
    <t>Neteon</t>
  </si>
  <si>
    <t>19/0245M</t>
  </si>
  <si>
    <t>PI-20190502E</t>
  </si>
  <si>
    <t>DSPC-8661-PCXE</t>
  </si>
  <si>
    <t xml:space="preserve"> "DHL A/C No : 951842593" or TNT</t>
  </si>
  <si>
    <t xml:space="preserve">PI-20190507A  </t>
  </si>
  <si>
    <t>719_UPort 1110</t>
  </si>
  <si>
    <t>QS18392950</t>
  </si>
  <si>
    <t>PI-20190507B</t>
  </si>
  <si>
    <t>719_TPC-61T-E3AE</t>
  </si>
  <si>
    <t>PU40233703</t>
  </si>
  <si>
    <t>719_ADAM-4561-CE</t>
  </si>
  <si>
    <t>PI-20190508A</t>
  </si>
  <si>
    <t>UE-1004(sn:1916212000157,1916212000165)</t>
  </si>
  <si>
    <t>PS38201667</t>
  </si>
  <si>
    <t>P190507NP0</t>
  </si>
  <si>
    <t>PI-20190508B</t>
  </si>
  <si>
    <t>719_WAGO 750-375 WAGO</t>
  </si>
  <si>
    <t>DHL Elgens</t>
  </si>
  <si>
    <t>QF15592313</t>
  </si>
  <si>
    <t>719_ioLogik E1210 Moxa</t>
  </si>
  <si>
    <t>QS18393105</t>
  </si>
  <si>
    <t>719_PFN-2019/S CR ICPDAS</t>
  </si>
  <si>
    <t>RE94082470</t>
  </si>
  <si>
    <t>719_CA-252518D ICPDAS</t>
  </si>
  <si>
    <t>719_CD-2518D ICPDAS</t>
  </si>
  <si>
    <t>719_PFN-2060 CR ICPDAS</t>
  </si>
  <si>
    <t>PI-20190508B-1</t>
  </si>
  <si>
    <t>ti2 DHL</t>
  </si>
  <si>
    <t>QS18393304</t>
  </si>
  <si>
    <t>AIRONIX</t>
  </si>
  <si>
    <t>PO19000175</t>
  </si>
  <si>
    <t>PI-20190508C( 閎亮組裝SSD &amp; DRAM)</t>
  </si>
  <si>
    <t>D4S-AG24H1G8C1 DDR 4 16G DRAM</t>
  </si>
  <si>
    <t xml:space="preserve">Kintetsu World Express (Taiwan), Inc </t>
  </si>
  <si>
    <t>PS37022248</t>
  </si>
  <si>
    <t>SSB256GPTCB3T-S114 Phison SSD 250G</t>
  </si>
  <si>
    <t>Kintetsu World Express (Taiwan), Inc</t>
  </si>
  <si>
    <t>RF02847273</t>
  </si>
  <si>
    <t>LPC-P215W-LM8AX
(S/N:PD20190510A0001~0003)</t>
  </si>
  <si>
    <t>2019/06/27.2019/07/30</t>
  </si>
  <si>
    <t>PO201905080013</t>
  </si>
  <si>
    <t>PI-20190508D</t>
  </si>
  <si>
    <t>719_IMC-21-S-SC</t>
  </si>
  <si>
    <t>QS18393104</t>
  </si>
  <si>
    <t>PI-20190508E
(PI-20191014002)</t>
  </si>
  <si>
    <t>UL18393170</t>
  </si>
  <si>
    <t>PI-20190509A
(FAE組裝)</t>
  </si>
  <si>
    <t>QS18393191</t>
  </si>
  <si>
    <t>PI-20190509B</t>
  </si>
  <si>
    <t>Nuvo-7002LP</t>
  </si>
  <si>
    <t>Intel® Core™ i5-8500 Processor</t>
  </si>
  <si>
    <t>D4S8GHLOFEC DDR4 8GB</t>
  </si>
  <si>
    <t>P190509NP0</t>
  </si>
  <si>
    <t>PI-20190509C
(IQC+DRAM標籤)</t>
  </si>
  <si>
    <t>719_ECX-1000-2R
 S/N:(K19G110001~K19G110010)</t>
  </si>
  <si>
    <t>TI2's DHL account 968398926</t>
  </si>
  <si>
    <t>PS38201678</t>
  </si>
  <si>
    <r>
      <rPr>
        <rFont val="Arial"/>
        <color rgb="FF000000"/>
        <sz val="10.0"/>
      </rPr>
      <t xml:space="preserve">PI-20190509C
</t>
    </r>
    <r>
      <rPr>
        <rFont val="Arial"/>
        <b/>
        <color rgb="FF0000FF"/>
        <sz val="10.0"/>
      </rPr>
      <t>(IQC+DRAM標籤)</t>
    </r>
  </si>
  <si>
    <t>intel i5-8500T ( vecow )</t>
  </si>
  <si>
    <r>
      <rPr>
        <rFont val="Arial"/>
        <color rgb="FF000000"/>
        <sz val="10.0"/>
      </rPr>
      <t xml:space="preserve">PI-20190509C
</t>
    </r>
    <r>
      <rPr>
        <rFont val="Arial"/>
        <b/>
        <color rgb="FF0000FF"/>
        <sz val="10.0"/>
      </rPr>
      <t>(IQC+DRAM標籤)</t>
    </r>
  </si>
  <si>
    <t>719_D4S8GHLOFEC 8G DDR4 SO-DIMM(0- 85°C)</t>
  </si>
  <si>
    <t>PI-20190513A</t>
  </si>
  <si>
    <t>719_AIMB-581QG2-00A1E</t>
  </si>
  <si>
    <t>PU40233592</t>
  </si>
  <si>
    <t>719_1700008461-11</t>
  </si>
  <si>
    <t>PI-20190513B</t>
  </si>
  <si>
    <t>719_CP-132UL-DB9M</t>
  </si>
  <si>
    <t>QS18393119</t>
  </si>
  <si>
    <t>PI-20190513C</t>
  </si>
  <si>
    <t>QS18393875</t>
  </si>
  <si>
    <t>PI-20190515A</t>
  </si>
  <si>
    <t xml:space="preserve">719_931890
Intel® Core™ i3-­4360 Processor (4M Cache, 3.70 GHz) </t>
  </si>
  <si>
    <t>PU57562653</t>
  </si>
  <si>
    <t>PI-20190515B</t>
  </si>
  <si>
    <t>719-i5-2400</t>
  </si>
  <si>
    <t>PS35752327</t>
  </si>
  <si>
    <t>PI-20190515C</t>
  </si>
  <si>
    <t>719_Uport -1450</t>
  </si>
  <si>
    <t>QS18393148</t>
  </si>
  <si>
    <t>719_Nport 5150EU</t>
  </si>
  <si>
    <t>719_Nport 5232</t>
  </si>
  <si>
    <t>719_CP-116E-A</t>
  </si>
  <si>
    <t>719_CBL-M68M9X8-100</t>
  </si>
  <si>
    <t>PI-20190517A</t>
  </si>
  <si>
    <t xml:space="preserve">閎亮 </t>
  </si>
  <si>
    <t>APO-1900520</t>
  </si>
  <si>
    <t xml:space="preserve">PI-20190517B </t>
  </si>
  <si>
    <t>719_MS-98I8</t>
  </si>
  <si>
    <t xml:space="preserve">Elgens </t>
  </si>
  <si>
    <t>PO201905200018</t>
  </si>
  <si>
    <t>PI-20190520A</t>
  </si>
  <si>
    <r>
      <rPr>
        <rFont val="Arial"/>
        <color rgb="FF000000"/>
        <sz val="10.0"/>
      </rPr>
      <t xml:space="preserve">719_Nport-5230A </t>
    </r>
    <r>
      <rPr>
        <rFont val="Arial"/>
        <color rgb="FF0000FF"/>
        <sz val="10.0"/>
      </rPr>
      <t xml:space="preserve">(客戶下單錯誤，核銷。酌收退貨手續費15%)  </t>
    </r>
  </si>
  <si>
    <t>QS18394028</t>
  </si>
  <si>
    <t>PI-20190508B-F</t>
  </si>
  <si>
    <t>QX72033934</t>
  </si>
  <si>
    <t>PI-20190521A</t>
  </si>
  <si>
    <t>7008000229
(719_MD-6108033)
Cavo eSATA to SATA</t>
  </si>
  <si>
    <t>TNT Express Service 182056</t>
  </si>
  <si>
    <t>PT34199124</t>
  </si>
  <si>
    <t>PU40236566</t>
  </si>
  <si>
    <t>PO-190523-1</t>
  </si>
  <si>
    <t>PI-20190523A</t>
  </si>
  <si>
    <t>QS18393937</t>
  </si>
  <si>
    <t>2019/07/08.2019/08/06</t>
  </si>
  <si>
    <t>PI-20190523B</t>
  </si>
  <si>
    <t>DM-F17A/PC-R11</t>
  </si>
  <si>
    <t>RF66079050</t>
  </si>
  <si>
    <t>63040-010060-120-RS</t>
  </si>
  <si>
    <t>FRK17-R10</t>
  </si>
  <si>
    <t>FPK-01-R10.</t>
  </si>
  <si>
    <t>Banking charge</t>
  </si>
  <si>
    <t>EKZOT LLC</t>
  </si>
  <si>
    <t>PI-20190524A</t>
  </si>
  <si>
    <t>APAX-5001-A1E</t>
  </si>
  <si>
    <t>PU40236565</t>
  </si>
  <si>
    <t>APAX-5060-A1E</t>
  </si>
  <si>
    <t>ADAM-6541-AE</t>
  </si>
  <si>
    <t>PO-8961</t>
  </si>
  <si>
    <t>PI-20190524B</t>
  </si>
  <si>
    <t>Tooling fee 15" For P-cap</t>
  </si>
  <si>
    <t>Cathy/Santiago</t>
  </si>
  <si>
    <t>UPS:WF1740
Express Saver</t>
  </si>
  <si>
    <t>RP43139864</t>
  </si>
  <si>
    <t xml:space="preserve">AR tooling fee 15" </t>
  </si>
  <si>
    <t>PI-20190524B-1</t>
  </si>
  <si>
    <r>
      <rPr>
        <rFont val="Arial"/>
        <color theme="1"/>
        <sz val="10.0"/>
      </rPr>
      <t xml:space="preserve">PDK-P150SOBAR-HC, 
including </t>
    </r>
    <r>
      <rPr>
        <rFont val="Arial"/>
        <color rgb="FFFF0000"/>
        <sz val="10.0"/>
      </rPr>
      <t>3 items</t>
    </r>
    <r>
      <rPr>
        <rFont val="Arial"/>
        <color rgb="FF000000"/>
        <sz val="10.0"/>
      </rPr>
      <t xml:space="preserve">
1) RTPC150-H30006-U with 3 mm AR glass</t>
    </r>
  </si>
  <si>
    <t>RP43139863</t>
  </si>
  <si>
    <t>2) OCR Bonding</t>
  </si>
  <si>
    <t>RP53251858</t>
  </si>
  <si>
    <t>3) 15" Mitsubishi LCD from Hectronic</t>
  </si>
  <si>
    <t>PI-20190524B-2</t>
  </si>
  <si>
    <r>
      <rPr>
        <rFont val="Arial"/>
        <color theme="1"/>
        <sz val="10.0"/>
      </rPr>
      <t xml:space="preserve">PDK-P150SOBAR-HC, 
including </t>
    </r>
    <r>
      <rPr>
        <rFont val="Arial"/>
        <color rgb="FFFF0000"/>
        <sz val="10.0"/>
      </rPr>
      <t>3 items</t>
    </r>
    <r>
      <rPr>
        <rFont val="Arial"/>
        <color rgb="FF000000"/>
        <sz val="10.0"/>
      </rPr>
      <t xml:space="preserve">
1) RTPC150-H30006-U with 3 mm AR glass
</t>
    </r>
    <r>
      <rPr>
        <rFont val="Arial"/>
        <b/>
        <color rgb="FF0000FF"/>
        <sz val="10.0"/>
      </rPr>
      <t>(外箱貼紙: S/N: PI-20190524B-2)*5pcs*2C)</t>
    </r>
  </si>
  <si>
    <t>9月</t>
  </si>
  <si>
    <r>
      <rPr>
        <rFont val="Arial"/>
        <color theme="1"/>
        <sz val="10.0"/>
      </rPr>
      <t xml:space="preserve">2) OCR Bonding
</t>
    </r>
    <r>
      <rPr>
        <rFont val="Arial"/>
        <b/>
        <color rgb="FF0000FF"/>
        <sz val="10.0"/>
      </rPr>
      <t>(進廠後請IQC抽驗2PCS-外觀&amp;排線是否為良品)</t>
    </r>
  </si>
  <si>
    <t>TL53221619</t>
  </si>
  <si>
    <t>PI-20190529A</t>
  </si>
  <si>
    <t xml:space="preserve">719_NPort 5650-8-DT-J (US) </t>
  </si>
  <si>
    <t xml:space="preserve">DHL 
Account Number : 956287207 </t>
  </si>
  <si>
    <t>QS18393844</t>
  </si>
  <si>
    <t xml:space="preserve">PI-20190531A </t>
  </si>
  <si>
    <t>719_MT8071iE</t>
  </si>
  <si>
    <t>RH61298119</t>
  </si>
  <si>
    <t>PO201905310010</t>
  </si>
  <si>
    <t>PI-20190531B</t>
  </si>
  <si>
    <t xml:space="preserve">719_NPort5650I-8-DT(US) </t>
  </si>
  <si>
    <t>QS18393843</t>
  </si>
  <si>
    <t>PO-1152019</t>
  </si>
  <si>
    <t>PI-20190603A</t>
  </si>
  <si>
    <t>719_NPORT5450I-T</t>
  </si>
  <si>
    <t>QS18394027</t>
  </si>
  <si>
    <t>2019/07/19.2019/08/19</t>
  </si>
  <si>
    <t>719_NPORT 5650I-8-DTL-T</t>
  </si>
  <si>
    <t>2019/08/19.2019/09/16</t>
  </si>
  <si>
    <t>P190604NP0</t>
  </si>
  <si>
    <t>PI-20190604A</t>
  </si>
  <si>
    <t>LPC-P121S-10VYRG2
(S/N:PD20190605A0001~0008)</t>
  </si>
  <si>
    <t>D3S-8G18S518C1 DDR3L 8G DRAM</t>
  </si>
  <si>
    <t>SSB256GPTCB3T-S114 ( Phison 256g SSD )</t>
  </si>
  <si>
    <t>WFK-524  Wifi module</t>
  </si>
  <si>
    <t>07-AE0-W16W600-001A wifi cable</t>
  </si>
  <si>
    <t>6EU-00031  win10 Iot</t>
  </si>
  <si>
    <t>APO-1900538</t>
  </si>
  <si>
    <t>PI-20190604B</t>
  </si>
  <si>
    <t xml:space="preserve">Elgens   </t>
  </si>
  <si>
    <t>PI-20190604C</t>
  </si>
  <si>
    <t>719_PE-1004
(1834215000478,1834215000464)</t>
  </si>
  <si>
    <t>PS38201687</t>
  </si>
  <si>
    <t>PO/IMP/036</t>
  </si>
  <si>
    <t>PI-20190604D</t>
  </si>
  <si>
    <t>QS18393976</t>
  </si>
  <si>
    <t>PI-20190605A</t>
  </si>
  <si>
    <t xml:space="preserve">719_H25K5A </t>
  </si>
  <si>
    <t>PS50377902</t>
  </si>
  <si>
    <t>719_APAX-5490-IP4AE </t>
  </si>
  <si>
    <t>PU40237222</t>
  </si>
  <si>
    <t>719_APAX-5017-AE</t>
  </si>
  <si>
    <t xml:space="preserve">20190606-AA </t>
  </si>
  <si>
    <t>PI-20190606A</t>
  </si>
  <si>
    <t xml:space="preserve">Elgens  </t>
  </si>
  <si>
    <t>PS36483509</t>
  </si>
  <si>
    <t>Adaptek</t>
  </si>
  <si>
    <t>PI-20190606B</t>
  </si>
  <si>
    <t xml:space="preserve">719_UPort 1150I </t>
  </si>
  <si>
    <t>客戶運送公司自取
    Unique Air Express</t>
  </si>
  <si>
    <t>SP18392812</t>
  </si>
  <si>
    <t>PO-1162019</t>
  </si>
  <si>
    <t>PI-20190606C</t>
  </si>
  <si>
    <t>QS18394026</t>
  </si>
  <si>
    <t>PI-20190606D</t>
  </si>
  <si>
    <t>PS51836328</t>
  </si>
  <si>
    <t>PI-20190607A</t>
  </si>
  <si>
    <t>PU40237223</t>
  </si>
  <si>
    <t>PI-20190610A</t>
  </si>
  <si>
    <t>PU40237413</t>
  </si>
  <si>
    <t xml:space="preserve"> 20190607-ELG01</t>
  </si>
  <si>
    <t>PI-20190610B ( FAE組裝DRAM)</t>
  </si>
  <si>
    <t>719_D4S-8G24H1G8W1, 8GB, wide temp</t>
  </si>
  <si>
    <t>RP56212821</t>
  </si>
  <si>
    <t>LPC-P185WHOB-25SG3
(S/N:PD20190610C0001)</t>
  </si>
  <si>
    <t>PI-20190610B-1 
( FAE組裝DRAM)</t>
  </si>
  <si>
    <t>LPC-P173WHOB-25SG3
(S/N:PD20190610B0001)</t>
  </si>
  <si>
    <t>PO/IMP/040</t>
  </si>
  <si>
    <t>QS18394032</t>
  </si>
  <si>
    <t>MMC</t>
  </si>
  <si>
    <t>CB19-273</t>
  </si>
  <si>
    <t>PI 20190612B</t>
  </si>
  <si>
    <t>719_PCI-1733-BE</t>
  </si>
  <si>
    <t>TNT Economy (2004901)</t>
  </si>
  <si>
    <t>PU40237433</t>
  </si>
  <si>
    <t>PI-20190612A</t>
  </si>
  <si>
    <t>PU40237507</t>
  </si>
  <si>
    <t>PI-20190612B</t>
  </si>
  <si>
    <t>QS18394067</t>
  </si>
  <si>
    <t>PO201906120003</t>
  </si>
  <si>
    <t>PI-20190613A</t>
  </si>
  <si>
    <t xml:space="preserve">719_Nport-5230 w/ US adaptor  </t>
  </si>
  <si>
    <t>QS18394015</t>
  </si>
  <si>
    <t>PI-20190617A</t>
  </si>
  <si>
    <t>7008000407
(719_94LU06W06002)
Y CABLE FOR KEYBOARD &amp; MOUSE</t>
  </si>
  <si>
    <t>PT34198858</t>
  </si>
  <si>
    <t>PO19000240</t>
  </si>
  <si>
    <t>PI-20190619B</t>
  </si>
  <si>
    <t>719_ MGate MB3180 Moxa</t>
  </si>
  <si>
    <t>QS18394107</t>
  </si>
  <si>
    <t xml:space="preserve">PI-20190620A-1
</t>
  </si>
  <si>
    <t>RP53251835</t>
  </si>
  <si>
    <t>免收</t>
  </si>
  <si>
    <r>
      <rPr>
        <rFont val="Arial"/>
        <color rgb="FF000000"/>
        <sz val="10.0"/>
      </rPr>
      <t xml:space="preserve">PI-20190620A-2
(PI-20191007003)
</t>
    </r>
    <r>
      <rPr>
        <rFont val="Arial"/>
        <b/>
        <color rgb="FF0000FF"/>
        <sz val="10.0"/>
      </rPr>
      <t>(成品進廠需IQC)</t>
    </r>
  </si>
  <si>
    <t>VH53441700</t>
  </si>
  <si>
    <r>
      <rPr>
        <rFont val="Arial"/>
        <color rgb="FF000000"/>
        <sz val="10.0"/>
      </rPr>
      <t xml:space="preserve">PI-20190620A-2
(PI-20191007003)
</t>
    </r>
    <r>
      <rPr>
        <rFont val="Arial"/>
        <b/>
        <color rgb="FF0000FF"/>
        <sz val="10.0"/>
      </rPr>
      <t>(抽驗客供品外觀)</t>
    </r>
  </si>
  <si>
    <t>PI-20190620A-3
(PI-20191007005)</t>
  </si>
  <si>
    <r>
      <rPr>
        <rFont val="Arial"/>
        <color rgb="FF000000"/>
        <sz val="10.0"/>
      </rPr>
      <t xml:space="preserve">PI-20190620A-3
(PI-20191007005)
</t>
    </r>
    <r>
      <rPr>
        <rFont val="Arial"/>
        <color rgb="FF0000FF"/>
        <sz val="10.0"/>
      </rPr>
      <t>(成品進廠需IQC</t>
    </r>
    <r>
      <rPr>
        <rFont val="Arial"/>
        <color rgb="FF000000"/>
        <sz val="10.0"/>
      </rPr>
      <t>)</t>
    </r>
  </si>
  <si>
    <t>PI-20190625A</t>
  </si>
  <si>
    <t>TA84254264</t>
  </si>
  <si>
    <t>20190626-ELG01</t>
  </si>
  <si>
    <t>PI-20190625B</t>
  </si>
  <si>
    <t>LPC-P156WHOB-25SG3
(S/N:PD20190626A0001~0004)</t>
  </si>
  <si>
    <t>PI-20190625B-1</t>
  </si>
  <si>
    <t>LPC-P156WHOB-25SG3
(S/N:PD20190626A0005)</t>
  </si>
  <si>
    <t>PI-20190625C</t>
  </si>
  <si>
    <t>UPort 1130</t>
  </si>
  <si>
    <t>QS18394191</t>
  </si>
  <si>
    <t>PI-20190626A</t>
  </si>
  <si>
    <t>7008090211
(CRK16041101-A2)</t>
  </si>
  <si>
    <t>RQ23001642</t>
  </si>
  <si>
    <t>TC66079074</t>
  </si>
  <si>
    <t>PO201906260009</t>
  </si>
  <si>
    <t>PI-20190626B</t>
  </si>
  <si>
    <t>719_ISD-1230-T</t>
  </si>
  <si>
    <t>SP18392833</t>
  </si>
  <si>
    <t>TI2 Pty Ltd</t>
  </si>
  <si>
    <t>P190628NP1</t>
  </si>
  <si>
    <t>PI-20190628A</t>
  </si>
  <si>
    <t xml:space="preserve">719_ARCHMI-817 </t>
  </si>
  <si>
    <t>RP34843172</t>
  </si>
  <si>
    <t>19/0339M</t>
  </si>
  <si>
    <t>PI-20190628B</t>
  </si>
  <si>
    <t>719_TCC-100I</t>
  </si>
  <si>
    <t>TNT A/C: 3001651</t>
  </si>
  <si>
    <t>SP18392829</t>
  </si>
  <si>
    <t>PO201907010010</t>
  </si>
  <si>
    <t xml:space="preserve">PI-20190701A </t>
  </si>
  <si>
    <t xml:space="preserve">719_NPORT 5650-8-DT(US) </t>
  </si>
  <si>
    <t>SP18392934</t>
  </si>
  <si>
    <t>PI-20190701B</t>
  </si>
  <si>
    <t>719_UE-1004</t>
  </si>
  <si>
    <t>RP38239455</t>
  </si>
  <si>
    <t>PI-20190702A</t>
  </si>
  <si>
    <t>SP18393078</t>
  </si>
  <si>
    <t>P1079</t>
  </si>
  <si>
    <t>PI-20190703A</t>
  </si>
  <si>
    <t>719_TPM-68104040003
(10.4" P-cap)</t>
  </si>
  <si>
    <t>RP34903314</t>
  </si>
  <si>
    <t>719_TPM-38150040000
(15" P-cap)</t>
  </si>
  <si>
    <t>PI-20190703B</t>
  </si>
  <si>
    <t>TA84254199</t>
  </si>
  <si>
    <t>PI-20190704A</t>
  </si>
  <si>
    <t>TDM-P190S</t>
  </si>
  <si>
    <t>APROTECH</t>
  </si>
  <si>
    <t>PI-20190704B</t>
  </si>
  <si>
    <t>719_ECS-9071(barebone)</t>
  </si>
  <si>
    <t xml:space="preserve">UPS account: 799R18/ Express Saver
</t>
  </si>
  <si>
    <t>RP38239467</t>
  </si>
  <si>
    <t>PI-20190604A-F</t>
  </si>
  <si>
    <t>SU72014911</t>
  </si>
  <si>
    <t>PO/IMP/053</t>
  </si>
  <si>
    <t xml:space="preserve">PI-20190708A </t>
  </si>
  <si>
    <t>SP18393135</t>
  </si>
  <si>
    <t>Sent to USA customer for defect replecement</t>
  </si>
  <si>
    <t>PI-20190709A</t>
  </si>
  <si>
    <t>719_ PB-409 Power Board</t>
  </si>
  <si>
    <t>UPS account 0341W3</t>
  </si>
  <si>
    <t xml:space="preserve">19/0353M </t>
  </si>
  <si>
    <t>PI-20190710B</t>
  </si>
  <si>
    <t xml:space="preserve">719_EDS-205A-S-SC-T </t>
  </si>
  <si>
    <t>TNT A/C : 3001651</t>
  </si>
  <si>
    <t>SP18393002</t>
  </si>
  <si>
    <t>PO/IMP/054</t>
  </si>
  <si>
    <t>PI-20190711A</t>
  </si>
  <si>
    <t>719_CP-168EL-A w/o Cable</t>
  </si>
  <si>
    <t>SP18393099</t>
  </si>
  <si>
    <t>R418986-ROBO</t>
  </si>
  <si>
    <t>PI-20190711B
RMA-20190616A</t>
  </si>
  <si>
    <t>719_MS-98E6-001 (N4200)
(98E6B1808000040)</t>
  </si>
  <si>
    <t>PO/IMP/056</t>
  </si>
  <si>
    <t>PI-20190712A</t>
  </si>
  <si>
    <t>SP18393098</t>
  </si>
  <si>
    <t>PI-20190715A</t>
  </si>
  <si>
    <t>719_PCIE-1760-AE</t>
  </si>
  <si>
    <t>RR40233645</t>
  </si>
  <si>
    <t>PI-20190805A</t>
  </si>
  <si>
    <t>RR40237180</t>
  </si>
  <si>
    <t>PO201907160003</t>
  </si>
  <si>
    <t xml:space="preserve">PI-20190716A </t>
  </si>
  <si>
    <t xml:space="preserve">719_NPort-5250A(US) </t>
  </si>
  <si>
    <t>SP18393082</t>
  </si>
  <si>
    <t>PI-20190717A
(PI-20191009007)</t>
  </si>
  <si>
    <t>50pcs - Kuehne&amp;Nagel / 20pcs - UPS expedited (1W5651)</t>
  </si>
  <si>
    <t>VK57562173</t>
  </si>
  <si>
    <t>VH34932018</t>
  </si>
  <si>
    <r>
      <rPr>
        <rFont val="arial,sans,sans-serif"/>
        <color rgb="FF000000"/>
        <sz val="10.0"/>
      </rPr>
      <t xml:space="preserve">PI-20190717A
(PI-20191009007)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</si>
  <si>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PI-20190717C</t>
  </si>
  <si>
    <t>減：折讓</t>
  </si>
  <si>
    <t>Elgens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</si>
  <si>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</si>
  <si>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719_IMC-21GA
(S/N:PI20190717C0010~0034)</t>
  </si>
  <si>
    <t>SP18393872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</si>
  <si>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</si>
  <si>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719_LM-7000H-4GTX
(S/N:PI20190717C0004~0005)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</si>
  <si>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</si>
  <si>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719_LM-7000H-4GSFP
(S/N:PI20190717C0009)</t>
  </si>
  <si>
    <t>SP18393920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</si>
  <si>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</si>
  <si>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719_PT-G7728
(S/N:PI20190717C0003)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</si>
  <si>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</si>
  <si>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719_IMC-21GA
(S/N:PI20190717C0035~0069)</t>
  </si>
  <si>
    <t>SP18393921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</si>
  <si>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</si>
  <si>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719_LM-7000H-4GSFP
(S/N:PI20190717C0006~0008)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</si>
  <si>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</si>
  <si>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719_PWR-LV-P48
(S/N:PI20190717C0001~0002)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</si>
  <si>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</si>
  <si>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719_EDS-G512E-4GSFP-T
(S/N:PI20190717C0093~0106)</t>
  </si>
  <si>
    <t>SP18393994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</si>
  <si>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</si>
  <si>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719_PT-G7728
(S/N:PI20190717C0070)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</si>
  <si>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</si>
  <si>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719_EDS-G512E-4GSFP-T
(S/N:PI20190717C0073~0092)</t>
  </si>
  <si>
    <t>SP18393995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</si>
  <si>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</si>
  <si>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719_PWR-LV-P48
(S/N:PI20190717C0071~0072)</t>
  </si>
  <si>
    <t>PI-20190717D</t>
  </si>
  <si>
    <t>TDM-173WGARB-EU
(S/N:MO20190717D0001)</t>
  </si>
  <si>
    <t>P190717NP0</t>
  </si>
  <si>
    <t>PI-20190717E(超恩組裝/FAE貼DRAM貼紙)</t>
  </si>
  <si>
    <t>719_ECX-1000-2R
(s/n:K19G110012~24)</t>
  </si>
  <si>
    <t>RP38239477</t>
  </si>
  <si>
    <t>719_D4S-8G24H1G8C1 8G DDR4 SO-DIMM(0- 85°C)</t>
  </si>
  <si>
    <t>RP56212864</t>
  </si>
  <si>
    <t>PI-20190628A-F</t>
  </si>
  <si>
    <t>elgens DHL</t>
  </si>
  <si>
    <t>SU72029848</t>
  </si>
  <si>
    <t>PO201907190007</t>
  </si>
  <si>
    <t>PI-20190719A</t>
  </si>
  <si>
    <t>719_NPort-5130A(US)</t>
  </si>
  <si>
    <t>SP18393201</t>
  </si>
  <si>
    <t>719_EDS-208</t>
  </si>
  <si>
    <t>PO-1080</t>
  </si>
  <si>
    <r>
      <rPr>
        <rFont val="Arial"/>
        <color rgb="FF000000"/>
        <sz val="10.0"/>
      </rPr>
      <t xml:space="preserve">PI-20190719B-1
(PI-20191007006)
</t>
    </r>
    <r>
      <rPr>
        <rFont val="Arial"/>
        <b/>
        <color rgb="FF0000FF"/>
        <sz val="10.0"/>
      </rPr>
      <t>(抽驗客供品外觀)</t>
    </r>
    <r>
      <rPr>
        <rFont val="Arial"/>
        <color rgb="FF000000"/>
        <sz val="10.0"/>
      </rPr>
      <t xml:space="preserve"> </t>
    </r>
  </si>
  <si>
    <t>PDK-P104SOB-EC (With AG coating) 
1). AA104XG12 ( 客供)</t>
  </si>
  <si>
    <t>12月</t>
  </si>
  <si>
    <t>PI-20190719B-1 
(PI-20191007006)</t>
  </si>
  <si>
    <t>2). HS AB-3810404012111210850 R01</t>
  </si>
  <si>
    <t>3). Optical Bonding</t>
  </si>
  <si>
    <r>
      <rPr>
        <rFont val="Arial"/>
        <b val="0"/>
        <color rgb="FF000000"/>
        <sz val="10.0"/>
      </rPr>
      <t>PI-20190719B-1 
(PI-20191007006)</t>
    </r>
    <r>
      <rPr>
        <rFont val="Arial"/>
        <b/>
        <color rgb="FF0000FF"/>
        <sz val="10.0"/>
      </rPr>
      <t xml:space="preserve">
(成品回廠需做IQC) </t>
    </r>
  </si>
  <si>
    <t xml:space="preserve">5) AG coating  </t>
  </si>
  <si>
    <t>PI-20190719B-2
(PI-20191007006)</t>
  </si>
  <si>
    <t>4). NRE Charge</t>
  </si>
  <si>
    <r>
      <rPr>
        <rFont val="Arial"/>
        <color rgb="FF000000"/>
        <sz val="10.0"/>
      </rPr>
      <t xml:space="preserve">PI-20190719B-2
(PI-20191007006)
</t>
    </r>
    <r>
      <rPr>
        <rFont val="Arial"/>
        <b/>
        <color rgb="FF0000FF"/>
        <sz val="10.0"/>
      </rPr>
      <t>(成品回廠需做IQC)</t>
    </r>
  </si>
  <si>
    <t>TL53221675</t>
  </si>
  <si>
    <r>
      <rPr>
        <rFont val="Arial"/>
        <color rgb="FF000000"/>
        <sz val="10.0"/>
      </rPr>
      <t xml:space="preserve">PI-20190719B-2
(PI-20191007006)
</t>
    </r>
    <r>
      <rPr>
        <rFont val="Arial"/>
        <b/>
        <color rgb="FF0000FF"/>
        <sz val="10.0"/>
      </rPr>
      <t>(抽驗客供品外觀)</t>
    </r>
    <r>
      <rPr>
        <rFont val="Arial"/>
        <color rgb="FF000000"/>
        <sz val="10.0"/>
      </rPr>
      <t xml:space="preserve"> </t>
    </r>
  </si>
  <si>
    <t>PDK-P104SOB-EC (w/o special treatment)
1). AA104XG12 ( 客供)</t>
  </si>
  <si>
    <t>PI-20190719B-2 
(PI-20191007006)</t>
  </si>
  <si>
    <t>TL53407800</t>
  </si>
  <si>
    <t>11676(8PCS)</t>
  </si>
  <si>
    <t>PI-20190719B-3
(PI-20191007002)</t>
  </si>
  <si>
    <t xml:space="preserve">UPS:WF1740
Express </t>
  </si>
  <si>
    <r>
      <rPr>
        <rFont val="Arial"/>
        <color rgb="FF000000"/>
        <sz val="10.0"/>
      </rPr>
      <t xml:space="preserve">PI-20190719B-3
(PI-20191007002)
</t>
    </r>
    <r>
      <rPr>
        <rFont val="Arial"/>
        <b/>
        <color rgb="FF0000FF"/>
        <sz val="10.0"/>
      </rPr>
      <t>(成品回廠需IQC检驗)</t>
    </r>
  </si>
  <si>
    <t>TL53221654</t>
  </si>
  <si>
    <r>
      <rPr>
        <rFont val="Arial"/>
        <color rgb="FF000000"/>
        <sz val="10.0"/>
      </rPr>
      <t xml:space="preserve">PI-20190719B-3
(PI-20191007002)
</t>
    </r>
    <r>
      <rPr>
        <rFont val="Arial"/>
        <b/>
        <color rgb="FF0000FF"/>
        <sz val="10.0"/>
      </rPr>
      <t xml:space="preserve">(抽驗客供品外觀) </t>
    </r>
  </si>
  <si>
    <t>PDK-P150SOB-EC (w/o special treatment)
1). AA150XW14 ( 客供)</t>
  </si>
  <si>
    <t xml:space="preserve">PI-20190719B-3
(PI-20191007002)  </t>
  </si>
  <si>
    <t>2). HS AB-3815004012111210850 R01</t>
  </si>
  <si>
    <t>2019/09/12
2019/09/20</t>
  </si>
  <si>
    <t>TL53407786
TL53407799</t>
  </si>
  <si>
    <t>12,516(8PCS)
4,694(3PCS)</t>
  </si>
  <si>
    <t>2019/11/08.2019/11/14</t>
  </si>
  <si>
    <r>
      <rPr>
        <rFont val="Arial"/>
        <color rgb="FF000000"/>
        <sz val="10.0"/>
      </rPr>
      <t xml:space="preserve">PI-20190719B-4
(PI-20191007007)
</t>
    </r>
    <r>
      <rPr>
        <rFont val="Arial"/>
        <b/>
        <color rgb="FF0000FF"/>
        <sz val="10.0"/>
      </rPr>
      <t>(抽驗客供品外觀) &amp;外箱需有LCD序號</t>
    </r>
  </si>
  <si>
    <t>PDK-P150SOB-EC (w/AG Film) 
1). AA150XW14 ( 客供)</t>
  </si>
  <si>
    <t>2019/12/05*2PCS 
2019/11/12*2 PCS</t>
  </si>
  <si>
    <t>PI-20190719B-4 
(PI-20191007007)</t>
  </si>
  <si>
    <t xml:space="preserve">PI-20190719B-4
(PI-20191007007)  </t>
  </si>
  <si>
    <t>VH53441716(2PCS)</t>
  </si>
  <si>
    <t>PI-20190719C</t>
  </si>
  <si>
    <t>TA84254231</t>
  </si>
  <si>
    <t xml:space="preserve">PI-20190719B-4
(PI-20191007006)  
</t>
  </si>
  <si>
    <t xml:space="preserve">4) AG film  </t>
  </si>
  <si>
    <r>
      <rPr>
        <rFont val="Arial"/>
        <color rgb="FF000000"/>
        <sz val="10.0"/>
      </rPr>
      <t xml:space="preserve">2019/12/05*2PCS 
</t>
    </r>
    <r>
      <rPr>
        <rFont val="Arial"/>
        <color rgb="FF000000"/>
        <sz val="10.0"/>
      </rPr>
      <t>2019/11/12*2 PCS</t>
    </r>
  </si>
  <si>
    <r>
      <rPr>
        <rFont val="Arial"/>
        <color rgb="FF000000"/>
        <sz val="10.0"/>
      </rPr>
      <t xml:space="preserve">PI-20190719B-4
(PI-20191007007)  
</t>
    </r>
    <r>
      <rPr>
        <rFont val="Arial"/>
        <b/>
        <color rgb="FF0000FF"/>
        <sz val="10.0"/>
      </rPr>
      <t>(成品回廠需IQC检驗)&amp;外箱需有LCD序號</t>
    </r>
  </si>
  <si>
    <t>5) 719_15-AG-film-tap</t>
  </si>
  <si>
    <t>PI-20190722A</t>
  </si>
  <si>
    <t>04-SH1-BFPF156-171A
15.6" thinner frame</t>
  </si>
  <si>
    <t>TPM-68156040001
15.6" P-cap touch with touch controller</t>
  </si>
  <si>
    <t>waterproof tapes and glues</t>
  </si>
  <si>
    <t>PO201907220006</t>
  </si>
  <si>
    <t>PI-20190722B</t>
  </si>
  <si>
    <t>SP18393200</t>
  </si>
  <si>
    <t>PO/IMP/063</t>
  </si>
  <si>
    <t>PI-20190722C</t>
  </si>
  <si>
    <t>719_CP-114UL-DB9M V1.0</t>
  </si>
  <si>
    <t>SP18393844</t>
  </si>
  <si>
    <t>SP18393873</t>
  </si>
  <si>
    <t>PI-20190722D</t>
  </si>
  <si>
    <t>RR40234028</t>
  </si>
  <si>
    <t>PI-20190723C</t>
  </si>
  <si>
    <t>SP18393183</t>
  </si>
  <si>
    <t>719_MGate MB3180</t>
  </si>
  <si>
    <t>STAUT</t>
  </si>
  <si>
    <t>2407_19</t>
  </si>
  <si>
    <t>PI-20190723D(FAE換P/N Label )</t>
  </si>
  <si>
    <t>719_CPCI-3510G/4700E/M4
(S/N:PI20190723D0001~0007)</t>
  </si>
  <si>
    <t>RP36526430</t>
  </si>
  <si>
    <t>PO201907250012</t>
  </si>
  <si>
    <t>PI-20190725A</t>
  </si>
  <si>
    <t>719_CP-134EL-A-I-DB25M</t>
  </si>
  <si>
    <t>SP18393996</t>
  </si>
  <si>
    <t xml:space="preserve">PI-20190726A </t>
  </si>
  <si>
    <t>719_UE-1004
(s/n:1922212000346)</t>
  </si>
  <si>
    <t>Vecow超恩</t>
  </si>
  <si>
    <t>RP38239478</t>
  </si>
  <si>
    <t xml:space="preserve"> P190726VA0</t>
  </si>
  <si>
    <t>PI-20190726B(FAE IQC+組裝/貼DRAM貼紙)</t>
  </si>
  <si>
    <t>719_Nuvo-7002LP
(S/N:J3202860~2864)</t>
  </si>
  <si>
    <t>RP34835105</t>
  </si>
  <si>
    <t>RP38239492</t>
  </si>
  <si>
    <t>D4S-8G24H1G8C1</t>
  </si>
  <si>
    <t>RP56212882</t>
  </si>
  <si>
    <t xml:space="preserve">PO-1322019 </t>
  </si>
  <si>
    <t xml:space="preserve">PI-20190730A </t>
  </si>
  <si>
    <t>UL18393133</t>
  </si>
  <si>
    <t>PI-20190704A-F</t>
  </si>
  <si>
    <t>ELGENS DHL</t>
  </si>
  <si>
    <t>SU72113529</t>
  </si>
  <si>
    <t>PB2019-EL</t>
  </si>
  <si>
    <t>PI-20190731A</t>
  </si>
  <si>
    <t>719_Nport IA5250A</t>
  </si>
  <si>
    <t>SP18393887</t>
  </si>
  <si>
    <t>719_Mini DB9F-to-TB</t>
  </si>
  <si>
    <t>719_Nport IA5150AI-T</t>
  </si>
  <si>
    <t>330-19071299</t>
  </si>
  <si>
    <t>PI-20190731B</t>
  </si>
  <si>
    <t>SP18394116</t>
  </si>
  <si>
    <t>PI-20190801A</t>
  </si>
  <si>
    <t>AWK-1137C-US</t>
  </si>
  <si>
    <t>SP18394172</t>
  </si>
  <si>
    <t>SU72135896</t>
  </si>
  <si>
    <t>PI-20190801A-1</t>
  </si>
  <si>
    <t>PI-20190801B</t>
  </si>
  <si>
    <t>SP18393877</t>
  </si>
  <si>
    <t>719_ IA240-LX</t>
  </si>
  <si>
    <t>719_IMC-101-M-SC</t>
  </si>
  <si>
    <t>PI-20190801C</t>
  </si>
  <si>
    <t>PO-1342019</t>
  </si>
  <si>
    <t>PI-20190801D</t>
  </si>
  <si>
    <t>APO-1900801</t>
  </si>
  <si>
    <t xml:space="preserve">PI-20190801E </t>
  </si>
  <si>
    <t>PI-20190717E-F</t>
  </si>
  <si>
    <t>SU72120826</t>
  </si>
  <si>
    <t>台灣脈動股份有限公司</t>
  </si>
  <si>
    <t>統編: 25041149</t>
  </si>
  <si>
    <t>PI-20190806B</t>
  </si>
  <si>
    <t>代墊參展費用 (25% of 2019 SPS大會展費 Euro6380 )</t>
  </si>
  <si>
    <t>Combined with Elgens shipment</t>
  </si>
  <si>
    <t>2019/08/06開立發票</t>
  </si>
  <si>
    <t>PO140601-1</t>
  </si>
  <si>
    <t>PI-20190808A
(PI-20191003002 )</t>
  </si>
  <si>
    <t>2019/10/7</t>
  </si>
  <si>
    <t>UL18393841</t>
  </si>
  <si>
    <t>PI-20190808A
(PI-20191003002)</t>
  </si>
  <si>
    <t>2019/10/07</t>
  </si>
  <si>
    <t>PI-20190812A</t>
  </si>
  <si>
    <t>719_Nport IA5250A          </t>
  </si>
  <si>
    <t>SP18394022</t>
  </si>
  <si>
    <t>AVZA</t>
  </si>
  <si>
    <t>PI-20190813A</t>
  </si>
  <si>
    <t>719_Aten to Serial Convertor 
UC232A USB to RS-232 (35CM)
(Invoice show: Personal Computer Aten USB to Serial Convertor)</t>
  </si>
  <si>
    <t xml:space="preserve">TNT #3002622  Express </t>
  </si>
  <si>
    <t>RR42911371</t>
  </si>
  <si>
    <t xml:space="preserve">719_NPort W2150A
(Invoice show: Personal Computer Nport Ethernet Converter(W2150)) </t>
  </si>
  <si>
    <t>UL18392866</t>
  </si>
  <si>
    <t>PI-20190813A-1</t>
  </si>
  <si>
    <t xml:space="preserve">719_ANT-WSB-AHRM-05-1.5m
(Invoice show: Personal Computer Wifi Module(AHRM-05-1.5m) </t>
  </si>
  <si>
    <t>PO201908130008</t>
  </si>
  <si>
    <t>PI-20190813B</t>
  </si>
  <si>
    <t xml:space="preserve">719_Mini DB9F-to-TB </t>
  </si>
  <si>
    <t>SP18394092</t>
  </si>
  <si>
    <t>PI-20190813C</t>
  </si>
  <si>
    <t>719_EDS-316</t>
  </si>
  <si>
    <t>SP18394079</t>
  </si>
  <si>
    <t>PI-20190814A</t>
  </si>
  <si>
    <t xml:space="preserve"> 719_NPort 5650-8-DT w/ European adapter</t>
  </si>
  <si>
    <t>UL18393002</t>
  </si>
  <si>
    <t xml:space="preserve">19/0404M </t>
  </si>
  <si>
    <t>PI-20190814C</t>
  </si>
  <si>
    <t>719_ADAM-4017-DE</t>
  </si>
  <si>
    <t>RR40237338</t>
  </si>
  <si>
    <t>ti2 Pty Ltd</t>
  </si>
  <si>
    <t>PI-20190726B-F</t>
  </si>
  <si>
    <t>SU72126845</t>
  </si>
  <si>
    <t>PI-20190815A</t>
  </si>
  <si>
    <t>SP18394262</t>
  </si>
  <si>
    <r>
      <rPr>
        <rFont val="Arial"/>
        <color rgb="FF000000"/>
        <sz val="10.0"/>
      </rPr>
      <t xml:space="preserve">PI-20190815B
(PI-20191007001)
</t>
    </r>
    <r>
      <rPr>
        <rFont val="Arial"/>
        <b/>
        <color rgb="FF0000FF"/>
        <sz val="10.0"/>
      </rPr>
      <t>(物料回公司後需檢驗)</t>
    </r>
  </si>
  <si>
    <t>15"bonding + EMI with AG/AR</t>
  </si>
  <si>
    <t>TL53221646</t>
  </si>
  <si>
    <r>
      <rPr>
        <rFont val="Arial"/>
        <color rgb="FF000000"/>
        <sz val="10.0"/>
      </rPr>
      <t>PI-20190815B
(PI-20191007001)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(LCD 需進料檢驗)</t>
    </r>
  </si>
  <si>
    <t>MITSUBISHI 15" LCD (AA150PD13)</t>
  </si>
  <si>
    <t>PI-20190524B-F</t>
  </si>
  <si>
    <t>UPS Freight</t>
  </si>
  <si>
    <t>代墊UPS 運費</t>
  </si>
  <si>
    <t xml:space="preserve">19/0410M </t>
  </si>
  <si>
    <t>PI-20190819A</t>
  </si>
  <si>
    <t>719_Nport5230T</t>
  </si>
  <si>
    <t>SP18394148</t>
  </si>
  <si>
    <t>719_Nport5210T</t>
  </si>
  <si>
    <t>719_CBL-RJ45SM9-150</t>
  </si>
  <si>
    <t>UL18393010</t>
  </si>
  <si>
    <t>閎亮</t>
  </si>
  <si>
    <t>APO-1900821</t>
  </si>
  <si>
    <t>PI-20190820B</t>
  </si>
  <si>
    <t>PO00043</t>
  </si>
  <si>
    <r>
      <rPr>
        <rFont val="Arial"/>
        <color rgb="FF000000"/>
        <sz val="10.0"/>
      </rPr>
      <t xml:space="preserve">PI-20190820A
(PI-20191002002)
</t>
    </r>
    <r>
      <rPr>
        <rFont val="Arial"/>
        <b/>
        <color rgb="FF0000FF"/>
        <sz val="10.0"/>
      </rPr>
      <t xml:space="preserve">(成品回廠請確認又否安裝CFast Card於內) </t>
    </r>
  </si>
  <si>
    <t>Cathy/Yvonne</t>
  </si>
  <si>
    <t xml:space="preserve">TNT </t>
  </si>
  <si>
    <t>PI-20190820A
(PI-20191002002)</t>
  </si>
  <si>
    <r>
      <rPr>
        <rFont val="Arial"/>
        <color rgb="FF000000"/>
        <sz val="10.0"/>
      </rPr>
      <t xml:space="preserve">719_CFast Card 8GB (MLC) 
</t>
    </r>
    <r>
      <rPr>
        <rFont val="Arial"/>
        <b/>
        <color rgb="FF0000FF"/>
        <sz val="10.0"/>
      </rPr>
      <t xml:space="preserve">(0911 Yap:須直接裝在系統內)
</t>
    </r>
    <r>
      <rPr>
        <rFont val="Arial"/>
        <color rgb="FF0000FF"/>
        <sz val="10.0"/>
      </rPr>
      <t>w/ Debian 7 pre-installed</t>
    </r>
  </si>
  <si>
    <t>719_CBL-M12(FF5P)/ OPEN-100 IP67</t>
  </si>
  <si>
    <t>719_CBL-M12XMM8PRJ45-BK-100-IP67</t>
  </si>
  <si>
    <t xml:space="preserve">TNT 
</t>
  </si>
  <si>
    <t>PI-20190821A</t>
  </si>
  <si>
    <t>719_ADAM-4060-DE</t>
  </si>
  <si>
    <t>RR40237468</t>
  </si>
  <si>
    <t>330-19080612</t>
  </si>
  <si>
    <t>PI-20190821B</t>
  </si>
  <si>
    <t>UL18393073</t>
  </si>
  <si>
    <t>PO201908210016</t>
  </si>
  <si>
    <t>PI-20190821C</t>
  </si>
  <si>
    <t>SP18394229</t>
  </si>
  <si>
    <t>KG201908000001</t>
  </si>
  <si>
    <t>PI-20190823A</t>
  </si>
  <si>
    <t>RP08792550</t>
  </si>
  <si>
    <t>TL08821250</t>
  </si>
  <si>
    <t>PI-20190826A</t>
  </si>
  <si>
    <t>02-BE0-R232285-001A
(98H3/98E6_422/485 +232 Y CABLE (加長版)</t>
  </si>
  <si>
    <t>ELGENS TNT FREIGHT</t>
  </si>
  <si>
    <t>TN21486830</t>
  </si>
  <si>
    <t>PO-8998</t>
  </si>
  <si>
    <t>Protective glass, 7", bonded
1906-0701-001
Not to be bonded.</t>
  </si>
  <si>
    <t>PO/IMP/077</t>
  </si>
  <si>
    <t>PI-20190828A</t>
  </si>
  <si>
    <t>719_NPORT-5130/EU
(84715000)</t>
  </si>
  <si>
    <t>UL18392915</t>
  </si>
  <si>
    <t>719_IMC-21-M-ST</t>
  </si>
  <si>
    <t>719_UPORT-1150 
(84733099)</t>
  </si>
  <si>
    <t>719_NPORT-5150/EU
(84715000)</t>
  </si>
  <si>
    <t>PI-20190829A</t>
  </si>
  <si>
    <t xml:space="preserve">TNT account: </t>
  </si>
  <si>
    <t>UL18392916</t>
  </si>
  <si>
    <t>TNT account</t>
  </si>
  <si>
    <t>PO201908290022</t>
  </si>
  <si>
    <t>PI-20190829B</t>
  </si>
  <si>
    <t>719_NPort5650I-8-DT/US</t>
  </si>
  <si>
    <t>UL18392951</t>
  </si>
  <si>
    <t>P190902NP0</t>
  </si>
  <si>
    <t>PI-20190902A</t>
  </si>
  <si>
    <t>LPC-P121S-10VYRG2
(S/N:MO20190902A0001~0007)</t>
  </si>
  <si>
    <t>719_D3S-8G18S518C1 DDR3L 8G DRAM</t>
  </si>
  <si>
    <t>719_SSB256GPTCB3T-S114 ( Phison 256g SSD )</t>
  </si>
  <si>
    <t>719_WFK-524 Wifi module</t>
  </si>
  <si>
    <t>719_07-AE0-W16W600-001A wifi cable</t>
  </si>
  <si>
    <t>719_6EU-00031 win10 Iot</t>
  </si>
  <si>
    <t>PI-20190902A-1</t>
  </si>
  <si>
    <t>LPC-P121S-10VYRG2
(S/N:MO20190902A0008)</t>
  </si>
  <si>
    <t>elgens DHL ( 抵RMA運費) cost at Elgens</t>
  </si>
  <si>
    <t>UR72134903</t>
  </si>
  <si>
    <t>P190912NP0</t>
  </si>
  <si>
    <t>PI-20190902A-2</t>
  </si>
  <si>
    <t>LPC-P121S-10VYRG2
(S/N:MO20190902A0009)</t>
  </si>
  <si>
    <t>PI-20190904A</t>
  </si>
  <si>
    <t>UL18392983</t>
  </si>
  <si>
    <t>719_Nport 5650-8-DTL</t>
  </si>
  <si>
    <t>UL18393074</t>
  </si>
  <si>
    <t>P190905NP0</t>
  </si>
  <si>
    <t>PI-20190905A</t>
  </si>
  <si>
    <t>719_PFN-2055 CR</t>
  </si>
  <si>
    <t>UY94082320</t>
  </si>
  <si>
    <t>P190905NP3</t>
  </si>
  <si>
    <t>PI-20190905B
(FAE Check CPU &amp;加DRAM貼紙)</t>
  </si>
  <si>
    <t>719_ECX-1000-2R</t>
  </si>
  <si>
    <t>TL38169021</t>
  </si>
  <si>
    <t>719_intel i5-8500T ( vecow )</t>
  </si>
  <si>
    <t>719_D4S-8G24H1G8C1</t>
  </si>
  <si>
    <t>TL37060876</t>
  </si>
  <si>
    <t>PO201909060012</t>
  </si>
  <si>
    <t>PI-20190906A</t>
  </si>
  <si>
    <t>719_NPort5610-8-DT-J/TW</t>
  </si>
  <si>
    <t>UL18393037</t>
  </si>
  <si>
    <t>G8288</t>
  </si>
  <si>
    <t>PI-20190906B</t>
  </si>
  <si>
    <t>UL18393180</t>
  </si>
  <si>
    <t>719_MGate MB3270</t>
  </si>
  <si>
    <t>PI-20190909A
(PI-20191014003)</t>
  </si>
  <si>
    <t xml:space="preserve">719_NPort 5110  (84715000) /EU </t>
  </si>
  <si>
    <t>719_NPort 5130 (84715000)/ EU</t>
  </si>
  <si>
    <r>
      <rPr>
        <rFont val="Arial"/>
        <color rgb="FF000000"/>
        <sz val="10.0"/>
      </rPr>
      <t>719_NPort 5150  (84715000)</t>
    </r>
    <r>
      <rPr>
        <rFont val="Arial"/>
        <color rgb="FF000000"/>
        <sz val="10.0"/>
      </rPr>
      <t xml:space="preserve"> / EU</t>
    </r>
  </si>
  <si>
    <t>719_UPort 1130</t>
  </si>
  <si>
    <t>719_UPort 1150 (84733099)</t>
  </si>
  <si>
    <t xml:space="preserve">captec </t>
  </si>
  <si>
    <t>Evaluation
PI-20190910A</t>
  </si>
  <si>
    <t xml:space="preserve">LPC-P150S-28+adaptor+展示架 </t>
  </si>
  <si>
    <t>transfer from Accuview(freight prepaid )</t>
  </si>
  <si>
    <t>進行中</t>
  </si>
  <si>
    <t>pi-20190905A-F</t>
  </si>
  <si>
    <t>UR72013131</t>
  </si>
  <si>
    <t>P1082</t>
  </si>
  <si>
    <r>
      <rPr>
        <rFont val="Arial"/>
        <color rgb="FF000000"/>
        <sz val="10.0"/>
      </rPr>
      <t xml:space="preserve">PI-20190910B
</t>
    </r>
    <r>
      <rPr>
        <rFont val="Arial"/>
        <b/>
        <color rgb="FF0000FF"/>
        <sz val="10.0"/>
      </rPr>
      <t>(需bank確認後出貨)</t>
    </r>
  </si>
  <si>
    <t xml:space="preserve">sample of glass + AG film (10.1")   </t>
  </si>
  <si>
    <t>TL51887568</t>
  </si>
  <si>
    <r>
      <rPr>
        <rFont val="Arial"/>
        <color rgb="FF000000"/>
        <sz val="10.0"/>
      </rPr>
      <t xml:space="preserve">PI-20190910B
</t>
    </r>
    <r>
      <rPr>
        <rFont val="Arial"/>
        <b/>
        <color rgb="FF0000FF"/>
        <sz val="10.0"/>
      </rPr>
      <t>(需bank確認後出貨)</t>
    </r>
  </si>
  <si>
    <t>sample of AR glass with coating (around 10.1") SLB</t>
  </si>
  <si>
    <r>
      <rPr>
        <rFont val="Arial"/>
        <color rgb="FF000000"/>
        <sz val="10.0"/>
      </rPr>
      <t xml:space="preserve">PI-20190910B
</t>
    </r>
    <r>
      <rPr>
        <rFont val="Arial"/>
        <b/>
        <color rgb="FF0000FF"/>
        <sz val="10.0"/>
      </rPr>
      <t>(需bank確認後出貨)</t>
    </r>
  </si>
  <si>
    <t xml:space="preserve">sample of AG glass with coating (17")-&gt; change to 10.1" </t>
  </si>
  <si>
    <t>IG-19-1300569</t>
  </si>
  <si>
    <t>PI-20190910C</t>
  </si>
  <si>
    <t>719_CP-118EL-A w/o cable</t>
  </si>
  <si>
    <t>UL18393093</t>
  </si>
  <si>
    <t>719_CP-104EL-A-DB9M</t>
  </si>
  <si>
    <t>719_CP-118U-I</t>
  </si>
  <si>
    <t>719_CBL-M78M9x8-100</t>
  </si>
  <si>
    <t>GID Industrial</t>
  </si>
  <si>
    <t xml:space="preserve">Evaluation
PI-20190912A </t>
  </si>
  <si>
    <t xml:space="preserve">sample of LPC-P173W-26 for testing </t>
  </si>
  <si>
    <t>F</t>
  </si>
  <si>
    <t>免付</t>
  </si>
  <si>
    <t>PI-20190913A</t>
  </si>
  <si>
    <t>719_ADAM-4015-CE</t>
  </si>
  <si>
    <t>VD40224503</t>
  </si>
  <si>
    <t>PI-20190913B
(PI-20191009001)</t>
  </si>
  <si>
    <t>8GB DRAM (D4S-8G24H1G8W1 )</t>
  </si>
  <si>
    <t>LPC-P185W-16
(S/N: PD20190918A0001)</t>
  </si>
  <si>
    <t>#7185</t>
  </si>
  <si>
    <t xml:space="preserve">PI-20190916A </t>
  </si>
  <si>
    <t>719_RJJL4A-4WH1-FP0-0R</t>
  </si>
  <si>
    <t>FedEx acct: 584168781</t>
  </si>
  <si>
    <t xml:space="preserve">ICM-MA50H-SS52-1151(LF)(SN) </t>
  </si>
  <si>
    <t xml:space="preserve">extra shipping cost from China
(for ICM-MA50H-SS52-1151(LF)(SN)*6 pcs) </t>
  </si>
  <si>
    <t>PO-1492019</t>
  </si>
  <si>
    <t>PI-20190917A
(PI-20191017003)</t>
  </si>
  <si>
    <t>UL18393755</t>
  </si>
  <si>
    <t>PI-20190917B</t>
  </si>
  <si>
    <t>晉越國際</t>
  </si>
  <si>
    <t>UL18393167</t>
  </si>
  <si>
    <t>PI-20190917C</t>
  </si>
  <si>
    <t>719_LM-7000H-4GSFP</t>
  </si>
  <si>
    <t>UL18393121</t>
  </si>
  <si>
    <t>719_LM-7000H-4GTX</t>
  </si>
  <si>
    <t>PI-20190919A
(PI-20191009010)</t>
  </si>
  <si>
    <t>719_ADAM-5000/485-AE</t>
  </si>
  <si>
    <t>VD40225255</t>
  </si>
  <si>
    <t>719_ADAM-5051S-AE</t>
  </si>
  <si>
    <t>719_ADAM-5056-AE</t>
  </si>
  <si>
    <t>719_ADAM-5069-AE</t>
  </si>
  <si>
    <t>PI-20190902A-F</t>
  </si>
  <si>
    <t>PROxis
(LLC «DISTI-PRO»)</t>
  </si>
  <si>
    <t>PI-20190923A
(PI-20191003003)</t>
  </si>
  <si>
    <t>719_ Nport IA5250A</t>
  </si>
  <si>
    <t>WH18392866</t>
  </si>
  <si>
    <t>719_IA240-LX</t>
  </si>
  <si>
    <t>719_TCF-142-M-ST-T</t>
  </si>
  <si>
    <t>719_DK35A</t>
  </si>
  <si>
    <t>PI-20190923B
(PI-20191009009)</t>
  </si>
  <si>
    <t>TM22879316</t>
  </si>
  <si>
    <t xml:space="preserve">20190926-AA </t>
  </si>
  <si>
    <t>PI-20190925A
(PI-20191014004)</t>
  </si>
  <si>
    <t>TL36496068</t>
  </si>
  <si>
    <r>
      <rPr>
        <rFont val="Arial"/>
        <color rgb="FF000000"/>
        <sz val="10.0"/>
      </rPr>
      <t xml:space="preserve">PI-20190925B
(PI-20191007008)
</t>
    </r>
    <r>
      <rPr>
        <rFont val="Arial"/>
        <b/>
        <color rgb="FF0000FF"/>
        <sz val="10.0"/>
      </rPr>
      <t>(成品進貨請IQC)</t>
    </r>
  </si>
  <si>
    <t>PDK-P150SOBAR-HC, 
including 3 items
1) RTPC150-H30006-U with 3 mm AR glass</t>
  </si>
  <si>
    <t>VH43262605</t>
  </si>
  <si>
    <t>PI-20190925B
(PI-20191007008)</t>
  </si>
  <si>
    <r>
      <rPr>
        <rFont val="Arial"/>
        <color theme="1"/>
        <sz val="10.0"/>
      </rPr>
      <t xml:space="preserve">2) OCR Bonding
</t>
    </r>
    <r>
      <rPr>
        <rFont val="Arial"/>
        <b/>
        <color rgb="FF0000FF"/>
        <sz val="10.0"/>
      </rPr>
      <t>(進廠後請IQC抽驗2PCS-外觀&amp;排線是否為良品)</t>
    </r>
  </si>
  <si>
    <t xml:space="preserve">3) 15" Mitsubishi LCD from Hectronic
(AA150XT01) </t>
  </si>
  <si>
    <t>PI-20190927A
(PI-20191017002)</t>
  </si>
  <si>
    <t>UL18393789</t>
  </si>
  <si>
    <t>PI-20190930A
(PI-20191004002)</t>
  </si>
  <si>
    <t>719_ACP-4020MB-40ZE</t>
  </si>
  <si>
    <t>VD40227894</t>
  </si>
  <si>
    <t>719_AIMB-785G2-00A1E</t>
  </si>
  <si>
    <t>719_GHB-120ATXR</t>
  </si>
  <si>
    <t>TL40964119</t>
  </si>
  <si>
    <t>PI-20190930B
(PI-20191003005)</t>
  </si>
  <si>
    <t>TL51887625</t>
  </si>
  <si>
    <t>PDK-170S-TE</t>
  </si>
  <si>
    <t>PI-20191001A
(PI-20191002001)</t>
  </si>
  <si>
    <t>WH18392825</t>
  </si>
  <si>
    <t>PROXIS
(LLC «DISTI-PRO»)</t>
  </si>
  <si>
    <t>PI-20191001B
(PI-20191007009)</t>
  </si>
  <si>
    <t>719_ ACL-8216</t>
  </si>
  <si>
    <t>UZ15542851</t>
  </si>
  <si>
    <t>719_ACL-7122</t>
  </si>
  <si>
    <t>19/0467M</t>
  </si>
  <si>
    <t>PI-20191001E
(PI-20191003001)</t>
  </si>
  <si>
    <t>719_EDS-205A-S-SC-T</t>
  </si>
  <si>
    <t xml:space="preserve">AMY/ Yvonne </t>
  </si>
  <si>
    <t>719_NPort 5110A-T</t>
  </si>
  <si>
    <t>719_ISD-1210-T</t>
  </si>
  <si>
    <t>IG-19-1300653</t>
  </si>
  <si>
    <t>PI-20191002A
(PI-20191004001)</t>
  </si>
  <si>
    <t>719_CP-118U</t>
  </si>
  <si>
    <t>WH18392786</t>
  </si>
  <si>
    <t>PI-20191003A
(PI-20191003004)</t>
  </si>
  <si>
    <t>VD40228019</t>
  </si>
  <si>
    <t>PI-20191005A
(PI-20191008001)</t>
  </si>
  <si>
    <t>VD40228166</t>
  </si>
  <si>
    <t>719_FPM-2170G-R3BE</t>
  </si>
  <si>
    <t>PI-20190620A-T
(PI-20191007005)</t>
  </si>
  <si>
    <t xml:space="preserve">UPS TAX </t>
  </si>
  <si>
    <t>PI-20191007010</t>
  </si>
  <si>
    <t>LPC-P185WHOB-25SG3
(S/N:2019100900001001)</t>
  </si>
  <si>
    <t>PI-20191007011</t>
  </si>
  <si>
    <t>LPC-P185WHOB-25SG3
(S/N:2019100900002001~007)
add 2nd year warranty</t>
  </si>
  <si>
    <t>PI-20191008002</t>
  </si>
  <si>
    <t>719_cPCI-8301</t>
  </si>
  <si>
    <t>UZ15542944</t>
  </si>
  <si>
    <t>719_DGS25-16GD81BW3DC</t>
  </si>
  <si>
    <t>VB36917705</t>
  </si>
  <si>
    <t>Martinsson Elektronik</t>
  </si>
  <si>
    <t>066863-1</t>
  </si>
  <si>
    <t>PI-20191007012</t>
  </si>
  <si>
    <t>TM150TDSG71-MT-5W
1) LCD:TM150TDSG71</t>
  </si>
  <si>
    <t>TNT Economy
 2008044</t>
  </si>
  <si>
    <t>2) MiracleTouch 10150084 V01</t>
  </si>
  <si>
    <t>3) 3M Air Taping</t>
  </si>
  <si>
    <t>VH52094352</t>
  </si>
  <si>
    <t>719_ETP-MB-MER4050UEBG</t>
  </si>
  <si>
    <t>IG-19-1300698</t>
  </si>
  <si>
    <t>PI-20191014001</t>
  </si>
  <si>
    <t>WH18392879</t>
  </si>
  <si>
    <t>PI-20191014006</t>
  </si>
  <si>
    <t>70080Z0001
(BTC013-70-250-1)
(4G &amp; GPS cable)</t>
  </si>
  <si>
    <t>20191015-AA</t>
  </si>
  <si>
    <r>
      <rPr>
        <rFont val="Arial"/>
        <color rgb="FF000000"/>
        <sz val="10.0"/>
      </rPr>
      <t xml:space="preserve">PI-20191015001
</t>
    </r>
    <r>
      <rPr>
        <rFont val="Arial"/>
        <b/>
        <color rgb="FF0000FF"/>
        <sz val="10.0"/>
      </rPr>
      <t xml:space="preserve">(進廠後需更換標籤) </t>
    </r>
  </si>
  <si>
    <t>VH36631956</t>
  </si>
  <si>
    <t>票據短缺</t>
  </si>
  <si>
    <r>
      <rPr>
        <rFont val="Arial"/>
        <color rgb="FF000000"/>
        <sz val="10.0"/>
      </rPr>
      <t>PI-20191015001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 xml:space="preserve">(進廠後需更換標籤) </t>
    </r>
  </si>
  <si>
    <t>PO/IMP/096</t>
  </si>
  <si>
    <t>PI-20191023001</t>
  </si>
  <si>
    <t>WH18392882</t>
  </si>
  <si>
    <t>PO201910160006</t>
  </si>
  <si>
    <t>PI-20191016001</t>
  </si>
  <si>
    <t>719_CBL-M44M9x4-50</t>
  </si>
  <si>
    <t>UL18393944</t>
  </si>
  <si>
    <r>
      <rPr>
        <rFont val="Arial"/>
        <color rgb="FF000000"/>
        <sz val="10.0"/>
      </rPr>
      <t>PI-20191007008</t>
    </r>
    <r>
      <rPr>
        <rFont val="Arial"/>
        <color rgb="FF4A86E8"/>
        <sz val="10.0"/>
      </rPr>
      <t xml:space="preserve">
</t>
    </r>
    <r>
      <rPr>
        <rFont val="Arial"/>
        <b/>
        <color rgb="FF0000FF"/>
        <sz val="10.0"/>
      </rPr>
      <t>(進料請先QC外觀)</t>
    </r>
  </si>
  <si>
    <t>3) 15" Mitsubishi LCD from Hectronic
(AA150XT01), 補10pcs for 6pcs spot NG</t>
  </si>
  <si>
    <t xml:space="preserve">2019/12/19
</t>
  </si>
  <si>
    <t>PO201910160012</t>
  </si>
  <si>
    <t>PI-20191017001</t>
  </si>
  <si>
    <t>719_ioLogik E1210</t>
  </si>
  <si>
    <t>WH18392880</t>
  </si>
  <si>
    <t>719_ioLogik E1211</t>
  </si>
  <si>
    <t>PI-20191017004</t>
  </si>
  <si>
    <t>719_IPC-610MB-00XHE</t>
  </si>
  <si>
    <t>WY45839268</t>
  </si>
  <si>
    <t>719_1701092300</t>
  </si>
  <si>
    <t xml:space="preserve">Extra AG film (for 15"已出9pcs)-&gt; client test </t>
  </si>
  <si>
    <t xml:space="preserve">PI-20190719B-5
(PI-20191007006)
</t>
  </si>
  <si>
    <t>PDK-P104SOB-EC (w/AG film)
1). AA104XG12 ( 客供)</t>
  </si>
  <si>
    <t>VH53441716</t>
  </si>
  <si>
    <t xml:space="preserve">4) AG film </t>
  </si>
  <si>
    <r>
      <rPr>
        <rFont val="Arial"/>
        <color rgb="FF000000"/>
        <sz val="10.0"/>
      </rPr>
      <t xml:space="preserve">PI-20190719B-5
(PI-20191007006)
</t>
    </r>
    <r>
      <rPr>
        <rFont val="Arial"/>
        <b/>
        <color rgb="FF0000FF"/>
        <sz val="10.0"/>
      </rPr>
      <t>(成品回廠需IQC检驗)</t>
    </r>
  </si>
  <si>
    <t>5) 719_10.4-AG-film-tap</t>
  </si>
  <si>
    <t>PI-20190719B-6
(PI-20191007007)</t>
  </si>
  <si>
    <t>PDK-P150SOB-EC (w/AG Coating) 
1). AA150XW14 ( 客供)</t>
  </si>
  <si>
    <t>PI-20190719B-6 
(PI-20191007007)</t>
  </si>
  <si>
    <t xml:space="preserve">PI-20190719B-6 
(PI-20191007007)
</t>
  </si>
  <si>
    <t xml:space="preserve">4) AG Coating </t>
  </si>
  <si>
    <r>
      <rPr>
        <rFont val="Arial"/>
        <color rgb="FF000000"/>
        <sz val="10.0"/>
      </rPr>
      <t xml:space="preserve">PI-20190719B-6 
(PI-20191007007)
</t>
    </r>
    <r>
      <rPr>
        <rFont val="Arial"/>
        <b/>
        <color rgb="FF0000FF"/>
        <sz val="10.0"/>
      </rPr>
      <t>(成品回廠需IQC检驗)</t>
    </r>
  </si>
  <si>
    <t>Aprotech</t>
  </si>
  <si>
    <t>PI-20191018001</t>
  </si>
  <si>
    <t>9071R719_ECS-9071R
(s/n:S19C070001~S19C070004)</t>
  </si>
  <si>
    <t xml:space="preserve"> UPS account: 799R18/ Express Saver </t>
  </si>
  <si>
    <t>TL38169059</t>
  </si>
  <si>
    <t>PO/IMP/0101</t>
  </si>
  <si>
    <t>PI-20191024001</t>
  </si>
  <si>
    <t>WH18392881</t>
  </si>
  <si>
    <t>PI-20191024002</t>
  </si>
  <si>
    <t>719_UNO-2484G-6531AE</t>
  </si>
  <si>
    <t>WY45840494</t>
  </si>
  <si>
    <t>719_IDS-3121WN-25FHA1E</t>
  </si>
  <si>
    <t>719_96PSA-A60W12R1-1</t>
  </si>
  <si>
    <t>505033-1</t>
  </si>
  <si>
    <t>PI-20191025001</t>
  </si>
  <si>
    <t>TDM-173WGARB
(S/N:2019103000001001)</t>
  </si>
  <si>
    <t>TNT economy 002016562</t>
  </si>
  <si>
    <t>VH52094371</t>
  </si>
  <si>
    <t>PI-20191026001</t>
  </si>
  <si>
    <t>PI-20191027001</t>
  </si>
  <si>
    <t>LPC-P185W-16
(S/N: 2019102800001001~003)</t>
  </si>
  <si>
    <t>UPS expedited (1W5651)</t>
  </si>
  <si>
    <t>PI-20191029001</t>
  </si>
  <si>
    <t>VD40229382</t>
  </si>
  <si>
    <t>P191029NP0</t>
  </si>
  <si>
    <t>PI-20191029002( FAE install CPU /DRAM &amp; Label )</t>
  </si>
  <si>
    <t>719_7002LP
(S/N:J4504107~111)</t>
  </si>
  <si>
    <t>VH34934702</t>
  </si>
  <si>
    <t>719_ i5-8500T</t>
  </si>
  <si>
    <t>VH38341267</t>
  </si>
  <si>
    <t>719_D4S-8G24H1G8C1 DDR 4 8G</t>
  </si>
  <si>
    <t>TL37060930</t>
  </si>
  <si>
    <t>P191029NP1</t>
  </si>
  <si>
    <t>PI-20191029003( FAE DRAM &amp; Label )</t>
  </si>
  <si>
    <t>719_POC-210
(S/N:J4523888~90)</t>
  </si>
  <si>
    <t>719_POC-212
(S/N:J4524885~87)</t>
  </si>
  <si>
    <t>719_D3S-8G18S518C1  DDR 3L 8G</t>
  </si>
  <si>
    <t>VH37205007</t>
  </si>
  <si>
    <t>P191029NP2</t>
  </si>
  <si>
    <t>PI-20191029004</t>
  </si>
  <si>
    <t>719_ARCHMI-817
(S/N: A1910003064~65)</t>
  </si>
  <si>
    <t>VH34939864</t>
  </si>
  <si>
    <t>PI-20191030001</t>
  </si>
  <si>
    <t>WY45839265</t>
  </si>
  <si>
    <t>PO201910290016</t>
  </si>
  <si>
    <t>PI-20191030002</t>
  </si>
  <si>
    <t>719_MGate-MB3480</t>
  </si>
  <si>
    <t>WH18392984</t>
  </si>
  <si>
    <t>719_MINIDB9F-TO-TB</t>
  </si>
  <si>
    <t>IG-19-1300748</t>
  </si>
  <si>
    <t>PI-20191030004</t>
  </si>
  <si>
    <t>719_ACP-4000BP-30CE</t>
  </si>
  <si>
    <t>WY45839617</t>
  </si>
  <si>
    <t>719_PCE-5129G2-00A1E</t>
  </si>
  <si>
    <t>719_PCE-5B13-08A1E</t>
  </si>
  <si>
    <t>719_ZZ004 Bank charge</t>
  </si>
  <si>
    <t xml:space="preserve">APO-1901018 </t>
  </si>
  <si>
    <t>PI-20191031001</t>
  </si>
  <si>
    <t>MS-98I8-003</t>
  </si>
  <si>
    <t>YVONNE</t>
  </si>
  <si>
    <t xml:space="preserve">Datasol </t>
  </si>
  <si>
    <t>2102-CR5517</t>
  </si>
  <si>
    <t>PI-20191101002</t>
  </si>
  <si>
    <t>COC Service fee</t>
  </si>
  <si>
    <t>E&amp;E Transport Int’l Co., Ltd. (Taiwan)</t>
  </si>
  <si>
    <r>
      <rPr>
        <rFont val="Arial"/>
        <color rgb="FF000000"/>
        <sz val="10.0"/>
      </rPr>
      <t xml:space="preserve">PI-20191101002
</t>
    </r>
    <r>
      <rPr>
        <rFont val="Arial"/>
        <b/>
        <color rgb="FF0000FF"/>
        <sz val="10.0"/>
      </rPr>
      <t>(check the resolutions for VGA /DVI before you ship out)&amp; SOP文件</t>
    </r>
  </si>
  <si>
    <t>LDK-170SADT-DS</t>
  </si>
  <si>
    <t>PI-20191101001</t>
  </si>
  <si>
    <t>LPC-P173W-26</t>
  </si>
  <si>
    <t>PI-20191104002</t>
  </si>
  <si>
    <t>719_UNO-2483G-434AE</t>
  </si>
  <si>
    <t>WY45840414</t>
  </si>
  <si>
    <t>20191105-AA</t>
  </si>
  <si>
    <r>
      <rPr>
        <rFont val="Arial"/>
        <color rgb="FF000000"/>
        <sz val="10.0"/>
      </rPr>
      <t>PI-20191105001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 xml:space="preserve">(進廠後需更換標籤) </t>
    </r>
  </si>
  <si>
    <t>VH36631961</t>
  </si>
  <si>
    <t>P191105NP0</t>
  </si>
  <si>
    <t>PI-20191105002</t>
  </si>
  <si>
    <t>PB-9250J-SA Series
(S/N: J4000090)</t>
  </si>
  <si>
    <t>2019/12/18.2020/01/10.2020/01/20</t>
  </si>
  <si>
    <t>719_6700A-2SSC4TX</t>
  </si>
  <si>
    <t>719_NPort-5450I-T</t>
  </si>
  <si>
    <t>PI-20191112002</t>
  </si>
  <si>
    <t>LPC-P156WHOB-25SG3
add 2nd year warranty</t>
  </si>
  <si>
    <t>PI-20191112003</t>
  </si>
  <si>
    <t>PI-20191112004
(Sample)</t>
  </si>
  <si>
    <t>LPC-P150SC-27T2
with 8GB DRAM and Innodisk CAN-BUS module
(S/N:2019111200001001)</t>
  </si>
  <si>
    <t>2.5"SSD LITE M3B 64GB WT(MI3MB1164G01WN)</t>
  </si>
  <si>
    <t>ELGENS
DHL</t>
  </si>
  <si>
    <t>PO201911070013</t>
  </si>
  <si>
    <t>PI-20191112005</t>
  </si>
  <si>
    <t>719_Nport-5230</t>
  </si>
  <si>
    <t>WH18393079</t>
  </si>
  <si>
    <t>719_NPort 5210</t>
  </si>
  <si>
    <t>PO_191112-1</t>
  </si>
  <si>
    <t>PI-20191112006</t>
  </si>
  <si>
    <t>WH18393068</t>
  </si>
  <si>
    <t>Plug-In</t>
  </si>
  <si>
    <t>PI-20191114001</t>
  </si>
  <si>
    <t>LPC-P215W-LP6</t>
  </si>
  <si>
    <t>719_MI3MB1112802SN</t>
  </si>
  <si>
    <t>PI-20191114002</t>
  </si>
  <si>
    <t>719_UNO-2473G-J3AE</t>
  </si>
  <si>
    <t>WY45840535</t>
  </si>
  <si>
    <t>719_UNO-2000G-VMKAE</t>
  </si>
  <si>
    <t>719_UNO-2473G-E3AE</t>
  </si>
  <si>
    <t>719_ADAM-3016-AE</t>
  </si>
  <si>
    <t>PI-20191115001</t>
  </si>
  <si>
    <t>WY45840497</t>
  </si>
  <si>
    <t>PI-20191115002</t>
  </si>
  <si>
    <t>719_PCE-7B08-04A1E</t>
  </si>
  <si>
    <t xml:space="preserve">719_ADAM-4510-EE </t>
  </si>
  <si>
    <t>WY45840678</t>
  </si>
  <si>
    <t>719_ EKI-2525-BE</t>
  </si>
  <si>
    <t>PI-20191119001</t>
  </si>
  <si>
    <t>719_NPort-5450</t>
  </si>
  <si>
    <t>719_ZZ004 Banking charge</t>
  </si>
  <si>
    <t>PI-20191120002</t>
  </si>
  <si>
    <t>719_USR-W610</t>
  </si>
  <si>
    <t>待補</t>
  </si>
  <si>
    <t>PI-20191122001</t>
  </si>
  <si>
    <t>LPC-P150S18-AP3</t>
  </si>
  <si>
    <t>2019/11/12.2019/12/25</t>
  </si>
  <si>
    <t>PI-20191123001</t>
  </si>
  <si>
    <t>719_EDS-G512E-8PoE-4GSFP</t>
  </si>
  <si>
    <t>PI-20191123002</t>
  </si>
  <si>
    <t>PI-20191125001</t>
  </si>
  <si>
    <t>719_NPORT5650-8 (Rackmount)</t>
  </si>
  <si>
    <t>PI-20191126001</t>
  </si>
  <si>
    <t>DHL # 955148831</t>
  </si>
  <si>
    <t>70111E0002 (PDK-170S-TE) includes 1-8
1) LCD : G170ETN01.0</t>
  </si>
  <si>
    <t>7) 7008000401
(Backlight cable IMB-150D for G170ETN01.0)
戎克料號:02-BE-00060</t>
  </si>
  <si>
    <t>8) 7009000005
(LVDS cable IMB-150D for G170ETN01.0)
戎克料號:02-BE-00061</t>
  </si>
  <si>
    <t>P191126NP0</t>
  </si>
  <si>
    <t>PI-20191127001</t>
  </si>
  <si>
    <t>05-JM0-INGL20G-001A
Glue</t>
  </si>
  <si>
    <t>LPC-P121S-10VYRG2</t>
  </si>
  <si>
    <t>PI-20191128002</t>
  </si>
  <si>
    <t>719_ZZ013 (handling charge) for RMA</t>
  </si>
  <si>
    <t>PI-20191127002</t>
  </si>
  <si>
    <t>DHL EXPRESS CHARGE</t>
  </si>
  <si>
    <t>PI-20191202001</t>
  </si>
  <si>
    <t>LPC-P150S-10
SAMPLE</t>
  </si>
  <si>
    <t>SSD  SN:19094SB0640003</t>
  </si>
  <si>
    <t>DRAM</t>
  </si>
  <si>
    <t>power adapter 90W</t>
  </si>
  <si>
    <t>PO201912040025</t>
  </si>
  <si>
    <t>PI-20191205001</t>
  </si>
  <si>
    <t>719_TCC-80</t>
  </si>
  <si>
    <t>719_EDS-309-3M-ST</t>
  </si>
  <si>
    <t>PI-20191211001</t>
  </si>
  <si>
    <t>719_ZZ015 增租展場設備費用+2PCS 通行證</t>
  </si>
  <si>
    <t xml:space="preserve">719_ZZ016 展品運費(來回) </t>
  </si>
  <si>
    <t>PO201912100009</t>
  </si>
  <si>
    <t>PI-20191211002</t>
  </si>
  <si>
    <t>719_NPort 5150 W/ adapter
us adapter</t>
  </si>
  <si>
    <t>P191213NP0</t>
  </si>
  <si>
    <t>PI-20191213001</t>
  </si>
  <si>
    <r>
      <rPr>
        <rFont val="Arial"/>
        <color rgb="FF000000"/>
        <sz val="10.0"/>
      </rPr>
      <t xml:space="preserve">Nuvo-5002LP
</t>
    </r>
    <r>
      <rPr>
        <rFont val="Arial"/>
        <color rgb="FF000000"/>
        <sz val="9.0"/>
      </rPr>
      <t>(J5228164,J5228165,J5228167)</t>
    </r>
  </si>
  <si>
    <t>Intel® Core™ i7-6700TE Processor</t>
  </si>
  <si>
    <t>719_WFK-524 WiFi Module kits with full-size miniPCIe extension bracket</t>
  </si>
  <si>
    <t>02-DW0-PWBTMPB-001A
External power switch-1m connector for N5002
719_390-W5152100-031(向宸曜買回加工)</t>
  </si>
  <si>
    <t>07-AE0-W16W01M-001A 
1M EXTENSON WIFI CABLE</t>
  </si>
  <si>
    <t>D4SS1G081SH24A-(C)
商越</t>
  </si>
  <si>
    <t>719_PA120-W</t>
  </si>
  <si>
    <t>PI-20191213002</t>
  </si>
  <si>
    <t xml:space="preserve">719_ZZ017 攤位費用 (諮詢台*1+海報*1)  2020年Embedded </t>
  </si>
  <si>
    <t>PI-20191216001</t>
  </si>
  <si>
    <t>PI-20191218001</t>
  </si>
  <si>
    <t>719_NISE-105-E3845</t>
  </si>
  <si>
    <t>719_7400060032X00</t>
  </si>
  <si>
    <t>719_ZZ004</t>
  </si>
  <si>
    <t>PI-20191224001</t>
  </si>
  <si>
    <t>719_ADAM-6051-D</t>
  </si>
  <si>
    <t>ERP進貨單號
(11/6 停止不KEY)</t>
  </si>
  <si>
    <t>客供料</t>
  </si>
  <si>
    <t>升林</t>
  </si>
  <si>
    <t>PO-20180822B→轉客供料倉</t>
  </si>
  <si>
    <t>第一銀行樹林分行
帳號:203-10-004715</t>
  </si>
  <si>
    <t>同W540</t>
  </si>
  <si>
    <t>PO-20180906D</t>
  </si>
  <si>
    <t>玉山銀行(板橋分行)
1171 940 013686</t>
  </si>
  <si>
    <t>CX0822301N74</t>
  </si>
  <si>
    <t>同U3</t>
  </si>
  <si>
    <t>同O3</t>
  </si>
  <si>
    <t>PI-20181022C-1
(IQC/DRAM標籤)</t>
  </si>
  <si>
    <t>MemxPro敏博</t>
  </si>
  <si>
    <t>●樣品借轉銷L170829001*6pcs
●PO-20181022C*14pcs</t>
  </si>
  <si>
    <t>聯邦田心分行803-0803
080-10-0008388</t>
  </si>
  <si>
    <t>CX082230607B</t>
  </si>
  <si>
    <r>
      <rPr>
        <rFont val="Arial"/>
        <color theme="1"/>
        <sz val="10.0"/>
      </rPr>
      <t xml:space="preserve">719_SPC-3520-300U
</t>
    </r>
    <r>
      <rPr>
        <rFont val="Arial"/>
        <color rgb="FF0000FF"/>
        <sz val="10.0"/>
      </rPr>
      <t>(S/N:Q18A525005~14)</t>
    </r>
  </si>
  <si>
    <t>PO-20181022C</t>
  </si>
  <si>
    <t>同AF10</t>
  </si>
  <si>
    <t>同AG10</t>
  </si>
  <si>
    <t>同U11</t>
  </si>
  <si>
    <t>同O11</t>
  </si>
  <si>
    <t>同U10</t>
  </si>
  <si>
    <t>CX0822308MWC</t>
  </si>
  <si>
    <t>同AF14</t>
  </si>
  <si>
    <t>同AG14</t>
  </si>
  <si>
    <r>
      <rPr>
        <rFont val="Arial"/>
        <color theme="1"/>
        <sz val="10.0"/>
      </rPr>
      <t xml:space="preserve">719_SPC-3520-300U
</t>
    </r>
    <r>
      <rPr>
        <rFont val="Arial"/>
        <color rgb="FFFF0000"/>
        <sz val="10.0"/>
      </rPr>
      <t>(S/N:Q19A525001~6/Q18A525017~20)</t>
    </r>
  </si>
  <si>
    <t>同U16</t>
  </si>
  <si>
    <t>同O16</t>
  </si>
  <si>
    <t>iBase 廣積</t>
  </si>
  <si>
    <t>PO-20181026B</t>
  </si>
  <si>
    <t>華南銀行
137100-006788</t>
  </si>
  <si>
    <t>CG083761K020</t>
  </si>
  <si>
    <t>原貨退回，開立折讓單</t>
  </si>
  <si>
    <t>同U14</t>
  </si>
  <si>
    <t>同AE21</t>
  </si>
  <si>
    <t>同AF21</t>
  </si>
  <si>
    <t>翌勝
 EDAC</t>
  </si>
  <si>
    <t>PO-20181031A-2</t>
  </si>
  <si>
    <t>聯邦商業銀行中和分行
803 036-10-8000213</t>
  </si>
  <si>
    <t>PO-20181207A-2</t>
  </si>
  <si>
    <t>CH080N800079</t>
  </si>
  <si>
    <t>PGS-113255</t>
  </si>
  <si>
    <t>同U17</t>
  </si>
  <si>
    <t>PO-20181210B-1</t>
  </si>
  <si>
    <t>CW0833600493</t>
  </si>
  <si>
    <t xml:space="preserve">H:619536 </t>
  </si>
  <si>
    <r>
      <rPr>
        <rFont val="Arial"/>
        <color theme="1"/>
        <sz val="10.0"/>
      </rPr>
      <t>Power adapter</t>
    </r>
    <r>
      <rPr>
        <rFont val="Arial"/>
        <color rgb="FFFF0000"/>
        <sz val="10.0"/>
      </rPr>
      <t>(7400065020X00)</t>
    </r>
    <r>
      <rPr>
        <rFont val="Arial"/>
        <color rgb="FF000000"/>
        <sz val="10.0"/>
      </rPr>
      <t xml:space="preserve"> &amp; European Power cord        
</t>
    </r>
    <r>
      <rPr>
        <rFont val="Arial"/>
        <color rgb="FFFF0000"/>
        <sz val="10.0"/>
      </rPr>
      <t>(60233POW39X00)</t>
    </r>
    <r>
      <rPr>
        <rFont val="Arial"/>
        <color rgb="FF000000"/>
        <sz val="10.0"/>
      </rPr>
      <t xml:space="preserve"> for NISE2300-M</t>
    </r>
  </si>
  <si>
    <t>同U21</t>
  </si>
  <si>
    <t>PO-20181210B-2</t>
  </si>
  <si>
    <r>
      <rPr>
        <rFont val="arial,sans,sans-serif"/>
        <color rgb="FF000000"/>
        <sz val="10.0"/>
      </rPr>
      <t xml:space="preserve">PI-20181210B
</t>
    </r>
    <r>
      <rPr>
        <rFont val="arial,sans,sans-serif"/>
        <b/>
        <color rgb="FF0000FF"/>
        <sz val="10.0"/>
      </rPr>
      <t>(IQC檢驗CPU)</t>
    </r>
  </si>
  <si>
    <t>MemxPro敏博
交Neousys組裝</t>
  </si>
  <si>
    <t>PO-20181212A-2</t>
  </si>
  <si>
    <t>CX08223011KR</t>
  </si>
  <si>
    <t>同AE33</t>
  </si>
  <si>
    <t>同AF33</t>
  </si>
  <si>
    <t>PO-20181212A-3</t>
  </si>
  <si>
    <t>捷毅
交Neousys組裝</t>
  </si>
  <si>
    <t>PO-20181212A-4</t>
  </si>
  <si>
    <t>Neousys 宸曜</t>
  </si>
  <si>
    <t>PO-20181212A-1(Revised)</t>
  </si>
  <si>
    <t xml:space="preserve">玉山銀行 佳里分行  0428-940-007592 </t>
  </si>
  <si>
    <t>同U26</t>
  </si>
  <si>
    <t>DHL洋基通運</t>
  </si>
  <si>
    <t>洋基通運匯豐(081)
10081620882011</t>
  </si>
  <si>
    <t>Adlink
凌華</t>
  </si>
  <si>
    <t>PO-20181212B(Revised)</t>
  </si>
  <si>
    <t>兆豐中和分行 
069-09-000668</t>
  </si>
  <si>
    <t>同U28</t>
  </si>
  <si>
    <t>戎克組裝</t>
  </si>
  <si>
    <t>快異點</t>
  </si>
  <si>
    <t>CG083761A556</t>
  </si>
  <si>
    <t>IEI
威強電</t>
  </si>
  <si>
    <t>PO-20181212C</t>
  </si>
  <si>
    <t>兆豐
042-09-80877-7</t>
  </si>
  <si>
    <t>PO-20181212D-3</t>
  </si>
  <si>
    <t>PO-20181212D-2</t>
  </si>
  <si>
    <t>同U22</t>
  </si>
  <si>
    <t xml:space="preserve"> Neousys 宸曜</t>
  </si>
  <si>
    <t>PO-20181212D-1</t>
  </si>
  <si>
    <t>同U42</t>
  </si>
  <si>
    <t>PO-20181217A</t>
  </si>
  <si>
    <t>KY36837801</t>
  </si>
  <si>
    <t>郵局
94712122007510330711</t>
  </si>
  <si>
    <t>@30.79</t>
  </si>
  <si>
    <t>CiVUE Optotech
曦立光電</t>
  </si>
  <si>
    <t>PO-20181218A</t>
  </si>
  <si>
    <t>上海商業銀行 土城分行
42102000030509</t>
  </si>
  <si>
    <t>CU0857BH1652</t>
  </si>
  <si>
    <t>1Z1913EE6798752486</t>
  </si>
  <si>
    <t>12/21進口報單:CU0757082147</t>
  </si>
  <si>
    <t xml:space="preserve">寄大榮至曦立光電 
1273-0045-235-1 </t>
  </si>
  <si>
    <t>同AE54</t>
  </si>
  <si>
    <t>PO-20181219A</t>
  </si>
  <si>
    <t>KY36837803</t>
  </si>
  <si>
    <t>94929622007610220705</t>
  </si>
  <si>
    <r>
      <rPr>
        <rFont val="Arial"/>
        <color rgb="FF000000"/>
        <sz val="10.0"/>
      </rPr>
      <t xml:space="preserve">719_ECX-1000-2R
</t>
    </r>
    <r>
      <rPr>
        <rFont val="Arial"/>
        <color rgb="FFFF0000"/>
        <sz val="10.0"/>
      </rPr>
      <t>S/N.K18G110039~41</t>
    </r>
  </si>
  <si>
    <t>PO-20181221A-1</t>
  </si>
  <si>
    <t>CX0822304WA8</t>
  </si>
  <si>
    <t>同U55</t>
  </si>
  <si>
    <t>MemxPro敏博
交Vecom組裝</t>
  </si>
  <si>
    <t>PO-20181026D-1
庫存</t>
  </si>
  <si>
    <t>同U61</t>
  </si>
  <si>
    <t>CX08222308C1X</t>
  </si>
  <si>
    <r>
      <rPr>
        <rFont val="Arial"/>
        <color rgb="FF000000"/>
        <sz val="10.0"/>
      </rPr>
      <t xml:space="preserve">719_ECX-1000-2R
</t>
    </r>
    <r>
      <rPr>
        <rFont val="Arial"/>
        <color rgb="FFFF0000"/>
        <sz val="10.0"/>
      </rPr>
      <t>S/N.K18G110054~56</t>
    </r>
  </si>
  <si>
    <t>同AF57</t>
  </si>
  <si>
    <t>同AG57</t>
  </si>
  <si>
    <t>PO-20181224A</t>
  </si>
  <si>
    <t>CG083761H481</t>
  </si>
  <si>
    <t>Advantech
研華</t>
  </si>
  <si>
    <t>PO-20181224B</t>
  </si>
  <si>
    <t>花旗：021-0018
5028523019</t>
  </si>
  <si>
    <t>CX0822300RF3</t>
  </si>
  <si>
    <t>PO-20181224C</t>
  </si>
  <si>
    <t>CH080N800185</t>
  </si>
  <si>
    <t>PGS-113342</t>
  </si>
  <si>
    <t>同U60</t>
  </si>
  <si>
    <t>Linkface 凌飛</t>
  </si>
  <si>
    <t>PO-20181224D-2</t>
  </si>
  <si>
    <t>永豐銀行新湖分行 807-1918
191-001-0001599-5</t>
  </si>
  <si>
    <t>CH0834600188</t>
  </si>
  <si>
    <t>ETI-1967752</t>
  </si>
  <si>
    <t>Advantech
研華到凌飛測試</t>
  </si>
  <si>
    <t>PO-20181224D-1(Revised)</t>
  </si>
  <si>
    <t>PO-20181224D-3</t>
  </si>
  <si>
    <t>PO-20190102A</t>
  </si>
  <si>
    <t>CG083762J688</t>
  </si>
  <si>
    <t xml:space="preserve">PO-20190104A </t>
  </si>
  <si>
    <t>同U69</t>
  </si>
  <si>
    <t>CW0833601809</t>
  </si>
  <si>
    <t>PO-20190104A-1</t>
  </si>
  <si>
    <r>
      <rPr>
        <rFont val="arial,sans,sans-serif"/>
        <color rgb="FF000000"/>
        <sz val="10.0"/>
      </rPr>
      <t xml:space="preserve">PI-20190104A                         
</t>
    </r>
    <r>
      <rPr>
        <rFont val="arial,sans,sans-serif"/>
        <b/>
        <color rgb="FF0000FF"/>
        <sz val="10.0"/>
      </rPr>
      <t xml:space="preserve">(IQC檢驗CPU)  </t>
    </r>
    <r>
      <rPr>
        <rFont val="arial,sans,sans-serif"/>
        <color rgb="FF000000"/>
        <sz val="10.0"/>
      </rPr>
      <t xml:space="preserve">         </t>
    </r>
  </si>
  <si>
    <t>PD-20190107A
PO-20190107B</t>
  </si>
  <si>
    <t>CX0822306g54</t>
  </si>
  <si>
    <t>同AH54</t>
  </si>
  <si>
    <t>同AI54</t>
  </si>
  <si>
    <r>
      <rPr>
        <rFont val="Arial"/>
        <color rgb="FF000000"/>
        <sz val="10.0"/>
      </rPr>
      <t xml:space="preserve">LPC-P121W-16VYRG
</t>
    </r>
    <r>
      <rPr>
        <rFont val="Arial"/>
        <color rgb="FF0000FF"/>
        <sz val="10.0"/>
      </rPr>
      <t>(S/N:PD20190107A0001)</t>
    </r>
  </si>
  <si>
    <t xml:space="preserve">PD-20190107A    </t>
  </si>
  <si>
    <t>PD-20190107A</t>
  </si>
  <si>
    <t>內含LPC-P121W-16VYRG</t>
  </si>
  <si>
    <t>PD-20190107A
PO-20190107A-1</t>
  </si>
  <si>
    <t>PD-20190107A
 PO-20190107A-2</t>
  </si>
  <si>
    <r>
      <rPr>
        <rFont val="Arial"/>
        <color rgb="FF000000"/>
        <sz val="10.0"/>
      </rPr>
      <t xml:space="preserve">LPC-P121W-10VYRG
</t>
    </r>
    <r>
      <rPr>
        <rFont val="Arial"/>
        <color rgb="FFFF0000"/>
        <sz val="10.0"/>
      </rPr>
      <t>S/N:PD20181217A0001~2</t>
    </r>
  </si>
  <si>
    <t>見產品開發進度表</t>
  </si>
  <si>
    <t>PD-20181217A</t>
  </si>
  <si>
    <t>同P84</t>
  </si>
  <si>
    <t>PO-20190107D</t>
  </si>
  <si>
    <t>CX0822302VFT</t>
  </si>
  <si>
    <t>PO-20190108A</t>
  </si>
  <si>
    <t>同U87</t>
  </si>
  <si>
    <t>PO-20190108B</t>
  </si>
  <si>
    <t>KY36837804</t>
  </si>
  <si>
    <t>PO-20190111A</t>
  </si>
  <si>
    <t>同U93</t>
  </si>
  <si>
    <t>CG083762S076</t>
  </si>
  <si>
    <t>同AE98</t>
  </si>
  <si>
    <t>Innodisk 宜鼎</t>
  </si>
  <si>
    <t>PO-20190111B</t>
  </si>
  <si>
    <t>彰化銀行  南港分行
9801-0100-8997-00</t>
  </si>
  <si>
    <t>同U96</t>
  </si>
  <si>
    <t>捷毅國際</t>
  </si>
  <si>
    <t>PO-20190111A-C</t>
  </si>
  <si>
    <t>亞驪企業股份有限公司
華南商業銀行板新分行
175-10-0021788</t>
  </si>
  <si>
    <t>CH0852015083</t>
  </si>
  <si>
    <t>UX-233900C</t>
  </si>
  <si>
    <t>PO-20190116A</t>
  </si>
  <si>
    <t>CX0822302C50</t>
  </si>
  <si>
    <t>同U98</t>
  </si>
  <si>
    <t xml:space="preserve">台灣旺科
WAGO </t>
  </si>
  <si>
    <t>PO-20190118A</t>
  </si>
  <si>
    <t>072德意志銀行-台北分行 電匯帳號:0025106300</t>
  </si>
  <si>
    <t>CX0822304VLT</t>
  </si>
  <si>
    <t>PO-20190118A-2</t>
  </si>
  <si>
    <t>同U104</t>
  </si>
  <si>
    <r>
      <rPr>
        <rFont val="Arial"/>
        <color rgb="FF000000"/>
        <sz val="10.0"/>
      </rPr>
      <t xml:space="preserve">719_750-375 FC PROFINET (WAGO)
</t>
    </r>
    <r>
      <rPr>
        <rFont val="Arial"/>
        <color rgb="FFFF0000"/>
        <sz val="10.0"/>
      </rPr>
      <t>(下單錯誤: 下成750-8101)</t>
    </r>
  </si>
  <si>
    <t>PD-20190119A-1</t>
  </si>
  <si>
    <t>CX0822304D78</t>
  </si>
  <si>
    <t>同P109</t>
  </si>
  <si>
    <t>PO-20190121A</t>
  </si>
  <si>
    <t>台灣銀行華江分行
087-001-01891-3</t>
  </si>
  <si>
    <t>CR083761X677</t>
  </si>
  <si>
    <t>同U176</t>
  </si>
  <si>
    <t>同AH112</t>
  </si>
  <si>
    <t>同AI112</t>
  </si>
  <si>
    <r>
      <rPr>
        <rFont val="Arial, sans-serif"/>
        <color rgb="FF000000"/>
        <sz val="10.0"/>
      </rPr>
      <t xml:space="preserve">PI-20190121B
</t>
    </r>
    <r>
      <rPr>
        <rFont val="Arial, sans-serif"/>
        <b/>
        <color rgb="FF0000FF"/>
        <sz val="10.0"/>
      </rPr>
      <t>(FAE組裝)</t>
    </r>
  </si>
  <si>
    <t>MO-20190121B</t>
  </si>
  <si>
    <t>CX08223058ES</t>
  </si>
  <si>
    <t>同AF117</t>
  </si>
  <si>
    <t>同AG117</t>
  </si>
  <si>
    <r>
      <rPr>
        <rFont val="Arial, sans-serif"/>
        <color rgb="FF000000"/>
        <sz val="10.0"/>
      </rPr>
      <t xml:space="preserve">PI-20190121B
</t>
    </r>
    <r>
      <rPr>
        <rFont val="Arial, sans-serif"/>
        <b/>
        <color rgb="FF0000FF"/>
        <sz val="10.0"/>
      </rPr>
      <t>(FAE組裝)</t>
    </r>
  </si>
  <si>
    <r>
      <rPr>
        <rFont val="Arial, sans-serif"/>
        <color rgb="FF000000"/>
        <sz val="10.0"/>
      </rPr>
      <t xml:space="preserve">PI-20190121B
</t>
    </r>
    <r>
      <rPr>
        <rFont val="Arial, sans-serif"/>
        <b/>
        <color rgb="FF0000FF"/>
        <sz val="10.0"/>
      </rPr>
      <t>(FAE測試)</t>
    </r>
  </si>
  <si>
    <r>
      <rPr>
        <rFont val="Arial"/>
        <color rgb="FF000000"/>
        <sz val="10.0"/>
      </rPr>
      <t xml:space="preserve">LPC-P185W-10KH (BAREBONE) w/ EU power cord
</t>
    </r>
    <r>
      <rPr>
        <rFont val="Arial"/>
        <color rgb="FF0000FF"/>
        <sz val="10.0"/>
      </rPr>
      <t>(S/N:MO20190121B0001~0005)</t>
    </r>
  </si>
  <si>
    <t>PO-20190123A</t>
  </si>
  <si>
    <t>CW0848600474</t>
  </si>
  <si>
    <t>TPEA19066001</t>
  </si>
  <si>
    <t>PO-20190123B-1</t>
  </si>
  <si>
    <t>同U122</t>
  </si>
  <si>
    <t>CX0822304DAN</t>
  </si>
  <si>
    <r>
      <rPr>
        <rFont val="arial,sans,sans-serif"/>
        <b/>
        <color rgb="FF000000"/>
        <sz val="10.0"/>
      </rPr>
      <t xml:space="preserve">PI-20190123B
</t>
    </r>
    <r>
      <rPr>
        <rFont val="arial,sans,sans-serif"/>
        <b/>
        <color rgb="FF0000FF"/>
        <sz val="10.0"/>
      </rPr>
      <t>(FAE組裝SSD 
(IQC+DRAM標籤))</t>
    </r>
  </si>
  <si>
    <r>
      <rPr>
        <rFont val="Arial"/>
        <color rgb="FF000000"/>
        <sz val="10.0"/>
      </rPr>
      <t xml:space="preserve">719_POC-212
 Intel® Atom™ E3845 ultra-compact fanless embedded computer with 2x GbE ports, 3x USB 3.0 and 2x COM ports
</t>
    </r>
    <r>
      <rPr>
        <rFont val="Arial"/>
        <color rgb="FFFF0000"/>
        <sz val="10.0"/>
      </rPr>
      <t>(S/N. J0721890~895)</t>
    </r>
  </si>
  <si>
    <r>
      <rPr>
        <rFont val="arial,sans,sans-serif"/>
        <b/>
        <color rgb="FF000000"/>
        <sz val="10.0"/>
      </rPr>
      <t xml:space="preserve">PI-20190123B
</t>
    </r>
    <r>
      <rPr>
        <rFont val="arial,sans,sans-serif"/>
        <b/>
        <color rgb="FF0000FF"/>
        <sz val="10.0"/>
      </rPr>
      <t>(FAE組裝SSD &amp; DRAM,加DRAM 貼紙)</t>
    </r>
  </si>
  <si>
    <t>Transcend 創見</t>
  </si>
  <si>
    <t>倉庫:2 PCS
PO-20190123B-2</t>
  </si>
  <si>
    <t>合庫大安分行
0760717324727</t>
  </si>
  <si>
    <r>
      <rPr>
        <rFont val="arial,sans,sans-serif"/>
        <b/>
        <color rgb="FF000000"/>
        <sz val="10.0"/>
      </rPr>
      <t xml:space="preserve">PI-20190123B
</t>
    </r>
    <r>
      <rPr>
        <rFont val="arial,sans,sans-serif"/>
        <b/>
        <color rgb="FF0000FF"/>
        <sz val="10.0"/>
      </rPr>
      <t>(FAE組裝SSD &amp; DRAM,加DRAM 貼紙)</t>
    </r>
  </si>
  <si>
    <t>PO-20190123B-2</t>
  </si>
  <si>
    <t>同U123</t>
  </si>
  <si>
    <t xml:space="preserve"> CX0822304DAN</t>
  </si>
  <si>
    <t>0223開立invoice &amp;mail</t>
  </si>
  <si>
    <t>PO-20190123C-1</t>
  </si>
  <si>
    <t>CH080N800259</t>
  </si>
  <si>
    <t>PGS-113379</t>
  </si>
  <si>
    <t>同U128</t>
  </si>
  <si>
    <t>同AE132</t>
  </si>
  <si>
    <t>同AF132</t>
  </si>
  <si>
    <t>PO-20190123C-2</t>
  </si>
  <si>
    <t>CH080N800425</t>
  </si>
  <si>
    <t>PGS-113500</t>
  </si>
  <si>
    <t>同AF157</t>
  </si>
  <si>
    <t>同AG157</t>
  </si>
  <si>
    <r>
      <rPr>
        <rFont val="Arial"/>
        <color rgb="FF000000"/>
        <sz val="10.0"/>
      </rPr>
      <t xml:space="preserve">LPC-P121S-10VYRG
</t>
    </r>
    <r>
      <rPr>
        <rFont val="Arial"/>
        <color rgb="FF0000FF"/>
        <sz val="10.0"/>
      </rPr>
      <t>(S/N:MO20190124A0001~8)</t>
    </r>
  </si>
  <si>
    <t>MO-20190124A</t>
  </si>
  <si>
    <t>PO-20190124B-2</t>
  </si>
  <si>
    <t>CX08223042M3</t>
  </si>
  <si>
    <t>PO-20190124B</t>
  </si>
  <si>
    <t>渣打銀行環北分行
0435300-0036259</t>
  </si>
  <si>
    <t>同U201</t>
  </si>
  <si>
    <t>CG083762Y182</t>
  </si>
  <si>
    <t>PO-20190125B</t>
  </si>
  <si>
    <t>同U136</t>
  </si>
  <si>
    <t>KY36837807</t>
  </si>
  <si>
    <t>92490722001310324003</t>
  </si>
  <si>
    <t>PO-20190125D-1</t>
  </si>
  <si>
    <t>CH080N800326</t>
  </si>
  <si>
    <t>PGS-113441</t>
  </si>
  <si>
    <t>同U146</t>
  </si>
  <si>
    <t>PO-20190125D-2</t>
  </si>
  <si>
    <t xml:space="preserve">PO-20190125D-3 Revised </t>
  </si>
  <si>
    <t>玉山銀行連城分行0808940013206</t>
  </si>
  <si>
    <t>PO-20190125D-4</t>
  </si>
  <si>
    <t>PO-20181026B-Revised</t>
  </si>
  <si>
    <t>CG083761V683</t>
  </si>
  <si>
    <t>PO-20190128A</t>
  </si>
  <si>
    <t>玉山銀行(板橋分行)
1171 940 013686"</t>
  </si>
  <si>
    <t>KY36837805</t>
  </si>
  <si>
    <t>95198122007510302689</t>
  </si>
  <si>
    <t>PO-20190128B</t>
  </si>
  <si>
    <t>CX0822303RT1</t>
  </si>
  <si>
    <t>同U155</t>
  </si>
  <si>
    <t>盛仕</t>
  </si>
  <si>
    <t>PO-20190130A</t>
  </si>
  <si>
    <t>台灣企銀錦和分行
050-1220 12212023221</t>
  </si>
  <si>
    <t>CG083761U559</t>
  </si>
  <si>
    <t>PO-20190130B</t>
  </si>
  <si>
    <t>50.4+3.15=53.55</t>
  </si>
  <si>
    <t>CU0857BJ1473</t>
  </si>
  <si>
    <t>1Z1913EE0495449099</t>
  </si>
  <si>
    <t>PO-20190131A-3</t>
  </si>
  <si>
    <t>CH080N800507</t>
  </si>
  <si>
    <t>PGS-113583</t>
  </si>
  <si>
    <t>PO-20190131A-4</t>
  </si>
  <si>
    <t>同U159</t>
  </si>
  <si>
    <t>3ISYS Networks
思碩網路
(採購Tammy)</t>
  </si>
  <si>
    <t>改為扣抵貨款</t>
  </si>
  <si>
    <t>KY36837850</t>
  </si>
  <si>
    <t>大榮: 1273-004-246-2</t>
  </si>
  <si>
    <t>同U167</t>
  </si>
  <si>
    <t>同Z166</t>
  </si>
  <si>
    <r>
      <rPr>
        <rFont val="Arial"/>
        <color rgb="FF000000"/>
        <sz val="10.0"/>
      </rPr>
      <t>PI-20190131C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(FAE測試)</t>
    </r>
  </si>
  <si>
    <r>
      <rPr>
        <rFont val="Arial"/>
        <color rgb="FF000000"/>
        <sz val="10.0"/>
      </rPr>
      <t xml:space="preserve">LPC-P185W-1NKH (BAREBONE) w/ EU power cord
</t>
    </r>
    <r>
      <rPr>
        <rFont val="Arial"/>
        <color rgb="FF0000FF"/>
        <sz val="10.0"/>
      </rPr>
      <t>(S/N:PD20190131C0001~5)</t>
    </r>
  </si>
  <si>
    <t>PD-20190131C</t>
  </si>
  <si>
    <t>CW0848601087</t>
  </si>
  <si>
    <t>TPEA19067177</t>
  </si>
  <si>
    <t>PO-20190201A</t>
  </si>
  <si>
    <t>PO-20190201B</t>
  </si>
  <si>
    <t>CX0822303S15</t>
  </si>
  <si>
    <t>同U170</t>
  </si>
  <si>
    <t>PO-20190206A-2</t>
  </si>
  <si>
    <t>CW0833603159</t>
  </si>
  <si>
    <t>PO-20190206A-1</t>
  </si>
  <si>
    <t>同U189</t>
  </si>
  <si>
    <r>
      <rPr>
        <rFont val="arial,sans,sans-serif"/>
        <color rgb="FF000000"/>
        <sz val="10.0"/>
      </rPr>
      <t xml:space="preserve">PI-20190206A                         
</t>
    </r>
    <r>
      <rPr>
        <rFont val="arial,sans,sans-serif"/>
        <b/>
        <color rgb="FF0000FF"/>
        <sz val="10.0"/>
      </rPr>
      <t xml:space="preserve">(IQC檢驗CPU)  </t>
    </r>
    <r>
      <rPr>
        <rFont val="arial,sans,sans-serif"/>
        <color rgb="FF000000"/>
        <sz val="10.0"/>
      </rPr>
      <t xml:space="preserve">         </t>
    </r>
  </si>
  <si>
    <t>PO-20190206B</t>
  </si>
  <si>
    <t>KY36837852</t>
  </si>
  <si>
    <t>掛號: 95451722007510330453</t>
  </si>
  <si>
    <t xml:space="preserve">2019/02/11
已給cathy </t>
  </si>
  <si>
    <t xml:space="preserve"> 線邊倉</t>
  </si>
  <si>
    <t>0214 Cathy於產品開發進度表開立PD單(SAN告知) 
PD-20190211A-1</t>
  </si>
  <si>
    <t>MV36430163</t>
  </si>
  <si>
    <t>0401從寄發票
96121322007510302684</t>
  </si>
  <si>
    <t>20190401重開</t>
  </si>
  <si>
    <t>PD-20190211A-2
(原下PO-20190211A)</t>
  </si>
  <si>
    <t>MV36430158</t>
  </si>
  <si>
    <t>大榮:1559-554-194-2</t>
  </si>
  <si>
    <t>歐緯世</t>
  </si>
  <si>
    <t>PO-20190212A</t>
  </si>
  <si>
    <t>玉山銀行 集賢分行
帳號：0772440-001355</t>
  </si>
  <si>
    <t>KY36837853</t>
  </si>
  <si>
    <t>大榮:1273-004-235-6</t>
  </si>
  <si>
    <t>隨貨2019.02.20</t>
  </si>
  <si>
    <t>PO-20190212B-2</t>
  </si>
  <si>
    <t>CG083762Y449</t>
  </si>
  <si>
    <t>同U200</t>
  </si>
  <si>
    <t>捷毅</t>
  </si>
  <si>
    <t>PO-20190212B-3</t>
  </si>
  <si>
    <t>PO-20190212B-1</t>
  </si>
  <si>
    <t>同U198</t>
  </si>
  <si>
    <t>PO-20190212C</t>
  </si>
  <si>
    <t>同AE140</t>
  </si>
  <si>
    <t>同AF140</t>
  </si>
  <si>
    <t>同P205</t>
  </si>
  <si>
    <t>同U205</t>
  </si>
  <si>
    <t>HC-20190214B</t>
  </si>
  <si>
    <t>HC-20190214C</t>
  </si>
  <si>
    <t>HC-20190214A</t>
  </si>
  <si>
    <r>
      <rPr>
        <rFont val="Arial"/>
        <color rgb="FF000000"/>
        <sz val="10.0"/>
      </rPr>
      <t>PI-20190131C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</si>
  <si>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t>MO-20190131D-6</t>
  </si>
  <si>
    <r>
      <rPr>
        <rFont val="Arial"/>
        <color rgb="FF000000"/>
        <sz val="10.0"/>
      </rPr>
      <t>PI-20190131C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</si>
  <si>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>PI-20190131D-1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</si>
  <si>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t>CX0822308U7V</t>
  </si>
  <si>
    <t>同AF194</t>
  </si>
  <si>
    <t>同AG194</t>
  </si>
  <si>
    <r>
      <rPr>
        <rFont val="Arial"/>
        <color rgb="FF000000"/>
        <sz val="10.0"/>
      </rPr>
      <t>PI-20190131D-1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</si>
  <si>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 xml:space="preserve">PI-20190131D-1
</t>
    </r>
    <r>
      <rPr>
        <rFont val="Arial"/>
        <b/>
        <color rgb="FF0000FF"/>
        <sz val="10.0"/>
      </rPr>
      <t>(FAE測試)</t>
    </r>
  </si>
  <si>
    <r>
      <rPr>
        <rFont val="Arial"/>
        <color rgb="FF000000"/>
        <sz val="10.0"/>
      </rPr>
      <t xml:space="preserve">LPC-P185W-1NKH (BAREBONE) w/ EU power cord
</t>
    </r>
    <r>
      <rPr>
        <rFont val="Arial"/>
        <color rgb="FF0000FF"/>
        <sz val="10.0"/>
      </rPr>
      <t>(S/N:MO20190131D0001~0005)</t>
    </r>
  </si>
  <si>
    <t>MO-20190131D-1</t>
  </si>
  <si>
    <r>
      <rPr>
        <rFont val="Arial"/>
        <color rgb="FF000000"/>
        <sz val="10.0"/>
      </rPr>
      <t xml:space="preserve">PI-20190131D-2
</t>
    </r>
    <r>
      <rPr>
        <rFont val="Arial"/>
        <b/>
        <color rgb="FF0000FF"/>
        <sz val="10.0"/>
      </rPr>
      <t>(FAE組裝)</t>
    </r>
  </si>
  <si>
    <t>CW0848601733</t>
  </si>
  <si>
    <t>TPEA19068399</t>
  </si>
  <si>
    <t>同AH197</t>
  </si>
  <si>
    <t>同AI197</t>
  </si>
  <si>
    <r>
      <rPr>
        <rFont val="Arial"/>
        <color rgb="FF000000"/>
        <sz val="10.0"/>
      </rPr>
      <t>PI-20190131D-2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</si>
  <si>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 xml:space="preserve">PI-20190131D-2
</t>
    </r>
    <r>
      <rPr>
        <rFont val="Arial"/>
        <b/>
        <color rgb="FF0000FF"/>
        <sz val="10.0"/>
      </rPr>
      <t>(FAE組裝)</t>
    </r>
  </si>
  <si>
    <t>CW 08486 02396</t>
  </si>
  <si>
    <t>TPEA19069659</t>
  </si>
  <si>
    <r>
      <rPr>
        <rFont val="Arial"/>
        <color rgb="FF000000"/>
        <sz val="10.0"/>
      </rPr>
      <t>PI-20190131D-2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</si>
  <si>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>PI-20190131D-2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(FAE測試)</t>
    </r>
  </si>
  <si>
    <r>
      <rPr>
        <rFont val="Arial"/>
        <color rgb="FF000000"/>
        <sz val="10.0"/>
      </rPr>
      <t xml:space="preserve">LPC-P185W-1NKH (BAREBONE) w/ EU power cord
</t>
    </r>
    <r>
      <rPr>
        <rFont val="Arial"/>
        <color rgb="FF0000FF"/>
        <sz val="10.0"/>
      </rPr>
      <t>(S/N:MO20190131D0006~0019)</t>
    </r>
  </si>
  <si>
    <t>MO-20190131D-2</t>
  </si>
  <si>
    <r>
      <rPr>
        <rFont val="Arial"/>
        <color rgb="FF000000"/>
        <sz val="10.0"/>
      </rPr>
      <t>PI-20190131D-2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(FAE測試)</t>
    </r>
  </si>
  <si>
    <r>
      <rPr>
        <rFont val="Arial"/>
        <color rgb="FF000000"/>
        <sz val="10.0"/>
      </rPr>
      <t xml:space="preserve">LPC-P185W-1NKH (BAREBONE) w/ EU power cord
</t>
    </r>
    <r>
      <rPr>
        <rFont val="Arial"/>
        <color rgb="FF0000FF"/>
        <sz val="10.0"/>
      </rPr>
      <t>(S/N:MO20190131D0020)</t>
    </r>
  </si>
  <si>
    <r>
      <rPr>
        <rFont val="Arial"/>
        <color rgb="FF000000"/>
        <sz val="10.0"/>
      </rPr>
      <t>PI-20190131D-3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</si>
  <si>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>PI-20190131D-3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(FAE組裝)</t>
    </r>
  </si>
  <si>
    <r>
      <rPr>
        <rFont val="Arial"/>
        <color rgb="FF000000"/>
        <sz val="10.0"/>
      </rPr>
      <t xml:space="preserve">PI-20190131D-3
</t>
    </r>
    <r>
      <rPr>
        <rFont val="Arial"/>
        <b/>
        <color rgb="FF0000FF"/>
        <sz val="10.0"/>
      </rPr>
      <t>(FAE測試)</t>
    </r>
  </si>
  <si>
    <r>
      <rPr>
        <rFont val="Arial"/>
        <color rgb="FF000000"/>
        <sz val="10.0"/>
      </rPr>
      <t xml:space="preserve">LPC-P185W-1NKH (BAREBONE) w/ EU power cord
</t>
    </r>
    <r>
      <rPr>
        <rFont val="Arial"/>
        <color rgb="FF0000FF"/>
        <sz val="10.0"/>
      </rPr>
      <t>(S/N:MO20190131D0021~0045)</t>
    </r>
  </si>
  <si>
    <t>PD-20190213A</t>
  </si>
  <si>
    <t>CX082230810M</t>
  </si>
  <si>
    <t>PO-20190213B</t>
  </si>
  <si>
    <t>CU0857BJ2714</t>
  </si>
  <si>
    <t xml:space="preserve"> 1Z1913EE6790759663
1Z1913EE6791758279
1Z1913EE6791895086
1Z1913EE6791854094
1Z1913EE6791399309</t>
  </si>
  <si>
    <t>進口報單:CU0857049005
提單: 736559GNDYL</t>
  </si>
  <si>
    <t>0319寄大榮
1559-554-194-3</t>
  </si>
  <si>
    <t>同AF207</t>
  </si>
  <si>
    <t>同AG207</t>
  </si>
  <si>
    <t>PO-20181026B-Revised-2</t>
  </si>
  <si>
    <t>PO-20190217A</t>
  </si>
  <si>
    <t>同U212</t>
  </si>
  <si>
    <t>PO-20190218A</t>
  </si>
  <si>
    <t>CH080N800692</t>
  </si>
  <si>
    <t>PGS-113665</t>
  </si>
  <si>
    <t>同AF377</t>
  </si>
  <si>
    <t>同AG377</t>
  </si>
  <si>
    <t>同U217</t>
  </si>
  <si>
    <t>待水單</t>
  </si>
  <si>
    <t>同AF215</t>
  </si>
  <si>
    <t>同AG215</t>
  </si>
  <si>
    <r>
      <rPr>
        <rFont val="Arial"/>
        <color rgb="FF000000"/>
        <sz val="10.0"/>
      </rPr>
      <t xml:space="preserve">719_OPE1503FBDTR
</t>
    </r>
    <r>
      <rPr>
        <rFont val="Arial"/>
        <color rgb="FF0000FF"/>
        <sz val="10.0"/>
      </rPr>
      <t>S/N.WA191302A0006~9</t>
    </r>
  </si>
  <si>
    <t>旺安科技
Winnertek</t>
  </si>
  <si>
    <t>PO-20190205A-1</t>
  </si>
  <si>
    <t xml:space="preserve">旺安科技有限公司
合作金庫 新生分行 (006)
0947717334831 </t>
  </si>
  <si>
    <t>CX0822305M5Q</t>
  </si>
  <si>
    <r>
      <rPr>
        <rFont val="Arial"/>
        <color rgb="FF000000"/>
        <sz val="10.0"/>
      </rPr>
      <t xml:space="preserve">719_OPE1503FBDTR 
</t>
    </r>
    <r>
      <rPr>
        <rFont val="Arial"/>
        <color rgb="FF0000FF"/>
        <sz val="10.0"/>
      </rPr>
      <t>S/N:WA191303A0001&amp;2</t>
    </r>
  </si>
  <si>
    <t>PD-20190219A</t>
  </si>
  <si>
    <t>同AE226</t>
  </si>
  <si>
    <r>
      <rPr>
        <rFont val="Arial"/>
        <color rgb="FF000000"/>
        <sz val="10.0"/>
      </rPr>
      <t xml:space="preserve">719_ARCHMI-817
</t>
    </r>
    <r>
      <rPr>
        <rFont val="Arial"/>
        <color rgb="FF0000FF"/>
        <sz val="10.0"/>
      </rPr>
      <t>(S/N: A3190301794&amp;A3190301795)</t>
    </r>
  </si>
  <si>
    <t xml:space="preserve">維田 Aplex  </t>
  </si>
  <si>
    <t>PO-20190219B</t>
  </si>
  <si>
    <t>玉山銀行
0808-940-001638</t>
  </si>
  <si>
    <t>MO-20190220A-1</t>
  </si>
  <si>
    <t>CX082230693H</t>
  </si>
  <si>
    <t>同AE229</t>
  </si>
  <si>
    <t>同AF229</t>
  </si>
  <si>
    <r>
      <rPr>
        <rFont val="Arial"/>
        <color rgb="FF000000"/>
        <sz val="10.0"/>
      </rPr>
      <t xml:space="preserve">LPC-P156W-25SG
</t>
    </r>
    <r>
      <rPr>
        <rFont val="Arial"/>
        <color rgb="FF0000FF"/>
        <sz val="10.0"/>
      </rPr>
      <t>(S/N:MO20190220A0001~2)</t>
    </r>
  </si>
  <si>
    <t>MO-20190220A
(Chloe已同步更新投產計畫裡)</t>
  </si>
  <si>
    <t>PO-20190221A-1</t>
  </si>
  <si>
    <t>CW0833604455</t>
  </si>
  <si>
    <r>
      <rPr>
        <rFont val="Arial"/>
        <color rgb="FF000000"/>
        <sz val="10.0"/>
      </rPr>
      <t>Power adapter</t>
    </r>
    <r>
      <rPr>
        <rFont val="Arial"/>
        <color rgb="FFFF0000"/>
        <sz val="10.0"/>
      </rPr>
      <t>(7400065020X00)</t>
    </r>
    <r>
      <rPr>
        <rFont val="Arial"/>
        <color rgb="FF000000"/>
        <sz val="10.0"/>
      </rPr>
      <t xml:space="preserve"> &amp; European Power cord        
</t>
    </r>
    <r>
      <rPr>
        <rFont val="Arial"/>
        <color rgb="FFFF0000"/>
        <sz val="10.0"/>
      </rPr>
      <t>(60233POW39X00)</t>
    </r>
    <r>
      <rPr>
        <rFont val="Arial"/>
        <color rgb="FF000000"/>
        <sz val="10.0"/>
      </rPr>
      <t xml:space="preserve"> for NISE2300-M</t>
    </r>
  </si>
  <si>
    <t>同U230</t>
  </si>
  <si>
    <t>PO-20190221A-2</t>
  </si>
  <si>
    <r>
      <rPr>
        <rFont val="arial,sans,sans-serif"/>
        <color rgb="FF000000"/>
        <sz val="10.0"/>
      </rPr>
      <t>PI-20190221A</t>
    </r>
    <r>
      <rPr>
        <rFont val="arial,sans,sans-serif"/>
        <color rgb="FFFF0000"/>
        <sz val="10.0"/>
      </rPr>
      <t xml:space="preserve">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FF0000"/>
        <sz val="10.0"/>
      </rPr>
      <t xml:space="preserve">  </t>
    </r>
  </si>
  <si>
    <t>PO-20190221B</t>
  </si>
  <si>
    <t>CX0822306AJ7</t>
  </si>
  <si>
    <t>同U233</t>
  </si>
  <si>
    <t>PO-20190223A</t>
  </si>
  <si>
    <t>CW0847043725</t>
  </si>
  <si>
    <t>FETA-771706</t>
  </si>
  <si>
    <t>同U239</t>
  </si>
  <si>
    <t>同AE243</t>
  </si>
  <si>
    <t>同AF243</t>
  </si>
  <si>
    <t>0226開立invoice &amp;mail</t>
  </si>
  <si>
    <t>同U127</t>
  </si>
  <si>
    <t>PO-20190226A</t>
  </si>
  <si>
    <t>MV36430152</t>
  </si>
  <si>
    <t>95779322007510330711</t>
  </si>
  <si>
    <t>PO-20190226B</t>
  </si>
  <si>
    <t>MV36430154</t>
  </si>
  <si>
    <t xml:space="preserve">2019.03.13 隨貨 </t>
  </si>
  <si>
    <t>同U245</t>
  </si>
  <si>
    <t>MV36430159</t>
  </si>
  <si>
    <t>95986522007510231506</t>
  </si>
  <si>
    <t>PO-20190227A-1</t>
  </si>
  <si>
    <t>CA0806723414</t>
  </si>
  <si>
    <t>同U247</t>
  </si>
  <si>
    <t>PO-20190227A-2</t>
  </si>
  <si>
    <r>
      <rPr>
        <rFont val="arial,sans,sans-serif"/>
        <color rgb="FF000000"/>
        <sz val="10.0"/>
      </rPr>
      <t xml:space="preserve">PI-20190227A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</si>
  <si>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PO-20190227B-1</t>
  </si>
  <si>
    <t>CA 08067 66388</t>
  </si>
  <si>
    <t>同AH250</t>
  </si>
  <si>
    <t>同AI250</t>
  </si>
  <si>
    <t>同U251</t>
  </si>
  <si>
    <t>PO-20190227B-2</t>
  </si>
  <si>
    <r>
      <rPr>
        <rFont val="arial,sans,sans-serif"/>
        <color rgb="FF000000"/>
        <sz val="10.0"/>
      </rPr>
      <t xml:space="preserve">PI-20190227B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</si>
  <si>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PO-20190227C-1</t>
  </si>
  <si>
    <t>CA0806764004</t>
  </si>
  <si>
    <t>同AH253</t>
  </si>
  <si>
    <t>同AI253</t>
  </si>
  <si>
    <t>同W255</t>
  </si>
  <si>
    <t>PO-20190227C-2</t>
  </si>
  <si>
    <r>
      <rPr>
        <rFont val="arial,sans,sans-serif"/>
        <color rgb="FF000000"/>
        <sz val="10.0"/>
      </rPr>
      <t xml:space="preserve">PI-20190227C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</si>
  <si>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PO-20190227D-1</t>
  </si>
  <si>
    <t>CA0806770735</t>
  </si>
  <si>
    <t>同AH257</t>
  </si>
  <si>
    <t>同AI257</t>
  </si>
  <si>
    <t>同W258</t>
  </si>
  <si>
    <t>PO-20190227D-2</t>
  </si>
  <si>
    <r>
      <rPr>
        <rFont val="arial,sans,sans-serif"/>
        <color rgb="FF000000"/>
        <sz val="10.0"/>
      </rPr>
      <t xml:space="preserve">PI-20190227D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</si>
  <si>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PO-20190227E-2</t>
  </si>
  <si>
    <t>CA0806726751</t>
  </si>
  <si>
    <t>PO-20190227E-1</t>
  </si>
  <si>
    <t>同AH261</t>
  </si>
  <si>
    <t>同AI261</t>
  </si>
  <si>
    <t>同W263</t>
  </si>
  <si>
    <r>
      <rPr>
        <rFont val="arial,sans,sans-serif"/>
        <color rgb="FF000000"/>
        <sz val="10.0"/>
      </rPr>
      <t xml:space="preserve">PI-20190227E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</si>
  <si>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PO-20190227F-1</t>
  </si>
  <si>
    <t>2019101600001</t>
  </si>
  <si>
    <t xml:space="preserve"> CA086776886</t>
  </si>
  <si>
    <t>同AI265</t>
  </si>
  <si>
    <t>同AJ265</t>
  </si>
  <si>
    <t>PO-20190227F-2</t>
  </si>
  <si>
    <t>同W266</t>
  </si>
  <si>
    <r>
      <rPr>
        <rFont val="arial,sans,sans-serif"/>
        <color rgb="FF000000"/>
        <sz val="10.0"/>
      </rPr>
      <t xml:space="preserve">PI-20190227F
(PI-20191009002)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</si>
  <si>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PO-20190227G-2</t>
  </si>
  <si>
    <t>CA0806767057</t>
  </si>
  <si>
    <t>PO-20190227G-1</t>
  </si>
  <si>
    <t>同X270</t>
  </si>
  <si>
    <t>同AI279</t>
  </si>
  <si>
    <t>同AJ279</t>
  </si>
  <si>
    <t>同S270</t>
  </si>
  <si>
    <r>
      <rPr>
        <rFont val="arial,sans,sans-serif"/>
        <color rgb="FF000000"/>
        <sz val="10.0"/>
      </rPr>
      <t xml:space="preserve">PI-20190227G
(PI-20191009003)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</si>
  <si>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PO-20190227H-2</t>
  </si>
  <si>
    <t>PO-20190227H-1</t>
  </si>
  <si>
    <r>
      <rPr>
        <rFont val="arial,sans,sans-serif"/>
        <color rgb="FF000000"/>
        <sz val="10.0"/>
      </rPr>
      <t xml:space="preserve">PI-20190227H
(PI-20191009004)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</si>
  <si>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t>PO-20190228A</t>
  </si>
  <si>
    <t>MV36430150</t>
  </si>
  <si>
    <t>95703022007510302686</t>
  </si>
  <si>
    <t>PO-20190302A</t>
  </si>
  <si>
    <t>同U289</t>
  </si>
  <si>
    <t>同AF218</t>
  </si>
  <si>
    <t>同AG218</t>
  </si>
  <si>
    <t>PO-20190303A</t>
  </si>
  <si>
    <t>MV36430157</t>
  </si>
  <si>
    <t>95849622007510330459</t>
  </si>
  <si>
    <t>2019.03.13</t>
  </si>
  <si>
    <t>同U292</t>
  </si>
  <si>
    <r>
      <rPr>
        <rFont val="Arial"/>
        <color rgb="FF000000"/>
        <sz val="10.0"/>
      </rPr>
      <t xml:space="preserve">PI-20190304A
</t>
    </r>
    <r>
      <rPr>
        <rFont val="Arial"/>
        <b/>
        <color rgb="FF0000FF"/>
        <sz val="10.0"/>
      </rPr>
      <t>(FAE change AU Power cord)</t>
    </r>
  </si>
  <si>
    <r>
      <rPr>
        <rFont val="Arial"/>
        <color rgb="FF000000"/>
        <sz val="10.0"/>
      </rPr>
      <t xml:space="preserve">719_OPE1503FBDTR        
"Panel mount 15"" LCD Touch monitor VGA /5wire Resistive /RS-232 /Black VGA+DVI+HDMI /12V/ Terminal block12V/24V
( </t>
    </r>
    <r>
      <rPr>
        <rFont val="Arial"/>
        <color rgb="FF0000FF"/>
        <sz val="10.0"/>
      </rPr>
      <t>change to AU power cord</t>
    </r>
    <r>
      <rPr>
        <rFont val="Arial"/>
        <color rgb="FF000000"/>
        <sz val="10.0"/>
      </rPr>
      <t xml:space="preserve"> )"</t>
    </r>
  </si>
  <si>
    <t>PO-20190304A-1</t>
  </si>
  <si>
    <t>CX0822307EDE</t>
  </si>
  <si>
    <t>PO-20190304A-2</t>
  </si>
  <si>
    <t>同U300</t>
  </si>
  <si>
    <t>CX0822307WED</t>
  </si>
  <si>
    <t>閎亮協助購入</t>
  </si>
  <si>
    <t>PD-T1080307A</t>
  </si>
  <si>
    <t>見產品開發進度表T186</t>
  </si>
  <si>
    <r>
      <rPr>
        <rFont val="Arial"/>
        <color rgb="FF000000"/>
        <sz val="10.0"/>
      </rPr>
      <t xml:space="preserve">PI-20190304A-1
</t>
    </r>
    <r>
      <rPr>
        <rFont val="Arial"/>
        <b/>
        <color rgb="FF0000FF"/>
        <sz val="10.0"/>
      </rPr>
      <t xml:space="preserve"> (FAE組裝，外盒請用標籤註明DRAM)</t>
    </r>
    <r>
      <rPr>
        <rFont val="Arial"/>
        <color rgb="FF000000"/>
        <sz val="10.0"/>
      </rPr>
      <t xml:space="preserve">
 </t>
    </r>
  </si>
  <si>
    <r>
      <rPr>
        <rFont val="Arial"/>
        <color rgb="FF000000"/>
        <sz val="10.0"/>
      </rPr>
      <t xml:space="preserve">719-Nuvo-5002LP 
</t>
    </r>
    <r>
      <rPr>
        <rFont val="Arial"/>
        <color rgb="FF0000FF"/>
        <sz val="10.0"/>
      </rPr>
      <t>(S/N:J1422596~99)</t>
    </r>
  </si>
  <si>
    <t>PO-20190304A-3</t>
  </si>
  <si>
    <r>
      <rPr>
        <rFont val="Arial"/>
        <color rgb="FF000000"/>
        <sz val="10.0"/>
      </rPr>
      <t xml:space="preserve">PI-20190304A-1
</t>
    </r>
    <r>
      <rPr>
        <rFont val="Arial"/>
        <b/>
        <color rgb="FF0000FF"/>
        <sz val="10.0"/>
      </rPr>
      <t>(FAE組裝，外盒請用標籤註明DRAM)</t>
    </r>
  </si>
  <si>
    <t>敏博
(戎克樣品借入倉)</t>
  </si>
  <si>
    <t>PO-20190304A-4</t>
  </si>
  <si>
    <t>PO-20190221B-2</t>
  </si>
  <si>
    <t>同U237</t>
  </si>
  <si>
    <t>PO-20190305A</t>
  </si>
  <si>
    <t>MV36430161</t>
  </si>
  <si>
    <t>9609572200751022070</t>
  </si>
  <si>
    <t>PO-20190306A-2</t>
  </si>
  <si>
    <t>PO-20190306A</t>
  </si>
  <si>
    <t>同U304</t>
  </si>
  <si>
    <t>同U15</t>
  </si>
  <si>
    <t>PO-20190312A</t>
  </si>
  <si>
    <t>CX0822307L8H</t>
  </si>
  <si>
    <t>PO-20190313A</t>
  </si>
  <si>
    <t>同U313</t>
  </si>
  <si>
    <t>0318開立invoice &amp;mail</t>
  </si>
  <si>
    <t>PO-20190318A</t>
  </si>
  <si>
    <t>PO-20190318B</t>
  </si>
  <si>
    <t>CX082230A2P8</t>
  </si>
  <si>
    <r>
      <rPr>
        <rFont val="Arial"/>
        <color rgb="FF000000"/>
        <sz val="10.0"/>
      </rPr>
      <t xml:space="preserve">PI-20190318B
</t>
    </r>
    <r>
      <rPr>
        <rFont val="Arial"/>
        <b/>
        <color rgb="FF0000FF"/>
        <sz val="10.0"/>
      </rPr>
      <t>(IQC+DRAM標籤)</t>
    </r>
  </si>
  <si>
    <t>同U321</t>
  </si>
  <si>
    <r>
      <rPr>
        <rFont val="Arial"/>
        <color rgb="FF000000"/>
        <sz val="10.0"/>
      </rPr>
      <t xml:space="preserve">PI-20190318B
</t>
    </r>
    <r>
      <rPr>
        <rFont val="Arial"/>
        <b/>
        <color rgb="FF0000FF"/>
        <sz val="10.0"/>
      </rPr>
      <t>(IQC+DRAM標籤)</t>
    </r>
  </si>
  <si>
    <t>20190328沛勁880114
4328912582</t>
  </si>
  <si>
    <t>PO-20190320A</t>
  </si>
  <si>
    <t>簡易報單
 CU  0857BWP455</t>
  </si>
  <si>
    <t>1Z1913EE6794695251</t>
  </si>
  <si>
    <t>PO-20190320B</t>
  </si>
  <si>
    <t>CX08223080T8</t>
  </si>
  <si>
    <t>PO-20190321A</t>
  </si>
  <si>
    <t>MV36430160</t>
  </si>
  <si>
    <t>9193062200721033045</t>
  </si>
  <si>
    <t>2019.03.28</t>
  </si>
  <si>
    <t>PO-20190322A</t>
  </si>
  <si>
    <t>同AF326</t>
  </si>
  <si>
    <t>同U328</t>
  </si>
  <si>
    <t>PO-20190323A</t>
  </si>
  <si>
    <t>MV36430203</t>
  </si>
  <si>
    <t>PO-20190306B</t>
  </si>
  <si>
    <t>MV36430156</t>
  </si>
  <si>
    <r>
      <rPr>
        <rFont val="Arial"/>
        <color rgb="FF000000"/>
        <sz val="10.0"/>
      </rPr>
      <t>PI-20190304A</t>
    </r>
    <r>
      <rPr>
        <rFont val="Arial"/>
        <color rgb="FF0000FF"/>
        <sz val="10.0"/>
      </rPr>
      <t>-F</t>
    </r>
  </si>
  <si>
    <r>
      <rPr>
        <rFont val="Arial"/>
        <color rgb="FF000000"/>
        <sz val="10.0"/>
      </rPr>
      <t xml:space="preserve">PI-20190328A
</t>
    </r>
    <r>
      <rPr>
        <rFont val="Arial"/>
        <b/>
        <color rgb="FF0000FF"/>
        <sz val="10.0"/>
      </rPr>
      <t>1. 出貨文件備註po No.
2. 隨貨附出貨文件及產證</t>
    </r>
  </si>
  <si>
    <t>MemxPro
敏博</t>
  </si>
  <si>
    <t>MO-20190328B</t>
  </si>
  <si>
    <t>CG083763J073</t>
  </si>
  <si>
    <t>同AE340</t>
  </si>
  <si>
    <t>同AF340</t>
  </si>
  <si>
    <r>
      <rPr>
        <rFont val="Arial"/>
        <color rgb="FF000000"/>
        <sz val="10.0"/>
      </rPr>
      <t xml:space="preserve">PI-20190328A
</t>
    </r>
    <r>
      <rPr>
        <rFont val="Arial"/>
        <b/>
        <color rgb="FF0000FF"/>
        <sz val="10.0"/>
      </rPr>
      <t>1. 出貨文件備註po No.
2. 隨貨附出貨文件及產證</t>
    </r>
  </si>
  <si>
    <t>MO-20190328A</t>
  </si>
  <si>
    <r>
      <rPr>
        <rFont val="Arial"/>
        <color rgb="FF000000"/>
        <sz val="10.0"/>
      </rPr>
      <t xml:space="preserve">PI-20190328A
</t>
    </r>
    <r>
      <rPr>
        <rFont val="Arial"/>
        <b/>
        <color rgb="FF0000FF"/>
        <sz val="10.0"/>
      </rPr>
      <t>1. 出貨文件備註po No.
2. 隨貨附出貨文件及產證</t>
    </r>
  </si>
  <si>
    <r>
      <rPr>
        <rFont val="Arial"/>
        <color rgb="FF000000"/>
        <sz val="10.0"/>
      </rPr>
      <t xml:space="preserve">PI-20190328A
</t>
    </r>
    <r>
      <rPr>
        <rFont val="Arial"/>
        <b/>
        <color rgb="FF0000FF"/>
        <sz val="10.0"/>
      </rPr>
      <t>1. 出貨文件備註po No.
2. 隨貨附出貨文件及產證</t>
    </r>
  </si>
  <si>
    <r>
      <rPr>
        <rFont val="Arial"/>
        <color rgb="FF000000"/>
        <sz val="10.0"/>
      </rPr>
      <t xml:space="preserve">PI-20190328A-1
</t>
    </r>
    <r>
      <rPr>
        <rFont val="Arial"/>
        <b/>
        <color rgb="FF0000FF"/>
        <sz val="10.0"/>
      </rPr>
      <t>1. 出貨文件備註po No.
2. 隨貨附出貨文件及產證</t>
    </r>
  </si>
  <si>
    <t>Meanwell
(贊翔)</t>
  </si>
  <si>
    <t>MO-20190328C</t>
  </si>
  <si>
    <t>銀行代號：007 
帳號：23110037813</t>
  </si>
  <si>
    <t>CG083763N480</t>
  </si>
  <si>
    <r>
      <rPr>
        <rFont val="Arial"/>
        <color rgb="FF000000"/>
        <sz val="10.0"/>
      </rPr>
      <t xml:space="preserve">PI-20190328A-1
</t>
    </r>
    <r>
      <rPr>
        <rFont val="Arial"/>
        <b/>
        <color rgb="FF0000FF"/>
        <sz val="10.0"/>
      </rPr>
      <t>1. 出貨文件備註po No.
2. 隨貨附出貨文件及產證</t>
    </r>
  </si>
  <si>
    <t>PO-20190401A</t>
  </si>
  <si>
    <t>同U343</t>
  </si>
  <si>
    <t>CX08223094DP</t>
  </si>
  <si>
    <t>同AF344</t>
  </si>
  <si>
    <t>同AG344</t>
  </si>
  <si>
    <t>MV36430201</t>
  </si>
  <si>
    <t>郵局: 
96233322007510324006</t>
  </si>
  <si>
    <t>4/8 開立invoice</t>
  </si>
  <si>
    <t>PO-20190408A</t>
  </si>
  <si>
    <r>
      <rPr>
        <rFont val="Arial"/>
        <color rgb="FF000000"/>
        <sz val="10.0"/>
      </rPr>
      <t>Power adapter</t>
    </r>
    <r>
      <rPr>
        <rFont val="Arial"/>
        <color rgb="FFFF0000"/>
        <sz val="10.0"/>
      </rPr>
      <t>(7400065020X00)</t>
    </r>
    <r>
      <rPr>
        <rFont val="Arial"/>
        <color rgb="FF000000"/>
        <sz val="10.0"/>
      </rPr>
      <t xml:space="preserve"> &amp; European Power cord        
</t>
    </r>
    <r>
      <rPr>
        <rFont val="Arial"/>
        <color rgb="FFFF0000"/>
        <sz val="10.0"/>
      </rPr>
      <t>(60233POW39X00)</t>
    </r>
    <r>
      <rPr>
        <rFont val="Arial"/>
        <color rgb="FF000000"/>
        <sz val="10.0"/>
      </rPr>
      <t xml:space="preserve"> for NISE2300-M</t>
    </r>
  </si>
  <si>
    <t>PO-20190409A</t>
  </si>
  <si>
    <t>同U353</t>
  </si>
  <si>
    <t>PO-20190409B</t>
  </si>
  <si>
    <t>CG083764E560</t>
  </si>
  <si>
    <t>同AH355</t>
  </si>
  <si>
    <t>同AI355</t>
  </si>
  <si>
    <t>同P357</t>
  </si>
  <si>
    <t>同U357</t>
  </si>
  <si>
    <t>同U355</t>
  </si>
  <si>
    <t>PO-20190409B-1</t>
  </si>
  <si>
    <t>PO-20190409C</t>
  </si>
  <si>
    <t>PS36525701</t>
  </si>
  <si>
    <t>郵局:
98096822006510231004</t>
  </si>
  <si>
    <t>PO-20190411A</t>
  </si>
  <si>
    <t>CG083763S475</t>
  </si>
  <si>
    <t>同U362</t>
  </si>
  <si>
    <t>PO-20190411B-2</t>
  </si>
  <si>
    <t>CF08550GX787</t>
  </si>
  <si>
    <t>PO-20190411B-1</t>
  </si>
  <si>
    <r>
      <rPr>
        <rFont val="arial,sans,sans-serif"/>
        <color rgb="FF000000"/>
        <sz val="10.0"/>
      </rPr>
      <t xml:space="preserve">PI-20190411B
</t>
    </r>
    <r>
      <rPr>
        <rFont val="arial,sans,sans-serif"/>
        <b/>
        <color rgb="FF0000FF"/>
        <sz val="10.0"/>
      </rPr>
      <t>(IQC檢驗CPU)</t>
    </r>
  </si>
  <si>
    <t>同U368</t>
  </si>
  <si>
    <t>簡易CX0822305T87</t>
  </si>
  <si>
    <t>CF08550EK603</t>
  </si>
  <si>
    <t>PO-20190415A</t>
  </si>
  <si>
    <t>CX082230A3KW</t>
  </si>
  <si>
    <t>待確認</t>
  </si>
  <si>
    <t>CG083763L918</t>
  </si>
  <si>
    <t>PO-20190418A</t>
  </si>
  <si>
    <t>同T374</t>
  </si>
  <si>
    <t>CH0852015210</t>
  </si>
  <si>
    <t>UX-233981D</t>
  </si>
  <si>
    <t>PO-20190418B</t>
  </si>
  <si>
    <t>同AH372</t>
  </si>
  <si>
    <t>同AI372</t>
  </si>
  <si>
    <t>PO-20190418C</t>
  </si>
  <si>
    <t>CH080N800970</t>
  </si>
  <si>
    <t>PGS-113886</t>
  </si>
  <si>
    <t>同U377</t>
  </si>
  <si>
    <t xml:space="preserve">PD-20190418A-3 </t>
  </si>
  <si>
    <t xml:space="preserve"> CX082230F0SV</t>
  </si>
  <si>
    <t xml:space="preserve"> Elgens </t>
  </si>
  <si>
    <t>PD-20190418A</t>
  </si>
  <si>
    <t>CX082230F0SV</t>
  </si>
  <si>
    <t>同AF379</t>
  </si>
  <si>
    <t>PO-20190419A</t>
  </si>
  <si>
    <t>同U382</t>
  </si>
  <si>
    <t>PO-20190422A</t>
  </si>
  <si>
    <t>同U383</t>
  </si>
  <si>
    <t>PO-20190422B</t>
  </si>
  <si>
    <t>CX082230AXK0</t>
  </si>
  <si>
    <t>同U386</t>
  </si>
  <si>
    <t>PO-20190422C</t>
  </si>
  <si>
    <t>CR083764C680</t>
  </si>
  <si>
    <t>同U390</t>
  </si>
  <si>
    <t>同AF390</t>
  </si>
  <si>
    <t>同AG390</t>
  </si>
  <si>
    <t>PO-20190423A</t>
  </si>
  <si>
    <t>PS36525700</t>
  </si>
  <si>
    <t>郵局:
98096622006510220000</t>
  </si>
  <si>
    <t>同</t>
  </si>
  <si>
    <t>PO-20190424A</t>
  </si>
  <si>
    <t>同U392</t>
  </si>
  <si>
    <t>PO-20190426A</t>
  </si>
  <si>
    <t>PS36525703</t>
  </si>
  <si>
    <t>SAME Z395</t>
  </si>
  <si>
    <t>同AF395</t>
  </si>
  <si>
    <t>同AG395</t>
  </si>
  <si>
    <t>PO-20190502A-1</t>
  </si>
  <si>
    <t>CG083764M490</t>
  </si>
  <si>
    <t>同U398</t>
  </si>
  <si>
    <t>同AF398</t>
  </si>
  <si>
    <t>同AG398</t>
  </si>
  <si>
    <t>PO-20190502A-3</t>
  </si>
  <si>
    <t>PO-20190502A-2</t>
  </si>
  <si>
    <t>同U401</t>
  </si>
  <si>
    <t>PO-20190502C</t>
  </si>
  <si>
    <t>PS36525704</t>
  </si>
  <si>
    <t>郵局:
98424922006510221005</t>
  </si>
  <si>
    <t>同U406</t>
  </si>
  <si>
    <t>SAME Z405</t>
  </si>
  <si>
    <t>同AF405</t>
  </si>
  <si>
    <t>同AG405</t>
  </si>
  <si>
    <t>CR0837650J82</t>
  </si>
  <si>
    <t>PO-20190502E</t>
  </si>
  <si>
    <t>PO-20190507A</t>
  </si>
  <si>
    <t>PS36525710</t>
  </si>
  <si>
    <t>PO-20190507B</t>
  </si>
  <si>
    <t>CX082230CCEF</t>
  </si>
  <si>
    <t>同U414</t>
  </si>
  <si>
    <t>PO-20190508A</t>
  </si>
  <si>
    <t>PS36525706</t>
  </si>
  <si>
    <t>郵局:
98330722006510302007</t>
  </si>
  <si>
    <t>PO-20190508B-3</t>
  </si>
  <si>
    <t>CX082230CC03</t>
  </si>
  <si>
    <t>PO-20190508B-1</t>
  </si>
  <si>
    <t xml:space="preserve"> ICP DAS 泓格</t>
  </si>
  <si>
    <t>PO-20190508B-2</t>
  </si>
  <si>
    <t>兆豐銀行：017
帳號：02009016424</t>
  </si>
  <si>
    <t>同U420</t>
  </si>
  <si>
    <t>PO-20190508B-4</t>
  </si>
  <si>
    <t>CX082230DL75</t>
  </si>
  <si>
    <t>同AH420</t>
  </si>
  <si>
    <t>同AI420</t>
  </si>
  <si>
    <t>MemxPro 敏博</t>
  </si>
  <si>
    <t>PO-20190510A-2(revise-3)</t>
  </si>
  <si>
    <t>CA 0808321367</t>
  </si>
  <si>
    <t>同AH427</t>
  </si>
  <si>
    <t>同AI427</t>
  </si>
  <si>
    <t>奇普仕</t>
  </si>
  <si>
    <t>PO-20190510A-1</t>
  </si>
  <si>
    <t>匯豐台北分行0810016
001-130582-031</t>
  </si>
  <si>
    <t>PD-20190510A</t>
  </si>
  <si>
    <t xml:space="preserve">CA 0808321367
</t>
  </si>
  <si>
    <t>折讓</t>
  </si>
  <si>
    <t>PO-20190508D</t>
  </si>
  <si>
    <t>PS36525711</t>
  </si>
  <si>
    <t>郵局:
96210022006410116005</t>
  </si>
  <si>
    <t>:</t>
  </si>
  <si>
    <t>CX082230Q9A8</t>
  </si>
  <si>
    <t>PO-20190509A-1</t>
  </si>
  <si>
    <t>同AF432</t>
  </si>
  <si>
    <t>同AG432</t>
  </si>
  <si>
    <t>PO-20190509A-3</t>
  </si>
  <si>
    <t>同U400</t>
  </si>
  <si>
    <t>PO-20190509A-2</t>
  </si>
  <si>
    <t>同U435</t>
  </si>
  <si>
    <t>PO-20190509C</t>
  </si>
  <si>
    <r>
      <rPr>
        <rFont val="Arial"/>
        <color rgb="FF000000"/>
        <sz val="10.0"/>
      </rPr>
      <t xml:space="preserve">PI-20190509C
</t>
    </r>
    <r>
      <rPr>
        <rFont val="Arial"/>
        <b/>
        <color rgb="FF0000FF"/>
        <sz val="10.0"/>
      </rPr>
      <t>(IQC+DRAM標籤)</t>
    </r>
  </si>
  <si>
    <t>同W440</t>
  </si>
  <si>
    <r>
      <rPr>
        <rFont val="Arial"/>
        <color rgb="FF000000"/>
        <sz val="10.0"/>
      </rPr>
      <t xml:space="preserve">PI-20190509C
</t>
    </r>
    <r>
      <rPr>
        <rFont val="Arial"/>
        <b/>
        <color rgb="FF0000FF"/>
        <sz val="10.0"/>
      </rPr>
      <t>(IQC+DRAM標籤)</t>
    </r>
  </si>
  <si>
    <t>戎克倉庫</t>
  </si>
  <si>
    <t>Po-20190509C</t>
  </si>
  <si>
    <t>PO-20190513A</t>
  </si>
  <si>
    <t>同U441</t>
  </si>
  <si>
    <t>PO-20190513B</t>
  </si>
  <si>
    <t>PS36525712</t>
  </si>
  <si>
    <t>郵局:
98425022006510330000</t>
  </si>
  <si>
    <t>待水單沖匯</t>
  </si>
  <si>
    <t>PO-20190513C</t>
  </si>
  <si>
    <t>PS36525752</t>
  </si>
  <si>
    <t>郵局:
97312722007510330714</t>
  </si>
  <si>
    <t>PO-20190515A</t>
  </si>
  <si>
    <t>CX082230DKDT</t>
  </si>
  <si>
    <t>壬寅</t>
  </si>
  <si>
    <t>PO-20190515B</t>
  </si>
  <si>
    <t>國泰世華二重分行
0130707 
070-03-700964-2</t>
  </si>
  <si>
    <t>CX082230DGFN</t>
  </si>
  <si>
    <t>PO-20190515C</t>
  </si>
  <si>
    <t>CG 083764J837</t>
  </si>
  <si>
    <t>同U452</t>
  </si>
  <si>
    <t>PO-20190517A</t>
  </si>
  <si>
    <t>同AF451</t>
  </si>
  <si>
    <t>PS36525713</t>
  </si>
  <si>
    <r>
      <rPr>
        <rFont val="Arial"/>
        <color rgb="FF000000"/>
        <sz val="10.0"/>
      </rPr>
      <t xml:space="preserve">719_Nport-5230A </t>
    </r>
    <r>
      <rPr>
        <rFont val="Arial"/>
        <color rgb="FF0000FF"/>
        <sz val="10.0"/>
      </rPr>
      <t xml:space="preserve">(客戶下單錯誤，核銷。酌收退貨手續費15%)  </t>
    </r>
  </si>
  <si>
    <t>PO-20190520A</t>
  </si>
  <si>
    <t>PS36525758</t>
  </si>
  <si>
    <t xml:space="preserve">郵局:
</t>
  </si>
  <si>
    <t>洋基通運匯豐(081)
 10081620882011</t>
  </si>
  <si>
    <t>亞佳</t>
  </si>
  <si>
    <t>PO-20190521A</t>
  </si>
  <si>
    <t>聯邦銀行土城分行
089100002466</t>
  </si>
  <si>
    <t>CR083764S741</t>
  </si>
  <si>
    <t>同AH444</t>
  </si>
  <si>
    <t>同AI444</t>
  </si>
  <si>
    <t>PO-20190523A</t>
  </si>
  <si>
    <t>PS36525756</t>
  </si>
  <si>
    <t>郵局:</t>
  </si>
  <si>
    <t>同W461</t>
  </si>
  <si>
    <t>同AB456</t>
  </si>
  <si>
    <t>同AH458</t>
  </si>
  <si>
    <t>PO-20190523B</t>
  </si>
  <si>
    <t xml:space="preserve">CU0857BH6401 </t>
  </si>
  <si>
    <t>1Z1913EE0495840503</t>
  </si>
  <si>
    <t>同AH156</t>
  </si>
  <si>
    <t>同AI156</t>
  </si>
  <si>
    <t>同W463</t>
  </si>
  <si>
    <t>PO-20190524A</t>
  </si>
  <si>
    <t>CX082230EF18</t>
  </si>
  <si>
    <t>同U468</t>
  </si>
  <si>
    <t>同AH468</t>
  </si>
  <si>
    <t>同AI468</t>
  </si>
  <si>
    <t>RockTouch
志賸企業</t>
  </si>
  <si>
    <t>PO-20190524B-1</t>
  </si>
  <si>
    <t>上海銀行 前金分行
NTD  30102000077801</t>
  </si>
  <si>
    <r>
      <rPr>
        <rFont val="Arial"/>
        <color theme="1"/>
        <sz val="10.0"/>
      </rPr>
      <t xml:space="preserve">PDK-P150SOBAR-HC, 
including </t>
    </r>
    <r>
      <rPr>
        <rFont val="Arial"/>
        <color rgb="FFFF0000"/>
        <sz val="10.0"/>
      </rPr>
      <t>3 items</t>
    </r>
    <r>
      <rPr>
        <rFont val="Arial"/>
        <color rgb="FF000000"/>
        <sz val="10.0"/>
      </rPr>
      <t xml:space="preserve">
1) RTPC150-H30006-U with 3 mm AR glass</t>
    </r>
  </si>
  <si>
    <t>CU0857BJ5595</t>
  </si>
  <si>
    <t>1Z1913EE0490044767</t>
  </si>
  <si>
    <t>PO-20190524B-2(Revised-1)</t>
  </si>
  <si>
    <r>
      <rPr>
        <rFont val="Arial"/>
        <color theme="1"/>
        <sz val="10.0"/>
      </rPr>
      <t xml:space="preserve">PDK-P150SOBAR-HC, 
including </t>
    </r>
    <r>
      <rPr>
        <rFont val="Arial"/>
        <color rgb="FFFF0000"/>
        <sz val="10.0"/>
      </rPr>
      <t>3 items</t>
    </r>
    <r>
      <rPr>
        <rFont val="Arial"/>
        <color rgb="FF000000"/>
        <sz val="10.0"/>
      </rPr>
      <t xml:space="preserve">
1) RTPC150-H30006-U with 3 mm AR glass
</t>
    </r>
    <r>
      <rPr>
        <rFont val="Arial"/>
        <b/>
        <color rgb="FF0000FF"/>
        <sz val="10.0"/>
      </rPr>
      <t>(外箱貼紙: S/N: PI-20190524B-2)*5pcs*2C)</t>
    </r>
  </si>
  <si>
    <t>同S468</t>
  </si>
  <si>
    <t>CU08578F8786</t>
  </si>
  <si>
    <t>1Z1913EE0496034141</t>
  </si>
  <si>
    <r>
      <rPr>
        <rFont val="Arial"/>
        <color theme="1"/>
        <sz val="10.0"/>
      </rPr>
      <t xml:space="preserve">2) OCR Bonding
</t>
    </r>
    <r>
      <rPr>
        <rFont val="Arial"/>
        <b/>
        <color rgb="FF0000FF"/>
        <sz val="10.0"/>
      </rPr>
      <t>(進廠後請IQC抽驗2PCS-外觀&amp;排線是否為良品)</t>
    </r>
  </si>
  <si>
    <t>PO-20190529A</t>
  </si>
  <si>
    <t>CX082230DZNY</t>
  </si>
  <si>
    <t>同AH476</t>
  </si>
  <si>
    <t>同AI476</t>
  </si>
  <si>
    <t>PO-20190531A</t>
  </si>
  <si>
    <t>PO-20190531B</t>
  </si>
  <si>
    <t>PS36525751</t>
  </si>
  <si>
    <t>郵局:
97312822007510116003</t>
  </si>
  <si>
    <t>PO-20190603A</t>
  </si>
  <si>
    <t>CH080N801398</t>
  </si>
  <si>
    <t>同AH626</t>
  </si>
  <si>
    <t>同AI626</t>
  </si>
  <si>
    <t>同W480</t>
  </si>
  <si>
    <t>PD-20190605A</t>
  </si>
  <si>
    <t>CX082230GE23</t>
  </si>
  <si>
    <t>PD-20190605A-2</t>
  </si>
  <si>
    <t>同AH486</t>
  </si>
  <si>
    <t>同AI486</t>
  </si>
  <si>
    <t>PD-20190605A-1</t>
  </si>
  <si>
    <t>PD-20190605A-4</t>
  </si>
  <si>
    <t>PS36525750</t>
  </si>
  <si>
    <t>沛勁寄出</t>
  </si>
  <si>
    <t>PO-20190604C</t>
  </si>
  <si>
    <t>PS36525754</t>
  </si>
  <si>
    <t>郵局:
98947022006510231007</t>
  </si>
  <si>
    <t>同AH418</t>
  </si>
  <si>
    <t>同AI418</t>
  </si>
  <si>
    <t>PO-20190604D</t>
  </si>
  <si>
    <t>CX082230F0U5</t>
  </si>
  <si>
    <t>同W494</t>
  </si>
  <si>
    <t>同AH493</t>
  </si>
  <si>
    <t>同AI493</t>
  </si>
  <si>
    <t>錫麟</t>
  </si>
  <si>
    <t>PO-20190605B</t>
  </si>
  <si>
    <t>台灣土地銀行 仁愛分行
057001501293</t>
  </si>
  <si>
    <t>同AH498</t>
  </si>
  <si>
    <t>同AI498</t>
  </si>
  <si>
    <t>PO-20190605A</t>
  </si>
  <si>
    <t>同W498</t>
  </si>
  <si>
    <t>PO-20190606A</t>
  </si>
  <si>
    <t>PS36525753</t>
  </si>
  <si>
    <t>大榮:
15595542201</t>
  </si>
  <si>
    <t>PO-20190606B</t>
  </si>
  <si>
    <t>CE0811527128</t>
  </si>
  <si>
    <t>同AH501</t>
  </si>
  <si>
    <t>同AI501</t>
  </si>
  <si>
    <t>PO-20190606C</t>
  </si>
  <si>
    <t>PO-20190606D</t>
  </si>
  <si>
    <t>CG083765E555</t>
  </si>
  <si>
    <t>同AH506</t>
  </si>
  <si>
    <t>同AI506</t>
  </si>
  <si>
    <t>同Q504</t>
  </si>
  <si>
    <t>PO-20190607A</t>
  </si>
  <si>
    <t>CX082230ECCJ</t>
  </si>
  <si>
    <t>PO-20190610A</t>
  </si>
  <si>
    <t xml:space="preserve"> CX082230F23F</t>
  </si>
  <si>
    <t>MemxPro敏博
戎克組裝</t>
  </si>
  <si>
    <t>PO-20190610B</t>
  </si>
  <si>
    <t>同W514</t>
  </si>
  <si>
    <t>CX082230HKCU</t>
  </si>
  <si>
    <t>同AH514</t>
  </si>
  <si>
    <t>同AJ514</t>
  </si>
  <si>
    <t>PD-20190610B-1
~PD-20190610B-6</t>
  </si>
  <si>
    <t>CX082230MLYT</t>
  </si>
  <si>
    <t>PD-20190610A-1
~PD-20190610A-6</t>
  </si>
  <si>
    <t>PO-20190611A</t>
  </si>
  <si>
    <t>PO-20190612B-2</t>
  </si>
  <si>
    <t>CG 083765E418</t>
  </si>
  <si>
    <t>同AH520</t>
  </si>
  <si>
    <t>同AI520</t>
  </si>
  <si>
    <t>PO-20190612A</t>
  </si>
  <si>
    <t>PO-20190612B-1</t>
  </si>
  <si>
    <t>PO-20190613A</t>
  </si>
  <si>
    <t>PS36525757</t>
  </si>
  <si>
    <t>郵局:
90038722006510116003</t>
  </si>
  <si>
    <t>同AH479</t>
  </si>
  <si>
    <t>同AI479</t>
  </si>
  <si>
    <t>PO-20190617A</t>
  </si>
  <si>
    <t>PO-20190619B</t>
  </si>
  <si>
    <t>PO-20190620A-1</t>
  </si>
  <si>
    <t>CU0857BJ5209</t>
  </si>
  <si>
    <t>1Z1913EE0491992133</t>
  </si>
  <si>
    <t>客供料
貨到送曦立</t>
  </si>
  <si>
    <r>
      <rPr>
        <rFont val="Arial"/>
        <color rgb="FF000000"/>
        <sz val="10.0"/>
      </rPr>
      <t xml:space="preserve">PI-20190620A-2
(PI-20191007003)
</t>
    </r>
    <r>
      <rPr>
        <rFont val="Arial"/>
        <b/>
        <color rgb="FF0000FF"/>
        <sz val="10.0"/>
      </rPr>
      <t>(成品進廠需IQC)</t>
    </r>
  </si>
  <si>
    <t>PO-20190620A-1(Revised-2)
(2019102500004)</t>
  </si>
  <si>
    <t>同X528</t>
  </si>
  <si>
    <t>CU0857BGB197</t>
  </si>
  <si>
    <t>同AI528</t>
  </si>
  <si>
    <t>同AJ528</t>
  </si>
  <si>
    <r>
      <rPr>
        <rFont val="Arial"/>
        <color rgb="FF000000"/>
        <sz val="10.0"/>
      </rPr>
      <t xml:space="preserve">PI-20190620A-2
(PI-20191007003)
</t>
    </r>
    <r>
      <rPr>
        <rFont val="Arial"/>
        <b/>
        <color rgb="FF0000FF"/>
        <sz val="10.0"/>
      </rPr>
      <t>(抽驗客供品外觀)</t>
    </r>
  </si>
  <si>
    <r>
      <rPr>
        <rFont val="Arial"/>
        <color rgb="FF000000"/>
        <sz val="10.0"/>
      </rPr>
      <t xml:space="preserve">PI-20190620A-3
(PI-20191007005)
</t>
    </r>
    <r>
      <rPr>
        <rFont val="Arial"/>
        <color rgb="FF0000FF"/>
        <sz val="10.0"/>
      </rPr>
      <t>(成品進廠需IQC</t>
    </r>
    <r>
      <rPr>
        <rFont val="Arial"/>
        <color rgb="FF000000"/>
        <sz val="10.0"/>
      </rPr>
      <t>)</t>
    </r>
  </si>
  <si>
    <t>PO-20190620A-1(Revised-2)
(2019102500005)</t>
  </si>
  <si>
    <t>PO-20190625A</t>
  </si>
  <si>
    <t>CH0852015384</t>
  </si>
  <si>
    <t>UX-234101E</t>
  </si>
  <si>
    <t>同W534</t>
  </si>
  <si>
    <t>同AH535</t>
  </si>
  <si>
    <t>PO-20190625B</t>
  </si>
  <si>
    <t>CX082230K1XW</t>
  </si>
  <si>
    <t>PD-20190626A</t>
  </si>
  <si>
    <t>CX082230LUSZ</t>
  </si>
  <si>
    <t>PO-20190625C</t>
  </si>
  <si>
    <t>PO-20190626A-1</t>
  </si>
  <si>
    <t>CH0852015367</t>
  </si>
  <si>
    <t>UX-234091D</t>
  </si>
  <si>
    <t>PO-20190626A-2</t>
  </si>
  <si>
    <t>同AH539</t>
  </si>
  <si>
    <t>同AI539</t>
  </si>
  <si>
    <t>PO-20190626B</t>
  </si>
  <si>
    <t>RP36571850</t>
  </si>
  <si>
    <t>97774322007510116004</t>
  </si>
  <si>
    <t xml:space="preserve">維田 Aplex </t>
  </si>
  <si>
    <t>PO-20190628A</t>
  </si>
  <si>
    <t>CX082230HT0P</t>
  </si>
  <si>
    <t>PO-20190628B</t>
  </si>
  <si>
    <t>CG083765J527</t>
  </si>
  <si>
    <t>PO-20190701A</t>
  </si>
  <si>
    <t>RP36571852</t>
  </si>
  <si>
    <t>97905822007510116007</t>
  </si>
  <si>
    <t>同AH542</t>
  </si>
  <si>
    <t>同AI542</t>
  </si>
  <si>
    <t>PO-20190701B</t>
  </si>
  <si>
    <t>RP36571851</t>
  </si>
  <si>
    <t>郵局:
97851922007510302003</t>
  </si>
  <si>
    <t>PO-20190702A</t>
  </si>
  <si>
    <t>RP36571853</t>
  </si>
  <si>
    <t>郵局:
98022422007510231004</t>
  </si>
  <si>
    <t>同W547</t>
  </si>
  <si>
    <t>SAME AS AB546</t>
  </si>
  <si>
    <t>PO-20190705A</t>
  </si>
  <si>
    <t>CU0857BH8375</t>
  </si>
  <si>
    <t>1Z1913EE0495023539</t>
  </si>
  <si>
    <t>同W549</t>
  </si>
  <si>
    <t>PO-20190703B</t>
  </si>
  <si>
    <t>PD-20190704A</t>
  </si>
  <si>
    <t>同AH570</t>
  </si>
  <si>
    <t>同AI570</t>
  </si>
  <si>
    <t>PO-20190704B</t>
  </si>
  <si>
    <t>CUD857BH8818</t>
  </si>
  <si>
    <t>1Z1913EE0493304328</t>
  </si>
  <si>
    <t>PO-20190708A</t>
  </si>
  <si>
    <t>CX082230HUCQ</t>
  </si>
  <si>
    <t>同W555</t>
  </si>
  <si>
    <t>同AH557</t>
  </si>
  <si>
    <t>同AI557</t>
  </si>
  <si>
    <t>CU0857BJ4691</t>
  </si>
  <si>
    <t>1Z1913EE0493974711</t>
  </si>
  <si>
    <t>PO-20190710B</t>
  </si>
  <si>
    <t>CG083765Q629</t>
  </si>
  <si>
    <t>PO-20190711A</t>
  </si>
  <si>
    <t>同W562</t>
  </si>
  <si>
    <t>RMA-20190616A</t>
  </si>
  <si>
    <t>PO-20190712A</t>
  </si>
  <si>
    <t>PO-20190715A</t>
  </si>
  <si>
    <t xml:space="preserve"> CX082230JEQV</t>
  </si>
  <si>
    <t>PO-20190805A</t>
  </si>
  <si>
    <t>"花旗：021-0018
5028523019"</t>
  </si>
  <si>
    <t>CX082230KXZV</t>
  </si>
  <si>
    <t>同W639</t>
  </si>
  <si>
    <t>同AH565</t>
  </si>
  <si>
    <t>同AI565</t>
  </si>
  <si>
    <t xml:space="preserve">PO-20190716A </t>
  </si>
  <si>
    <t>RP36571854</t>
  </si>
  <si>
    <t>郵局:
98022322007510116005</t>
  </si>
  <si>
    <t>PO-20190717A-2</t>
  </si>
  <si>
    <r>
      <rPr>
        <rFont val="Arial"/>
        <color rgb="FF000000"/>
        <sz val="10.0"/>
      </rPr>
      <t xml:space="preserve">●20PCS 票據短缺
</t>
    </r>
    <r>
      <rPr>
        <rFont val="Arial"/>
        <color rgb="FF000000"/>
        <sz val="10.0"/>
      </rPr>
      <t>●50PCS :CA0806731424</t>
    </r>
  </si>
  <si>
    <t>●20PCS for UPS:1Z1913EE6799291928
●50PCS for Kuehne&amp;Nagel :217-28749044/1030200490</t>
  </si>
  <si>
    <t>PO-20190717A-1</t>
  </si>
  <si>
    <r>
      <rPr>
        <rFont val="Arial"/>
        <color rgb="FF000000"/>
        <sz val="10.0"/>
      </rPr>
      <t xml:space="preserve">●20PCS 票據短缺
</t>
    </r>
    <r>
      <rPr>
        <rFont val="Arial"/>
        <color rgb="FF000000"/>
        <sz val="10.0"/>
      </rPr>
      <t>●50PCS :CA0806731424</t>
    </r>
  </si>
  <si>
    <t>同S573</t>
  </si>
  <si>
    <t>同X573</t>
  </si>
  <si>
    <r>
      <rPr>
        <rFont val="Arial"/>
        <color rgb="FF000000"/>
        <sz val="10.0"/>
      </rPr>
      <t xml:space="preserve">●20PCS 票據短缺
</t>
    </r>
    <r>
      <rPr>
        <rFont val="Arial"/>
        <color rgb="FF000000"/>
        <sz val="10.0"/>
      </rPr>
      <t>●50PCS :CA0806731424</t>
    </r>
  </si>
  <si>
    <r>
      <rPr>
        <rFont val="arial,sans,sans-serif"/>
        <color rgb="FF000000"/>
        <sz val="10.0"/>
      </rPr>
      <t xml:space="preserve">PI-20190717A
(PI-20191009007)
</t>
    </r>
    <r>
      <rPr>
        <rFont val="arial,sans,sans-serif"/>
        <b/>
        <color rgb="FF0000FF"/>
        <sz val="10.0"/>
      </rPr>
      <t xml:space="preserve">(IQC檢驗CPU) </t>
    </r>
    <r>
      <rPr>
        <rFont val="arial,sans,sans-serif"/>
        <color rgb="FF000000"/>
        <sz val="10.0"/>
      </rPr>
      <t xml:space="preserve">  </t>
    </r>
  </si>
  <si>
    <r>
      <rPr>
        <rFont val="Arial"/>
        <color rgb="FF000000"/>
        <sz val="10.0"/>
      </rPr>
      <t xml:space="preserve">●20PCS 票據短缺
</t>
    </r>
    <r>
      <rPr>
        <rFont val="Arial"/>
        <color rgb="FF000000"/>
        <sz val="10.0"/>
      </rPr>
      <t>●50PCS :CA0806731424</t>
    </r>
  </si>
  <si>
    <t>RP36571907</t>
  </si>
  <si>
    <t>隨貨寄出</t>
  </si>
  <si>
    <t>同AB579</t>
  </si>
  <si>
    <t>同AH578</t>
  </si>
  <si>
    <t>同AI578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</si>
  <si>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</si>
  <si>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PO-20190724A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</si>
  <si>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</si>
  <si>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同W579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</si>
  <si>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</si>
  <si>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PO-20190802AC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</si>
  <si>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</si>
  <si>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同W582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</si>
  <si>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</si>
  <si>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PO-20190730AC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</si>
  <si>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</si>
  <si>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同W580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</si>
  <si>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</si>
  <si>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</si>
  <si>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PO-20190723C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</si>
  <si>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</si>
  <si>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</si>
  <si>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PO-20190722C-1</t>
  </si>
  <si>
    <r>
      <rPr>
        <rFont val="Arial"/>
        <color rgb="FF000000"/>
        <sz val="10.0"/>
      </rPr>
      <t xml:space="preserve">PI-20190717C
</t>
    </r>
    <r>
      <rPr>
        <rFont val="Arial"/>
        <b/>
        <color rgb="FF0000FF"/>
        <sz val="10.0"/>
      </rPr>
      <t>(更改序號貼紙)</t>
    </r>
  </si>
  <si>
    <t>MO-20190717D(revised)</t>
  </si>
  <si>
    <t>見BOM</t>
  </si>
  <si>
    <t>CG083766H317</t>
  </si>
  <si>
    <t>PO-20190717E-1</t>
  </si>
  <si>
    <t>CX082230KA5P</t>
  </si>
  <si>
    <t>同W590</t>
  </si>
  <si>
    <t>PO-20190717E-2</t>
  </si>
  <si>
    <t>PO-20190719A</t>
  </si>
  <si>
    <t>RP36571855</t>
  </si>
  <si>
    <t>同W591</t>
  </si>
  <si>
    <t>郵局:
95962922006910116000</t>
  </si>
  <si>
    <t>SAME AS AB592</t>
  </si>
  <si>
    <t>同AH593</t>
  </si>
  <si>
    <t>同AI593</t>
  </si>
  <si>
    <r>
      <rPr>
        <rFont val="Arial"/>
        <color rgb="FF000000"/>
        <sz val="10.0"/>
      </rPr>
      <t xml:space="preserve">PI-20190719B-1
(PI-20191007006)
</t>
    </r>
    <r>
      <rPr>
        <rFont val="Arial"/>
        <b/>
        <color rgb="FF0000FF"/>
        <sz val="10.0"/>
      </rPr>
      <t>(抽驗客供品外觀)</t>
    </r>
    <r>
      <rPr>
        <rFont val="Arial"/>
        <color rgb="FF000000"/>
        <sz val="10.0"/>
      </rPr>
      <t xml:space="preserve"> </t>
    </r>
  </si>
  <si>
    <t>客供料
送曦立貼合</t>
  </si>
  <si>
    <t>CU0857BGB936</t>
  </si>
  <si>
    <t xml:space="preserve">大榮15995542754 </t>
  </si>
  <si>
    <t>PO-20190719B-1
(PO-201911190004)</t>
  </si>
  <si>
    <t>1Z1913EE0497220125</t>
  </si>
  <si>
    <t>PO-20190719B-2
(PO-201911190001)</t>
  </si>
  <si>
    <r>
      <rPr>
        <rFont val="Arial"/>
        <b val="0"/>
        <color rgb="FF000000"/>
        <sz val="10.0"/>
      </rPr>
      <t>PI-20190719B-1 
(PI-20191007006)</t>
    </r>
    <r>
      <rPr>
        <rFont val="Arial"/>
        <b/>
        <color rgb="FF0000FF"/>
        <sz val="10.0"/>
      </rPr>
      <t xml:space="preserve">
(成品回廠需做IQC) </t>
    </r>
  </si>
  <si>
    <t>PO-201911190004</t>
  </si>
  <si>
    <t>同AI586</t>
  </si>
  <si>
    <t>同AJ586</t>
  </si>
  <si>
    <t>CU0857BG7912</t>
  </si>
  <si>
    <t>1Z1913EE0495130771</t>
  </si>
  <si>
    <r>
      <rPr>
        <rFont val="Arial"/>
        <color rgb="FF000000"/>
        <sz val="10.0"/>
      </rPr>
      <t xml:space="preserve">PI-20190719B-2
(PI-20191007006)
</t>
    </r>
    <r>
      <rPr>
        <rFont val="Arial"/>
        <b/>
        <color rgb="FF0000FF"/>
        <sz val="10.0"/>
      </rPr>
      <t>(成品回廠需做IQC)</t>
    </r>
  </si>
  <si>
    <t>PO-20190719B-2(Revised)
PO-2019103100002</t>
  </si>
  <si>
    <t>同AI605</t>
  </si>
  <si>
    <t>同AJ605</t>
  </si>
  <si>
    <r>
      <rPr>
        <rFont val="Arial"/>
        <color rgb="FF000000"/>
        <sz val="10.0"/>
      </rPr>
      <t xml:space="preserve">PI-20190719B-2
(PI-20191007006)
</t>
    </r>
    <r>
      <rPr>
        <rFont val="Arial"/>
        <b/>
        <color rgb="FF0000FF"/>
        <sz val="10.0"/>
      </rPr>
      <t>(抽驗客供品外觀)</t>
    </r>
    <r>
      <rPr>
        <rFont val="Arial"/>
        <color rgb="FF000000"/>
        <sz val="10.0"/>
      </rPr>
      <t xml:space="preserve"> </t>
    </r>
  </si>
  <si>
    <t>PO-20190719B-1
(2019102500009)</t>
  </si>
  <si>
    <t>CU0857BGA117</t>
  </si>
  <si>
    <t>1Z1913EE6691545198</t>
  </si>
  <si>
    <r>
      <rPr>
        <rFont val="Arial"/>
        <color rgb="FF000000"/>
        <sz val="10.0"/>
      </rPr>
      <t xml:space="preserve">PI-20190719B-3
(PI-20191007002)
</t>
    </r>
    <r>
      <rPr>
        <rFont val="Arial"/>
        <b/>
        <color rgb="FF0000FF"/>
        <sz val="10.0"/>
      </rPr>
      <t>(成品回廠需IQC检驗)</t>
    </r>
  </si>
  <si>
    <t>PO-20190719B-2
(PO-201911190002)</t>
  </si>
  <si>
    <r>
      <rPr>
        <rFont val="Arial"/>
        <color rgb="FF000000"/>
        <sz val="10.0"/>
      </rPr>
      <t xml:space="preserve">PI-20190719B-3
(PI-20191007002)
</t>
    </r>
    <r>
      <rPr>
        <rFont val="Arial"/>
        <b/>
        <color rgb="FF0000FF"/>
        <sz val="10.0"/>
      </rPr>
      <t xml:space="preserve">(抽驗客供品外觀) </t>
    </r>
  </si>
  <si>
    <t>大榮15995542754</t>
  </si>
  <si>
    <t>PO-20190719B-1
(PO-201911190005)</t>
  </si>
  <si>
    <t>同AI605.同AI735</t>
  </si>
  <si>
    <t>同AJ605.同AJ735</t>
  </si>
  <si>
    <r>
      <rPr>
        <rFont val="Arial"/>
        <color rgb="FF000000"/>
        <sz val="10.0"/>
      </rPr>
      <t xml:space="preserve">PI-20190719B-4
(PI-20191007007)
</t>
    </r>
    <r>
      <rPr>
        <rFont val="Arial"/>
        <b/>
        <color rgb="FF0000FF"/>
        <sz val="10.0"/>
      </rPr>
      <t>(抽驗客供品外觀) &amp;外箱需有LCD序號</t>
    </r>
  </si>
  <si>
    <t>CU0857BGB197/CU0857BGB936</t>
  </si>
  <si>
    <t>2019/10/18*2PCS
2019/11/12*2PCS</t>
  </si>
  <si>
    <r>
      <rPr>
        <rFont val="Arial"/>
        <color rgb="FF000000"/>
        <sz val="10.0"/>
      </rPr>
      <t>CU0857BGB197/</t>
    </r>
    <r>
      <rPr>
        <rFont val="Arial"/>
        <color rgb="FF000000"/>
        <sz val="10.0"/>
      </rPr>
      <t>CU0857BGB936</t>
    </r>
  </si>
  <si>
    <r>
      <rPr>
        <rFont val="Arial"/>
        <color rgb="FF000000"/>
        <sz val="10.0"/>
      </rPr>
      <t>2019/11/11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(2PCS)</t>
    </r>
    <r>
      <rPr>
        <rFont val="Arial"/>
        <color rgb="FF000000"/>
        <sz val="10.0"/>
      </rPr>
      <t xml:space="preserve">
2019/12/2
(2PCS)</t>
    </r>
  </si>
  <si>
    <t>PO-20190719B-3(Revisd)
(PO-2019111100001)</t>
  </si>
  <si>
    <t>同X848</t>
  </si>
  <si>
    <t>PO-20190719C</t>
  </si>
  <si>
    <r>
      <rPr>
        <rFont val="Arial"/>
        <color rgb="FF000000"/>
        <sz val="10.0"/>
      </rPr>
      <t xml:space="preserve">2019/12/05*2PCS 
</t>
    </r>
    <r>
      <rPr>
        <rFont val="Arial"/>
        <color rgb="FF000000"/>
        <sz val="10.0"/>
      </rPr>
      <t>2019/11/12*2 PCS</t>
    </r>
  </si>
  <si>
    <t xml:space="preserve"> 盛智</t>
  </si>
  <si>
    <t>PD-2019102900001</t>
  </si>
  <si>
    <r>
      <rPr>
        <rFont val="Arial"/>
        <color rgb="FF000000"/>
        <sz val="10.0"/>
      </rPr>
      <t xml:space="preserve">PI-20190719B-4
(PI-20191007007)  
</t>
    </r>
    <r>
      <rPr>
        <rFont val="Arial"/>
        <b/>
        <color rgb="FF0000FF"/>
        <sz val="10.0"/>
      </rPr>
      <t>(成品回廠需IQC检驗)&amp;外箱需有LCD序號</t>
    </r>
  </si>
  <si>
    <r>
      <rPr>
        <rFont val="Arial"/>
        <color rgb="FF000000"/>
        <sz val="10.0"/>
      </rPr>
      <t xml:space="preserve">2019/11/11(2PCS)
</t>
    </r>
    <r>
      <rPr>
        <rFont val="Arial"/>
        <color rgb="FF000000"/>
        <sz val="10.0"/>
      </rPr>
      <t>2019/11/29(2PCS)</t>
    </r>
  </si>
  <si>
    <t>CiVUE Optotech
曦立光電
(提供Film 給曦立貼合)</t>
  </si>
  <si>
    <t>戎克產線</t>
  </si>
  <si>
    <t>RP36571856</t>
  </si>
  <si>
    <t>PO-20190722C</t>
  </si>
  <si>
    <t>CX082230KA7J</t>
  </si>
  <si>
    <t>同AH608</t>
  </si>
  <si>
    <t>同AI608</t>
  </si>
  <si>
    <t>同W611</t>
  </si>
  <si>
    <t>PO-20190722D</t>
  </si>
  <si>
    <t>同AH564</t>
  </si>
  <si>
    <t>同AI564</t>
  </si>
  <si>
    <t>CR083765Y018</t>
  </si>
  <si>
    <t>同W613</t>
  </si>
  <si>
    <t>PO-20190723D</t>
  </si>
  <si>
    <t>CH080C310986</t>
  </si>
  <si>
    <t>TPE-7HU4590</t>
  </si>
  <si>
    <t>PO-20190725A</t>
  </si>
  <si>
    <t>RP36571903</t>
  </si>
  <si>
    <t>郵局:
8585222007510116006</t>
  </si>
  <si>
    <t xml:space="preserve">PO-20190726A </t>
  </si>
  <si>
    <t>RP36571857</t>
  </si>
  <si>
    <t>郵局:
95994722006910302680</t>
  </si>
  <si>
    <t>以7/15預收沖帳</t>
  </si>
  <si>
    <r>
      <rPr>
        <rFont val="Arial"/>
        <color rgb="FF000000"/>
        <sz val="10.0"/>
      </rPr>
      <t xml:space="preserve">2019/10/18*2pcs(NG *2)
 -&gt;Alan 10/23 回覆11/15補回
</t>
    </r>
    <r>
      <rPr>
        <rFont val="Arial"/>
        <color rgb="FF000000"/>
        <sz val="10.0"/>
      </rPr>
      <t xml:space="preserve">→曦立11/12 到貨 2PCS
</t>
    </r>
  </si>
  <si>
    <t>PO-20190726B</t>
  </si>
  <si>
    <t>CX082230KXV1</t>
  </si>
  <si>
    <t>PO-20190726B-1</t>
  </si>
  <si>
    <t>PO-20190726B-2</t>
  </si>
  <si>
    <t>PO-20190801D</t>
  </si>
  <si>
    <t>同W638</t>
  </si>
  <si>
    <t>CH080N802028</t>
  </si>
  <si>
    <t>TPEA000223</t>
  </si>
  <si>
    <t>CX082230JJK7</t>
  </si>
  <si>
    <t>PO-20190731A</t>
  </si>
  <si>
    <t>CR083766E416</t>
  </si>
  <si>
    <t>同W625</t>
  </si>
  <si>
    <t>同AH622</t>
  </si>
  <si>
    <t>同AI622</t>
  </si>
  <si>
    <t>PO-20190731B</t>
  </si>
  <si>
    <t>RP36571906</t>
  </si>
  <si>
    <t>郵局:
8585322007510220009</t>
  </si>
  <si>
    <t>PO-20190801A</t>
  </si>
  <si>
    <t>CX082230M7KS</t>
  </si>
  <si>
    <t>同AH632</t>
  </si>
  <si>
    <t>同AI632</t>
  </si>
  <si>
    <t>PO-20190801B</t>
  </si>
  <si>
    <t>同W633</t>
  </si>
  <si>
    <t>同AH633</t>
  </si>
  <si>
    <t>同AI633</t>
  </si>
  <si>
    <t>PO-20190801C</t>
  </si>
  <si>
    <t>同W539</t>
  </si>
  <si>
    <t>RP36571900</t>
  </si>
  <si>
    <t>沛勁:895256</t>
  </si>
  <si>
    <t>RP36571902</t>
  </si>
  <si>
    <t>郵局:
91274822006210412006</t>
  </si>
  <si>
    <t>PO-20190808A(revised)
(2019100800008)</t>
  </si>
  <si>
    <t>CR083767N884</t>
  </si>
  <si>
    <t xml:space="preserve"> MOXA</t>
  </si>
  <si>
    <t xml:space="preserve"> PO-20190812A</t>
  </si>
  <si>
    <t>CR083766K315</t>
  </si>
  <si>
    <t>宏正
ATEN</t>
  </si>
  <si>
    <t>PO-20190813A-2</t>
  </si>
  <si>
    <t>國泰世華銀行-汐止分行
銀行帳號:109-03-500348-9
分行代碼:0131092</t>
  </si>
  <si>
    <t>CR083766X898</t>
  </si>
  <si>
    <t>PO-20190813A-1</t>
  </si>
  <si>
    <t>同W647</t>
  </si>
  <si>
    <t>同AH644</t>
  </si>
  <si>
    <t>同AI644</t>
  </si>
  <si>
    <t>CR083766Z193</t>
  </si>
  <si>
    <t>PO-20190813B</t>
  </si>
  <si>
    <t>RP36571905</t>
  </si>
  <si>
    <t>同W645</t>
  </si>
  <si>
    <t>同AB651</t>
  </si>
  <si>
    <t>PO-20190813C</t>
  </si>
  <si>
    <t>RP36571904</t>
  </si>
  <si>
    <t>隨PI-20190717C一起寄出</t>
  </si>
  <si>
    <t>PO-20190814A
(誤下單PO-20190702A)</t>
  </si>
  <si>
    <t>TL36541202</t>
  </si>
  <si>
    <t>待由Chloe寄出</t>
  </si>
  <si>
    <t>PO-20190814C</t>
  </si>
  <si>
    <t>CG083766P288</t>
  </si>
  <si>
    <t>PO-20190815A</t>
  </si>
  <si>
    <t>CR083766T239</t>
  </si>
  <si>
    <t>同W658</t>
  </si>
  <si>
    <t>同AH277</t>
  </si>
  <si>
    <t>同AI277</t>
  </si>
  <si>
    <r>
      <rPr>
        <rFont val="Arial"/>
        <color rgb="FF000000"/>
        <sz val="10.0"/>
      </rPr>
      <t xml:space="preserve">PI-20190815B
(PI-20191007001)
</t>
    </r>
    <r>
      <rPr>
        <rFont val="Arial"/>
        <b/>
        <color rgb="FF0000FF"/>
        <sz val="10.0"/>
      </rPr>
      <t>(物料回公司後需檢驗)</t>
    </r>
  </si>
  <si>
    <t>PO-20190815B</t>
  </si>
  <si>
    <t>CH080N802173</t>
  </si>
  <si>
    <t>TPEA000278</t>
  </si>
  <si>
    <t>同AH654</t>
  </si>
  <si>
    <t>同AI654</t>
  </si>
  <si>
    <r>
      <rPr>
        <rFont val="Arial"/>
        <color rgb="FF000000"/>
        <sz val="10.0"/>
      </rPr>
      <t>PI-20190815B
(PI-20191007001)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>(LCD 需進料檢驗)</t>
    </r>
  </si>
  <si>
    <t>0827寄出至曦立光電</t>
  </si>
  <si>
    <t>PO-20190819A</t>
  </si>
  <si>
    <t>同AH655</t>
  </si>
  <si>
    <t>同w659</t>
  </si>
  <si>
    <t>CG083767B256</t>
  </si>
  <si>
    <t>RP36571908</t>
  </si>
  <si>
    <t>沛勁895259</t>
  </si>
  <si>
    <t>同AI646</t>
  </si>
  <si>
    <t>同AJ646</t>
  </si>
  <si>
    <r>
      <rPr>
        <rFont val="Arial"/>
        <color rgb="FF000000"/>
        <sz val="10.0"/>
      </rPr>
      <t xml:space="preserve">PI-20190820A
(PI-20191002002)
</t>
    </r>
    <r>
      <rPr>
        <rFont val="Arial"/>
        <b/>
        <color rgb="FF0000FF"/>
        <sz val="10.0"/>
      </rPr>
      <t xml:space="preserve">(成品回廠請確認又否安裝CFast Card於內) </t>
    </r>
  </si>
  <si>
    <t>PO-20190820A
2019102500001</t>
  </si>
  <si>
    <t xml:space="preserve"> CR083769D744</t>
  </si>
  <si>
    <r>
      <rPr>
        <rFont val="Arial"/>
        <color rgb="FF000000"/>
        <sz val="10.0"/>
      </rPr>
      <t xml:space="preserve">719_CFast Card 8GB (MLC) 
</t>
    </r>
    <r>
      <rPr>
        <rFont val="Arial"/>
        <b/>
        <color rgb="FF0000FF"/>
        <sz val="10.0"/>
      </rPr>
      <t xml:space="preserve">(0911 Yap:須直接裝在系統內)
</t>
    </r>
    <r>
      <rPr>
        <rFont val="Arial"/>
        <color rgb="FF0000FF"/>
        <sz val="10.0"/>
      </rPr>
      <t>w/ Debian 7 pre-installed</t>
    </r>
  </si>
  <si>
    <t>同O668</t>
  </si>
  <si>
    <t>同AH668</t>
  </si>
  <si>
    <t>同AI668</t>
  </si>
  <si>
    <t>PO-20190821A</t>
  </si>
  <si>
    <t>CX082230M7AD</t>
  </si>
  <si>
    <t>同W671</t>
  </si>
  <si>
    <t>同AI675</t>
  </si>
  <si>
    <t>同AJ675</t>
  </si>
  <si>
    <t>PO-20190821B</t>
  </si>
  <si>
    <t>TL36541204</t>
  </si>
  <si>
    <t>9/18 待由CHLOE 寄出郵局</t>
  </si>
  <si>
    <t>PO-20190821C</t>
  </si>
  <si>
    <t>RP36571909</t>
  </si>
  <si>
    <t>郵局:
98686622007510116006</t>
  </si>
  <si>
    <t>同AB670</t>
  </si>
  <si>
    <t>同AI677</t>
  </si>
  <si>
    <t>同AJ677</t>
  </si>
  <si>
    <t>PO-20190823A</t>
  </si>
  <si>
    <t>台北富邦銀行
668120002393</t>
  </si>
  <si>
    <t>TL36541200</t>
  </si>
  <si>
    <t>沛勁:895261</t>
  </si>
  <si>
    <t>同W675</t>
  </si>
  <si>
    <t>同AB675</t>
  </si>
  <si>
    <t>同AI693</t>
  </si>
  <si>
    <t>同AJ693</t>
  </si>
  <si>
    <t>TL36541205</t>
  </si>
  <si>
    <t>沛勁:895267</t>
  </si>
  <si>
    <t>CR08376WAW08</t>
  </si>
  <si>
    <t>無</t>
  </si>
  <si>
    <t>供應商自行吸收，不予我司收費</t>
  </si>
  <si>
    <t>PO-20190828A(Revised)</t>
  </si>
  <si>
    <t>CX082230NHH4</t>
  </si>
  <si>
    <t>同W680</t>
  </si>
  <si>
    <t>同AH685</t>
  </si>
  <si>
    <t>同AI685</t>
  </si>
  <si>
    <t>PO-20190829A(revised)</t>
  </si>
  <si>
    <t>CR083767C248</t>
  </si>
  <si>
    <t>同W686</t>
  </si>
  <si>
    <t>MO-20190902A</t>
  </si>
  <si>
    <t>TL36541201</t>
  </si>
  <si>
    <t>郵局:
98897322007510116009</t>
  </si>
  <si>
    <t>戎克</t>
  </si>
  <si>
    <t>CX082230P3Q2</t>
  </si>
  <si>
    <t>戎克樣品庫存</t>
  </si>
  <si>
    <t>MO-20190902A-3</t>
  </si>
  <si>
    <t>同AI703</t>
  </si>
  <si>
    <t>同AK703</t>
  </si>
  <si>
    <t>無單號</t>
  </si>
  <si>
    <t>MO-20190902A-2</t>
  </si>
  <si>
    <t>CX082230PG5V</t>
  </si>
  <si>
    <t>同AI647</t>
  </si>
  <si>
    <t>同AJ647</t>
  </si>
  <si>
    <t>同W760</t>
  </si>
  <si>
    <t>MO-20190902A-4</t>
  </si>
  <si>
    <t>CX082230PR15</t>
  </si>
  <si>
    <t>MO-20190902B</t>
  </si>
  <si>
    <t>MO-20190902A-4-2</t>
  </si>
  <si>
    <t>PO-20190904A(revised)</t>
  </si>
  <si>
    <t>同W692</t>
  </si>
  <si>
    <t>同AH697</t>
  </si>
  <si>
    <t>同AI697</t>
  </si>
  <si>
    <t>泓格科技</t>
  </si>
  <si>
    <t>PO-20190905A</t>
  </si>
  <si>
    <t>兆豐銀行：017 
帳號：02009016424</t>
  </si>
  <si>
    <t>CX082230N8QZ</t>
  </si>
  <si>
    <t>PO-20190905B</t>
  </si>
  <si>
    <t>同W711</t>
  </si>
  <si>
    <t>PO-20190905B-1
(樣品借轉銷)</t>
  </si>
  <si>
    <t>PO-20190906A</t>
  </si>
  <si>
    <t>TL36541203</t>
  </si>
  <si>
    <t>郵局:
91490322006410116003</t>
  </si>
  <si>
    <t>PO-20190906B</t>
  </si>
  <si>
    <t>CW0847056686</t>
  </si>
  <si>
    <t>FETA-772415</t>
  </si>
  <si>
    <t>同W717</t>
  </si>
  <si>
    <t>同AH713</t>
  </si>
  <si>
    <t>同AI713</t>
  </si>
  <si>
    <t>PO-20190909A</t>
  </si>
  <si>
    <t>同W424</t>
  </si>
  <si>
    <t>同AJ427</t>
  </si>
  <si>
    <r>
      <rPr>
        <rFont val="Arial"/>
        <color rgb="FF000000"/>
        <sz val="10.0"/>
      </rPr>
      <t>719_NPort 5150  (84715000)</t>
    </r>
    <r>
      <rPr>
        <rFont val="Arial"/>
        <color rgb="FF000000"/>
        <sz val="10.0"/>
      </rPr>
      <t xml:space="preserve"> / EU</t>
    </r>
  </si>
  <si>
    <r>
      <rPr>
        <rFont val="Arial"/>
        <color rgb="FF000000"/>
        <sz val="10.0"/>
      </rPr>
      <t xml:space="preserve">PI-20190910B
</t>
    </r>
    <r>
      <rPr>
        <rFont val="Arial"/>
        <b/>
        <color rgb="FF0000FF"/>
        <sz val="10.0"/>
      </rPr>
      <t>(需bank確認後出貨)</t>
    </r>
  </si>
  <si>
    <t>PO-20190910B</t>
  </si>
  <si>
    <t>同MO T44</t>
  </si>
  <si>
    <t xml:space="preserve"> CU0857BG9473</t>
  </si>
  <si>
    <t xml:space="preserve">1Z1913EE0495763767 </t>
  </si>
  <si>
    <r>
      <rPr>
        <rFont val="Arial"/>
        <color rgb="FF000000"/>
        <sz val="10.0"/>
      </rPr>
      <t xml:space="preserve">PI-20190910B
</t>
    </r>
    <r>
      <rPr>
        <rFont val="Arial"/>
        <b/>
        <color rgb="FF0000FF"/>
        <sz val="10.0"/>
      </rPr>
      <t>(需bank確認後出貨)</t>
    </r>
  </si>
  <si>
    <t>同AI735</t>
  </si>
  <si>
    <t>同AJ735</t>
  </si>
  <si>
    <r>
      <rPr>
        <rFont val="Arial"/>
        <color rgb="FF000000"/>
        <sz val="10.0"/>
      </rPr>
      <t xml:space="preserve">PI-20190910B
</t>
    </r>
    <r>
      <rPr>
        <rFont val="Arial"/>
        <b/>
        <color rgb="FF0000FF"/>
        <sz val="10.0"/>
      </rPr>
      <t>(需bank確認後出貨)</t>
    </r>
  </si>
  <si>
    <t>PO-20190910C</t>
  </si>
  <si>
    <t>CU0857BG9410</t>
  </si>
  <si>
    <t>1Z1913EE0492144182</t>
  </si>
  <si>
    <t>同W724</t>
  </si>
  <si>
    <t>同AH716</t>
  </si>
  <si>
    <t>同AI716</t>
  </si>
  <si>
    <t>PO-20190913A</t>
  </si>
  <si>
    <t>CX082230PC7L</t>
  </si>
  <si>
    <t>同W732</t>
  </si>
  <si>
    <t>同AI753</t>
  </si>
  <si>
    <t>同AJ753</t>
  </si>
  <si>
    <t>CF085500320P</t>
  </si>
  <si>
    <t>同AI756</t>
  </si>
  <si>
    <t>同AJ756</t>
  </si>
  <si>
    <t>PD-20190918A</t>
  </si>
  <si>
    <t>睿陞</t>
  </si>
  <si>
    <t>CF08550ZG818</t>
  </si>
  <si>
    <t>PO-20190917A</t>
  </si>
  <si>
    <t>CH080N802114</t>
  </si>
  <si>
    <t>TPEA000254</t>
  </si>
  <si>
    <t>同W749</t>
  </si>
  <si>
    <t>同AI752</t>
  </si>
  <si>
    <t>同AJ752</t>
  </si>
  <si>
    <t>PO-20190917B</t>
  </si>
  <si>
    <t>CE0811529577</t>
  </si>
  <si>
    <t>同W747</t>
  </si>
  <si>
    <t>同AH743</t>
  </si>
  <si>
    <t>同AI743</t>
  </si>
  <si>
    <t>PO-20190917C</t>
  </si>
  <si>
    <t>TL36541206</t>
  </si>
  <si>
    <t>同W746</t>
  </si>
  <si>
    <t>同AB751</t>
  </si>
  <si>
    <t>同AI754</t>
  </si>
  <si>
    <t>同AJ754</t>
  </si>
  <si>
    <t>PO-20190919A</t>
  </si>
  <si>
    <t>CX082230Q0MZ</t>
  </si>
  <si>
    <t>同W754</t>
  </si>
  <si>
    <t>同AI769</t>
  </si>
  <si>
    <t>同AJ769</t>
  </si>
  <si>
    <t>PO-20190923A
2019100800005</t>
  </si>
  <si>
    <t>CR083768L136</t>
  </si>
  <si>
    <t>同X762</t>
  </si>
  <si>
    <t>同AH756</t>
  </si>
  <si>
    <t>PO-20190923B
(PO-2019102800001)</t>
  </si>
  <si>
    <t>同HC單W225</t>
  </si>
  <si>
    <t>PO-20190925A</t>
  </si>
  <si>
    <t>TL36541250</t>
  </si>
  <si>
    <t>沛勁:895273</t>
  </si>
  <si>
    <r>
      <rPr>
        <rFont val="Arial"/>
        <color rgb="FF000000"/>
        <sz val="10.0"/>
      </rPr>
      <t xml:space="preserve">PI-20190925B
(PI-20191007008)
</t>
    </r>
    <r>
      <rPr>
        <rFont val="Arial"/>
        <b/>
        <color rgb="FF0000FF"/>
        <sz val="10.0"/>
      </rPr>
      <t>(成品進貨請IQC)</t>
    </r>
  </si>
  <si>
    <t>RockTouch
志賸企業
貨到曦立光電</t>
  </si>
  <si>
    <t>PO-20190925B-1
(2019102500002)</t>
  </si>
  <si>
    <t>CU0857BHF747</t>
  </si>
  <si>
    <t>1Z1913EE0492041453</t>
  </si>
  <si>
    <r>
      <rPr>
        <rFont val="Arial"/>
        <color theme="1"/>
        <sz val="10.0"/>
      </rPr>
      <t xml:space="preserve">2) OCR Bonding
</t>
    </r>
    <r>
      <rPr>
        <rFont val="Arial"/>
        <b/>
        <color rgb="FF0000FF"/>
        <sz val="10.0"/>
      </rPr>
      <t>(進廠後請IQC抽驗2PCS-外觀&amp;排線是否為良品)</t>
    </r>
  </si>
  <si>
    <t>PO-20190925B-2
(2019102500003)</t>
  </si>
  <si>
    <t>大榮寄出:
15595542755</t>
  </si>
  <si>
    <t>PO-20190927A</t>
  </si>
  <si>
    <t>同V787</t>
  </si>
  <si>
    <t>同W787</t>
  </si>
  <si>
    <t>CW0848604098</t>
  </si>
  <si>
    <t>TPEA19073153</t>
  </si>
  <si>
    <t>同AI788</t>
  </si>
  <si>
    <t>同AJ788</t>
  </si>
  <si>
    <t>欣琦</t>
  </si>
  <si>
    <t>台灣中小企業銀板橋分行
140-01-075099</t>
  </si>
  <si>
    <t>同X785</t>
  </si>
  <si>
    <t>同Q779</t>
  </si>
  <si>
    <t>HC-2019100100001</t>
  </si>
  <si>
    <t>PO-20191001A(revised)
(2019100800009)</t>
  </si>
  <si>
    <t>VH36675655</t>
  </si>
  <si>
    <t>同X796</t>
  </si>
  <si>
    <t>SAME AC799</t>
  </si>
  <si>
    <t>同AI787</t>
  </si>
  <si>
    <t>同AJ787</t>
  </si>
  <si>
    <t>VH36675710</t>
  </si>
  <si>
    <t>郵省道:760113686724</t>
  </si>
  <si>
    <t>PO-2019100800004</t>
  </si>
  <si>
    <t>CR083768B187</t>
  </si>
  <si>
    <t>同X800</t>
  </si>
  <si>
    <t>同AI791</t>
  </si>
  <si>
    <t>同AJ791</t>
  </si>
  <si>
    <t>PO-20191001E
(2019100800007)</t>
  </si>
  <si>
    <t>CG083769D776</t>
  </si>
  <si>
    <t>同AI793</t>
  </si>
  <si>
    <t>同AJ793</t>
  </si>
  <si>
    <t>PO-20191002A
(2019100800010)</t>
  </si>
  <si>
    <t>CU0857BGB142</t>
  </si>
  <si>
    <t>1Z1913EE0494469819</t>
  </si>
  <si>
    <t>同X808</t>
  </si>
  <si>
    <t>同AI804</t>
  </si>
  <si>
    <t>同AJ804</t>
  </si>
  <si>
    <t>PO- 2019100400001</t>
  </si>
  <si>
    <t>PO-2019100800003</t>
  </si>
  <si>
    <t>同x810</t>
  </si>
  <si>
    <t>UPS</t>
  </si>
  <si>
    <t>CX082230SPHT</t>
  </si>
  <si>
    <t>同AI831</t>
  </si>
  <si>
    <t>同AJ831</t>
  </si>
  <si>
    <t>MO-20191009A
(2019100900001)</t>
  </si>
  <si>
    <t>MO-20191009A-1
(2019100900002)</t>
  </si>
  <si>
    <t>CX082230VVX8</t>
  </si>
  <si>
    <t>同AI818</t>
  </si>
  <si>
    <t>同AJ818</t>
  </si>
  <si>
    <t>PO-2019100900002</t>
  </si>
  <si>
    <t>CX082230RS1Q</t>
  </si>
  <si>
    <t>PO-2019100900003</t>
  </si>
  <si>
    <t>同AI805</t>
  </si>
  <si>
    <t>同AJ805</t>
  </si>
  <si>
    <t>捷毅到閎亮</t>
  </si>
  <si>
    <t>CG083768F139</t>
  </si>
  <si>
    <t>同R815</t>
  </si>
  <si>
    <t>PO-2019101500001</t>
  </si>
  <si>
    <t>1Z1913EE0490623248</t>
  </si>
  <si>
    <t>同x826</t>
  </si>
  <si>
    <t>同AI822</t>
  </si>
  <si>
    <t>同AJ822</t>
  </si>
  <si>
    <r>
      <rPr>
        <rFont val="Arial"/>
        <color rgb="FF000000"/>
        <sz val="10.0"/>
      </rPr>
      <t xml:space="preserve">PI-20191015001
</t>
    </r>
    <r>
      <rPr>
        <rFont val="Arial"/>
        <b/>
        <color rgb="FF0000FF"/>
        <sz val="10.0"/>
      </rPr>
      <t xml:space="preserve">(進廠後需更換標籤) </t>
    </r>
  </si>
  <si>
    <t>PO-2019101500002</t>
  </si>
  <si>
    <t>VH36675657</t>
  </si>
  <si>
    <r>
      <rPr>
        <rFont val="Arial"/>
        <color rgb="FF000000"/>
        <sz val="10.0"/>
      </rPr>
      <t>PI-20191015001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 xml:space="preserve">(進廠後需更換標籤) </t>
    </r>
  </si>
  <si>
    <t>同X829</t>
  </si>
  <si>
    <t>SAME AC815</t>
  </si>
  <si>
    <t>同AI819</t>
  </si>
  <si>
    <t>同AJ819</t>
  </si>
  <si>
    <t>PO-2019102400001</t>
  </si>
  <si>
    <t>待水單沖帳</t>
  </si>
  <si>
    <t>同X831</t>
  </si>
  <si>
    <t>PO-2019101800001</t>
  </si>
  <si>
    <t>VH36675652</t>
  </si>
  <si>
    <r>
      <rPr>
        <rFont val="Arial"/>
        <color rgb="FF000000"/>
        <sz val="10.0"/>
      </rPr>
      <t>PI-20191007008</t>
    </r>
    <r>
      <rPr>
        <rFont val="Arial"/>
        <color rgb="FF4A86E8"/>
        <sz val="10.0"/>
      </rPr>
      <t xml:space="preserve">
</t>
    </r>
    <r>
      <rPr>
        <rFont val="Arial"/>
        <b/>
        <color rgb="FF0000FF"/>
        <sz val="10.0"/>
      </rPr>
      <t>(進料請先QC外觀)</t>
    </r>
  </si>
  <si>
    <t xml:space="preserve">2019/12/19
客戶告知 4PCS 良品放在我司
(4PCS尚未回來) -&gt; 曦立預計20191220 回Elgens </t>
  </si>
  <si>
    <t>大榮寄出:
15595542861</t>
  </si>
  <si>
    <t>PO-2019101800002</t>
  </si>
  <si>
    <t>VH36675656</t>
  </si>
  <si>
    <t>同AI823</t>
  </si>
  <si>
    <t>同AJ823</t>
  </si>
  <si>
    <t>同X840</t>
  </si>
  <si>
    <t>SAME AC840</t>
  </si>
  <si>
    <t>PO-2019101800003</t>
  </si>
  <si>
    <t>CX082230T1E8</t>
  </si>
  <si>
    <t>同AI827</t>
  </si>
  <si>
    <t>同AJ827</t>
  </si>
  <si>
    <t>費用同R626</t>
  </si>
  <si>
    <t>PD-20191021A</t>
  </si>
  <si>
    <r>
      <rPr>
        <rFont val="Arial"/>
        <color rgb="FF000000"/>
        <sz val="10.0"/>
      </rPr>
      <t xml:space="preserve">PI-20190719B-5
(PI-20191007006)
</t>
    </r>
    <r>
      <rPr>
        <rFont val="Arial"/>
        <b/>
        <color rgb="FF0000FF"/>
        <sz val="10.0"/>
      </rPr>
      <t>(成品回廠需IQC检驗)</t>
    </r>
  </si>
  <si>
    <t xml:space="preserve">PO-201911190005        </t>
  </si>
  <si>
    <r>
      <rPr>
        <rFont val="Arial"/>
        <color rgb="FF000000"/>
        <sz val="10.0"/>
      </rPr>
      <t xml:space="preserve">PI-20190719B-6 
(PI-20191007007)
</t>
    </r>
    <r>
      <rPr>
        <rFont val="Arial"/>
        <b/>
        <color rgb="FF0000FF"/>
        <sz val="10.0"/>
      </rPr>
      <t>(成品回廠需IQC检驗)</t>
    </r>
  </si>
  <si>
    <t>PO-201911190003</t>
  </si>
  <si>
    <t xml:space="preserve">PO-2019102100001 </t>
  </si>
  <si>
    <t>CU0875BGA747</t>
  </si>
  <si>
    <t>1913EEVQPLP</t>
  </si>
  <si>
    <t>PO-2019102400002</t>
  </si>
  <si>
    <t>同X859</t>
  </si>
  <si>
    <t>PO-2019102500006</t>
  </si>
  <si>
    <t>CX082230ULU9</t>
  </si>
  <si>
    <t>同X858</t>
  </si>
  <si>
    <t>同AI855</t>
  </si>
  <si>
    <t>同AJ855</t>
  </si>
  <si>
    <t>CG083768T832</t>
  </si>
  <si>
    <t>CU0857BFA980</t>
  </si>
  <si>
    <t>1Z1913EE6798009299</t>
  </si>
  <si>
    <t>同AI850</t>
  </si>
  <si>
    <t>同AJ850</t>
  </si>
  <si>
    <t>PO-2019102900001</t>
  </si>
  <si>
    <t>CX082230SQA2</t>
  </si>
  <si>
    <t>宸曜</t>
  </si>
  <si>
    <t>PO-2019102900004</t>
  </si>
  <si>
    <t>CX082230UEJ3</t>
  </si>
  <si>
    <t>PO-2019103000002</t>
  </si>
  <si>
    <t>同AJ854</t>
  </si>
  <si>
    <t>敏博樣品庫存轉進貨</t>
  </si>
  <si>
    <t>PO-2019103000005</t>
  </si>
  <si>
    <t>PO-2019102900003</t>
  </si>
  <si>
    <t>同X865</t>
  </si>
  <si>
    <t>PO-2019110100001</t>
  </si>
  <si>
    <t>維田
APLEX</t>
  </si>
  <si>
    <t>PO-2019102900002</t>
  </si>
  <si>
    <t>PO-2019103000004</t>
  </si>
  <si>
    <t>同X871</t>
  </si>
  <si>
    <t>PO-2019103000006</t>
  </si>
  <si>
    <t>VH36675662</t>
  </si>
  <si>
    <t>郵省道760113686868</t>
  </si>
  <si>
    <t>同x883</t>
  </si>
  <si>
    <t>SAME AC858</t>
  </si>
  <si>
    <t>PO-2019103000003</t>
  </si>
  <si>
    <t>同X879</t>
  </si>
  <si>
    <t>同AI879</t>
  </si>
  <si>
    <t>同AJ879</t>
  </si>
  <si>
    <t>VH36675658</t>
  </si>
  <si>
    <t>VH36675660</t>
  </si>
  <si>
    <t>同AI869</t>
  </si>
  <si>
    <t>同AJ869</t>
  </si>
  <si>
    <t>產證費用</t>
  </si>
  <si>
    <t>吉祥空運收取</t>
  </si>
  <si>
    <t>CH0834602547</t>
  </si>
  <si>
    <t>ETI-1970940</t>
  </si>
  <si>
    <t>同AI884</t>
  </si>
  <si>
    <t>同AJ884</t>
  </si>
  <si>
    <r>
      <rPr>
        <rFont val="Arial"/>
        <color rgb="FF000000"/>
        <sz val="10.0"/>
      </rPr>
      <t xml:space="preserve">PI-20191101002
</t>
    </r>
    <r>
      <rPr>
        <rFont val="Arial"/>
        <b/>
        <color rgb="FF0000FF"/>
        <sz val="10.0"/>
      </rPr>
      <t>(check the resolutions for VGA /DVI before you ship out)&amp; SOP文件</t>
    </r>
  </si>
  <si>
    <t>戎克產品開發</t>
  </si>
  <si>
    <t>PD-20191105A-1~PD-20191105A-6</t>
  </si>
  <si>
    <t>已在客戶那邊</t>
  </si>
  <si>
    <t>PO-2019110400003</t>
  </si>
  <si>
    <r>
      <rPr>
        <rFont val="Arial"/>
        <color rgb="FF000000"/>
        <sz val="10.0"/>
      </rPr>
      <t>PI-20191105001</t>
    </r>
    <r>
      <rPr>
        <rFont val="Arial"/>
        <color rgb="FFFF0000"/>
        <sz val="10.0"/>
      </rPr>
      <t xml:space="preserve">
</t>
    </r>
    <r>
      <rPr>
        <rFont val="Arial"/>
        <b/>
        <color rgb="FF0000FF"/>
        <sz val="10.0"/>
      </rPr>
      <t xml:space="preserve">(進廠後需更換標籤) </t>
    </r>
  </si>
  <si>
    <t>PO-2019110500002</t>
  </si>
  <si>
    <t>VH36675666</t>
  </si>
  <si>
    <t>大榮:15665805624</t>
  </si>
  <si>
    <t>PO-2019110500003</t>
  </si>
  <si>
    <t>CH080N802728</t>
  </si>
  <si>
    <t>同AI877</t>
  </si>
  <si>
    <t>同AJ877</t>
  </si>
  <si>
    <t>CH080N803045</t>
  </si>
  <si>
    <t>TPEA000506</t>
  </si>
  <si>
    <t>CX082230WK8T</t>
  </si>
  <si>
    <t>戎克(借樣到Ti2)</t>
  </si>
  <si>
    <t>CX082230UF4K</t>
  </si>
  <si>
    <t>PO-2019111200003</t>
  </si>
  <si>
    <t>VH36675663</t>
  </si>
  <si>
    <t>郵省道760113686859</t>
  </si>
  <si>
    <t>VH36675702</t>
  </si>
  <si>
    <t>PO-2019111300001</t>
  </si>
  <si>
    <t>VH36675664</t>
  </si>
  <si>
    <t>同X920</t>
  </si>
  <si>
    <t>SAME AC888</t>
  </si>
  <si>
    <t>VH36675711</t>
  </si>
  <si>
    <t>同AI790</t>
  </si>
  <si>
    <t>PO-201911150000(Revised)</t>
  </si>
  <si>
    <t>待銀行水單</t>
  </si>
  <si>
    <t>同X925</t>
  </si>
  <si>
    <t>PO-2019111500001</t>
  </si>
  <si>
    <t xml:space="preserve">PO-2019111500003 </t>
  </si>
  <si>
    <t>CX082230UF1J</t>
  </si>
  <si>
    <t>PO-2019111500002</t>
  </si>
  <si>
    <t>CX082230WB6K</t>
  </si>
  <si>
    <t>同AI905</t>
  </si>
  <si>
    <t>同AJ905</t>
  </si>
  <si>
    <t>PO-201911200001</t>
  </si>
  <si>
    <t>同X931</t>
  </si>
  <si>
    <t>PO-201911200003</t>
  </si>
  <si>
    <t>CX082230VW1D</t>
  </si>
  <si>
    <t>同AI934</t>
  </si>
  <si>
    <t>同AJ934</t>
  </si>
  <si>
    <t>USR IOT</t>
  </si>
  <si>
    <t>PO-201911210002(Revised)</t>
  </si>
  <si>
    <t>待供應商提供</t>
  </si>
  <si>
    <t>庫存</t>
  </si>
  <si>
    <t>PO-201911250001</t>
  </si>
  <si>
    <t>VH36675701</t>
  </si>
  <si>
    <t>研華</t>
  </si>
  <si>
    <t>PO-20191125003</t>
  </si>
  <si>
    <t>PO-20191125002</t>
  </si>
  <si>
    <t>VH36675703</t>
  </si>
  <si>
    <t>PO-20191128003</t>
  </si>
  <si>
    <t>CX082230X06Q</t>
  </si>
  <si>
    <t>PO-20191127001</t>
  </si>
  <si>
    <t>同AI919</t>
  </si>
  <si>
    <t>同AJ919</t>
  </si>
  <si>
    <t>借入倉(借轉銷)</t>
  </si>
  <si>
    <t>CX082230Y2H1</t>
  </si>
  <si>
    <t>PO-20191204005</t>
  </si>
  <si>
    <t>晉茂</t>
  </si>
  <si>
    <t>CX082230VJLK</t>
  </si>
  <si>
    <t>PO-20191204001</t>
  </si>
  <si>
    <t>PO-20191205001</t>
  </si>
  <si>
    <t>VH36675706</t>
  </si>
  <si>
    <t>郵省道760113686760</t>
  </si>
  <si>
    <t>同AI894</t>
  </si>
  <si>
    <t>同AJ894</t>
  </si>
  <si>
    <t>Sovio</t>
  </si>
  <si>
    <t>PO-20191206001(Revesd)</t>
  </si>
  <si>
    <t>國泰世華　景美分行
131-03-500287-9</t>
  </si>
  <si>
    <t>VH36675707</t>
  </si>
  <si>
    <t xml:space="preserve">郵省道760113686751	</t>
  </si>
  <si>
    <t>無需出貨</t>
  </si>
  <si>
    <t>VH36675704</t>
  </si>
  <si>
    <t>隨展品寄回</t>
  </si>
  <si>
    <t>SAME AC944</t>
  </si>
  <si>
    <t>PO-20191211004</t>
  </si>
  <si>
    <t>VH36675709</t>
  </si>
  <si>
    <t>郵省道:760113686742</t>
  </si>
  <si>
    <r>
      <rPr>
        <rFont val="Arial"/>
        <color rgb="FF000000"/>
        <sz val="10.0"/>
      </rPr>
      <t xml:space="preserve">Nuvo-5002LP
</t>
    </r>
    <r>
      <rPr>
        <rFont val="Arial"/>
        <color rgb="FF000000"/>
        <sz val="9.0"/>
      </rPr>
      <t>(J5228164,J5228165,J5228167)</t>
    </r>
  </si>
  <si>
    <t>宸耀</t>
  </si>
  <si>
    <t>PO-20191216001</t>
  </si>
  <si>
    <t>世平</t>
  </si>
  <si>
    <t>PO-20191217001</t>
  </si>
  <si>
    <t>彰化商業銀行南港分行 980103-03112700</t>
  </si>
  <si>
    <t>2019/12/25
(宸曜的線12/25到)</t>
  </si>
  <si>
    <t>內部手工材料費</t>
  </si>
  <si>
    <t>PO-20191219001</t>
  </si>
  <si>
    <t>商越</t>
  </si>
  <si>
    <t>PO-20191216002</t>
  </si>
  <si>
    <t>VH36675705</t>
  </si>
  <si>
    <t>PO-20191217002</t>
  </si>
  <si>
    <t>CX082230XXZ4</t>
  </si>
  <si>
    <t>PO-20191219003</t>
  </si>
  <si>
    <t>CR083769M179</t>
  </si>
  <si>
    <t>PO-20191225001</t>
  </si>
  <si>
    <t>Date
日期</t>
  </si>
  <si>
    <t>Client 
客戶</t>
  </si>
  <si>
    <t>單價 
(含稅)</t>
  </si>
  <si>
    <t>進貨單號</t>
  </si>
  <si>
    <t>廠商訂單
/工單</t>
  </si>
  <si>
    <t>Invoice 
廠商發票金額</t>
  </si>
  <si>
    <t>國內客戶發票匯率</t>
  </si>
  <si>
    <t xml:space="preserve"> Cus Inv Deliver Date
國內客戶發票寄出日</t>
  </si>
  <si>
    <t>Profcon AB</t>
  </si>
  <si>
    <t>20180305-AA</t>
  </si>
  <si>
    <t>PI-20171013A
(Leon測試)</t>
  </si>
  <si>
    <t>LPC-P156W-01-EU</t>
  </si>
  <si>
    <t>Benson</t>
  </si>
  <si>
    <t>DHL account no.: 953324071</t>
  </si>
  <si>
    <t>見2017工單PI-20171013A (289-291；293-295欄位)</t>
  </si>
  <si>
    <t>CX0722300LKV</t>
  </si>
  <si>
    <r>
      <rPr>
        <rFont val="Arial"/>
        <color rgb="FF000000"/>
        <sz val="10.0"/>
      </rPr>
      <t xml:space="preserve">PI-20171013A
</t>
    </r>
    <r>
      <rPr>
        <rFont val="Arial"/>
        <color rgb="FF000000"/>
        <sz val="10.0"/>
      </rPr>
      <t>(Leon測試)</t>
    </r>
  </si>
  <si>
    <t>DDS4GHIMBEC</t>
  </si>
  <si>
    <t>見2017工單PI-20171013A (292欄位)</t>
  </si>
  <si>
    <t>PI-20171122E
2018013000024</t>
  </si>
  <si>
    <t>PO-20171122E
2018013000013</t>
  </si>
  <si>
    <t>ZJ93498573</t>
  </si>
  <si>
    <t>YR36421851</t>
  </si>
  <si>
    <t>@29.465</t>
  </si>
  <si>
    <t>1/10掛號寄出</t>
  </si>
  <si>
    <t>PI-20171124A
2018013000025</t>
  </si>
  <si>
    <t>11090R0001
(Sierra Module MC7304)</t>
  </si>
  <si>
    <t>Sierra 香港商華展</t>
  </si>
  <si>
    <t>PO-20171124A</t>
  </si>
  <si>
    <t>渣打國際商業銀行營業部
 01800126082</t>
  </si>
  <si>
    <t>QS48620580</t>
  </si>
  <si>
    <t>CG073761A382</t>
  </si>
  <si>
    <t>PI-20171201A
2018013000026</t>
  </si>
  <si>
    <t>1004700003
IB897-I45
(BIOS IB897O4R_20161005)</t>
  </si>
  <si>
    <t>PO-20171201A-1</t>
  </si>
  <si>
    <t>YL25120641</t>
  </si>
  <si>
    <t>7008700005
HSIB897-BGA</t>
  </si>
  <si>
    <t>同V4</t>
  </si>
  <si>
    <t>7008700006
IB76</t>
  </si>
  <si>
    <t>7008000339
CRK16082402-T</t>
  </si>
  <si>
    <t>PO-20171201A-2</t>
  </si>
  <si>
    <t>QV03799654</t>
  </si>
  <si>
    <t>7009000004
CRK16082401-T</t>
  </si>
  <si>
    <t>同V7</t>
  </si>
  <si>
    <t>Toamec
東托貿易(上海)</t>
  </si>
  <si>
    <t>PI-20171204C
(Leon 灌新軟體+標籤)</t>
  </si>
  <si>
    <r>
      <rPr>
        <rFont val="Arial"/>
        <color rgb="FF000000"/>
        <sz val="10.0"/>
      </rPr>
      <t xml:space="preserve">Nport W2150A EU Band 
w/ SAA Adapter </t>
    </r>
    <r>
      <rPr>
        <rFont val="Arial"/>
        <b/>
        <color rgb="FF0000FF"/>
        <sz val="10.0"/>
      </rPr>
      <t>(w2x50a_1.9.62)</t>
    </r>
  </si>
  <si>
    <t xml:space="preserve">SHANGHAI BEST LOGISTICS </t>
  </si>
  <si>
    <t>Techjoa 科技國
採購為Tammy</t>
  </si>
  <si>
    <t>PO-20171204C
2018013000014</t>
  </si>
  <si>
    <t>國泰世華銀行 (美金帳戶)
002-08-035588-5</t>
  </si>
  <si>
    <t>2017/12/28
2018/1/9</t>
  </si>
  <si>
    <t>QS36017359
YR52396355</t>
  </si>
  <si>
    <t>496,539
744,311</t>
  </si>
  <si>
    <t>CA0752010041</t>
  </si>
  <si>
    <t>018-90099310</t>
  </si>
  <si>
    <t>PI-20171204E</t>
  </si>
  <si>
    <t>CP-134EL-A-I-DB9M</t>
  </si>
  <si>
    <t>DHL EXPRESS (950245025)</t>
  </si>
  <si>
    <t>PO-20171204E
2018013000021</t>
  </si>
  <si>
    <t>QU79344714</t>
  </si>
  <si>
    <t>CX0722300V9V</t>
  </si>
  <si>
    <t>PI-20171207A
(Leon 灌新軟體+標籤)</t>
  </si>
  <si>
    <t>Nport W2150A -US Band w/ US adapter</t>
  </si>
  <si>
    <t>PO-20171207A
2018013000015</t>
  </si>
  <si>
    <t>YR52396351</t>
  </si>
  <si>
    <t>PI-20171204C-1
(Leon 灌新軟體+標籤)</t>
  </si>
  <si>
    <r>
      <rPr>
        <rFont val="Arial"/>
        <color rgb="FF000000"/>
        <sz val="10.0"/>
      </rPr>
      <t xml:space="preserve">Nport W2150A EU Band 
w/ SAA Adapter </t>
    </r>
    <r>
      <rPr>
        <rFont val="Arial"/>
        <b/>
        <color rgb="FF0000FF"/>
        <sz val="10.0"/>
      </rPr>
      <t>(w2x50a_1.9.62)</t>
    </r>
  </si>
  <si>
    <t>PO-20171204C-1
2018013000015</t>
  </si>
  <si>
    <t>YR52396356</t>
  </si>
  <si>
    <t>CA0752010075</t>
  </si>
  <si>
    <t>018-90099321</t>
  </si>
  <si>
    <t>PI-20171206A
2018013000027</t>
  </si>
  <si>
    <t>7011420001
AUO G065VN01 V2</t>
  </si>
  <si>
    <t xml:space="preserve">SMART斯麥特 </t>
  </si>
  <si>
    <t>PO-20171206A</t>
  </si>
  <si>
    <t>上海011
52102000012627</t>
  </si>
  <si>
    <t>QS36197259</t>
  </si>
  <si>
    <t>PI-20171214A
2018013000028</t>
  </si>
  <si>
    <t>1001700001
(IB970RF V1.1)</t>
  </si>
  <si>
    <t>PO-20171214A</t>
  </si>
  <si>
    <t>YL25120640</t>
  </si>
  <si>
    <t>ZS60778441</t>
  </si>
  <si>
    <t>CG073761W760</t>
  </si>
  <si>
    <t>ICO Innovative Computer GmbH</t>
  </si>
  <si>
    <t>PI-20171215A</t>
  </si>
  <si>
    <t>PX-14S3-RS-R50 (IEI)</t>
  </si>
  <si>
    <t xml:space="preserve">Rohlig Taiwan Co., Ltd </t>
  </si>
  <si>
    <t>PO-20171215A</t>
  </si>
  <si>
    <t>YT53679361</t>
  </si>
  <si>
    <t>CW0701460045</t>
  </si>
  <si>
    <t>172-94189966</t>
  </si>
  <si>
    <t>PI-20171221A
(Leon 灌新軟體+標籤)</t>
  </si>
  <si>
    <t>PO-20171221A
2018013000016</t>
  </si>
  <si>
    <t>YR52396353</t>
  </si>
  <si>
    <t xml:space="preserve">PI-20171221B
</t>
  </si>
  <si>
    <t>70111E0002 (PDK-170STE) includes
LCD : G170ETN01.0
Touch : Resistive Touch from Miracle
Air Taping
ETP-MER4050UEBG-02
ETP-CB-5XN00
USB cable from USB controller to board</t>
  </si>
  <si>
    <t>DHL account 955148831</t>
  </si>
  <si>
    <t>RDMO-20171221B</t>
  </si>
  <si>
    <t>CX0722302XQW</t>
  </si>
  <si>
    <t>7009000005
(LVDS cable IMB-150D for G170ETN01.0)</t>
  </si>
  <si>
    <t>RDMO-20171221B-2</t>
  </si>
  <si>
    <t>7008000401
(Backlight cable IMB-150D for G170ETN01.0)</t>
  </si>
  <si>
    <t>PI-20171221B-1</t>
  </si>
  <si>
    <t>PI-20171222A
(Leon組裝)
2018013000001</t>
  </si>
  <si>
    <t>HPCI-14S12U</t>
  </si>
  <si>
    <t>AGILITY LTD</t>
  </si>
  <si>
    <t>PO-20171222A
2018013000007</t>
  </si>
  <si>
    <t>YT66016086</t>
  </si>
  <si>
    <t>CW0710010531</t>
  </si>
  <si>
    <t>297-71114945</t>
  </si>
  <si>
    <t xml:space="preserve">APS935XA-EPS12/FSP350-60PFG(EA) </t>
  </si>
  <si>
    <t>同W25</t>
  </si>
  <si>
    <t>RK-610A-W</t>
  </si>
  <si>
    <t>44 pin to 40 converter cable</t>
  </si>
  <si>
    <t>工單MPO-20170821B</t>
  </si>
  <si>
    <t xml:space="preserve">IDE cable  </t>
  </si>
  <si>
    <t>工單MPO-20170627A</t>
  </si>
  <si>
    <t>Mounting plate (2.5 to 3.5)</t>
  </si>
  <si>
    <t>Assemble</t>
  </si>
  <si>
    <t>LEON組裝無成本</t>
  </si>
  <si>
    <t>PI-20171226A
(Leon 灌新軟體+標籤)
2018013000018</t>
  </si>
  <si>
    <r>
      <rPr>
        <rFont val="Arial"/>
        <color rgb="FF000000"/>
        <sz val="10.0"/>
      </rPr>
      <t xml:space="preserve">Nport W2150A EU Band 
w/ SAA Adapter </t>
    </r>
    <r>
      <rPr>
        <rFont val="Arial"/>
        <b/>
        <color rgb="FF0000FF"/>
        <sz val="10.0"/>
      </rPr>
      <t>(w2x50a_1.9.62)</t>
    </r>
  </si>
  <si>
    <t xml:space="preserve">Santiago </t>
  </si>
  <si>
    <t>PO-20171226A
2018013000017</t>
  </si>
  <si>
    <t>YR52396359</t>
  </si>
  <si>
    <t>CA0792010148</t>
  </si>
  <si>
    <t>018-90104711</t>
  </si>
  <si>
    <t>PI-20171226B
2018013000002</t>
  </si>
  <si>
    <t>IDK-1121WR-30FHA1E</t>
  </si>
  <si>
    <t>JJB Life</t>
  </si>
  <si>
    <t>Advantech研華</t>
  </si>
  <si>
    <t>PO-20171226B 
2018013000001</t>
  </si>
  <si>
    <t>YT49652156</t>
  </si>
  <si>
    <t>CH070F400548</t>
  </si>
  <si>
    <t>618-52150906</t>
  </si>
  <si>
    <t>MB-215-94 V1</t>
  </si>
  <si>
    <t>PI-20171226B-2</t>
  </si>
  <si>
    <t>YR53412501</t>
  </si>
  <si>
    <t>PI-20171226C
2018013000003</t>
  </si>
  <si>
    <t>Nport S8455I-MM-SC-T</t>
  </si>
  <si>
    <t>美灣</t>
  </si>
  <si>
    <t>PO-20171226C
2018013000022</t>
  </si>
  <si>
    <t>ZJ93498966</t>
  </si>
  <si>
    <t>CH0754500307</t>
  </si>
  <si>
    <t>160-41912426</t>
  </si>
  <si>
    <t>EDS-208A-SS-SC-T</t>
  </si>
  <si>
    <t>同U35</t>
  </si>
  <si>
    <t>IKS-6726A-2GTXSFP-24-T</t>
  </si>
  <si>
    <t>IM-6700A-2S-SC-4TX</t>
  </si>
  <si>
    <t>Nport 5450I-T</t>
  </si>
  <si>
    <t>TCC-82 Port Powered RS232 Isolator</t>
  </si>
  <si>
    <t>Nport 5210A-T</t>
  </si>
  <si>
    <t>PI-20171226C</t>
  </si>
  <si>
    <t>V2406LX</t>
  </si>
  <si>
    <t>刪除</t>
  </si>
  <si>
    <t>TCF-142-M-ST</t>
  </si>
  <si>
    <t>PO-20171226C-2
2018013000022</t>
  </si>
  <si>
    <t>ZJ93498967</t>
  </si>
  <si>
    <t>PI-20171228A
2018013000029</t>
  </si>
  <si>
    <t>ADAM-4541-BE</t>
  </si>
  <si>
    <t>DHL Express 969740245</t>
  </si>
  <si>
    <t>PO-20171228A</t>
  </si>
  <si>
    <t>YT49652107</t>
  </si>
  <si>
    <t>CX0722300MBE</t>
  </si>
  <si>
    <t>PI-20171228B</t>
  </si>
  <si>
    <t>MGate MB3170</t>
  </si>
  <si>
    <t>PO-20171228B
2018013000023</t>
  </si>
  <si>
    <t>ZJ93498652</t>
  </si>
  <si>
    <t>YR36421853</t>
  </si>
  <si>
    <t>@29.5765</t>
  </si>
  <si>
    <t>1/11掛號寄出</t>
  </si>
  <si>
    <t>PI-20180102A</t>
  </si>
  <si>
    <t>PO-20180102A
2018013000024</t>
  </si>
  <si>
    <t>ZJ93498773</t>
  </si>
  <si>
    <t>YR36421854</t>
  </si>
  <si>
    <t>@29.54</t>
  </si>
  <si>
    <t>1/18掛號寄出</t>
  </si>
  <si>
    <t>PROXIS
(COMPU-TRADE LLC)</t>
  </si>
  <si>
    <t>PI-20180102B
2018013000004</t>
  </si>
  <si>
    <t>ACL-8216</t>
  </si>
  <si>
    <t xml:space="preserve">Adlink
凌華 </t>
  </si>
  <si>
    <t>PO-20180102B
2018013000003</t>
  </si>
  <si>
    <t>YT66016028</t>
  </si>
  <si>
    <t>CU0757BJ0819</t>
  </si>
  <si>
    <t>406-92317724</t>
  </si>
  <si>
    <t>ACL-7122</t>
  </si>
  <si>
    <t>同U47</t>
  </si>
  <si>
    <t>PI-20180103A
2018013000030</t>
  </si>
  <si>
    <t>TPC-61T-E3AE</t>
  </si>
  <si>
    <t>PO-20180103A</t>
  </si>
  <si>
    <t>YT49652155</t>
  </si>
  <si>
    <t>CX07223012TG</t>
  </si>
  <si>
    <t>PI-20180103B</t>
  </si>
  <si>
    <t>PO-20180103B</t>
  </si>
  <si>
    <t>YR38047664</t>
  </si>
  <si>
    <t>YR36421855</t>
  </si>
  <si>
    <t>@30</t>
  </si>
  <si>
    <t>1/22掛號寄出</t>
  </si>
  <si>
    <t>PI-20180103C</t>
  </si>
  <si>
    <t>DIN-rail mounting kit For Nuvo-5501</t>
  </si>
  <si>
    <t>EMS</t>
  </si>
  <si>
    <t>PO-20180103C</t>
  </si>
  <si>
    <t>YR34911811</t>
  </si>
  <si>
    <t>CP070J301335</t>
  </si>
  <si>
    <t>EE780115525TW</t>
  </si>
  <si>
    <t>EMS Freight</t>
  </si>
  <si>
    <t>戎克零用金</t>
  </si>
  <si>
    <t>PI-20180104A
2018013000031</t>
  </si>
  <si>
    <t>ADAM-4017+-CE</t>
  </si>
  <si>
    <t>PO-20180104A</t>
  </si>
  <si>
    <t>YT49652306</t>
  </si>
  <si>
    <t>ADAM-4060-DE</t>
  </si>
  <si>
    <t>同W52</t>
  </si>
  <si>
    <t>ADAM-4520-EE</t>
  </si>
  <si>
    <t>HighTech IoT Nordic</t>
  </si>
  <si>
    <t>PI-20180105A</t>
  </si>
  <si>
    <t>RACK-360GBATX-R22/A160A (IEI)
(Black color)</t>
  </si>
  <si>
    <t>Fedex Economy #852270004</t>
  </si>
  <si>
    <t>PO-20180105A</t>
  </si>
  <si>
    <t>YT53679410</t>
  </si>
  <si>
    <t>CF07550K5770</t>
  </si>
  <si>
    <t>IMBA-Q170-i2-R10 (IEI)</t>
  </si>
  <si>
    <t>YT53679411</t>
  </si>
  <si>
    <t>CF-115XE-R10 (IEI)</t>
  </si>
  <si>
    <t>同V56</t>
  </si>
  <si>
    <t>PCIE-1760-AE (Advantech)</t>
  </si>
  <si>
    <t>PO-20180105A-2</t>
  </si>
  <si>
    <t>YT49652305</t>
  </si>
  <si>
    <t>CP-104UL-DB9M (Moxa)</t>
  </si>
  <si>
    <t>PO-20180105A-3
2018013000025</t>
  </si>
  <si>
    <t>ZJ93498882</t>
  </si>
  <si>
    <t>MGate MB3180 (Moxa)</t>
  </si>
  <si>
    <t>同V60</t>
  </si>
  <si>
    <t>PI-20180108A</t>
  </si>
  <si>
    <t>PO-20180108A</t>
  </si>
  <si>
    <t>YR38047656</t>
  </si>
  <si>
    <t>YR36421852</t>
  </si>
  <si>
    <t>@30.5</t>
  </si>
  <si>
    <t>RB Technologies</t>
  </si>
  <si>
    <t>PI-20180111A
2018013000005</t>
  </si>
  <si>
    <t>WAFER-LX-800-R12</t>
  </si>
  <si>
    <t>TNT account : 3000760</t>
  </si>
  <si>
    <t>PO-20180111C
2018013000008</t>
  </si>
  <si>
    <t>CR073762F752</t>
  </si>
  <si>
    <t>PI-20180111B
2018013000006</t>
  </si>
  <si>
    <t>TDM-173WGARB-EU</t>
  </si>
  <si>
    <t>TNT economy
account # 002016562</t>
  </si>
  <si>
    <t>MO-20180111A</t>
  </si>
  <si>
    <t>CG073762P377</t>
  </si>
  <si>
    <t>GD320810416</t>
  </si>
  <si>
    <t>PI-20180111C
2018013000007</t>
  </si>
  <si>
    <r>
      <rPr>
        <rFont val="Arial"/>
        <color rgb="FF000000"/>
        <sz val="10.0"/>
      </rPr>
      <t xml:space="preserve">MPC-080-DB25S7 
(w/Switchcraft </t>
    </r>
    <r>
      <rPr>
        <rFont val="Arial"/>
        <b/>
        <color rgb="FFFF0000"/>
        <sz val="10.0"/>
      </rPr>
      <t xml:space="preserve">PC722A </t>
    </r>
    <r>
      <rPr>
        <rFont val="Arial"/>
        <color rgb="FF000000"/>
        <sz val="10.0"/>
      </rPr>
      <t>)</t>
    </r>
  </si>
  <si>
    <t>維田</t>
  </si>
  <si>
    <t>MO-20180111B</t>
  </si>
  <si>
    <t>見工單</t>
  </si>
  <si>
    <t>CX0722304L9C</t>
  </si>
  <si>
    <t>PI-20180112A
2018013000032</t>
  </si>
  <si>
    <t>1700008461-11</t>
  </si>
  <si>
    <t>PO-20180112A</t>
  </si>
  <si>
    <t>YT49652448</t>
  </si>
  <si>
    <t>CX0722301WU1</t>
  </si>
  <si>
    <t>989K008734</t>
  </si>
  <si>
    <t>同W67</t>
  </si>
  <si>
    <t>AIMB-581QG2-00A1E</t>
  </si>
  <si>
    <t>PS8-300ATX-ZBE</t>
  </si>
  <si>
    <t>1960047831N001</t>
  </si>
  <si>
    <t>Centurion Micro Electronics (Pty) Ltd</t>
  </si>
  <si>
    <t>PI-20180112B</t>
  </si>
  <si>
    <t>DAQe-2204 (歐緯世)</t>
  </si>
  <si>
    <t xml:space="preserve">Great China </t>
  </si>
  <si>
    <t>PO-20180112B</t>
  </si>
  <si>
    <t>YR38724560</t>
  </si>
  <si>
    <t>CH0746009021</t>
  </si>
  <si>
    <t>160-41015354</t>
  </si>
  <si>
    <t>PI-20180112C
(Leon組裝)
2018013000008</t>
  </si>
  <si>
    <t>Nuvo-2421 (Neousys)
(S/N:I0400465~467)</t>
  </si>
  <si>
    <t>DHL account: 968398926</t>
  </si>
  <si>
    <t>PO-20180112C
2018013000002</t>
  </si>
  <si>
    <t>YR34911857</t>
  </si>
  <si>
    <t>CX07223037N9</t>
  </si>
  <si>
    <t>DDS4GHIMBEC (敏博)</t>
  </si>
  <si>
    <t>工單MO-20180112C</t>
  </si>
  <si>
    <t>CB-2PH-DB9/DB25-10CM/13.6CM</t>
  </si>
  <si>
    <t>同W74</t>
  </si>
  <si>
    <t>PI-20180118A
2018013000009</t>
  </si>
  <si>
    <t>NPC-4784
(ECU-4784-D55SBE)
(S/N：KSA2765280)</t>
  </si>
  <si>
    <t>DHL A/C No : 951842593</t>
  </si>
  <si>
    <t>PO-20180118A</t>
  </si>
  <si>
    <t>AQ49652060</t>
  </si>
  <si>
    <t>CX07223066JM</t>
  </si>
  <si>
    <t>PI-20180118B
2018013000010</t>
  </si>
  <si>
    <t>Uport-1130</t>
  </si>
  <si>
    <t>PO-20180118B
2018013000026</t>
  </si>
  <si>
    <t>ZJ93498841</t>
  </si>
  <si>
    <t>PO-20180118B-1</t>
  </si>
  <si>
    <t>YR53412504</t>
  </si>
  <si>
    <t>PI-20180118C
2018013000023</t>
  </si>
  <si>
    <t>PO-20180118C
2018013000027</t>
  </si>
  <si>
    <t>ZV16655183</t>
  </si>
  <si>
    <t>YR36421901</t>
  </si>
  <si>
    <t>@29.24</t>
  </si>
  <si>
    <t>2/8掛號寄出</t>
  </si>
  <si>
    <t>NPort 5450</t>
  </si>
  <si>
    <t>同W80</t>
  </si>
  <si>
    <t>同V80</t>
  </si>
  <si>
    <t>PI-20180119A
2018013000022</t>
  </si>
  <si>
    <t>ARISTOTLE亞驪</t>
  </si>
  <si>
    <t>MO-20180119A(Revise)</t>
  </si>
  <si>
    <t>CG073762H294</t>
  </si>
  <si>
    <t>PI-20180119B
2018013000011</t>
  </si>
  <si>
    <t>NISE 3600E</t>
  </si>
  <si>
    <t>Fedex Eco. #268438726</t>
  </si>
  <si>
    <t>NEXCOM新漢</t>
  </si>
  <si>
    <t>PO-20180119B
2018013000004</t>
  </si>
  <si>
    <t>YR34590209</t>
  </si>
  <si>
    <t>CF07550N2582</t>
  </si>
  <si>
    <t>023-67707964</t>
  </si>
  <si>
    <t>同U83</t>
  </si>
  <si>
    <t>Core™ i7-3612QM
(向捷毅國際購買,交由新漢組裝)</t>
  </si>
  <si>
    <t>PO-20180119B-2
2018013000005</t>
  </si>
  <si>
    <t>YT77102809</t>
  </si>
  <si>
    <t>PI-20180119C
2018013000012</t>
  </si>
  <si>
    <t>FedEx account number 780781785</t>
  </si>
  <si>
    <t>PO-20180119C-1
2018013000028</t>
  </si>
  <si>
    <t>ZJ93498965</t>
  </si>
  <si>
    <t>EDS-408A-SS-SC-T</t>
  </si>
  <si>
    <t>Sovio
採購為Tammy</t>
  </si>
  <si>
    <t>PO-20180119C-2
2018013000018</t>
  </si>
  <si>
    <t>YR49776661</t>
  </si>
  <si>
    <t>PI-20180122A
2018013000021</t>
  </si>
  <si>
    <t>7900000062X00 
(Uport 404 w/European adapter)</t>
  </si>
  <si>
    <t>PO-20180122A
2018013000029</t>
  </si>
  <si>
    <t>ZV16655184</t>
  </si>
  <si>
    <t>YR36421902</t>
  </si>
  <si>
    <t>@29.27</t>
  </si>
  <si>
    <t>PI-20180122B
2018013000033</t>
  </si>
  <si>
    <t>ADAM-4021-DE</t>
  </si>
  <si>
    <t>PO-20180122B</t>
  </si>
  <si>
    <t>YT49652731</t>
  </si>
  <si>
    <t>CX0722302UL6</t>
  </si>
  <si>
    <t>PI-20180122C
2018013000020</t>
  </si>
  <si>
    <t>LPC-P185W (BAREBONE) w/ EU power cord</t>
  </si>
  <si>
    <t>戎克TNT Economy NT$8078</t>
  </si>
  <si>
    <t>MO-20180122C</t>
  </si>
  <si>
    <t>CG073762U640</t>
  </si>
  <si>
    <t>MO-20180122C-2</t>
  </si>
  <si>
    <r>
      <rPr>
        <rFont val="Arial"/>
        <color rgb="FF000000"/>
        <sz val="10.0"/>
      </rPr>
      <t>PI-20180122D</t>
    </r>
    <r>
      <rPr>
        <rFont val="Arial"/>
        <color rgb="FF000000"/>
        <sz val="10.0"/>
      </rPr>
      <t xml:space="preserve">
(Leon 灌新軟體+標籤)
2018013000018</t>
    </r>
  </si>
  <si>
    <r>
      <rPr>
        <rFont val="Arial"/>
        <color rgb="FF000000"/>
        <sz val="10.0"/>
      </rPr>
      <t xml:space="preserve">Nport W2150A -US Band w/ US adapter </t>
    </r>
    <r>
      <rPr>
        <rFont val="Arial"/>
        <b/>
        <color rgb="FF0000FF"/>
        <sz val="10.0"/>
      </rPr>
      <t xml:space="preserve"> (w2x50a_1.9.62)</t>
    </r>
  </si>
  <si>
    <t>PO-20180122D
2018013000019</t>
  </si>
  <si>
    <t>YR52396360</t>
  </si>
  <si>
    <t>PI-20180122E (TBC)</t>
  </si>
  <si>
    <t>PI-20180123A
2018013000019</t>
  </si>
  <si>
    <t>PO-20180123A-2
2018013000012</t>
  </si>
  <si>
    <t>渣打國際商業銀行營業部(0520959)
 01800126082</t>
  </si>
  <si>
    <t>YR48441001</t>
  </si>
  <si>
    <t>PO-20180123A-1</t>
  </si>
  <si>
    <t>YR34650014</t>
  </si>
  <si>
    <t>同W97</t>
  </si>
  <si>
    <r>
      <rPr>
        <rFont val="Arial"/>
        <strike/>
        <color rgb="FF000000"/>
        <sz val="10.0"/>
      </rPr>
      <t xml:space="preserve">PI-20180123B
(Leon 灌新軟體+標籤)
</t>
    </r>
    <r>
      <rPr>
        <rFont val="Arial"/>
        <strike/>
        <color rgb="FF000000"/>
        <sz val="10.0"/>
      </rPr>
      <t>2018013000017</t>
    </r>
  </si>
  <si>
    <r>
      <rPr>
        <rFont val="Arial"/>
        <strike/>
        <color rgb="FF000000"/>
        <sz val="10.0"/>
      </rPr>
      <t xml:space="preserve">Nport W2150A EU Band 
w/ SAA Adapter </t>
    </r>
    <r>
      <rPr>
        <rFont val="Arial"/>
        <b/>
        <strike/>
        <color rgb="FF000000"/>
        <sz val="10.0"/>
      </rPr>
      <t>(w2x50a_1.9.62)</t>
    </r>
  </si>
  <si>
    <t>PO-20180123B
2018013000020</t>
  </si>
  <si>
    <r>
      <rPr>
        <rFont val="Arial"/>
        <strike/>
        <color rgb="FF000000"/>
        <sz val="10.0"/>
      </rPr>
      <t xml:space="preserve">PI-20180123B
(Leon 灌新軟體+標籤)
</t>
    </r>
    <r>
      <rPr>
        <rFont val="Arial"/>
        <strike/>
        <color rgb="FF000000"/>
        <sz val="10.0"/>
      </rPr>
      <t>2018013000017</t>
    </r>
  </si>
  <si>
    <r>
      <rPr>
        <rFont val="Arial"/>
        <strike/>
        <color rgb="FF000000"/>
        <sz val="10.0"/>
      </rPr>
      <t xml:space="preserve">Nport W2150A -US Band w/ US adapter </t>
    </r>
    <r>
      <rPr>
        <rFont val="Arial"/>
        <b/>
        <strike/>
        <color rgb="FF000000"/>
        <sz val="10.0"/>
      </rPr>
      <t xml:space="preserve"> (w2x50a_1.9.62)</t>
    </r>
  </si>
  <si>
    <t>PI-20180126A
2018013000013</t>
  </si>
  <si>
    <t xml:space="preserve">HP Color LaserJet Pro M154nw </t>
  </si>
  <si>
    <t>YAHOO</t>
  </si>
  <si>
    <t>Chloe信用卡代墊</t>
  </si>
  <si>
    <t>AK90713174</t>
  </si>
  <si>
    <t>CX07223036GF</t>
  </si>
  <si>
    <t>PI-20180129A
2018013000016</t>
  </si>
  <si>
    <t>FPM-3171G-R3BE</t>
  </si>
  <si>
    <t>PO-20180129A
2018013000006</t>
  </si>
  <si>
    <t>YT49655452</t>
  </si>
  <si>
    <t>CX0722303RX2</t>
  </si>
  <si>
    <t>PI-20180131A
2018013000015</t>
  </si>
  <si>
    <t>ICO100-839
w/ DRAM (DDR3L-1866 4G 204P)
w/ MSATA (mSATA SATA3 64GB ( MLC) 0°C to +70°C)
(S/N:E182A18011110001)</t>
  </si>
  <si>
    <t>TNT account (002004901 by ECONOMY EXPRESS service)</t>
  </si>
  <si>
    <t>Axiomtek</t>
  </si>
  <si>
    <t>PO-20180131A</t>
  </si>
  <si>
    <t>5355717-703856
艾訊合庫</t>
  </si>
  <si>
    <t>AQ53648008</t>
  </si>
  <si>
    <t>CG073762U214</t>
  </si>
  <si>
    <t>PI-20180131B
(Leon組裝)
2018013100001</t>
  </si>
  <si>
    <t>EC850QS-8000-2R
(S/N:S17A840133~137)</t>
  </si>
  <si>
    <t>PO-20180131B
2018013000009</t>
  </si>
  <si>
    <t>YR38047681</t>
  </si>
  <si>
    <t>CX0722304PHK</t>
  </si>
  <si>
    <t>M3S0-8GSSDLPC</t>
  </si>
  <si>
    <t>PO-20180131B-2
2018013000010</t>
  </si>
  <si>
    <t>YT53568976</t>
  </si>
  <si>
    <t>PI-20180131C
2018013000014</t>
  </si>
  <si>
    <t>同W96</t>
  </si>
  <si>
    <t>PI-20180201A
(Leon組裝與測試)
2018020100001</t>
  </si>
  <si>
    <t>POC-210
(S/N:I0617793~798)</t>
  </si>
  <si>
    <t>PO-20180201A
2018020100001</t>
  </si>
  <si>
    <t>YR34911883</t>
  </si>
  <si>
    <t>TS512MSK64W6H</t>
  </si>
  <si>
    <t>PO-20180201A-1
2018020100002</t>
  </si>
  <si>
    <t>YT48822624</t>
  </si>
  <si>
    <t>Dinrail-POC (POC-100/POC-200)</t>
  </si>
  <si>
    <t>同W106</t>
  </si>
  <si>
    <t>PI-20180202A
2018020200001</t>
  </si>
  <si>
    <t>PS8-500ATX-ZE</t>
  </si>
  <si>
    <t>PO-20180202A
2018020200001</t>
  </si>
  <si>
    <t>YT49655655</t>
  </si>
  <si>
    <t>CX07223048S5</t>
  </si>
  <si>
    <t>EKI-1521-BE</t>
  </si>
  <si>
    <t>同W110</t>
  </si>
  <si>
    <t>Masibus Automation</t>
  </si>
  <si>
    <t>PI-20180202B
2018020200002</t>
  </si>
  <si>
    <t>MGate MB3480</t>
  </si>
  <si>
    <t>Lissa</t>
  </si>
  <si>
    <t>Cancel</t>
  </si>
  <si>
    <t>PI-20180202B</t>
  </si>
  <si>
    <t>IMC-101-M-SC</t>
  </si>
  <si>
    <t>TNT Express A/C: 58548</t>
  </si>
  <si>
    <t>ZV16655229</t>
  </si>
  <si>
    <t>CR073762D502</t>
  </si>
  <si>
    <t>NPort 5232</t>
  </si>
  <si>
    <t>PI-20180202B-2
2018020200002</t>
  </si>
  <si>
    <t>ZV16655203</t>
  </si>
  <si>
    <t>PI-20180205A
2018020500001</t>
  </si>
  <si>
    <t>NPort S8455I-MM-SC-T</t>
  </si>
  <si>
    <t>PO-20180205A
2018020500001</t>
  </si>
  <si>
    <t>ZV16655287</t>
  </si>
  <si>
    <t>CH0754500502</t>
  </si>
  <si>
    <t>160-42871500</t>
  </si>
  <si>
    <t>同W115</t>
  </si>
  <si>
    <t>NPort 5450I-T</t>
  </si>
  <si>
    <t>PI-20180205B
2018020500002</t>
  </si>
  <si>
    <t>PO-20180205B
2018020500002</t>
  </si>
  <si>
    <t>BT93498659</t>
  </si>
  <si>
    <t>同W118</t>
  </si>
  <si>
    <t>PI-20180206A
(Leon組裝)
2018020600001</t>
  </si>
  <si>
    <r>
      <rPr>
        <rFont val="Arial"/>
        <color rgb="FF000000"/>
        <sz val="10.0"/>
      </rPr>
      <t xml:space="preserve">Nuvo-5006LP
</t>
    </r>
    <r>
      <rPr>
        <rFont val="Arial"/>
        <color rgb="FF000000"/>
        <sz val="10.0"/>
      </rPr>
      <t>(S/N:I0812199)</t>
    </r>
  </si>
  <si>
    <t>PO-20180206A
2018020700001</t>
  </si>
  <si>
    <t>YR34911896</t>
  </si>
  <si>
    <t>CX072230519X</t>
  </si>
  <si>
    <t>PWA-120W (Vecow)</t>
  </si>
  <si>
    <t>PO-20180206A-2
2018020600002</t>
  </si>
  <si>
    <t>YR38047683</t>
  </si>
  <si>
    <t>D4SAGHLPGFC
(向敏博購買)</t>
  </si>
  <si>
    <t>PO-20180206A-3
2018020600003</t>
  </si>
  <si>
    <t>聯邦銀行-田心分行(803-0803)
銀行帳號: 080-10-0008388</t>
  </si>
  <si>
    <t>YR38263775</t>
  </si>
  <si>
    <t>Intel® Core™ i7-6700TE Processor
(向捷毅國際購買)</t>
  </si>
  <si>
    <t>PO-20180206A-4
2018020600004</t>
  </si>
  <si>
    <t>YT77103164</t>
  </si>
  <si>
    <t>WFK-524 WIFI KIT
(請組裝;無料號尚未進ERP)</t>
  </si>
  <si>
    <t>見工單PI-20170703B</t>
  </si>
  <si>
    <t>PI-20180206B</t>
  </si>
  <si>
    <t>i5-4590S</t>
  </si>
  <si>
    <t>取消訂單</t>
  </si>
  <si>
    <t>渣打銀行 南崁分行
銀行代號052-0281
033-53-00017001-5"</t>
  </si>
  <si>
    <t>PI-20180206B
2018020600002</t>
  </si>
  <si>
    <t>PO-20180206B-2
2018020600001</t>
  </si>
  <si>
    <t>YT49655654</t>
  </si>
  <si>
    <t>PI-20180207A
2018020700001</t>
  </si>
  <si>
    <t>PO-20180207A
2018020700002</t>
  </si>
  <si>
    <t>ZV16655244</t>
  </si>
  <si>
    <t>YR36421903</t>
  </si>
  <si>
    <t>@29.35</t>
  </si>
  <si>
    <t>2/13掛號寄出</t>
  </si>
  <si>
    <t>PI-20180208A
2018020800001</t>
  </si>
  <si>
    <t>PO-20180208A
2018020800002</t>
  </si>
  <si>
    <t>BT93498641</t>
  </si>
  <si>
    <t>AN36540102</t>
  </si>
  <si>
    <t>@29.257</t>
  </si>
  <si>
    <t>3/15掛號寄出</t>
  </si>
  <si>
    <t>PI-20180209A
2018020900001</t>
  </si>
  <si>
    <t>NISE 50</t>
  </si>
  <si>
    <t>PO-20180209A</t>
  </si>
  <si>
    <t>AN34711017</t>
  </si>
  <si>
    <t>CF07550U1797</t>
  </si>
  <si>
    <t>PI-20180210A
2018021000001</t>
  </si>
  <si>
    <t>PO-20180210A
2018021000001</t>
  </si>
  <si>
    <t>YT53679451</t>
  </si>
  <si>
    <t>PI-20180212A
2018021200002</t>
  </si>
  <si>
    <t>DHL A/C No : 
969740245</t>
  </si>
  <si>
    <t>PO-20180212A
2018021200002</t>
  </si>
  <si>
    <t>YT49655826</t>
  </si>
  <si>
    <t>CX07223051RY</t>
  </si>
  <si>
    <t xml:space="preserve">PI-20180212B
2018021200001 </t>
  </si>
  <si>
    <t>MGate 4101-MB-PBS</t>
  </si>
  <si>
    <t>PO-20180212B
2018021200003</t>
  </si>
  <si>
    <t>BT93498601</t>
  </si>
  <si>
    <t>CX0722306LNU</t>
  </si>
  <si>
    <t>PI-20180212B
2018021200001</t>
  </si>
  <si>
    <t>Nport-5150</t>
  </si>
  <si>
    <t>同W132</t>
  </si>
  <si>
    <t>Nport 5130</t>
  </si>
  <si>
    <t>Nport-5110</t>
  </si>
  <si>
    <t>PI-20180221A
2018022100002</t>
  </si>
  <si>
    <t>PO-20180221A</t>
  </si>
  <si>
    <t>CB60778378</t>
  </si>
  <si>
    <t>CH0752015130</t>
  </si>
  <si>
    <t>172-94243682</t>
  </si>
  <si>
    <t>同W137</t>
  </si>
  <si>
    <t>PI-20180221B
2018022100001</t>
  </si>
  <si>
    <t>TPC-1582H-433BE</t>
  </si>
  <si>
    <t>PO-20180221B
2018022100001</t>
  </si>
  <si>
    <t>YT49655688</t>
  </si>
  <si>
    <t>PI-20180221C
(Neousys 組裝，外盒請用標籤註明CPU)
2018022100003</t>
  </si>
  <si>
    <t>Nuvo-5002LP</t>
  </si>
  <si>
    <t xml:space="preserve">PO-20180221C </t>
  </si>
  <si>
    <t>AN35004016</t>
  </si>
  <si>
    <t>CX0722306LWW</t>
  </si>
  <si>
    <t>Intel® Core™ i7-6700TE Processor(向捷毅國際購買 Neousys 組裝)</t>
  </si>
  <si>
    <t>PO-20180221C-2</t>
  </si>
  <si>
    <t>AQ77102306</t>
  </si>
  <si>
    <t>Intel® Core™ i5-6500TE Processor
(向捷毅國際購買 Neousys 組裝)</t>
  </si>
  <si>
    <t>同W141</t>
  </si>
  <si>
    <t>PI-20180221C
(Leon 組裝)
2018022100003</t>
  </si>
  <si>
    <r>
      <rPr>
        <rFont val="Arial"/>
        <color rgb="FF000000"/>
        <sz val="10.0"/>
      </rPr>
      <t xml:space="preserve">POC-120
</t>
    </r>
    <r>
      <rPr>
        <rFont val="Arial"/>
        <color rgb="FF000000"/>
        <sz val="10.0"/>
      </rPr>
      <t>(S/N:I1002755~56)</t>
    </r>
  </si>
  <si>
    <t>PO-20180221C</t>
  </si>
  <si>
    <t>AN35004014</t>
  </si>
  <si>
    <t>工單:PI-20180221C</t>
  </si>
  <si>
    <t>PI-20180224A
2018022400001</t>
  </si>
  <si>
    <t>CP-104UL-DB9M
序號請參閱備註</t>
  </si>
  <si>
    <t>PO-20180224A
2018022400001</t>
  </si>
  <si>
    <t>BT93498479</t>
  </si>
  <si>
    <t>CF07550T3995</t>
  </si>
  <si>
    <t>PCI-1760U-BE
S/N：IAAA344643</t>
  </si>
  <si>
    <t>PO-20180224A</t>
  </si>
  <si>
    <t>AQ49652300</t>
  </si>
  <si>
    <t>PCI-1760U-BE</t>
  </si>
  <si>
    <t>AQ49655956</t>
  </si>
  <si>
    <t>CF07550GS416</t>
  </si>
  <si>
    <t>PI-20180225A
2018022500001</t>
  </si>
  <si>
    <t>Santiago 
/ Charles</t>
  </si>
  <si>
    <t>PO-20180225A
2018022500001</t>
  </si>
  <si>
    <t>BT93498766</t>
  </si>
  <si>
    <t>CH0754500625</t>
  </si>
  <si>
    <t>160-44085403</t>
  </si>
  <si>
    <t>同W148</t>
  </si>
  <si>
    <t>BT93498658</t>
  </si>
  <si>
    <t>同W150</t>
  </si>
  <si>
    <t>PI-20180227A
2018022700002</t>
  </si>
  <si>
    <t>999.999.00070-C1305421
PCI-1202LU-CR
序號請參閱備註</t>
  </si>
  <si>
    <t>DHL A/C No : 969740245</t>
  </si>
  <si>
    <t>PO-20180227A</t>
  </si>
  <si>
    <t>兆豐銀行：0170206
帳號：02009016424</t>
  </si>
  <si>
    <t>CD29317590</t>
  </si>
  <si>
    <t>CX0722305WM2</t>
  </si>
  <si>
    <t>CD29317589</t>
  </si>
  <si>
    <t>PI-20180227C
2018022700003</t>
  </si>
  <si>
    <t>USB-4711A-AE
S/N：IAAA364821</t>
  </si>
  <si>
    <t>PO-20180227C</t>
  </si>
  <si>
    <t>AQ49652061</t>
  </si>
  <si>
    <t>ADAM-4021-DE
S/N：IAAA377047</t>
  </si>
  <si>
    <t>同W154</t>
  </si>
  <si>
    <t>PI-20180227D
2018022700001</t>
  </si>
  <si>
    <t>PO-20180227D
2018022700001</t>
  </si>
  <si>
    <t>BT93498737</t>
  </si>
  <si>
    <t>AN36540104</t>
  </si>
  <si>
    <t>@29.16</t>
  </si>
  <si>
    <t>3/21隨貨寄出</t>
  </si>
  <si>
    <t>PI-20180228A
2018022800001</t>
  </si>
  <si>
    <r>
      <rPr>
        <rFont val="Arial"/>
        <color rgb="FF000000"/>
        <sz val="10.0"/>
      </rPr>
      <t>ECS-8000-2R850Q</t>
    </r>
    <r>
      <rPr>
        <rFont val="Arial"/>
        <color rgb="FFFF0000"/>
        <sz val="10.0"/>
      </rPr>
      <t>(專案價)</t>
    </r>
    <r>
      <rPr>
        <rFont val="Arial"/>
        <color rgb="FF000000"/>
        <sz val="10.0"/>
      </rPr>
      <t xml:space="preserve">
(S/N:S18A840001~2
 S/N:S17A840138~150)</t>
    </r>
  </si>
  <si>
    <t>PO-20180228A</t>
  </si>
  <si>
    <t>AN38202764</t>
  </si>
  <si>
    <t>PI-20180303A
2018030300001</t>
  </si>
  <si>
    <t>PO-20180303A</t>
  </si>
  <si>
    <t>AN38202767</t>
  </si>
  <si>
    <t>AN36540103</t>
  </si>
  <si>
    <t>@29.5</t>
  </si>
  <si>
    <t>3/19掛號寄出</t>
  </si>
  <si>
    <t>PI-20180306A
2018030600001</t>
  </si>
  <si>
    <t>EDS-210A-1GSFP-1SFP
S/N：TAHBD1012740
S/N：TAHBD1012754</t>
  </si>
  <si>
    <t>FedEx International Priority #852270004</t>
  </si>
  <si>
    <t>PO-20180306A
2018030600001</t>
  </si>
  <si>
    <t>BT93498620</t>
  </si>
  <si>
    <t>CF07550V0497</t>
  </si>
  <si>
    <t>ICF-1180I-M-ST
S/N：TAGJE1043323
S/N：TAGJE1029848</t>
  </si>
  <si>
    <t>同W159</t>
  </si>
  <si>
    <t>DM-F12A/R-R11
S/N：WA18200146</t>
  </si>
  <si>
    <t>PO-20180306A-2</t>
  </si>
  <si>
    <t>AQ53679377</t>
  </si>
  <si>
    <t>CF07550W4859</t>
  </si>
  <si>
    <t>PI-20180306B
(christine換標籤)</t>
  </si>
  <si>
    <t>PCI-7432
S/N：HC45CB1220
S/N：HC45CB1144
S/N：HC45CB1143</t>
  </si>
  <si>
    <t>PO-20170306B</t>
  </si>
  <si>
    <t>AN36475700</t>
  </si>
  <si>
    <t>AN36540101</t>
  </si>
  <si>
    <t>大榮-15347136701</t>
  </si>
  <si>
    <t>3/12 台灣銀行@29.255</t>
  </si>
  <si>
    <t>3/12 隨貨寄出</t>
  </si>
  <si>
    <t>PI-20180306C
2018030600002</t>
  </si>
  <si>
    <t>PO-20180306C</t>
  </si>
  <si>
    <t>AN34711041</t>
  </si>
  <si>
    <t>CW0733604107</t>
  </si>
  <si>
    <t>同W163</t>
  </si>
  <si>
    <t>Intel Core I5-3610ME
(向捷毅國際購買,交由新漢組裝)</t>
  </si>
  <si>
    <t>PO-20180306C-2</t>
  </si>
  <si>
    <t>AQ77102509</t>
  </si>
  <si>
    <t>PI-20180307A
2018030700001</t>
  </si>
  <si>
    <t>ADAM-5069-AE
S/N：IAAA405260 / IAAA405272</t>
  </si>
  <si>
    <t>PO-20180307A</t>
  </si>
  <si>
    <t>AQ49652439</t>
  </si>
  <si>
    <t>簡易CX0722306NSP</t>
  </si>
  <si>
    <t>ADAM-5000/485-AE
S/N：IAAA424996 / IAAA425005</t>
  </si>
  <si>
    <t>同W167</t>
  </si>
  <si>
    <t>PO-2162017</t>
  </si>
  <si>
    <t>PI-20180307B
2018030700002</t>
  </si>
  <si>
    <t>TCF-142-M-ST
719-TCF-142-M-ST</t>
  </si>
  <si>
    <t>Modern Express</t>
  </si>
  <si>
    <t>PO-20180307B
2018030700001</t>
  </si>
  <si>
    <t>BT93498767</t>
  </si>
  <si>
    <t>CH0713702457</t>
  </si>
  <si>
    <t>589-33784995</t>
  </si>
  <si>
    <t>2021853</t>
  </si>
  <si>
    <t>PI-20180308A
2018030800001</t>
  </si>
  <si>
    <t>PO-20180308A</t>
  </si>
  <si>
    <t>2018/3/29
2018/4/3</t>
  </si>
  <si>
    <t>AN34711133
AN34711203</t>
  </si>
  <si>
    <t>147,015(9 PCS)
16,323(1 PCS)</t>
  </si>
  <si>
    <t>CW0733604681</t>
  </si>
  <si>
    <t>297-71829936</t>
  </si>
  <si>
    <t>PO-20180308A-2</t>
  </si>
  <si>
    <t>AQ77102624</t>
  </si>
  <si>
    <t>同W170</t>
  </si>
  <si>
    <t>PI-20180312A
2018031200001</t>
  </si>
  <si>
    <t>ADAM-5000/485-AE</t>
  </si>
  <si>
    <t>PO-20180312A</t>
  </si>
  <si>
    <t>AQ49652701</t>
  </si>
  <si>
    <t>CX07223078ZD</t>
  </si>
  <si>
    <t>ADAM-5051S-AE</t>
  </si>
  <si>
    <t>AQ49655957</t>
  </si>
  <si>
    <t>CW0748601924</t>
  </si>
  <si>
    <t>172-94265220</t>
  </si>
  <si>
    <t>ADAM-5069-AE</t>
  </si>
  <si>
    <t>同W174</t>
  </si>
  <si>
    <t>FPM-2150G-R3BE</t>
  </si>
  <si>
    <t>AQ49652885</t>
  </si>
  <si>
    <t>CX0722308FZM</t>
  </si>
  <si>
    <t>PI-20180313A
2018031300001</t>
  </si>
  <si>
    <t>工單MO-20180313A</t>
  </si>
  <si>
    <t>PI-20180313B
2018031300002</t>
  </si>
  <si>
    <t>7006990001
01-US-26-00003
FSP120-AHAN2</t>
  </si>
  <si>
    <t>FSP全漢</t>
  </si>
  <si>
    <t>PO-20180313B</t>
  </si>
  <si>
    <t xml:space="preserve">全漢企業股份有限公司
兆豐國際商業銀行桃園分行
014-09-00217-0 </t>
  </si>
  <si>
    <t>DZ03112879</t>
  </si>
  <si>
    <t>CG073765B811</t>
  </si>
  <si>
    <t>P180315NP0</t>
  </si>
  <si>
    <t>PI-20180316A
(Leon 組裝)
2018031600001</t>
  </si>
  <si>
    <r>
      <rPr>
        <rFont val="Arial"/>
        <color rgb="FF000000"/>
        <sz val="10.0"/>
      </rPr>
      <t xml:space="preserve">POC-331
</t>
    </r>
    <r>
      <rPr>
        <rFont val="Arial"/>
        <color rgb="FFFF0000"/>
        <sz val="10.0"/>
      </rPr>
      <t>(S/N:I 1300551~553)</t>
    </r>
  </si>
  <si>
    <t>PO-20180316A</t>
  </si>
  <si>
    <t>AN35004046</t>
  </si>
  <si>
    <t>CX0722308A3D</t>
  </si>
  <si>
    <t>TS1GSK64W6H</t>
  </si>
  <si>
    <t>工單EMO-20161115A</t>
  </si>
  <si>
    <t>PI-20180319A
2018031900001</t>
  </si>
  <si>
    <t>IMC-21GA-SX-SC</t>
  </si>
  <si>
    <t>PO-20180319A
2018032000001</t>
  </si>
  <si>
    <t>BT93498890</t>
  </si>
  <si>
    <t>AN36540106</t>
  </si>
  <si>
    <t>@29.205</t>
  </si>
  <si>
    <t>3/29掛號寄出</t>
  </si>
  <si>
    <t>PO-0146</t>
  </si>
  <si>
    <t>PI-20180320A</t>
  </si>
  <si>
    <t>PO-20180320A
2018032000002</t>
  </si>
  <si>
    <t>CE45981332</t>
  </si>
  <si>
    <t>CX0722308EBL</t>
  </si>
  <si>
    <t>同W183</t>
  </si>
  <si>
    <t>PI-20180320B
2018032000001</t>
  </si>
  <si>
    <t>SE-1004</t>
  </si>
  <si>
    <t>PO-20180320B</t>
  </si>
  <si>
    <t>AN38202777</t>
  </si>
  <si>
    <t>AN36540105</t>
  </si>
  <si>
    <t>3/22掛號寄出</t>
  </si>
  <si>
    <t>PI-20180320C
2018032000002</t>
  </si>
  <si>
    <t>USB-4761-BE</t>
  </si>
  <si>
    <t>PO-20180320C</t>
  </si>
  <si>
    <t>AQ49655334</t>
  </si>
  <si>
    <t>CX0722309FUL</t>
  </si>
  <si>
    <t>PO-0147</t>
  </si>
  <si>
    <t>PI-20180321A</t>
  </si>
  <si>
    <t>Uport-1150</t>
  </si>
  <si>
    <t>PO-20180321A
2018032300001</t>
  </si>
  <si>
    <t>CE45981310</t>
  </si>
  <si>
    <t>PI-20180323A
2018032300001</t>
  </si>
  <si>
    <t>7008000370
(8MS9P1B05M1RES-5)</t>
  </si>
  <si>
    <t>PO-20180323A</t>
  </si>
  <si>
    <t>CN80424002</t>
  </si>
  <si>
    <t>CR073764P430</t>
  </si>
  <si>
    <t>PI-20180323B
2018032300002</t>
  </si>
  <si>
    <t>CP-112UL-DB9M</t>
  </si>
  <si>
    <t>PO-20180323B
2018032800001</t>
  </si>
  <si>
    <t>CE45981386</t>
  </si>
  <si>
    <t>AN36540150</t>
  </si>
  <si>
    <t>@29.1505</t>
  </si>
  <si>
    <t>4/9掛號寄出</t>
  </si>
  <si>
    <t>PI-20180326A
2018032600001</t>
  </si>
  <si>
    <t>999.999.00052
eBOX565-500-FL-6100U-DC</t>
  </si>
  <si>
    <t>PO-20180326A</t>
  </si>
  <si>
    <t>AQ53648185</t>
  </si>
  <si>
    <t>CN53648051</t>
  </si>
  <si>
    <t>CX072230BZ87</t>
  </si>
  <si>
    <t>999.999-00053
POWER ADAPTER</t>
  </si>
  <si>
    <t>同W190</t>
  </si>
  <si>
    <t>同W191</t>
  </si>
  <si>
    <t>PI-20180326B
2018032600002</t>
  </si>
  <si>
    <t>PO-20180326B</t>
  </si>
  <si>
    <t>AQ49655967</t>
  </si>
  <si>
    <t>AQ49655410</t>
  </si>
  <si>
    <t>ADAM-6066-D</t>
  </si>
  <si>
    <t>PO-20180326B-2</t>
  </si>
  <si>
    <t>AQ49655160</t>
  </si>
  <si>
    <t>PI-20180327A
2018032800003</t>
  </si>
  <si>
    <t>999.999.00079
AMS300</t>
  </si>
  <si>
    <t>PO-20180327A</t>
  </si>
  <si>
    <t>CB60778431</t>
  </si>
  <si>
    <t>CX0722308T0Z</t>
  </si>
  <si>
    <t>PI-20180327B
2018032700001</t>
  </si>
  <si>
    <t>NISE 3600E
XYZ20180403010</t>
  </si>
  <si>
    <t>PO-20180327B</t>
  </si>
  <si>
    <t>AN34711217</t>
  </si>
  <si>
    <t>CW0733605444</t>
  </si>
  <si>
    <t>157-38227571</t>
  </si>
  <si>
    <t>Core™ i7-3612QM
(向捷毅國際購買,交由新漢組裝)
XYZ20180403011</t>
  </si>
  <si>
    <t>PO-20180327B-2</t>
  </si>
  <si>
    <t>AQ77103007</t>
  </si>
  <si>
    <t>19V, 120W AC/DC power adapter w/o power cord (P/N: 7400120019X00)
XYZ20180403012</t>
  </si>
  <si>
    <t>同W198</t>
  </si>
  <si>
    <t>EU power cord (P/N: 60233POW39X00)
XYZ20180403013</t>
  </si>
  <si>
    <t>PI-20180328A
2018032800001</t>
  </si>
  <si>
    <t>TPC-1551T-E3AE</t>
  </si>
  <si>
    <t>PO-20180328A</t>
  </si>
  <si>
    <t>AQ49655166</t>
  </si>
  <si>
    <t>ADAM-4520I-AE</t>
  </si>
  <si>
    <t>同W202</t>
  </si>
  <si>
    <t>ADAM-4521-AE</t>
  </si>
  <si>
    <t>ADAM-4561-CE</t>
  </si>
  <si>
    <t>P180328NP0</t>
  </si>
  <si>
    <t>PI-20180328B
(VECOW組裝)
2018032800004</t>
  </si>
  <si>
    <r>
      <rPr>
        <rFont val="Arial"/>
        <color rgb="FF000000"/>
        <sz val="10.0"/>
      </rPr>
      <t xml:space="preserve">ECS8000-2R850Q
XYZ20180403007
</t>
    </r>
    <r>
      <rPr>
        <rFont val="Arial"/>
        <color rgb="FFFF0000"/>
        <sz val="10.0"/>
      </rPr>
      <t>(S/N:S18A840003~7)</t>
    </r>
  </si>
  <si>
    <t>PO-20180328B</t>
  </si>
  <si>
    <t>AN38202797</t>
  </si>
  <si>
    <t>CX0722309RM9</t>
  </si>
  <si>
    <t>M3S0-8GSSDLPC
XYZ20180403008</t>
  </si>
  <si>
    <t>舊工單MO-20180223A</t>
  </si>
  <si>
    <t>9362-CR7351</t>
  </si>
  <si>
    <t>PI-20180328C</t>
  </si>
  <si>
    <t>PO-20180328C
2018032900001</t>
  </si>
  <si>
    <t>CE45981438</t>
  </si>
  <si>
    <t>CU0757BH3502</t>
  </si>
  <si>
    <t>1Z1913EED998073841</t>
  </si>
  <si>
    <t>PO-0148</t>
  </si>
  <si>
    <t>PI-20180328D
2018032800002</t>
  </si>
  <si>
    <t>DK35A
(XYZ20180328001)</t>
  </si>
  <si>
    <t>PO-20180328D
2018032900002</t>
  </si>
  <si>
    <t>CE45981311</t>
  </si>
  <si>
    <t>PointGuard</t>
  </si>
  <si>
    <t>PI-20180329A</t>
  </si>
  <si>
    <t>SSF2825-ENN-A21 (V3)</t>
  </si>
  <si>
    <t>Eddie</t>
  </si>
  <si>
    <t>戎克TNT Economy</t>
  </si>
  <si>
    <t>晶達光電</t>
  </si>
  <si>
    <t>PO-20180329A</t>
  </si>
  <si>
    <t>兆豐新店分行0170468
04609010338</t>
  </si>
  <si>
    <t>EH37971365</t>
  </si>
  <si>
    <t>CG073767X427</t>
  </si>
  <si>
    <t>P180329NP2</t>
  </si>
  <si>
    <t>PI-20180329B-2
(Neousys 組裝)</t>
  </si>
  <si>
    <t>Nuvo-5006LP
XYZ20180403005
XYZ20180403006(組裝料號)
(S/N:I2015416~419)</t>
  </si>
  <si>
    <t>PO-20180329B</t>
  </si>
  <si>
    <t>CL35141236</t>
  </si>
  <si>
    <t>CX072230CSXM</t>
  </si>
  <si>
    <t>Intel® Core™ i7-6700TE Processor
(向捷毅國際購買)
XYZ20180403003</t>
  </si>
  <si>
    <t>PO-20180329B-2</t>
  </si>
  <si>
    <t>CN77102309</t>
  </si>
  <si>
    <t>D4S4GHIOFEC
(向敏博購買)
XYZ20180403004</t>
  </si>
  <si>
    <t>PO-20180329B-3</t>
  </si>
  <si>
    <t>CL37183256</t>
  </si>
  <si>
    <t>PI-20180329B-1
(Neousys 組裝)
2018032900001</t>
  </si>
  <si>
    <r>
      <rPr>
        <rFont val="Arial"/>
        <color rgb="FF000000"/>
        <sz val="10.0"/>
      </rPr>
      <t xml:space="preserve">Nuvo-5002LP
XYZ20180403002
XYZ20180403001(組裝料號)
</t>
    </r>
    <r>
      <rPr>
        <rFont val="Arial"/>
        <color rgb="FFFF0000"/>
        <sz val="10.0"/>
      </rPr>
      <t>(S/N:I1613725~13732)</t>
    </r>
  </si>
  <si>
    <t>AN35004072</t>
  </si>
  <si>
    <t>CX0722309RMP</t>
  </si>
  <si>
    <t>AQ77103040</t>
  </si>
  <si>
    <t>AN37060298</t>
  </si>
  <si>
    <t>PO-0150</t>
  </si>
  <si>
    <t>PI-20180330A</t>
  </si>
  <si>
    <t>PO-20180330A</t>
  </si>
  <si>
    <t>CE45981663</t>
  </si>
  <si>
    <t>CX072230AEDK</t>
  </si>
  <si>
    <t>同W217</t>
  </si>
  <si>
    <t>PI-20180402A
2018040200001</t>
  </si>
  <si>
    <t>999.999.00080
8816K5601A0E
eBOX560­880 DIN RAIL MOUNT KIT
(XYZ20180406001)</t>
  </si>
  <si>
    <t>PO-20180402A</t>
  </si>
  <si>
    <t>AQ53648245</t>
  </si>
  <si>
    <t>PI-20180402B
2018040200002</t>
  </si>
  <si>
    <t>NPort 5650-8-DT w/ European adapter
(XYZ20180402001)</t>
  </si>
  <si>
    <t>PO-20180402B
2018040200001</t>
  </si>
  <si>
    <t>CE45981588</t>
  </si>
  <si>
    <t>AN36540154</t>
  </si>
  <si>
    <t>@29.34</t>
  </si>
  <si>
    <t>4/23掛號寄出</t>
  </si>
  <si>
    <t>PI-20180409A
2018040800001</t>
  </si>
  <si>
    <t>ADAM-6066-D
(XYZ20180406002)</t>
  </si>
  <si>
    <t>PO-20180409A</t>
  </si>
  <si>
    <t>AQ49655438</t>
  </si>
  <si>
    <t>EKI-1521-BE
(XYZ20180408001)</t>
  </si>
  <si>
    <t>同W221</t>
  </si>
  <si>
    <t>20180409-AA</t>
  </si>
  <si>
    <r>
      <rPr>
        <rFont val="arial,sans,sans-serif"/>
        <color rgb="FF000000"/>
        <sz val="10.0"/>
      </rPr>
      <t xml:space="preserve">PI-20180409B
</t>
    </r>
    <r>
      <rPr>
        <rFont val="arial,sans,sans-serif"/>
        <color rgb="FF000000"/>
        <sz val="10.0"/>
      </rPr>
      <t>(christine換標籤)</t>
    </r>
  </si>
  <si>
    <t>PCI-7432</t>
  </si>
  <si>
    <t>PO-20180409B</t>
  </si>
  <si>
    <t>AN36475713</t>
  </si>
  <si>
    <t>AN36540152</t>
  </si>
  <si>
    <t>沛勁</t>
  </si>
  <si>
    <t>4/12 台灣銀行
@29.23</t>
  </si>
  <si>
    <t>4/12 隨貨寄出</t>
  </si>
  <si>
    <t>PI-20180410A
2018041000001</t>
  </si>
  <si>
    <t>MGate MB3170
XYZ20180410001</t>
  </si>
  <si>
    <t>PO-20180410A
2018041100001</t>
  </si>
  <si>
    <t>CE45981515</t>
  </si>
  <si>
    <t>AN36540153</t>
  </si>
  <si>
    <t>@29.18</t>
  </si>
  <si>
    <t>4/16掛號寄出</t>
  </si>
  <si>
    <t>P180410NP0</t>
  </si>
  <si>
    <t>PI-20180410B
2018041100001</t>
  </si>
  <si>
    <r>
      <rPr>
        <rFont val="Arial"/>
        <color theme="1"/>
        <sz val="10.0"/>
      </rPr>
      <t xml:space="preserve">POC-351VTC
XYZ20180411001
</t>
    </r>
    <r>
      <rPr>
        <rFont val="Arial"/>
        <color rgb="FFFF0000"/>
        <sz val="10.0"/>
      </rPr>
      <t>(S/N:I1600355~356)</t>
    </r>
  </si>
  <si>
    <t>PO-20180410B</t>
  </si>
  <si>
    <t>AN35004083</t>
  </si>
  <si>
    <t>PO-1032018</t>
  </si>
  <si>
    <t>PI-20180411A
2018041100003</t>
  </si>
  <si>
    <t>NPort 5450I-T
719-NPort-5450I-T</t>
  </si>
  <si>
    <t>PO-20180411A-1
2018041100002</t>
  </si>
  <si>
    <t>CE45981653</t>
  </si>
  <si>
    <t>EDS-408A-SS-SC-T
719-EDS-408A-SS-SC-T</t>
  </si>
  <si>
    <t>PO-20180411A-2
2018041600001</t>
  </si>
  <si>
    <t>CE45981654</t>
  </si>
  <si>
    <t>IM-6700A-2S-SC-4TX
719-IM-6700A-2S-SC4TX</t>
  </si>
  <si>
    <t>同W226</t>
  </si>
  <si>
    <t>PI-20180411B
2018041100004</t>
  </si>
  <si>
    <t>IKS-6726A-2GTXSFP-24-T
719-IKS6726A2GTXSFP2</t>
  </si>
  <si>
    <t>PO-20180411B
2018041100003</t>
  </si>
  <si>
    <t>DQ93498552</t>
  </si>
  <si>
    <t>CA0713702823</t>
  </si>
  <si>
    <t>589-44131054</t>
  </si>
  <si>
    <t>PO-IMP-06</t>
  </si>
  <si>
    <t>PI-20180411C</t>
  </si>
  <si>
    <t>Nport-5130</t>
  </si>
  <si>
    <t>PO-20180411C</t>
  </si>
  <si>
    <t>CE45981664</t>
  </si>
  <si>
    <t>同W230</t>
  </si>
  <si>
    <t>PO-20180411C-2</t>
  </si>
  <si>
    <t>CE45981665</t>
  </si>
  <si>
    <t>PI-20180412A
2018041100002</t>
  </si>
  <si>
    <t>EKI-2525-AE
(XYZ20180411002)</t>
  </si>
  <si>
    <t>PO-20180412A</t>
  </si>
  <si>
    <t>AQ49655969</t>
  </si>
  <si>
    <t>ADAM-6256-AE
(XYZ20180411003)</t>
  </si>
  <si>
    <t>同W233</t>
  </si>
  <si>
    <t>PI-20180416A</t>
  </si>
  <si>
    <t>打樣無下單</t>
  </si>
  <si>
    <t>樣品無成本</t>
  </si>
  <si>
    <t>CG073764H600</t>
  </si>
  <si>
    <t>PO-20180416A</t>
  </si>
  <si>
    <t>CL52324006</t>
  </si>
  <si>
    <t>同W237</t>
  </si>
  <si>
    <t>18/0190M</t>
  </si>
  <si>
    <t>PI-20180417A
2018041700001</t>
  </si>
  <si>
    <t>NPC-4784
(ECU-4784-D55SBE)
XYZ20180417001</t>
  </si>
  <si>
    <t>PO-20180417A</t>
  </si>
  <si>
    <t>CN49652100</t>
  </si>
  <si>
    <t>CX072230BE36</t>
  </si>
  <si>
    <r>
      <rPr>
        <rFont val="Arial"/>
        <color rgb="FF000000"/>
        <sz val="10.0"/>
      </rPr>
      <t xml:space="preserve">PI-20180418A
</t>
    </r>
    <r>
      <rPr>
        <rFont val="Arial"/>
        <color rgb="FF000000"/>
        <sz val="10.0"/>
      </rPr>
      <t>(christine換標籤)</t>
    </r>
  </si>
  <si>
    <t>PO-20180418A</t>
  </si>
  <si>
    <t>CB60778526</t>
  </si>
  <si>
    <t>PI-20180418B</t>
  </si>
  <si>
    <t>PPC-3150-RE4AE</t>
  </si>
  <si>
    <t>PO-20180418B</t>
  </si>
  <si>
    <t>AQ49656045</t>
  </si>
  <si>
    <t>P180419NP1</t>
  </si>
  <si>
    <t>PI-20180420A</t>
  </si>
  <si>
    <t>ECS-8000-2R850Q
(S/N:S18A840009~13)</t>
  </si>
  <si>
    <t>PO-20180420A</t>
  </si>
  <si>
    <t>AN38254911</t>
  </si>
  <si>
    <t>CX072230BAUC</t>
  </si>
  <si>
    <t>P180419NP2</t>
  </si>
  <si>
    <r>
      <rPr>
        <rFont val="Arial"/>
        <color rgb="FF000000"/>
        <sz val="10.0"/>
      </rPr>
      <t>PI-20180420B</t>
    </r>
    <r>
      <rPr>
        <rFont val="Arial"/>
        <color rgb="FF000000"/>
        <sz val="10.0"/>
      </rPr>
      <t xml:space="preserve">
(Miller 5/9 組裝與測試)</t>
    </r>
  </si>
  <si>
    <t>POC-210
(S/N:I1919446~451)</t>
  </si>
  <si>
    <t>PO-20180420B</t>
  </si>
  <si>
    <t>CL35141203</t>
  </si>
  <si>
    <t>CX072230BYYU</t>
  </si>
  <si>
    <r>
      <rPr>
        <rFont val="Arial"/>
        <color rgb="FF000000"/>
        <sz val="10.0"/>
      </rPr>
      <t>PI-20180420B</t>
    </r>
    <r>
      <rPr>
        <rFont val="Arial"/>
        <color rgb="FF000000"/>
        <sz val="10.0"/>
      </rPr>
      <t xml:space="preserve">
(Miller 5/9 組裝與測試)</t>
    </r>
  </si>
  <si>
    <t>PO-20180420B-1</t>
  </si>
  <si>
    <t>AQ48823891</t>
  </si>
  <si>
    <t>PI-20180420B</t>
  </si>
  <si>
    <t>同W247</t>
  </si>
  <si>
    <t>P180419NP3</t>
  </si>
  <si>
    <t>PI-20180420C</t>
  </si>
  <si>
    <t>OP-080S (w/ DC 24V)
(S/N:2061805001~4)</t>
  </si>
  <si>
    <t>PO-20180420C</t>
  </si>
  <si>
    <t>CL52324003</t>
  </si>
  <si>
    <t>PI-20180420D</t>
  </si>
  <si>
    <t>PO-20180420D</t>
  </si>
  <si>
    <t>DQ93498523</t>
  </si>
  <si>
    <t>CL36640604</t>
  </si>
  <si>
    <t>@29.92</t>
  </si>
  <si>
    <t>5/10掛號寄出</t>
  </si>
  <si>
    <t>同W251</t>
  </si>
  <si>
    <t>同AB251</t>
  </si>
  <si>
    <t>PI-20180423A</t>
  </si>
  <si>
    <t>PO-20180423A</t>
  </si>
  <si>
    <t>AQ49655975</t>
  </si>
  <si>
    <t>PI-20180424A</t>
  </si>
  <si>
    <t>PO-20180424A</t>
  </si>
  <si>
    <t>DY60778310</t>
  </si>
  <si>
    <t>7008000129
Cavo alimentazione optoisolatore 80cm</t>
  </si>
  <si>
    <t>PO-20180424A-1</t>
  </si>
  <si>
    <t>CN80424435</t>
  </si>
  <si>
    <t>7008000145
Cavo Seriale 60cm optoisolatore SACMI</t>
  </si>
  <si>
    <t>7009000006 (02-BE-00110)
LVDS cable SBC-331V for M121GNX2 R1</t>
  </si>
  <si>
    <t>7009000007 (02-BE-00109)
LVDS cable SBC-331V for G150XNE-L03</t>
  </si>
  <si>
    <t>7008000409 (02-BE-00111)
Backlight cable SBC-331V for M121GNX2 R1</t>
  </si>
  <si>
    <t>7008000410 (02-BE-00111)
Backlight cable SBC-331V for G150XNE-L03</t>
  </si>
  <si>
    <r>
      <rPr>
        <rFont val="Arial"/>
        <color theme="1"/>
        <sz val="10.0"/>
      </rPr>
      <t xml:space="preserve">70112D0001 (PDK-121S-IVO) includes </t>
    </r>
    <r>
      <rPr>
        <rFont val="Arial"/>
        <b/>
        <color rgb="FFFF0000"/>
        <sz val="10.0"/>
      </rPr>
      <t>1-6</t>
    </r>
    <r>
      <rPr>
        <rFont val="Arial"/>
        <color rgb="FF000000"/>
        <sz val="10.0"/>
      </rPr>
      <t xml:space="preserve">
1) LCD : M121GNX2 R1</t>
    </r>
  </si>
  <si>
    <t>頎勝科技</t>
  </si>
  <si>
    <t>PO-20180424A-2</t>
  </si>
  <si>
    <t>第一銀行 雙園分行
183-10-016464</t>
  </si>
  <si>
    <t>CL53899159</t>
  </si>
  <si>
    <t xml:space="preserve">2) Touch : Resistive Touch 10121002 V01 </t>
  </si>
  <si>
    <t>PO-20180424A-4</t>
  </si>
  <si>
    <t>台灣企銀錦和分行050-1220
12212023221</t>
  </si>
  <si>
    <t>CL52324014</t>
  </si>
  <si>
    <t>6)USB cable from USB controller to board
 (02-BE-00112)</t>
  </si>
  <si>
    <r>
      <rPr>
        <rFont val="Arial"/>
        <color theme="1"/>
        <sz val="10.0"/>
      </rPr>
      <t xml:space="preserve">70112E0001 (PDK-P150S-INN-L03) includes </t>
    </r>
    <r>
      <rPr>
        <rFont val="Arial"/>
        <b/>
        <color rgb="FFFF0000"/>
        <sz val="10.0"/>
      </rPr>
      <t>1-6</t>
    </r>
    <r>
      <rPr>
        <rFont val="Arial"/>
        <color rgb="FF000000"/>
        <sz val="10.0"/>
      </rPr>
      <t xml:space="preserve">
1) LCD : G150XNE-L03(群創)</t>
    </r>
  </si>
  <si>
    <t>台亞光電</t>
  </si>
  <si>
    <t>PO-20180424A-3</t>
  </si>
  <si>
    <t>華南商業銀行 板新分行
175-10-0019030</t>
  </si>
  <si>
    <t>CL39629877</t>
  </si>
  <si>
    <t>2) Touch : Resistive Touch 10150084 V01</t>
  </si>
  <si>
    <t>20180426-AA</t>
  </si>
  <si>
    <r>
      <rPr>
        <rFont val="Arial"/>
        <color rgb="FF000000"/>
        <sz val="10.0"/>
      </rPr>
      <t>PI-20180426A</t>
    </r>
    <r>
      <rPr>
        <rFont val="Arial"/>
        <color rgb="FF000000"/>
        <sz val="10.0"/>
      </rPr>
      <t xml:space="preserve">
(christine換標籤)</t>
    </r>
  </si>
  <si>
    <t>PO-20180426A</t>
  </si>
  <si>
    <t>AN36475726</t>
  </si>
  <si>
    <t>AN36540155</t>
  </si>
  <si>
    <t>大榮-15347136702</t>
  </si>
  <si>
    <t>4/30 台灣銀行
@29.53</t>
  </si>
  <si>
    <t>4/30 隨貨寄出</t>
  </si>
  <si>
    <t>RB Tech</t>
  </si>
  <si>
    <t>PI-20180426B Change
 to PI-20180531A</t>
  </si>
  <si>
    <t>KINO-PV-D4252-R11</t>
  </si>
  <si>
    <t>TNT account: 3000760</t>
  </si>
  <si>
    <t xml:space="preserve">PO-20180426B </t>
  </si>
  <si>
    <t>CN53679397</t>
  </si>
  <si>
    <t>CR073766S520</t>
  </si>
  <si>
    <t>PI-20180430A</t>
  </si>
  <si>
    <t>NISE2300 AtomD2550, incl 4GB RAM</t>
  </si>
  <si>
    <t>PO-20180430A</t>
  </si>
  <si>
    <t>CL34867025</t>
  </si>
  <si>
    <t>CW0733607424</t>
  </si>
  <si>
    <t>235-72020281</t>
  </si>
  <si>
    <t>Power adapter &amp; European Power cord for NISE2300</t>
  </si>
  <si>
    <t>同W275</t>
  </si>
  <si>
    <t>PO-20180430A-2</t>
  </si>
  <si>
    <t>CN77102459</t>
  </si>
  <si>
    <t>PI-20180430B</t>
  </si>
  <si>
    <t>PBPE-13A4 (瑞傳)</t>
  </si>
  <si>
    <t>PO-1132018</t>
  </si>
  <si>
    <t>PI-20180430C</t>
  </si>
  <si>
    <t>i3-6100TE</t>
  </si>
  <si>
    <t>PO-20180430C</t>
  </si>
  <si>
    <t>CN77102403</t>
  </si>
  <si>
    <t>PI-20180503A</t>
  </si>
  <si>
    <t>CP-114EL-DB9M</t>
  </si>
  <si>
    <t>PO-20180503A</t>
  </si>
  <si>
    <t>DQ93498522</t>
  </si>
  <si>
    <t>CL36640602</t>
  </si>
  <si>
    <t>5/10台灣銀行
29.905</t>
  </si>
  <si>
    <t>PI-20180503B</t>
  </si>
  <si>
    <t>PO-20180503B</t>
  </si>
  <si>
    <t>CL38322074</t>
  </si>
  <si>
    <t>CL36640610</t>
  </si>
  <si>
    <t>5/31掛號寄出</t>
  </si>
  <si>
    <t>APROtech GmbH</t>
  </si>
  <si>
    <t>PI-20180503D</t>
  </si>
  <si>
    <t>ECS-4500-2R300U</t>
  </si>
  <si>
    <t>UPS: 799R18/ Express Saver</t>
  </si>
  <si>
    <t xml:space="preserve"> PO-20180503D </t>
  </si>
  <si>
    <t>CL38322055</t>
  </si>
  <si>
    <t>CU0757BH4854</t>
  </si>
  <si>
    <t>1Z1913EE0498295259</t>
  </si>
  <si>
    <t>20180504-AA</t>
  </si>
  <si>
    <r>
      <rPr>
        <rFont val="Arial"/>
        <color rgb="FF000000"/>
        <sz val="10.0"/>
      </rPr>
      <t>PI-20180504A</t>
    </r>
    <r>
      <rPr>
        <rFont val="Arial"/>
        <color rgb="FF000000"/>
        <sz val="10.0"/>
      </rPr>
      <t xml:space="preserve">
(christine換標籤)</t>
    </r>
  </si>
  <si>
    <t>PO-20180504A</t>
  </si>
  <si>
    <t>CL39000001</t>
  </si>
  <si>
    <t>CL36640603</t>
  </si>
  <si>
    <t>大榮-15300456242</t>
  </si>
  <si>
    <t>5/10 台灣銀行
@29.905</t>
  </si>
  <si>
    <t>5/10 隨貨寄出</t>
  </si>
  <si>
    <t>PI-20180507A</t>
  </si>
  <si>
    <t>PO-20180507A</t>
  </si>
  <si>
    <t>QN49652506</t>
  </si>
  <si>
    <t>PI-20180508A</t>
  </si>
  <si>
    <t>UPS /Expedited
Account.: WF1740</t>
  </si>
  <si>
    <t>PO-20180508A</t>
  </si>
  <si>
    <t>EH53922390</t>
  </si>
  <si>
    <t>CU0757BJ4539</t>
  </si>
  <si>
    <t>1913 EEVB HGY</t>
  </si>
  <si>
    <t>PI-20180509A</t>
  </si>
  <si>
    <t xml:space="preserve">NPort 5130/EU </t>
  </si>
  <si>
    <t>PO-20180509A</t>
  </si>
  <si>
    <t>DQ93498629</t>
  </si>
  <si>
    <t>CF07550JF816</t>
  </si>
  <si>
    <t xml:space="preserve"> PO014833</t>
  </si>
  <si>
    <t>PI-20180509B</t>
  </si>
  <si>
    <t>MXC-6401D/M4G</t>
  </si>
  <si>
    <t>PO-20180509B</t>
  </si>
  <si>
    <t>EA47861785</t>
  </si>
  <si>
    <t>CH0746004375</t>
  </si>
  <si>
    <t>160-46141012</t>
  </si>
  <si>
    <t>LPCIE-7230</t>
  </si>
  <si>
    <t>同W290</t>
  </si>
  <si>
    <t>PI-20180509C</t>
  </si>
  <si>
    <t>ACP-4000MB-30CE</t>
  </si>
  <si>
    <t>PO-20180509C</t>
  </si>
  <si>
    <t>CN49652508</t>
  </si>
  <si>
    <t>CW0748602130</t>
  </si>
  <si>
    <t>172-94265776</t>
  </si>
  <si>
    <t>CB18-220</t>
  </si>
  <si>
    <t>PI-20180509D</t>
  </si>
  <si>
    <t>GS25E18-P1J</t>
  </si>
  <si>
    <t>TNT account (002004901 Express)</t>
  </si>
  <si>
    <t xml:space="preserve"> PO-20180509D </t>
  </si>
  <si>
    <t>銀行代號：007 
帳號：23110037813"</t>
  </si>
  <si>
    <t>EK69820727</t>
  </si>
  <si>
    <t>CR073766E238</t>
  </si>
  <si>
    <t>CB18-221</t>
  </si>
  <si>
    <t>PI-20180509E</t>
  </si>
  <si>
    <t>GG69821112</t>
  </si>
  <si>
    <t>CR073767W759</t>
  </si>
  <si>
    <t>P180509NP0</t>
  </si>
  <si>
    <t>PI-20180510A
(Neousys 組裝)</t>
  </si>
  <si>
    <t>Nuvo-5501-DIO
(S/N:I2000218~219)</t>
  </si>
  <si>
    <t xml:space="preserve">PO-20180510A </t>
  </si>
  <si>
    <t>CL35141235</t>
  </si>
  <si>
    <t>CX072230CS0Y</t>
  </si>
  <si>
    <t xml:space="preserve">PO-20180510A-2 </t>
  </si>
  <si>
    <t>CN77102600</t>
  </si>
  <si>
    <t>D4S8GHLOFEC</t>
  </si>
  <si>
    <t>PO-20180510A-3</t>
  </si>
  <si>
    <t>CL37183298</t>
  </si>
  <si>
    <t>330-18050470</t>
  </si>
  <si>
    <t>PI-20180510B</t>
  </si>
  <si>
    <t>PO-20180510B</t>
  </si>
  <si>
    <t>EA49816036</t>
  </si>
  <si>
    <t>CL36640652</t>
  </si>
  <si>
    <t>@29.82</t>
  </si>
  <si>
    <t>6/5掛號寄出</t>
  </si>
  <si>
    <t>18/0223M</t>
  </si>
  <si>
    <t>PI-20180510C</t>
  </si>
  <si>
    <t>NET1526
(Advantech EKI-1526-CE)</t>
  </si>
  <si>
    <t>PO-20180510C</t>
  </si>
  <si>
    <t>CN49652430</t>
  </si>
  <si>
    <t>CX072230CPM7</t>
  </si>
  <si>
    <t>P180514NP0</t>
  </si>
  <si>
    <r>
      <rPr>
        <rFont val="arial,sans,sans-serif"/>
        <color rgb="FF000000"/>
        <sz val="10.0"/>
      </rPr>
      <t xml:space="preserve">PI-20180514A 
</t>
    </r>
    <r>
      <rPr>
        <rFont val="arial,sans,sans-serif"/>
        <color rgb="FF000000"/>
        <sz val="10.0"/>
      </rPr>
      <t>(Neousys 組裝)</t>
    </r>
  </si>
  <si>
    <t>Nuvo-5006LP
(S/N:I2517340~359)</t>
  </si>
  <si>
    <t xml:space="preserve">PO-20180514A </t>
  </si>
  <si>
    <t>CL35141137</t>
  </si>
  <si>
    <t>CX072230FJYH</t>
  </si>
  <si>
    <r>
      <rPr>
        <rFont val="arial,sans,sans-serif"/>
        <color rgb="FF000000"/>
        <sz val="10.0"/>
      </rPr>
      <t xml:space="preserve">PI-20180514A 
</t>
    </r>
    <r>
      <rPr>
        <rFont val="arial,sans,sans-serif"/>
        <color rgb="FF000000"/>
        <sz val="10.0"/>
      </rPr>
      <t>(Neousys 組裝)</t>
    </r>
  </si>
  <si>
    <t>PO-20180514A -2</t>
  </si>
  <si>
    <t>CN77103077</t>
  </si>
  <si>
    <t>3734528663
4840789726</t>
  </si>
  <si>
    <r>
      <rPr>
        <rFont val="arial,sans,sans-serif"/>
        <strike/>
        <color rgb="FF000000"/>
        <sz val="10.0"/>
      </rPr>
      <t xml:space="preserve">PI-20180514A 
</t>
    </r>
    <r>
      <rPr>
        <rFont val="arial,sans,sans-serif"/>
        <strike/>
        <color rgb="FF000000"/>
        <sz val="10.0"/>
      </rPr>
      <t>(Neousys 組裝)</t>
    </r>
  </si>
  <si>
    <t xml:space="preserve">PO-20180514A -3 </t>
  </si>
  <si>
    <t>CL37183338</t>
  </si>
  <si>
    <t>PI-20180514B</t>
  </si>
  <si>
    <t>NPort 5150 w/ AU adapter</t>
  </si>
  <si>
    <t>PO-20180514B</t>
  </si>
  <si>
    <t>DQ93498738</t>
  </si>
  <si>
    <t>CL36640606</t>
  </si>
  <si>
    <t>5/24台灣銀行
@29.93</t>
  </si>
  <si>
    <t>5/24掛號寄出</t>
  </si>
  <si>
    <t>PROXIS
(Compu-Trade LLC)</t>
  </si>
  <si>
    <t>PI-20180515A</t>
  </si>
  <si>
    <t>PO-20180515A</t>
  </si>
  <si>
    <t>EA47861911</t>
  </si>
  <si>
    <t>CU0757BG3226</t>
  </si>
  <si>
    <t>1Z032RX78666977383</t>
  </si>
  <si>
    <t>EA47862092</t>
  </si>
  <si>
    <t>18/0232M</t>
  </si>
  <si>
    <t>PI-20180516A</t>
  </si>
  <si>
    <t>AIMB-782QG2-00A1E
(Advantech AIMB-782QG2-00A1E)</t>
  </si>
  <si>
    <t>PO-20180516A</t>
  </si>
  <si>
    <t>CN49652537</t>
  </si>
  <si>
    <t>PI-20180517A</t>
  </si>
  <si>
    <t>PO-20180517A</t>
  </si>
  <si>
    <t>CL38322075</t>
  </si>
  <si>
    <t>CL36640650</t>
  </si>
  <si>
    <t>6/4掛號寄出</t>
  </si>
  <si>
    <t>PI-20180517B</t>
  </si>
  <si>
    <t>IS-453S-8G-R10</t>
  </si>
  <si>
    <t>PO-20180517B</t>
  </si>
  <si>
    <t>同W274</t>
  </si>
  <si>
    <t>PI-20180517C</t>
  </si>
  <si>
    <t>SPL-24-T</t>
  </si>
  <si>
    <t>PO-20180517C</t>
  </si>
  <si>
    <t>EA49816131</t>
  </si>
  <si>
    <t>PI-20180517D</t>
  </si>
  <si>
    <t>EDS-205</t>
  </si>
  <si>
    <t>UPS A/C No.:12V56V</t>
  </si>
  <si>
    <t>PO-20180517D</t>
  </si>
  <si>
    <t>DQ93498751</t>
  </si>
  <si>
    <t>CU0757BG2979</t>
  </si>
  <si>
    <t>1Z1913EE0492056885</t>
  </si>
  <si>
    <t>PI-20180517E</t>
  </si>
  <si>
    <t xml:space="preserve">PO-20180517E </t>
  </si>
  <si>
    <t>EH34995515</t>
  </si>
  <si>
    <t>CW 0733613389</t>
  </si>
  <si>
    <t>PI-20180517F</t>
  </si>
  <si>
    <t>PO-20180517F</t>
  </si>
  <si>
    <t>CN49652647</t>
  </si>
  <si>
    <t>CX072230D0FW</t>
  </si>
  <si>
    <t>UNO-1372G-E3AE</t>
  </si>
  <si>
    <t>CN49655521</t>
  </si>
  <si>
    <t>CX072230EV7F</t>
  </si>
  <si>
    <t>同W312</t>
  </si>
  <si>
    <t>PI-20180522A</t>
  </si>
  <si>
    <t>PO-20180522A</t>
  </si>
  <si>
    <t>DQ93498758</t>
  </si>
  <si>
    <t>CL36640607</t>
  </si>
  <si>
    <t>@29.93</t>
  </si>
  <si>
    <t>5/28掛號寄出</t>
  </si>
  <si>
    <t>PI-20180524A</t>
  </si>
  <si>
    <t>TS128GCFX600</t>
  </si>
  <si>
    <t>PO-20180524A-2</t>
  </si>
  <si>
    <t>EA54284258</t>
  </si>
  <si>
    <t>CX072230DNDE</t>
  </si>
  <si>
    <t>PO-20180524A</t>
  </si>
  <si>
    <t>CN49652747</t>
  </si>
  <si>
    <t>PI-20180524B</t>
  </si>
  <si>
    <t>PO-20180524B</t>
  </si>
  <si>
    <t>CL34867225</t>
  </si>
  <si>
    <t>CW0733608855</t>
  </si>
  <si>
    <t>PO-20180524B-2</t>
  </si>
  <si>
    <t>CN77102974</t>
  </si>
  <si>
    <t>同W318</t>
  </si>
  <si>
    <t>PI-20180524C</t>
  </si>
  <si>
    <t>ACP-4020MB-30ZE</t>
  </si>
  <si>
    <t>CN49655957</t>
  </si>
  <si>
    <t>CX072230G9GL</t>
  </si>
  <si>
    <t>AIMB-785G2-00A1E</t>
  </si>
  <si>
    <t>CN49655261</t>
  </si>
  <si>
    <t>1960052651N021</t>
  </si>
  <si>
    <t>CN49652780</t>
  </si>
  <si>
    <t>PI-20180524D</t>
  </si>
  <si>
    <t>PO-20180524D</t>
  </si>
  <si>
    <t>EA49816085</t>
  </si>
  <si>
    <t>CL36640655</t>
  </si>
  <si>
    <t>@29.71</t>
  </si>
  <si>
    <t>6/7掛號寄出</t>
  </si>
  <si>
    <t>同W325</t>
  </si>
  <si>
    <t>同AB325</t>
  </si>
  <si>
    <t>PI-20180524E</t>
  </si>
  <si>
    <t>UPort 1150I</t>
  </si>
  <si>
    <t>DQ93498914</t>
  </si>
  <si>
    <t>CL36640608</t>
  </si>
  <si>
    <t>5/31台灣銀行
@29.945</t>
  </si>
  <si>
    <t>同W327</t>
  </si>
  <si>
    <t>同AB327</t>
  </si>
  <si>
    <t>PI-20180524E-2</t>
  </si>
  <si>
    <t>DQ93498909</t>
  </si>
  <si>
    <t>SO20180525</t>
  </si>
  <si>
    <t>PI-20180528A</t>
  </si>
  <si>
    <t>RCS-9440</t>
  </si>
  <si>
    <t xml:space="preserve"> UPS 799R18/ Express Saver.</t>
  </si>
  <si>
    <t xml:space="preserve">PO-20180528A </t>
  </si>
  <si>
    <t>CL38322083</t>
  </si>
  <si>
    <t>CU0757BJ3446</t>
  </si>
  <si>
    <t>1Z1913EE0493113105</t>
  </si>
  <si>
    <t>PI-20180528A
(Vecow組裝)</t>
  </si>
  <si>
    <t>i5-6500TE</t>
  </si>
  <si>
    <t>捷毅國際到超恩組裝</t>
  </si>
  <si>
    <t>PO-20180528A-2</t>
  </si>
  <si>
    <t>CN77102899</t>
  </si>
  <si>
    <t>719_D4S8GHLOFEC</t>
  </si>
  <si>
    <t>MemxPro敏博
交Vecow組裝</t>
  </si>
  <si>
    <t>a</t>
  </si>
  <si>
    <t>CL37183322</t>
  </si>
  <si>
    <t>PI-20180528B</t>
  </si>
  <si>
    <t>ACP-2010MB-35CE</t>
  </si>
  <si>
    <t>PO-20180528B</t>
  </si>
  <si>
    <t>CN49654563</t>
  </si>
  <si>
    <t>AIMB-585QG2-00A1E</t>
  </si>
  <si>
    <t>EK49651961</t>
  </si>
  <si>
    <t>CX072230GYTU</t>
  </si>
  <si>
    <t>同W333</t>
  </si>
  <si>
    <t>ADAM-6050-D</t>
  </si>
  <si>
    <t>ADAM-4571-CE</t>
  </si>
  <si>
    <t>330-18051599</t>
  </si>
  <si>
    <t>PI-20180529A</t>
  </si>
  <si>
    <t>PO-20180529A</t>
  </si>
  <si>
    <t>EA49816385</t>
  </si>
  <si>
    <t>CL36640666</t>
  </si>
  <si>
    <t>6/25央行@30.403</t>
  </si>
  <si>
    <t>6/26掛號寄出</t>
  </si>
  <si>
    <t>RB tech</t>
  </si>
  <si>
    <t>PI-20180531A</t>
  </si>
  <si>
    <t>PO-20180531A</t>
  </si>
  <si>
    <t>CN53679439</t>
  </si>
  <si>
    <t>U.K. Technology
昱凱科技</t>
  </si>
  <si>
    <r>
      <rPr>
        <rFont val="Arial"/>
        <color rgb="FF000000"/>
        <sz val="10.0"/>
      </rPr>
      <t>PI-20180531B</t>
    </r>
    <r>
      <rPr>
        <rFont val="Arial"/>
        <color rgb="FF000000"/>
        <sz val="10.0"/>
      </rPr>
      <t xml:space="preserve">
(Evaluation 借貨)
7/6已還</t>
    </r>
  </si>
  <si>
    <t>LPC-P156W-10</t>
  </si>
  <si>
    <t>自取</t>
  </si>
  <si>
    <t>借貨</t>
  </si>
  <si>
    <t>20180601-AA</t>
  </si>
  <si>
    <r>
      <rPr>
        <rFont val="Arial"/>
        <color rgb="FF000000"/>
        <sz val="10.0"/>
      </rPr>
      <t>PI-20180601A</t>
    </r>
    <r>
      <rPr>
        <rFont val="Arial"/>
        <color rgb="FF000000"/>
        <sz val="10.0"/>
      </rPr>
      <t xml:space="preserve">
(chloe換標籤)</t>
    </r>
  </si>
  <si>
    <t>PO-20180601A</t>
  </si>
  <si>
    <t>CL39000018</t>
  </si>
  <si>
    <t>CL36640653</t>
  </si>
  <si>
    <t>1530-045-624-3</t>
  </si>
  <si>
    <t>台銀@29.725</t>
  </si>
  <si>
    <t>6/7隨貨寄出</t>
  </si>
  <si>
    <t>PI-20180601B
(chloe換標籤)</t>
  </si>
  <si>
    <t>同W342</t>
  </si>
  <si>
    <t>CL36640660</t>
  </si>
  <si>
    <t>大榮-15300456244</t>
  </si>
  <si>
    <t>6/13台銀@29.88</t>
  </si>
  <si>
    <t>6/14隨貨寄出</t>
  </si>
  <si>
    <t>Rusen
樂瑄</t>
  </si>
  <si>
    <t>PI-20180603A</t>
  </si>
  <si>
    <t xml:space="preserve">NPort IA5250 </t>
  </si>
  <si>
    <t>PO-20180603A</t>
  </si>
  <si>
    <t>EA49816158</t>
  </si>
  <si>
    <t>CL36640656</t>
  </si>
  <si>
    <t>沛勁796920</t>
  </si>
  <si>
    <t>與客戶敲定@29.74</t>
  </si>
  <si>
    <t>6/13 與貨併寄</t>
  </si>
  <si>
    <t>NPort IA5450A</t>
  </si>
  <si>
    <t>同W344</t>
  </si>
  <si>
    <t>同AB344</t>
  </si>
  <si>
    <t>PI-20180604A</t>
  </si>
  <si>
    <t>ECS-9210</t>
  </si>
  <si>
    <t>PO-20180604A</t>
  </si>
  <si>
    <t>CL38322087</t>
  </si>
  <si>
    <t>CU0757BF4899</t>
  </si>
  <si>
    <t>1Z1913EE0496368282</t>
  </si>
  <si>
    <t>PI-20180604B</t>
  </si>
  <si>
    <t>LPC-P185W-clips
1set = 8pcs</t>
  </si>
  <si>
    <t>PO-20180604B</t>
  </si>
  <si>
    <t>CL52324052</t>
  </si>
  <si>
    <t>PI-20180605A-1</t>
  </si>
  <si>
    <t>PO-20180605A-1(Revise)</t>
  </si>
  <si>
    <t>CN49655428</t>
  </si>
  <si>
    <t>PI-20180605A-2</t>
  </si>
  <si>
    <t>PO-20180605A-2</t>
  </si>
  <si>
    <t>GG49652025</t>
  </si>
  <si>
    <t>CX072230P6BH</t>
  </si>
  <si>
    <t>PI-20180605B</t>
  </si>
  <si>
    <t>PO-20180605B</t>
  </si>
  <si>
    <t>HS60778304</t>
  </si>
  <si>
    <t>CG073767J852</t>
  </si>
  <si>
    <t>同W350</t>
  </si>
  <si>
    <t>PI-20180607A</t>
  </si>
  <si>
    <t>工單MO-20171011A</t>
  </si>
  <si>
    <t>P180608NP0</t>
  </si>
  <si>
    <t>PI-20180609A
(Cindy印標籤)</t>
  </si>
  <si>
    <t>LPC-P121S-10
(S/N:MO20180609A0001)</t>
  </si>
  <si>
    <t>見投產計畫</t>
  </si>
  <si>
    <t>MO-20180609A</t>
  </si>
  <si>
    <t>CX072230M5EG</t>
  </si>
  <si>
    <t>V-1</t>
  </si>
  <si>
    <t>PI-20180609A</t>
  </si>
  <si>
    <t>DDS8GHIMBFC
(8GB DRAM)</t>
  </si>
  <si>
    <t>P180608NP1</t>
  </si>
  <si>
    <t>PI-20180609B</t>
  </si>
  <si>
    <t>Nuvo-5002LP
(S/N:I2216385~I2216392)</t>
  </si>
  <si>
    <t>PO-20180609B</t>
  </si>
  <si>
    <t>EH35319705</t>
  </si>
  <si>
    <t>CX072230HKY7</t>
  </si>
  <si>
    <t>PI-20180609B
(Neousys 組裝)</t>
  </si>
  <si>
    <t>PO-20180609B-2</t>
  </si>
  <si>
    <t>CN77103288</t>
  </si>
  <si>
    <t>D4S4GHIOFEC
(向敏博購買)</t>
  </si>
  <si>
    <t>PO-20180609B-3</t>
  </si>
  <si>
    <t>CL37183381</t>
  </si>
  <si>
    <t>PI-20180611A</t>
  </si>
  <si>
    <t>EDS-608</t>
  </si>
  <si>
    <t>PO-20180611A</t>
  </si>
  <si>
    <t>EA49816345</t>
  </si>
  <si>
    <t>CH0747030642</t>
  </si>
  <si>
    <t>EDS-208A</t>
  </si>
  <si>
    <t>同W359</t>
  </si>
  <si>
    <t>MGate MB3270</t>
  </si>
  <si>
    <t>NPORT5232</t>
  </si>
  <si>
    <t>Fieldworks Direct</t>
  </si>
  <si>
    <t>PO63949</t>
  </si>
  <si>
    <t>PI-20180613A</t>
  </si>
  <si>
    <t>EDS-G512E-8PoE-4GSFP</t>
  </si>
  <si>
    <t>PO-20180613A-1</t>
  </si>
  <si>
    <t>EA49816479</t>
  </si>
  <si>
    <t>CU0757BJ3994</t>
  </si>
  <si>
    <t>1Z1913EE6696808896</t>
  </si>
  <si>
    <t>PO63950</t>
  </si>
  <si>
    <t>SFP-1GSXLC-T
(LM28-C3S-TI-N-DA/ 請給翔X加工)</t>
  </si>
  <si>
    <t>APAC
前鼎光電-採購為TAMMY</t>
  </si>
  <si>
    <t>PO-20180613A-2</t>
  </si>
  <si>
    <t>華南銀行 林口分行
252-10-000661-2</t>
  </si>
  <si>
    <t>CN82388486</t>
  </si>
  <si>
    <t>前鼎 SFP-1GSXLC-T請給翔X加工改為
LM28-C3S-TI-N-DA</t>
  </si>
  <si>
    <t>翔X</t>
  </si>
  <si>
    <t>PO-20180613A-4(Revise)</t>
  </si>
  <si>
    <t>彰化銀行 立德分行
54630108060200</t>
  </si>
  <si>
    <t>EH03914001</t>
  </si>
  <si>
    <t>PO63951</t>
  </si>
  <si>
    <t>EDS-G308-2SFP</t>
  </si>
  <si>
    <t>PO-20180613A-3</t>
  </si>
  <si>
    <t>CL50745567</t>
  </si>
  <si>
    <t>PI-20180613AB</t>
  </si>
  <si>
    <t>PO-20180613B-3</t>
  </si>
  <si>
    <t>EA49816484</t>
  </si>
  <si>
    <t>EDS-208</t>
  </si>
  <si>
    <t>PO-20180613B-2</t>
  </si>
  <si>
    <t>EA49816478</t>
  </si>
  <si>
    <t>PI-20180613B</t>
  </si>
  <si>
    <t>CP-134U-DB9M</t>
  </si>
  <si>
    <t>PO-20180613B</t>
  </si>
  <si>
    <t>EA49816262</t>
  </si>
  <si>
    <t>CL36640662</t>
  </si>
  <si>
    <t>6/19台銀@30.18</t>
  </si>
  <si>
    <t>6/21掛號寄出</t>
  </si>
  <si>
    <t>3687-1146</t>
  </si>
  <si>
    <t>PI-20180614A</t>
  </si>
  <si>
    <t>IDK-1121WR-30FHA1E
(要先寄給凌飛測試)</t>
  </si>
  <si>
    <t>FF: JJB Link</t>
  </si>
  <si>
    <t>2018/8/15 to 凌飛測試</t>
  </si>
  <si>
    <t>PO-20180614A-1</t>
  </si>
  <si>
    <t>EK49655901</t>
  </si>
  <si>
    <t>CH070F404134</t>
  </si>
  <si>
    <t>JJB-183787</t>
  </si>
  <si>
    <t>PO-20180614A-2</t>
  </si>
  <si>
    <t>EH53990353</t>
  </si>
  <si>
    <t>PO/IMP/28</t>
  </si>
  <si>
    <t>PI-20180615A</t>
  </si>
  <si>
    <t>PO-20180615A</t>
  </si>
  <si>
    <t>EA49816517</t>
  </si>
  <si>
    <t>CX072230HMKD</t>
  </si>
  <si>
    <t>同W373</t>
  </si>
  <si>
    <t>MiiNe Port E3</t>
  </si>
  <si>
    <t>DK35A</t>
  </si>
  <si>
    <t>PI-20180618A</t>
  </si>
  <si>
    <t>TDM-156WHLTOB</t>
  </si>
  <si>
    <t>PD-20180622A~PD-20180622A8</t>
  </si>
  <si>
    <t>CR073767C690</t>
  </si>
  <si>
    <t>PI-20180619A</t>
  </si>
  <si>
    <t>PWR-12200-DT-S1
 (EU power cord)</t>
  </si>
  <si>
    <t>PO-20180619A</t>
  </si>
  <si>
    <t>EA49816350</t>
  </si>
  <si>
    <t>CL36640663</t>
  </si>
  <si>
    <t>@30.39</t>
  </si>
  <si>
    <t>PI-20180619B</t>
  </si>
  <si>
    <t>PO-20180619B</t>
  </si>
  <si>
    <t>EA49816351</t>
  </si>
  <si>
    <t>CL36640664</t>
  </si>
  <si>
    <t>6/22 台銀@30.3</t>
  </si>
  <si>
    <t>ANT-CQB-ASM-01</t>
  </si>
  <si>
    <t>PO-20180619B-2</t>
  </si>
  <si>
    <t>EA49816349</t>
  </si>
  <si>
    <t>同AB380</t>
  </si>
  <si>
    <t>同W381</t>
  </si>
  <si>
    <t xml:space="preserve">OnCell G2151I </t>
  </si>
  <si>
    <t>PI-20180620A</t>
  </si>
  <si>
    <t>999.999.00070-C1305421
PCI-1202LU-CR</t>
  </si>
  <si>
    <t>PO-20180620A</t>
  </si>
  <si>
    <t>EA29318478</t>
  </si>
  <si>
    <t>PI-20180621A</t>
  </si>
  <si>
    <t>PO-20180621A</t>
  </si>
  <si>
    <t>FM93498555</t>
  </si>
  <si>
    <t>EH36796302</t>
  </si>
  <si>
    <t>@30.53</t>
  </si>
  <si>
    <t>7/13掛號寄出</t>
  </si>
  <si>
    <t>P180620NP0</t>
  </si>
  <si>
    <t>PI-20180625A</t>
  </si>
  <si>
    <t>POC-212
(S/N:I2820204~20208)</t>
  </si>
  <si>
    <t>PO-20180625A-1</t>
  </si>
  <si>
    <t>EH35319706</t>
  </si>
  <si>
    <t>TS512MSK64W6H
(向創見購買. Neousys組裝)</t>
  </si>
  <si>
    <t>Transcend 創見到宸曜組裝</t>
  </si>
  <si>
    <t>PO-20180625A-2</t>
  </si>
  <si>
    <t>FX54281942</t>
  </si>
  <si>
    <t>同W387</t>
  </si>
  <si>
    <t>P180620NP1</t>
  </si>
  <si>
    <t>PI-20180625B</t>
  </si>
  <si>
    <t>ECS-8000-2R850Q(SN:S18A840014~18)</t>
  </si>
  <si>
    <t>PO-20180625B</t>
  </si>
  <si>
    <t>EH38521112</t>
  </si>
  <si>
    <t>CX072230HV72</t>
  </si>
  <si>
    <t>M3S0-8GSSDLPC
(送超恩組裝)</t>
  </si>
  <si>
    <t>L-type bracket and mounting screws set
(必須含螺絲)</t>
  </si>
  <si>
    <t>同W390</t>
  </si>
  <si>
    <t>PI-20180626A</t>
  </si>
  <si>
    <t>PO-20180626A</t>
  </si>
  <si>
    <t>EH53922448</t>
  </si>
  <si>
    <t>CU0757BJ5186</t>
  </si>
  <si>
    <t>1Z1913EE6793244516</t>
  </si>
  <si>
    <t>PI-20180626B</t>
  </si>
  <si>
    <t>ACP-1010MB-00BE</t>
  </si>
  <si>
    <t>PO-20180626B</t>
  </si>
  <si>
    <t>EK49651908</t>
  </si>
  <si>
    <t>同W394</t>
  </si>
  <si>
    <t>1960049408N001</t>
  </si>
  <si>
    <t>PI-20180626C</t>
  </si>
  <si>
    <t>PE-1004</t>
  </si>
  <si>
    <t>PO-20180626C</t>
  </si>
  <si>
    <t>EH36796303</t>
  </si>
  <si>
    <t>PI-20180627A</t>
  </si>
  <si>
    <t>PO-20180627A</t>
  </si>
  <si>
    <t>EK49651909</t>
  </si>
  <si>
    <t>EK49652625</t>
  </si>
  <si>
    <t>CW0748603071</t>
  </si>
  <si>
    <t>297-74562865</t>
  </si>
  <si>
    <t>同W398</t>
  </si>
  <si>
    <t>P180626VA1</t>
  </si>
  <si>
    <t>PI-20180627B</t>
  </si>
  <si>
    <t>LPC-P121S-10VY
(S/N:MO20180627B0001~0005)</t>
  </si>
  <si>
    <t>MO-20180627B</t>
  </si>
  <si>
    <t>DDS4GHIMBEC
(4GB DDR3L DRAM)</t>
  </si>
  <si>
    <t>MI3EM5125602EN 
(256GB SSD)</t>
  </si>
  <si>
    <t>PO/IMP/32</t>
  </si>
  <si>
    <t>PI-20180629A</t>
  </si>
  <si>
    <t>DHL Account
 No.950245025</t>
  </si>
  <si>
    <t>PO-20180629A</t>
  </si>
  <si>
    <t>FM93498505</t>
  </si>
  <si>
    <t>P160702VJ0</t>
  </si>
  <si>
    <r>
      <rPr>
        <rFont val="Arial"/>
        <color rgb="FF000000"/>
        <sz val="10.0"/>
      </rPr>
      <t xml:space="preserve">PI-20180702A
</t>
    </r>
    <r>
      <rPr>
        <rFont val="Arial"/>
        <color rgb="FF000000"/>
        <sz val="10.0"/>
      </rPr>
      <t>(Miller&amp;Bank 組裝)</t>
    </r>
  </si>
  <si>
    <t>PO-20180702A</t>
  </si>
  <si>
    <t>FX47861897</t>
  </si>
  <si>
    <t>CW0710012662</t>
  </si>
  <si>
    <t>TPE-1078799</t>
  </si>
  <si>
    <r>
      <rPr>
        <rFont val="Arial"/>
        <color rgb="FF000000"/>
        <sz val="10.0"/>
      </rPr>
      <t xml:space="preserve">PI-20180702A
</t>
    </r>
    <r>
      <rPr>
        <rFont val="Arial"/>
        <color rgb="FF000000"/>
        <sz val="10.0"/>
      </rPr>
      <t>(Miller&amp;Bank 組裝)</t>
    </r>
  </si>
  <si>
    <t>APS935XA-EPS12/FSP350-60PFG(EA)</t>
  </si>
  <si>
    <t>同W408</t>
  </si>
  <si>
    <r>
      <rPr>
        <rFont val="Arial"/>
        <color rgb="FF000000"/>
        <sz val="10.0"/>
      </rPr>
      <t xml:space="preserve">PI-20180702A
</t>
    </r>
    <r>
      <rPr>
        <rFont val="Arial"/>
        <color rgb="FF000000"/>
        <sz val="10.0"/>
      </rPr>
      <t>(Miller&amp;Bank 組裝)</t>
    </r>
  </si>
  <si>
    <r>
      <rPr>
        <rFont val="Arial"/>
        <color rgb="FF000000"/>
        <sz val="10.0"/>
      </rPr>
      <t xml:space="preserve">PI-20180702A
</t>
    </r>
    <r>
      <rPr>
        <rFont val="Arial"/>
        <color rgb="FF000000"/>
        <sz val="10.0"/>
      </rPr>
      <t>(Miller&amp;Bank 組裝)</t>
    </r>
  </si>
  <si>
    <r>
      <rPr>
        <rFont val="Arial"/>
        <color rgb="FF000000"/>
        <sz val="10.0"/>
      </rPr>
      <t xml:space="preserve">PI-20180702A
</t>
    </r>
    <r>
      <rPr>
        <rFont val="Arial"/>
        <color rgb="FF000000"/>
        <sz val="10.0"/>
      </rPr>
      <t>(Miller&amp;Bank 組裝)</t>
    </r>
  </si>
  <si>
    <t>IDE cable</t>
  </si>
  <si>
    <r>
      <rPr>
        <rFont val="Arial"/>
        <color rgb="FF000000"/>
        <sz val="10.0"/>
      </rPr>
      <t xml:space="preserve">PI-20180702A
</t>
    </r>
    <r>
      <rPr>
        <rFont val="Arial"/>
        <color rgb="FF000000"/>
        <sz val="10.0"/>
      </rPr>
      <t>(Miller&amp;Bank 組裝)</t>
    </r>
  </si>
  <si>
    <r>
      <rPr>
        <rFont val="Arial"/>
        <color rgb="FF000000"/>
        <sz val="10.0"/>
      </rPr>
      <t xml:space="preserve">PI-20180702A
</t>
    </r>
    <r>
      <rPr>
        <rFont val="Arial"/>
        <color rgb="FF000000"/>
        <sz val="10.0"/>
      </rPr>
      <t>(Miller&amp;Bank 組裝)</t>
    </r>
  </si>
  <si>
    <t>PI-20180703A</t>
  </si>
  <si>
    <t>PO-20180703A</t>
  </si>
  <si>
    <t>EH34995516</t>
  </si>
  <si>
    <t>CW0733611329</t>
  </si>
  <si>
    <t>TPE-606177</t>
  </si>
  <si>
    <t>PO-20180703A-1</t>
  </si>
  <si>
    <t>EK77102641</t>
  </si>
  <si>
    <t>同W415</t>
  </si>
  <si>
    <t>NISE2300-M AtomD2550, incl 4GB RAM</t>
  </si>
  <si>
    <t>PI-20180703B</t>
  </si>
  <si>
    <t>LPC-P156W25SG 
(S/N:PD20180808A0001)</t>
  </si>
  <si>
    <t>閎亮貼合/Elgens組裝</t>
  </si>
  <si>
    <t>PD-20180808A</t>
  </si>
  <si>
    <t>CX072230ML73</t>
  </si>
  <si>
    <t>D4S8GHIOFFI (DDR4L 8GB)</t>
  </si>
  <si>
    <t>PO-20180703B(Revised)</t>
  </si>
  <si>
    <t>EH37327171</t>
  </si>
  <si>
    <t>PI-20180704A</t>
  </si>
  <si>
    <t>PO-20180704A</t>
  </si>
  <si>
    <t>EK49652324</t>
  </si>
  <si>
    <t>EK49655900</t>
  </si>
  <si>
    <t>CX072230LU13</t>
  </si>
  <si>
    <t>ACP-4000MB-00CE</t>
  </si>
  <si>
    <t>CES Group
閎亮科技</t>
  </si>
  <si>
    <t>PI-20180705A</t>
  </si>
  <si>
    <t>719_MS-98I8-003</t>
  </si>
  <si>
    <t>RDMO-20180326L
HC-20180326L</t>
  </si>
  <si>
    <t>EH36796301</t>
  </si>
  <si>
    <t>2018/7/9掛號寄出</t>
  </si>
  <si>
    <t>PI-20180710A</t>
  </si>
  <si>
    <t>1001700002
719_IB970 (standard BIOS)</t>
  </si>
  <si>
    <t>PO-20180710A</t>
  </si>
  <si>
    <t>PI-20180710B</t>
  </si>
  <si>
    <t>PO-20180710B</t>
  </si>
  <si>
    <t>FM93498679</t>
  </si>
  <si>
    <t>EH36796305</t>
  </si>
  <si>
    <t>@30.58</t>
  </si>
  <si>
    <t>2018/7/20掛號寄出,金額錯誤,7/31重寄</t>
  </si>
  <si>
    <t>719_UPort 1150</t>
  </si>
  <si>
    <t>同W432</t>
  </si>
  <si>
    <t>同AB432</t>
  </si>
  <si>
    <t>RMA-20180323A</t>
  </si>
  <si>
    <r>
      <rPr>
        <rFont val="Arial"/>
        <color rgb="FF000000"/>
        <sz val="10.0"/>
      </rPr>
      <t xml:space="preserve">IB970RF (序號1511009524)
(inspection fee US$40 / </t>
    </r>
    <r>
      <rPr>
        <rFont val="Arial"/>
        <strike/>
        <color rgb="FF000000"/>
        <sz val="10.0"/>
      </rPr>
      <t>IC cost US$65</t>
    </r>
    <r>
      <rPr>
        <rFont val="Arial"/>
        <color rgb="FF000000"/>
        <sz val="10.0"/>
      </rPr>
      <t>)</t>
    </r>
  </si>
  <si>
    <t>Elgens TNT 簡易</t>
  </si>
  <si>
    <t>FV60778341</t>
  </si>
  <si>
    <t>CG037766G694</t>
  </si>
  <si>
    <t>TNT:600702325</t>
  </si>
  <si>
    <t>audio cable (Audio-18K) for IB990</t>
  </si>
  <si>
    <t>sample</t>
  </si>
  <si>
    <t xml:space="preserve"> P180711VA0</t>
  </si>
  <si>
    <t>PI-20180711A</t>
  </si>
  <si>
    <t>719_SPC-3520-300U
(序號:Q17A525059~60)</t>
  </si>
  <si>
    <t>PO-20180711A</t>
  </si>
  <si>
    <t>EH38521123</t>
  </si>
  <si>
    <t>719_PWA-120W adapter</t>
  </si>
  <si>
    <t>同W436</t>
  </si>
  <si>
    <t>成本計算請依循PO-20180514A -3</t>
  </si>
  <si>
    <t>同Q436</t>
  </si>
  <si>
    <t>PI-20180712A</t>
  </si>
  <si>
    <t>999.999.00052
719_eBOX565-500-FL-6100U-DC</t>
  </si>
  <si>
    <t>PO-20180712A</t>
  </si>
  <si>
    <t>EK53648101</t>
  </si>
  <si>
    <t>999.999-00053
719_POWER ADAPTER</t>
  </si>
  <si>
    <t>同W441</t>
  </si>
  <si>
    <t>20180714-AA</t>
  </si>
  <si>
    <r>
      <rPr>
        <rFont val="Arial"/>
        <color rgb="FF000000"/>
        <sz val="10.0"/>
      </rPr>
      <t xml:space="preserve">PI-20180714A-1
</t>
    </r>
    <r>
      <rPr>
        <rFont val="Arial"/>
        <color rgb="FF000000"/>
        <sz val="10.0"/>
      </rPr>
      <t>(Cindy更換標籤)</t>
    </r>
  </si>
  <si>
    <t>PO-20180714A</t>
  </si>
  <si>
    <t>EH36754706</t>
  </si>
  <si>
    <t>EH36796306</t>
  </si>
  <si>
    <t>7/23台銀@30.64</t>
  </si>
  <si>
    <t>7/31掛號寄出</t>
  </si>
  <si>
    <r>
      <rPr>
        <rFont val="Arial"/>
        <color rgb="FF000000"/>
        <sz val="10.0"/>
      </rPr>
      <t xml:space="preserve">PI-20180714A-2
</t>
    </r>
    <r>
      <rPr>
        <rFont val="Arial"/>
        <color rgb="FF000000"/>
        <sz val="10.0"/>
      </rPr>
      <t>(Cindy更換標籤)</t>
    </r>
  </si>
  <si>
    <t>EH36754720</t>
  </si>
  <si>
    <t>EH36796254</t>
  </si>
  <si>
    <t>8/22台銀@30.71</t>
  </si>
  <si>
    <t>隨貨附</t>
  </si>
  <si>
    <t>PI-20180714A-3
(Cindy更換標籤)</t>
  </si>
  <si>
    <t>GE36629657</t>
  </si>
  <si>
    <t>GE36673700</t>
  </si>
  <si>
    <t>9/5台銀@30.795</t>
  </si>
  <si>
    <t>9/6隨貨</t>
  </si>
  <si>
    <t>PI-20180714B
(3FAE灌新軟體+標籤)</t>
  </si>
  <si>
    <t>Nport W2150A EU Band 
w/ SAA Adapter (w2x50a_1.9.62)</t>
  </si>
  <si>
    <t>PO-20180714B</t>
  </si>
  <si>
    <t>EH38005103</t>
  </si>
  <si>
    <t>CA0752010920</t>
  </si>
  <si>
    <t>ACT-100745</t>
  </si>
  <si>
    <t>PO-20180714B-2</t>
  </si>
  <si>
    <t>同W446</t>
  </si>
  <si>
    <t>No-1252018</t>
  </si>
  <si>
    <t>PI-20180714C</t>
  </si>
  <si>
    <t>PO-20180714C</t>
  </si>
  <si>
    <t>HJ93498416</t>
  </si>
  <si>
    <t>CH07C0802722</t>
  </si>
  <si>
    <t>PGS-112694</t>
  </si>
  <si>
    <t>同W448</t>
  </si>
  <si>
    <t>719_Nport 5210A-T</t>
  </si>
  <si>
    <t>P180712VA0</t>
  </si>
  <si>
    <t>PI-20180714D</t>
  </si>
  <si>
    <t>719_OPE150FBR                                  (S/N:WA181308A00001~2)</t>
  </si>
  <si>
    <t>PO-20180714D(Revice)</t>
  </si>
  <si>
    <t>EH52310608</t>
  </si>
  <si>
    <t>CX072230KH8Y</t>
  </si>
  <si>
    <t>PI-20180717A</t>
  </si>
  <si>
    <t>719_96D3-4G1333NN-AP</t>
  </si>
  <si>
    <t>PO-20180717A</t>
  </si>
  <si>
    <t>EK49652594</t>
  </si>
  <si>
    <t>CX072230K8Y5</t>
  </si>
  <si>
    <t>719_ACP-4000MB-30CE</t>
  </si>
  <si>
    <t>同W456</t>
  </si>
  <si>
    <t>719_AIMB-584QG2-00A1E</t>
  </si>
  <si>
    <t>719_ADAM-4021-DE</t>
  </si>
  <si>
    <t>719_ADAM-4017+-CE</t>
  </si>
  <si>
    <t>PI-20180717B</t>
  </si>
  <si>
    <t>PO-20180717B</t>
  </si>
  <si>
    <t>PO/IMP/43</t>
  </si>
  <si>
    <t>PI-20180723A</t>
  </si>
  <si>
    <t>PO-20180723A</t>
  </si>
  <si>
    <t>FX49816113</t>
  </si>
  <si>
    <t>CX072230LJW5</t>
  </si>
  <si>
    <t>PI-20180724A</t>
  </si>
  <si>
    <t>719_UNO-1372G-E3AE</t>
  </si>
  <si>
    <t>PO-20180724A</t>
  </si>
  <si>
    <t>EK49652808</t>
  </si>
  <si>
    <t>PI-20180726A
(Miller 燒MAC)</t>
  </si>
  <si>
    <t>999.999.00079
719_AMS300</t>
  </si>
  <si>
    <t>Techjoa 科技國 
歐緯世</t>
  </si>
  <si>
    <t>PO-20180726A-1 1PC
PO-20180726A-2 1PC</t>
  </si>
  <si>
    <t>待供應商告知
待供應商告知</t>
  </si>
  <si>
    <t>國泰世華銀行 (美金帳戶)
002-08-035588-5
玉山銀行 集賢分行
帳號：0772440-001355</t>
  </si>
  <si>
    <t>Mac Address replacement and operation</t>
  </si>
  <si>
    <t>戎克燒MAC</t>
  </si>
  <si>
    <t>PI-20180726B
(Miller 燒MAC)</t>
  </si>
  <si>
    <t>P180726VA0</t>
  </si>
  <si>
    <t>PI-20180727A-1</t>
  </si>
  <si>
    <t>719_ECS-8000-2R850Q
(XV2-VECS8000-2R850Q-M8G) (S/N:S18A840020~21)</t>
  </si>
  <si>
    <t>PO-20180727A-1</t>
  </si>
  <si>
    <t>EH38521127</t>
  </si>
  <si>
    <t>719_DDS8GHIMBFC
(向敏博購買. 送超恩組裝)</t>
  </si>
  <si>
    <t>MemxPro敏博
交由Vecow超恩組裝</t>
  </si>
  <si>
    <t>EH37327115</t>
  </si>
  <si>
    <t>PI-20180727A-2</t>
  </si>
  <si>
    <t>719_ECS-8000-2R850Q
(XV2-VECS8000-2R850Q-M8G)  S/N: S18A840022~28, 31</t>
  </si>
  <si>
    <t>EH38521131</t>
  </si>
  <si>
    <t>CX072230LFSE</t>
  </si>
  <si>
    <t>同W472</t>
  </si>
  <si>
    <t>P180726VA1</t>
  </si>
  <si>
    <t>PI-20180728B-1</t>
  </si>
  <si>
    <t>719_Nuvo-5002LP
(CPU &amp; DRAM 會另寄. 請Neousys組)S/N: I3318224~237, I3318349)</t>
  </si>
  <si>
    <t>PO-20180728B-1</t>
  </si>
  <si>
    <t>EH35319747</t>
  </si>
  <si>
    <t>CA0710012998</t>
  </si>
  <si>
    <t>TPE-1084086</t>
  </si>
  <si>
    <t>719_i7-6700TE Processor
(向捷毅國際購買, 送Neousys組裝)</t>
  </si>
  <si>
    <t>PO-20180728B-2</t>
  </si>
  <si>
    <t>EK77103008</t>
  </si>
  <si>
    <t>719_D4SAGHLPGFC
(向敏博購買. 送Neousys組裝)</t>
  </si>
  <si>
    <t>PO-20180728B-3</t>
  </si>
  <si>
    <t>EH37327144</t>
  </si>
  <si>
    <t>PI-20180728B-2</t>
  </si>
  <si>
    <t>719_Nuvo-5002LP
(CPU &amp; DRAM 會另寄. 請Neousys組)S/N: I3318211~223</t>
  </si>
  <si>
    <t>同W475</t>
  </si>
  <si>
    <r>
      <rPr>
        <rFont val="arial, sans, sans-serif"/>
        <color rgb="FF000000"/>
        <sz val="10.0"/>
      </rPr>
      <t>719_</t>
    </r>
    <r>
      <rPr>
        <rFont val="arial, sans, sans-serif"/>
        <b/>
        <color rgb="FF0000FF"/>
        <sz val="10.0"/>
      </rPr>
      <t>i5-6500TE</t>
    </r>
    <r>
      <rPr>
        <rFont val="arial, sans, sans-serif"/>
        <color rgb="FF000000"/>
        <sz val="10.0"/>
      </rPr>
      <t xml:space="preserve"> Processor
(向捷毅國際購買,送Neousys組裝)</t>
    </r>
  </si>
  <si>
    <t>同W476</t>
  </si>
  <si>
    <t>同R477</t>
  </si>
  <si>
    <t>同W477</t>
  </si>
  <si>
    <t>NetEon</t>
  </si>
  <si>
    <t>18-0364M</t>
  </si>
  <si>
    <t>PI-20180728C</t>
  </si>
  <si>
    <t>719_NPC-4784
(Model : ECU-4784-D55SBE)</t>
  </si>
  <si>
    <t> DHL A/C No : 951842593</t>
  </si>
  <si>
    <t>PO-20180728C</t>
  </si>
  <si>
    <t>EK49655281</t>
  </si>
  <si>
    <t>CX072230L765</t>
  </si>
  <si>
    <t>18-0378M</t>
  </si>
  <si>
    <r>
      <rPr>
        <rFont val="Arial"/>
        <strike/>
        <color rgb="FF000000"/>
        <sz val="10.0"/>
      </rPr>
      <t xml:space="preserve">PI-20180728D
</t>
    </r>
    <r>
      <rPr>
        <rFont val="Arial"/>
        <color rgb="FF000000"/>
        <sz val="10.0"/>
      </rPr>
      <t>PI-20180728C</t>
    </r>
  </si>
  <si>
    <t>PO-20180728D-2</t>
  </si>
  <si>
    <t>FX49816114</t>
  </si>
  <si>
    <r>
      <rPr>
        <rFont val="Arial"/>
        <strike/>
        <color rgb="FF000000"/>
        <sz val="10.0"/>
      </rPr>
      <t xml:space="preserve">PI-20180728D
</t>
    </r>
    <r>
      <rPr>
        <rFont val="Arial"/>
        <color rgb="FF000000"/>
        <sz val="10.0"/>
      </rPr>
      <t>PI-20180728C</t>
    </r>
  </si>
  <si>
    <t xml:space="preserve">719_OPT 8A </t>
  </si>
  <si>
    <t>同W482</t>
  </si>
  <si>
    <t>PI-20180730A</t>
  </si>
  <si>
    <t>PO-20180730A</t>
  </si>
  <si>
    <t>FX49816341</t>
  </si>
  <si>
    <t>EH36796253</t>
  </si>
  <si>
    <t>8/20台銀@30.76</t>
  </si>
  <si>
    <t>同W484</t>
  </si>
  <si>
    <t>同AB484</t>
  </si>
  <si>
    <t>330-18071414</t>
  </si>
  <si>
    <t>PI-20180731A</t>
  </si>
  <si>
    <t>PO-20180731A</t>
  </si>
  <si>
    <t>FX49816189</t>
  </si>
  <si>
    <t>EH36796251</t>
  </si>
  <si>
    <t>8/10 央銀@30.7</t>
  </si>
  <si>
    <t>8/15掛號寄出</t>
  </si>
  <si>
    <t>PO/IMP/49</t>
  </si>
  <si>
    <t>PI-20180731B</t>
  </si>
  <si>
    <t>CP-134U-I-DB9M</t>
  </si>
  <si>
    <t>PO-20180731B</t>
  </si>
  <si>
    <t>FX49816177</t>
  </si>
  <si>
    <t>PI-20180731C</t>
  </si>
  <si>
    <r>
      <rPr>
        <rFont val="Arial"/>
        <color theme="1"/>
        <sz val="10.0"/>
      </rPr>
      <t xml:space="preserve">70112E0001 (PDK-150S-INN-L03) includes </t>
    </r>
    <r>
      <rPr>
        <rFont val="Arial"/>
        <b/>
        <color rgb="FFFF0000"/>
        <sz val="10.0"/>
      </rPr>
      <t>1-6</t>
    </r>
    <r>
      <rPr>
        <rFont val="Arial"/>
        <color rgb="FF000000"/>
        <sz val="10.0"/>
      </rPr>
      <t xml:space="preserve">
1) LCD : G150XNE-L03(群創)</t>
    </r>
  </si>
  <si>
    <t>UX Logistics</t>
  </si>
  <si>
    <t>斯麥特</t>
  </si>
  <si>
    <t>PO-20180731C-1</t>
  </si>
  <si>
    <t>上海商銀 樹林分行 011-052
52102000012627</t>
  </si>
  <si>
    <t>EH36492604</t>
  </si>
  <si>
    <t>CH0752015464</t>
  </si>
  <si>
    <t>UX-223722F</t>
  </si>
  <si>
    <t>PO-20180731C-2</t>
  </si>
  <si>
    <t>EH52554016</t>
  </si>
  <si>
    <t>同V493</t>
  </si>
  <si>
    <t>6)USB cable from USB controller to board</t>
  </si>
  <si>
    <t>PO-20180731C-3</t>
  </si>
  <si>
    <t>EK80424576</t>
  </si>
  <si>
    <t>PI-20180802A</t>
  </si>
  <si>
    <t>舊工單MO-20180119A  72元/PC(不含稅)</t>
  </si>
  <si>
    <t>舊工單MO-20180313A  53元/PC(不含稅)</t>
  </si>
  <si>
    <t>3753-1210</t>
  </si>
  <si>
    <t>PI-20180806A</t>
  </si>
  <si>
    <t>PO-20180806A-1</t>
  </si>
  <si>
    <t>EK49655902</t>
  </si>
  <si>
    <t>PO-20180806A-2</t>
  </si>
  <si>
    <t>同W372</t>
  </si>
  <si>
    <t>PI-20180806B</t>
  </si>
  <si>
    <t>PO-20180806B</t>
  </si>
  <si>
    <t>EK49655805</t>
  </si>
  <si>
    <t>同W501</t>
  </si>
  <si>
    <t>EK49655745</t>
  </si>
  <si>
    <t>P180809NP1</t>
  </si>
  <si>
    <t>PI-20180806C</t>
  </si>
  <si>
    <t>719_POC-212   (S/N:I3420494~513)</t>
  </si>
  <si>
    <t>PO-20180806C</t>
  </si>
  <si>
    <t>EH35319760</t>
  </si>
  <si>
    <t>CX072230N47W</t>
  </si>
  <si>
    <t>PI-20180806C
(創見購買, Neousys裝)</t>
  </si>
  <si>
    <t>719_TS512MSK64W6H-I
(Wide Temp)</t>
  </si>
  <si>
    <t>PO-20180806C-1</t>
  </si>
  <si>
    <t>FX54290941</t>
  </si>
  <si>
    <t>719_TS128GSSD420I
(Wide Temp)</t>
  </si>
  <si>
    <t>同W505</t>
  </si>
  <si>
    <t>同W504</t>
  </si>
  <si>
    <t>P180806NP1</t>
  </si>
  <si>
    <t>PI-20180806D</t>
  </si>
  <si>
    <t>LPC-P121S-10VY (S/N:MO20180806D0001~0005)</t>
  </si>
  <si>
    <t>MO-20180806D</t>
  </si>
  <si>
    <t>CX072230Q6EC</t>
  </si>
  <si>
    <t>07-AE0-W16W600-001A
WiFi cable for extension</t>
  </si>
  <si>
    <t>POG8112</t>
  </si>
  <si>
    <t>PI-20180806E</t>
  </si>
  <si>
    <t>DHL A/c. No; 956287207</t>
  </si>
  <si>
    <t>PO-20180806E</t>
  </si>
  <si>
    <t>FX49816363</t>
  </si>
  <si>
    <t>CX072230MG11</t>
  </si>
  <si>
    <t>POG8114</t>
  </si>
  <si>
    <t>PI-20180807A</t>
  </si>
  <si>
    <t>719_CP-104UL-DB9M
(Moxa)   (S/N:TAHEB1113092~5)</t>
  </si>
  <si>
    <t>PO-20180807A-2</t>
  </si>
  <si>
    <t>FX49816469</t>
  </si>
  <si>
    <t>CF07550WS674</t>
  </si>
  <si>
    <t>719_PCI-1760U-BE
(Advantech)</t>
  </si>
  <si>
    <t>PO-20180807A-Revised</t>
  </si>
  <si>
    <t>EK49656031</t>
  </si>
  <si>
    <t>PI-20180807B</t>
  </si>
  <si>
    <t>719_EDS-308-T</t>
  </si>
  <si>
    <t>PO-20180807B</t>
  </si>
  <si>
    <t>FX49816188</t>
  </si>
  <si>
    <t>EH36796256</t>
  </si>
  <si>
    <t>8/10 台銀@30.7</t>
  </si>
  <si>
    <t>8/29掛號寄出</t>
  </si>
  <si>
    <t>PI-20180807C</t>
  </si>
  <si>
    <t>PO-20180807C</t>
  </si>
  <si>
    <t>GE34915724</t>
  </si>
  <si>
    <t>PO-20180807C-1</t>
  </si>
  <si>
    <t>GG77102271</t>
  </si>
  <si>
    <t>同W518</t>
  </si>
  <si>
    <t>P180808NP0</t>
  </si>
  <si>
    <t>PI-20180812A-1</t>
  </si>
  <si>
    <t>MO-20180812A</t>
  </si>
  <si>
    <t>LPC-P121S-10VY (S/N:MO20180812A0001~0005)</t>
  </si>
  <si>
    <t>Thermal Pads (35*74 mm 5T)</t>
  </si>
  <si>
    <t>DANBIT
丹比特</t>
  </si>
  <si>
    <t>190718-53S</t>
  </si>
  <si>
    <t>PI-20180815A</t>
  </si>
  <si>
    <t>719_HDR-15-12
(MeanWell)</t>
  </si>
  <si>
    <t>PO-20180815A</t>
  </si>
  <si>
    <t>EK69822381</t>
  </si>
  <si>
    <t>EH36796255</t>
  </si>
  <si>
    <t>大榮15300456245  8/24發票掛號寄出</t>
  </si>
  <si>
    <t>8/21土銀@30.71 (客戶自訂)</t>
  </si>
  <si>
    <t>8/22 隨貨附上                     8/24匯率更改重寄</t>
  </si>
  <si>
    <t>719_DR-4512
(MeanWell)</t>
  </si>
  <si>
    <t>EK69822573</t>
  </si>
  <si>
    <t>同AB528</t>
  </si>
  <si>
    <t>PI-20180818A</t>
  </si>
  <si>
    <t>PO-20180818A</t>
  </si>
  <si>
    <t>FX49816364</t>
  </si>
  <si>
    <t>PI-20180821A</t>
  </si>
  <si>
    <t>PO-20180821A-1</t>
  </si>
  <si>
    <t>GG49652066</t>
  </si>
  <si>
    <t>PO-20180821A-2</t>
  </si>
  <si>
    <t>GG49652065</t>
  </si>
  <si>
    <t>P180821NP0</t>
  </si>
  <si>
    <t>PI-20180822A
(Miller&amp;Bank 組裝)</t>
  </si>
  <si>
    <t>719_HPCI-14S12U</t>
  </si>
  <si>
    <t>PO-20180822A</t>
  </si>
  <si>
    <t>HU47861790</t>
  </si>
  <si>
    <t>CA0710013383</t>
  </si>
  <si>
    <t>TPE-1089896</t>
  </si>
  <si>
    <t>719_APS935XA-EPS12/FSP350-60PFG(EA)</t>
  </si>
  <si>
    <t>同W533</t>
  </si>
  <si>
    <t>719_IDE cable</t>
  </si>
  <si>
    <t>719_Assemble</t>
  </si>
  <si>
    <t>PI-20180822A</t>
  </si>
  <si>
    <t>PI-20180812A-2</t>
  </si>
  <si>
    <t>CX072230R76M</t>
  </si>
  <si>
    <t>PO64046</t>
  </si>
  <si>
    <t>PI-20180823A</t>
  </si>
  <si>
    <t>719_DM-F17A/PC-R11 (IEI)</t>
  </si>
  <si>
    <t>PO-20180823A</t>
  </si>
  <si>
    <t>兆豐                             042-09-80877-7</t>
  </si>
  <si>
    <t>HV01353676</t>
  </si>
  <si>
    <t>CU0757BH9283</t>
  </si>
  <si>
    <t>1Z1913EE0497962575</t>
  </si>
  <si>
    <t>719_63040-010060-120-RS (IEI)</t>
  </si>
  <si>
    <t>同W543</t>
  </si>
  <si>
    <t>3783-1148</t>
  </si>
  <si>
    <t>PI-20180827A</t>
  </si>
  <si>
    <t>G190ETN01.2                                           (附COC)</t>
  </si>
  <si>
    <t>charles</t>
  </si>
  <si>
    <t>JJB Link</t>
  </si>
  <si>
    <t>PO-20180827A</t>
  </si>
  <si>
    <t>上海商銀樹林分行
011-052
52102000012627</t>
  </si>
  <si>
    <t>GE36378200</t>
  </si>
  <si>
    <t>CH070F404313</t>
  </si>
  <si>
    <t>JJB183944</t>
  </si>
  <si>
    <t>PI-20180827B</t>
  </si>
  <si>
    <t>AX61400TB</t>
  </si>
  <si>
    <t>PO-20180827B</t>
  </si>
  <si>
    <t>EK53648416</t>
  </si>
  <si>
    <t>CR073767F241</t>
  </si>
  <si>
    <t>SHB120VGGA</t>
  </si>
  <si>
    <t>同W545</t>
  </si>
  <si>
    <t>FAB112</t>
  </si>
  <si>
    <t>PO/IMP/60</t>
  </si>
  <si>
    <t>PI-20180827C</t>
  </si>
  <si>
    <t>Fedex Account No.922679991</t>
  </si>
  <si>
    <t>PO-20180827C</t>
  </si>
  <si>
    <t>HJ93498513</t>
  </si>
  <si>
    <t>CF07550ZS746</t>
  </si>
  <si>
    <t>PI-20180828A</t>
  </si>
  <si>
    <t>PO-20180828A-1</t>
  </si>
  <si>
    <t>HJ93498458</t>
  </si>
  <si>
    <t>GE36673702</t>
  </si>
  <si>
    <t>9/12掛號寄出</t>
  </si>
  <si>
    <t>PI-20180830A</t>
  </si>
  <si>
    <t>719_PE-1004</t>
  </si>
  <si>
    <t>PO-20180830A</t>
  </si>
  <si>
    <t>GE38385909</t>
  </si>
  <si>
    <t>GE36673701</t>
  </si>
  <si>
    <t>業務@30</t>
  </si>
  <si>
    <t>PI-20180831A</t>
  </si>
  <si>
    <t>PO-20180831A-1</t>
  </si>
  <si>
    <t>GG49652676</t>
  </si>
  <si>
    <t>CX072230QNJ9</t>
  </si>
  <si>
    <t>719_SDR-120-24</t>
  </si>
  <si>
    <t>719_SDR-240-24</t>
  </si>
  <si>
    <t>719_HDR-30-12</t>
  </si>
  <si>
    <t>PI-20180831B</t>
  </si>
  <si>
    <r>
      <rPr>
        <rFont val="Arial"/>
        <color theme="1"/>
        <sz val="10.0"/>
      </rPr>
      <t xml:space="preserve">70111E0002 (PDK-170STE) includes </t>
    </r>
    <r>
      <rPr>
        <rFont val="Arial"/>
        <b/>
        <color rgb="FFFF0000"/>
        <sz val="10.0"/>
      </rPr>
      <t>1-6</t>
    </r>
    <r>
      <rPr>
        <rFont val="Arial"/>
        <color rgb="FF000000"/>
        <sz val="10.0"/>
      </rPr>
      <t xml:space="preserve">
1) LCD : G170ETN01.0</t>
    </r>
  </si>
  <si>
    <t>PO-20180831B-1</t>
  </si>
  <si>
    <t>GE52334316</t>
  </si>
  <si>
    <t>CG073767R286</t>
  </si>
  <si>
    <t>同W556</t>
  </si>
  <si>
    <t>HC-20180905A</t>
  </si>
  <si>
    <t xml:space="preserve">7008000401
(Backlight cable IMB-150D for G170ETN01.0) </t>
  </si>
  <si>
    <t>PI-20180831C</t>
  </si>
  <si>
    <t>PO-20180831C</t>
  </si>
  <si>
    <t>HJ93498560</t>
  </si>
  <si>
    <t>GE36673704</t>
  </si>
  <si>
    <t>9/10台銀@30.81</t>
  </si>
  <si>
    <t>APO-1800826</t>
  </si>
  <si>
    <t>PI-20180903A</t>
  </si>
  <si>
    <t xml:space="preserve">719-S1702(B) </t>
  </si>
  <si>
    <t>Alvin 自取</t>
  </si>
  <si>
    <t>PD-20180612A</t>
  </si>
  <si>
    <t>GE36673703</t>
  </si>
  <si>
    <t>9/7台銀@30.765</t>
  </si>
  <si>
    <t>9/10 隨貨</t>
  </si>
  <si>
    <t>PI-20180903B</t>
  </si>
  <si>
    <t>LPC-P156W-10
(PI-20180531B)</t>
  </si>
  <si>
    <t>Hand Carried</t>
  </si>
  <si>
    <t>May 2018</t>
  </si>
  <si>
    <t>4GB DRAM</t>
  </si>
  <si>
    <t>64GB SSD</t>
  </si>
  <si>
    <t>堃邑</t>
  </si>
  <si>
    <t>無訂單號</t>
  </si>
  <si>
    <t>Santiago代墊</t>
  </si>
  <si>
    <t>GF02256682</t>
  </si>
  <si>
    <t>CX072230QCHB</t>
  </si>
  <si>
    <t>6538166692-9/25</t>
  </si>
  <si>
    <t>PI-20180905A</t>
  </si>
  <si>
    <t>PO-20180905A</t>
  </si>
  <si>
    <t>GG49652401</t>
  </si>
  <si>
    <t>PI-20180906A
(Neousys 組裝)</t>
  </si>
  <si>
    <r>
      <rPr>
        <rFont val="Arial"/>
        <color rgb="FF000000"/>
        <sz val="10.0"/>
      </rPr>
      <t xml:space="preserve">719_Nuvo-5002LP  </t>
    </r>
    <r>
      <rPr>
        <rFont val="Arial"/>
        <color rgb="FF000000"/>
        <sz val="10.0"/>
      </rPr>
      <t xml:space="preserve"> (S/N: I3719594)</t>
    </r>
  </si>
  <si>
    <t>PO-20180906A</t>
  </si>
  <si>
    <t>GE35212107</t>
  </si>
  <si>
    <t>CX072230PEK4</t>
  </si>
  <si>
    <t>P180906NP0</t>
  </si>
  <si>
    <t>719_i3-6100TE</t>
  </si>
  <si>
    <t>PO-20180906A-1</t>
  </si>
  <si>
    <t>GG77102422</t>
  </si>
  <si>
    <t>戎克庫存
到宸耀組裝</t>
  </si>
  <si>
    <t>PO-20180514A -3</t>
  </si>
  <si>
    <t>同W571</t>
  </si>
  <si>
    <t>PI-20180906B
(3FAE灌新軟體+標籤)</t>
  </si>
  <si>
    <t>PO-20180906B</t>
  </si>
  <si>
    <t>GE52787952</t>
  </si>
  <si>
    <t>CA0752011152</t>
  </si>
  <si>
    <t>ACT-100748</t>
  </si>
  <si>
    <t>P180904NP0</t>
  </si>
  <si>
    <t>PI-20180906C</t>
  </si>
  <si>
    <t xml:space="preserve">719_Vecow PWA-120W </t>
  </si>
  <si>
    <t>PO-20180906C</t>
  </si>
  <si>
    <t>GE38385921</t>
  </si>
  <si>
    <t>P180904NP2</t>
  </si>
  <si>
    <t>PI-20180906E</t>
  </si>
  <si>
    <t>OP-080S (w/ DC 24V)                                          (S/N: C2061809001~8)</t>
  </si>
  <si>
    <t>PO-20180906E(Revised)</t>
  </si>
  <si>
    <t>GE52334330</t>
  </si>
  <si>
    <t>PI-20180906F</t>
  </si>
  <si>
    <t>719_TPC-1551T-E3AE</t>
  </si>
  <si>
    <t>PO-20180906F-1</t>
  </si>
  <si>
    <t>GG49652424</t>
  </si>
  <si>
    <t>CX072230Q275</t>
  </si>
  <si>
    <t>719_TS128GCFX600</t>
  </si>
  <si>
    <t>PO-20180906F</t>
  </si>
  <si>
    <t>HU54282595</t>
  </si>
  <si>
    <t>PI-20180907A</t>
  </si>
  <si>
    <t>PO-20180907A</t>
  </si>
  <si>
    <t>GE34915748</t>
  </si>
  <si>
    <t>CW0733614447</t>
  </si>
  <si>
    <t>TPE611325</t>
  </si>
  <si>
    <t>PO-20180907A-1</t>
  </si>
  <si>
    <t>GG77102504</t>
  </si>
  <si>
    <t>同W587</t>
  </si>
  <si>
    <t>PO/IMP/70</t>
  </si>
  <si>
    <t>PI-20180910A</t>
  </si>
  <si>
    <t>PO-20180910A</t>
  </si>
  <si>
    <t>HJ93498711</t>
  </si>
  <si>
    <t>PO-1332018</t>
  </si>
  <si>
    <t>PI-20180911A</t>
  </si>
  <si>
    <t>FedEx account no.: 780781785
(FedEx intl. Priority)</t>
  </si>
  <si>
    <t>PO-20180911A</t>
  </si>
  <si>
    <t>HU49816089</t>
  </si>
  <si>
    <t>CF075500865K</t>
  </si>
  <si>
    <t>同W592</t>
  </si>
  <si>
    <t>PI-20180911B-2</t>
  </si>
  <si>
    <t>Tooling Charge 7" LCD for AR</t>
  </si>
  <si>
    <t>CU0757B0H800</t>
  </si>
  <si>
    <t>1Z1913EE0497499620</t>
  </si>
  <si>
    <t>Tooling Charge 15" LCD for AR</t>
  </si>
  <si>
    <t>澧睿科技
RockTouch</t>
  </si>
  <si>
    <t>PO-20180911B-1</t>
  </si>
  <si>
    <t>志賸企業有限公司
上海銀行前鼎分行
3010-20000-77801</t>
  </si>
  <si>
    <t>GE43326612</t>
  </si>
  <si>
    <r>
      <rPr>
        <rFont val="Arial"/>
        <color theme="1"/>
        <sz val="10.0"/>
      </rPr>
      <t>PDK-P070WOBAR-HC, including</t>
    </r>
    <r>
      <rPr>
        <rFont val="Arial"/>
        <color rgb="FFFF0000"/>
        <sz val="10.0"/>
      </rPr>
      <t xml:space="preserve"> 3 items</t>
    </r>
    <r>
      <rPr>
        <rFont val="Arial"/>
        <color rgb="FF000000"/>
        <sz val="10.0"/>
      </rPr>
      <t xml:space="preserve">
1) RTPC070W-X30010-U</t>
    </r>
  </si>
  <si>
    <t>JB43626955</t>
  </si>
  <si>
    <t>PO-20180911B-2</t>
  </si>
  <si>
    <t>JB54066461</t>
  </si>
  <si>
    <t>3) 7" Mitsubishi LCD from Hectronic</t>
  </si>
  <si>
    <r>
      <rPr>
        <rFont val="Arial"/>
        <color theme="1"/>
        <sz val="10.0"/>
      </rPr>
      <t xml:space="preserve">PDK-P150SOBAR-HC, including </t>
    </r>
    <r>
      <rPr>
        <rFont val="Arial"/>
        <color rgb="FFFF0000"/>
        <sz val="10.0"/>
      </rPr>
      <t>3 items</t>
    </r>
    <r>
      <rPr>
        <rFont val="Arial"/>
        <color rgb="FF000000"/>
        <sz val="10.0"/>
      </rPr>
      <t xml:space="preserve">
1) RTPC150-H30005-U</t>
    </r>
  </si>
  <si>
    <t>同W599</t>
  </si>
  <si>
    <t>同V600</t>
  </si>
  <si>
    <t>RTPC150-H30005-U (AR coating)</t>
  </si>
  <si>
    <t>ADBOXSU6P-2</t>
  </si>
  <si>
    <t>USB1830MEB</t>
  </si>
  <si>
    <t>PI-20180911B</t>
  </si>
  <si>
    <t>RTPC150-H30BP1-U</t>
  </si>
  <si>
    <t>UPS: WF1740
Express Saver</t>
  </si>
  <si>
    <t>同W596</t>
  </si>
  <si>
    <t>1Z1913EE0495912408</t>
  </si>
  <si>
    <t>PI-20180912A</t>
  </si>
  <si>
    <t>PO-20180912A</t>
  </si>
  <si>
    <t>玉山銀行連城分行0808940013207</t>
  </si>
  <si>
    <t>GE34915854</t>
  </si>
  <si>
    <t>同W609</t>
  </si>
  <si>
    <t>PI-20180912B</t>
  </si>
  <si>
    <t xml:space="preserve">7008000420
02-BE0-BKLC15D-TP1A
(Backlight cable IMB-150D for G190EG01V1) </t>
  </si>
  <si>
    <t>CG073768B839</t>
  </si>
  <si>
    <t>7009000008
02-BE0-LVDS15D-TP1A
(LVDS cable IMB-150D for G190EG01V1)</t>
  </si>
  <si>
    <t>70111E0003 (PDK-190S) includes 1-6
1) LCD : G190EG01V1</t>
  </si>
  <si>
    <t>PO-20180912B</t>
  </si>
  <si>
    <t>GE52334351</t>
  </si>
  <si>
    <t>6) USB cable from USB controller to board
02-BE0-USBT15D-TP1A</t>
  </si>
  <si>
    <t>P180927NP0</t>
  </si>
  <si>
    <t>PI-20180913A</t>
  </si>
  <si>
    <t>719_POC-210            (S/N:I3905582,I3909668,I3911659,I3919736,I3919470,I3919791)</t>
  </si>
  <si>
    <t>PO-20180913A</t>
  </si>
  <si>
    <t>GE35212123</t>
  </si>
  <si>
    <t>PO-20180913A-1</t>
  </si>
  <si>
    <t>HU54283165</t>
  </si>
  <si>
    <t>同W619</t>
  </si>
  <si>
    <t>PI-20180914A</t>
  </si>
  <si>
    <t xml:space="preserve">931890 - C1250293
Intel® Core™ i3­4360 Processor (4M Cache, 3.70 GHz) </t>
  </si>
  <si>
    <t>PO-20180914A-1</t>
  </si>
  <si>
    <t>GG77103031</t>
  </si>
  <si>
    <t>CX072230RQ48</t>
  </si>
  <si>
    <t>719_96PSA-A150W24T2</t>
  </si>
  <si>
    <t>PO-20180914A</t>
  </si>
  <si>
    <t>GG49655342</t>
  </si>
  <si>
    <t>CX072230QZSH</t>
  </si>
  <si>
    <t>719_TPC-1782H-433AE</t>
  </si>
  <si>
    <t>GG49652423</t>
  </si>
  <si>
    <t>066181-1</t>
  </si>
  <si>
    <t>PI-20180914B</t>
  </si>
  <si>
    <t>PO-20180914B-1</t>
  </si>
  <si>
    <t>GG77102989</t>
  </si>
  <si>
    <t>CG073768F498</t>
  </si>
  <si>
    <t>PO-20180914B-2</t>
  </si>
  <si>
    <t>GE32106455</t>
  </si>
  <si>
    <t>PO-20180914B-3</t>
  </si>
  <si>
    <t>GE52334368</t>
  </si>
  <si>
    <t>ETP-MB-MER4050UEBG</t>
  </si>
  <si>
    <t>同V626</t>
  </si>
  <si>
    <t>P180816NP0</t>
  </si>
  <si>
    <t>PI-20180917A</t>
  </si>
  <si>
    <t>LPC-P121S-10VY
(S/N:MO20180917A0001~4)</t>
  </si>
  <si>
    <t>DHL account: 
Elgens A/C</t>
  </si>
  <si>
    <t>MO-20180917A</t>
  </si>
  <si>
    <t>CX072230UJLV</t>
  </si>
  <si>
    <t>見備料計畫</t>
  </si>
  <si>
    <t>HC-20180927A</t>
  </si>
  <si>
    <t>PI-20180917A-F</t>
  </si>
  <si>
    <t>KS12942449</t>
  </si>
  <si>
    <t>PI-20180917A-1</t>
  </si>
  <si>
    <r>
      <rPr>
        <rFont val="Arial"/>
        <color theme="1"/>
        <sz val="10.0"/>
      </rPr>
      <t xml:space="preserve">LPC-P121S-10VY
</t>
    </r>
    <r>
      <rPr>
        <rFont val="Arial"/>
        <color rgb="FFFF0000"/>
        <sz val="10.0"/>
      </rPr>
      <t>(S/N:MO20180917A0005)</t>
    </r>
  </si>
  <si>
    <t>CX072230V2LL</t>
  </si>
  <si>
    <t>PI-20180917A-1-F</t>
  </si>
  <si>
    <t>KS12948429</t>
  </si>
  <si>
    <t>PO015126</t>
  </si>
  <si>
    <t>PI-20180918A</t>
  </si>
  <si>
    <t>Great China/
魯嶧</t>
  </si>
  <si>
    <t>PO-20180918A</t>
  </si>
  <si>
    <t>KR47861866</t>
  </si>
  <si>
    <t>CH0746002739</t>
  </si>
  <si>
    <t>GCT-1030988A
改DHL-1624343501</t>
  </si>
  <si>
    <t>PI-20180918A-1</t>
  </si>
  <si>
    <t>HU47862836</t>
  </si>
  <si>
    <t>CX072230VBQU</t>
  </si>
  <si>
    <t>PI-20180918B</t>
  </si>
  <si>
    <t>999.999.00080
8816K5601A0E
eBOX560-­880 DIN RAIL MOUNT KIT</t>
  </si>
  <si>
    <t>PO-20180918B</t>
  </si>
  <si>
    <t>GG53648128</t>
  </si>
  <si>
    <t>CX072230QCJL</t>
  </si>
  <si>
    <t>同V637</t>
  </si>
  <si>
    <t>PI-20180918C</t>
  </si>
  <si>
    <t>RCS-9422R-YH 
(YH=誼龢科技. 規格不變)</t>
  </si>
  <si>
    <t>PO-20180918C</t>
  </si>
  <si>
    <t>GE56519963</t>
  </si>
  <si>
    <t>JB36896653</t>
  </si>
  <si>
    <t>隨貨</t>
  </si>
  <si>
    <t>PI-20180918C
(交由Vecow 組裝)</t>
  </si>
  <si>
    <t>Intel® Core™ i5-6500</t>
  </si>
  <si>
    <t>PO-20180918C-1</t>
  </si>
  <si>
    <t>GG77103256</t>
  </si>
  <si>
    <t>同AA650</t>
  </si>
  <si>
    <t>D4S4GHIOFEC</t>
  </si>
  <si>
    <t>PO-20180918C-2</t>
  </si>
  <si>
    <t>聯邦銀行-田心分行(803-0803)
080-10-0008388</t>
  </si>
  <si>
    <t>GE37193621</t>
  </si>
  <si>
    <t>WD5000LUCT</t>
  </si>
  <si>
    <t>聯沃科技到超恩組裝</t>
  </si>
  <si>
    <t>PO-20180918C-4</t>
  </si>
  <si>
    <t>彰化商業:009
帳號:30030188889700</t>
  </si>
  <si>
    <t>GE53542332</t>
  </si>
  <si>
    <t>TS8XDVDS-K</t>
  </si>
  <si>
    <t>chloe信用卡代墊</t>
  </si>
  <si>
    <t>HE-24032372</t>
  </si>
  <si>
    <t>PWA-160W-WT</t>
  </si>
  <si>
    <t>同V643</t>
  </si>
  <si>
    <r>
      <rPr>
        <rFont val="Arial"/>
        <color rgb="FF000000"/>
        <sz val="10.0"/>
      </rPr>
      <t xml:space="preserve">PI-20180918C
</t>
    </r>
    <r>
      <rPr>
        <rFont val="Arial"/>
        <color rgb="FFFF0000"/>
        <sz val="10.0"/>
      </rPr>
      <t>(Miller/Kenny安裝)</t>
    </r>
  </si>
  <si>
    <t>42C-00039
Windows 7 Pro for Embedded Systems</t>
  </si>
  <si>
    <t>PO-20180918C-3</t>
  </si>
  <si>
    <t>GE34915924</t>
  </si>
  <si>
    <t>PO-1352018</t>
  </si>
  <si>
    <t>PI-20180919A</t>
  </si>
  <si>
    <t>PO-20180919A</t>
  </si>
  <si>
    <t>HU49816224</t>
  </si>
  <si>
    <t>CH07C0803022</t>
  </si>
  <si>
    <t>PGS-112862</t>
  </si>
  <si>
    <t>同V647</t>
  </si>
  <si>
    <t>PI-20180920A
(Vecow組裝)</t>
  </si>
  <si>
    <t>PI-20180921A</t>
  </si>
  <si>
    <t>PO-20180921A</t>
  </si>
  <si>
    <t>GG49652675</t>
  </si>
  <si>
    <t>PI-20180921B
(Miller/Kenny組裝)</t>
  </si>
  <si>
    <t>MB990VF</t>
  </si>
  <si>
    <t>PO-20180921B-7</t>
  </si>
  <si>
    <t>HS60778574</t>
  </si>
  <si>
    <t>JB36896654</t>
  </si>
  <si>
    <t>Intel® Core™ i7-6700TE</t>
  </si>
  <si>
    <t>PO-20180921B-4</t>
  </si>
  <si>
    <t>GG77103280</t>
  </si>
  <si>
    <t>同AA664</t>
  </si>
  <si>
    <t>D4U-8G21H1G8C1
Long DIM DDR4 8GB 2133MHz RAM</t>
  </si>
  <si>
    <t>PO-20180921B-3</t>
  </si>
  <si>
    <t>GE37193634</t>
  </si>
  <si>
    <t>WD10EFRX</t>
  </si>
  <si>
    <t>聯沃科技</t>
  </si>
  <si>
    <t>PO-20180921B-5</t>
  </si>
  <si>
    <t>GE53542331</t>
  </si>
  <si>
    <t>WD40EFRX</t>
  </si>
  <si>
    <t>同V658</t>
  </si>
  <si>
    <t>SOD04</t>
  </si>
  <si>
    <t>迺航科技交開偉做機構合樣</t>
  </si>
  <si>
    <t>彰化銀行(泰山分行)
54700100174600</t>
  </si>
  <si>
    <t>JB30353862</t>
  </si>
  <si>
    <t>SS-1U52ES</t>
  </si>
  <si>
    <t>添誠資訊交開偉做機構合樣</t>
  </si>
  <si>
    <t>PO-20180921B-6</t>
  </si>
  <si>
    <t xml:space="preserve">台灣中小企銀化成分行
(0500278)02712005532 </t>
  </si>
  <si>
    <t>GE04464398</t>
  </si>
  <si>
    <t>Power Cord(美規)</t>
  </si>
  <si>
    <t>倉庫</t>
  </si>
  <si>
    <r>
      <rPr>
        <rFont val="Arial"/>
        <color rgb="FF000000"/>
        <sz val="10.0"/>
      </rPr>
      <t xml:space="preserve">PI-20180921B
</t>
    </r>
    <r>
      <rPr>
        <rFont val="Arial"/>
        <color rgb="FFFF0000"/>
        <sz val="10.0"/>
      </rPr>
      <t>(Miller/Kenny組裝)</t>
    </r>
  </si>
  <si>
    <t>PO-20180921B-2</t>
  </si>
  <si>
    <t>同X649</t>
  </si>
  <si>
    <t>C552 chassis</t>
  </si>
  <si>
    <t>開偉科技</t>
  </si>
  <si>
    <t>PO-20180921B-1</t>
  </si>
  <si>
    <t>華南銀行南內湖分行008
1431-0000-2991</t>
  </si>
  <si>
    <t>JB49572674</t>
  </si>
  <si>
    <t>組裝/測試費</t>
  </si>
  <si>
    <t>PI-20180924A</t>
  </si>
  <si>
    <t>719_PS8-500ATX-ZE</t>
  </si>
  <si>
    <t>PO-20180924A</t>
  </si>
  <si>
    <t>GG49652883</t>
  </si>
  <si>
    <t>CW0748604259</t>
  </si>
  <si>
    <t>TPEA18062341</t>
  </si>
  <si>
    <t>PI-20180924B</t>
  </si>
  <si>
    <t>PO-20180924B</t>
  </si>
  <si>
    <t>GG49652884</t>
  </si>
  <si>
    <t>同W650</t>
  </si>
  <si>
    <t>PI-20180924C</t>
  </si>
  <si>
    <t>PO-20180924C</t>
  </si>
  <si>
    <t>HV01353708</t>
  </si>
  <si>
    <t>CG073768F275</t>
  </si>
  <si>
    <t>70080Z0005
RFA-EU-C55-U-B70
(4G antenna)
Antenna 4G Aristotle</t>
  </si>
  <si>
    <t>ARISTOTLE
亞驪</t>
  </si>
  <si>
    <t>HC-20180926A</t>
  </si>
  <si>
    <t>330-18090720</t>
  </si>
  <si>
    <t>PI-20180924D</t>
  </si>
  <si>
    <t>PO-20180924D</t>
  </si>
  <si>
    <t>HU49816385</t>
  </si>
  <si>
    <t>GE36673753</t>
  </si>
  <si>
    <t>10/22台銀@30.915</t>
  </si>
  <si>
    <t>11/1親送</t>
  </si>
  <si>
    <t>P180925NP1</t>
  </si>
  <si>
    <t>PI-20180926A</t>
  </si>
  <si>
    <t>719_ECS-8000-2R850Q
 (XV2-VECS8000-2R850Q-M8G)
(S/N: S18A840038~42)</t>
  </si>
  <si>
    <t>PO-20180926A</t>
  </si>
  <si>
    <t>JB38594652</t>
  </si>
  <si>
    <t>CX072230U2LL</t>
  </si>
  <si>
    <t>PI-20180926A-F</t>
  </si>
  <si>
    <t>KS12934699</t>
  </si>
  <si>
    <t>20180926-ELG01</t>
  </si>
  <si>
    <t>PI-20180927A</t>
  </si>
  <si>
    <t>LPC-P156W25SG
(S/N:MO20180927A0001~0002)</t>
  </si>
  <si>
    <t>MO-20180927A
PD-20181001C</t>
  </si>
  <si>
    <t>CX072230U2AQ</t>
  </si>
  <si>
    <t>P180908NP0</t>
  </si>
  <si>
    <t>PI-20180928A</t>
  </si>
  <si>
    <t>719_POC-212
(S/N: I4218279~80, I4218289, I4219417, I4220706, I4220734~35, I4220740</t>
  </si>
  <si>
    <t>PO-20180913A-2</t>
  </si>
  <si>
    <t>GE35212137</t>
  </si>
  <si>
    <t>CX072230RSC6</t>
  </si>
  <si>
    <t>PO-20180928A-1</t>
  </si>
  <si>
    <t>HU54290151</t>
  </si>
  <si>
    <t>同W659</t>
  </si>
  <si>
    <t>PI-20180928A-F</t>
  </si>
  <si>
    <t>Freight for PI-20180928A</t>
  </si>
  <si>
    <t>HV13045348</t>
  </si>
  <si>
    <t>PI-20181001A</t>
  </si>
  <si>
    <t>PO-20181001A</t>
  </si>
  <si>
    <t>GE38385942</t>
  </si>
  <si>
    <t>GE36673750</t>
  </si>
  <si>
    <t>10/11掛號寄出</t>
  </si>
  <si>
    <t>PI-20181002A
(FAE測試)</t>
  </si>
  <si>
    <t>LPC-P185W-10KH (BAREBONE) w/ EU power cord
(S/N:PD-20181002A0001~0010)</t>
  </si>
  <si>
    <t>PD-20181002A</t>
  </si>
  <si>
    <t>CW0748605089</t>
  </si>
  <si>
    <t>TPEA18064099</t>
  </si>
  <si>
    <t>PI-20181002A
(FAE組裝)</t>
  </si>
  <si>
    <t>PI-20181008A</t>
  </si>
  <si>
    <r>
      <rPr>
        <rFont val="Arial"/>
        <color theme="1"/>
        <sz val="10.0"/>
      </rPr>
      <t xml:space="preserve">70111E0002 (PDK-170STE) includes </t>
    </r>
    <r>
      <rPr>
        <rFont val="Arial"/>
        <b/>
        <color rgb="FFFF0000"/>
        <sz val="10.0"/>
      </rPr>
      <t>1-6</t>
    </r>
    <r>
      <rPr>
        <rFont val="Arial"/>
        <color rgb="FF000000"/>
        <sz val="10.0"/>
      </rPr>
      <t xml:space="preserve">
1) LCD : G170ETN01.0</t>
    </r>
  </si>
  <si>
    <t>斯麥特到閎亮貼合</t>
  </si>
  <si>
    <t>PO-20181008A-1</t>
  </si>
  <si>
    <t>GE36378258</t>
  </si>
  <si>
    <t>CH0752015563</t>
  </si>
  <si>
    <t>UX-233785E</t>
  </si>
  <si>
    <t>PO-20181008A-2</t>
  </si>
  <si>
    <t>同V627</t>
  </si>
  <si>
    <t>PI-20181008B</t>
  </si>
  <si>
    <t xml:space="preserve">
Advantech
研華</t>
  </si>
  <si>
    <t>PO-20181008B</t>
  </si>
  <si>
    <t>GG49655593</t>
  </si>
  <si>
    <t>CX072230SDTG</t>
  </si>
  <si>
    <t>PI-20181008C</t>
  </si>
  <si>
    <t>同W673</t>
  </si>
  <si>
    <t>P181008NP0</t>
  </si>
  <si>
    <t>719_ECS-8000-2R850Q
 (XV2-VECS8000-2R850Q-M8G)
(S/N:S18A840043~47)</t>
  </si>
  <si>
    <t>PO-20181008C</t>
  </si>
  <si>
    <t>JB38594651</t>
  </si>
  <si>
    <t>PI-20181008C-1</t>
  </si>
  <si>
    <r>
      <rPr>
        <rFont val="Arial, sans-serif"/>
        <color rgb="FF000000"/>
        <sz val="10.0"/>
      </rPr>
      <t xml:space="preserve">719_ECS-8000-2R850Q
 (XV2-VECS8000-2R850Q-M8G)
</t>
    </r>
    <r>
      <rPr>
        <rFont val="Arial, sans-serif"/>
        <color rgb="FFB45F06"/>
        <sz val="10.0"/>
      </rPr>
      <t>(S/N:S18A840048~54)</t>
    </r>
  </si>
  <si>
    <t>JB38594664</t>
  </si>
  <si>
    <t>Evaluation PI-20181008D
(FAE測試)</t>
  </si>
  <si>
    <t>719_MS-98E6-001 (N4200)</t>
  </si>
  <si>
    <t>MSI</t>
  </si>
  <si>
    <t>PO-20181008B-1</t>
  </si>
  <si>
    <t>中國信託  (8220417)
417-11-80929-0-4</t>
  </si>
  <si>
    <t>KR304020479</t>
  </si>
  <si>
    <t>PO-1422018</t>
  </si>
  <si>
    <t>PI-20181008E</t>
  </si>
  <si>
    <t>PO-20181008E</t>
  </si>
  <si>
    <t>KF93498692</t>
  </si>
  <si>
    <t>CH070N800100</t>
  </si>
  <si>
    <t>PGS-113004</t>
  </si>
  <si>
    <t>PI-20181010A</t>
  </si>
  <si>
    <t>PO-20181010A</t>
  </si>
  <si>
    <t>GG49656194</t>
  </si>
  <si>
    <t>CX072230U3MV</t>
  </si>
  <si>
    <t>PO-153</t>
  </si>
  <si>
    <t>PI-20181011A</t>
  </si>
  <si>
    <t>719_Nport-5150</t>
  </si>
  <si>
    <t>DHL Express 
(India) Pvt. Ltd.
 (A/C. No.950245025)</t>
  </si>
  <si>
    <t>PO-20181011A</t>
  </si>
  <si>
    <t>HU49816384</t>
  </si>
  <si>
    <t>11/15出口:CX072230V46M
12/21 進口:CX07223F303N
12/24 出口:CX072230YSVS</t>
  </si>
  <si>
    <t>11/15 寄件:6070896134
12/21 寄件錯誤返回提單號碼: 4703550740
12/24 寄件: 2987008426</t>
  </si>
  <si>
    <t>719_Nport-5110</t>
  </si>
  <si>
    <t>同V697</t>
  </si>
  <si>
    <t>20181011-AA</t>
  </si>
  <si>
    <r>
      <rPr>
        <rFont val="Arial"/>
        <color rgb="FF000000"/>
        <sz val="10.0"/>
      </rPr>
      <t>PI-20181012A</t>
    </r>
    <r>
      <rPr>
        <rFont val="Arial"/>
        <color rgb="FF000000"/>
        <sz val="10.0"/>
      </rPr>
      <t xml:space="preserve">
(Cindy更換標籤)</t>
    </r>
  </si>
  <si>
    <t>PO-20181012A</t>
  </si>
  <si>
    <t>GE36629665</t>
  </si>
  <si>
    <t>GE36673751</t>
  </si>
  <si>
    <t>台銀10/22@30.915</t>
  </si>
  <si>
    <t>PO-1372018</t>
  </si>
  <si>
    <t>PI-20181012C</t>
  </si>
  <si>
    <t>719_V2406A-C2-T</t>
  </si>
  <si>
    <t>PO-20181012C</t>
  </si>
  <si>
    <t>KF93498764</t>
  </si>
  <si>
    <t>PO-1432018</t>
  </si>
  <si>
    <t>PI-20181012D-1</t>
  </si>
  <si>
    <t>PO-20181012D-1</t>
  </si>
  <si>
    <t>KF93498763</t>
  </si>
  <si>
    <t>同V715</t>
  </si>
  <si>
    <t>PI-20181012D-2</t>
  </si>
  <si>
    <t>PO-20181012D-2</t>
  </si>
  <si>
    <t>KF93498691</t>
  </si>
  <si>
    <t>CH070N800124</t>
  </si>
  <si>
    <t>PGS-113088</t>
  </si>
  <si>
    <t>PI-20181015A</t>
  </si>
  <si>
    <t>PO-20181018A</t>
  </si>
  <si>
    <t>JB35096927
JB35097016(更換)</t>
  </si>
  <si>
    <t>CW0733616404</t>
  </si>
  <si>
    <t>TPE-614486</t>
  </si>
  <si>
    <t>同V718</t>
  </si>
  <si>
    <t>PO-20181018A-1</t>
  </si>
  <si>
    <t>GG77103264</t>
  </si>
  <si>
    <t>PI-20181015B</t>
  </si>
  <si>
    <t>PO-20181015B</t>
  </si>
  <si>
    <t>HV01353731</t>
  </si>
  <si>
    <t>7008000172
SD-100B-12</t>
  </si>
  <si>
    <t>PO-20181015B-1</t>
  </si>
  <si>
    <t>GG69822428</t>
  </si>
  <si>
    <t>P181012NP0</t>
  </si>
  <si>
    <t>PI-20181015C</t>
  </si>
  <si>
    <r>
      <rPr>
        <rFont val="Arial"/>
        <color rgb="FF000000"/>
        <sz val="10.0"/>
      </rPr>
      <t xml:space="preserve">719_Nuvo-5002LP
</t>
    </r>
    <r>
      <rPr>
        <rFont val="Arial"/>
        <color rgb="FF000000"/>
        <sz val="10.0"/>
      </rPr>
      <t>(S/N:I4419634)</t>
    </r>
  </si>
  <si>
    <t>PO-20181015C</t>
  </si>
  <si>
    <t>GE35212149</t>
  </si>
  <si>
    <t>同V717</t>
  </si>
  <si>
    <t>719_Nuvo-5006LP
(S/N:I4420295)</t>
  </si>
  <si>
    <t>719_i5-6500TE Processor</t>
  </si>
  <si>
    <t>PO-20181015C-1</t>
  </si>
  <si>
    <t>GG77103206</t>
  </si>
  <si>
    <t>PO-20181015C-2</t>
  </si>
  <si>
    <t>GE37193606</t>
  </si>
  <si>
    <t>RMA-20180910A</t>
  </si>
  <si>
    <t>IB970RF (序號1505012204)
(inspection fee US$40)</t>
  </si>
  <si>
    <t>iBase廣積</t>
  </si>
  <si>
    <t>無發票</t>
  </si>
  <si>
    <t>CG073768V690</t>
  </si>
  <si>
    <t>20181018-AA</t>
  </si>
  <si>
    <t>PI-20181021A</t>
  </si>
  <si>
    <t>PO-20181021A</t>
  </si>
  <si>
    <t>KF93498453</t>
  </si>
  <si>
    <t>JB36896650</t>
  </si>
  <si>
    <t>11/2台銀@30.72</t>
  </si>
  <si>
    <t>11/9掛號寄出</t>
  </si>
  <si>
    <t>719_OPT8-M9+</t>
  </si>
  <si>
    <t>同W728</t>
  </si>
  <si>
    <t>同AA736</t>
  </si>
  <si>
    <t>PI-20181022A</t>
  </si>
  <si>
    <t>PO-20181022A</t>
  </si>
  <si>
    <t>JD49652212</t>
  </si>
  <si>
    <t>CX072230UTJ4</t>
  </si>
  <si>
    <t>719_ADAM-6017-D</t>
  </si>
  <si>
    <t>同W730</t>
  </si>
  <si>
    <t>PI-20181022B</t>
  </si>
  <si>
    <t>70122M0001 
touch screen for PDK-170STE (電阻式 miracletouch) with tape</t>
  </si>
  <si>
    <t>PO-20181022B</t>
  </si>
  <si>
    <t>GE52334380</t>
  </si>
  <si>
    <t>PI-20181022D</t>
  </si>
  <si>
    <t>PO-20181022D</t>
  </si>
  <si>
    <t>KF93498452</t>
  </si>
  <si>
    <t>CB18-450</t>
  </si>
  <si>
    <t>PI-20181023A</t>
  </si>
  <si>
    <t>GST25E18-P1J</t>
  </si>
  <si>
    <t>PO-20181023A</t>
  </si>
  <si>
    <t>LA52101711</t>
  </si>
  <si>
    <t>CG073769Z879</t>
  </si>
  <si>
    <t>330-18100937</t>
  </si>
  <si>
    <t>PI-20181023B</t>
  </si>
  <si>
    <t>PO-20181023B</t>
  </si>
  <si>
    <t>KF93498738</t>
  </si>
  <si>
    <t>JB36896652</t>
  </si>
  <si>
    <t>11/19央行收盤匯率@30.906</t>
  </si>
  <si>
    <t>11/20 Cindy親送</t>
  </si>
  <si>
    <t>PI-20181025A</t>
  </si>
  <si>
    <t>PO-20181025A</t>
  </si>
  <si>
    <t>JD49652095</t>
  </si>
  <si>
    <t>同W741</t>
  </si>
  <si>
    <t>PI-20181026A</t>
  </si>
  <si>
    <t>備料計畫</t>
  </si>
  <si>
    <t>HC-20181108A</t>
  </si>
  <si>
    <t>不需報關</t>
  </si>
  <si>
    <t>PI-20181026C</t>
  </si>
  <si>
    <t>HC-20180803B</t>
  </si>
  <si>
    <t>P181029NP0</t>
  </si>
  <si>
    <t>PI-20181026D</t>
  </si>
  <si>
    <r>
      <rPr>
        <rFont val="Arial, sans-serif"/>
        <color rgb="FF000000"/>
        <sz val="10.0"/>
      </rPr>
      <t xml:space="preserve">719_ECS-8000-2R850Q
 (XV2-VECS8000-2R850Q-M8G)
</t>
    </r>
    <r>
      <rPr>
        <rFont val="Arial, sans-serif"/>
        <color rgb="FFB45F06"/>
        <sz val="10.0"/>
      </rPr>
      <t>(S/N:S18A840055~60)</t>
    </r>
  </si>
  <si>
    <t>PO-20181026D</t>
  </si>
  <si>
    <t>JB38594665</t>
  </si>
  <si>
    <t>PO-20181026D-1</t>
  </si>
  <si>
    <t>聯邦銀行-田心分行(803-0803)
帳號: 080-10-0008388</t>
  </si>
  <si>
    <t>JB37420806</t>
  </si>
  <si>
    <t>P181026NP0</t>
  </si>
  <si>
    <t>PI-20181026E</t>
  </si>
  <si>
    <r>
      <rPr>
        <rFont val="arial,sans,sans-serif"/>
        <color rgb="FF000000"/>
        <sz val="10.0"/>
      </rPr>
      <t xml:space="preserve">719_ECX-1000-2R
</t>
    </r>
    <r>
      <rPr>
        <rFont val="arial,sans,sans-serif"/>
        <color rgb="FFB45F06"/>
        <sz val="10.0"/>
      </rPr>
      <t>(S/N:K18G110007)</t>
    </r>
  </si>
  <si>
    <t>PO-20181026E</t>
  </si>
  <si>
    <t>JB38594666</t>
  </si>
  <si>
    <t>intel i7-8700 ( vecow )</t>
  </si>
  <si>
    <t>MemxPro敏博交超恩組裝</t>
  </si>
  <si>
    <t>PO-20181026E-1</t>
  </si>
  <si>
    <t>PI-20181026F</t>
  </si>
  <si>
    <r>
      <rPr>
        <rFont val="Arial"/>
        <color theme="1"/>
        <sz val="10.0"/>
      </rPr>
      <t xml:space="preserve">LPC-P185W-10KH (BAREBONE) w/ EU power cord
</t>
    </r>
    <r>
      <rPr>
        <rFont val="Arial"/>
        <color rgb="FFFF0000"/>
        <sz val="10.0"/>
      </rPr>
      <t>(S/N:MO-20181026F0001~0005)</t>
    </r>
  </si>
  <si>
    <t>MO-20181026F</t>
  </si>
  <si>
    <t>CX072230YEGR</t>
  </si>
  <si>
    <t>P181029VA0</t>
  </si>
  <si>
    <t>PI-20181029A</t>
  </si>
  <si>
    <r>
      <rPr>
        <rFont val="Arial"/>
        <color rgb="FF000000"/>
        <sz val="10.0"/>
      </rPr>
      <t xml:space="preserve">LPC-P121S-10VY
</t>
    </r>
    <r>
      <rPr>
        <rFont val="Arial"/>
        <color rgb="FF000000"/>
        <sz val="10.0"/>
      </rPr>
      <t>(S/N:MO20181029A0001)</t>
    </r>
  </si>
  <si>
    <t>MO-20181029A</t>
  </si>
  <si>
    <t>CX072230XEDA</t>
  </si>
  <si>
    <t>PI-20181029A-F</t>
  </si>
  <si>
    <t>KS13037411</t>
  </si>
  <si>
    <t>P181029NP1</t>
  </si>
  <si>
    <t>PI-20181030A
(請小葛加IQC標籤貼紙 )</t>
  </si>
  <si>
    <t>719_POC-212
(S/N:I4621390~95)</t>
  </si>
  <si>
    <t>PO-20181030A</t>
  </si>
  <si>
    <t>JB35113068</t>
  </si>
  <si>
    <t xml:space="preserve"> CX072230VJC8</t>
  </si>
  <si>
    <t>PI-20181030A</t>
  </si>
  <si>
    <t>719_DDS4GHIMBEI
 (4GB DDR3L DRAM Wide Temp)</t>
  </si>
  <si>
    <t>PO-20181030A-1</t>
  </si>
  <si>
    <t>JB37420821</t>
  </si>
  <si>
    <t>同W773</t>
  </si>
  <si>
    <t>PI-20181030A-F</t>
  </si>
  <si>
    <t>KS13016882</t>
  </si>
  <si>
    <t>P181031NP0</t>
  </si>
  <si>
    <t>PI-20181031A</t>
  </si>
  <si>
    <r>
      <rPr>
        <rFont val="Arial, sans-serif"/>
        <color rgb="FF000000"/>
        <sz val="10.0"/>
      </rPr>
      <t xml:space="preserve">LPC-P121S-10VY
</t>
    </r>
    <r>
      <rPr>
        <rFont val="Arial, sans-serif"/>
        <color rgb="FFFF0000"/>
        <sz val="10.0"/>
      </rPr>
      <t>(S/N:MO20181031A0001~0010)</t>
    </r>
  </si>
  <si>
    <t>MO-20181031A</t>
  </si>
  <si>
    <t>719 DDS4GHIMBEI
 (4GB DDR3L DRAM Wide Temp)</t>
  </si>
  <si>
    <t>MI3EM5125602EN 
 (256GB SSD -25 ~+85 ℃)</t>
  </si>
  <si>
    <t>P181128NP0</t>
  </si>
  <si>
    <t>PI-20181031A-1</t>
  </si>
  <si>
    <r>
      <rPr>
        <rFont val="Arial, sans-serif"/>
        <color rgb="FF000000"/>
        <sz val="10.0"/>
      </rPr>
      <t xml:space="preserve">LPC-P121S-10VYRG
</t>
    </r>
    <r>
      <rPr>
        <rFont val="Arial, sans-serif"/>
        <color rgb="FFFF0000"/>
        <sz val="10.0"/>
      </rPr>
      <t>(S/N:PD20181205A001~002)</t>
    </r>
  </si>
  <si>
    <t>見產品開發</t>
  </si>
  <si>
    <t>PD-20181205A</t>
  </si>
  <si>
    <t>CX072230Z3BN</t>
  </si>
  <si>
    <t>PI-20181031A-1-F</t>
  </si>
  <si>
    <t>KS13053303</t>
  </si>
  <si>
    <t>PO-181031</t>
  </si>
  <si>
    <t>PI-20181101A</t>
  </si>
  <si>
    <t>PO-20181101A
(20181100253438)</t>
  </si>
  <si>
    <t>KF93498535</t>
  </si>
  <si>
    <t>JB36896651</t>
  </si>
  <si>
    <t>11/8台銀@30.695</t>
  </si>
  <si>
    <t>11/14掛號寄出</t>
  </si>
  <si>
    <t>同W784</t>
  </si>
  <si>
    <t>同AB784</t>
  </si>
  <si>
    <t>11/16掛號寄出</t>
  </si>
  <si>
    <t>3848-CR5112</t>
  </si>
  <si>
    <t>PI-20181101B</t>
  </si>
  <si>
    <t>CP-118U-I (With COC)</t>
  </si>
  <si>
    <t>UPS A/c No :
 1A24W6</t>
  </si>
  <si>
    <t>PO-20181101B(Revise)</t>
  </si>
  <si>
    <t>KF93498639</t>
  </si>
  <si>
    <t>CU0757B0F052</t>
  </si>
  <si>
    <t>1Z1913EE
6796354615</t>
  </si>
  <si>
    <r>
      <rPr>
        <rFont val="Arial"/>
        <color rgb="FF000000"/>
        <sz val="10.0"/>
      </rPr>
      <t>CBL-M78M9x8-100(OPT8D)</t>
    </r>
    <r>
      <rPr>
        <rFont val="Arial"/>
        <color rgb="FF000000"/>
        <sz val="10.0"/>
      </rPr>
      <t>(With COC)</t>
    </r>
  </si>
  <si>
    <t>UPS A/c No : 
1A24W6</t>
  </si>
  <si>
    <t>同V786</t>
  </si>
  <si>
    <t>P181102NP0</t>
  </si>
  <si>
    <t>PI-20181102A
(IQC+DRAM標籤)</t>
  </si>
  <si>
    <t>719_ECX-1000-2R
(S/N:K18G110009)</t>
  </si>
  <si>
    <t>PO-20181102A</t>
  </si>
  <si>
    <t>JB38594677</t>
  </si>
  <si>
    <t>PI-20181102A</t>
  </si>
  <si>
    <t>intel i7-8700T ( Vecow )</t>
  </si>
  <si>
    <t>同V795</t>
  </si>
  <si>
    <t>樣品借轉銷
L180226001
PO-20181102A-1</t>
  </si>
  <si>
    <t>KY37070271</t>
  </si>
  <si>
    <t>PI-20181106A</t>
  </si>
  <si>
    <t>719_G185XW01 V201</t>
  </si>
  <si>
    <t>網訊光電</t>
  </si>
  <si>
    <t>PO-20181106A</t>
  </si>
  <si>
    <t>第一商業銀行 埔墘分行
238-10-027866</t>
  </si>
  <si>
    <t>JD66245506</t>
  </si>
  <si>
    <t>Centurion Micro Electronics(Pty)Ltd</t>
  </si>
  <si>
    <t>PO015255</t>
  </si>
  <si>
    <t>PI-20181107A</t>
  </si>
  <si>
    <t>719_MXC-6101D</t>
  </si>
  <si>
    <t>PO-20181107A</t>
  </si>
  <si>
    <t>KR47861720</t>
  </si>
  <si>
    <t>P181109NP0</t>
  </si>
  <si>
    <t>PI-20181109A</t>
  </si>
  <si>
    <r>
      <rPr>
        <rFont val="Arial"/>
        <color theme="1"/>
        <sz val="10.0"/>
      </rPr>
      <t xml:space="preserve">LPC-P121S-10VY
</t>
    </r>
    <r>
      <rPr>
        <rFont val="Arial"/>
        <color rgb="FFFF0000"/>
        <sz val="10.0"/>
      </rPr>
      <t>(S/N:MO20181109A0001~8)</t>
    </r>
  </si>
  <si>
    <t xml:space="preserve"> 見投產計畫</t>
  </si>
  <si>
    <t>MO-20181109A</t>
  </si>
  <si>
    <t>MI3EM5125602EN 256G SSD 或是 MI3MB1125604SN 256G SSD</t>
  </si>
  <si>
    <t xml:space="preserve">POG8197 </t>
  </si>
  <si>
    <t>PI-20181109B</t>
  </si>
  <si>
    <t>FETA FREIGHT SYSTEMS (TAIWAN ) LTD. </t>
  </si>
  <si>
    <t>PO-20181109B</t>
  </si>
  <si>
    <t>KF93498721</t>
  </si>
  <si>
    <t>CH0747039170</t>
  </si>
  <si>
    <t>FETA-771268</t>
  </si>
  <si>
    <t xml:space="preserve">FETA FREIGHT SYSTEMS (TAIWAN ) LTD. </t>
  </si>
  <si>
    <t>同V798</t>
  </si>
  <si>
    <t>PI-20181111A</t>
  </si>
  <si>
    <t>PO-20181111A</t>
  </si>
  <si>
    <t>JD49652453</t>
  </si>
  <si>
    <t>DE181112-001</t>
  </si>
  <si>
    <t>PI-20181113A
(安排FAE灌新軟體+Cindy印標籤)</t>
  </si>
  <si>
    <r>
      <rPr>
        <rFont val="Arial"/>
        <color rgb="FF000000"/>
        <sz val="10.0"/>
      </rPr>
      <t xml:space="preserve">Nport W2150A EU Band 
w/ SAA Adapter </t>
    </r>
    <r>
      <rPr>
        <rFont val="Arial"/>
        <b/>
        <color rgb="FF0000FF"/>
        <sz val="10.0"/>
      </rPr>
      <t>(w2x50a_1.9.62)</t>
    </r>
  </si>
  <si>
    <t>PO-20181113A</t>
  </si>
  <si>
    <t>JB53147802</t>
  </si>
  <si>
    <t>CA0752011481</t>
  </si>
  <si>
    <t>ACT-100754</t>
  </si>
  <si>
    <t>PO-1532018</t>
  </si>
  <si>
    <t>PI-20181114A</t>
  </si>
  <si>
    <t>PO-20181114A</t>
  </si>
  <si>
    <t>KF93498762</t>
  </si>
  <si>
    <t>同V811</t>
  </si>
  <si>
    <t>PI-20181119A</t>
  </si>
  <si>
    <t>PO-20181119A</t>
  </si>
  <si>
    <t>JB38594680</t>
  </si>
  <si>
    <t>JB36896655</t>
  </si>
  <si>
    <t>PO-1572018</t>
  </si>
  <si>
    <t>PI-20181119B</t>
  </si>
  <si>
    <t>PO-20181119B</t>
  </si>
  <si>
    <t>KR49816302</t>
  </si>
  <si>
    <t>CH070N800273</t>
  </si>
  <si>
    <t>PGS-113172</t>
  </si>
  <si>
    <t>同V807</t>
  </si>
  <si>
    <t>PI-20181119C</t>
  </si>
  <si>
    <t>719_CP-104UL-DB9M (Moxa)</t>
  </si>
  <si>
    <t>PO-20181119C</t>
  </si>
  <si>
    <t>KF93498840</t>
  </si>
  <si>
    <t>CF075506198T</t>
  </si>
  <si>
    <t>719_MGate MB3180 (Moxa)</t>
  </si>
  <si>
    <t>同V822</t>
  </si>
  <si>
    <t>PI-20181120A</t>
  </si>
  <si>
    <t>PI-20181121A</t>
  </si>
  <si>
    <t>PO-20181121A</t>
  </si>
  <si>
    <t>JB38594681</t>
  </si>
  <si>
    <t>JB36896656</t>
  </si>
  <si>
    <t>12/4 掛號寄出</t>
  </si>
  <si>
    <t>PI-20181122A</t>
  </si>
  <si>
    <t>PO-20181122A</t>
  </si>
  <si>
    <t>JD49652671</t>
  </si>
  <si>
    <t>719_OPT4A-AE</t>
  </si>
  <si>
    <t>JD49652672</t>
  </si>
  <si>
    <t>PO-181123</t>
  </si>
  <si>
    <t>PI-20181123A</t>
  </si>
  <si>
    <t>PO-20181123A</t>
  </si>
  <si>
    <t>KR49816099</t>
  </si>
  <si>
    <t>JB36896702</t>
  </si>
  <si>
    <t>12/6 台銀
R: 30.85</t>
  </si>
  <si>
    <t>同V816</t>
  </si>
  <si>
    <t>同AA829</t>
  </si>
  <si>
    <t>POG8214</t>
  </si>
  <si>
    <t>PI-20181123B</t>
  </si>
  <si>
    <t>FETA FREIGHT SYSTEMS (TAIWAN ) LTD</t>
  </si>
  <si>
    <t>PO-20181123B</t>
  </si>
  <si>
    <t>KR49816042</t>
  </si>
  <si>
    <t>同V819</t>
  </si>
  <si>
    <t>CW0747040945</t>
  </si>
  <si>
    <t>FETA-771398</t>
  </si>
  <si>
    <t>PO-20181123B-2                             PO-20181123B-3</t>
  </si>
  <si>
    <t>1675.8
88.2</t>
  </si>
  <si>
    <t>2018/12/19
2018/12/21</t>
  </si>
  <si>
    <t>KR49816303
KR49816348</t>
  </si>
  <si>
    <t>306925
2717</t>
  </si>
  <si>
    <t>PO-20181123B-2</t>
  </si>
  <si>
    <t>KR49816303</t>
  </si>
  <si>
    <t>同V820</t>
  </si>
  <si>
    <r>
      <rPr>
        <rFont val="Arial"/>
        <color rgb="FF000000"/>
        <sz val="10.0"/>
      </rPr>
      <t xml:space="preserve">PI-20181123B
</t>
    </r>
    <r>
      <rPr>
        <rFont val="Arial"/>
        <color rgb="FF000000"/>
        <sz val="10.0"/>
      </rPr>
      <t>(PO-20181130A)</t>
    </r>
  </si>
  <si>
    <t>PO-20181130A</t>
  </si>
  <si>
    <t>KR49816200</t>
  </si>
  <si>
    <t>20181128-AA</t>
  </si>
  <si>
    <t>PI-20181128A
(Cindy更換標籤)</t>
  </si>
  <si>
    <t>PO-20181128A</t>
  </si>
  <si>
    <t>JB36855312</t>
  </si>
  <si>
    <t>JB36896700</t>
  </si>
  <si>
    <t>大榮
12730042503</t>
  </si>
  <si>
    <t>12/4 隨貨</t>
  </si>
  <si>
    <t>DP 48-12-ADV</t>
  </si>
  <si>
    <t>PI-20181128B</t>
  </si>
  <si>
    <t>pick up number TNT:146160735</t>
  </si>
  <si>
    <t>PO-20181128B</t>
  </si>
  <si>
    <t>KR47862370</t>
  </si>
  <si>
    <t>CR073769S865</t>
  </si>
  <si>
    <t>同V835</t>
  </si>
  <si>
    <t>PI-20181129A</t>
  </si>
  <si>
    <t>TNT 182056
Economy</t>
  </si>
  <si>
    <t>PO-20181129A</t>
  </si>
  <si>
    <t>KP60778487</t>
  </si>
  <si>
    <t>CG073769Q376</t>
  </si>
  <si>
    <t>Fieldworks Direct B.V.</t>
  </si>
  <si>
    <t>PI-20181206A</t>
  </si>
  <si>
    <t>719_FPK-01-R10</t>
  </si>
  <si>
    <t>UPS Account 157604  UPS Worldwide Saver</t>
  </si>
  <si>
    <t>IEI
威強</t>
  </si>
  <si>
    <t>PO-20181206A</t>
  </si>
  <si>
    <t>KS01353714</t>
  </si>
  <si>
    <t>簡易報關</t>
  </si>
  <si>
    <t>1Z1913EE0490241044</t>
  </si>
  <si>
    <t>Bank Transmitting Service Charge</t>
  </si>
  <si>
    <t>PI-20181207A-1</t>
  </si>
  <si>
    <t>PO-20181207A-1</t>
  </si>
  <si>
    <t>KR49816304</t>
  </si>
  <si>
    <t>同V831</t>
  </si>
  <si>
    <t>PI-20181210A
(未印標籤)</t>
  </si>
  <si>
    <t>PO-20181210A</t>
  </si>
  <si>
    <t>JB53147803</t>
  </si>
  <si>
    <t>Check Points</t>
  </si>
  <si>
    <r>
      <rPr>
        <rFont val="Arial"/>
        <color rgb="FF000000"/>
        <sz val="10.0"/>
      </rPr>
      <t xml:space="preserve">1. 交期能否達交? 
</t>
    </r>
    <r>
      <rPr>
        <rFont val="Arial"/>
        <color rgb="FF0000FF"/>
        <sz val="10.0"/>
      </rPr>
      <t>不確定的一律寫TBC. 不得空白</t>
    </r>
  </si>
  <si>
    <t>2. O/A 金額是否過多</t>
  </si>
  <si>
    <t>3. 料號安排是否不明確</t>
  </si>
  <si>
    <t>4. 自製品程序/人員任務是否有不明確</t>
  </si>
  <si>
    <t>Unit Price
美金單價 (含稅)</t>
  </si>
  <si>
    <t>Total USD
美金總價 (含稅)</t>
  </si>
  <si>
    <t>To ELGENS
抵達戎克/客戶</t>
  </si>
  <si>
    <t>Order No to Vendor
供應商訂單號/製令工單</t>
  </si>
  <si>
    <t>USD Cost
美金成本金額(含稅)</t>
  </si>
  <si>
    <t>NTD Cost 
台幣成本金額(含稅)</t>
  </si>
  <si>
    <t>Vendor Account No
供應商銀行帳號</t>
  </si>
  <si>
    <t>Manufac  No
製令工單號碼</t>
  </si>
  <si>
    <t>Exp Payment Date
應付貨款到期日</t>
  </si>
  <si>
    <t>Invoice Amount
廠商發票金額</t>
  </si>
  <si>
    <t>Customer Inv Number
報關單號/ 客戶發票號碼</t>
  </si>
  <si>
    <t xml:space="preserve"> Cus Inv Ex Rate 
國內客戶發票匯率</t>
  </si>
  <si>
    <t>Cloud Research</t>
  </si>
  <si>
    <t>PI-20151216B</t>
  </si>
  <si>
    <t>AIMTEC AM2D-0512SZ</t>
  </si>
  <si>
    <t>群華裕電子</t>
  </si>
  <si>
    <t>PO-20151216B</t>
  </si>
  <si>
    <t>"SWIFT BIC:TPBKTWTP
TAIPEI FUBON COMMERCIAL BANK SUNGSHAN  BRANCH
A/C No:709180000088"</t>
  </si>
  <si>
    <t>BM38169450</t>
  </si>
  <si>
    <t xml:space="preserve"> V</t>
  </si>
  <si>
    <t>PI-20160613A-1</t>
  </si>
  <si>
    <t>3D Drawing</t>
  </si>
  <si>
    <t>Unigens DHL</t>
  </si>
  <si>
    <t>Travla 開偉</t>
  </si>
  <si>
    <t>PO-20160613A-7</t>
  </si>
  <si>
    <t xml:space="preserve">華南商業銀行
143100002991 </t>
  </si>
  <si>
    <t>NE48655556</t>
  </si>
  <si>
    <t>測試不出貨</t>
  </si>
  <si>
    <t>PI-20160613A-2</t>
  </si>
  <si>
    <t>MB10-DS1
(Gigabyte server board)</t>
  </si>
  <si>
    <t>Gigabye 技嘉</t>
  </si>
  <si>
    <t>PO-20160613A-1</t>
  </si>
  <si>
    <t>兆豐國際商業銀行 
046-09-000606</t>
  </si>
  <si>
    <t>MBD-X10SDV-4C-TLN2F-O
(Supermicro server board)</t>
  </si>
  <si>
    <t>智漢 
(SuperMicro)</t>
  </si>
  <si>
    <t>PO-20160613A-2</t>
  </si>
  <si>
    <t>合庫
1586-717-005757</t>
  </si>
  <si>
    <t>D1521D4I 
(Asrockrack server board)</t>
  </si>
  <si>
    <t>捷元</t>
  </si>
  <si>
    <t>PO-20160613A-3</t>
  </si>
  <si>
    <t>第一銀行007
15010019181</t>
  </si>
  <si>
    <t>CX62456582</t>
  </si>
  <si>
    <t>CX052230HXFH</t>
  </si>
  <si>
    <t>同V296</t>
  </si>
  <si>
    <t>PI-20160701B</t>
  </si>
  <si>
    <t>Freight for PI-20160613A</t>
  </si>
  <si>
    <t>"洋基通運匯豐(081)
10081620882011"</t>
  </si>
  <si>
    <t>CX22688381</t>
  </si>
  <si>
    <t>CX052230FTBQ</t>
  </si>
  <si>
    <t>Freight for PI-20160613A-1</t>
  </si>
  <si>
    <t>CX22724644</t>
  </si>
  <si>
    <t>同V387</t>
  </si>
  <si>
    <t>PI-20160727B</t>
  </si>
  <si>
    <t>R4S-500G1V2</t>
  </si>
  <si>
    <t>UniGens DHL</t>
  </si>
  <si>
    <t>SURE STAR
添誠</t>
  </si>
  <si>
    <t>PO-20160727B</t>
  </si>
  <si>
    <t xml:space="preserve">台灣中小企銀化成分行
(0500278) 02712005532 </t>
  </si>
  <si>
    <t>CV04462818</t>
  </si>
  <si>
    <t>R4B-700G1V2</t>
  </si>
  <si>
    <t>Freight for 1 pcs R4S-500G1V2</t>
  </si>
  <si>
    <t>尚未付款</t>
  </si>
  <si>
    <t>CB16-539</t>
  </si>
  <si>
    <t>PI-20161130B</t>
  </si>
  <si>
    <t>TNT account (002004901by Express)</t>
  </si>
  <si>
    <t>Meanwell
 (贊翔)</t>
  </si>
  <si>
    <t>PO-20161130B</t>
  </si>
  <si>
    <t>銀行代號：007 
 帳號：23110037813"</t>
  </si>
  <si>
    <t>MR89612586</t>
  </si>
  <si>
    <t>CR063761M723</t>
  </si>
  <si>
    <t>TNT-757748283</t>
  </si>
  <si>
    <t>CB16-540</t>
  </si>
  <si>
    <t>PI-20161130C</t>
  </si>
  <si>
    <t>16/0670M</t>
  </si>
  <si>
    <t>PI-20161129B-2</t>
  </si>
  <si>
    <t>Moxa C168H/PCI</t>
  </si>
  <si>
    <t>PO-20161129B-2</t>
  </si>
  <si>
    <t>合作金庫
 5355-665-004610</t>
  </si>
  <si>
    <t>MR79343423</t>
  </si>
  <si>
    <t>CX0622300LUA</t>
  </si>
  <si>
    <t>Moxa OPT 8B</t>
  </si>
  <si>
    <t>Toamec
 東托貿易(上海)</t>
  </si>
  <si>
    <t>DE161215-001</t>
  </si>
  <si>
    <t>PI-20161205A
 (1/9可以請Leon灌新軟體)
 (2017 /1/19 已付佣金)</t>
  </si>
  <si>
    <t>Nport W2150A EU Band 
 w/ SAA Adapter</t>
  </si>
  <si>
    <t>SHANGHAI BEST LOGISTICS</t>
  </si>
  <si>
    <t>PO-20161205A</t>
  </si>
  <si>
    <t>國泰世華 新店分行:013 
 024-03-802717-1</t>
  </si>
  <si>
    <t>MP37381701</t>
  </si>
  <si>
    <t>CA0652000074</t>
  </si>
  <si>
    <t>Syscom
 凌羣電腦</t>
  </si>
  <si>
    <t>G105124814</t>
  </si>
  <si>
    <t>PI-20160831A</t>
  </si>
  <si>
    <t>2.1 應用伺服器</t>
  </si>
  <si>
    <t>Unigens</t>
  </si>
  <si>
    <t>見工單/MPO-20160831A</t>
  </si>
  <si>
    <t>MPO-20160831A</t>
  </si>
  <si>
    <t>MP52042853</t>
  </si>
  <si>
    <t>2.2 華碩 VE198T</t>
  </si>
  <si>
    <t>2.3 Hanwell USB-SP04A</t>
  </si>
  <si>
    <t>PI-20160831A
 (1/10 請LEON組裝)</t>
  </si>
  <si>
    <t>2.5 監控工作站</t>
  </si>
  <si>
    <t>MP52042857</t>
  </si>
  <si>
    <t>1530-019-934-5(巨邦機車)</t>
  </si>
  <si>
    <t>2.6 工業級觸控顯示器</t>
  </si>
  <si>
    <t>PI-20161205B
(1/13可以請Leon灌新軟體)
(2017 /1/19 已付佣金)</t>
  </si>
  <si>
    <t xml:space="preserve">MOXA AWK-3121-EU </t>
  </si>
  <si>
    <t>PO-20161205B</t>
  </si>
  <si>
    <t>合作金庫
5355-665-004610</t>
  </si>
  <si>
    <t>MR79343646</t>
  </si>
  <si>
    <t>PI-20161208B</t>
  </si>
  <si>
    <t>pick up number DHL:2698356662</t>
  </si>
  <si>
    <t>PO-20161208B-2</t>
  </si>
  <si>
    <t>"兆豐中和分行 
069-09-000668"</t>
  </si>
  <si>
    <t>MR83867590</t>
  </si>
  <si>
    <t>CX0622301KLT</t>
  </si>
  <si>
    <t>DHL:2698356662</t>
  </si>
  <si>
    <t>PO-20161208B-1</t>
  </si>
  <si>
    <t>MR83867461</t>
  </si>
  <si>
    <t>PI-20161208A</t>
  </si>
  <si>
    <t>TS512MSK64W6H
(向創見購買. Nexcom組裝)</t>
  </si>
  <si>
    <t>Transcend 創見
NEXCOM到組裝</t>
  </si>
  <si>
    <t>PO-20161208A-2轉庫存</t>
  </si>
  <si>
    <t>EF64240036</t>
  </si>
  <si>
    <t>TS64GSSD420K
(向創見購買. Nexcom組裝)</t>
  </si>
  <si>
    <t>NISE 105-E3845</t>
  </si>
  <si>
    <t>PO-20161208A-1</t>
  </si>
  <si>
    <t>出貨後30天</t>
  </si>
  <si>
    <t>DHL Freight For PI-20161208A</t>
  </si>
  <si>
    <t>待DHL帳單</t>
  </si>
  <si>
    <t>16/0686M</t>
  </si>
  <si>
    <t>PI-20161215C</t>
  </si>
  <si>
    <t>NAPC-528
(Advantech PCE-5128G2-00A1E)</t>
  </si>
  <si>
    <t>PO-20161215C</t>
  </si>
  <si>
    <t>MR63031333</t>
  </si>
  <si>
    <t xml:space="preserve">20161215-AA </t>
  </si>
  <si>
    <t>PI-20161215A</t>
  </si>
  <si>
    <t>CA-108</t>
  </si>
  <si>
    <t>PO-20161215A</t>
  </si>
  <si>
    <t>MR79344439</t>
  </si>
  <si>
    <t>MP52042900</t>
  </si>
  <si>
    <t>2/3台銀@31.04</t>
  </si>
  <si>
    <t>2/7掛號寄出</t>
  </si>
  <si>
    <t>IP SYSTEMES</t>
  </si>
  <si>
    <t>PI-20161220A</t>
  </si>
  <si>
    <t>Advantech EKI-3725-AE</t>
  </si>
  <si>
    <t>普運有限公司</t>
  </si>
  <si>
    <t>Advantech
研華直銷</t>
  </si>
  <si>
    <t>PO-20161220A</t>
  </si>
  <si>
    <t>花旗：021-0018
5028523019"</t>
  </si>
  <si>
    <t>MR63032764</t>
  </si>
  <si>
    <t>CW0668590022</t>
  </si>
  <si>
    <t>Centurion Micro Electronics</t>
  </si>
  <si>
    <t>PO013734</t>
  </si>
  <si>
    <t>PI-20161223B</t>
  </si>
  <si>
    <t>PCI-7233</t>
  </si>
  <si>
    <t>PO-20161223B</t>
  </si>
  <si>
    <t>MR83868530</t>
  </si>
  <si>
    <t>CH0646004064</t>
  </si>
  <si>
    <t>PCI-7234</t>
  </si>
  <si>
    <t>CB16-587</t>
  </si>
  <si>
    <t>PI-20161223A</t>
  </si>
  <si>
    <t>DR-15-24</t>
  </si>
  <si>
    <t>PO-20161223A</t>
  </si>
  <si>
    <t>MR89612862</t>
  </si>
  <si>
    <t>無出貨</t>
  </si>
  <si>
    <t xml:space="preserve">20161226-AA </t>
  </si>
  <si>
    <t>PI-20161226A
(chloe換標籤)</t>
  </si>
  <si>
    <t>Elgens-大榮</t>
  </si>
  <si>
    <t>PO-20161226A</t>
  </si>
  <si>
    <t>MP38542112</t>
  </si>
  <si>
    <t>MP52042862</t>
  </si>
  <si>
    <t>大榮貨運
1530-019-945-1</t>
  </si>
  <si>
    <t>1/19台銀@31.605</t>
  </si>
  <si>
    <t>1/20隨貨寄出</t>
  </si>
  <si>
    <t>DE170216-001</t>
  </si>
  <si>
    <t>PI-20161227A
(2/16請Leon灌新軟體)
(2017 /5/5 已付佣金)</t>
  </si>
  <si>
    <r>
      <rPr>
        <rFont val="arial,sans,sans-serif"/>
        <color rgb="FF000000"/>
        <sz val="10.0"/>
      </rPr>
      <t xml:space="preserve">Nport W2150A EU Band 
w/ SAA Adapter </t>
    </r>
    <r>
      <rPr>
        <rFont val="arial,sans,sans-serif"/>
        <b/>
        <color rgb="FF0000FF"/>
        <sz val="10.0"/>
      </rPr>
      <t>(w2x50a_1.9.62)</t>
    </r>
  </si>
  <si>
    <t>PO-20161227A</t>
  </si>
  <si>
    <t xml:space="preserve">國泰世華 新店分行:013  
024-03-802717-1 </t>
  </si>
  <si>
    <t>MP37381704</t>
  </si>
  <si>
    <t>CA0652000320</t>
  </si>
  <si>
    <t>PI-20161228C</t>
  </si>
  <si>
    <t>PDK-121S-MT4050U
(G121XN01 V001)
(MiracleTouch 10121002 V01)
(3M Air Taping)</t>
  </si>
  <si>
    <t xml:space="preserve">Global Freight Forwarding
(By Sea) </t>
  </si>
  <si>
    <t>CES Group閎亮科技</t>
  </si>
  <si>
    <t>MPO-20161228C(Revise)</t>
  </si>
  <si>
    <t>MO-20161228C</t>
  </si>
  <si>
    <t>ALBC06209F0260</t>
  </si>
  <si>
    <t>7014420005
(ETP-MER4050UEBG-02)
(ETP-CB-5XN00)</t>
  </si>
  <si>
    <t>BW551-USB Cable
(USB cable from USB controller to BW551-NB)</t>
  </si>
  <si>
    <t>快異點貨交閎亮</t>
  </si>
  <si>
    <t>PO-20161228A-2</t>
  </si>
  <si>
    <t>NH03799992</t>
  </si>
  <si>
    <t>Koning &amp; Hartman
(Belgium)</t>
  </si>
  <si>
    <t>PI-20161227B</t>
  </si>
  <si>
    <t>AIMB-280QG2-00A1E</t>
  </si>
  <si>
    <t>PO-20161227B-1</t>
  </si>
  <si>
    <t>NG63031506</t>
  </si>
  <si>
    <t>CX0622305SEV</t>
  </si>
  <si>
    <t>PI-20161228A</t>
  </si>
  <si>
    <t>Global Freight Forwarding 
(By AIR)</t>
  </si>
  <si>
    <t>PO-20161228A-2(Revise)</t>
  </si>
  <si>
    <t>MS03799148</t>
  </si>
  <si>
    <t>CH0676000140</t>
  </si>
  <si>
    <t>安陽172-9405 4800</t>
  </si>
  <si>
    <t>PI-20161228A-1</t>
  </si>
  <si>
    <t>YRK16072002-T
(Backlight Cable BW551-NB for G121XN01)</t>
  </si>
  <si>
    <t>PO-20161228A-1</t>
  </si>
  <si>
    <t>MS03799030</t>
  </si>
  <si>
    <t>YRK16072001-T
(LVDS cable BW551-NB for G121XN01)</t>
  </si>
  <si>
    <t>PI-20161228B</t>
  </si>
  <si>
    <t>CH0676000209</t>
  </si>
  <si>
    <t>MPO-20161228A(Revise)</t>
  </si>
  <si>
    <t>MO-20161228A</t>
  </si>
  <si>
    <t>MPO-20161228B(Revise)</t>
  </si>
  <si>
    <t>MO-20161228B</t>
  </si>
  <si>
    <t>ADAM-4024-B1E</t>
  </si>
  <si>
    <t>PO-20161227B-2</t>
  </si>
  <si>
    <t>MR63032374</t>
  </si>
  <si>
    <t>CX0622300R12</t>
  </si>
  <si>
    <t>ADAM-4068-BE</t>
  </si>
  <si>
    <t>ADAM-5000E-AE</t>
  </si>
  <si>
    <t>ADAM-5056S-AE</t>
  </si>
  <si>
    <t>MR63031334</t>
  </si>
  <si>
    <t>PI-20161230A</t>
  </si>
  <si>
    <t xml:space="preserve">PCA-6113P4R-0C2E </t>
  </si>
  <si>
    <t>PO-20161230A</t>
  </si>
  <si>
    <t>MR63031654</t>
  </si>
  <si>
    <t>PCA-6012G2-00A1E</t>
  </si>
  <si>
    <t>PO-P-I160153</t>
  </si>
  <si>
    <t>PI-20170103A</t>
  </si>
  <si>
    <t>IMC-21A-M-ST</t>
  </si>
  <si>
    <t>TNT Courier A/C: 58548</t>
  </si>
  <si>
    <t>PO-20170103A</t>
  </si>
  <si>
    <t>MR79343569</t>
  </si>
  <si>
    <t>CG063761G988</t>
  </si>
  <si>
    <t>PI-20170104A</t>
  </si>
  <si>
    <t>PO-20170104A</t>
  </si>
  <si>
    <t>MR79343759</t>
  </si>
  <si>
    <t>MP52042864</t>
  </si>
  <si>
    <t>1/20 敲定匯率31.54</t>
  </si>
  <si>
    <t>1/23 掛號寄出</t>
  </si>
  <si>
    <t>同V72</t>
  </si>
  <si>
    <t>同AA72</t>
  </si>
  <si>
    <t>P170106NP0</t>
  </si>
  <si>
    <t>PI-20170106A
(1/17請LEON測試)</t>
  </si>
  <si>
    <t>ECS-8000-2R850Q
(S/N:S16A840018~020)</t>
  </si>
  <si>
    <t>PO-20170106A-1</t>
  </si>
  <si>
    <t>MP37881812</t>
  </si>
  <si>
    <t>CX0622301U64</t>
  </si>
  <si>
    <t>M3S0-8GSSDLPC 
(向宜鼎購買 VECOW組裝)</t>
  </si>
  <si>
    <t>Innodisk 宜鼎到Vecow組裝</t>
  </si>
  <si>
    <t>PO-20170106A-2
MPO-20161220A</t>
  </si>
  <si>
    <r>
      <rPr>
        <rFont val="Arial"/>
        <color rgb="FF000000"/>
        <sz val="10.0"/>
      </rPr>
      <t xml:space="preserve">3259(下單2PCS)
</t>
    </r>
    <r>
      <rPr>
        <rFont val="Arial"/>
        <color rgb="FF000000"/>
        <sz val="10.0"/>
      </rPr>
      <t>庫存1PCS</t>
    </r>
  </si>
  <si>
    <t>彰化銀行  南港分行
9801-0100-8997-00"</t>
  </si>
  <si>
    <t>MR67921560</t>
  </si>
  <si>
    <t>PI-20170111A</t>
  </si>
  <si>
    <t>PO-20170111A</t>
  </si>
  <si>
    <t>MR79344498</t>
  </si>
  <si>
    <t>MP52042902</t>
  </si>
  <si>
    <t>2/6對方敲定@30.91</t>
  </si>
  <si>
    <t>同AA76</t>
  </si>
  <si>
    <t>P170112NP0</t>
  </si>
  <si>
    <t>PI-20170112A
(2/16請LEON測試)</t>
  </si>
  <si>
    <t>ECS-8000-2R850Q
(S/N:S17A84001-007)</t>
  </si>
  <si>
    <t>Ti2 DHL account # 968398926</t>
  </si>
  <si>
    <t>PO-20170112A-1</t>
  </si>
  <si>
    <t>MP37881841</t>
  </si>
  <si>
    <t>CX0622304MET</t>
  </si>
  <si>
    <t>PI-20170112A</t>
  </si>
  <si>
    <t>PO-20170112A-2</t>
  </si>
  <si>
    <t>MR67921928</t>
  </si>
  <si>
    <t>Aditech ICT</t>
  </si>
  <si>
    <t>PO-088</t>
  </si>
  <si>
    <t>PI-20170112C</t>
  </si>
  <si>
    <t>UPort 1150</t>
  </si>
  <si>
    <t>PO-20170112C</t>
  </si>
  <si>
    <t>MR79343699</t>
  </si>
  <si>
    <t>CX06223024UP</t>
  </si>
  <si>
    <t>DHL-
5769522754</t>
  </si>
  <si>
    <t>PI-20170112B</t>
  </si>
  <si>
    <t xml:space="preserve">Freight from DFI to  GLOBAL FREIGHT FORWARDING </t>
  </si>
  <si>
    <t>Elgens 全球</t>
  </si>
  <si>
    <t>全球</t>
  </si>
  <si>
    <t>2017/1/17
2017/1/19</t>
  </si>
  <si>
    <t>MR22745613
MR22747626</t>
  </si>
  <si>
    <t>1376
3371</t>
  </si>
  <si>
    <t>另收無報關</t>
  </si>
  <si>
    <t xml:space="preserve">20170113-AA </t>
  </si>
  <si>
    <t>PI-20170113A</t>
  </si>
  <si>
    <t>NUPRO-A40H</t>
  </si>
  <si>
    <t>Elgens-沛勁</t>
  </si>
  <si>
    <t>PO-20170113A</t>
  </si>
  <si>
    <t>MR83867698</t>
  </si>
  <si>
    <t>MP52042859</t>
  </si>
  <si>
    <t>沛勁機車
700062</t>
  </si>
  <si>
    <t>台幣訂定</t>
  </si>
  <si>
    <t>1/19 隨貨寄出</t>
  </si>
  <si>
    <t>P170116NP0</t>
  </si>
  <si>
    <t>PI-20170116A</t>
  </si>
  <si>
    <t>Advantech ADAM-6217-AE</t>
  </si>
  <si>
    <t>PO-20170116A</t>
  </si>
  <si>
    <t>MR63031646</t>
  </si>
  <si>
    <t>PI-20170117B</t>
  </si>
  <si>
    <t>Geodis</t>
  </si>
  <si>
    <t>PO-20170117B</t>
  </si>
  <si>
    <t>MR63031953</t>
  </si>
  <si>
    <t>CW0648600309</t>
  </si>
  <si>
    <t>PO-089</t>
  </si>
  <si>
    <t>UPORT 1130</t>
  </si>
  <si>
    <t>PO-20170112C-1</t>
  </si>
  <si>
    <t>MR79343761</t>
  </si>
  <si>
    <t>PI-20170117A</t>
  </si>
  <si>
    <t>iEi
威強電</t>
  </si>
  <si>
    <t>PO-20170117A</t>
  </si>
  <si>
    <t>MR68026048</t>
  </si>
  <si>
    <t>P170118NP0</t>
  </si>
  <si>
    <t>PI-20170118B</t>
  </si>
  <si>
    <t>ECS-7000-2R
(S/N:S16A730093-094)</t>
  </si>
  <si>
    <t>PO-20170118B-1</t>
  </si>
  <si>
    <t>MP37881840</t>
  </si>
  <si>
    <t>PWA-120W</t>
  </si>
  <si>
    <t>Din Rail with VESA Mount Kit for ECS-7000 series</t>
  </si>
  <si>
    <t>OP-080S (w/DC 24V)</t>
  </si>
  <si>
    <t>CES Group 閎亮</t>
  </si>
  <si>
    <t>PO-20170118B-4</t>
  </si>
  <si>
    <t>MP53125861</t>
  </si>
  <si>
    <t>i7-3610QE
(向捷毅購買. Vecow組裝)</t>
  </si>
  <si>
    <t>捷毅
交Vecow組裝</t>
  </si>
  <si>
    <t>PO-20170118B-2</t>
  </si>
  <si>
    <t>MR99400988</t>
  </si>
  <si>
    <t>TS1GSK64W6H
(向創見購買. Vecow組裝)</t>
  </si>
  <si>
    <t>ELgens送至超恩組裝</t>
  </si>
  <si>
    <t>MPO-20161115A</t>
  </si>
  <si>
    <t>EMO-20161115A</t>
  </si>
  <si>
    <t>PI-20170118C</t>
  </si>
  <si>
    <t>PO-20170118C</t>
  </si>
  <si>
    <t>MR63031790</t>
  </si>
  <si>
    <t>PI-20170118A-F</t>
  </si>
  <si>
    <t>Freight For PI-20170106A and PI-20170116A</t>
  </si>
  <si>
    <t>MR22229259</t>
  </si>
  <si>
    <t>PI-20170120A-F</t>
  </si>
  <si>
    <t>DHL Freight For Loan Unit Wincomm WMP-153 Medical Panel PC</t>
  </si>
  <si>
    <t>N/A</t>
  </si>
  <si>
    <t>P170123NP0</t>
  </si>
  <si>
    <t>PI-20170123A</t>
  </si>
  <si>
    <t>ECS-8000-2R850Q
(S/N:S17A84008-0012)</t>
  </si>
  <si>
    <t>PO-20170123A-1</t>
  </si>
  <si>
    <t>MP37881839</t>
  </si>
  <si>
    <t>PO-20170123A-2</t>
  </si>
  <si>
    <t>MR67922207</t>
  </si>
  <si>
    <t>PI-20170126A</t>
  </si>
  <si>
    <t>PO-20170126A</t>
  </si>
  <si>
    <t>MR63035055</t>
  </si>
  <si>
    <t>CX0622304JBR</t>
  </si>
  <si>
    <t>ADAM-6066-CE</t>
  </si>
  <si>
    <t>MR63034601</t>
  </si>
  <si>
    <t>CX06223036L1</t>
  </si>
  <si>
    <t>PI-20170203A</t>
  </si>
  <si>
    <t>SD-100B-12</t>
  </si>
  <si>
    <t>PO-20170203A</t>
  </si>
  <si>
    <t>NG89612271</t>
  </si>
  <si>
    <t>CG063762T044</t>
  </si>
  <si>
    <t>P170203NP1</t>
  </si>
  <si>
    <t>PI-20170203B</t>
  </si>
  <si>
    <t>Nuvo-5002LP
(S/N: H0604260&amp;H0604261)</t>
  </si>
  <si>
    <t>PO-20170203B-1</t>
  </si>
  <si>
    <t>MP34934130</t>
  </si>
  <si>
    <t>CX06223037EU</t>
  </si>
  <si>
    <t>DDR4-8GB (Neousys,請宸曜組裝)</t>
  </si>
  <si>
    <t>Intel® Core™ i7-6700TE 
(向捷毅國際購買)</t>
  </si>
  <si>
    <t>PO-20170203B-2</t>
  </si>
  <si>
    <t>渣打銀行 南崁分行
銀行代號052-0281
033-53-00017001-5</t>
  </si>
  <si>
    <t>MR99400754</t>
  </si>
  <si>
    <t>17/0064M</t>
  </si>
  <si>
    <t>PI-20170207E</t>
  </si>
  <si>
    <t>NET1526
(Advantech EKI-1526-BE)</t>
  </si>
  <si>
    <t>PO-20170207E</t>
  </si>
  <si>
    <t>NG63031481</t>
  </si>
  <si>
    <t>CX0622305Z1X</t>
  </si>
  <si>
    <t>PI-20170207B</t>
  </si>
  <si>
    <t>pick up TNT number 
 TPY  870634 
374280867</t>
  </si>
  <si>
    <t>RDMPO-20170207B-2-2</t>
  </si>
  <si>
    <t>CG063762H403</t>
  </si>
  <si>
    <t>ETP-CB-SXU00</t>
  </si>
  <si>
    <t>ETP-CB-5XN00</t>
  </si>
  <si>
    <t>PI-20170207A</t>
  </si>
  <si>
    <t>pick up number UPS:1Z032RX78657333639</t>
  </si>
  <si>
    <t>PO-20170207A</t>
  </si>
  <si>
    <t>MR83868762</t>
  </si>
  <si>
    <t>CU0657BF1342</t>
  </si>
  <si>
    <t>TM150TDSG71</t>
  </si>
  <si>
    <t>RDMPO-20170207B-1</t>
  </si>
  <si>
    <t>TM150TDSG71-MT-5W
(TM150TDSG71)
(MiracleTouch 10150050 V01)
(3M Air Taping)</t>
  </si>
  <si>
    <t>捷毅國際到閎亮組裝</t>
  </si>
  <si>
    <t>RDMPO-20170207B-2-1</t>
  </si>
  <si>
    <t>PI-20170207D-F</t>
  </si>
  <si>
    <t>DHL Freight For PI-20170203B and Evaluation PI-20170207C</t>
  </si>
  <si>
    <t>MR22267469</t>
  </si>
  <si>
    <t>PI-20170208A</t>
  </si>
  <si>
    <t>NISE 3500</t>
  </si>
  <si>
    <t>PO-20170208A-1</t>
  </si>
  <si>
    <t>玉山銀行連城分行
0808940013206</t>
  </si>
  <si>
    <t>MP34337198</t>
  </si>
  <si>
    <t>CF06550R1958</t>
  </si>
  <si>
    <t>AC/DC Power Adapter w/ EU power cord For NISE 3500</t>
  </si>
  <si>
    <t>Intel® Celeron® Processor P4500
(向捷毅國際購買,交由新漢組裝)</t>
  </si>
  <si>
    <t>捷毅
交新漢組裝</t>
  </si>
  <si>
    <t>PO-20170208A-2</t>
  </si>
  <si>
    <t>MR99400960</t>
  </si>
  <si>
    <t>PI-20170209A-1</t>
  </si>
  <si>
    <t>BT-432IS</t>
  </si>
  <si>
    <t>Atac
悅邦</t>
  </si>
  <si>
    <t>PO-20170209A</t>
  </si>
  <si>
    <t>彰化銀行：009
8119-01-53628-100</t>
  </si>
  <si>
    <t>MP32837250</t>
  </si>
  <si>
    <t>CX0622304JCE</t>
  </si>
  <si>
    <t>Freight For PI-20170209A1 and PI-20170209A2</t>
  </si>
  <si>
    <t>MR22274980</t>
  </si>
  <si>
    <t>P170210NP0</t>
  </si>
  <si>
    <t>PI-20170210A</t>
  </si>
  <si>
    <t>PO-20170210A-1</t>
  </si>
  <si>
    <t>NE37903309</t>
  </si>
  <si>
    <t>CX0622306ANE</t>
  </si>
  <si>
    <t>ECS-7000-2R
(S/N:S16A730095-0096)</t>
  </si>
  <si>
    <t>NE37903306</t>
  </si>
  <si>
    <t>PI-20170210A
(請Leon驗貨外觀&amp;功能)</t>
  </si>
  <si>
    <t>PO-20170210A-3</t>
  </si>
  <si>
    <t>NE35163714</t>
  </si>
  <si>
    <t>PO-20170210A-2</t>
  </si>
  <si>
    <t>MR99401030</t>
  </si>
  <si>
    <t>PI-20170210B</t>
  </si>
  <si>
    <t>TS128GSSD630</t>
  </si>
  <si>
    <t>FedEx # 852270004
(International Priority)</t>
  </si>
  <si>
    <t>PO-20170210B</t>
  </si>
  <si>
    <t>MR62207051</t>
  </si>
  <si>
    <t>CF06550P2436</t>
  </si>
  <si>
    <r>
      <rPr>
        <rFont val="Arial"/>
        <strike/>
        <color rgb="FF000000"/>
        <sz val="10.0"/>
      </rPr>
      <t xml:space="preserve">PI-20170213D
</t>
    </r>
    <r>
      <rPr>
        <rFont val="Arial"/>
        <strike/>
        <color rgb="FF000000"/>
        <sz val="10.0"/>
      </rPr>
      <t>(chloe換標籤)</t>
    </r>
  </si>
  <si>
    <t>PO-20170213D</t>
  </si>
  <si>
    <r>
      <rPr>
        <rFont val="Arial"/>
        <strike/>
        <color rgb="FF000000"/>
        <sz val="10.0"/>
      </rPr>
      <t xml:space="preserve">PI-20170213C
</t>
    </r>
    <r>
      <rPr>
        <rFont val="Arial"/>
        <strike/>
        <color rgb="FF000000"/>
        <sz val="10.0"/>
      </rPr>
      <t>(chloe換標籤)</t>
    </r>
  </si>
  <si>
    <t>PO-20170213C</t>
  </si>
  <si>
    <r>
      <rPr>
        <rFont val="Arial"/>
        <strike/>
        <color rgb="FF000000"/>
        <sz val="10.0"/>
      </rPr>
      <t xml:space="preserve">PI-20170213B
</t>
    </r>
    <r>
      <rPr>
        <rFont val="Arial"/>
        <strike/>
        <color rgb="FF000000"/>
        <sz val="10.0"/>
      </rPr>
      <t>(chloe換標籤)</t>
    </r>
  </si>
  <si>
    <t>PO-20170213B</t>
  </si>
  <si>
    <t>PI-20170213G</t>
  </si>
  <si>
    <t>PO-20170213G</t>
  </si>
  <si>
    <t>NG79343688</t>
  </si>
  <si>
    <t>NE52095553</t>
  </si>
  <si>
    <t>對方敲定@30.97</t>
  </si>
  <si>
    <t>3/21掛號寄出</t>
  </si>
  <si>
    <t>20170214-AA</t>
  </si>
  <si>
    <t>PI-20170214A</t>
  </si>
  <si>
    <t>Moxa E3210</t>
  </si>
  <si>
    <t>PO-20170214A</t>
  </si>
  <si>
    <t>MR79344749</t>
  </si>
  <si>
    <t>MP52042906</t>
  </si>
  <si>
    <t>2/22台銀@30.78</t>
  </si>
  <si>
    <t>3/2掛號寄出</t>
  </si>
  <si>
    <t>PI-20170215C</t>
  </si>
  <si>
    <t>PO-20170215C</t>
  </si>
  <si>
    <t>NG79343783</t>
  </si>
  <si>
    <t>NE52095554</t>
  </si>
  <si>
    <t>對方敲定@ 30.52</t>
  </si>
  <si>
    <t>同V146</t>
  </si>
  <si>
    <t>同AA146</t>
  </si>
  <si>
    <t>PI-20170215A</t>
  </si>
  <si>
    <t>GST60A24-OW (Open wire end)</t>
  </si>
  <si>
    <t>UPS acc. E42003 / UPS Express Saver</t>
  </si>
  <si>
    <t>Meanwell至閎亮加工</t>
  </si>
  <si>
    <t>RDMO-20170215A-1</t>
  </si>
  <si>
    <t>不報關</t>
  </si>
  <si>
    <t>H9483803179</t>
  </si>
  <si>
    <t>GST90A24-OW (Open wire end)</t>
  </si>
  <si>
    <t>RDMO-20170215A-2</t>
  </si>
  <si>
    <t>PI-20170215B</t>
  </si>
  <si>
    <t>PO-20170215B</t>
  </si>
  <si>
    <t>MR63034905</t>
  </si>
  <si>
    <t>SPC-2140WP-T3AE</t>
  </si>
  <si>
    <t>ADAM-6060-CE</t>
  </si>
  <si>
    <t>PI-20170209A-2</t>
  </si>
  <si>
    <t>NPort 5650I-8-DTL/EU V1.1.0</t>
  </si>
  <si>
    <t>PO-20170209A-2</t>
  </si>
  <si>
    <t>MR79344731</t>
  </si>
  <si>
    <t>PI-20170217A</t>
  </si>
  <si>
    <t>PCIe-7432</t>
  </si>
  <si>
    <t>PO-20170217A</t>
  </si>
  <si>
    <t>MR83868745</t>
  </si>
  <si>
    <t>MP52042905</t>
  </si>
  <si>
    <t>2/18台銀@30.805</t>
  </si>
  <si>
    <t>2/20 隨貨寄出</t>
  </si>
  <si>
    <t>DE170622-002</t>
  </si>
  <si>
    <t>PI-20170220C
(Leon 確認軟體+標籤)</t>
  </si>
  <si>
    <t>PO-20170220C</t>
  </si>
  <si>
    <t>PN79343549</t>
  </si>
  <si>
    <t>CA0652015217</t>
  </si>
  <si>
    <t>DE170601-001</t>
  </si>
  <si>
    <t>PI-20170220B
(Leon 確認軟體+標籤)
(2017/6/21 已付佣金)</t>
  </si>
  <si>
    <t>PO-20170220B</t>
  </si>
  <si>
    <t>NX79344547</t>
  </si>
  <si>
    <t>CA0652015057</t>
  </si>
  <si>
    <t>DE170323-001</t>
  </si>
  <si>
    <r>
      <rPr>
        <rFont val="Arial"/>
        <color rgb="FF000000"/>
        <sz val="10.0"/>
      </rPr>
      <t xml:space="preserve">PI-20170220A
</t>
    </r>
    <r>
      <rPr>
        <rFont val="Arial"/>
        <color rgb="FF000000"/>
        <sz val="10.0"/>
      </rPr>
      <t>(Leon 確認軟體+標籤)
(2017 /5/5 已付佣金)</t>
    </r>
  </si>
  <si>
    <t>PO-20170220A</t>
  </si>
  <si>
    <t>NG79344790</t>
  </si>
  <si>
    <t>CA0652000805</t>
  </si>
  <si>
    <t>PI-20170220D</t>
  </si>
  <si>
    <t>PO-20170220D</t>
  </si>
  <si>
    <t>NE32924900</t>
  </si>
  <si>
    <t>CX0622305MRQ</t>
  </si>
  <si>
    <t>Freight For PI-20170220A</t>
  </si>
  <si>
    <t>NG22219389</t>
  </si>
  <si>
    <t>065153-1</t>
  </si>
  <si>
    <t>PI-20170222A</t>
  </si>
  <si>
    <t xml:space="preserve">G150XTN06.0 </t>
  </si>
  <si>
    <t>TNT
2008044</t>
  </si>
  <si>
    <t>Promate
豐藝電子</t>
  </si>
  <si>
    <t>PO-20170222A</t>
  </si>
  <si>
    <t>彰化銀行吉林分行
30030330417000</t>
  </si>
  <si>
    <t>NG63754255</t>
  </si>
  <si>
    <t>CG063762T429</t>
  </si>
  <si>
    <t>20170224-AA</t>
  </si>
  <si>
    <t>PI-20170224B-2
(chloe換標籤)</t>
  </si>
  <si>
    <t>PO-20170224B-1</t>
  </si>
  <si>
    <t>NY36297511</t>
  </si>
  <si>
    <t>NV52173004</t>
  </si>
  <si>
    <t>5/18 台銀@30.2</t>
  </si>
  <si>
    <t>6/1 隨貨寄出</t>
  </si>
  <si>
    <t>20170223-AA</t>
  </si>
  <si>
    <t>PI-20170224A-3
(chloe換標籤)</t>
  </si>
  <si>
    <t>PO-20170224A-3</t>
  </si>
  <si>
    <t>NE07547865</t>
  </si>
  <si>
    <t>NE52095605</t>
  </si>
  <si>
    <t>1530-045-591-3</t>
  </si>
  <si>
    <t>4/25台銀@30.14</t>
  </si>
  <si>
    <t>4/27 隨貨寄出</t>
  </si>
  <si>
    <t>PI-20170224B-1
(chloe換標籤)</t>
  </si>
  <si>
    <t>富佳堡</t>
  </si>
  <si>
    <t>PO-20170224B-2</t>
  </si>
  <si>
    <t>第一商業銀行豐原分行
帳號：411-10067869</t>
  </si>
  <si>
    <t>NE46059173</t>
  </si>
  <si>
    <t>NE52095601</t>
  </si>
  <si>
    <t>4/17台銀@30.34</t>
  </si>
  <si>
    <t>4/18 隨貨寄出</t>
  </si>
  <si>
    <t>PI-20170224A-2
(chloe換標籤)</t>
  </si>
  <si>
    <t>PO-20170224A-2</t>
  </si>
  <si>
    <t>NE07547859</t>
  </si>
  <si>
    <t>NE52095559</t>
  </si>
  <si>
    <t>3/29台銀@30.27</t>
  </si>
  <si>
    <t>3/31 隨貨寄出</t>
  </si>
  <si>
    <r>
      <rPr>
        <rFont val="arial,sans,sans-serif"/>
        <color rgb="FF000000"/>
        <sz val="10.0"/>
      </rPr>
      <t xml:space="preserve">PI-20170224C
</t>
    </r>
    <r>
      <rPr>
        <rFont val="arial,sans,sans-serif"/>
        <color rgb="FF000000"/>
        <sz val="10.0"/>
      </rPr>
      <t>(Leon 灌新軟體+標籤)
(2017/5/5 已付佣金)</t>
    </r>
  </si>
  <si>
    <r>
      <rPr>
        <rFont val="arial,sans,sans-serif"/>
        <color rgb="FF000000"/>
        <sz val="10.0"/>
      </rPr>
      <t xml:space="preserve">Nport W2150A EU Band 
w/ SAA Adapter </t>
    </r>
    <r>
      <rPr>
        <rFont val="arial,sans,sans-serif"/>
        <b/>
        <color rgb="FF0000FF"/>
        <sz val="10.0"/>
      </rPr>
      <t>(w2x50a_1.9.62)</t>
    </r>
  </si>
  <si>
    <t>PO-20170224C</t>
  </si>
  <si>
    <t>NE37412052</t>
  </si>
  <si>
    <t>PI-20170224A-1
(chloe換標籤)</t>
  </si>
  <si>
    <t>PO-20170224A-1</t>
  </si>
  <si>
    <t>NE07547850</t>
  </si>
  <si>
    <t>NE52095550</t>
  </si>
  <si>
    <t>1530-019-945-3</t>
  </si>
  <si>
    <t>3/6台銀@31.025</t>
  </si>
  <si>
    <t>3/6 隨貨寄出</t>
  </si>
  <si>
    <t>P170228NP1</t>
  </si>
  <si>
    <t>PI-20170301A</t>
  </si>
  <si>
    <t>Windows 7 Pro 32/64 - License Sticker</t>
  </si>
  <si>
    <t>PO-20170301A</t>
  </si>
  <si>
    <t>NG99400215</t>
  </si>
  <si>
    <t>17/0118M</t>
  </si>
  <si>
    <t>PI-20170302B</t>
  </si>
  <si>
    <t>瑞傳-兆利豐</t>
  </si>
  <si>
    <t>PO-20170302B</t>
  </si>
  <si>
    <t>兆豐：017
042-09-824928</t>
  </si>
  <si>
    <t>NE36000744</t>
  </si>
  <si>
    <t>CX0622309K9H</t>
  </si>
  <si>
    <t>PI-20170302A</t>
  </si>
  <si>
    <t>7008000370
( 8MS9P1B05M1RES-5 , 3/9 寄給快異點加工)</t>
  </si>
  <si>
    <t>無報關</t>
  </si>
  <si>
    <t>ID Solution</t>
  </si>
  <si>
    <t>PI-20170306A</t>
  </si>
  <si>
    <t>Viewer</t>
  </si>
  <si>
    <t>郵局EMS</t>
  </si>
  <si>
    <t>祐嘉</t>
  </si>
  <si>
    <t>祐嘉電子
永豐銀行 汐止分行
125-001-0022229-9"</t>
  </si>
  <si>
    <t xml:space="preserve">MO-20170306A&amp;
MO-20170306A-1 到MO-20170306A-9
</t>
  </si>
  <si>
    <t>MO-20170306A</t>
  </si>
  <si>
    <t>EE927787055TW</t>
  </si>
  <si>
    <t>PI-20170306B-1</t>
  </si>
  <si>
    <t>Moxa CP-138U-I</t>
  </si>
  <si>
    <t>pick up number UPS:1Z032RX78657787177</t>
  </si>
  <si>
    <t>NG79343701</t>
  </si>
  <si>
    <t>CU0657BJ1264</t>
  </si>
  <si>
    <t>Moxa CBL-M78M9x8-100</t>
  </si>
  <si>
    <t xml:space="preserve">Adlink ACL-7122 </t>
  </si>
  <si>
    <t>PO-20170306B-2</t>
  </si>
  <si>
    <t>NG83867698</t>
  </si>
  <si>
    <t>20170308-AA</t>
  </si>
  <si>
    <t>PI-20170308D-2
(chloe換標籤)</t>
  </si>
  <si>
    <t>PO-20170308D-2</t>
  </si>
  <si>
    <t>NV36297522</t>
  </si>
  <si>
    <t>NV52173053</t>
  </si>
  <si>
    <t>大榮-15347136554</t>
  </si>
  <si>
    <t>6/9台銀@30.085</t>
  </si>
  <si>
    <t>6/12隨貨寄出</t>
  </si>
  <si>
    <t>PI-20170308D-1
(chloe換標籤)</t>
  </si>
  <si>
    <t>PO-20170308D-1</t>
  </si>
  <si>
    <t>NV36297514</t>
  </si>
  <si>
    <t>NV52173012</t>
  </si>
  <si>
    <t>5/31 台銀@30.09</t>
  </si>
  <si>
    <t>PI-20170308C</t>
  </si>
  <si>
    <t>PO-20170308C</t>
  </si>
  <si>
    <t>NG79343967</t>
  </si>
  <si>
    <t>NE52095562</t>
  </si>
  <si>
    <t>對方敲定@ 30.32</t>
  </si>
  <si>
    <t>3/30掛號寄出</t>
  </si>
  <si>
    <t>同V172</t>
  </si>
  <si>
    <t>同AA172</t>
  </si>
  <si>
    <t>AYC (I &amp; V)</t>
  </si>
  <si>
    <t>17000027 &amp; 17000032</t>
  </si>
  <si>
    <t>PI-20170308A</t>
  </si>
  <si>
    <t>CP-114EL-I-DB9M</t>
  </si>
  <si>
    <t>TNT economy 2016684</t>
  </si>
  <si>
    <t>PO-20170308B</t>
  </si>
  <si>
    <t>NG79343782</t>
  </si>
  <si>
    <t>CG063763H042</t>
  </si>
  <si>
    <t>PI-20170308B</t>
  </si>
  <si>
    <t>ADAM-6050-CE</t>
  </si>
  <si>
    <t>NG63031505</t>
  </si>
  <si>
    <t>PI-20170306B-2</t>
  </si>
  <si>
    <t>PO-20170306B-3</t>
  </si>
  <si>
    <t>Adlinl ACL-8216</t>
  </si>
  <si>
    <t>PI-20170316C</t>
  </si>
  <si>
    <t>PO-20170316C</t>
  </si>
  <si>
    <t>NG63031968</t>
  </si>
  <si>
    <t>CX0622307NH4</t>
  </si>
  <si>
    <t>ADAM-4571L-DE</t>
  </si>
  <si>
    <t>P170316NP0</t>
  </si>
  <si>
    <t>PI-20170316B
(Leon 組裝)</t>
  </si>
  <si>
    <t>POC-210
(S/N:H1212084~H1212087)</t>
  </si>
  <si>
    <t>PO-20170316B-1</t>
  </si>
  <si>
    <t>NE34933923</t>
  </si>
  <si>
    <t>CX0622307P2B</t>
  </si>
  <si>
    <t>TS512MSK64W6H
(向創見購買. Leon組裝)</t>
  </si>
  <si>
    <t>PO-20161208A-2轉庫存品
PO-20170316B-2</t>
  </si>
  <si>
    <t>庫存1PCS: NT$ 909
此次購買3PCS:NT$3037</t>
  </si>
  <si>
    <t>NG62199761</t>
  </si>
  <si>
    <t>PI-20170316A</t>
  </si>
  <si>
    <t>SPC-1840WP-MCKE</t>
  </si>
  <si>
    <t>\</t>
  </si>
  <si>
    <t>PO-20170316A</t>
  </si>
  <si>
    <t>NG63031811</t>
  </si>
  <si>
    <t>CX0622306MVW</t>
  </si>
  <si>
    <t>PO-109</t>
  </si>
  <si>
    <t>PI-20170317A</t>
  </si>
  <si>
    <t>UPORT 1150</t>
  </si>
  <si>
    <t>TNT Express (000107240)</t>
  </si>
  <si>
    <t>PO-20170317A</t>
  </si>
  <si>
    <t>NG79344484</t>
  </si>
  <si>
    <t>CR063763Q043</t>
  </si>
  <si>
    <t>TCF-142-S-SC</t>
  </si>
  <si>
    <t>PO222</t>
  </si>
  <si>
    <t>PI-20170319A</t>
  </si>
  <si>
    <t>Global Freight Forwarding (By AIR)</t>
  </si>
  <si>
    <t>PO-20170319A-3</t>
  </si>
  <si>
    <t>NH03799674</t>
  </si>
  <si>
    <t>CA0676000872</t>
  </si>
  <si>
    <t>同V186</t>
  </si>
  <si>
    <t>Sierra Module MC7304</t>
  </si>
  <si>
    <t>PO-20170319A-1</t>
  </si>
  <si>
    <t>20170413更改:
渣打國際商業銀行營業部
 01800126082</t>
  </si>
  <si>
    <t>NE48126257</t>
  </si>
  <si>
    <t>BTC013-1-79-500 
(WiFi Cable)</t>
  </si>
  <si>
    <t>見工單/EMO-20170319A(購買101 PCS，PI-20170319A只使用50PCS，其餘庫存品)</t>
  </si>
  <si>
    <t>SEC30</t>
  </si>
  <si>
    <t>BTC013-70-250-1
(4G &amp; GPS cable)</t>
  </si>
  <si>
    <t>見工單/EMO-20170319A(購買104 PCS，PI-20170319A只使用50PCS，其餘庫存品)</t>
  </si>
  <si>
    <t>PO-20170319A-4</t>
  </si>
  <si>
    <t>NG68026107</t>
  </si>
  <si>
    <t>P170317NP1</t>
  </si>
  <si>
    <t>PI-20170320A</t>
  </si>
  <si>
    <t>ADLINK MXE1301/M4G
(S/N:H322NS6001、6003、6007、6008、6012、6013、6015、6023、6029、H326NS6025)</t>
  </si>
  <si>
    <t>PO-20170320A-1</t>
  </si>
  <si>
    <t>NG83867994</t>
  </si>
  <si>
    <t>Windows XP Pro for Embedded Label (G82-00037)</t>
  </si>
  <si>
    <t>PO-20170320A-2</t>
  </si>
  <si>
    <t>NE34435593</t>
  </si>
  <si>
    <t>20170321-AA</t>
  </si>
  <si>
    <t>PI-20170321B</t>
  </si>
  <si>
    <t>C218 TURBO/PCI</t>
  </si>
  <si>
    <t>PO-20170321B</t>
  </si>
  <si>
    <t>NG79344649</t>
  </si>
  <si>
    <t>同AA152</t>
  </si>
  <si>
    <t>OPT8-M9</t>
  </si>
  <si>
    <t>同V192</t>
  </si>
  <si>
    <t>P170321NP0</t>
  </si>
  <si>
    <t>PI-20170321A-1</t>
  </si>
  <si>
    <t>Nuvo-5002LP
(S/N:H141005391/H141005401/H141005402)</t>
  </si>
  <si>
    <t>PO-20170321A-1(Revise)</t>
  </si>
  <si>
    <t>NE34933934</t>
  </si>
  <si>
    <t>CX0622308981</t>
  </si>
  <si>
    <t>MezIO-D220
(請Neousys 組裝)</t>
  </si>
  <si>
    <t>PI-20170321A-2</t>
  </si>
  <si>
    <t>Neousys Cable-S68MM-100</t>
  </si>
  <si>
    <t>Neousys TB-10</t>
  </si>
  <si>
    <t>Intel® Core™ i7-6700TE Processor
(向捷毅國際購買 Neousys 組裝)</t>
  </si>
  <si>
    <t>PO-20170321A-2</t>
  </si>
  <si>
    <t>NG99400585</t>
  </si>
  <si>
    <t>TS512MSH64V1H
(向創見購買. Neousys組裝)</t>
  </si>
  <si>
    <t>PO-20170321A-3</t>
  </si>
  <si>
    <t>NG62200034</t>
  </si>
  <si>
    <t>PI-20170322A-1</t>
  </si>
  <si>
    <t>UPS account: WF1740
(UPS Worldwide Express)</t>
  </si>
  <si>
    <t>PO-20170322A</t>
  </si>
  <si>
    <t>NE36761302</t>
  </si>
  <si>
    <t>CU0657BH4709</t>
  </si>
  <si>
    <t>1534-713-6551</t>
  </si>
  <si>
    <t>PO230</t>
  </si>
  <si>
    <t>PI-20170323B</t>
  </si>
  <si>
    <t>IB970 (standard BIOS)</t>
  </si>
  <si>
    <t>PO-20170323B</t>
  </si>
  <si>
    <t>NG46333196</t>
  </si>
  <si>
    <t>PO249</t>
  </si>
  <si>
    <t>PI-20170323C</t>
  </si>
  <si>
    <t>IB990AF
(1001700003)</t>
  </si>
  <si>
    <t>NG46333163</t>
  </si>
  <si>
    <t>PO260</t>
  </si>
  <si>
    <t>PI-20170323D</t>
  </si>
  <si>
    <t>TS2GPTM720
(7003760009)</t>
  </si>
  <si>
    <t>TNT EXPRESS 182056</t>
  </si>
  <si>
    <t>PO-20170323D</t>
  </si>
  <si>
    <t>NG62205717</t>
  </si>
  <si>
    <t>CR063763Q299</t>
  </si>
  <si>
    <t>17/0164M</t>
  </si>
  <si>
    <t>PI-20170323A</t>
  </si>
  <si>
    <t>NPC-4784
(Advantech ECU-4784-D55SAE)</t>
  </si>
  <si>
    <t>PO-20170323A</t>
  </si>
  <si>
    <t>NG63031984</t>
  </si>
  <si>
    <t>CX0622307N11</t>
  </si>
  <si>
    <t>PI-20170324B</t>
  </si>
  <si>
    <t>PO-20170324B</t>
  </si>
  <si>
    <t>NG79343966</t>
  </si>
  <si>
    <t>NE52095558</t>
  </si>
  <si>
    <t>3/29 台灣銀行@30.27</t>
  </si>
  <si>
    <t>P170323NP0</t>
  </si>
  <si>
    <t>PI-20170324A
(Leon組裝)</t>
  </si>
  <si>
    <t>PO-20170324A(Revise)</t>
  </si>
  <si>
    <t>NG83867995</t>
  </si>
  <si>
    <t>CX06223092HW</t>
  </si>
  <si>
    <r>
      <rPr>
        <rFont val="Arial"/>
        <color rgb="FF000000"/>
        <sz val="10.0"/>
      </rPr>
      <t xml:space="preserve">PI-20170324A
</t>
    </r>
    <r>
      <rPr>
        <rFont val="Arial"/>
        <color rgb="FF000000"/>
        <sz val="10.0"/>
      </rPr>
      <t>(Leon組裝)</t>
    </r>
  </si>
  <si>
    <r>
      <rPr>
        <rFont val="Arial"/>
        <color rgb="FF000000"/>
        <sz val="10.0"/>
      </rPr>
      <t xml:space="preserve">PI-20170324A
</t>
    </r>
    <r>
      <rPr>
        <rFont val="Arial"/>
        <color rgb="FF000000"/>
        <sz val="10.0"/>
      </rPr>
      <t>(Leon組裝)</t>
    </r>
  </si>
  <si>
    <r>
      <rPr>
        <rFont val="Arial"/>
        <color rgb="FF000000"/>
        <sz val="10.0"/>
      </rPr>
      <t xml:space="preserve">PI-20170324A
</t>
    </r>
    <r>
      <rPr>
        <rFont val="Arial"/>
        <color rgb="FF000000"/>
        <sz val="10.0"/>
      </rPr>
      <t>(Leon組裝)</t>
    </r>
  </si>
  <si>
    <r>
      <rPr>
        <rFont val="Arial"/>
        <color rgb="FF000000"/>
        <sz val="10.0"/>
      </rPr>
      <t xml:space="preserve">PI-20170324A
</t>
    </r>
    <r>
      <rPr>
        <rFont val="Arial"/>
        <color rgb="FF000000"/>
        <sz val="10.0"/>
      </rPr>
      <t>(Leon組裝)</t>
    </r>
  </si>
  <si>
    <t>ELGens</t>
  </si>
  <si>
    <t>見工單EMO-20151117A</t>
  </si>
  <si>
    <t>EMO-20151117A</t>
  </si>
  <si>
    <r>
      <rPr>
        <rFont val="Arial"/>
        <color rgb="FF000000"/>
        <sz val="10.0"/>
      </rPr>
      <t xml:space="preserve">PI-20170324A
</t>
    </r>
    <r>
      <rPr>
        <rFont val="Arial"/>
        <color rgb="FF000000"/>
        <sz val="10.0"/>
      </rPr>
      <t>(Leon組裝)</t>
    </r>
  </si>
  <si>
    <t>見工單EMO-20160319A</t>
  </si>
  <si>
    <t>EMO-20160319A</t>
  </si>
  <si>
    <t>PI-20170324A</t>
  </si>
  <si>
    <t>王銘盛(Leon)</t>
  </si>
  <si>
    <t>正職FAE組裝無成本</t>
  </si>
  <si>
    <t>FAE組裝無發票</t>
  </si>
  <si>
    <t>PI-20170327A</t>
  </si>
  <si>
    <t>Nexcom NISE 50</t>
  </si>
  <si>
    <t>PO-20170327A-1</t>
  </si>
  <si>
    <t>NE34435673</t>
  </si>
  <si>
    <t>CF06550FR852</t>
  </si>
  <si>
    <t>Transcend TS32GMSA370
(向創見購買 新漢組裝)</t>
  </si>
  <si>
    <t>Transcend創見到NEXCOM 新漢</t>
  </si>
  <si>
    <t>PO-20170327A-3</t>
  </si>
  <si>
    <t>NG62206649</t>
  </si>
  <si>
    <t>PI-20170328C</t>
  </si>
  <si>
    <t>1101790004
(PCE-5B09-04A1E) (Advantech)</t>
  </si>
  <si>
    <t>PO-20170328C-2</t>
  </si>
  <si>
    <t>NG63034926</t>
  </si>
  <si>
    <t>CB17-167</t>
  </si>
  <si>
    <t>PI-20170328A</t>
  </si>
  <si>
    <t>PO-20170328A</t>
  </si>
  <si>
    <t>NG89614086</t>
  </si>
  <si>
    <t>CR063763U536</t>
  </si>
  <si>
    <t>1101580003
(FAB116-8B3P3)</t>
  </si>
  <si>
    <t>PO-20170328C-1</t>
  </si>
  <si>
    <t>NG79423028</t>
  </si>
  <si>
    <t>PI-20170328B</t>
  </si>
  <si>
    <t>PO-20170328B</t>
  </si>
  <si>
    <t>NG63032437</t>
  </si>
  <si>
    <t>PI-20170331A</t>
  </si>
  <si>
    <t>1101590007
(SPE-9S-R11)</t>
  </si>
  <si>
    <t>PO-20170331A</t>
  </si>
  <si>
    <t>NG68026129</t>
  </si>
  <si>
    <t>CG063764F741</t>
  </si>
  <si>
    <t>JENLOGIX</t>
  </si>
  <si>
    <t>PI-20170405A</t>
  </si>
  <si>
    <t>DHL No. 969256739</t>
  </si>
  <si>
    <t>PO-20170405A</t>
  </si>
  <si>
    <t>NG79344604</t>
  </si>
  <si>
    <t>CX06223092HS</t>
  </si>
  <si>
    <t>PI-20170406B</t>
  </si>
  <si>
    <t>TS128GMSM360</t>
  </si>
  <si>
    <t>PO-20170406B</t>
  </si>
  <si>
    <t>NG62206448</t>
  </si>
  <si>
    <t>CF06550EM875</t>
  </si>
  <si>
    <t>PI-20170406A</t>
  </si>
  <si>
    <t>ADAM-6217-AE</t>
  </si>
  <si>
    <t>PO-20170406A</t>
  </si>
  <si>
    <t>NG63034771</t>
  </si>
  <si>
    <t>CX0622308SU2</t>
  </si>
  <si>
    <t>同V225</t>
  </si>
  <si>
    <t xml:space="preserve">Mustafa Sultan Science &amp; Industry </t>
  </si>
  <si>
    <t>FPO/13417</t>
  </si>
  <si>
    <t>PI-20170407A</t>
  </si>
  <si>
    <t>SFP-1GLXLC
(HS code: 85176200)</t>
  </si>
  <si>
    <t>DHL Global forwarding
(需要產地證明)</t>
  </si>
  <si>
    <t>APAC
前鼎光電</t>
  </si>
  <si>
    <t xml:space="preserve">見工單PO-20160126B </t>
  </si>
  <si>
    <t xml:space="preserve">工單PO-20160126B </t>
  </si>
  <si>
    <t>CW060C306267</t>
  </si>
  <si>
    <t>PI-20170322A-2</t>
  </si>
  <si>
    <t>PO-20170322A-2</t>
  </si>
  <si>
    <t>NV53115213</t>
  </si>
  <si>
    <t>EDS-518E-4GTXSFP
(HS code: 85176200)</t>
  </si>
  <si>
    <t>PO-20170407A-1</t>
  </si>
  <si>
    <t>NX79343549</t>
  </si>
  <si>
    <t>EDS-510E-3GTXSFP
(HS code: 85176200)</t>
  </si>
  <si>
    <t>IKS-G6524A-4GTXSFPHV-HV
(HS code: 85176200)</t>
  </si>
  <si>
    <r>
      <rPr>
        <rFont val="arial,sans,sans-serif"/>
        <color rgb="FF000000"/>
        <sz val="10.0"/>
      </rPr>
      <t>APAC
前鼎光電-</t>
    </r>
    <r>
      <rPr>
        <rFont val="arial,sans,sans-serif"/>
        <color rgb="FF000000"/>
        <sz val="10.0"/>
      </rPr>
      <t>採購為TAMMY</t>
    </r>
  </si>
  <si>
    <t>見2017工單PI-20170407A</t>
  </si>
  <si>
    <t>NH06433193</t>
  </si>
  <si>
    <t>SFP-1GLHLC
(HS code: 85176200)</t>
  </si>
  <si>
    <r>
      <rPr>
        <rFont val="arial,sans,sans-serif"/>
        <color rgb="FF000000"/>
        <sz val="10.0"/>
      </rPr>
      <t>APAC
前鼎光電-</t>
    </r>
    <r>
      <rPr>
        <rFont val="arial,sans,sans-serif"/>
        <color rgb="FF000000"/>
        <sz val="10.0"/>
      </rPr>
      <t>採購為TAMMY</t>
    </r>
  </si>
  <si>
    <t>同V227</t>
  </si>
  <si>
    <t>PI-20170407B</t>
  </si>
  <si>
    <t>5% custom refund tax</t>
  </si>
  <si>
    <t>EMS freight</t>
  </si>
  <si>
    <t>PI-20170410B</t>
  </si>
  <si>
    <t>PO-20170410B</t>
  </si>
  <si>
    <t>NY03799185</t>
  </si>
  <si>
    <t>CG063765B392</t>
  </si>
  <si>
    <t>PI-20170410C</t>
  </si>
  <si>
    <t>PO-20170410C</t>
  </si>
  <si>
    <t>NG79334789</t>
  </si>
  <si>
    <t>NE52095604</t>
  </si>
  <si>
    <t>對方敲定@ 30.3</t>
  </si>
  <si>
    <t>4/24掛號寄出</t>
  </si>
  <si>
    <t>P170409NP0</t>
  </si>
  <si>
    <t>PI-20170410A
(Leon 組裝)</t>
  </si>
  <si>
    <t>POC-212
(S/N:H160412185 / H160412186)</t>
  </si>
  <si>
    <t>PO-20170410A-1</t>
  </si>
  <si>
    <t>NE34933963</t>
  </si>
  <si>
    <t>CX0622309RGX</t>
  </si>
  <si>
    <r>
      <rPr>
        <rFont val="Arial"/>
        <color rgb="FF000000"/>
        <sz val="10.0"/>
      </rPr>
      <t xml:space="preserve">PI-20170410A
</t>
    </r>
    <r>
      <rPr>
        <rFont val="Arial"/>
        <color rgb="FF000000"/>
        <sz val="10.0"/>
      </rPr>
      <t>(Leon 組裝)</t>
    </r>
  </si>
  <si>
    <t>同V231</t>
  </si>
  <si>
    <r>
      <rPr>
        <rFont val="Arial"/>
        <color rgb="FF000000"/>
        <sz val="10.0"/>
      </rPr>
      <t xml:space="preserve">PI-20170410A
</t>
    </r>
    <r>
      <rPr>
        <rFont val="Arial"/>
        <color rgb="FF000000"/>
        <sz val="10.0"/>
      </rPr>
      <t>(Leon 組裝)</t>
    </r>
  </si>
  <si>
    <t>PO-20170410A-2(Revise 2 )</t>
  </si>
  <si>
    <t>NG62206654</t>
  </si>
  <si>
    <t xml:space="preserve">SA Electroquip </t>
  </si>
  <si>
    <t>PI-20170410D</t>
  </si>
  <si>
    <t>Moxa C104H-DB9M</t>
  </si>
  <si>
    <t>PO-20170410D</t>
  </si>
  <si>
    <t>NG79344667</t>
  </si>
  <si>
    <t>CF06550EY631</t>
  </si>
  <si>
    <t>PI-20170412C</t>
  </si>
  <si>
    <t>PO-20170412C-3</t>
  </si>
  <si>
    <t>NX68026043</t>
  </si>
  <si>
    <t>CG063764V591</t>
  </si>
  <si>
    <t>11090R0004
(MC7430 mini PCIe)</t>
  </si>
  <si>
    <t>PO-20170412C-4</t>
  </si>
  <si>
    <t>NV48096012</t>
  </si>
  <si>
    <t>P170412NP0</t>
  </si>
  <si>
    <t>PI-20170412B</t>
  </si>
  <si>
    <t>ARCHMI-817 (APLEX)
(Serial NO.A3170402045)</t>
  </si>
  <si>
    <t>Aplex(維田)</t>
  </si>
  <si>
    <t>PO-20170412B</t>
  </si>
  <si>
    <t>NE34498427</t>
  </si>
  <si>
    <t>CX062230ALVC</t>
  </si>
  <si>
    <t>PO-20170412C-1</t>
  </si>
  <si>
    <t>NG46333239</t>
  </si>
  <si>
    <t>P170411NP1</t>
  </si>
  <si>
    <t>PI-20170412A</t>
  </si>
  <si>
    <t>OPE1503FBDTR</t>
  </si>
  <si>
    <t>Winnertek 旺安</t>
  </si>
  <si>
    <t>PO-20170412A</t>
  </si>
  <si>
    <t xml:space="preserve">合作金庫 新生分行 (006)
0947717334831 </t>
  </si>
  <si>
    <t>NE51426533</t>
  </si>
  <si>
    <t>PO013254</t>
  </si>
  <si>
    <t>PI-20170413A</t>
  </si>
  <si>
    <t>PO-20170413A</t>
  </si>
  <si>
    <t>NG83868651</t>
  </si>
  <si>
    <t>CH0646002253</t>
  </si>
  <si>
    <t>同V244</t>
  </si>
  <si>
    <t>MXC-6101D</t>
  </si>
  <si>
    <t>PI-20170419A</t>
  </si>
  <si>
    <t>PO-20170419A</t>
  </si>
  <si>
    <t>NG63035064</t>
  </si>
  <si>
    <t>CX062230A4AU</t>
  </si>
  <si>
    <t>PI-20170413B</t>
  </si>
  <si>
    <t>AIMB-275G2-00A1E</t>
  </si>
  <si>
    <t>PO-20170413B</t>
  </si>
  <si>
    <t>NG63034935</t>
  </si>
  <si>
    <t>CX0622309GGM</t>
  </si>
  <si>
    <t>P170418NP1</t>
  </si>
  <si>
    <r>
      <rPr>
        <rFont val="Arial"/>
        <color rgb="FF000000"/>
        <sz val="10.0"/>
      </rPr>
      <t xml:space="preserve">PI-20170418B
</t>
    </r>
    <r>
      <rPr>
        <rFont val="Arial"/>
        <color rgb="FF000000"/>
        <sz val="10.0"/>
      </rPr>
      <t>(Leon 組裝)</t>
    </r>
  </si>
  <si>
    <t>Neousys POC-330
(Serial No. H2100064)</t>
  </si>
  <si>
    <t>PO-20170418A(Revise)</t>
  </si>
  <si>
    <t>NV35033337</t>
  </si>
  <si>
    <t>同V320</t>
  </si>
  <si>
    <t>CX062230D6F6</t>
  </si>
  <si>
    <t>P170418NP0</t>
  </si>
  <si>
    <t>PI-20170418A</t>
  </si>
  <si>
    <t>Nuvo-5002LP
(Serial NO.H1805572/ H1806181/H1806182)</t>
  </si>
  <si>
    <t>NV35033301</t>
  </si>
  <si>
    <t>MezIO-D220(安裝在Serial NO.H1805572)</t>
  </si>
  <si>
    <t>同V247</t>
  </si>
  <si>
    <r>
      <rPr>
        <rFont val="Arial"/>
        <color rgb="FF000000"/>
        <sz val="10.0"/>
      </rPr>
      <t xml:space="preserve">PI-20170418B
</t>
    </r>
    <r>
      <rPr>
        <rFont val="Arial"/>
        <color rgb="FF000000"/>
        <sz val="10.0"/>
      </rPr>
      <t>(Leon 組裝)</t>
    </r>
  </si>
  <si>
    <t>TS1GSK64W6H
(向創見購買. Leon組裝)</t>
  </si>
  <si>
    <t>工單MPO-20161115A</t>
  </si>
  <si>
    <t>工單庫存MPO-20161115A</t>
  </si>
  <si>
    <t>PO-20170418A-1</t>
  </si>
  <si>
    <t>NG99401141</t>
  </si>
  <si>
    <t>Transcend 創見
交Neousys組裝</t>
  </si>
  <si>
    <t>PO-20170418A-2</t>
  </si>
  <si>
    <t>NG62207453</t>
  </si>
  <si>
    <t>065270-1</t>
  </si>
  <si>
    <t>PI-20170419B</t>
  </si>
  <si>
    <t>MiracleTouch 10150050 V01</t>
  </si>
  <si>
    <t>TNT Economy 
account no: 2008044</t>
  </si>
  <si>
    <t xml:space="preserve"> CES閎亮</t>
  </si>
  <si>
    <t>PO-20170419B</t>
  </si>
  <si>
    <t>NV51709553</t>
  </si>
  <si>
    <t>CG063764Q323</t>
  </si>
  <si>
    <t>PI-20170420A</t>
  </si>
  <si>
    <t>PO-20170420A</t>
  </si>
  <si>
    <t>NX79343606</t>
  </si>
  <si>
    <t>NV52173002</t>
  </si>
  <si>
    <t>對方敲定@30.22</t>
  </si>
  <si>
    <t>5/11掛號寄出</t>
  </si>
  <si>
    <t>同V259</t>
  </si>
  <si>
    <t>同AA259</t>
  </si>
  <si>
    <t>PI-20170421B</t>
  </si>
  <si>
    <t>NX46333180</t>
  </si>
  <si>
    <t>CG063765M684</t>
  </si>
  <si>
    <t>PI-20170421A</t>
  </si>
  <si>
    <t>PO-20170421A</t>
  </si>
  <si>
    <t>NY03799041</t>
  </si>
  <si>
    <t>P170424NP0</t>
  </si>
  <si>
    <t>PI-20170424A</t>
  </si>
  <si>
    <t>ADLINK MXE-1301/M4G
(Serial NO.H519NS6002/H519NS6004/H519NS6023/H519NS6025)</t>
  </si>
  <si>
    <t>PO-20170424A</t>
  </si>
  <si>
    <t>NX83867441</t>
  </si>
  <si>
    <t>Syscom
凌羣電腦</t>
  </si>
  <si>
    <t>G106041570</t>
  </si>
  <si>
    <t>PI-20160831A-2</t>
  </si>
  <si>
    <t>見2017工單PI-20160831A-2(C117-144欄位)</t>
  </si>
  <si>
    <t>NV52173061</t>
  </si>
  <si>
    <t>6/15機車快遞寄出</t>
  </si>
  <si>
    <t>2.4 磁碟陣列</t>
  </si>
  <si>
    <t>P170424NP1</t>
  </si>
  <si>
    <t>PI-20170425A</t>
  </si>
  <si>
    <t>VECOW SPC-3520-300U
(S/N:Q16A525004)</t>
  </si>
  <si>
    <t>PO-20170425A-1</t>
  </si>
  <si>
    <t>NV38031563</t>
  </si>
  <si>
    <t>CX062230B96L</t>
  </si>
  <si>
    <t>VECOW PWA-120W</t>
  </si>
  <si>
    <t>同V270</t>
  </si>
  <si>
    <t>Transcend TS1GSH64V1H
(向VECOW購買與組裝)</t>
  </si>
  <si>
    <t>Transcend 創見
到Vecow組裝</t>
  </si>
  <si>
    <t>PO-20170425A-3</t>
  </si>
  <si>
    <t>NX62197873</t>
  </si>
  <si>
    <t>Meanwell SDR-120-24</t>
  </si>
  <si>
    <t>PO-20170425A-2</t>
  </si>
  <si>
    <t>NX89611969</t>
  </si>
  <si>
    <t>PI-20170428E</t>
  </si>
  <si>
    <t>pick up number UPS:1Z032RX78656027267</t>
  </si>
  <si>
    <t>2017/5/22
2017/6/16</t>
  </si>
  <si>
    <r>
      <rPr>
        <rFont val="Arial"/>
        <color rgb="FF000000"/>
        <sz val="10.0"/>
      </rPr>
      <t>5/15 出貨12PCS</t>
    </r>
    <r>
      <rPr>
        <rFont val="Arial"/>
        <color rgb="FF000000"/>
        <sz val="10.0"/>
      </rPr>
      <t xml:space="preserve">
6/23出貨8PCS</t>
    </r>
  </si>
  <si>
    <t>PO-20170428E-1</t>
  </si>
  <si>
    <r>
      <rPr>
        <rFont val="Arial"/>
        <color rgb="FF000000"/>
        <sz val="10.0"/>
      </rPr>
      <t>2017/7/5</t>
    </r>
    <r>
      <rPr>
        <rFont val="Arial"/>
        <color rgb="FF000000"/>
        <sz val="10.0"/>
      </rPr>
      <t xml:space="preserve">
2017/8/5</t>
    </r>
  </si>
  <si>
    <r>
      <rPr>
        <rFont val="Arial"/>
        <color theme="1"/>
        <sz val="10.0"/>
      </rPr>
      <t xml:space="preserve">2017/5/15
</t>
    </r>
    <r>
      <rPr>
        <rFont val="Arial"/>
        <color theme="1"/>
        <sz val="10.0"/>
      </rPr>
      <t>2017/6/13</t>
    </r>
  </si>
  <si>
    <r>
      <rPr>
        <rFont val="Arial"/>
        <color theme="1"/>
        <sz val="10.0"/>
      </rPr>
      <t xml:space="preserve">NX83867737
</t>
    </r>
    <r>
      <rPr>
        <rFont val="Arial"/>
        <color theme="1"/>
        <sz val="10.0"/>
      </rPr>
      <t>NX83868671</t>
    </r>
  </si>
  <si>
    <r>
      <rPr>
        <rFont val="Arial"/>
        <color theme="1"/>
        <sz val="10.0"/>
      </rPr>
      <t xml:space="preserve">同V282
</t>
    </r>
    <r>
      <rPr>
        <rFont val="Arial"/>
        <color theme="1"/>
        <sz val="10.0"/>
      </rPr>
      <t>24,044</t>
    </r>
  </si>
  <si>
    <t>2017/7/6
2017/8/4</t>
  </si>
  <si>
    <r>
      <rPr>
        <rFont val="Arial"/>
        <color rgb="FF000000"/>
        <sz val="10.0"/>
      </rPr>
      <t xml:space="preserve">CU0657BH5101
</t>
    </r>
    <r>
      <rPr>
        <rFont val="Arial"/>
        <color rgb="FF000000"/>
        <sz val="10.0"/>
      </rPr>
      <t>CX062230EH7A</t>
    </r>
  </si>
  <si>
    <t>PI-20170428B</t>
  </si>
  <si>
    <t>PO-20170428B</t>
  </si>
  <si>
    <t>NX46333181</t>
  </si>
  <si>
    <t>NX83867737</t>
  </si>
  <si>
    <t>CU0657BH5101</t>
  </si>
  <si>
    <t>NPort IA5150A</t>
  </si>
  <si>
    <t>PO-20170428E-2</t>
  </si>
  <si>
    <t>NX79343635</t>
  </si>
  <si>
    <t>330-17041529</t>
  </si>
  <si>
    <t>PI-20170428D</t>
  </si>
  <si>
    <t>PO-20170428D</t>
  </si>
  <si>
    <t>NX79343550</t>
  </si>
  <si>
    <t>NV52173000</t>
  </si>
  <si>
    <t>5/5央行@30.182</t>
  </si>
  <si>
    <t>5/8發票掛號寄出</t>
  </si>
  <si>
    <t>PI-20170428C</t>
  </si>
  <si>
    <t>ADAM-4570L-DE</t>
  </si>
  <si>
    <t>PO-20170428C</t>
  </si>
  <si>
    <t>NX63031318</t>
  </si>
  <si>
    <t>CX062230AWMH</t>
  </si>
  <si>
    <t>同V277</t>
  </si>
  <si>
    <t>ADAM-6520-BE</t>
  </si>
  <si>
    <t>CB17-198</t>
  </si>
  <si>
    <t>PI-20170428A</t>
  </si>
  <si>
    <t>RS-150-12</t>
  </si>
  <si>
    <t>PO-20170428A</t>
  </si>
  <si>
    <t>RS-150-3.3</t>
  </si>
  <si>
    <t>PI-20170503A</t>
  </si>
  <si>
    <t>PO-20170503A</t>
  </si>
  <si>
    <t>NVC00164003</t>
  </si>
  <si>
    <t>CX062230CQVR</t>
  </si>
  <si>
    <t>Freight For PI-20170503A</t>
  </si>
  <si>
    <t>NX22230561</t>
  </si>
  <si>
    <t>P170508NP0</t>
  </si>
  <si>
    <t>PI-20170509A
(Leon 組裝)</t>
  </si>
  <si>
    <t>POC-210
(Serial No. H2013261~H2013266)</t>
  </si>
  <si>
    <t>PO-20170509A-1</t>
  </si>
  <si>
    <t>NV35033321</t>
  </si>
  <si>
    <t>CX062230CN9H</t>
  </si>
  <si>
    <r>
      <rPr>
        <rFont val="Arial"/>
        <color rgb="FF000000"/>
        <sz val="10.0"/>
      </rPr>
      <t xml:space="preserve">PI-20170509A
</t>
    </r>
    <r>
      <rPr>
        <rFont val="Arial"/>
        <color rgb="FF000000"/>
        <sz val="10.0"/>
      </rPr>
      <t>(Leon 組裝)</t>
    </r>
  </si>
  <si>
    <t>同V292</t>
  </si>
  <si>
    <r>
      <rPr>
        <rFont val="Arial"/>
        <color rgb="FF000000"/>
        <sz val="10.0"/>
      </rPr>
      <t xml:space="preserve">PI-20170509A
</t>
    </r>
    <r>
      <rPr>
        <rFont val="Arial"/>
        <color rgb="FF000000"/>
        <sz val="10.0"/>
      </rPr>
      <t>(Leon 組裝)</t>
    </r>
  </si>
  <si>
    <t>PO-20170509A-2</t>
  </si>
  <si>
    <t>NX62198787</t>
  </si>
  <si>
    <t>PI-20170508A</t>
  </si>
  <si>
    <t>PO-20170508A</t>
  </si>
  <si>
    <t>NX63031485</t>
  </si>
  <si>
    <t>CX062230BLDH</t>
  </si>
  <si>
    <t>ADAM-6260-AE</t>
  </si>
  <si>
    <t>同V289</t>
  </si>
  <si>
    <t>PI-20170509B</t>
  </si>
  <si>
    <t>ADAM-6251-AE</t>
  </si>
  <si>
    <t>PO-20170509B</t>
  </si>
  <si>
    <t>NX63034987</t>
  </si>
  <si>
    <t>CW0648602249</t>
  </si>
  <si>
    <t>PO-P-I170012</t>
  </si>
  <si>
    <t>PI-20170510A</t>
  </si>
  <si>
    <t>PO-20170510A</t>
  </si>
  <si>
    <t>NX79343699</t>
  </si>
  <si>
    <t>CG063764V931</t>
  </si>
  <si>
    <t>MB3180</t>
  </si>
  <si>
    <t>同V295</t>
  </si>
  <si>
    <t>ADAM-4050-DE</t>
  </si>
  <si>
    <t>NX63031486</t>
  </si>
  <si>
    <t>PI-20170512A</t>
  </si>
  <si>
    <t>TDM-150SB</t>
  </si>
  <si>
    <t>UPS Standard/Expedited
Account no.: WF1740</t>
  </si>
  <si>
    <t>見2017工單PI-20170512A(C161-162欄位)</t>
  </si>
  <si>
    <t>CU0657BF4528</t>
  </si>
  <si>
    <t>1Z1913EE6795408103</t>
  </si>
  <si>
    <t>P170513VJ0</t>
  </si>
  <si>
    <t>PI-20170515A</t>
  </si>
  <si>
    <t>DIN Rail Kit for SPC-2000 / SPC-3000</t>
  </si>
  <si>
    <t>6/1PM</t>
  </si>
  <si>
    <t>PO-20170515A</t>
  </si>
  <si>
    <t>NV38031574</t>
  </si>
  <si>
    <t>VECOW SPC-3520-300U
(Serial No. Q16A525001、Q16A525007~Q16A525010)</t>
  </si>
  <si>
    <t>同V300</t>
  </si>
  <si>
    <t>Additional two year warranty for SPC-3520-300U</t>
  </si>
  <si>
    <t>同P300</t>
  </si>
  <si>
    <t>PI-20170515C
(Leon 灌新軟體+標籤)
(2017/6/21 已付佣金)</t>
  </si>
  <si>
    <r>
      <rPr>
        <rFont val="Arial"/>
        <color rgb="FF000000"/>
        <sz val="10.0"/>
      </rPr>
      <t xml:space="preserve">Nport W2150A EU Band 
w/ SAA Adapter </t>
    </r>
    <r>
      <rPr>
        <rFont val="Arial"/>
        <b/>
        <color rgb="FF0000FF"/>
        <sz val="10.0"/>
      </rPr>
      <t>(w2x50a_1.9.62)</t>
    </r>
  </si>
  <si>
    <t>PO-20170515C</t>
  </si>
  <si>
    <t>NV35301201</t>
  </si>
  <si>
    <t>MOXA
四零四</t>
  </si>
  <si>
    <t>PI-20170515B</t>
  </si>
  <si>
    <t>AIMB-242QG2-M7A1E</t>
  </si>
  <si>
    <t>PO-20170515B</t>
  </si>
  <si>
    <t>NX63032015</t>
  </si>
  <si>
    <t>NV52173009</t>
  </si>
  <si>
    <t>對方敲定@30</t>
  </si>
  <si>
    <t>5/31 隨貨寄出</t>
  </si>
  <si>
    <t>P170516NP0</t>
  </si>
  <si>
    <t>PI-20170516B</t>
  </si>
  <si>
    <t>ECS-8000-2R850Q
(Serial No.S17A840044~S17A840045)</t>
  </si>
  <si>
    <t>PO-20170516B-1</t>
  </si>
  <si>
    <t>NV38031586</t>
  </si>
  <si>
    <t>CX062230FQBG</t>
  </si>
  <si>
    <t>065336-1</t>
  </si>
  <si>
    <t>PI-20170516A</t>
  </si>
  <si>
    <t>N173FGE-L23</t>
  </si>
  <si>
    <t>TNT Economy, account no: 2008044</t>
  </si>
  <si>
    <t>見2017工單PI-20170516A(C166欄位)</t>
  </si>
  <si>
    <t>CG063765Q330</t>
  </si>
  <si>
    <t>M3S0-8GSSDLPC
(向宜鼎購買 VECOW組裝)</t>
  </si>
  <si>
    <t>PO-20170516B-2</t>
  </si>
  <si>
    <t>NX67921931</t>
  </si>
  <si>
    <t>N173FGE-E23</t>
  </si>
  <si>
    <t>見2017工單PI-20170516A(C166-169欄位)</t>
  </si>
  <si>
    <t>LTEM-952
(BR-8080RB-00P)</t>
  </si>
  <si>
    <t>LTEM-952 CABLES KIT</t>
  </si>
  <si>
    <t xml:space="preserve">20170516-AA </t>
  </si>
  <si>
    <t>PI-20170517A</t>
  </si>
  <si>
    <t>MGate MB3180</t>
  </si>
  <si>
    <t>PO-20170517A</t>
  </si>
  <si>
    <t>NX79343832</t>
  </si>
  <si>
    <t>NV52173006</t>
  </si>
  <si>
    <t>5/24 台灣銀行@30.15</t>
  </si>
  <si>
    <t>5/25掛號寄出</t>
  </si>
  <si>
    <t>ioLogik E2210</t>
  </si>
  <si>
    <t>同V313</t>
  </si>
  <si>
    <t>同AA313</t>
  </si>
  <si>
    <t>PI-20170518D</t>
  </si>
  <si>
    <t>7008000370
( 8MS9P1B05M1RES-5)</t>
  </si>
  <si>
    <t>PO-20170518D</t>
  </si>
  <si>
    <t>PP03798966</t>
  </si>
  <si>
    <t>CX062230GTKS</t>
  </si>
  <si>
    <t>PI-20170518C</t>
  </si>
  <si>
    <t>PO-20170518C</t>
  </si>
  <si>
    <t>NX63032031</t>
  </si>
  <si>
    <t>CX062230D47Q</t>
  </si>
  <si>
    <t>DHL-8217137460</t>
  </si>
  <si>
    <t>NX63031997</t>
  </si>
  <si>
    <t>PI-20170518A</t>
  </si>
  <si>
    <t>PO-20170518A</t>
  </si>
  <si>
    <t>NX89613254</t>
  </si>
  <si>
    <t>CR063765A487</t>
  </si>
  <si>
    <t>CB17-251</t>
  </si>
  <si>
    <t>PI-20170518B</t>
  </si>
  <si>
    <t>RS-25-5</t>
  </si>
  <si>
    <t>同V314</t>
  </si>
  <si>
    <t>PI-20170519A</t>
  </si>
  <si>
    <t>POC-320 w/ 8GB RAM
(Serial No. H2400019)</t>
  </si>
  <si>
    <t>PO-20170519A</t>
  </si>
  <si>
    <t>NV35033367</t>
  </si>
  <si>
    <t>PO-023</t>
  </si>
  <si>
    <t>PI-20170519C</t>
  </si>
  <si>
    <t>PO-20170519C</t>
  </si>
  <si>
    <t>NX79343934</t>
  </si>
  <si>
    <t>CR063765E418</t>
  </si>
  <si>
    <t>TNT-403441695</t>
  </si>
  <si>
    <t>同V324</t>
  </si>
  <si>
    <t>P170519NP0</t>
  </si>
  <si>
    <r>
      <rPr>
        <rFont val="Arial"/>
        <color rgb="FF000000"/>
        <sz val="10.0"/>
      </rPr>
      <t xml:space="preserve">PI-20170519B
</t>
    </r>
    <r>
      <rPr>
        <rFont val="Arial"/>
        <color rgb="FF000000"/>
        <sz val="10.0"/>
      </rPr>
      <t>(Leon 組裝)</t>
    </r>
  </si>
  <si>
    <t>POC-212
(Serial No. H2113360~H2113361)</t>
  </si>
  <si>
    <t>PO-20170519B-1</t>
  </si>
  <si>
    <r>
      <rPr>
        <rFont val="Arial"/>
        <color rgb="FF000000"/>
        <sz val="10.0"/>
      </rPr>
      <t xml:space="preserve">PI-20170519B
</t>
    </r>
    <r>
      <rPr>
        <rFont val="Arial"/>
        <color rgb="FF000000"/>
        <sz val="10.0"/>
      </rPr>
      <t>(Leon 組裝)</t>
    </r>
  </si>
  <si>
    <r>
      <rPr>
        <rFont val="Arial"/>
        <color rgb="FF000000"/>
        <sz val="10.0"/>
      </rPr>
      <t xml:space="preserve">PI-20170519B
</t>
    </r>
    <r>
      <rPr>
        <rFont val="Arial"/>
        <color rgb="FF000000"/>
        <sz val="10.0"/>
      </rPr>
      <t>(Leon 組裝)</t>
    </r>
  </si>
  <si>
    <t>PO-20170519B-2</t>
  </si>
  <si>
    <t>NX62199493</t>
  </si>
  <si>
    <t>Masibus Automation  (FZC)</t>
  </si>
  <si>
    <t>ORD/1717/05/2017</t>
  </si>
  <si>
    <t>PI-20170522B</t>
  </si>
  <si>
    <t>MGate MB3660-8-2AC</t>
  </si>
  <si>
    <t>RATTAN EXPRESS(Air Freight )</t>
  </si>
  <si>
    <t>PO-20170522B</t>
  </si>
  <si>
    <t>NX79344933</t>
  </si>
  <si>
    <t>CH0629800507</t>
  </si>
  <si>
    <t>1-V
2-V</t>
  </si>
  <si>
    <t>MGate MB3660-16-2AC</t>
  </si>
  <si>
    <t>同V325</t>
  </si>
  <si>
    <t>Mini DB9F-to-TB Adapter</t>
  </si>
  <si>
    <t>P170526NP0</t>
  </si>
  <si>
    <t>PI-20170523A
(Leon 組裝 需2個工作天)</t>
  </si>
  <si>
    <t>POC-212
(Serial No. H2514405~H2514424)</t>
  </si>
  <si>
    <t>PO-20170523A-1</t>
  </si>
  <si>
    <t>NV35033370</t>
  </si>
  <si>
    <t>CX062230F1H5</t>
  </si>
  <si>
    <t xml:space="preserve">TS512MSK64W6H-I </t>
  </si>
  <si>
    <t>PO-20170523A-2</t>
  </si>
  <si>
    <t>NX62206762</t>
  </si>
  <si>
    <t>TS128GSSD420I</t>
  </si>
  <si>
    <t>同V331</t>
  </si>
  <si>
    <t>PI-20170525A</t>
  </si>
  <si>
    <t>PO-20170525A</t>
  </si>
  <si>
    <t>NX63034905</t>
  </si>
  <si>
    <t>同V338</t>
  </si>
  <si>
    <t>AIMB-R43PF-21A1E</t>
  </si>
  <si>
    <t>PI-20170524B</t>
  </si>
  <si>
    <t>PO-20170524B</t>
  </si>
  <si>
    <t>NV00164006</t>
  </si>
  <si>
    <t>CX062230E0FE</t>
  </si>
  <si>
    <t>PI-20170524D</t>
  </si>
  <si>
    <t>PO-20170524D</t>
  </si>
  <si>
    <t>NX79344552</t>
  </si>
  <si>
    <t>NV52173050</t>
  </si>
  <si>
    <t>對方敲定@30.1</t>
  </si>
  <si>
    <t>6/12掛號寄出</t>
  </si>
  <si>
    <t>同V336</t>
  </si>
  <si>
    <t>同AA337</t>
  </si>
  <si>
    <t>PI-20170524A</t>
  </si>
  <si>
    <t>PO-20170524A</t>
  </si>
  <si>
    <t>NX46333144</t>
  </si>
  <si>
    <t>CG063765G53</t>
  </si>
  <si>
    <t>PI-20170524C</t>
  </si>
  <si>
    <t>PO-20170524C</t>
  </si>
  <si>
    <t>NX63031998</t>
  </si>
  <si>
    <t>Freight For PI-20170524B</t>
  </si>
  <si>
    <t>NX22269341</t>
  </si>
  <si>
    <t>330-17051844</t>
  </si>
  <si>
    <t>PI-20170526B</t>
  </si>
  <si>
    <t>PO-20170526B</t>
  </si>
  <si>
    <t>NX79344677</t>
  </si>
  <si>
    <t>NV52173056</t>
  </si>
  <si>
    <t>6/15央行@30.247</t>
  </si>
  <si>
    <t>6/15發票掛號寄出</t>
  </si>
  <si>
    <t>9044-TD7225</t>
  </si>
  <si>
    <t>PI-20170526A</t>
  </si>
  <si>
    <t>MGate MB3180 w/ EU adapter</t>
  </si>
  <si>
    <t>JJB (Freight) Taiwan-FOB</t>
  </si>
  <si>
    <t>PO-20170526A</t>
  </si>
  <si>
    <t>NX79344548</t>
  </si>
  <si>
    <t>CH060F403181</t>
  </si>
  <si>
    <t>PI-20170526C</t>
  </si>
  <si>
    <t>PO-20170526C</t>
  </si>
  <si>
    <t>NX68026086</t>
  </si>
  <si>
    <t>PI-20170530B</t>
  </si>
  <si>
    <t>11090R0005
(MC7455)</t>
  </si>
  <si>
    <t>PO-20170530B(Revise)</t>
  </si>
  <si>
    <t>NV48096085</t>
  </si>
  <si>
    <t>CG063768S158</t>
  </si>
  <si>
    <t>TNT-424008690
FEDEX-779550913142</t>
  </si>
  <si>
    <t>PI-20170530A</t>
  </si>
  <si>
    <t>PoE board for Road Camera</t>
  </si>
  <si>
    <t>此單暫不計算</t>
  </si>
  <si>
    <t>PI-20170531A</t>
  </si>
  <si>
    <t>PO-20170531A</t>
  </si>
  <si>
    <t>NV00164007</t>
  </si>
  <si>
    <t>Freight For PI-20170531A</t>
  </si>
  <si>
    <t>同P334</t>
  </si>
  <si>
    <t>同V334</t>
  </si>
  <si>
    <t>PI-20170601A</t>
  </si>
  <si>
    <t>PO-20170601A</t>
  </si>
  <si>
    <t>NX63034964</t>
  </si>
  <si>
    <t>ADAM-6052-CE</t>
  </si>
  <si>
    <t>PO-20170601A-1</t>
  </si>
  <si>
    <t>NX63034891</t>
  </si>
  <si>
    <t>PI-20170601C</t>
  </si>
  <si>
    <t>PO-20170601C</t>
  </si>
  <si>
    <t>NX79344613</t>
  </si>
  <si>
    <t>CF06550NG533</t>
  </si>
  <si>
    <t>PO014053</t>
  </si>
  <si>
    <t>PI-20170601B</t>
  </si>
  <si>
    <t>PO-20170601B</t>
  </si>
  <si>
    <t>NX83868559</t>
  </si>
  <si>
    <t>CH0646002353</t>
  </si>
  <si>
    <t>同V355</t>
  </si>
  <si>
    <t>新漢智能</t>
  </si>
  <si>
    <t>Evaluation(10/17借轉銷)
PI-20170605B</t>
  </si>
  <si>
    <t>LPC-104S w/4GB DDR3L RAM</t>
  </si>
  <si>
    <t>見2017工單PI-20170605B</t>
  </si>
  <si>
    <t>QB52197206</t>
  </si>
  <si>
    <t>10/17掛號寄出</t>
  </si>
  <si>
    <t>065380-1</t>
  </si>
  <si>
    <t>PI-20170605A</t>
  </si>
  <si>
    <t>CES Group 閎亮/捷毅</t>
  </si>
  <si>
    <t>見2017工單PI-20170605A</t>
  </si>
  <si>
    <t>CG063765S646</t>
  </si>
  <si>
    <t>pick up TNT number 
 TPY 1706115
477855925</t>
  </si>
  <si>
    <t>PI-20170606A</t>
  </si>
  <si>
    <t>SPL-24-T V1.0.1</t>
  </si>
  <si>
    <t>PO-20170606A</t>
  </si>
  <si>
    <t>NX79344671</t>
  </si>
  <si>
    <t>CX062230EH7A</t>
  </si>
  <si>
    <t>PI-20170607A-2</t>
  </si>
  <si>
    <t>PO-20170607A(Revise-2)</t>
  </si>
  <si>
    <t>PL53026279</t>
  </si>
  <si>
    <t>CU0657BJ4023</t>
  </si>
  <si>
    <t>1Z 191 3EE 67 90124071</t>
  </si>
  <si>
    <t>PI-20170607A-1</t>
  </si>
  <si>
    <t>PL53026256</t>
  </si>
  <si>
    <t>CU0657BF5205</t>
  </si>
  <si>
    <t>1Z1913EE6795415131</t>
  </si>
  <si>
    <t>PI-20170608B
(Leon 測試)</t>
  </si>
  <si>
    <t>LPC-P173WH-ACTE
(0619 客戶要求變更成鋁前框)</t>
  </si>
  <si>
    <t>TNT economy
account # 002016562.</t>
  </si>
  <si>
    <t>見工單RDMO-20170511A及RDMO-20170511A-5及RDMO-20170511A-7</t>
  </si>
  <si>
    <t>CG06376A7663</t>
  </si>
  <si>
    <t>見工單RDMO-20170511A-8</t>
  </si>
  <si>
    <t>TS1GSH64V1H-I</t>
  </si>
  <si>
    <t>Transcend 創見到閎亮組裝</t>
  </si>
  <si>
    <t>見工單RDMO-20170511A-9</t>
  </si>
  <si>
    <t>TS64GSSD420KI</t>
  </si>
  <si>
    <t>見工單RDMO-20170511A-10</t>
  </si>
  <si>
    <t>PI-20170608B
(Leon 組裝軟體及測試)</t>
  </si>
  <si>
    <t>Win10 IoT Ent LTSB 2016 MultiLang OEI High End (ESD)
(6EU-00029)</t>
  </si>
  <si>
    <t>見工單RDMO-20170511A-11</t>
  </si>
  <si>
    <t>PI-20170608B</t>
  </si>
  <si>
    <t>Optical bonding</t>
  </si>
  <si>
    <t>見2017工單RDMO-20170511A-6</t>
  </si>
  <si>
    <t>PI-20170608A</t>
  </si>
  <si>
    <t>見2017工單PI-20170608A
(購買100PCS，此次出貨50PCS)</t>
  </si>
  <si>
    <t>PO-P-I170030</t>
  </si>
  <si>
    <t>PI-20170610A</t>
  </si>
  <si>
    <t>NPort 5130</t>
  </si>
  <si>
    <t>PO-20170610A</t>
  </si>
  <si>
    <t>NX79344743</t>
  </si>
  <si>
    <t>CR063765V741</t>
  </si>
  <si>
    <t>同V375</t>
  </si>
  <si>
    <t>Mini DB9F-to-TB</t>
  </si>
  <si>
    <t>P170609NP1</t>
  </si>
  <si>
    <t>PI-20170612A</t>
  </si>
  <si>
    <t>OP-080S (w/DC 24V)
(Serial No. C2061706001 ~C2061706005)</t>
  </si>
  <si>
    <t>DHL account # 968398926</t>
  </si>
  <si>
    <t>PO-20170612A</t>
  </si>
  <si>
    <t>NV51709636</t>
  </si>
  <si>
    <t>P170609NP2</t>
  </si>
  <si>
    <r>
      <rPr>
        <rFont val="Arial"/>
        <color rgb="FF000000"/>
        <sz val="10.0"/>
      </rPr>
      <t xml:space="preserve">PI-20170612B
</t>
    </r>
    <r>
      <rPr>
        <rFont val="Arial"/>
        <color rgb="FF000000"/>
        <sz val="10.0"/>
      </rPr>
      <t xml:space="preserve"> (Leon組裝)</t>
    </r>
  </si>
  <si>
    <t>PO-20170612B-2</t>
  </si>
  <si>
    <t>NX62206939</t>
  </si>
  <si>
    <r>
      <rPr>
        <rFont val="Arial"/>
        <color rgb="FF000000"/>
        <sz val="10.0"/>
      </rPr>
      <t xml:space="preserve">PI-20170612B
</t>
    </r>
    <r>
      <rPr>
        <rFont val="Arial"/>
        <color rgb="FF000000"/>
        <sz val="10.0"/>
      </rPr>
      <t xml:space="preserve"> (Leon組裝)</t>
    </r>
  </si>
  <si>
    <t>POC-212
(Serial No. H2514402~H2514404)</t>
  </si>
  <si>
    <t>PO-20170612B-1</t>
  </si>
  <si>
    <t>NV35033371</t>
  </si>
  <si>
    <r>
      <rPr>
        <rFont val="Arial"/>
        <color rgb="FF000000"/>
        <sz val="10.0"/>
      </rPr>
      <t xml:space="preserve">PI-20170612B
</t>
    </r>
    <r>
      <rPr>
        <rFont val="Arial"/>
        <color rgb="FF000000"/>
        <sz val="10.0"/>
      </rPr>
      <t xml:space="preserve"> (Leon組裝)</t>
    </r>
  </si>
  <si>
    <t>同V381</t>
  </si>
  <si>
    <t>PI-20170613D
(Leon 灌新軟體+標籤)</t>
  </si>
  <si>
    <r>
      <rPr>
        <rFont val="Arial"/>
        <color rgb="FF000000"/>
        <sz val="10.0"/>
      </rPr>
      <t xml:space="preserve">Nport W2150A EU Band 
w/ SAA Adapter </t>
    </r>
    <r>
      <rPr>
        <rFont val="Arial"/>
        <b/>
        <color rgb="FF0000FF"/>
        <sz val="10.0"/>
      </rPr>
      <t>(w2x50a_1.9.62)</t>
    </r>
  </si>
  <si>
    <t>PO-20170613D</t>
  </si>
  <si>
    <t>國泰世華銀行 美金帳戶
002-08-035588-5</t>
  </si>
  <si>
    <t>PL55705052</t>
  </si>
  <si>
    <t>9067-8102SI</t>
  </si>
  <si>
    <t>PI-20170613B</t>
  </si>
  <si>
    <t>N series AD board kits
(MB-215-94 V1)</t>
  </si>
  <si>
    <t>JJB (Freight) EX-WORK</t>
  </si>
  <si>
    <t>Linkface凌飛</t>
  </si>
  <si>
    <t>PO-20170613B-1</t>
  </si>
  <si>
    <t>NV53185410</t>
  </si>
  <si>
    <t>CH060F403773</t>
  </si>
  <si>
    <t>P170613NP0</t>
  </si>
  <si>
    <t>PI-20170613A</t>
  </si>
  <si>
    <t>ECS-8000-2R850Q
(Serial No.S17A840051~S17A840058)</t>
  </si>
  <si>
    <t>PO-20170613A(Revise)</t>
  </si>
  <si>
    <t>NV38031594</t>
  </si>
  <si>
    <t>Advantech研華貨到
Linkface</t>
  </si>
  <si>
    <t>PO-20170613B-2</t>
  </si>
  <si>
    <t>NX63034347</t>
  </si>
  <si>
    <t>9062-TD7228</t>
  </si>
  <si>
    <t>PI-20170613C</t>
  </si>
  <si>
    <t>CP-118U-I</t>
  </si>
  <si>
    <t>PO-20170613C</t>
  </si>
  <si>
    <t>NX79344811</t>
  </si>
  <si>
    <t>CH060F403769</t>
  </si>
  <si>
    <t>CBL-M78M9x8-100</t>
  </si>
  <si>
    <t>同V385</t>
  </si>
  <si>
    <t>PI-20170614A</t>
  </si>
  <si>
    <t>PO-20170614A-1</t>
  </si>
  <si>
    <t>PL34447484</t>
  </si>
  <si>
    <t>CF06550SU814</t>
  </si>
  <si>
    <t>同V388</t>
  </si>
  <si>
    <t>PO-20170614A-2</t>
  </si>
  <si>
    <t>PN99400368</t>
  </si>
  <si>
    <t>Koning &amp; Hartman
(Belgium)</t>
  </si>
  <si>
    <t>PI-20170614B</t>
  </si>
  <si>
    <t>PO-20170614B</t>
  </si>
  <si>
    <t>NX63037598</t>
  </si>
  <si>
    <t>CX062230FZPR</t>
  </si>
  <si>
    <t>同V392</t>
  </si>
  <si>
    <t>PI-20170616C</t>
  </si>
  <si>
    <t>PO-20170616C-1</t>
  </si>
  <si>
    <t>PL34447552</t>
  </si>
  <si>
    <t>CF06550VY540</t>
  </si>
  <si>
    <t>同V396</t>
  </si>
  <si>
    <t>Intel® Core™ i5-520M
(向捷毅國際購買,交由新漢組裝)</t>
  </si>
  <si>
    <t>PO-20170616C-2</t>
  </si>
  <si>
    <t>PN99400383</t>
  </si>
  <si>
    <t>PI-20170616B</t>
  </si>
  <si>
    <t>MXC-2300-3E1
(Serial No. : H652NS6006、H652NS6008、H652NS6018、H652NS6021、H652NS6022)</t>
  </si>
  <si>
    <t>PO-20170616B</t>
  </si>
  <si>
    <t>PN83867521</t>
  </si>
  <si>
    <t>CX062230GBEK</t>
  </si>
  <si>
    <t>PI-20170616A</t>
  </si>
  <si>
    <t>Moxa Nport 5130</t>
  </si>
  <si>
    <t>PO-20170616A</t>
  </si>
  <si>
    <t>NX79344793</t>
  </si>
  <si>
    <t>CF06550PK585</t>
  </si>
  <si>
    <t>PI-20170619C</t>
  </si>
  <si>
    <t>PO-20170619C(Revise-2)</t>
  </si>
  <si>
    <t>PL53026310</t>
  </si>
  <si>
    <t>CU0657BJ4457</t>
  </si>
  <si>
    <t>1Z1913EE6797708795</t>
  </si>
  <si>
    <t>PI-20170619B</t>
  </si>
  <si>
    <t>Aluminum front bezel</t>
  </si>
  <si>
    <t>1332017</t>
  </si>
  <si>
    <t>PI-20170619A</t>
  </si>
  <si>
    <t>IES-1062 FX-SS-SC</t>
  </si>
  <si>
    <t>ORING</t>
  </si>
  <si>
    <t>PO-20170619A</t>
  </si>
  <si>
    <t>富邦銀行西湖分行
668120002393</t>
  </si>
  <si>
    <t>PL08841500</t>
  </si>
  <si>
    <t>CF06550QR507</t>
  </si>
  <si>
    <t>63450</t>
  </si>
  <si>
    <t>PO-20170619B</t>
  </si>
  <si>
    <t>NV00164008</t>
  </si>
  <si>
    <t>CX062230FZQB</t>
  </si>
  <si>
    <t>Freight For PI-20170619B</t>
  </si>
  <si>
    <t>PN22208924</t>
  </si>
  <si>
    <t>PI-20170621B</t>
  </si>
  <si>
    <t>LPC-150SJ-02 w/ 3-pin power adapter</t>
  </si>
  <si>
    <t>見2017工單 PI-20170621B(204及206欄位)</t>
  </si>
  <si>
    <t>PL51629072</t>
  </si>
  <si>
    <t>此發票8月出口報關:CG06376A7663(已交由會計)</t>
  </si>
  <si>
    <t>CX062230PBNK</t>
  </si>
  <si>
    <t xml:space="preserve">ELS-3160S1 w/Antenna design </t>
  </si>
  <si>
    <t>開偉</t>
  </si>
  <si>
    <t>見2017工單 PI-20170621B(207欄位)</t>
  </si>
  <si>
    <t>PL48482424</t>
  </si>
  <si>
    <t>CW0601460329</t>
  </si>
  <si>
    <t xml:space="preserve">TS64GSSD420I </t>
  </si>
  <si>
    <t>PO-20170621B</t>
  </si>
  <si>
    <t>PN62198441</t>
  </si>
  <si>
    <t>PN62198383</t>
  </si>
  <si>
    <t>P1706621VJ0</t>
  </si>
  <si>
    <t>PI-20170621A</t>
  </si>
  <si>
    <t>VECOW SPC-3520-300U
(S/N:Q17A525002~Q17A525010)</t>
  </si>
  <si>
    <t>PO-20170621A-1</t>
  </si>
  <si>
    <t>PL37870602</t>
  </si>
  <si>
    <t>同V405</t>
  </si>
  <si>
    <t>同P405</t>
  </si>
  <si>
    <t>PO-20170621A-2</t>
  </si>
  <si>
    <t>PN89612232</t>
  </si>
  <si>
    <t>PI-20170621C</t>
  </si>
  <si>
    <t>PO-20170621C</t>
  </si>
  <si>
    <t>NX63035372</t>
  </si>
  <si>
    <t>CW0648602392</t>
  </si>
  <si>
    <t>同V414</t>
  </si>
  <si>
    <t>PCI-1612C-CE</t>
  </si>
  <si>
    <t>PI-20170622B</t>
  </si>
  <si>
    <t>PO-20170622B</t>
  </si>
  <si>
    <t>QU79343582</t>
  </si>
  <si>
    <t>QS52572203</t>
  </si>
  <si>
    <t>11/8 台灣銀行@30.185</t>
  </si>
  <si>
    <t>PI-20170622A</t>
  </si>
  <si>
    <t>PO-20170622A</t>
  </si>
  <si>
    <t>PN79344841</t>
  </si>
  <si>
    <t>PL52081553</t>
  </si>
  <si>
    <t>8/25 台灣銀行@30.23</t>
  </si>
  <si>
    <t>PI-20170622C</t>
  </si>
  <si>
    <t>PO-20170622C-1</t>
  </si>
  <si>
    <t>同V395</t>
  </si>
  <si>
    <t>CU0657BH6690</t>
  </si>
  <si>
    <t>ACL-6126</t>
  </si>
  <si>
    <t>PO-20170622C-2</t>
  </si>
  <si>
    <t>PN79343488</t>
  </si>
  <si>
    <t>同V423</t>
  </si>
  <si>
    <t>PI-20170622D</t>
  </si>
  <si>
    <t>PO-20170622D</t>
  </si>
  <si>
    <t>同V349</t>
  </si>
  <si>
    <t>見工單EMO-20170319A</t>
  </si>
  <si>
    <t>Alcom</t>
  </si>
  <si>
    <t>PO133744-1</t>
  </si>
  <si>
    <t>PI-20170626A</t>
  </si>
  <si>
    <t>CP-118EL-A w/o Cable</t>
  </si>
  <si>
    <t>PO-20170626A</t>
  </si>
  <si>
    <t>QD79343833</t>
  </si>
  <si>
    <t>CG06376D6650</t>
  </si>
  <si>
    <t>P170626VJ0</t>
  </si>
  <si>
    <t>PI-20170626B
(Leon組裝)</t>
  </si>
  <si>
    <t>PO-20170626B</t>
  </si>
  <si>
    <t>PN83868510</t>
  </si>
  <si>
    <t>CW0610012601</t>
  </si>
  <si>
    <t>618-47139853</t>
  </si>
  <si>
    <t>同V430</t>
  </si>
  <si>
    <t>NX83869026</t>
  </si>
  <si>
    <t>同V429</t>
  </si>
  <si>
    <t>PO014109</t>
  </si>
  <si>
    <t>PI-20170627A</t>
  </si>
  <si>
    <t>PO-20170627A</t>
  </si>
  <si>
    <t>PN83868921</t>
  </si>
  <si>
    <t>CH0646002568</t>
  </si>
  <si>
    <t>同V436</t>
  </si>
  <si>
    <t>PO_170627-1</t>
  </si>
  <si>
    <t>PI-20170627B</t>
  </si>
  <si>
    <t>PO-20170627B</t>
  </si>
  <si>
    <t>PN79343686</t>
  </si>
  <si>
    <t>PL52081505</t>
  </si>
  <si>
    <t>對方敲定@30.41</t>
  </si>
  <si>
    <t>7/17掛號寄出</t>
  </si>
  <si>
    <t>同V439</t>
  </si>
  <si>
    <t>同AA439</t>
  </si>
  <si>
    <t>17/0327M</t>
  </si>
  <si>
    <t>PI-20170628A</t>
  </si>
  <si>
    <t>PO-20170628A</t>
  </si>
  <si>
    <t>PN63031650</t>
  </si>
  <si>
    <t>CX062230GBG5</t>
  </si>
  <si>
    <t>PI-20170629A</t>
  </si>
  <si>
    <t>PO-20170629A</t>
  </si>
  <si>
    <t>PN63031488</t>
  </si>
  <si>
    <t>CX062230HXU4</t>
  </si>
  <si>
    <t>PO-042</t>
  </si>
  <si>
    <t>PI-20170629B</t>
  </si>
  <si>
    <t>NPort 5110A w/ EU adapter
(出貨invoice &amp; packing list移除 adapter 字眼. 避免海闗查)
(加HSN code: 85176970在invoice備註中)</t>
  </si>
  <si>
    <t>PO-20170629B</t>
  </si>
  <si>
    <t>PN79343511</t>
  </si>
  <si>
    <t>CX062230GKPA</t>
  </si>
  <si>
    <t>DHL-4985742134</t>
  </si>
  <si>
    <t>NPort 5110 w/ EU adapter
(出貨invoice &amp; packing list移除 adapter 字眼. 避免海闗查)
(加HSN code: 85176970在invoice備註中)</t>
  </si>
  <si>
    <t>同V452</t>
  </si>
  <si>
    <t>NPort 5130 w/ EU adapter
(出貨invoice &amp; packing list移除 adapter 字眼. 避免海闗查)
(加HSN code: 85176970在invoice備註中)</t>
  </si>
  <si>
    <t>NPort 5150 w/ EU adapter1150I
(出貨invoice &amp; packing list移除 adapter 字眼. 避免海闗查)
(加HSN code: 85176970在invoice備註中)</t>
  </si>
  <si>
    <t>UPORT 1150
(加HSN code: 85176970在invoice備註中)</t>
  </si>
  <si>
    <t>280617-42S</t>
  </si>
  <si>
    <t>PI-20170629C</t>
  </si>
  <si>
    <t>MeanWell DR-4512</t>
  </si>
  <si>
    <t>PO-20170629C</t>
  </si>
  <si>
    <t>PN89612309</t>
  </si>
  <si>
    <t>PL52081500</t>
  </si>
  <si>
    <t>大榮-15300456023</t>
  </si>
  <si>
    <t>7/4 台銀即期買入@30.45</t>
  </si>
  <si>
    <t>7/6併貨寄出</t>
  </si>
  <si>
    <t>MeanWell DR-15-24</t>
  </si>
  <si>
    <t>同V457</t>
  </si>
  <si>
    <t>同AA457</t>
  </si>
  <si>
    <t>NX63037538</t>
  </si>
  <si>
    <t>同V447</t>
  </si>
  <si>
    <t>330-17061989</t>
  </si>
  <si>
    <t>PI-20170703C</t>
  </si>
  <si>
    <t>PO-20170703C</t>
  </si>
  <si>
    <t>PN79344530</t>
  </si>
  <si>
    <t>PL52081550</t>
  </si>
  <si>
    <t>8/4央行@30.22</t>
  </si>
  <si>
    <t>掛號寄出</t>
  </si>
  <si>
    <t>P170630NP1</t>
  </si>
  <si>
    <t>PI-20170703B</t>
  </si>
  <si>
    <t>Nuvo-5006LP
(Serial No. H2808110)</t>
  </si>
  <si>
    <t>PO-20170703B-1(Revice)</t>
  </si>
  <si>
    <t>PL34490521</t>
  </si>
  <si>
    <t>CX062230H8Q0</t>
  </si>
  <si>
    <t>PA-160W-OW (Neousys)</t>
  </si>
  <si>
    <t>同V460</t>
  </si>
  <si>
    <t>P170630NP0</t>
  </si>
  <si>
    <t>PI-20170703A</t>
  </si>
  <si>
    <t>MXE-5401/M8G
(S/N:H416NS6026&amp;H416NS6029)</t>
  </si>
  <si>
    <t>PO-20170703A</t>
  </si>
  <si>
    <t>PN83867619</t>
  </si>
  <si>
    <t>TS2GSH64V1B
(向創見購買. Neousys 組裝)</t>
  </si>
  <si>
    <t>PO-20170703B-2</t>
  </si>
  <si>
    <t>PN62198453</t>
  </si>
  <si>
    <t>捷毅國際到宸曜組裝</t>
  </si>
  <si>
    <t>PO-20170703B-3</t>
  </si>
  <si>
    <t>PN99400188</t>
  </si>
  <si>
    <t>PI-20170703B
(請Leon測試)</t>
  </si>
  <si>
    <t>WFK-524 WIFI KIT
(請 Neousys 組裝)</t>
  </si>
  <si>
    <t>到Neousys組裝</t>
  </si>
  <si>
    <t>國泰世華二重分行013-070-03-500168-7</t>
  </si>
  <si>
    <t>閎亮科技</t>
  </si>
  <si>
    <t>PI-20170703D</t>
  </si>
  <si>
    <t>MS-98I8</t>
  </si>
  <si>
    <t>見2017工單 跟MSI借轉銷
PI-20170703D</t>
  </si>
  <si>
    <t>PN82940384</t>
  </si>
  <si>
    <t>PL52081503</t>
  </si>
  <si>
    <t>機車快遞</t>
  </si>
  <si>
    <t>PI-20170705A</t>
  </si>
  <si>
    <t>PO-20170705A</t>
  </si>
  <si>
    <t>PL34447695</t>
  </si>
  <si>
    <t>同V467</t>
  </si>
  <si>
    <t>P170718NP2</t>
  </si>
  <si>
    <t>PI-20170706C-3
(Leon組裝)</t>
  </si>
  <si>
    <t>POC-212
(Serial No. H3615795~15841 / H3616452~453/ H3615789)</t>
  </si>
  <si>
    <t>PO-20170706C-1A(Revice)</t>
  </si>
  <si>
    <t>SEC30天.20萬</t>
  </si>
  <si>
    <t>QB34782115</t>
  </si>
  <si>
    <t>CX062230NYJB</t>
  </si>
  <si>
    <t>PO-20170706C-1B(Revise 2)</t>
  </si>
  <si>
    <t>QD62197918</t>
  </si>
  <si>
    <t>MI3MA6212804WN</t>
  </si>
  <si>
    <t>PO-20170706C-1C</t>
  </si>
  <si>
    <t>QB36842071</t>
  </si>
  <si>
    <t>PI-20170706C-2
(Leon組裝)</t>
  </si>
  <si>
    <t>POC-212
(Serial No H3315641~H3315690)</t>
  </si>
  <si>
    <t>PL34490494</t>
  </si>
  <si>
    <t>CX062230MDDJ</t>
  </si>
  <si>
    <t>PN62206715</t>
  </si>
  <si>
    <t>PL55753446</t>
  </si>
  <si>
    <t>PI-20170706C-1A
(Leon組裝)</t>
  </si>
  <si>
    <t>PL36842541</t>
  </si>
  <si>
    <t>CX062230LEPL</t>
  </si>
  <si>
    <t>PI-20170706C-1B
(Leon組裝)</t>
  </si>
  <si>
    <t>同V474</t>
  </si>
  <si>
    <t>POC-212
(Serial No. H3114632~14661)</t>
  </si>
  <si>
    <t>PL34490454</t>
  </si>
  <si>
    <t>POC-212
(Serial No. H3114662~H3114670)
(Serial No. H3114677~H3114691)
(Serial No. H3114850~H3114855)</t>
  </si>
  <si>
    <t>同V472</t>
  </si>
  <si>
    <t>PN62199936</t>
  </si>
  <si>
    <t>同P473</t>
  </si>
  <si>
    <t>同V473</t>
  </si>
  <si>
    <t>DE170711-001</t>
  </si>
  <si>
    <r>
      <rPr>
        <rFont val="arial,sans,sans-serif"/>
        <color rgb="FF000000"/>
        <sz val="10.0"/>
      </rPr>
      <t>PI-20170706B</t>
    </r>
    <r>
      <rPr>
        <rFont val="arial,sans,sans-serif"/>
        <color rgb="FF000000"/>
        <sz val="10.0"/>
      </rPr>
      <t xml:space="preserve">
(Leon更換標籤)</t>
    </r>
  </si>
  <si>
    <t>AWK-3121-EU</t>
  </si>
  <si>
    <t>PO-20170706B</t>
  </si>
  <si>
    <t>PN79343788</t>
  </si>
  <si>
    <t>CA0652015304</t>
  </si>
  <si>
    <t>PI-20170706A</t>
  </si>
  <si>
    <t>PO-20170706A</t>
  </si>
  <si>
    <t>PN79343684</t>
  </si>
  <si>
    <t>PO-20170706A-2</t>
  </si>
  <si>
    <t>PN79343685</t>
  </si>
  <si>
    <t>63480</t>
  </si>
  <si>
    <t>PI-20170707B</t>
  </si>
  <si>
    <t>BT-432IS
(S/N:1707001-1707050)</t>
  </si>
  <si>
    <t>PO-20170707B</t>
  </si>
  <si>
    <t>PL00253400</t>
  </si>
  <si>
    <t>CX062230HPV2</t>
  </si>
  <si>
    <t>1402017</t>
  </si>
  <si>
    <t>PI-20170707A</t>
  </si>
  <si>
    <t>Moxa TCF-142-M-ST</t>
  </si>
  <si>
    <t>PO-20170707A</t>
  </si>
  <si>
    <t>PN79343616</t>
  </si>
  <si>
    <t>CF06550RW733</t>
  </si>
  <si>
    <t>DHL Freight For PI-20170707B</t>
  </si>
  <si>
    <t>PN22229731</t>
  </si>
  <si>
    <t>DE170721-001</t>
  </si>
  <si>
    <r>
      <rPr>
        <rFont val="Arial"/>
        <color rgb="FF000000"/>
        <sz val="10.0"/>
      </rPr>
      <t xml:space="preserve">PI-20170711A </t>
    </r>
    <r>
      <rPr>
        <rFont val="Arial"/>
        <color rgb="FF000000"/>
        <sz val="10.0"/>
      </rPr>
      <t xml:space="preserve">
(Leon 灌新軟體+標籤)</t>
    </r>
  </si>
  <si>
    <r>
      <rPr>
        <rFont val="Arial"/>
        <color rgb="FF000000"/>
        <sz val="10.0"/>
      </rPr>
      <t xml:space="preserve">Nport W2150A EU Band 
w/ SAA Adapter </t>
    </r>
    <r>
      <rPr>
        <rFont val="Arial"/>
        <b/>
        <color rgb="FF0000FF"/>
        <sz val="10.0"/>
      </rPr>
      <t>(w2x50a_1.9.62)</t>
    </r>
  </si>
  <si>
    <t>PO-20170711A</t>
  </si>
  <si>
    <t>PL55705055</t>
  </si>
  <si>
    <t>PI-20170712A</t>
  </si>
  <si>
    <t>MK3MB1132G01SN</t>
  </si>
  <si>
    <t>PO-20170712A</t>
  </si>
  <si>
    <t>PL36842514</t>
  </si>
  <si>
    <t>CF06550SU799</t>
  </si>
  <si>
    <t>PI-20170713A</t>
  </si>
  <si>
    <t>ADAM-6051-CE</t>
  </si>
  <si>
    <t>PO-20170713A</t>
  </si>
  <si>
    <t>PN63031765</t>
  </si>
  <si>
    <t>Avza Tech</t>
  </si>
  <si>
    <t>PI-20170716A</t>
  </si>
  <si>
    <t>DHL 955245174</t>
  </si>
  <si>
    <t>PO-20170716A</t>
  </si>
  <si>
    <t>PN79422952</t>
  </si>
  <si>
    <t>CX062230JF9J</t>
  </si>
  <si>
    <t>同V491</t>
  </si>
  <si>
    <t>P170718NP1</t>
  </si>
  <si>
    <t>PI-20170719A
(Leon組裝)</t>
  </si>
  <si>
    <t>POC-212
(Serial No. H3114671~H3114676)</t>
  </si>
  <si>
    <t>PL34490471</t>
  </si>
  <si>
    <t>CX062230KL6G</t>
  </si>
  <si>
    <t>PI-20170719A</t>
  </si>
  <si>
    <t>OP-080S (w/DC 24V)
(Serial No. C2061708001~C2061708004)</t>
  </si>
  <si>
    <t>PO-20170719A-3</t>
  </si>
  <si>
    <t>PL51629103</t>
  </si>
  <si>
    <t>PO-20170719A-2</t>
  </si>
  <si>
    <t>PL34490455</t>
  </si>
  <si>
    <t>17/0372M</t>
  </si>
  <si>
    <t>PI-20170719B</t>
  </si>
  <si>
    <t>CP-114EL-I/DB9M</t>
  </si>
  <si>
    <t>PO-20170719B-2</t>
  </si>
  <si>
    <t>PN79344422</t>
  </si>
  <si>
    <t>CX062230JXTD</t>
  </si>
  <si>
    <t xml:space="preserve">UPort 1130I </t>
  </si>
  <si>
    <t>同V498</t>
  </si>
  <si>
    <t>PCI-1762-BE</t>
  </si>
  <si>
    <t>PO-20170719B-1</t>
  </si>
  <si>
    <t>PN63034571</t>
  </si>
  <si>
    <t>PO-20170719A-1</t>
  </si>
  <si>
    <t>PN62199709</t>
  </si>
  <si>
    <t>1422017</t>
  </si>
  <si>
    <t>PI-20170720A</t>
  </si>
  <si>
    <t>CP-138U</t>
  </si>
  <si>
    <t>PO-20170720A</t>
  </si>
  <si>
    <t>PN79344769</t>
  </si>
  <si>
    <t>CF06550WH795</t>
  </si>
  <si>
    <t>PI-20170721A</t>
  </si>
  <si>
    <t>PO-20170721A</t>
  </si>
  <si>
    <t>PN63031821</t>
  </si>
  <si>
    <t>PI-20170724A</t>
  </si>
  <si>
    <t>PO-20170724A</t>
  </si>
  <si>
    <t>1612726</t>
  </si>
  <si>
    <t>PI-20170724B</t>
  </si>
  <si>
    <t>PO-20170724B-1</t>
  </si>
  <si>
    <t>PL34447684</t>
  </si>
  <si>
    <t>同V505</t>
  </si>
  <si>
    <t>PO-20170724B-2</t>
  </si>
  <si>
    <t>PN99400797</t>
  </si>
  <si>
    <t>PI-20170724C</t>
  </si>
  <si>
    <t>PO-20170724C</t>
  </si>
  <si>
    <t>PN46333099</t>
  </si>
  <si>
    <t>CH0676002029</t>
  </si>
  <si>
    <t>PO-048</t>
  </si>
  <si>
    <t>PI-20170725A</t>
  </si>
  <si>
    <t>PO-20170725A</t>
  </si>
  <si>
    <t>PN79344672</t>
  </si>
  <si>
    <t>CX062230L74Q</t>
  </si>
  <si>
    <t>同V509</t>
  </si>
  <si>
    <t>NPort 5150 w/ EU adapter
(出貨invoice &amp; packing list移除 adapter 字眼. 避免海闗查)
(加HSN code: 85176970在invoice備註中)</t>
  </si>
  <si>
    <t>DE170920-001</t>
  </si>
  <si>
    <t>PI-20170727A
(待Leon 確認軟體版本+標籤)</t>
  </si>
  <si>
    <t>AWK-3131A-EU</t>
  </si>
  <si>
    <t>PO-20170727A</t>
  </si>
  <si>
    <t>QD79343831</t>
  </si>
  <si>
    <t>CA0652015532</t>
  </si>
  <si>
    <t>DE170920-002</t>
  </si>
  <si>
    <r>
      <rPr>
        <rFont val="Arial"/>
        <color rgb="FF000000"/>
        <sz val="10.0"/>
      </rPr>
      <t xml:space="preserve">Evaluation
PI-20170726A
</t>
    </r>
    <r>
      <rPr>
        <rFont val="Arial"/>
        <color rgb="FF000000"/>
        <sz val="10.0"/>
      </rPr>
      <t>(待Leon 確認軟體版本)</t>
    </r>
  </si>
  <si>
    <t>順豐-對方帳號</t>
  </si>
  <si>
    <t>Evaluation PO-20170726A</t>
  </si>
  <si>
    <t>9/25已歸還MOXA</t>
  </si>
  <si>
    <t>Evaluation
PI-20170726A
(待Leon 確認軟體版本)</t>
  </si>
  <si>
    <t>AWK-1131A-EU</t>
  </si>
  <si>
    <t>Evaluation</t>
  </si>
  <si>
    <t>P170727NP0</t>
  </si>
  <si>
    <t>PI-20170731A</t>
  </si>
  <si>
    <t>ECS-9240-GTX1050T
(S/N:E171E340001)</t>
  </si>
  <si>
    <t>PO-20170731A-1</t>
  </si>
  <si>
    <t>PL37870642</t>
  </si>
  <si>
    <t>CX062230LSAV</t>
  </si>
  <si>
    <t>同V516</t>
  </si>
  <si>
    <t>i7-7700T
(向捷毅購買. VECOW組裝)</t>
  </si>
  <si>
    <t>PO-20170731A-2</t>
  </si>
  <si>
    <t>PN99400929</t>
  </si>
  <si>
    <t>TS2GSH64V1B        
(向創見購買. VECOW組裝)</t>
  </si>
  <si>
    <t>Transcend創見到超恩組裝</t>
  </si>
  <si>
    <t>PO-20170731A-3</t>
  </si>
  <si>
    <t>PN62206261</t>
  </si>
  <si>
    <t>63513</t>
  </si>
  <si>
    <t>PI-20170731B</t>
  </si>
  <si>
    <t>BT-432IS
(S/N:1708001-1708008)</t>
  </si>
  <si>
    <t>PO-20170731B</t>
  </si>
  <si>
    <t>PL00253401</t>
  </si>
  <si>
    <t>CX062230KL2H</t>
  </si>
  <si>
    <t>DHL Freight For PI-20170731B</t>
  </si>
  <si>
    <t>PN22269512</t>
  </si>
  <si>
    <t>PI-20170801D</t>
  </si>
  <si>
    <t>PO-20170801D</t>
  </si>
  <si>
    <t>QE03799023</t>
  </si>
  <si>
    <t>CG06376C8860</t>
  </si>
  <si>
    <t>PI-20170801C</t>
  </si>
  <si>
    <t>NPort 5650I-8-DTL/EU</t>
  </si>
  <si>
    <t>PO-20170801C</t>
  </si>
  <si>
    <t>PN79344768</t>
  </si>
  <si>
    <t>CX062230LS09</t>
  </si>
  <si>
    <t>P170801NP1</t>
  </si>
  <si>
    <t>PI-20170801A</t>
  </si>
  <si>
    <t>ECS-8000-2R850Q
(S/N:S17A840101~S17A840112)</t>
  </si>
  <si>
    <t>PO-20170801A</t>
  </si>
  <si>
    <t>PL37870639</t>
  </si>
  <si>
    <t>CX062230L6SK</t>
  </si>
  <si>
    <t>P170801NP2</t>
  </si>
  <si>
    <t>PI-20170801B</t>
  </si>
  <si>
    <t>PO-20170801B</t>
  </si>
  <si>
    <t>PL36842543</t>
  </si>
  <si>
    <t>DHL Freight For PI-20170801C</t>
  </si>
  <si>
    <t>PN22284757</t>
  </si>
  <si>
    <t>PI-20170802A</t>
  </si>
  <si>
    <t>PO-20170802A</t>
  </si>
  <si>
    <t>PN79344767</t>
  </si>
  <si>
    <t>PL52081552</t>
  </si>
  <si>
    <t>對方敲定@30.29</t>
  </si>
  <si>
    <t>PI-20170804A-2</t>
  </si>
  <si>
    <t>BT-432IS
(S/N:1709001-1709015)</t>
  </si>
  <si>
    <t>PO-20170804A</t>
  </si>
  <si>
    <t>QB00194100</t>
  </si>
  <si>
    <t>CX062230NAAB</t>
  </si>
  <si>
    <t>63522</t>
  </si>
  <si>
    <t>PI-20170804B</t>
  </si>
  <si>
    <t>BT-432IS
(S/N:1709016-1709025)</t>
  </si>
  <si>
    <t>同O530</t>
  </si>
  <si>
    <t>同V530</t>
  </si>
  <si>
    <t>PI-20170804A-1</t>
  </si>
  <si>
    <t>BT-432IS
(S/N:1708009-1708043)</t>
  </si>
  <si>
    <t>PL00253405</t>
  </si>
  <si>
    <t>DHL Freight For PI-20170804A-1</t>
  </si>
  <si>
    <t>同P525</t>
  </si>
  <si>
    <t>同V525</t>
  </si>
  <si>
    <t>DHL Freight For PI-20170804A-2</t>
  </si>
  <si>
    <t>QD22218607</t>
  </si>
  <si>
    <t>DHL Freight For PI-20170804B</t>
  </si>
  <si>
    <t>同P531</t>
  </si>
  <si>
    <t>同V531</t>
  </si>
  <si>
    <t>PI-20170807A</t>
  </si>
  <si>
    <t>PO-20170807A</t>
  </si>
  <si>
    <t>PN63034768</t>
  </si>
  <si>
    <t>CX062230KXSY</t>
  </si>
  <si>
    <t>PCIE-1730-AE</t>
  </si>
  <si>
    <t>同V532</t>
  </si>
  <si>
    <t>PI-20170809A</t>
  </si>
  <si>
    <t>PO-20170809A</t>
  </si>
  <si>
    <t>PN63034892</t>
  </si>
  <si>
    <t>ADAM-5051D-BE</t>
  </si>
  <si>
    <t>同V536</t>
  </si>
  <si>
    <t>ADAM-5056D-AE</t>
  </si>
  <si>
    <t>ADAM-4015-CE</t>
  </si>
  <si>
    <t>P170811NP0</t>
  </si>
  <si>
    <t>PI-20170811A</t>
  </si>
  <si>
    <t>PO-20170811A</t>
  </si>
  <si>
    <t>PL37870638</t>
  </si>
  <si>
    <t>DE170814-001</t>
  </si>
  <si>
    <t>PI-20170814A
(Leon 灌新軟體+標籤)</t>
  </si>
  <si>
    <r>
      <rPr>
        <rFont val="Arial"/>
        <color rgb="FF000000"/>
        <sz val="10.0"/>
      </rPr>
      <t xml:space="preserve">Nport W2150A EU Band 
w/ SAA Adapter </t>
    </r>
    <r>
      <rPr>
        <rFont val="Arial"/>
        <b/>
        <color rgb="FF0000FF"/>
        <sz val="10.0"/>
      </rPr>
      <t>(w2x50a_1.9.62)</t>
    </r>
  </si>
  <si>
    <t>PO-20170814A</t>
  </si>
  <si>
    <t>PL55705056</t>
  </si>
  <si>
    <t>CA0652015388</t>
  </si>
  <si>
    <t>Evaluation PI-20170815A</t>
  </si>
  <si>
    <t>LPC-185W</t>
  </si>
  <si>
    <t>LPC-121S</t>
  </si>
  <si>
    <t>TDM-150S</t>
  </si>
  <si>
    <t>P170813NP0</t>
  </si>
  <si>
    <t>PI-20170817A</t>
  </si>
  <si>
    <t>RMA repair charge for RMA-20170720A</t>
  </si>
  <si>
    <t>QB37954958</t>
  </si>
  <si>
    <t>CX062230NEVF</t>
  </si>
  <si>
    <t>PO-P-I170066</t>
  </si>
  <si>
    <t>PI-20170821A</t>
  </si>
  <si>
    <t>DHL Express Courier Cargo Mode (A/C NO: 964096297)</t>
  </si>
  <si>
    <t>PO-20170821A</t>
  </si>
  <si>
    <t>PN79344848</t>
  </si>
  <si>
    <t>CX062230M59T</t>
  </si>
  <si>
    <t>PI-20170823B-1</t>
  </si>
  <si>
    <t>W2150A</t>
  </si>
  <si>
    <t>PO-20170823B-1</t>
  </si>
  <si>
    <t>QD79343734</t>
  </si>
  <si>
    <t>CX062230P4L9</t>
  </si>
  <si>
    <t>ANT-WSB-AHRM-05-1.5m</t>
  </si>
  <si>
    <t>同V549</t>
  </si>
  <si>
    <t>NISE-104 with Power adapter(P/N:10J00010400X2, P/N:7400060018X00)</t>
  </si>
  <si>
    <t>DHL 955245174
Elgens DHL</t>
  </si>
  <si>
    <t>2017/9/19
2017/10/18</t>
  </si>
  <si>
    <t>PO-20170823B-2(Revice)</t>
  </si>
  <si>
    <t>QB34518778</t>
  </si>
  <si>
    <t>PI-20170823A</t>
  </si>
  <si>
    <t>FAB100</t>
  </si>
  <si>
    <t>PO-20170823A</t>
  </si>
  <si>
    <t>PN79423193</t>
  </si>
  <si>
    <t>CX062230MDQF</t>
  </si>
  <si>
    <t>63548</t>
  </si>
  <si>
    <t>PI-20170824A</t>
  </si>
  <si>
    <t>BT-432IS
(S/N:1709025-1709031)</t>
  </si>
  <si>
    <t>PO-20170824A</t>
  </si>
  <si>
    <t>QB00194101</t>
  </si>
  <si>
    <t>17/0433M</t>
  </si>
  <si>
    <t>PI-20170824B</t>
  </si>
  <si>
    <t>PO-20170824B</t>
  </si>
  <si>
    <t>PN63035374</t>
  </si>
  <si>
    <t>CX062230MSAR</t>
  </si>
  <si>
    <t>PI-20170824C</t>
  </si>
  <si>
    <t>PO-20170824C</t>
  </si>
  <si>
    <t>PN63035342</t>
  </si>
  <si>
    <t>CX062230MNVB</t>
  </si>
  <si>
    <t>同V555</t>
  </si>
  <si>
    <t>96PS-A400WFX-1</t>
  </si>
  <si>
    <t>1700020294-01</t>
  </si>
  <si>
    <t>ACP-2320MB-00CE</t>
  </si>
  <si>
    <t>AIMB-580QG2-00A1E</t>
  </si>
  <si>
    <t>AIMB-RP30P-03A1E</t>
  </si>
  <si>
    <t>DHL Freight For PI-20170824A</t>
  </si>
  <si>
    <t>P170825NP4</t>
  </si>
  <si>
    <t>PI-20170825C</t>
  </si>
  <si>
    <t>02-BE-00034</t>
  </si>
  <si>
    <t>CX062230QY15</t>
  </si>
  <si>
    <t>02-BE-00035</t>
  </si>
  <si>
    <t>Apacer 宇瞻科技</t>
  </si>
  <si>
    <t>APEFC-G50 (Apacer)</t>
  </si>
  <si>
    <t>PO-20170825C</t>
  </si>
  <si>
    <t>兆豐銀行:017-2015
20109082978</t>
  </si>
  <si>
    <t>QD72854484</t>
  </si>
  <si>
    <t>APEFC-R50 (Apacer)</t>
  </si>
  <si>
    <t>同P570</t>
  </si>
  <si>
    <t>同V570</t>
  </si>
  <si>
    <t>P170825NP2</t>
  </si>
  <si>
    <r>
      <rPr>
        <rFont val="Arial"/>
        <color rgb="FF000000"/>
        <sz val="10.0"/>
      </rPr>
      <t xml:space="preserve">PI-20170825A
</t>
    </r>
    <r>
      <rPr>
        <rFont val="Arial"/>
        <color rgb="FF000000"/>
        <sz val="10.0"/>
      </rPr>
      <t>(請LEON測試)</t>
    </r>
  </si>
  <si>
    <t>VECOW SPC-3520-300U
(S/N:Q17A525011~Q17A525012)</t>
  </si>
  <si>
    <t>PO-20170825A</t>
  </si>
  <si>
    <t>QB37954966</t>
  </si>
  <si>
    <t>CX062230PD4W</t>
  </si>
  <si>
    <r>
      <rPr>
        <rFont val="Arial"/>
        <color rgb="FF000000"/>
        <sz val="10.0"/>
      </rPr>
      <t xml:space="preserve">PI-20170825A
</t>
    </r>
    <r>
      <rPr>
        <rFont val="Arial"/>
        <color rgb="FF000000"/>
        <sz val="10.0"/>
      </rPr>
      <t>(請LEON測試)</t>
    </r>
  </si>
  <si>
    <t>同P565</t>
  </si>
  <si>
    <t>同V565</t>
  </si>
  <si>
    <t xml:space="preserve">P170825NP3 </t>
  </si>
  <si>
    <t>PI-20170825B</t>
  </si>
  <si>
    <t>MC6SFB116G04WN (Memxpro)</t>
  </si>
  <si>
    <r>
      <rPr>
        <rFont val="Arial"/>
        <strike/>
        <color rgb="FF000000"/>
        <sz val="10.0"/>
      </rPr>
      <t>PO-20170825B-1</t>
    </r>
    <r>
      <rPr>
        <rFont val="Arial"/>
        <color rgb="FF000000"/>
        <sz val="10.0"/>
      </rPr>
      <t xml:space="preserve">
PO-20170825B-3(Revice)</t>
    </r>
  </si>
  <si>
    <t>同V483</t>
  </si>
  <si>
    <t>PI-20170825D</t>
  </si>
  <si>
    <t>PO-20170825D</t>
  </si>
  <si>
    <t>QD79343605</t>
  </si>
  <si>
    <t>QB52197152</t>
  </si>
  <si>
    <t>@30.02</t>
  </si>
  <si>
    <t>同V572</t>
  </si>
  <si>
    <t>AP-CF016GRBNS-ETNRG (Apacer)</t>
  </si>
  <si>
    <t>PO-20170825B-2(Revice)</t>
  </si>
  <si>
    <t>QD72854358</t>
  </si>
  <si>
    <r>
      <rPr>
        <rFont val="Arial"/>
        <color rgb="FF000000"/>
        <sz val="10.0"/>
      </rPr>
      <t xml:space="preserve">PI-20170825A
</t>
    </r>
    <r>
      <rPr>
        <rFont val="Arial"/>
        <color rgb="FF000000"/>
        <sz val="10.0"/>
      </rPr>
      <t>(請LEON測試)</t>
    </r>
  </si>
  <si>
    <t>D4S8GHIOFFC
(請VECOW組裝)</t>
  </si>
  <si>
    <t>見2017工單PI-20170825A</t>
  </si>
  <si>
    <t>QB36842174</t>
  </si>
  <si>
    <t>PI-20170828A</t>
  </si>
  <si>
    <t>PO-20170828A</t>
  </si>
  <si>
    <t>QB37954951</t>
  </si>
  <si>
    <t>PL52081554</t>
  </si>
  <si>
    <t>PO-1532017</t>
  </si>
  <si>
    <t>PI-20170829A-1</t>
  </si>
  <si>
    <t>Forwarder-JJB Link Logistics Company Inc.</t>
  </si>
  <si>
    <t>PO-20170829A-1</t>
  </si>
  <si>
    <t>QD79343832</t>
  </si>
  <si>
    <t xml:space="preserve">CH060F405773 </t>
  </si>
  <si>
    <t>589-65660991</t>
  </si>
  <si>
    <t>NPort-5450I-T</t>
  </si>
  <si>
    <t>同V579</t>
  </si>
  <si>
    <t>Nport-S8455I-MM-SC-T</t>
  </si>
  <si>
    <t>NPort 5210A-T</t>
  </si>
  <si>
    <t>ModeTCF-142-M-ST</t>
  </si>
  <si>
    <t>TCC-82 port powered RS232 Isolator</t>
  </si>
  <si>
    <t>PO-20170829A-2</t>
  </si>
  <si>
    <t>QB49623355</t>
  </si>
  <si>
    <t>PI-20170829A-2</t>
  </si>
  <si>
    <t>CH060J351689</t>
  </si>
  <si>
    <t>618-49525206</t>
  </si>
  <si>
    <t>PI-20170830C
(Leon 灌新軟體+標籤)</t>
  </si>
  <si>
    <r>
      <rPr>
        <rFont val="Arial"/>
        <color rgb="FF000000"/>
        <sz val="10.0"/>
      </rPr>
      <t xml:space="preserve">Nport W2150A EU Band 
w/ SAA Adapter </t>
    </r>
    <r>
      <rPr>
        <rFont val="Arial"/>
        <b/>
        <color rgb="FF0000FF"/>
        <sz val="10.0"/>
      </rPr>
      <t>(w2x50a_1.9.62)</t>
    </r>
  </si>
  <si>
    <t>PO-20170830C</t>
  </si>
  <si>
    <t>QB55944102</t>
  </si>
  <si>
    <t>P170830NP1</t>
  </si>
  <si>
    <t>PI-20170830A</t>
  </si>
  <si>
    <t>RK-610A-W ATX Power Cable
(YRK17072501)</t>
  </si>
  <si>
    <t>PO-20170830A(Revice)</t>
  </si>
  <si>
    <t>QE03799080</t>
  </si>
  <si>
    <r>
      <rPr>
        <rFont val="Arial"/>
        <color rgb="FF000000"/>
        <sz val="10.0"/>
      </rPr>
      <t xml:space="preserve">PI-20170830B
</t>
    </r>
    <r>
      <rPr>
        <rFont val="Arial"/>
        <color rgb="FF000000"/>
        <sz val="10.0"/>
      </rPr>
      <t>(Leon組裝)</t>
    </r>
  </si>
  <si>
    <t>RCO-6000-4L (C&amp;T)
(S/N:1736021088)</t>
  </si>
  <si>
    <t>C&amp;T智愛</t>
  </si>
  <si>
    <t>PO-20170830B-1</t>
  </si>
  <si>
    <t xml:space="preserve">彰化銀行松江分行(009)                                                                                                                                                                        9752-86-001881-00                                                                                                                                                                                </t>
  </si>
  <si>
    <t>QB34559302</t>
  </si>
  <si>
    <r>
      <rPr>
        <rFont val="Arial"/>
        <color rgb="FF000000"/>
        <sz val="10.0"/>
      </rPr>
      <t xml:space="preserve">PI-20170830B
</t>
    </r>
    <r>
      <rPr>
        <rFont val="Arial"/>
        <color rgb="FF000000"/>
        <sz val="10.0"/>
      </rPr>
      <t>(Leon組裝)</t>
    </r>
  </si>
  <si>
    <t>i7-6700TE</t>
  </si>
  <si>
    <t>PO-20170830B-2</t>
  </si>
  <si>
    <t>QD99400159</t>
  </si>
  <si>
    <r>
      <rPr>
        <rFont val="Arial"/>
        <color rgb="FF000000"/>
        <sz val="10.0"/>
      </rPr>
      <t xml:space="preserve">PI-20170830B
</t>
    </r>
    <r>
      <rPr>
        <rFont val="Arial"/>
        <color rgb="FF000000"/>
        <sz val="10.0"/>
      </rPr>
      <t>(Leon組裝)</t>
    </r>
  </si>
  <si>
    <t>TS1GSH64V1H</t>
  </si>
  <si>
    <t>PO-20170830B-3</t>
  </si>
  <si>
    <t>QD62197923</t>
  </si>
  <si>
    <t>PI-20170831A</t>
  </si>
  <si>
    <t>PO-20170831A-1</t>
  </si>
  <si>
    <t>QD46333026</t>
  </si>
  <si>
    <t>PO-20170831A-2</t>
  </si>
  <si>
    <t>QD68026007</t>
  </si>
  <si>
    <t>同V590</t>
  </si>
  <si>
    <t>PI-20170904A</t>
  </si>
  <si>
    <t>PO-20170904A</t>
  </si>
  <si>
    <t>QD693031460</t>
  </si>
  <si>
    <t>CX062230NN73</t>
  </si>
  <si>
    <t>同V592</t>
  </si>
  <si>
    <t>PI-20170905A
(請LEON測試)</t>
  </si>
  <si>
    <t>ECS-8000-2R850Q
(Serial No.S17A840113~S17A840117)</t>
  </si>
  <si>
    <t>PO-20170905A</t>
  </si>
  <si>
    <t>QB37954956</t>
  </si>
  <si>
    <t>M3S0-8GSSDLPC 
(請VECOW組裝)</t>
  </si>
  <si>
    <t>見2017工單RDMO-20170825B(買進10 PCS，出貨5PCS)</t>
  </si>
  <si>
    <t>300104</t>
  </si>
  <si>
    <t>PI-20170906B</t>
  </si>
  <si>
    <t>PO-20170906B</t>
  </si>
  <si>
    <t>QD79344440</t>
  </si>
  <si>
    <t>CF065500677E</t>
  </si>
  <si>
    <t>MGate MB3180/EU</t>
  </si>
  <si>
    <t>同601</t>
  </si>
  <si>
    <t>PI-20170906A</t>
  </si>
  <si>
    <t>PO-20170906A</t>
  </si>
  <si>
    <t>QD79343603</t>
  </si>
  <si>
    <t>PI-20170908A</t>
  </si>
  <si>
    <t>PO-20170908A</t>
  </si>
  <si>
    <t>QB37954957</t>
  </si>
  <si>
    <t>QB52197150</t>
  </si>
  <si>
    <t>9/11掛號寄出</t>
  </si>
  <si>
    <t>PI-20170911B</t>
  </si>
  <si>
    <t>7009000001
CRK16011501-T
(LVDS cable SBC-210 for G101EVN01.0)"</t>
  </si>
  <si>
    <t>PO-20170911B-1</t>
  </si>
  <si>
    <t>QE03799223</t>
  </si>
  <si>
    <t>同2017工單X256</t>
  </si>
  <si>
    <t>CG06376D8061</t>
  </si>
  <si>
    <t>P170911NP0</t>
  </si>
  <si>
    <t>PI-20170911C</t>
  </si>
  <si>
    <t>OP-080S (w/DC 24V)
(S/N：C2061709001~C2061709004)</t>
  </si>
  <si>
    <t>PO-20170911C</t>
  </si>
  <si>
    <t>QB51743980</t>
  </si>
  <si>
    <t>CX062230PYN9</t>
  </si>
  <si>
    <t>70110M0001
(AUO G101EVN01.0)</t>
  </si>
  <si>
    <t>PO-20170911B-2</t>
  </si>
  <si>
    <t>QB35794703</t>
  </si>
  <si>
    <t>PI-20170911A</t>
  </si>
  <si>
    <t>PO-20170911A</t>
  </si>
  <si>
    <t>QD63031526</t>
  </si>
  <si>
    <t>PI-20170912B</t>
  </si>
  <si>
    <t>PO-20170912B-1</t>
  </si>
  <si>
    <t>QB34518818</t>
  </si>
  <si>
    <t>CF065501240K</t>
  </si>
  <si>
    <t>同V611</t>
  </si>
  <si>
    <t>PO-20170912B-2</t>
  </si>
  <si>
    <t>QD99400460</t>
  </si>
  <si>
    <t>同V612</t>
  </si>
  <si>
    <t>110917-50S</t>
  </si>
  <si>
    <t>PI-20170912A</t>
  </si>
  <si>
    <t>MeanWell DR-15-12</t>
  </si>
  <si>
    <t>PO-20170912A</t>
  </si>
  <si>
    <t>QD89612897</t>
  </si>
  <si>
    <t>QB52197153</t>
  </si>
  <si>
    <t>大榮-15300456025</t>
  </si>
  <si>
    <t>P170913NP0</t>
  </si>
  <si>
    <t>PI-20170913A
(請LEON測試)</t>
  </si>
  <si>
    <t>VECOW SPC-3520-300U
(S/N：Q17A525013 / Q17A525014)</t>
  </si>
  <si>
    <t>PO-20170913A</t>
  </si>
  <si>
    <t>QB37954967</t>
  </si>
  <si>
    <r>
      <rPr>
        <rFont val="Arial"/>
        <color rgb="FF000000"/>
        <sz val="10.0"/>
      </rPr>
      <t xml:space="preserve">PI-20170913A
</t>
    </r>
    <r>
      <rPr>
        <rFont val="Arial"/>
        <color rgb="FF000000"/>
        <sz val="10.0"/>
      </rPr>
      <t>(請LEON測試)</t>
    </r>
  </si>
  <si>
    <t>同P619</t>
  </si>
  <si>
    <t>同V619</t>
  </si>
  <si>
    <t>見2017工單PI-20170913A</t>
  </si>
  <si>
    <t>同V566</t>
  </si>
  <si>
    <t>PI-20170914B
(待Leon 確認軟體版本+標籤)</t>
  </si>
  <si>
    <t>PO-20170914B</t>
  </si>
  <si>
    <t>QD79343863</t>
  </si>
  <si>
    <t>PI-20170914A
(Leon 灌新軟體+標籤)</t>
  </si>
  <si>
    <r>
      <rPr>
        <rFont val="Arial"/>
        <color rgb="FF000000"/>
        <sz val="10.0"/>
      </rPr>
      <t xml:space="preserve">Nport W2150A EU Band 
w/ SAA Adapter </t>
    </r>
    <r>
      <rPr>
        <rFont val="Arial"/>
        <b/>
        <color rgb="FF0000FF"/>
        <sz val="10.0"/>
      </rPr>
      <t>(w2x50a_1.9.62)</t>
    </r>
  </si>
  <si>
    <t>PO-20170914A</t>
  </si>
  <si>
    <t>PI-20170914C</t>
  </si>
  <si>
    <t>NISE 50 (Nexcom)</t>
  </si>
  <si>
    <t>PO-20170914C</t>
  </si>
  <si>
    <t>QB34518835</t>
  </si>
  <si>
    <t xml:space="preserve">Adaptek </t>
  </si>
  <si>
    <t>PI-20170914D</t>
  </si>
  <si>
    <t>PCIE-Q57A-R10</t>
  </si>
  <si>
    <t>PO-20170914D</t>
  </si>
  <si>
    <t>SEC14</t>
  </si>
  <si>
    <t>PXE-13S-R51(TBC)</t>
  </si>
  <si>
    <t>P170915NP0</t>
  </si>
  <si>
    <t>PI-20170915A</t>
  </si>
  <si>
    <t>ARCHMI-817
(S/N：A3170901819)</t>
  </si>
  <si>
    <t>PO-20170915A</t>
  </si>
  <si>
    <t>QB34551080</t>
  </si>
  <si>
    <t>PI-20170915B</t>
  </si>
  <si>
    <t>EKI-1522-BE</t>
  </si>
  <si>
    <t>PO-20170915B(Revice)</t>
  </si>
  <si>
    <t>QD63031993</t>
  </si>
  <si>
    <t>CX062230PYHY</t>
  </si>
  <si>
    <t>BB-UH401 (UH401)</t>
  </si>
  <si>
    <t>同V624</t>
  </si>
  <si>
    <t>PI-20170918A</t>
  </si>
  <si>
    <t>BT-432IS
(S/N:1709032-1709081)</t>
  </si>
  <si>
    <t>PO-20170918A</t>
  </si>
  <si>
    <t>QB00194102</t>
  </si>
  <si>
    <t>CX062230PLG9</t>
  </si>
  <si>
    <t>QD22224800</t>
  </si>
  <si>
    <t>PI-20170919A
(待Leon 確認軟體版本+標籤)</t>
  </si>
  <si>
    <t>PO-20170919A</t>
  </si>
  <si>
    <t>QD79344439</t>
  </si>
  <si>
    <t>PI-20170920A</t>
  </si>
  <si>
    <r>
      <rPr>
        <rFont val="Arial"/>
        <color rgb="FF000000"/>
        <sz val="10.0"/>
      </rPr>
      <t>2017/10/2</t>
    </r>
    <r>
      <rPr>
        <rFont val="Arial"/>
        <color rgb="FF000000"/>
        <sz val="10.0"/>
      </rPr>
      <t xml:space="preserve">
2017/10/6</t>
    </r>
  </si>
  <si>
    <t>PO-20170920A
PO-20170920A-1</t>
  </si>
  <si>
    <r>
      <rPr>
        <rFont val="Arial"/>
        <color rgb="FF000000"/>
        <sz val="10.0"/>
      </rPr>
      <t xml:space="preserve">2017/10/2
</t>
    </r>
    <r>
      <rPr>
        <rFont val="Arial"/>
        <color rgb="FF000000"/>
        <sz val="10.0"/>
      </rPr>
      <t>2017/10/6</t>
    </r>
  </si>
  <si>
    <r>
      <rPr>
        <rFont val="Arial"/>
        <color rgb="FF000000"/>
        <sz val="10.0"/>
      </rPr>
      <t xml:space="preserve">QD46333181 
</t>
    </r>
    <r>
      <rPr>
        <rFont val="Arial"/>
        <color rgb="FF000000"/>
        <sz val="10.0"/>
      </rPr>
      <t>QD46333190</t>
    </r>
  </si>
  <si>
    <r>
      <rPr>
        <rFont val="Arial"/>
        <color rgb="FF000000"/>
        <sz val="10.0"/>
      </rPr>
      <t xml:space="preserve">70155  (10 PCS)
</t>
    </r>
    <r>
      <rPr>
        <rFont val="Arial"/>
        <color rgb="FF000000"/>
        <sz val="10.0"/>
      </rPr>
      <t>42079  (6PCS)</t>
    </r>
  </si>
  <si>
    <t>065632-1</t>
  </si>
  <si>
    <t>PI-20170920C</t>
  </si>
  <si>
    <t>G150XTN06.0-MT-5W
(G150XTN06.0)
(MiracleTouch 10150050 V01)
(3M Air Taping)</t>
  </si>
  <si>
    <t>SMART斯麥特/閎亮</t>
  </si>
  <si>
    <t>見2017工單PI-20170920C-1</t>
  </si>
  <si>
    <t>見2017工單PI-20170920C</t>
  </si>
  <si>
    <t>CG06376E5515</t>
  </si>
  <si>
    <r>
      <rPr>
        <rFont val="Arial"/>
        <color rgb="FF000000"/>
        <sz val="10.0"/>
      </rPr>
      <t xml:space="preserve">PI-20170920B
</t>
    </r>
    <r>
      <rPr>
        <rFont val="Arial"/>
        <color rgb="FF000000"/>
        <sz val="10.0"/>
      </rPr>
      <t>(請LEON組裝)</t>
    </r>
  </si>
  <si>
    <t>12V, 60W AC/ DC power adapter w/o power cord (P/N: 7400060018X00) (Nexcom)</t>
  </si>
  <si>
    <t>pick up number UPS:1Z032RX78666533503</t>
  </si>
  <si>
    <t>PO-20170920B-1</t>
  </si>
  <si>
    <t>QB34518852</t>
  </si>
  <si>
    <t>同V632</t>
  </si>
  <si>
    <t>CU0657BF8004</t>
  </si>
  <si>
    <t>1Z032RX78666533503</t>
  </si>
  <si>
    <t>PI-20170920B
(請LEON組裝)</t>
  </si>
  <si>
    <t>EU power cord (Nexcom)</t>
  </si>
  <si>
    <t>NISE 104 (Nexcom)</t>
  </si>
  <si>
    <t>TS512MSK64V6H (創見)</t>
  </si>
  <si>
    <t>PO-20170920B-2</t>
  </si>
  <si>
    <t>QD62199885</t>
  </si>
  <si>
    <t>MI3MB1125604SN</t>
  </si>
  <si>
    <t>PO-20170920B-3</t>
  </si>
  <si>
    <t>QB36842143</t>
  </si>
  <si>
    <r>
      <rPr>
        <rFont val="Arial"/>
        <color rgb="FF000000"/>
        <sz val="10.0"/>
      </rPr>
      <t xml:space="preserve">PI-20170920B
</t>
    </r>
    <r>
      <rPr>
        <rFont val="Arial"/>
        <color rgb="FF000000"/>
        <sz val="10.0"/>
      </rPr>
      <t>(請LEON組裝)</t>
    </r>
  </si>
  <si>
    <t>Windows Embedded Standard 7 - WES 7 (7WT-00049)</t>
  </si>
  <si>
    <t>PO-20170920B-4</t>
  </si>
  <si>
    <t>QB34518833</t>
  </si>
  <si>
    <t>PI-20170920B</t>
  </si>
  <si>
    <t>P170922NP1</t>
  </si>
  <si>
    <t>PI-20170922C
(Leon組裝與測試)</t>
  </si>
  <si>
    <t>M3S0-8GSSDLPC
(向宜鼎購買組裝)</t>
  </si>
  <si>
    <t>見2017工單RDMO-20170825B</t>
  </si>
  <si>
    <t>P170922NP0</t>
  </si>
  <si>
    <t>PI-20170922B
(Leon測試)</t>
  </si>
  <si>
    <t>Nuvo-5002LP
(Serial No.H4008465~H4008467)</t>
  </si>
  <si>
    <t>PO-20170922B-1</t>
  </si>
  <si>
    <t>QB34782201</t>
  </si>
  <si>
    <t>CX062230RCJ2</t>
  </si>
  <si>
    <r>
      <rPr>
        <rFont val="Arial"/>
        <color rgb="FF000000"/>
        <sz val="10.0"/>
      </rPr>
      <t>PI-20170922B</t>
    </r>
    <r>
      <rPr>
        <rFont val="Arial"/>
        <color rgb="FF000000"/>
        <sz val="10.0"/>
      </rPr>
      <t xml:space="preserve">
(Leon測試)</t>
    </r>
  </si>
  <si>
    <t>Nuvo-5002LP
(Serial No.H4008463~H4008464)</t>
  </si>
  <si>
    <t>PI-20170922A</t>
  </si>
  <si>
    <t>PO-20170922A</t>
  </si>
  <si>
    <t>QD63034727</t>
  </si>
  <si>
    <t>CX062230R90J</t>
  </si>
  <si>
    <t>ECS-8000-2R850Q
(S/N:S17A840118)</t>
  </si>
  <si>
    <t>PO-20170922C-1</t>
  </si>
  <si>
    <t>QB37954975</t>
  </si>
  <si>
    <t>PO-20170922B-2</t>
  </si>
  <si>
    <t>QD99400676</t>
  </si>
  <si>
    <t>D4SAGHLPGFC
(向敏博購買. Neousys組裝)</t>
  </si>
  <si>
    <t>PO-20170922B-3</t>
  </si>
  <si>
    <t>QB36842145</t>
  </si>
  <si>
    <t>同V642</t>
  </si>
  <si>
    <r>
      <rPr>
        <rFont val="Arial"/>
        <color rgb="FF000000"/>
        <sz val="10.0"/>
      </rPr>
      <t>PI-20170922B</t>
    </r>
    <r>
      <rPr>
        <rFont val="Arial"/>
        <color rgb="FF000000"/>
        <sz val="10.0"/>
      </rPr>
      <t xml:space="preserve">
(Leon測試)</t>
    </r>
  </si>
  <si>
    <t>同V645</t>
  </si>
  <si>
    <t>Antéor – DIPM</t>
  </si>
  <si>
    <t>Evaluation PI-20170925A</t>
  </si>
  <si>
    <t>LPC-121S-01</t>
  </si>
  <si>
    <t>20170926-AA</t>
  </si>
  <si>
    <t>PI-20170926A-2
(christine換標籤)</t>
  </si>
  <si>
    <t>ELGENS-機車快遞</t>
  </si>
  <si>
    <t>PO-20170926A</t>
  </si>
  <si>
    <t>QB38618175</t>
  </si>
  <si>
    <t>同V653</t>
  </si>
  <si>
    <t>QB52197202</t>
  </si>
  <si>
    <t>沛勁-71666B</t>
  </si>
  <si>
    <t>10/5 台灣銀行@30.405</t>
  </si>
  <si>
    <t>10/5 隨貨寄出</t>
  </si>
  <si>
    <t>PI-20170926A-1
(christine換標籤)</t>
  </si>
  <si>
    <t>QB52197155</t>
  </si>
  <si>
    <t>9/28 台灣銀行@30.375</t>
  </si>
  <si>
    <t>9/29 隨貨寄出</t>
  </si>
  <si>
    <t>065602-1</t>
  </si>
  <si>
    <t>PI-20170927A</t>
  </si>
  <si>
    <t>PO-20170927A</t>
  </si>
  <si>
    <t>QB51744004</t>
  </si>
  <si>
    <t>同V654</t>
  </si>
  <si>
    <t>270917-42T</t>
  </si>
  <si>
    <t>PI-20170927B</t>
  </si>
  <si>
    <t>PO-20170927B</t>
  </si>
  <si>
    <t>QD89613862</t>
  </si>
  <si>
    <t>QB52197200</t>
  </si>
  <si>
    <t>大榮-15347136661</t>
  </si>
  <si>
    <t>9/30 台銀即期買入@30.21</t>
  </si>
  <si>
    <t>10/5隨貨寄出</t>
  </si>
  <si>
    <t>PI-20170928A</t>
  </si>
  <si>
    <t>見2017工單MPO-20170319A(Revised)-1</t>
  </si>
  <si>
    <t>70080Z0003
(RFA-01-GPS-12-A1-3M)</t>
  </si>
  <si>
    <t>見2016工單EMO-20161123A   5 PCS
2017工單PI-20170928A  7 PCS</t>
  </si>
  <si>
    <t>P170929NP1</t>
  </si>
  <si>
    <r>
      <rPr>
        <rFont val="Arial"/>
        <color rgb="FF000000"/>
        <sz val="10.0"/>
      </rPr>
      <t xml:space="preserve">PI-20170929C
</t>
    </r>
    <r>
      <rPr>
        <rFont val="Arial"/>
        <color rgb="FF000000"/>
        <sz val="10.0"/>
      </rPr>
      <t>(Leon組裝與測試)</t>
    </r>
  </si>
  <si>
    <t>見2017工單MPO-20170821B</t>
  </si>
  <si>
    <t>CX062230TZ6R</t>
  </si>
  <si>
    <r>
      <rPr>
        <rFont val="Arial"/>
        <color rgb="FF000000"/>
        <sz val="10.0"/>
      </rPr>
      <t xml:space="preserve">PI-20170929C
</t>
    </r>
    <r>
      <rPr>
        <rFont val="Arial"/>
        <color rgb="FF000000"/>
        <sz val="10.0"/>
      </rPr>
      <t>(Leon組裝與測試)</t>
    </r>
  </si>
  <si>
    <t>見2017工單MPO-20170627A</t>
  </si>
  <si>
    <r>
      <rPr>
        <rFont val="Arial"/>
        <color rgb="FF000000"/>
        <sz val="10.0"/>
      </rPr>
      <t xml:space="preserve">PI-20170929C
</t>
    </r>
    <r>
      <rPr>
        <rFont val="Arial"/>
        <color rgb="FF000000"/>
        <sz val="10.0"/>
      </rPr>
      <t>(Leon組裝與測試)</t>
    </r>
  </si>
  <si>
    <r>
      <rPr>
        <rFont val="Arial"/>
        <color rgb="FF000000"/>
        <sz val="10.0"/>
      </rPr>
      <t xml:space="preserve">PI-20170929C
</t>
    </r>
    <r>
      <rPr>
        <rFont val="Arial"/>
        <color rgb="FF000000"/>
        <sz val="10.0"/>
      </rPr>
      <t>(Leon組裝與測試)</t>
    </r>
  </si>
  <si>
    <t>PO-20170929C</t>
  </si>
  <si>
    <t>QU83867589</t>
  </si>
  <si>
    <r>
      <rPr>
        <rFont val="Arial"/>
        <color rgb="FF000000"/>
        <sz val="10.0"/>
      </rPr>
      <t xml:space="preserve">PI-20170929C
</t>
    </r>
    <r>
      <rPr>
        <rFont val="Arial"/>
        <color rgb="FF000000"/>
        <sz val="10.0"/>
      </rPr>
      <t>(Leon組裝與測試)</t>
    </r>
  </si>
  <si>
    <r>
      <rPr>
        <rFont val="Arial"/>
        <color rgb="FF000000"/>
        <sz val="10.0"/>
      </rPr>
      <t xml:space="preserve">PI-20170929C
</t>
    </r>
    <r>
      <rPr>
        <rFont val="Arial"/>
        <color rgb="FF000000"/>
        <sz val="10.0"/>
      </rPr>
      <t>(Leon組裝與測試)</t>
    </r>
  </si>
  <si>
    <r>
      <rPr>
        <rFont val="Arial"/>
        <color rgb="FF000000"/>
        <sz val="10.0"/>
      </rPr>
      <t xml:space="preserve">PI-20170929C
</t>
    </r>
    <r>
      <rPr>
        <rFont val="Arial"/>
        <color rgb="FF000000"/>
        <sz val="10.0"/>
      </rPr>
      <t>(Leon組裝與測試)</t>
    </r>
  </si>
  <si>
    <t>P172909NP2</t>
  </si>
  <si>
    <t>PI-20170929D
(Leon組裝與測試)</t>
  </si>
  <si>
    <t>POC-212
(S/N:H4316036~16040)</t>
  </si>
  <si>
    <t>PO-20170929D-1</t>
  </si>
  <si>
    <t>QB34782223</t>
  </si>
  <si>
    <t>CX062230SK6G</t>
  </si>
  <si>
    <r>
      <rPr>
        <rFont val="Arial"/>
        <color rgb="FF000000"/>
        <sz val="10.0"/>
      </rPr>
      <t xml:space="preserve">PI-20170929D
</t>
    </r>
    <r>
      <rPr>
        <rFont val="Arial"/>
        <color rgb="FF000000"/>
        <sz val="10.0"/>
      </rPr>
      <t>(Leon組裝與測試)</t>
    </r>
  </si>
  <si>
    <t>PI-20170929A</t>
  </si>
  <si>
    <t>PO-20170929A</t>
  </si>
  <si>
    <t>QD79423109</t>
  </si>
  <si>
    <t>CX062230S0L2</t>
  </si>
  <si>
    <t>同V660</t>
  </si>
  <si>
    <t>P170929NP0</t>
  </si>
  <si>
    <t>PI-20170929B</t>
  </si>
  <si>
    <t>PO-20170929B</t>
  </si>
  <si>
    <t>QD62205934</t>
  </si>
  <si>
    <r>
      <rPr>
        <rFont val="Arial"/>
        <color rgb="FF000000"/>
        <sz val="10.0"/>
      </rPr>
      <t xml:space="preserve">PI-20170929D
</t>
    </r>
    <r>
      <rPr>
        <rFont val="Arial"/>
        <color rgb="FF000000"/>
        <sz val="10.0"/>
      </rPr>
      <t>(Leon組裝與測試)</t>
    </r>
  </si>
  <si>
    <t>PO-20170929D-2(Revised)</t>
  </si>
  <si>
    <t>QD62206049</t>
  </si>
  <si>
    <t>P171003NP1</t>
  </si>
  <si>
    <r>
      <rPr>
        <rFont val="Arial"/>
        <color rgb="FF000000"/>
        <sz val="10.0"/>
      </rPr>
      <t xml:space="preserve">PI-20171003A
</t>
    </r>
    <r>
      <rPr>
        <rFont val="Arial"/>
        <color rgb="FF000000"/>
        <sz val="10.0"/>
      </rPr>
      <t>(Leon組裝與測試)</t>
    </r>
  </si>
  <si>
    <t>Nuvo-5095GC
(S/N:H4309342)</t>
  </si>
  <si>
    <t>PO-20171003A-1</t>
  </si>
  <si>
    <t>CX062230S9YM</t>
  </si>
  <si>
    <r>
      <rPr>
        <rFont val="Arial"/>
        <color rgb="FF000000"/>
        <sz val="10.0"/>
      </rPr>
      <t xml:space="preserve">PI-20171003A
</t>
    </r>
    <r>
      <rPr>
        <rFont val="Arial"/>
        <color rgb="FF000000"/>
        <sz val="10.0"/>
      </rPr>
      <t>(Leon組裝與測試)</t>
    </r>
  </si>
  <si>
    <t>PA-160W-OW</t>
  </si>
  <si>
    <r>
      <rPr>
        <rFont val="Arial"/>
        <color rgb="FF000000"/>
        <sz val="10.0"/>
      </rPr>
      <t xml:space="preserve">PI-20171003A
</t>
    </r>
    <r>
      <rPr>
        <rFont val="Arial"/>
        <color rgb="FF000000"/>
        <sz val="10.0"/>
      </rPr>
      <t>(Leon組裝與測試)</t>
    </r>
  </si>
  <si>
    <t>Intel® Core™ i7-6700TE Processor
(向捷毅國際購買 Leon 組裝)</t>
  </si>
  <si>
    <t>PO-20171003A-2</t>
  </si>
  <si>
    <t>QD99400877</t>
  </si>
  <si>
    <t xml:space="preserve">P171003NP0  </t>
  </si>
  <si>
    <t>PI-20171003B</t>
  </si>
  <si>
    <t>Vecow PWA-120W</t>
  </si>
  <si>
    <t>PO-20171003B</t>
  </si>
  <si>
    <t>QB37954982</t>
  </si>
  <si>
    <t>PO-076</t>
  </si>
  <si>
    <t>PI-20171004A</t>
  </si>
  <si>
    <t>PO-20171004A</t>
  </si>
  <si>
    <t>QD79344673</t>
  </si>
  <si>
    <t>CX062230S0UK</t>
  </si>
  <si>
    <t>同V677</t>
  </si>
  <si>
    <t>PI-20171004B</t>
  </si>
  <si>
    <t>PO-20171004B</t>
  </si>
  <si>
    <t>QD63034699</t>
  </si>
  <si>
    <t>同V680</t>
  </si>
  <si>
    <t>1614392</t>
  </si>
  <si>
    <t>PI-20171005B
leon抽測2台開機</t>
  </si>
  <si>
    <t>PO-20171005B-1</t>
  </si>
  <si>
    <t>QB34518931</t>
  </si>
  <si>
    <t>CF065503505F</t>
  </si>
  <si>
    <t>PI-20171005B</t>
  </si>
  <si>
    <t>同V683</t>
  </si>
  <si>
    <t>P171004NP0</t>
  </si>
  <si>
    <t>PI-20171005A</t>
  </si>
  <si>
    <t>Mezio-R11 (Neousys)</t>
  </si>
  <si>
    <t>PO-20171005A</t>
  </si>
  <si>
    <t>QB34782210</t>
  </si>
  <si>
    <t>PO-20171005B-2</t>
  </si>
  <si>
    <t>QD99400939</t>
  </si>
  <si>
    <t>同V684</t>
  </si>
  <si>
    <t>IP Systemes</t>
  </si>
  <si>
    <t>PI-20171006A</t>
  </si>
  <si>
    <t xml:space="preserve">IKS-G6524A-4GTXSFP-HV-HV </t>
  </si>
  <si>
    <t>MAINFREIGHT</t>
  </si>
  <si>
    <t>PO-20171006A</t>
  </si>
  <si>
    <t>QD79344619</t>
  </si>
  <si>
    <t>CW0668590522</t>
  </si>
  <si>
    <t>695-13299274</t>
  </si>
  <si>
    <t>PI-20171010C</t>
  </si>
  <si>
    <t>戎克庫存40PCS
2017/10/26 10PCS</t>
  </si>
  <si>
    <t>見2017工單EMO-20170319A 40 PCS
見2017工單MO-20171011A 10 PCS</t>
  </si>
  <si>
    <t>CG06376F1022</t>
  </si>
  <si>
    <t xml:space="preserve">Bahama Bucks </t>
  </si>
  <si>
    <t>PI-20171010B</t>
  </si>
  <si>
    <t>TDM-170SH</t>
  </si>
  <si>
    <t xml:space="preserve">Elgens DHL </t>
  </si>
  <si>
    <t>見2017工單PI-20171010B</t>
  </si>
  <si>
    <t>CX062230VBRH</t>
  </si>
  <si>
    <t xml:space="preserve">Freight By DHL </t>
  </si>
  <si>
    <t>YM51857127</t>
  </si>
  <si>
    <t>PO-P-I170090</t>
  </si>
  <si>
    <t>PI-20171010A</t>
  </si>
  <si>
    <t>MGate MB-3180 (EU)</t>
  </si>
  <si>
    <t xml:space="preserve"> DHL Express Courier Cargo Mode (A/C :964096297)</t>
  </si>
  <si>
    <t>PO-20171010A</t>
  </si>
  <si>
    <t>QD79344713</t>
  </si>
  <si>
    <t>CX062230S0TX</t>
  </si>
  <si>
    <t>PI-20171010D</t>
  </si>
  <si>
    <t>ADAM-4013-DE</t>
  </si>
  <si>
    <t>PO-20171010D</t>
  </si>
  <si>
    <t>QD63035055</t>
  </si>
  <si>
    <t>同V698</t>
  </si>
  <si>
    <t>091017-44S</t>
  </si>
  <si>
    <t>PI-20171011A-2</t>
  </si>
  <si>
    <t>PO-20171011A-2</t>
  </si>
  <si>
    <t>QU89613061</t>
  </si>
  <si>
    <t>QS52572206</t>
  </si>
  <si>
    <t>大榮-15347136663</t>
  </si>
  <si>
    <t>11/14 台銀即期買入@30.135</t>
  </si>
  <si>
    <t>11/16隨貨寄出</t>
  </si>
  <si>
    <t>PI-20171011B-2</t>
  </si>
  <si>
    <t>ACL-7122(G)</t>
  </si>
  <si>
    <t>pick up number UPS:1Z032RX78665262343</t>
  </si>
  <si>
    <t>PO-20171011B</t>
  </si>
  <si>
    <t>CU0657B0HE11</t>
  </si>
  <si>
    <t>1Z032RX78665262343</t>
  </si>
  <si>
    <t>PI-20171011B</t>
  </si>
  <si>
    <t>QD83868758</t>
  </si>
  <si>
    <t>PI-20171011B-1</t>
  </si>
  <si>
    <t>同V702</t>
  </si>
  <si>
    <t>PI-20171011A-1</t>
  </si>
  <si>
    <t>PO-20171011A(Revised)</t>
  </si>
  <si>
    <t>QD89614366</t>
  </si>
  <si>
    <t>QB52197205</t>
  </si>
  <si>
    <t>大榮-15347136662</t>
  </si>
  <si>
    <t>10/16 台銀即期買入@30.105</t>
  </si>
  <si>
    <t>10/19隨貨寄出</t>
  </si>
  <si>
    <t>PI-20171012A</t>
  </si>
  <si>
    <t>DM-F17A/PC-R11 (IEI)</t>
  </si>
  <si>
    <t>Elgens TNT</t>
  </si>
  <si>
    <t>PO-20171012A</t>
  </si>
  <si>
    <t>QU68026175</t>
  </si>
  <si>
    <t>CG06376F8349</t>
  </si>
  <si>
    <t>FPK-01-R10</t>
  </si>
  <si>
    <t>同V706</t>
  </si>
  <si>
    <t xml:space="preserve">FRK-17-R10       </t>
  </si>
  <si>
    <t>TNT Freight</t>
  </si>
  <si>
    <t>花旗銀行營業部:021
77720000540458</t>
  </si>
  <si>
    <t>QU35626516</t>
  </si>
  <si>
    <t>1614661</t>
  </si>
  <si>
    <t>PI-20171013B</t>
  </si>
  <si>
    <t>PO-20171013B-1</t>
  </si>
  <si>
    <t>QS34700724</t>
  </si>
  <si>
    <t>CF065504960E</t>
  </si>
  <si>
    <t>PO-20171013B-2</t>
  </si>
  <si>
    <t>QU99400160</t>
  </si>
  <si>
    <t>PI-20171013C</t>
  </si>
  <si>
    <t>POC-320 w/8GB RAM
(S/N: H4300121)</t>
  </si>
  <si>
    <t>PO-20171013C</t>
  </si>
  <si>
    <t>QB34782232</t>
  </si>
  <si>
    <t>CX062230SKHM</t>
  </si>
  <si>
    <t>mSATA128GB + Win10 pre-installed(64 BIT)</t>
  </si>
  <si>
    <t>同V723</t>
  </si>
  <si>
    <t>PO-20171013B-3</t>
  </si>
  <si>
    <t>QB36052698</t>
  </si>
  <si>
    <t>PI-20171017B</t>
  </si>
  <si>
    <t>PO-20171017B-1</t>
  </si>
  <si>
    <t>QD46333358</t>
  </si>
  <si>
    <t>PO-20171017B-2</t>
  </si>
  <si>
    <t>QB48272330</t>
  </si>
  <si>
    <t>PI-20171017A</t>
  </si>
  <si>
    <t>PO-20171017A</t>
  </si>
  <si>
    <t>QD63035084</t>
  </si>
  <si>
    <t>同V725</t>
  </si>
  <si>
    <t>DE171101-001</t>
  </si>
  <si>
    <t>PI-20171018A
(Leon 灌新軟體+標籤)</t>
  </si>
  <si>
    <r>
      <rPr>
        <rFont val="Arial"/>
        <color rgb="FF000000"/>
        <sz val="10.0"/>
      </rPr>
      <t xml:space="preserve">Nport W2150A EU Band 
w/ SAA Adapter </t>
    </r>
    <r>
      <rPr>
        <rFont val="Arial"/>
        <b/>
        <color rgb="FF0000FF"/>
        <sz val="10.0"/>
      </rPr>
      <t>(w2x50a_1.9.62)</t>
    </r>
  </si>
  <si>
    <t>PO-20171018A</t>
  </si>
  <si>
    <t>QS36017352</t>
  </si>
  <si>
    <t>CA0652015687</t>
  </si>
  <si>
    <t>018-90080561</t>
  </si>
  <si>
    <t>PI-20171019B</t>
  </si>
  <si>
    <t>TDM-P173WHGB
(S/N:MO201710190001)</t>
  </si>
  <si>
    <t>閎亮/都合</t>
  </si>
  <si>
    <t>見2017工單 PI-20171019B</t>
  </si>
  <si>
    <t>CX062230VL33</t>
  </si>
  <si>
    <t>Evaluation-20171019A</t>
  </si>
  <si>
    <t>LPC-P185W (BAREBONE)</t>
  </si>
  <si>
    <t xml:space="preserve">工單RDMPO-20170821D(Revised) 7155元+工單Evaluation-20171019A </t>
  </si>
  <si>
    <t>CX062230RTUL</t>
  </si>
  <si>
    <t>TS32GSSD370, 32GB,  S/N:D80699-2274</t>
  </si>
  <si>
    <t>工單RDMPO-20170821D(Revised) 7155元+工單Evaluation-20171019A</t>
  </si>
  <si>
    <t>DRAM TS512MSK64W6H</t>
  </si>
  <si>
    <t>FPO 14144</t>
  </si>
  <si>
    <t>PI-20171020A</t>
  </si>
  <si>
    <t>EDS-510E-3GTXSFP</t>
  </si>
  <si>
    <t>DHL COURIER ACCOUNT 961112705.</t>
  </si>
  <si>
    <t>PO-20171020A</t>
  </si>
  <si>
    <t>QU79343518</t>
  </si>
  <si>
    <t>CX062230VUHG</t>
  </si>
  <si>
    <t>SFP-1GLHLC</t>
  </si>
  <si>
    <t>APAC
前鼎光電-採購為TAMMY
翔生-採購為Chloe</t>
  </si>
  <si>
    <t>見2017工單PI-20171020A</t>
  </si>
  <si>
    <t>20171021-E1</t>
  </si>
  <si>
    <r>
      <rPr>
        <rFont val="Arial"/>
        <color rgb="FF000000"/>
        <sz val="10.0"/>
      </rPr>
      <t xml:space="preserve">PI-20171023C
</t>
    </r>
    <r>
      <rPr>
        <rFont val="Arial"/>
        <color rgb="FF000000"/>
        <sz val="10.0"/>
      </rPr>
      <t>(Leon組裝與測試)</t>
    </r>
  </si>
  <si>
    <t>LPC-P121S-01-EU</t>
  </si>
  <si>
    <t>pick up number DHL:7385570080</t>
  </si>
  <si>
    <t>見2017工單RDMO-20170821D-3(欄位245)</t>
  </si>
  <si>
    <t>CX062230TKQ0</t>
  </si>
  <si>
    <r>
      <rPr>
        <rFont val="Arial"/>
        <color rgb="FF000000"/>
        <sz val="10.0"/>
      </rPr>
      <t xml:space="preserve">PI-20171023C
</t>
    </r>
    <r>
      <rPr>
        <rFont val="Arial"/>
        <color rgb="FF000000"/>
        <sz val="10.0"/>
      </rPr>
      <t>(Leon組裝與測試)</t>
    </r>
  </si>
  <si>
    <t>DDS4GHIMBEC
S/N：O1707250060143</t>
  </si>
  <si>
    <t>見2017工單RDMO-20170821D-3(欄位315)</t>
  </si>
  <si>
    <t>QS38375453</t>
  </si>
  <si>
    <t>PI-20171023A</t>
  </si>
  <si>
    <t>PO-20171023A</t>
  </si>
  <si>
    <t>QU63031737</t>
  </si>
  <si>
    <t>CX062230VKYD</t>
  </si>
  <si>
    <t>300151</t>
  </si>
  <si>
    <t>PI-20171023B</t>
  </si>
  <si>
    <t>PO-20171023B</t>
  </si>
  <si>
    <t>QU79343444</t>
  </si>
  <si>
    <t>CF065503860K</t>
  </si>
  <si>
    <t>QD63035294</t>
  </si>
  <si>
    <t>CX062230SKS6</t>
  </si>
  <si>
    <t>PI-20171023C</t>
  </si>
  <si>
    <t>PI-20171026A</t>
  </si>
  <si>
    <t>PO-20171026A</t>
  </si>
  <si>
    <t>QU79343558</t>
  </si>
  <si>
    <t>QS52572201</t>
  </si>
  <si>
    <t>@30.16</t>
  </si>
  <si>
    <t>11/7掛號寄出</t>
  </si>
  <si>
    <t>DE171103-003</t>
  </si>
  <si>
    <t>Evaluation PI-20171026B
(借測)</t>
  </si>
  <si>
    <t>Evaluation PO-20171026B</t>
  </si>
  <si>
    <t>QU79343593</t>
  </si>
  <si>
    <t>X</t>
  </si>
  <si>
    <t>P171027VJ0</t>
  </si>
  <si>
    <t>PI-20171027A</t>
  </si>
  <si>
    <t>EMPL-G201-W1 (Innodisk)</t>
  </si>
  <si>
    <t>PO-20171027A</t>
  </si>
  <si>
    <t>QU67921469</t>
  </si>
  <si>
    <t>PI-20171030A</t>
  </si>
  <si>
    <t>PO-20171030A</t>
  </si>
  <si>
    <t>QU63031857</t>
  </si>
  <si>
    <t>CX062230U8KS</t>
  </si>
  <si>
    <t>PI-20171030B
(Leon 灌新軟體+標籤)</t>
  </si>
  <si>
    <r>
      <rPr>
        <rFont val="Arial"/>
        <color rgb="FF000000"/>
        <sz val="10.0"/>
      </rPr>
      <t xml:space="preserve">Nport W2150A EU Band 
w/ SAA Adapter </t>
    </r>
    <r>
      <rPr>
        <rFont val="Arial"/>
        <b/>
        <color rgb="FF0000FF"/>
        <sz val="10.0"/>
      </rPr>
      <t>(w2x50a_1.9.62)</t>
    </r>
  </si>
  <si>
    <t>PO-20171030B</t>
  </si>
  <si>
    <t>QS36017353</t>
  </si>
  <si>
    <t xml:space="preserve">CA0652015737 </t>
  </si>
  <si>
    <t xml:space="preserve">018-90081246 </t>
  </si>
  <si>
    <t>PI-20171101A
(Leon 標籤)</t>
  </si>
  <si>
    <t>PO-20171101A</t>
  </si>
  <si>
    <t>QU79343728</t>
  </si>
  <si>
    <t>Evaluation PI-20171101B
(Leon組裝與測試)</t>
  </si>
  <si>
    <t>LPC-P150S</t>
  </si>
  <si>
    <t>RDMO-20170821D-1</t>
  </si>
  <si>
    <t>64GB 2.5” SSD A3A SM2246EN Micron 3D-MLC ET (敏博)
MI3MA6264G02EN</t>
  </si>
  <si>
    <t>RDMO-20170821D-1-2</t>
  </si>
  <si>
    <r>
      <rPr>
        <rFont val="Arial"/>
        <color rgb="FF000000"/>
        <sz val="10.0"/>
      </rPr>
      <t xml:space="preserve">Evaluation PI-20171101B
</t>
    </r>
    <r>
      <rPr>
        <rFont val="Arial"/>
        <color rgb="FF000000"/>
        <sz val="10.0"/>
      </rPr>
      <t>(Leon組裝與測試)</t>
    </r>
  </si>
  <si>
    <t>4GB DDR3L 1600 SO-DIMM Hynix 512M*8 ET (敏博)
DDS4GHIMBEE</t>
  </si>
  <si>
    <t>RDMO-20170821D-1-3</t>
  </si>
  <si>
    <t>借轉銷</t>
  </si>
  <si>
    <r>
      <rPr>
        <rFont val="Arial"/>
        <color rgb="FF000000"/>
        <sz val="10.0"/>
      </rPr>
      <t xml:space="preserve">Evaluation PI-20171101B
</t>
    </r>
    <r>
      <rPr>
        <rFont val="Arial"/>
        <color rgb="FF000000"/>
        <sz val="10.0"/>
      </rPr>
      <t>(Leon組裝與測試)</t>
    </r>
  </si>
  <si>
    <t>Windows 10 Enterprise 評估軟體</t>
  </si>
  <si>
    <t>PI-20171103B
(Leon 灌新軟體+標籤)</t>
  </si>
  <si>
    <r>
      <rPr>
        <rFont val="Arial"/>
        <color rgb="FF000000"/>
        <sz val="10.0"/>
      </rPr>
      <t xml:space="preserve">Nport W2150A -US Band w/ US adapter
</t>
    </r>
    <r>
      <rPr>
        <rFont val="Arial"/>
        <b/>
        <color rgb="FF0000FF"/>
        <sz val="10.0"/>
      </rPr>
      <t xml:space="preserve"> (w2x50a_1.9.62)</t>
    </r>
  </si>
  <si>
    <t>PO-20171103B</t>
  </si>
  <si>
    <t>QS36017354</t>
  </si>
  <si>
    <t>300163</t>
  </si>
  <si>
    <t>PI-20171103A</t>
  </si>
  <si>
    <t>MGate MB3180/EU V1.2.2</t>
  </si>
  <si>
    <t>PO-20171103A</t>
  </si>
  <si>
    <t>QU79343559</t>
  </si>
  <si>
    <t>CF065504539Y</t>
  </si>
  <si>
    <t>P171106NP0</t>
  </si>
  <si>
    <r>
      <rPr>
        <rFont val="Arial"/>
        <color rgb="FF000000"/>
        <sz val="10.0"/>
      </rPr>
      <t xml:space="preserve">PI-20171106B
</t>
    </r>
    <r>
      <rPr>
        <rFont val="Arial"/>
        <color rgb="FF000000"/>
        <sz val="10.0"/>
      </rPr>
      <t>(Leon組裝與測試)</t>
    </r>
  </si>
  <si>
    <t>CW0610014185</t>
  </si>
  <si>
    <t>297-69252282</t>
  </si>
  <si>
    <r>
      <rPr>
        <rFont val="Arial"/>
        <color rgb="FF000000"/>
        <sz val="10.0"/>
      </rPr>
      <t xml:space="preserve">PI-20171106B
</t>
    </r>
    <r>
      <rPr>
        <rFont val="Arial"/>
        <color rgb="FF000000"/>
        <sz val="10.0"/>
      </rPr>
      <t>(Leon組裝與測試)</t>
    </r>
  </si>
  <si>
    <r>
      <rPr>
        <rFont val="Arial"/>
        <color rgb="FF000000"/>
        <sz val="10.0"/>
      </rPr>
      <t xml:space="preserve">PI-20171106B
</t>
    </r>
    <r>
      <rPr>
        <rFont val="Arial"/>
        <color rgb="FF000000"/>
        <sz val="10.0"/>
      </rPr>
      <t>(Leon組裝與測試)</t>
    </r>
  </si>
  <si>
    <t>Leon組裝無發票</t>
  </si>
  <si>
    <t>PI-20171106B
(Leon組裝與測試)</t>
  </si>
  <si>
    <t>PO-20171106B</t>
  </si>
  <si>
    <t>QU83868768</t>
  </si>
  <si>
    <r>
      <rPr>
        <rFont val="Arial"/>
        <color rgb="FF000000"/>
        <sz val="10.0"/>
      </rPr>
      <t xml:space="preserve">PI-20171106B
</t>
    </r>
    <r>
      <rPr>
        <rFont val="Arial"/>
        <color rgb="FF000000"/>
        <sz val="10.0"/>
      </rPr>
      <t>(Leon組裝與測試)</t>
    </r>
  </si>
  <si>
    <t>同V756</t>
  </si>
  <si>
    <r>
      <rPr>
        <rFont val="Arial"/>
        <color rgb="FF000000"/>
        <sz val="10.0"/>
      </rPr>
      <t xml:space="preserve">PI-20171106B
</t>
    </r>
    <r>
      <rPr>
        <rFont val="Arial"/>
        <color rgb="FF000000"/>
        <sz val="10.0"/>
      </rPr>
      <t>(Leon組裝與測試)</t>
    </r>
  </si>
  <si>
    <r>
      <rPr>
        <rFont val="Arial"/>
        <color rgb="FF000000"/>
        <sz val="10.0"/>
      </rPr>
      <t xml:space="preserve">PI-20171106B
</t>
    </r>
    <r>
      <rPr>
        <rFont val="Arial"/>
        <color rgb="FF000000"/>
        <sz val="10.0"/>
      </rPr>
      <t>(Leon組裝與測試)</t>
    </r>
  </si>
  <si>
    <t>330-17110258</t>
  </si>
  <si>
    <t>PI-20171106A</t>
  </si>
  <si>
    <t>PO-20171106A</t>
  </si>
  <si>
    <t>QU79344469</t>
  </si>
  <si>
    <t>QS52572253</t>
  </si>
  <si>
    <t>12/1央行@30.028</t>
  </si>
  <si>
    <t>12/5發票掛號寄出</t>
  </si>
  <si>
    <t>PI-20171106C</t>
  </si>
  <si>
    <t>PO-20171106C</t>
  </si>
  <si>
    <t>QU79343662</t>
  </si>
  <si>
    <t>QS52572205</t>
  </si>
  <si>
    <t>@30.19</t>
  </si>
  <si>
    <t>PI-20171106D</t>
  </si>
  <si>
    <t>PO-20171106D</t>
  </si>
  <si>
    <t>QS38191752</t>
  </si>
  <si>
    <t>QS52572200</t>
  </si>
  <si>
    <t>PI-20171107A</t>
  </si>
  <si>
    <t>PO-20171107A</t>
  </si>
  <si>
    <t>QS38191754</t>
  </si>
  <si>
    <t>QS52572202</t>
  </si>
  <si>
    <t>PI-20171108A</t>
  </si>
  <si>
    <t>TCC-100</t>
  </si>
  <si>
    <t>PO-20171108A</t>
  </si>
  <si>
    <t>QU79343742</t>
  </si>
  <si>
    <t>CF065505708H</t>
  </si>
  <si>
    <t>同V767</t>
  </si>
  <si>
    <t>PI-20171110A</t>
  </si>
  <si>
    <t>PO-20171110A</t>
  </si>
  <si>
    <t>YL25120461</t>
  </si>
  <si>
    <t>CG06376G5306</t>
  </si>
  <si>
    <t>PI-20171115B</t>
  </si>
  <si>
    <t>見2017工單RDMPO-20170608A 50 PCS</t>
  </si>
  <si>
    <t>PI-20171115A</t>
  </si>
  <si>
    <t>PO-20171115A</t>
  </si>
  <si>
    <t>QU63031875</t>
  </si>
  <si>
    <t>CX062230UQNK</t>
  </si>
  <si>
    <t>同V769</t>
  </si>
  <si>
    <t xml:space="preserve">20171117-AA </t>
  </si>
  <si>
    <t>PI-20171117A
(christine換標籤)</t>
  </si>
  <si>
    <t>PO-20171117A</t>
  </si>
  <si>
    <t>QS38867955</t>
  </si>
  <si>
    <t>QS52572207</t>
  </si>
  <si>
    <t>大榮-15347137363</t>
  </si>
  <si>
    <t>11/20 台灣銀行@30.095</t>
  </si>
  <si>
    <t>11/20 隨貨寄出</t>
  </si>
  <si>
    <t>G106125513</t>
  </si>
  <si>
    <t>PI-20160831A-3</t>
  </si>
  <si>
    <t>見2017工單PI-20160831A-3(因有先付供應商款項，故請算損益平衡表加減項)</t>
  </si>
  <si>
    <t xml:space="preserve">QS52572264 </t>
  </si>
  <si>
    <t>1530045613-1/
1530045613-2</t>
  </si>
  <si>
    <t>同V441</t>
  </si>
  <si>
    <t>PI-20160831A-4</t>
  </si>
  <si>
    <t>見2017工單PI-20160831A-4(因有先付供應商款項，故請算損益平衡表加減項)</t>
  </si>
  <si>
    <t>Evaluation-20171119A</t>
  </si>
  <si>
    <t>D4SS12161SH24A-B</t>
  </si>
  <si>
    <t>RDMO-20171119A</t>
  </si>
  <si>
    <t>第一銀行(007) 
158-10-002101</t>
  </si>
  <si>
    <t>QS49110130</t>
  </si>
  <si>
    <t>CX062230UHVP</t>
  </si>
  <si>
    <t>PI-20171120A</t>
  </si>
  <si>
    <t>CP-104EL-A-DB9M</t>
  </si>
  <si>
    <t>PO-20171120A</t>
  </si>
  <si>
    <t>QU79343939</t>
  </si>
  <si>
    <t>1615677</t>
  </si>
  <si>
    <t>PI-20171122A</t>
  </si>
  <si>
    <t>PO-20171122A-1</t>
  </si>
  <si>
    <t>QS34700779</t>
  </si>
  <si>
    <t>CF065509198M</t>
  </si>
  <si>
    <t>PO-20171122A-2</t>
  </si>
  <si>
    <t>QU99400806</t>
  </si>
  <si>
    <t>同V784</t>
  </si>
  <si>
    <t>QU99400791</t>
  </si>
  <si>
    <t>1615702</t>
  </si>
  <si>
    <t>PI-20171122D</t>
  </si>
  <si>
    <t>Fedex Express #268438726</t>
  </si>
  <si>
    <t>PO-20171122D-1</t>
  </si>
  <si>
    <t>QS34700770</t>
  </si>
  <si>
    <t>CF065508150U</t>
  </si>
  <si>
    <t>同V799</t>
  </si>
  <si>
    <t>P171124NP3</t>
  </si>
  <si>
    <r>
      <rPr>
        <rFont val="Arial"/>
        <color rgb="FF000000"/>
        <sz val="10.0"/>
      </rPr>
      <t xml:space="preserve">PI-20171122B
</t>
    </r>
    <r>
      <rPr>
        <rFont val="Arial"/>
        <color rgb="FF000000"/>
        <sz val="10.0"/>
      </rPr>
      <t>(Leon測試,外盒貼上記憶體容量貼紙)</t>
    </r>
  </si>
  <si>
    <r>
      <rPr>
        <rFont val="Arial"/>
        <color rgb="FF000000"/>
        <sz val="10.0"/>
      </rPr>
      <t xml:space="preserve">Nuvo-5002LP
</t>
    </r>
    <r>
      <rPr>
        <rFont val="Arial"/>
        <color rgb="FF000000"/>
        <sz val="10.0"/>
      </rPr>
      <t>(S/N:H4911369~11372)</t>
    </r>
  </si>
  <si>
    <t>PO-20171122B</t>
  </si>
  <si>
    <t>QS35004762</t>
  </si>
  <si>
    <t>CX062230W8WP</t>
  </si>
  <si>
    <t>PO-20171122D-2</t>
  </si>
  <si>
    <t>同V789</t>
  </si>
  <si>
    <t>PI-20171122B</t>
  </si>
  <si>
    <t>OPE1503FBDTR
(S/N:WA171312A00001~5)</t>
  </si>
  <si>
    <t>QS51874262</t>
  </si>
  <si>
    <t>PO-20171122B-3</t>
  </si>
  <si>
    <t>QU99400724</t>
  </si>
  <si>
    <t>PI-20171122B
(Leon測試,外盒貼上記憶體容量貼紙)</t>
  </si>
  <si>
    <t>PWA-120W (VECOW)</t>
  </si>
  <si>
    <t>QS38191771</t>
  </si>
  <si>
    <t>D4S8GHLOFEC
(向敏博購買. Neousys組裝)</t>
  </si>
  <si>
    <t>工單PI-20171122B</t>
  </si>
  <si>
    <t>PI-20171122C</t>
  </si>
  <si>
    <t>Repair service charge for POC-210 (S/N: E2000366)</t>
  </si>
  <si>
    <t>RMA-20171031A-4</t>
  </si>
  <si>
    <t>QS35004777</t>
  </si>
  <si>
    <t>CX062230Y0J1</t>
  </si>
  <si>
    <t>Repair service charge for SPC-3520-300U (P/N: Q17A525004)</t>
  </si>
  <si>
    <t>PI-20171123A</t>
  </si>
  <si>
    <t xml:space="preserve">ADAM-6051-D </t>
  </si>
  <si>
    <t>PO-20171123A</t>
  </si>
  <si>
    <t>QU63031833</t>
  </si>
  <si>
    <t xml:space="preserve">UNO-1372G-E3AE </t>
  </si>
  <si>
    <t>同V804</t>
  </si>
  <si>
    <t>PI-20171124E
 請Leon 燒錄光碟</t>
  </si>
  <si>
    <t>968TW7PROE (Microsoft Window 7 PRO 32/64 License Sticker42C-00022 )</t>
  </si>
  <si>
    <t>PO-20171124E</t>
  </si>
  <si>
    <t>QU63034816</t>
  </si>
  <si>
    <t>QS52572259</t>
  </si>
  <si>
    <t>12/13隨貨寄出</t>
  </si>
  <si>
    <t>P171123NP1</t>
  </si>
  <si>
    <r>
      <rPr>
        <rFont val="Arial"/>
        <color rgb="FF000000"/>
        <sz val="10.0"/>
      </rPr>
      <t xml:space="preserve">PI-20171124B
</t>
    </r>
    <r>
      <rPr>
        <rFont val="Arial"/>
        <color rgb="FF000000"/>
        <sz val="10.0"/>
      </rPr>
      <t>(Leon測試,外盒貼上記憶體容量貼紙)</t>
    </r>
  </si>
  <si>
    <t>ECS-8000-2R850Q
(S/N:S17A840127~130)</t>
  </si>
  <si>
    <t>PO-20171124B-1</t>
  </si>
  <si>
    <t>QS38191783</t>
  </si>
  <si>
    <t>CX062230WK1E</t>
  </si>
  <si>
    <r>
      <rPr>
        <rFont val="Arial"/>
        <color rgb="FF000000"/>
        <sz val="10.0"/>
      </rPr>
      <t xml:space="preserve">PI-20171124B
</t>
    </r>
    <r>
      <rPr>
        <rFont val="Arial"/>
        <color rgb="FF000000"/>
        <sz val="10.0"/>
      </rPr>
      <t>(Leon測試,外盒貼上記憶體容量貼紙)</t>
    </r>
  </si>
  <si>
    <t>ECS-8000-2R700Q
(S/N:S16A820021~22)</t>
  </si>
  <si>
    <r>
      <rPr>
        <rFont val="Arial"/>
        <color rgb="FF000000"/>
        <sz val="10.0"/>
      </rPr>
      <t xml:space="preserve">PI-20171124B
</t>
    </r>
    <r>
      <rPr>
        <rFont val="Arial"/>
        <color rgb="FF000000"/>
        <sz val="10.0"/>
      </rPr>
      <t>(Leon測試,外盒貼上記憶體容量貼紙)</t>
    </r>
  </si>
  <si>
    <t>M3S0-8GSSDLPC
(VECOW組裝)</t>
  </si>
  <si>
    <t>見2017工單RDMPO-20170825B * 4 PCS
見2016工單MO-20161220A*2PCS</t>
  </si>
  <si>
    <t>P171124NP2</t>
  </si>
  <si>
    <t>PI-20171124C
(Leon組裝測試,外盒貼上記憶體容量貼紙)</t>
  </si>
  <si>
    <r>
      <rPr>
        <rFont val="Arial"/>
        <color rgb="FF000000"/>
        <sz val="10.0"/>
      </rPr>
      <t xml:space="preserve">Nuvo-5006LP (Neousys)
</t>
    </r>
    <r>
      <rPr>
        <rFont val="Arial"/>
        <color rgb="FF000000"/>
        <sz val="10.0"/>
      </rPr>
      <t>(S/N:H4910205~10206)</t>
    </r>
  </si>
  <si>
    <t>同V791</t>
  </si>
  <si>
    <t>Intel® Core™ i5-6500TE Processor
(向捷毅國際購買Leon組裝)</t>
  </si>
  <si>
    <t>PO-20171124C-3</t>
  </si>
  <si>
    <t>QU99400723</t>
  </si>
  <si>
    <t>同V796</t>
  </si>
  <si>
    <t>PI-20171124D</t>
  </si>
  <si>
    <t>PO-20171124D</t>
  </si>
  <si>
    <t>QU79343966</t>
  </si>
  <si>
    <t>CF065506912S</t>
  </si>
  <si>
    <t>同V808</t>
  </si>
  <si>
    <t>D4S8GHLOFEC
(向敏博購買. Leon組裝)</t>
  </si>
  <si>
    <t>工單PI-20171124C</t>
  </si>
  <si>
    <t>63672</t>
  </si>
  <si>
    <t>PI-20171128A</t>
  </si>
  <si>
    <t>BT-432IS
(S/N: 1711001-1711050)</t>
  </si>
  <si>
    <t>ELGENS TNT</t>
  </si>
  <si>
    <t>PO-20171128A</t>
  </si>
  <si>
    <t>QS00144401</t>
  </si>
  <si>
    <t>CG06376H5481</t>
  </si>
  <si>
    <t>PI-20171128B</t>
  </si>
  <si>
    <t xml:space="preserve"> PO-20171128B </t>
  </si>
  <si>
    <t>QS38191778</t>
  </si>
  <si>
    <t>QS52572250</t>
  </si>
  <si>
    <t>12/4掛號寄出</t>
  </si>
  <si>
    <t>Freight For PI-20171128A By TNT</t>
  </si>
  <si>
    <t>花旗銀行:021
77720000540458</t>
  </si>
  <si>
    <t>QU35636662</t>
  </si>
  <si>
    <t>PI-20171129D</t>
  </si>
  <si>
    <t>PO-20171129D-1</t>
  </si>
  <si>
    <t>QS34700793</t>
  </si>
  <si>
    <t>PO-20171129D-2</t>
  </si>
  <si>
    <t>QU99400835</t>
  </si>
  <si>
    <t>同V814</t>
  </si>
  <si>
    <t>PI-20171129C-1</t>
  </si>
  <si>
    <t>PO-20171129C-1</t>
  </si>
  <si>
    <t>QU79344676</t>
  </si>
  <si>
    <t>QS52572262</t>
  </si>
  <si>
    <t xml:space="preserve"> 12/14掛號寄出</t>
  </si>
  <si>
    <t>同V818</t>
  </si>
  <si>
    <t>PI-20171129C</t>
  </si>
  <si>
    <t>PO-20171129C</t>
  </si>
  <si>
    <t>QU79344561</t>
  </si>
  <si>
    <t>QS52572257</t>
  </si>
  <si>
    <t xml:space="preserve">@30 </t>
  </si>
  <si>
    <t xml:space="preserve"> 12/7掛號寄出</t>
  </si>
  <si>
    <t>PI-20171129B</t>
  </si>
  <si>
    <t>CP-132UL-I-DB9M</t>
  </si>
  <si>
    <t>PO-20171129B</t>
  </si>
  <si>
    <t>QU79344537</t>
  </si>
  <si>
    <t>QS52572255</t>
  </si>
  <si>
    <t>12/5 台灣銀行@30.01</t>
  </si>
  <si>
    <t>12/12掛號寄出</t>
  </si>
  <si>
    <t>PI-20171129A</t>
  </si>
  <si>
    <t>PO-20171129A</t>
  </si>
  <si>
    <t>QU63034575</t>
  </si>
  <si>
    <t>CX062230W22T</t>
  </si>
  <si>
    <t>065589-1</t>
  </si>
  <si>
    <t>PI-20171130A</t>
  </si>
  <si>
    <t>TNT economy express 
account number: 2008044</t>
  </si>
  <si>
    <t>見2017工單MO-20171130A</t>
  </si>
  <si>
    <t>QS52118572</t>
  </si>
  <si>
    <t>CG06376J1405</t>
  </si>
  <si>
    <t>同V828</t>
  </si>
  <si>
    <t>DE171205-001</t>
  </si>
  <si>
    <t>PI-20171204B
(Leon 灌新軟體+標籤)</t>
  </si>
  <si>
    <r>
      <rPr>
        <rFont val="Arial"/>
        <color rgb="FF000000"/>
        <sz val="10.0"/>
      </rPr>
      <t xml:space="preserve">Nport W2150A EU Band 
w/ SAA Adapter </t>
    </r>
    <r>
      <rPr>
        <rFont val="Arial"/>
        <b/>
        <color rgb="FF0000FF"/>
        <sz val="10.0"/>
      </rPr>
      <t>(w2x50a_1.9.62)</t>
    </r>
  </si>
  <si>
    <t>PO-20171204B</t>
  </si>
  <si>
    <t>QS36017357</t>
  </si>
  <si>
    <t>CA0652015864</t>
  </si>
  <si>
    <t>018-90091094</t>
  </si>
  <si>
    <t>1615990</t>
  </si>
  <si>
    <t>PI-20171204D</t>
  </si>
  <si>
    <t>PCI-1784U-AE</t>
  </si>
  <si>
    <t>PO-20171204D</t>
  </si>
  <si>
    <t>QU63034885</t>
  </si>
  <si>
    <t>PI-20171204A</t>
  </si>
  <si>
    <t>PO-20171204A</t>
  </si>
  <si>
    <t>QU63034821</t>
  </si>
  <si>
    <t>CX062230WY9C</t>
  </si>
  <si>
    <t>同V837</t>
  </si>
  <si>
    <t>PI-20171205A</t>
  </si>
  <si>
    <t>EDS-408A</t>
  </si>
  <si>
    <t>PO-20171205A</t>
  </si>
  <si>
    <t>QU79344677</t>
  </si>
  <si>
    <t>QS52572261</t>
  </si>
  <si>
    <t>大榮15347136664</t>
  </si>
  <si>
    <t>@30.015</t>
  </si>
  <si>
    <t>同V834</t>
  </si>
  <si>
    <t>P171207NP1</t>
  </si>
  <si>
    <t>PI-20171207B</t>
  </si>
  <si>
    <t>PO-20171207B</t>
  </si>
  <si>
    <t>QS38191790</t>
  </si>
  <si>
    <t>VECOW SPC-3520-300U
(S/N: Q17A525025-051)</t>
  </si>
  <si>
    <t>同V847</t>
  </si>
  <si>
    <t>含在N837中</t>
  </si>
  <si>
    <t>P171207NP2</t>
  </si>
  <si>
    <t>PI-20171207C
(Leon組裝測試)</t>
  </si>
  <si>
    <t>POC-212
(S/N:H5117689~691,H5117693~17713,H5117715~19)</t>
  </si>
  <si>
    <t>PO-20171207C</t>
  </si>
  <si>
    <t>QS35004786</t>
  </si>
  <si>
    <t>CX062230Y9E9</t>
  </si>
  <si>
    <r>
      <rPr>
        <rFont val="Arial"/>
        <color rgb="FF000000"/>
        <sz val="10.0"/>
      </rPr>
      <t xml:space="preserve">PI-20171207C
</t>
    </r>
    <r>
      <rPr>
        <rFont val="Arial"/>
        <color rgb="FF000000"/>
        <sz val="10.0"/>
      </rPr>
      <t>(Leon組裝測試)</t>
    </r>
  </si>
  <si>
    <t>APS25AF7128G-4BTM1GWT</t>
  </si>
  <si>
    <t>PO-20171207C-3</t>
  </si>
  <si>
    <t>QU72855016</t>
  </si>
  <si>
    <t>P171207NP3</t>
  </si>
  <si>
    <r>
      <rPr>
        <rFont val="Arial"/>
        <color rgb="FF000000"/>
        <sz val="10.0"/>
      </rPr>
      <t xml:space="preserve">PI-20171207D
</t>
    </r>
    <r>
      <rPr>
        <rFont val="Arial"/>
        <color rgb="FF000000"/>
        <sz val="10.0"/>
      </rPr>
      <t>(Leon組裝測試)</t>
    </r>
  </si>
  <si>
    <t>POC-212
(S/N:H5117714,H5117692)</t>
  </si>
  <si>
    <t>同V852</t>
  </si>
  <si>
    <r>
      <rPr>
        <rFont val="Arial"/>
        <color rgb="FF000000"/>
        <sz val="10.0"/>
      </rPr>
      <t xml:space="preserve">PI-20171207D
</t>
    </r>
    <r>
      <rPr>
        <rFont val="Arial"/>
        <color rgb="FF000000"/>
        <sz val="10.0"/>
      </rPr>
      <t>(Leon組裝測試)</t>
    </r>
  </si>
  <si>
    <t>同P854</t>
  </si>
  <si>
    <t>同V854</t>
  </si>
  <si>
    <r>
      <rPr>
        <rFont val="Arial"/>
        <color rgb="FF000000"/>
        <sz val="10.0"/>
      </rPr>
      <t xml:space="preserve">PI-20171207C
</t>
    </r>
    <r>
      <rPr>
        <rFont val="Arial"/>
        <color rgb="FF000000"/>
        <sz val="10.0"/>
      </rPr>
      <t>(Leon組裝測試)</t>
    </r>
  </si>
  <si>
    <t>PO-20171207C-2</t>
  </si>
  <si>
    <t>QU62206751</t>
  </si>
  <si>
    <r>
      <rPr>
        <rFont val="Arial"/>
        <color rgb="FF000000"/>
        <sz val="10.0"/>
      </rPr>
      <t xml:space="preserve">PI-20171207D
</t>
    </r>
    <r>
      <rPr>
        <rFont val="Arial"/>
        <color rgb="FF000000"/>
        <sz val="10.0"/>
      </rPr>
      <t>(Leon組裝測試)</t>
    </r>
  </si>
  <si>
    <t>同P853</t>
  </si>
  <si>
    <t>同V853</t>
  </si>
  <si>
    <t>D4S8GHLOFEC
(請VECOW組裝)</t>
  </si>
  <si>
    <t>PO-20171207B-1</t>
  </si>
  <si>
    <t>QS37081520</t>
  </si>
  <si>
    <t>P171218NP0</t>
  </si>
  <si>
    <t>PI-20171218A
(Leon測試, 外盒貼上記憶體容量貼紙)</t>
  </si>
  <si>
    <t>Nuvo-5501
(S/H:H5200067~68)</t>
  </si>
  <si>
    <t>PO-20171218A</t>
  </si>
  <si>
    <t>QS35004804</t>
  </si>
  <si>
    <r>
      <rPr>
        <rFont val="Arial"/>
        <color rgb="FF000000"/>
        <sz val="10.0"/>
      </rPr>
      <t xml:space="preserve">PI-20171218A
</t>
    </r>
    <r>
      <rPr>
        <rFont val="Arial"/>
        <color rgb="FF000000"/>
        <sz val="10.0"/>
      </rPr>
      <t>(Leon測試, 外盒貼上記憶體容量貼紙)</t>
    </r>
  </si>
  <si>
    <t>Intel® Core™ i7-6700TE Processor
(向捷毅國際購買Neousys組裝)</t>
  </si>
  <si>
    <t>PO-20171218A-1</t>
  </si>
  <si>
    <t>QU99401039</t>
  </si>
  <si>
    <t>D4S8GHLOFEC
(敏博; Neousys組裝)</t>
  </si>
  <si>
    <t>工單PI-20171218A</t>
  </si>
  <si>
    <t xml:space="preserve">G106125525 </t>
  </si>
  <si>
    <t>Antivirus softwareOfficescan 3 years</t>
  </si>
  <si>
    <t>零壹科技</t>
  </si>
  <si>
    <t>ZOT991223</t>
  </si>
  <si>
    <t>彰化商業銀行 5081-01-30572600</t>
  </si>
  <si>
    <t>QU62609355</t>
  </si>
  <si>
    <t>QS52572265</t>
  </si>
  <si>
    <t>大榮15300456134</t>
  </si>
  <si>
    <t>12/26機車快遞寄出</t>
  </si>
  <si>
    <t>換算報價用的匯率</t>
  </si>
  <si>
    <t>To UniGens
抵達戎克</t>
  </si>
  <si>
    <t>Order No to Vendor
供應商訂單號</t>
  </si>
  <si>
    <t xml:space="preserve"> Cus Inv Ex Rate 
客戶發票匯率</t>
  </si>
  <si>
    <t>Cus Inv Amount
客戶發票金額</t>
  </si>
  <si>
    <t xml:space="preserve"> Cus Inv Deliver Date
客戶發票寄出日</t>
  </si>
  <si>
    <t>PI-20160210B</t>
  </si>
  <si>
    <t>PO-20160210B</t>
  </si>
  <si>
    <t>AU34814089</t>
  </si>
  <si>
    <t>CF05550Q2708</t>
  </si>
  <si>
    <t>v</t>
  </si>
  <si>
    <t>同X90</t>
  </si>
  <si>
    <t xml:space="preserve">CF05550Q2708 </t>
  </si>
  <si>
    <t>PI-20150807A</t>
  </si>
  <si>
    <t>TB 16241701301000</t>
  </si>
  <si>
    <t>arrow</t>
  </si>
  <si>
    <t>web-SO1237396</t>
  </si>
  <si>
    <t>刷卡 (Santiago)</t>
  </si>
  <si>
    <t>CF 0455032780</t>
  </si>
  <si>
    <t>TB 16251701301000</t>
  </si>
  <si>
    <t>Freight</t>
  </si>
  <si>
    <t>ADLINK</t>
  </si>
  <si>
    <t>PI-20160330A</t>
  </si>
  <si>
    <t>V2201-E2-W-T</t>
  </si>
  <si>
    <t>Karen</t>
  </si>
  <si>
    <t>PO-20160330A</t>
  </si>
  <si>
    <t>CF81452831</t>
  </si>
  <si>
    <t>CD52598100</t>
  </si>
  <si>
    <t>@32.625</t>
  </si>
  <si>
    <t>發票隨貨</t>
  </si>
  <si>
    <t>PO15/0557M</t>
  </si>
  <si>
    <t>PI-20151120C</t>
  </si>
  <si>
    <t xml:space="preserve">CP-114EL-I-DB9M </t>
  </si>
  <si>
    <t>DHL A/C
 No : 951842593</t>
  </si>
  <si>
    <t>PO-20151120C</t>
  </si>
  <si>
    <t>SJ84406907</t>
  </si>
  <si>
    <t>CX0522300UQX</t>
  </si>
  <si>
    <t>PO-20151120C-3</t>
  </si>
  <si>
    <t>花旗
5028523019</t>
  </si>
  <si>
    <t>AW65099707</t>
  </si>
  <si>
    <t>PI-20151127B</t>
  </si>
  <si>
    <r>
      <rPr>
        <rFont val="arial,sans,sans-serif"/>
        <color rgb="FF000000"/>
        <sz val="10.0"/>
      </rPr>
      <t xml:space="preserve">BTC013-1-79-500 
</t>
    </r>
    <r>
      <rPr>
        <rFont val="arial,sans,sans-serif"/>
        <b/>
        <color rgb="FF0000FF"/>
        <sz val="10.0"/>
      </rPr>
      <t>(WiFi Cable)</t>
    </r>
  </si>
  <si>
    <t>DHL 955148831</t>
  </si>
  <si>
    <t>PO-20151127A-2</t>
  </si>
  <si>
    <t>SG35055890</t>
  </si>
  <si>
    <t>同X12</t>
  </si>
  <si>
    <t>CX 0522301EQK</t>
  </si>
  <si>
    <t>PO-20151127A-1</t>
  </si>
  <si>
    <t>澳盛(台灣)Bank code 0390019
000700481198</t>
  </si>
  <si>
    <t>AU49733552</t>
  </si>
  <si>
    <t>PI-20151216A</t>
  </si>
  <si>
    <t>Service Charge</t>
  </si>
  <si>
    <t>GMI 青航</t>
  </si>
  <si>
    <t>EMO-20151214A/B</t>
  </si>
  <si>
    <t>CH 0552081047</t>
  </si>
  <si>
    <t>P151202NP0</t>
  </si>
  <si>
    <t>PI-20151202A</t>
  </si>
  <si>
    <t xml:space="preserve">Unigens DHL </t>
  </si>
  <si>
    <t>AW22688702</t>
  </si>
  <si>
    <t>P151204NP0</t>
  </si>
  <si>
    <t>PI-20151204A</t>
  </si>
  <si>
    <t>ECS-8000-PoER700Q</t>
  </si>
  <si>
    <t>PO-20151204A</t>
  </si>
  <si>
    <t>"玉山銀行(板橋分行)
1171 940 013686"</t>
  </si>
  <si>
    <t>AU38368465</t>
  </si>
  <si>
    <t>CX0522302NG7</t>
  </si>
  <si>
    <t>PO-20150204A-2</t>
  </si>
  <si>
    <t>合庫大安分行˙
0760717324727</t>
  </si>
  <si>
    <t>AW64230908</t>
  </si>
  <si>
    <t>同x19</t>
  </si>
  <si>
    <t>PI-20160819B</t>
  </si>
  <si>
    <t>IEI TANK-860-HM86i-i5/4G/6A-R10</t>
  </si>
  <si>
    <t xml:space="preserve">Weiss-Rohlig Taiwan Ltd. </t>
  </si>
  <si>
    <t>PO-20160819B</t>
  </si>
  <si>
    <t>CX70070135</t>
  </si>
  <si>
    <t>CW0547002363</t>
  </si>
  <si>
    <t>P151204NP1</t>
  </si>
  <si>
    <t>PI-20151204B</t>
  </si>
  <si>
    <t>同X20</t>
  </si>
  <si>
    <t>PO-20151204B</t>
  </si>
  <si>
    <t>DT151209-002</t>
  </si>
  <si>
    <t>PI-20151209B
(佣金已付)</t>
  </si>
  <si>
    <t>NPort W2150A-EU Band 
w/ Cn Adapter</t>
  </si>
  <si>
    <t>PO-20151209B</t>
  </si>
  <si>
    <t>AW81452624</t>
  </si>
  <si>
    <t>CA0552000068</t>
  </si>
  <si>
    <t>DT151209-001</t>
  </si>
  <si>
    <t xml:space="preserve">AWK-3121-EU </t>
  </si>
  <si>
    <t>同x25</t>
  </si>
  <si>
    <t>PI-20160914A</t>
  </si>
  <si>
    <t>PO-20160914C</t>
  </si>
  <si>
    <t>DP70070124</t>
  </si>
  <si>
    <t>CW0547002913</t>
  </si>
  <si>
    <t>SMIB Board</t>
  </si>
  <si>
    <t>CH0552081008</t>
  </si>
  <si>
    <t>PI-20160914A-1</t>
  </si>
  <si>
    <t>EF70070009</t>
  </si>
  <si>
    <t>CW0547003034</t>
  </si>
  <si>
    <t>Autech
亞郁科技</t>
  </si>
  <si>
    <t>PO201512180024</t>
  </si>
  <si>
    <t>PI-20151221A</t>
  </si>
  <si>
    <t>Nport-5150 w/US adapter</t>
  </si>
  <si>
    <t>PO-20151221A</t>
  </si>
  <si>
    <t>AW81452623</t>
  </si>
  <si>
    <t>AU52548700</t>
  </si>
  <si>
    <t>1/13台銀均: 33.4</t>
  </si>
  <si>
    <t>1/18掛號</t>
  </si>
  <si>
    <t>PI-20151224B</t>
  </si>
  <si>
    <t>Nport 5130A</t>
  </si>
  <si>
    <t>DHL Express Courier Cargo 
(A/C : 964096297)</t>
  </si>
  <si>
    <t>PO-20151224B</t>
  </si>
  <si>
    <t>AW81452483</t>
  </si>
  <si>
    <t>CX 0522301WH5</t>
  </si>
  <si>
    <t>PI-20160118D</t>
  </si>
  <si>
    <t>10AX115N2F40I2SG</t>
  </si>
  <si>
    <t>STA Logistic</t>
  </si>
  <si>
    <t>艾睿Arrow</t>
  </si>
  <si>
    <t>PO-20160118D-1</t>
  </si>
  <si>
    <t>MEGA INTERNATIONAL COMMERCIAL BANK
CO., AN HO BRANCH
A/C NO 019-53-0116</t>
  </si>
  <si>
    <t>EMO-20160121A</t>
  </si>
  <si>
    <t>CF85193569</t>
  </si>
  <si>
    <t>CX052230EZ4F</t>
  </si>
  <si>
    <t>V-1+V-2</t>
  </si>
  <si>
    <t>PI-20160107A</t>
  </si>
  <si>
    <t>RFA-02-3-C52M3-B70
(WIFI antenna)</t>
  </si>
  <si>
    <t>PO-20160107A</t>
  </si>
  <si>
    <t>AU34821424</t>
  </si>
  <si>
    <t>RFA-EU-C55-U-B70
(4G antenna)</t>
  </si>
  <si>
    <t>同x38</t>
  </si>
  <si>
    <t>IMB-130 (with D2550)</t>
  </si>
  <si>
    <t xml:space="preserve">Asrock 華擎
</t>
  </si>
  <si>
    <t>PO-20160107A-3</t>
  </si>
  <si>
    <t>富邦銀行 北投分行
總分支機構代碼012
360102067890"</t>
  </si>
  <si>
    <t>AU49168622</t>
  </si>
  <si>
    <t>CX 0522301WN4</t>
  </si>
  <si>
    <t>Cable kits for IMB-130</t>
  </si>
  <si>
    <t>同x41</t>
  </si>
  <si>
    <t>PI-20160107A-2</t>
  </si>
  <si>
    <r>
      <rPr>
        <rFont val="arial,sans,sans-serif"/>
        <color theme="1"/>
        <sz val="10.0"/>
      </rPr>
      <t>RFA-01-GPS-12-A1-</t>
    </r>
    <r>
      <rPr>
        <rFont val="arial,sans,sans-serif"/>
        <b/>
        <color rgb="FFFF0000"/>
        <sz val="10.0"/>
      </rPr>
      <t>2</t>
    </r>
    <r>
      <rPr>
        <rFont val="arial,sans,sans-serif"/>
        <color theme="1"/>
        <sz val="10.0"/>
      </rPr>
      <t>M
(Active GPS)</t>
    </r>
  </si>
  <si>
    <t>PO-20160107A-2</t>
  </si>
  <si>
    <t>AU34821434</t>
  </si>
  <si>
    <t>PI-20160107B</t>
  </si>
  <si>
    <t xml:space="preserve">Freight to Romania on Jan 8th
(PI-20151216A-1), </t>
  </si>
  <si>
    <t>青航
Green Master</t>
  </si>
  <si>
    <t xml:space="preserve">銀行: 彰化銀行/吉林分行(009-3003)
帳號: 3003-01-00108-7-00 </t>
  </si>
  <si>
    <t>AV16611545</t>
  </si>
  <si>
    <t>Freight to Romania on Jan 28th
(PI-20151216A-2)</t>
  </si>
  <si>
    <t>AV16611646</t>
  </si>
  <si>
    <t>PI-20160107C</t>
  </si>
  <si>
    <t>Freight to Australia 
(PI-20151210A)</t>
  </si>
  <si>
    <t>同x18</t>
  </si>
  <si>
    <t>CX0522300YYH</t>
  </si>
  <si>
    <t>RMA-20160107A</t>
  </si>
  <si>
    <t>IB520F-18-R​ / 1505000416 ​</t>
  </si>
  <si>
    <t>IB520F-18-R​ / 1505000418 ​</t>
  </si>
  <si>
    <t>IB970RF / 1504012796</t>
  </si>
  <si>
    <t>PI-20160113A-1</t>
  </si>
  <si>
    <t>FSP120-AHAN2</t>
  </si>
  <si>
    <t xml:space="preserve">兆豐國際商業銀行桃園分行
014-09-00217-0 </t>
  </si>
  <si>
    <t>BQ02754962</t>
  </si>
  <si>
    <t>CG 053762P489</t>
  </si>
  <si>
    <t>PI-20160113A-2</t>
  </si>
  <si>
    <t>PO-20160113A-2</t>
  </si>
  <si>
    <t>CG02755002</t>
  </si>
  <si>
    <t>CG053764G848</t>
  </si>
  <si>
    <t>CB16-017</t>
  </si>
  <si>
    <t>PI-20160114A</t>
  </si>
  <si>
    <t>PPC-3150-RE4AE (Barebone)</t>
  </si>
  <si>
    <t>TNT002004901by Express</t>
  </si>
  <si>
    <t>PO-20160114A</t>
  </si>
  <si>
    <t>AW65102162</t>
  </si>
  <si>
    <t>CR053761X363</t>
  </si>
  <si>
    <t>96PSA-A90W19OT-1 (power)</t>
  </si>
  <si>
    <t>同x50</t>
  </si>
  <si>
    <t>170203183C ( euro power cord)</t>
  </si>
  <si>
    <t xml:space="preserve">20160115-AA </t>
  </si>
  <si>
    <t>PI-20160115A</t>
  </si>
  <si>
    <t>Santiago/Forster</t>
  </si>
  <si>
    <t>PO-20160115A</t>
  </si>
  <si>
    <t>AW81452726</t>
  </si>
  <si>
    <t>AU52548701</t>
  </si>
  <si>
    <t>1/22 台銀即期買賣平均33.6</t>
  </si>
  <si>
    <t>1/27掛號</t>
  </si>
  <si>
    <t>C218TURBO/PCI</t>
  </si>
  <si>
    <t>同x53</t>
  </si>
  <si>
    <t>同上</t>
  </si>
  <si>
    <t>P160119NP0</t>
  </si>
  <si>
    <t>PI-20160118A</t>
  </si>
  <si>
    <t>42C-00039
(Win Pro Embedded 7 SP1)</t>
  </si>
  <si>
    <t>PO-20161118A</t>
  </si>
  <si>
    <t>AW65099370</t>
  </si>
  <si>
    <t>PI-20160118B</t>
  </si>
  <si>
    <t>PO-20160118B</t>
  </si>
  <si>
    <t>AW81452781</t>
  </si>
  <si>
    <t>CX 0522302JH3</t>
  </si>
  <si>
    <t>PI-20160118B-2</t>
  </si>
  <si>
    <t>FREIGHT</t>
  </si>
  <si>
    <t>AW22719898</t>
  </si>
  <si>
    <t>PO201601150000</t>
  </si>
  <si>
    <t>PI-20160118C</t>
  </si>
  <si>
    <t>PO-20160118C</t>
  </si>
  <si>
    <t>AW81452714</t>
  </si>
  <si>
    <t>AU52548702</t>
  </si>
  <si>
    <t>PCB (8~10pcs) + Tooling</t>
  </si>
  <si>
    <t>PO-20160118D-3</t>
  </si>
  <si>
    <t>CD38009898</t>
  </si>
  <si>
    <t>Other Material</t>
  </si>
  <si>
    <t>FHSB1517-816GG</t>
  </si>
  <si>
    <t xml:space="preserve">榮帥
JOHNSON TECH </t>
  </si>
  <si>
    <t>PO-20160118D-2</t>
  </si>
  <si>
    <t>華南銀行 二重分行 (台幣)
174-10-000523-9</t>
  </si>
  <si>
    <t>BM55545603</t>
  </si>
  <si>
    <t>FHAX1517-715G</t>
  </si>
  <si>
    <t>同x61</t>
  </si>
  <si>
    <t>PCB Assebmly Manufacturing Service Charge</t>
  </si>
  <si>
    <t>PO-20160118D-4</t>
  </si>
  <si>
    <t>CD38009899</t>
  </si>
  <si>
    <t>PCIe-9852</t>
  </si>
  <si>
    <t>PO-20151120B</t>
  </si>
  <si>
    <t>AW86119473</t>
  </si>
  <si>
    <t>Testing</t>
  </si>
  <si>
    <t>Freight (component from aboard)</t>
  </si>
  <si>
    <t>IB897</t>
  </si>
  <si>
    <t>PI-20160120A</t>
  </si>
  <si>
    <t>PO-20160120A</t>
  </si>
  <si>
    <t>AW81453469</t>
  </si>
  <si>
    <t>AU52548750</t>
  </si>
  <si>
    <t>santiago: 33.5</t>
  </si>
  <si>
    <t>2/2放客戶信箱</t>
  </si>
  <si>
    <t>PO201601220004</t>
  </si>
  <si>
    <t>PI-20160122A</t>
  </si>
  <si>
    <t>PO-20160122A</t>
  </si>
  <si>
    <t>AW81453518</t>
  </si>
  <si>
    <t>AU52548751</t>
  </si>
  <si>
    <t>2/3 台銀即期買賣平均33.56</t>
  </si>
  <si>
    <t>2/15掛號</t>
  </si>
  <si>
    <t>CP-102U</t>
  </si>
  <si>
    <t>同AB68</t>
  </si>
  <si>
    <t>RMA-20160122A</t>
  </si>
  <si>
    <t>Nport W2150A
TAEEB1053982</t>
  </si>
  <si>
    <t>021 9904 855
順豐快遞</t>
  </si>
  <si>
    <t>Nport W2150A
TADJB1081938</t>
  </si>
  <si>
    <t>P1601125NP1</t>
  </si>
  <si>
    <t>PI-20160125A</t>
  </si>
  <si>
    <t>OPE150FBR</t>
  </si>
  <si>
    <t>PO-20160125A</t>
  </si>
  <si>
    <t>AU51897946</t>
  </si>
  <si>
    <t>PO201601260009</t>
  </si>
  <si>
    <t>PI-20160127A</t>
  </si>
  <si>
    <t>PO-20160127A</t>
  </si>
  <si>
    <t>AW81453517</t>
  </si>
  <si>
    <t>AU52548752</t>
  </si>
  <si>
    <t>PI-20160127B</t>
  </si>
  <si>
    <t>Freight to Australia 
(PI-20151204A / 1204B / 0105A /0128A / 0125A)</t>
  </si>
  <si>
    <t>同X57</t>
  </si>
  <si>
    <t>PI-20160128A</t>
  </si>
  <si>
    <t>PO-20160128A</t>
  </si>
  <si>
    <t>威強電工業電腦股份有限公司 
兆豐042-09-80877-7"</t>
  </si>
  <si>
    <t>AW70070102</t>
  </si>
  <si>
    <t>CG053762G591</t>
  </si>
  <si>
    <t>PI-20160128A-1</t>
  </si>
  <si>
    <t>BP70070026</t>
  </si>
  <si>
    <t>PI-20160128A-2</t>
  </si>
  <si>
    <t>7009000001
(LVDS cable SBC-210 for G101EVN01.0)</t>
  </si>
  <si>
    <t>PO-20160128A-2</t>
  </si>
  <si>
    <t>AX07747793</t>
  </si>
  <si>
    <t>PO201601290006</t>
  </si>
  <si>
    <t>PI-20160129A</t>
  </si>
  <si>
    <t>PO-20160129A</t>
  </si>
  <si>
    <t>AW81453516</t>
  </si>
  <si>
    <t>同AB74</t>
  </si>
  <si>
    <t>P160202NP0</t>
  </si>
  <si>
    <t>PI-20160202A</t>
  </si>
  <si>
    <t>PO-20160202A</t>
  </si>
  <si>
    <t>AW65102856</t>
  </si>
  <si>
    <t>CX 052230428L</t>
  </si>
  <si>
    <t>PI-20160202B</t>
  </si>
  <si>
    <t xml:space="preserve">Freight for PI20160202A </t>
  </si>
  <si>
    <t>PI-20160202C</t>
  </si>
  <si>
    <t xml:space="preserve">NISE2300 AtomD2550, incl 4GB RAM </t>
  </si>
  <si>
    <t>PO-20160202C</t>
  </si>
  <si>
    <t>AU34814077</t>
  </si>
  <si>
    <t>CF05550P3247</t>
  </si>
  <si>
    <t>同x82</t>
  </si>
  <si>
    <t>PI-20160203A</t>
  </si>
  <si>
    <t>EDS-G509</t>
  </si>
  <si>
    <t>UPS EXPRESS 0341W3</t>
  </si>
  <si>
    <t>PO-20160203A</t>
  </si>
  <si>
    <t>AW81453558</t>
  </si>
  <si>
    <t>CU 0557BH1617</t>
  </si>
  <si>
    <t>SFP-1GSXLC</t>
  </si>
  <si>
    <t>同x84</t>
  </si>
  <si>
    <t>PI-20160204A</t>
  </si>
  <si>
    <t>PO-20160204A</t>
  </si>
  <si>
    <t>AU34821537</t>
  </si>
  <si>
    <t>同X86</t>
  </si>
  <si>
    <t>PO201602040009</t>
  </si>
  <si>
    <t>PI-20160204B</t>
  </si>
  <si>
    <t>PO-20160204B</t>
  </si>
  <si>
    <t>AW81453574</t>
  </si>
  <si>
    <t>AU52548754</t>
  </si>
  <si>
    <t>2/16台銀平均33.27</t>
  </si>
  <si>
    <t>2/19掛號</t>
  </si>
  <si>
    <t>PO201602050003</t>
  </si>
  <si>
    <t>PI-20160210A</t>
  </si>
  <si>
    <t>PO-20160210A</t>
  </si>
  <si>
    <t>AW81453596</t>
  </si>
  <si>
    <t>AU52548753</t>
  </si>
  <si>
    <t>2/16台銀平均33.18</t>
  </si>
  <si>
    <t>P160209NP0</t>
  </si>
  <si>
    <t>PI-20160214A</t>
  </si>
  <si>
    <t>ECS-7000-2R</t>
  </si>
  <si>
    <t>PO-20160214A</t>
  </si>
  <si>
    <t>AU38368484</t>
  </si>
  <si>
    <t>CX 0522304JZ0</t>
  </si>
  <si>
    <t>Jetone 捷毅2/22
交到超恩</t>
  </si>
  <si>
    <t>PO-20160214A-2</t>
  </si>
  <si>
    <t>捷毅國際股份有限公司
渣打國際商業銀行 南崁分行
銀行代號052-0281
033-53-00017001-5</t>
  </si>
  <si>
    <t>AX02853615</t>
  </si>
  <si>
    <t>TS1GSK64V6H
(向創見購買. Vecow組裝)</t>
  </si>
  <si>
    <t>PO-20160214A-3</t>
  </si>
  <si>
    <t>AW64239414</t>
  </si>
  <si>
    <t>同X92</t>
  </si>
  <si>
    <t>VESA Mounting Kit</t>
  </si>
  <si>
    <t>DIN Rail Mounting Kit</t>
  </si>
  <si>
    <t>TS256GSSD420K
(2.5" SSD MLC 256GB)</t>
  </si>
  <si>
    <t>同x94</t>
  </si>
  <si>
    <t>PI-20160214B</t>
  </si>
  <si>
    <t>Nport 5430</t>
  </si>
  <si>
    <t>PO-20160214B</t>
  </si>
  <si>
    <t>AW81453603</t>
  </si>
  <si>
    <t>PI-20160214C</t>
  </si>
  <si>
    <t>PO-20160214C</t>
  </si>
  <si>
    <t>EMO-20160214C</t>
  </si>
  <si>
    <t>BM53762817</t>
  </si>
  <si>
    <t>CX 0522306BBM</t>
  </si>
  <si>
    <t>PO16-0052M</t>
  </si>
  <si>
    <t>PI-20160215A</t>
  </si>
  <si>
    <t xml:space="preserve">EKI-1526-BE </t>
  </si>
  <si>
    <t>PO-20160215A</t>
  </si>
  <si>
    <t>"花旗
5028523019"</t>
  </si>
  <si>
    <t>AW65103506</t>
  </si>
  <si>
    <t>CX 05223043LD</t>
  </si>
  <si>
    <t>P160215NP0</t>
  </si>
  <si>
    <t>PI-20160215B</t>
  </si>
  <si>
    <t>MXE-1301/M4G</t>
  </si>
  <si>
    <t>PO-20160215B</t>
  </si>
  <si>
    <t>EP86119444</t>
  </si>
  <si>
    <t>CX 05223056PJ</t>
  </si>
  <si>
    <t>Koning &amp; Hartman</t>
  </si>
  <si>
    <t>PI-20160217A</t>
  </si>
  <si>
    <t>IPC­5122­00XE </t>
  </si>
  <si>
    <t>PO-20160217A</t>
  </si>
  <si>
    <t>AW65102524</t>
  </si>
  <si>
    <t>CH 05486 00716</t>
  </si>
  <si>
    <t>PS8­300ATX­ZBE</t>
  </si>
  <si>
    <t>同X103</t>
  </si>
  <si>
    <t>AIMB­582QG2­00A1E </t>
  </si>
  <si>
    <t>PI-20160217A-1</t>
  </si>
  <si>
    <t>EP65098999</t>
  </si>
  <si>
    <t>CH 05486 00791</t>
  </si>
  <si>
    <t>同X105</t>
  </si>
  <si>
    <t>P160218NP1</t>
  </si>
  <si>
    <t>PI-20160218A</t>
  </si>
  <si>
    <t>SPC-2845RS</t>
  </si>
  <si>
    <t>PO-20160218A</t>
  </si>
  <si>
    <t>AU38368476</t>
  </si>
  <si>
    <t>4GB RAM (vecow certified)</t>
  </si>
  <si>
    <t>同X109</t>
  </si>
  <si>
    <t>PWA-60WP2</t>
  </si>
  <si>
    <t>SPC-2000 Din Rail kits</t>
  </si>
  <si>
    <t>P160217NP1</t>
  </si>
  <si>
    <t>PI-20160218B</t>
  </si>
  <si>
    <t>SPC-2145RS</t>
  </si>
  <si>
    <t>PO-20160218B</t>
  </si>
  <si>
    <t>BM38335805</t>
  </si>
  <si>
    <t>CX 0522305NMY</t>
  </si>
  <si>
    <t>同X112</t>
  </si>
  <si>
    <t>PI-20160218C</t>
  </si>
  <si>
    <t>1004480001
(SBC-210D w/ J1900)</t>
  </si>
  <si>
    <t>asrock華擎</t>
  </si>
  <si>
    <t>PO-20160218C</t>
  </si>
  <si>
    <t>富邦銀行 北投分行
總分支機構代碼0123604
360102067890</t>
  </si>
  <si>
    <t>BM49132124</t>
  </si>
  <si>
    <t>CG/ /05/376/3D520</t>
  </si>
  <si>
    <t>PI-20160218D</t>
  </si>
  <si>
    <t>C502PK120B0021000P
(COMx 2 cable for IB970RF)</t>
  </si>
  <si>
    <t>PO-20160218D</t>
  </si>
  <si>
    <t>AW48041054</t>
  </si>
  <si>
    <t>PO201602190010</t>
  </si>
  <si>
    <t>PI-20160221A</t>
  </si>
  <si>
    <t>PO-20160221A</t>
  </si>
  <si>
    <t>AW81453687</t>
  </si>
  <si>
    <t>AU52548755</t>
  </si>
  <si>
    <t>2/25 台銀均 33.275</t>
  </si>
  <si>
    <t>PO201602220012</t>
  </si>
  <si>
    <t>PI-20160222A</t>
  </si>
  <si>
    <t>UPort 1110</t>
  </si>
  <si>
    <t>PO-20160222A</t>
  </si>
  <si>
    <t>AW81453699</t>
  </si>
  <si>
    <t>同AB112</t>
  </si>
  <si>
    <t>330-16021452</t>
  </si>
  <si>
    <t>PI-20160224A</t>
  </si>
  <si>
    <t>Uport 404 w/European adapter</t>
  </si>
  <si>
    <t>PO-20160224A</t>
  </si>
  <si>
    <t>BP81452810</t>
  </si>
  <si>
    <t>BM52747701</t>
  </si>
  <si>
    <t>Karen:
 3/18央行32.52</t>
  </si>
  <si>
    <t>PI-20160225A</t>
  </si>
  <si>
    <t>NPort 6250-S-SC w/EU adapter</t>
  </si>
  <si>
    <t>TNT express (000107240)</t>
  </si>
  <si>
    <t>PO-20160225A</t>
  </si>
  <si>
    <t>BP81452876</t>
  </si>
  <si>
    <t>CR 053763D477</t>
  </si>
  <si>
    <t>UPORT 1150i</t>
  </si>
  <si>
    <t>同x121</t>
  </si>
  <si>
    <t>NPORT 5110 w/EU adapter</t>
  </si>
  <si>
    <t>P160226NP0</t>
  </si>
  <si>
    <t>PI-20160301A</t>
  </si>
  <si>
    <t>PO-20160301A-1</t>
  </si>
  <si>
    <t>澳盛Bank code 039
000700481198</t>
  </si>
  <si>
    <t>BM49507052</t>
  </si>
  <si>
    <t>PO-20160301A-2</t>
  </si>
  <si>
    <t>BM34791366</t>
  </si>
  <si>
    <t>RFA-EU-C55-U-B70
(4G Antenna)</t>
  </si>
  <si>
    <t>同X125</t>
  </si>
  <si>
    <t>RFA-01-GPS-12-A1-3M
(Active GPS)</t>
  </si>
  <si>
    <t>Freight for PI-20160301A</t>
  </si>
  <si>
    <t>DT-160303-001</t>
  </si>
  <si>
    <t>PI-20160126A
(佣金已付)</t>
  </si>
  <si>
    <t>Nport W2150A EU Band w/ Cn Adapter</t>
  </si>
  <si>
    <t>PO-20160126A</t>
  </si>
  <si>
    <t>BP81452871</t>
  </si>
  <si>
    <t>=553708+17125
=570833</t>
  </si>
  <si>
    <t>CA0552000523</t>
  </si>
  <si>
    <t xml:space="preserve">V </t>
  </si>
  <si>
    <t>PI-20160126A-1
(佣金已付)</t>
  </si>
  <si>
    <t>PO-20160126A-1</t>
  </si>
  <si>
    <t>BP81452871
BP81452872</t>
  </si>
  <si>
    <t>同x129</t>
  </si>
  <si>
    <t>HSIB897-BGA</t>
  </si>
  <si>
    <t>PI-20160303A</t>
  </si>
  <si>
    <t>PO-20160303A</t>
  </si>
  <si>
    <t>BP81452673</t>
  </si>
  <si>
    <t>BM52747700</t>
  </si>
  <si>
    <t>santiago: 32.39</t>
  </si>
  <si>
    <t>3/24放客戶信箱</t>
  </si>
  <si>
    <t>PI-20160304A
(佣金已付)</t>
  </si>
  <si>
    <t>PO-20160304A</t>
  </si>
  <si>
    <t>BP81453587</t>
  </si>
  <si>
    <t>CA0552000661</t>
  </si>
  <si>
    <t>PI-20160304B</t>
  </si>
  <si>
    <t xml:space="preserve">Freight for PI-20160214A </t>
  </si>
  <si>
    <t>TPE846814</t>
  </si>
  <si>
    <t>PI-20160304C</t>
  </si>
  <si>
    <t xml:space="preserve">Freight for PI-20160218A </t>
  </si>
  <si>
    <t>同X133</t>
  </si>
  <si>
    <t>PI-20160304D</t>
  </si>
  <si>
    <t>Freight for PI-20160215B</t>
  </si>
  <si>
    <t>TPE851867</t>
  </si>
  <si>
    <t>PO16-0105N</t>
  </si>
  <si>
    <t>PI-20160308A</t>
  </si>
  <si>
    <t>i7-4712MQ</t>
  </si>
  <si>
    <t>捷毅jetone</t>
  </si>
  <si>
    <t>PO-20160308A</t>
  </si>
  <si>
    <t>渣打國際商業銀行 
銀行代號052-0281
033-53-00017001-5</t>
  </si>
  <si>
    <t>BQ02853038</t>
  </si>
  <si>
    <t>CX/ /05/223/05NBC</t>
  </si>
  <si>
    <t>PI-20160308A
(隨貨不打PI)</t>
  </si>
  <si>
    <t>989B-PWM</t>
  </si>
  <si>
    <t>信可國際企業</t>
  </si>
  <si>
    <t>PO-20160308A-2</t>
  </si>
  <si>
    <t>永豐銀行 景美分行 807 1228
122-018-0001252-9</t>
  </si>
  <si>
    <t>BM30291951</t>
  </si>
  <si>
    <t>PI-20160310A</t>
  </si>
  <si>
    <t>Freight for PI-20160218B</t>
  </si>
  <si>
    <t>TPE856551</t>
  </si>
  <si>
    <t>IB76</t>
  </si>
  <si>
    <t>RMA-20160311A</t>
  </si>
  <si>
    <t>NPort 5650-8-DT 
(TAEEE1017651)</t>
  </si>
  <si>
    <t>RMA</t>
  </si>
  <si>
    <t>CRK16082401-T</t>
  </si>
  <si>
    <t>NPort 5650-8-DT 
(TAEGE1014672)</t>
  </si>
  <si>
    <t>CRK16082402-T</t>
  </si>
  <si>
    <t>NPort 5650-8-DT 
(TAEEE1017693)</t>
  </si>
  <si>
    <t>PI-20160314A
(佣金已付)</t>
  </si>
  <si>
    <t>PO-20160314A</t>
  </si>
  <si>
    <t>BP81452929</t>
  </si>
  <si>
    <t>20160316-AA</t>
  </si>
  <si>
    <t>PI-20160316A</t>
  </si>
  <si>
    <t xml:space="preserve">Unigens </t>
  </si>
  <si>
    <t>PO-20160316A</t>
  </si>
  <si>
    <t>"""兆豐中和分行 
069-09-000668"""</t>
  </si>
  <si>
    <t>BP86119904</t>
  </si>
  <si>
    <t>BM52747704</t>
  </si>
  <si>
    <t>3/25 台銀均價32.62</t>
  </si>
  <si>
    <t>3/31掛號</t>
  </si>
  <si>
    <t>PI-20160316A-1</t>
  </si>
  <si>
    <t>BP86120455</t>
  </si>
  <si>
    <t>BM52747750</t>
  </si>
  <si>
    <t>3/25 台銀均價32.42</t>
  </si>
  <si>
    <t>4/11掛號</t>
  </si>
  <si>
    <t>PI-20160214CF</t>
  </si>
  <si>
    <t>Freight for PI-20160214C</t>
  </si>
  <si>
    <t>TPE859859</t>
  </si>
  <si>
    <t>PI-20160317A</t>
  </si>
  <si>
    <t>External pigtail cable for multi-I/O
(P/N: 6030000043X00)</t>
  </si>
  <si>
    <t>PO-20160317A</t>
  </si>
  <si>
    <t>BM34729391</t>
  </si>
  <si>
    <t>CX 0522306V6R</t>
  </si>
  <si>
    <t>DHL Freight For PI-20160317A</t>
  </si>
  <si>
    <t>BP22701782</t>
  </si>
  <si>
    <t>CB16-127</t>
  </si>
  <si>
    <t>PI-20160318A</t>
  </si>
  <si>
    <t>GS90A12-P1M</t>
  </si>
  <si>
    <t>DOLPHIN</t>
  </si>
  <si>
    <t>PO-20160318A</t>
  </si>
  <si>
    <t>2016/5/3
2016/5/9</t>
  </si>
  <si>
    <t>CF91913051
CF91913387</t>
  </si>
  <si>
    <t>86940(含180片)
同X196(內含70片)</t>
  </si>
  <si>
    <t>CW05C0210430</t>
  </si>
  <si>
    <t>PI-20160318B</t>
  </si>
  <si>
    <t>7002000080 
(M393A4K40BB0-CPB)</t>
  </si>
  <si>
    <t>jetnet捷毅</t>
  </si>
  <si>
    <t>PO-2016318B</t>
  </si>
  <si>
    <t>P160318NP0</t>
  </si>
  <si>
    <t>PI-20160319A</t>
  </si>
  <si>
    <t>BP86120510</t>
  </si>
  <si>
    <t>CX0522308Z5U</t>
  </si>
  <si>
    <t>同X153</t>
  </si>
  <si>
    <t>Unigens Stock</t>
  </si>
  <si>
    <t>PO-20160319-2</t>
  </si>
  <si>
    <t>王銘盛</t>
  </si>
  <si>
    <t>PI-20160319AF</t>
  </si>
  <si>
    <t>Freight for PI-20160319A</t>
  </si>
  <si>
    <t>BP22732478</t>
  </si>
  <si>
    <t>20160318-AA</t>
  </si>
  <si>
    <t>PI-20160319B</t>
  </si>
  <si>
    <t>TCC-100I</t>
  </si>
  <si>
    <t>PO-20160319B</t>
  </si>
  <si>
    <t>BP81452861</t>
  </si>
  <si>
    <t>BM52747703</t>
  </si>
  <si>
    <t>3/25 台銀均價32.405</t>
  </si>
  <si>
    <t xml:space="preserve">3959-1798 
</t>
  </si>
  <si>
    <t>PI-20160322A</t>
  </si>
  <si>
    <t xml:space="preserve">FKT-185-58-R51U-V1 </t>
  </si>
  <si>
    <t xml:space="preserve">UPS 1A24W6 </t>
  </si>
  <si>
    <t>EMO-20160330A</t>
  </si>
  <si>
    <t>CU0557BH3758</t>
  </si>
  <si>
    <t xml:space="preserve">3959-1798 </t>
  </si>
  <si>
    <t xml:space="preserve">FB series AD Board Kit </t>
  </si>
  <si>
    <t xml:space="preserve">Country of Origin Certification </t>
  </si>
  <si>
    <t>NO.385630</t>
  </si>
  <si>
    <t>PO-P-I150212</t>
  </si>
  <si>
    <t>PI-20160323A</t>
  </si>
  <si>
    <t>TNT Courier A/C: 58548</t>
  </si>
  <si>
    <t>PO-20160323A</t>
  </si>
  <si>
    <t>BP81452938</t>
  </si>
  <si>
    <t>CR 053763G528</t>
  </si>
  <si>
    <t>230316-41S</t>
  </si>
  <si>
    <t>PI-20160324A</t>
  </si>
  <si>
    <t>PO-20160324A</t>
  </si>
  <si>
    <t>"銀行代號：007 
帳號：23110037813"</t>
  </si>
  <si>
    <t>BP91914690</t>
  </si>
  <si>
    <t>BM52747751</t>
  </si>
  <si>
    <t>4/12 Benson @32.325</t>
  </si>
  <si>
    <t>發票隨貨附</t>
  </si>
  <si>
    <t>MeanWell WDR-120-12</t>
  </si>
  <si>
    <t>同X166</t>
  </si>
  <si>
    <t>Unigens-大榮</t>
  </si>
  <si>
    <t>BP91915169</t>
  </si>
  <si>
    <t>BM52747758</t>
  </si>
  <si>
    <t>4/26 Benson @32.285</t>
  </si>
  <si>
    <t>MeanWell NDR-75-24</t>
  </si>
  <si>
    <t>BP91915199</t>
  </si>
  <si>
    <t>同X159</t>
  </si>
  <si>
    <t>230316-43T</t>
  </si>
  <si>
    <t>PI-20160324B</t>
  </si>
  <si>
    <t>PO-20160324B</t>
  </si>
  <si>
    <t>BP91914691</t>
  </si>
  <si>
    <t>BM52747753</t>
  </si>
  <si>
    <t>同X170</t>
  </si>
  <si>
    <t>20160325-AA</t>
  </si>
  <si>
    <t>PI-20160325A</t>
  </si>
  <si>
    <t xml:space="preserve">C218 TURBO/PCI  </t>
  </si>
  <si>
    <t>PO-20160325A</t>
  </si>
  <si>
    <t>BP81453455</t>
  </si>
  <si>
    <t>BM52747755</t>
  </si>
  <si>
    <t>3/31台銀@32.185</t>
  </si>
  <si>
    <t>4/15掛號</t>
  </si>
  <si>
    <t xml:space="preserve">OPT8-M9      </t>
  </si>
  <si>
    <t>同X175</t>
  </si>
  <si>
    <t>同175</t>
  </si>
  <si>
    <t>RMA-20160328A</t>
  </si>
  <si>
    <t>CA-104T
( TABGC 1023644)</t>
  </si>
  <si>
    <t>RMA無發票</t>
  </si>
  <si>
    <t>CA-104T
( TABGC 1023646)</t>
  </si>
  <si>
    <t>CA-104T
( TABGC 1023610)</t>
  </si>
  <si>
    <t>PI-20160329A</t>
  </si>
  <si>
    <t>PO-20160329A</t>
  </si>
  <si>
    <t>BP81453465</t>
  </si>
  <si>
    <t>BM52747756</t>
  </si>
  <si>
    <t>台銀@32.429</t>
  </si>
  <si>
    <t>4/14放客戶信箱</t>
  </si>
  <si>
    <t>16/0320M</t>
  </si>
  <si>
    <t>PI-20160613D</t>
  </si>
  <si>
    <t xml:space="preserve">ADLINK PCIe-9852 </t>
  </si>
  <si>
    <t>PO-20160613D-2</t>
  </si>
  <si>
    <t>CX86119826</t>
  </si>
  <si>
    <t>CX052230L4LH</t>
  </si>
  <si>
    <t>PI-20160304A-2
(佣金已付)</t>
  </si>
  <si>
    <t>PO-20160304A-2</t>
  </si>
  <si>
    <t>BP81453588</t>
  </si>
  <si>
    <t>PI-20160314A-2
(佣金已付)</t>
  </si>
  <si>
    <t>PO-20160314A-2</t>
  </si>
  <si>
    <t>BP81453586</t>
  </si>
  <si>
    <t>P160401NP0</t>
  </si>
  <si>
    <t>PI-20160401A</t>
  </si>
  <si>
    <t>PO-20160401A</t>
  </si>
  <si>
    <t>BP86120624</t>
  </si>
  <si>
    <t>CX0522309M9R</t>
  </si>
  <si>
    <t>31-62139-0000
AC-DC ADAPTER 90W</t>
  </si>
  <si>
    <t>同X181</t>
  </si>
  <si>
    <t>PI-20160401AF</t>
  </si>
  <si>
    <t>Frieght for PI-20160401A</t>
  </si>
  <si>
    <t>BP22738927</t>
  </si>
  <si>
    <t>PI-20160401B</t>
  </si>
  <si>
    <t>IP-380</t>
  </si>
  <si>
    <t>PO-20160401B</t>
  </si>
  <si>
    <t>BP48040997</t>
  </si>
  <si>
    <t>CR053763T077</t>
  </si>
  <si>
    <t>PI-20160406A</t>
  </si>
  <si>
    <t>PO-20160406A</t>
  </si>
  <si>
    <t>BM34729601</t>
  </si>
  <si>
    <t>CF05550HG981</t>
  </si>
  <si>
    <t xml:space="preserve">PO-20160406A </t>
  </si>
  <si>
    <t>同X179</t>
  </si>
  <si>
    <t>PI-20160406A-1</t>
  </si>
  <si>
    <t>PO-20160406A-1</t>
  </si>
  <si>
    <t>CD34804917</t>
  </si>
  <si>
    <t>CF05550MP398</t>
  </si>
  <si>
    <t>同X182</t>
  </si>
  <si>
    <t>16/0169M</t>
  </si>
  <si>
    <t>PI-20160406B</t>
  </si>
  <si>
    <t>Advantech USB-4761-AE</t>
  </si>
  <si>
    <t>PO-20160406B</t>
  </si>
  <si>
    <t>BP65103008</t>
  </si>
  <si>
    <t>CX0522308Z68</t>
  </si>
  <si>
    <t>PI-20160406C</t>
  </si>
  <si>
    <t>TOF-185WP</t>
  </si>
  <si>
    <t>EMO-20160406A</t>
  </si>
  <si>
    <t>CG053766H899</t>
  </si>
  <si>
    <t>PI-20160406C-1</t>
  </si>
  <si>
    <t>G185HAN01.0</t>
  </si>
  <si>
    <t>5/10交勁盛</t>
  </si>
  <si>
    <t>德傑</t>
  </si>
  <si>
    <t>CG053765L667</t>
  </si>
  <si>
    <t>PI-20160406C-2</t>
  </si>
  <si>
    <t xml:space="preserve">AB-1518505081118121501
w/ MC154A03 ( non-EETI brand) </t>
  </si>
  <si>
    <t>4/18交勁盛</t>
  </si>
  <si>
    <t>嵩達</t>
  </si>
  <si>
    <t>PO-20160406C-1</t>
  </si>
  <si>
    <t>玉山銀行-羅東分行
帳號0451440008886</t>
  </si>
  <si>
    <t>PI-20160406C-4</t>
  </si>
  <si>
    <t>Burning/Lightening /Function Test
( For resistive spare part)</t>
  </si>
  <si>
    <t>PO-20160406C-3</t>
  </si>
  <si>
    <t>Quantum</t>
  </si>
  <si>
    <t>060416</t>
  </si>
  <si>
    <t>PI-20160407A</t>
  </si>
  <si>
    <t>Advantech MIO-2260NF-S6A1E</t>
  </si>
  <si>
    <t>PO-20160407A</t>
  </si>
  <si>
    <t>BP65102433</t>
  </si>
  <si>
    <t>CX052230984T</t>
  </si>
  <si>
    <t>同X177</t>
  </si>
  <si>
    <t>PI-20160407B</t>
  </si>
  <si>
    <t>IB970RF ver 1.1</t>
  </si>
  <si>
    <t>PO-20160407B</t>
  </si>
  <si>
    <t>BP48041086</t>
  </si>
  <si>
    <t>CG053764C945</t>
  </si>
  <si>
    <t>PO201604070005</t>
  </si>
  <si>
    <t>PI-20160407C</t>
  </si>
  <si>
    <t>PO-20160407C</t>
  </si>
  <si>
    <t>BP81453584</t>
  </si>
  <si>
    <t>BM52747754</t>
  </si>
  <si>
    <t>台銀@32.315</t>
  </si>
  <si>
    <t>4/14掛號</t>
  </si>
  <si>
    <t>PI-20160408A</t>
  </si>
  <si>
    <t xml:space="preserve"> TNT Econimy
000120639</t>
  </si>
  <si>
    <t>PO-20160408A</t>
  </si>
  <si>
    <t>BP81531990</t>
  </si>
  <si>
    <t>CG053763X890</t>
  </si>
  <si>
    <t>同X197</t>
  </si>
  <si>
    <t>CB16-154</t>
  </si>
  <si>
    <t>PI-20160408B-1</t>
  </si>
  <si>
    <t>PO-20160408B</t>
  </si>
  <si>
    <t>CF91913387</t>
  </si>
  <si>
    <t>PI-20160408B-2</t>
  </si>
  <si>
    <t>CF91913568</t>
  </si>
  <si>
    <t>CG053764S607</t>
  </si>
  <si>
    <t>16/0180M</t>
  </si>
  <si>
    <t>PI-20160408C</t>
  </si>
  <si>
    <t>Advantech PCIE-1672PC-AE</t>
  </si>
  <si>
    <t>PO-20160408C</t>
  </si>
  <si>
    <t>CF65100060</t>
  </si>
  <si>
    <t>CX052230CFK7</t>
  </si>
  <si>
    <t>16/0359M</t>
  </si>
  <si>
    <t>PI-20160627A</t>
  </si>
  <si>
    <t>PO-20160627A-1</t>
  </si>
  <si>
    <t>CX86120715</t>
  </si>
  <si>
    <t xml:space="preserve"> P160408NP0</t>
  </si>
  <si>
    <t>PI-20160408D</t>
  </si>
  <si>
    <t>4/18交 Vecow</t>
  </si>
  <si>
    <t>PO-20160408D-2</t>
  </si>
  <si>
    <t>BP64239747</t>
  </si>
  <si>
    <t>PO-20160408D-3</t>
  </si>
  <si>
    <t>BP65102434</t>
  </si>
  <si>
    <t xml:space="preserve"> P160408NP1</t>
  </si>
  <si>
    <t>PI-20160408E</t>
  </si>
  <si>
    <t>POC-210</t>
  </si>
  <si>
    <t>PO-20160408E</t>
  </si>
  <si>
    <t>玉山銀行 佳里分行  
0428-940-007592</t>
  </si>
  <si>
    <t>BM35337825</t>
  </si>
  <si>
    <t>DDR3L-4GB for POC-210</t>
  </si>
  <si>
    <t>同X205</t>
  </si>
  <si>
    <t>PI-20160408F</t>
  </si>
  <si>
    <t>Freight for PI-20160408D/E/G/H</t>
  </si>
  <si>
    <t>洋基通運匯豐
10081620882011</t>
  </si>
  <si>
    <t xml:space="preserve"> P160408NP2</t>
  </si>
  <si>
    <t>PI-20160408G</t>
  </si>
  <si>
    <t>PO-20160408G</t>
  </si>
  <si>
    <t>BM49507186</t>
  </si>
  <si>
    <t>Free sample</t>
  </si>
  <si>
    <t>PO-20160408G-2</t>
  </si>
  <si>
    <t>BM34791533</t>
  </si>
  <si>
    <t xml:space="preserve"> P160408NP3</t>
  </si>
  <si>
    <t>PI-20160408H</t>
  </si>
  <si>
    <t>TS32GCFX600
(32GB CFast card)</t>
  </si>
  <si>
    <t>PO-20160408H</t>
  </si>
  <si>
    <t>BP64239878</t>
  </si>
  <si>
    <t>PI-20160409A
(佣金已付)</t>
  </si>
  <si>
    <t>PO-20160409A</t>
  </si>
  <si>
    <t>BP81453749</t>
  </si>
  <si>
    <t>CA0552000771</t>
  </si>
  <si>
    <t>同X210</t>
  </si>
  <si>
    <t>PI-20160409B</t>
  </si>
  <si>
    <t>PO-20160409B-1</t>
  </si>
  <si>
    <t>BP48041076</t>
  </si>
  <si>
    <t>PO-20160409B</t>
  </si>
  <si>
    <t>BP70070170</t>
  </si>
  <si>
    <t>PI-20160414A</t>
  </si>
  <si>
    <t>1700008461­11
(A Cable USB­A(F)*4/9P­2.54*2 30.5 W/BKT)</t>
  </si>
  <si>
    <t>PO-20160414A</t>
  </si>
  <si>
    <t>BP65102955</t>
  </si>
  <si>
    <t>CX0522308YCF</t>
  </si>
  <si>
    <t>16/0196M</t>
  </si>
  <si>
    <t>PI-20160414B</t>
  </si>
  <si>
    <t>PO-20160414B</t>
  </si>
  <si>
    <t>BP65102961</t>
  </si>
  <si>
    <t>20160418-AA</t>
  </si>
  <si>
    <t>PI-20160418A</t>
  </si>
  <si>
    <t>PO-20160418A</t>
  </si>
  <si>
    <t>BP86120856</t>
  </si>
  <si>
    <t>BM52747759修改為CD52598050</t>
  </si>
  <si>
    <t>4/27台銀@32.335</t>
  </si>
  <si>
    <t>PO201604150010</t>
  </si>
  <si>
    <t>PI-20160418B</t>
  </si>
  <si>
    <t>PO-20160418B</t>
  </si>
  <si>
    <t>BP81453760</t>
  </si>
  <si>
    <t>BM52747757</t>
  </si>
  <si>
    <t>台銀@32.34</t>
  </si>
  <si>
    <t>4/26掛號寄出</t>
  </si>
  <si>
    <t>PI-20160419A
(0930佣金已付)</t>
  </si>
  <si>
    <t>PO-20160419A</t>
  </si>
  <si>
    <t>CF81453631</t>
  </si>
  <si>
    <t>CA0552001279</t>
  </si>
  <si>
    <t>CB16-170</t>
  </si>
  <si>
    <t>PI-20160421A</t>
  </si>
  <si>
    <t>IPC924-212-FL
( 專用BIOS 料號為E26G924104)</t>
  </si>
  <si>
    <t>PO-20160421A-1</t>
  </si>
  <si>
    <t>CF81531848</t>
  </si>
  <si>
    <t>TS16GSSD630</t>
  </si>
  <si>
    <t>PO-20160421A-2</t>
  </si>
  <si>
    <t>CF64231023</t>
  </si>
  <si>
    <t>TS512MSK64V1N</t>
  </si>
  <si>
    <t>同X220</t>
  </si>
  <si>
    <t>ASSEMBLING COST</t>
  </si>
  <si>
    <t>組裝無發票</t>
  </si>
  <si>
    <t>CP-118U</t>
  </si>
  <si>
    <t>CF81452542</t>
  </si>
  <si>
    <t>PI-20160421B</t>
  </si>
  <si>
    <t>PO-20160421B</t>
  </si>
  <si>
    <t>CF81452506</t>
  </si>
  <si>
    <t>CX052230AM6C</t>
  </si>
  <si>
    <t>CF22684206</t>
  </si>
  <si>
    <t>PI-20160425A</t>
  </si>
  <si>
    <t>AIMB­582QG2-­00A1E </t>
  </si>
  <si>
    <t>PO-20160425B</t>
  </si>
  <si>
    <t>BP65102700</t>
  </si>
  <si>
    <t>CH0548601625</t>
  </si>
  <si>
    <t>M23C-5M00-300</t>
  </si>
  <si>
    <t>Amjad</t>
  </si>
  <si>
    <t>PO-20160425A</t>
  </si>
  <si>
    <t>017 兆豐國際商銀
04610279431</t>
  </si>
  <si>
    <t>CD52598055</t>
  </si>
  <si>
    <t>Karen:@32.34</t>
  </si>
  <si>
    <t>發票隨貨寄出</t>
  </si>
  <si>
    <t>PI-20160425A-1</t>
  </si>
  <si>
    <t>CF65099255</t>
  </si>
  <si>
    <t>CH0548601872</t>
  </si>
  <si>
    <t>AIMB­274G2-­00A1E</t>
  </si>
  <si>
    <t>同X228</t>
  </si>
  <si>
    <t>PI-20160428A</t>
  </si>
  <si>
    <t>NiSE 3600E w/ i5-3610ME, Power &amp; EU cord (w/o DRAM)</t>
  </si>
  <si>
    <t>PO-20160428A</t>
  </si>
  <si>
    <t>CD34804758</t>
  </si>
  <si>
    <t>PI-20160428A-1</t>
  </si>
  <si>
    <t>PO-20160428A-1</t>
  </si>
  <si>
    <t>CD34804916</t>
  </si>
  <si>
    <t>PI-20160428B</t>
  </si>
  <si>
    <t>11090R0002
(MC7330)</t>
  </si>
  <si>
    <t>PO-20160428B-1</t>
  </si>
  <si>
    <t>CD49688962</t>
  </si>
  <si>
    <t>CG053764M745</t>
  </si>
  <si>
    <t>7008090211
(CRK16041101)</t>
  </si>
  <si>
    <t>PO-20160428B-2</t>
  </si>
  <si>
    <t>CG07747194</t>
  </si>
  <si>
    <t>同X233</t>
  </si>
  <si>
    <t xml:space="preserve">2728-D5412 
</t>
  </si>
  <si>
    <t>PI-20160504A</t>
  </si>
  <si>
    <t>Airlife (Freight) Taiwan</t>
  </si>
  <si>
    <t>PO-20160504A</t>
  </si>
  <si>
    <t>CF81452541</t>
  </si>
  <si>
    <t>CA0511301119</t>
  </si>
  <si>
    <t>CBL-M62M9x8-100
(OPT8D)</t>
  </si>
  <si>
    <t>EMO-20150430A</t>
  </si>
  <si>
    <t>PI-20160504B</t>
  </si>
  <si>
    <t xml:space="preserve">R12T600-OFL1 </t>
  </si>
  <si>
    <t>Schenker</t>
  </si>
  <si>
    <t>Winmate 融程</t>
  </si>
  <si>
    <t>PO-20160504B</t>
  </si>
  <si>
    <t>上海商業儲蓄銀行
59102002013368</t>
  </si>
  <si>
    <t>CF77670684</t>
  </si>
  <si>
    <t>CU0557BJ3472</t>
  </si>
  <si>
    <t>CB16-191</t>
  </si>
  <si>
    <t>PI-20160504C-1</t>
  </si>
  <si>
    <t>PO-20160504C</t>
  </si>
  <si>
    <t>CF91915175</t>
  </si>
  <si>
    <t>CG053765Y972</t>
  </si>
  <si>
    <t>PI-20160504C-2</t>
  </si>
  <si>
    <t>CX91912741</t>
  </si>
  <si>
    <t>PO201505050012</t>
  </si>
  <si>
    <t>PI-20160506A</t>
  </si>
  <si>
    <t>PO-20160506A</t>
  </si>
  <si>
    <t>CF81452580</t>
  </si>
  <si>
    <t>CD52598051</t>
  </si>
  <si>
    <t>5/9台銀匯率@32.41</t>
  </si>
  <si>
    <t>5/12掛號寄出</t>
  </si>
  <si>
    <t>PI-20160509A</t>
  </si>
  <si>
    <t>PO-20160509A</t>
  </si>
  <si>
    <t>CF81452691</t>
  </si>
  <si>
    <t>CD52598056</t>
  </si>
  <si>
    <t>5/18台銀@32.685</t>
  </si>
  <si>
    <t>5/19放客戶信箱</t>
  </si>
  <si>
    <t>PI-20160509B</t>
  </si>
  <si>
    <t>FAB113</t>
  </si>
  <si>
    <t>TNT A/C : 000081207</t>
  </si>
  <si>
    <t>PO-20160509B</t>
  </si>
  <si>
    <t>CF81531821</t>
  </si>
  <si>
    <t>CG053764Q303</t>
  </si>
  <si>
    <t>PO160510VJ0</t>
  </si>
  <si>
    <t>PI-20160510B</t>
  </si>
  <si>
    <t>PO-20160510B</t>
  </si>
  <si>
    <t>CD35327313</t>
  </si>
  <si>
    <t>CX052230C3JJ</t>
  </si>
  <si>
    <t>DDR3L-4GB</t>
  </si>
  <si>
    <t>同X250</t>
  </si>
  <si>
    <t>POC-212</t>
  </si>
  <si>
    <t>CF22696197</t>
  </si>
  <si>
    <t>PI-20160512A</t>
  </si>
  <si>
    <t>KBD­6312</t>
  </si>
  <si>
    <t>PO-20160512A</t>
  </si>
  <si>
    <t>FPM­3171G­R3AE</t>
  </si>
  <si>
    <t>PI-20160512B</t>
  </si>
  <si>
    <t>PO-20160512B</t>
  </si>
  <si>
    <t>CD49688985</t>
  </si>
  <si>
    <t>CG053764V699</t>
  </si>
  <si>
    <t>PI-20160512C</t>
  </si>
  <si>
    <t>PO-20160512C</t>
  </si>
  <si>
    <t>CF86119938</t>
  </si>
  <si>
    <t>CH0546004328</t>
  </si>
  <si>
    <t>同X257</t>
  </si>
  <si>
    <t>CF86120614</t>
  </si>
  <si>
    <t xml:space="preserve">BANKCHARGE </t>
  </si>
  <si>
    <t>EN23F2QI</t>
  </si>
  <si>
    <t>Re-processing charge</t>
  </si>
  <si>
    <t>P160513VJ0</t>
  </si>
  <si>
    <t>PI-20160513A-1</t>
  </si>
  <si>
    <t>PCI-7200</t>
  </si>
  <si>
    <t>PO-20160513A</t>
  </si>
  <si>
    <t>CF86120657</t>
  </si>
  <si>
    <t>CX052230FHT6</t>
  </si>
  <si>
    <t>CX22678392</t>
  </si>
  <si>
    <t>PI-20160513A-2</t>
  </si>
  <si>
    <t>力寶</t>
  </si>
  <si>
    <t>CD04996911</t>
  </si>
  <si>
    <t>CX052230GRZJ</t>
  </si>
  <si>
    <t>16/0625M</t>
  </si>
  <si>
    <t>PI-20161110A</t>
  </si>
  <si>
    <t>PO-20161110A</t>
  </si>
  <si>
    <t>EF65102437</t>
  </si>
  <si>
    <t>CX052230X209</t>
  </si>
  <si>
    <t>P160517VJ0</t>
  </si>
  <si>
    <t>PI-20160517A</t>
  </si>
  <si>
    <t>5/24交 Vecow</t>
  </si>
  <si>
    <t>PO-20160517A-2</t>
  </si>
  <si>
    <t>CF64232571</t>
  </si>
  <si>
    <t>CX052230CUN0</t>
  </si>
  <si>
    <t>CF22722060</t>
  </si>
  <si>
    <t>PI-20160517B</t>
  </si>
  <si>
    <t>MO-20160517B</t>
  </si>
  <si>
    <t>CG053765F002</t>
  </si>
  <si>
    <t>PC28F00AP33EFA</t>
  </si>
  <si>
    <t>Engineering Rework
(Replacing PC28F00BP33EFA by PC28F00AP33EFA)</t>
  </si>
  <si>
    <t>Engineering Rework
Soldering FPGA and FHAX1517-715G</t>
  </si>
  <si>
    <t>PI-20160519A</t>
  </si>
  <si>
    <t>IB520F-18-R</t>
  </si>
  <si>
    <t>PO-20160519A</t>
  </si>
  <si>
    <t>CF48040897</t>
  </si>
  <si>
    <t>IB37A (cable for IB520F-18-R)</t>
  </si>
  <si>
    <t>CF48040936</t>
  </si>
  <si>
    <t>CF48040980</t>
  </si>
  <si>
    <t>PI-20160520A</t>
  </si>
  <si>
    <t>PO-20160520A</t>
  </si>
  <si>
    <t>CF65100208</t>
  </si>
  <si>
    <t>CX052230CFK4</t>
  </si>
  <si>
    <t>160520VJ3</t>
  </si>
  <si>
    <t>PI-20160523A</t>
  </si>
  <si>
    <t>R15L100-STA3</t>
  </si>
  <si>
    <t>PO-20160523A</t>
  </si>
  <si>
    <t>CF77670774</t>
  </si>
  <si>
    <t>PI-20160523AF</t>
  </si>
  <si>
    <t>Freight for PI-20160523A</t>
  </si>
  <si>
    <t>同P257</t>
  </si>
  <si>
    <t>同V257</t>
  </si>
  <si>
    <t>Q160524NP0</t>
  </si>
  <si>
    <t>PI-20160524A</t>
  </si>
  <si>
    <t>PO-20160524A</t>
  </si>
  <si>
    <t>CF65102578</t>
  </si>
  <si>
    <t>CX052230E7DU</t>
  </si>
  <si>
    <t>PI-20160525A</t>
  </si>
  <si>
    <t>SQF-S10M1-4G-S9E</t>
  </si>
  <si>
    <t>PO-20160525A</t>
  </si>
  <si>
    <t>CF65101384</t>
  </si>
  <si>
    <t>CX052230D2QJ</t>
  </si>
  <si>
    <t>MXE-5401/M8G</t>
  </si>
  <si>
    <t>PO-20151202A</t>
  </si>
  <si>
    <t>AW86119489</t>
  </si>
  <si>
    <t>P160526NP0</t>
  </si>
  <si>
    <t>PI-20150526A</t>
  </si>
  <si>
    <t>6/6交 Vecow</t>
  </si>
  <si>
    <t>PO-20160526A-2</t>
  </si>
  <si>
    <t>CF64239049</t>
  </si>
  <si>
    <t>Freight (18KG/ 6cartons)</t>
  </si>
  <si>
    <t>CF22738544</t>
  </si>
  <si>
    <t>PO201605260005</t>
  </si>
  <si>
    <t>PI-20160526B</t>
  </si>
  <si>
    <t>PO-20160526B</t>
  </si>
  <si>
    <t>CF81453514</t>
  </si>
  <si>
    <t>CD52598101</t>
  </si>
  <si>
    <t>6/6台銀@32.39</t>
  </si>
  <si>
    <t>6/20掛號寄出</t>
  </si>
  <si>
    <t>20160606-AA</t>
  </si>
  <si>
    <t>PI-20160606A</t>
  </si>
  <si>
    <t>PO-20160606A</t>
  </si>
  <si>
    <t>CX81452655</t>
  </si>
  <si>
    <t>CV52570500</t>
  </si>
  <si>
    <t>7/13台銀@32.185</t>
  </si>
  <si>
    <t>PI-20160606B</t>
  </si>
  <si>
    <t>PO-20160606B</t>
  </si>
  <si>
    <t>CF81453590</t>
  </si>
  <si>
    <t>CX052230E78H</t>
  </si>
  <si>
    <t>PI-20160613A</t>
  </si>
  <si>
    <t>CF81281176</t>
  </si>
  <si>
    <t>CD37438240</t>
  </si>
  <si>
    <t>TS2GHR72V1B
(Transcend R DIMM ECC)</t>
  </si>
  <si>
    <t>PO-20160613A-4</t>
  </si>
  <si>
    <t>CF64240887</t>
  </si>
  <si>
    <t>TS256GSSD420K
(Transcend 2.5" SSD 256GB)</t>
  </si>
  <si>
    <t>同X292</t>
  </si>
  <si>
    <t>M4R0-AGS3ECSJ 
(Innodisk R DIMM ECC)</t>
  </si>
  <si>
    <t>Innodisk  宜鼎</t>
  </si>
  <si>
    <t>PO-20160613A-5</t>
  </si>
  <si>
    <t>CF69989848</t>
  </si>
  <si>
    <t>WD5000LPLX 
(WD 2.5" HDD 500GB)</t>
  </si>
  <si>
    <t>Uniworld 聯沃</t>
  </si>
  <si>
    <t>PO-20160613A-6</t>
  </si>
  <si>
    <t>彰化銀行009 
3003-01-888897-00</t>
  </si>
  <si>
    <t>CD53363618</t>
  </si>
  <si>
    <t>PI-20160613B</t>
  </si>
  <si>
    <t>11060R00003
(MC7304)</t>
  </si>
  <si>
    <t>PO-20160613B</t>
  </si>
  <si>
    <t>CD49689026</t>
  </si>
  <si>
    <t>CR053765P782</t>
  </si>
  <si>
    <t>2785-1079</t>
  </si>
  <si>
    <t>PI-20160613C</t>
  </si>
  <si>
    <t>Airlife (Freight) Taiwan-FOB</t>
  </si>
  <si>
    <t>PO-20160613C-1</t>
  </si>
  <si>
    <t>CF65102581
CF65102600</t>
  </si>
  <si>
    <t>10401(1片)
41605(4片)</t>
  </si>
  <si>
    <t>CA0511301485</t>
  </si>
  <si>
    <t>N series AD board kits
(MB-215-94_V1)</t>
  </si>
  <si>
    <t>PO-20160613C-2</t>
  </si>
  <si>
    <t>永豐銀行 807
191-001-0001599-5</t>
  </si>
  <si>
    <t>CD53622258</t>
  </si>
  <si>
    <t>PI-20160613C-1</t>
  </si>
  <si>
    <t>CX65102491</t>
  </si>
  <si>
    <t>CU0557BG4253</t>
  </si>
  <si>
    <t>Advantech PCI-1762-BE</t>
  </si>
  <si>
    <t>PO-20160613D-1</t>
  </si>
  <si>
    <t>CX65099488</t>
  </si>
  <si>
    <t>ECS-4000-2G650U</t>
  </si>
  <si>
    <t>Moxa CP-114EL-I-DB9M</t>
  </si>
  <si>
    <t>PO-20160613D-3</t>
  </si>
  <si>
    <t>CX81453735</t>
  </si>
  <si>
    <t>PI-20160613E</t>
  </si>
  <si>
    <t>Nport W2150A-EU</t>
  </si>
  <si>
    <t>PO-20160613E</t>
  </si>
  <si>
    <t>CF81453711</t>
  </si>
  <si>
    <t>RMA-20160606A</t>
  </si>
  <si>
    <t>Nport W2150A                                      TAEKB1028303</t>
  </si>
  <si>
    <t>NIJKERK FR</t>
  </si>
  <si>
    <t>CF160936</t>
  </si>
  <si>
    <t>PI-20160614A</t>
  </si>
  <si>
    <t>Aten CS1798</t>
  </si>
  <si>
    <t>UPS account 573W25
( UPS Expedited )</t>
  </si>
  <si>
    <t>Aten (宏電)</t>
  </si>
  <si>
    <t>PO-20160614A</t>
  </si>
  <si>
    <t>國泰世華銀行
109-03-500348-9</t>
  </si>
  <si>
    <t>CF69933082</t>
  </si>
  <si>
    <t>CU0557BG3377</t>
  </si>
  <si>
    <t>Aten 2L-7D02H</t>
  </si>
  <si>
    <t>同X305</t>
  </si>
  <si>
    <t>PI-20160615A</t>
  </si>
  <si>
    <t>ADAM­-6050-­CE</t>
  </si>
  <si>
    <t>PO-20160615A</t>
  </si>
  <si>
    <t>CF65103235</t>
  </si>
  <si>
    <t>CH0548602262</t>
  </si>
  <si>
    <t>PI-20160615B</t>
  </si>
  <si>
    <t>PO-20160615B</t>
  </si>
  <si>
    <t>CF81453748</t>
  </si>
  <si>
    <t>CD52598102</t>
  </si>
  <si>
    <t>Santiago敲定@32.17</t>
  </si>
  <si>
    <t>6/26放客戶信箱</t>
  </si>
  <si>
    <t>P160615NP0</t>
  </si>
  <si>
    <t>PI-20160615C</t>
  </si>
  <si>
    <t>空運華 榮 運 通</t>
  </si>
  <si>
    <t>PO-20160615C</t>
  </si>
  <si>
    <t>CX86119674</t>
  </si>
  <si>
    <t>CH0548980477</t>
  </si>
  <si>
    <t>unigens stock</t>
  </si>
  <si>
    <t>零用金</t>
  </si>
  <si>
    <t>P151210NP0</t>
  </si>
  <si>
    <t>PI-20151210A</t>
  </si>
  <si>
    <t>PO-20151210A</t>
  </si>
  <si>
    <t>AW86119488</t>
  </si>
  <si>
    <t>16/0337M</t>
  </si>
  <si>
    <t>PI-20160615D-1</t>
  </si>
  <si>
    <t>RKP117-S1601b</t>
  </si>
  <si>
    <t xml:space="preserve">海運
華 霖 運 通 </t>
  </si>
  <si>
    <t>2016/7/7 (三角貿易)</t>
  </si>
  <si>
    <t xml:space="preserve">Austin Hughes Electronics </t>
  </si>
  <si>
    <t>PO-20160615D</t>
  </si>
  <si>
    <t>HSBC
004497-243964-838</t>
  </si>
  <si>
    <t>INVOICE:16070139</t>
  </si>
  <si>
    <t>無報單</t>
  </si>
  <si>
    <t>Sea Freight</t>
  </si>
  <si>
    <t>海運
華 霖 運 通</t>
  </si>
  <si>
    <t>台北富邦銀行長安(012-5402)
540-102-615012</t>
  </si>
  <si>
    <t>SL032763</t>
  </si>
  <si>
    <t>PI-20160615D-2</t>
  </si>
  <si>
    <t>PO-20160615D-2</t>
  </si>
  <si>
    <t>同V321</t>
  </si>
  <si>
    <t>同V322</t>
  </si>
  <si>
    <t>PI-20160616A</t>
  </si>
  <si>
    <t>PO-20160616A</t>
  </si>
  <si>
    <t>CF65102599</t>
  </si>
  <si>
    <t>同X321</t>
  </si>
  <si>
    <t>PO-P-I160041</t>
  </si>
  <si>
    <t>PI-20160616B</t>
  </si>
  <si>
    <t>MGate MB3280</t>
  </si>
  <si>
    <t>PO-20160616B</t>
  </si>
  <si>
    <t>CF81453677</t>
  </si>
  <si>
    <t>CG053765R090</t>
  </si>
  <si>
    <t>PI-20160617A</t>
  </si>
  <si>
    <t>PO-20160617A</t>
  </si>
  <si>
    <t>華南銀行板新分行
175-10-0021788</t>
  </si>
  <si>
    <t>CD34857160</t>
  </si>
  <si>
    <t>RMA-20160617A</t>
  </si>
  <si>
    <t>IB970RF V1.1</t>
  </si>
  <si>
    <t>CG053767L402</t>
  </si>
  <si>
    <t>P160620NP0</t>
  </si>
  <si>
    <t>PI-20160620A</t>
  </si>
  <si>
    <t>PO-20160620A</t>
  </si>
  <si>
    <t>CD35327340</t>
  </si>
  <si>
    <t>PI-20160620B</t>
  </si>
  <si>
    <t>IB970 (w/o LVDS, POL)</t>
  </si>
  <si>
    <t>PO-20160620B</t>
  </si>
  <si>
    <t>CF48041061</t>
  </si>
  <si>
    <t>CR053765Y449</t>
  </si>
  <si>
    <t>PI-20160622A</t>
  </si>
  <si>
    <t>PO-20160622A</t>
  </si>
  <si>
    <t>CF65101854</t>
  </si>
  <si>
    <t>CX052230FV9Z</t>
  </si>
  <si>
    <t>P160621NP0</t>
  </si>
  <si>
    <t>PI-20160622C</t>
  </si>
  <si>
    <t>PO-20160622C-1</t>
  </si>
  <si>
    <t>CV38316153</t>
  </si>
  <si>
    <t>i7-3610QE
(向世平購買. Vecow組裝)</t>
  </si>
  <si>
    <t>世平
交Vecow組裝</t>
  </si>
  <si>
    <t>PO-20160622C-2</t>
  </si>
  <si>
    <t>彰化銀行南港分行
980103-03112700</t>
  </si>
  <si>
    <t>CF47354437</t>
  </si>
  <si>
    <t>PO-20160622C-3</t>
  </si>
  <si>
    <t>CX64230460</t>
  </si>
  <si>
    <t>TS256GSSD420K
(向創見購買. Vecow組裝)</t>
  </si>
  <si>
    <t>CX64230461</t>
  </si>
  <si>
    <t>同V333</t>
  </si>
  <si>
    <t>PO-20160622C-4</t>
  </si>
  <si>
    <t>CV53653910</t>
  </si>
  <si>
    <t>Freight For PI-20160622C</t>
  </si>
  <si>
    <t xml:space="preserve">　</t>
  </si>
  <si>
    <t>CX22695192</t>
  </si>
  <si>
    <t>P160621NP1</t>
  </si>
  <si>
    <t>PI-20160622D-1</t>
  </si>
  <si>
    <t>空運
華 榮 運 通</t>
  </si>
  <si>
    <t>NEXCOM 新漢</t>
  </si>
  <si>
    <t>PO-20160622D-1</t>
  </si>
  <si>
    <t>CV34743678</t>
  </si>
  <si>
    <t>330-16061055</t>
  </si>
  <si>
    <t>PI-20160622E</t>
  </si>
  <si>
    <t>PO-20160622E</t>
  </si>
  <si>
    <t>CF81453749</t>
  </si>
  <si>
    <t>CD52598103</t>
  </si>
  <si>
    <t>6/22央行@32.22</t>
  </si>
  <si>
    <t>6/27掛號寄出</t>
  </si>
  <si>
    <t>PI-20160622F</t>
  </si>
  <si>
    <t>PO-20160622F</t>
  </si>
  <si>
    <t>CX65099444</t>
  </si>
  <si>
    <t>CH0568590356</t>
  </si>
  <si>
    <t>PI-20160419A-1
(0930佣金已付)</t>
  </si>
  <si>
    <t>PO-20160419A-1</t>
  </si>
  <si>
    <t>CX81452451</t>
  </si>
  <si>
    <t>PI-20160623A</t>
  </si>
  <si>
    <t>PO-20160623A</t>
  </si>
  <si>
    <t>CF81453818</t>
  </si>
  <si>
    <t>CW0501315276</t>
  </si>
  <si>
    <t>PI-20160406C-5</t>
  </si>
  <si>
    <t>T185S-XDN013G-9S02R0-085PN</t>
  </si>
  <si>
    <t>HIGGSTEC萬達光電</t>
  </si>
  <si>
    <t>CG02965228</t>
  </si>
  <si>
    <t>EXC 328056</t>
  </si>
  <si>
    <t>同X346</t>
  </si>
  <si>
    <t>P160106NP0</t>
  </si>
  <si>
    <t>PI-20160105A</t>
  </si>
  <si>
    <t>MXC-6301D/M8G</t>
  </si>
  <si>
    <t>PO-20160105A</t>
  </si>
  <si>
    <t>AW86119781</t>
  </si>
  <si>
    <t>PO-20160627A-2</t>
  </si>
  <si>
    <t>CX81453734</t>
  </si>
  <si>
    <t>PO-20160627A-3</t>
  </si>
  <si>
    <t>CX65099489</t>
  </si>
  <si>
    <t>PI-20160627B</t>
  </si>
  <si>
    <t>PO-20160627B</t>
  </si>
  <si>
    <t>CX65099445</t>
  </si>
  <si>
    <t>CX052230G518</t>
  </si>
  <si>
    <t>P160628NP0</t>
  </si>
  <si>
    <t>PI-20160628A</t>
  </si>
  <si>
    <t>Windows 10 IoT Enterprise 2015 LTSB (ESD) EPKEA
Productcode: 42C-00168</t>
  </si>
  <si>
    <t>PI-20160628B</t>
  </si>
  <si>
    <t>ADAM-­5050­-A2E</t>
  </si>
  <si>
    <t>PO-20160628B</t>
  </si>
  <si>
    <t>CX65099443</t>
  </si>
  <si>
    <t>ADAM-­5060­-AE</t>
  </si>
  <si>
    <t>同X353</t>
  </si>
  <si>
    <t>PI-20160629A</t>
  </si>
  <si>
    <t>UH401</t>
  </si>
  <si>
    <t>PO-20160629A</t>
  </si>
  <si>
    <t>CX65099622</t>
  </si>
  <si>
    <t>PI-20160629B</t>
  </si>
  <si>
    <t>Logitech K120 keyboard</t>
  </si>
  <si>
    <t>PCHOME</t>
  </si>
  <si>
    <t>Santiago 刷卡代墊</t>
  </si>
  <si>
    <t>JX84966179</t>
  </si>
  <si>
    <t>20160630-AA</t>
  </si>
  <si>
    <t>PI-20160630A</t>
  </si>
  <si>
    <t>歐緯世實業有限公司</t>
  </si>
  <si>
    <t>PO-20160630A</t>
  </si>
  <si>
    <t>CV38993060</t>
  </si>
  <si>
    <t>同Z287</t>
  </si>
  <si>
    <t>PI-20160630A-1</t>
  </si>
  <si>
    <t>富加堡機械股份有限公司</t>
  </si>
  <si>
    <t>PO-20160630A-1</t>
  </si>
  <si>
    <t>CV46467955</t>
  </si>
  <si>
    <t>330-16061963</t>
  </si>
  <si>
    <t>PI-20160701A</t>
  </si>
  <si>
    <t>PO-20160701A</t>
  </si>
  <si>
    <t>CX81452686</t>
  </si>
  <si>
    <t>CV52570502</t>
  </si>
  <si>
    <t>7/17央行@31.95</t>
  </si>
  <si>
    <t>7/21掛號寄出</t>
  </si>
  <si>
    <t>PI-20160704B</t>
  </si>
  <si>
    <t>PO-20160704B</t>
  </si>
  <si>
    <t>CX70070029</t>
  </si>
  <si>
    <t>CG053766C939</t>
  </si>
  <si>
    <t>RMA-20160704A</t>
  </si>
  <si>
    <t>Nport W2150A  
TAELB1057424</t>
  </si>
  <si>
    <t>MF13643593</t>
  </si>
  <si>
    <t>RMA-20160704B
(12/9 請Leon 灌新版軟體)</t>
  </si>
  <si>
    <t>Nport W2150A  
TAELB1057291
12/9 請Leon 灌新版軟體</t>
  </si>
  <si>
    <t>順豐快遞</t>
  </si>
  <si>
    <t>RMA-20160704B</t>
  </si>
  <si>
    <t>P160705NP0</t>
  </si>
  <si>
    <t>PI-20160705A</t>
  </si>
  <si>
    <t xml:space="preserve">SPC-2145RS </t>
  </si>
  <si>
    <t>PO-20160705A</t>
  </si>
  <si>
    <t>CV38316160</t>
  </si>
  <si>
    <t>CX 052230J5SR</t>
  </si>
  <si>
    <t xml:space="preserve">TS512MSK64W6H 
(向創見購買. Vecow組裝) </t>
  </si>
  <si>
    <t>PO-20160705A-1</t>
  </si>
  <si>
    <t>CX64231915</t>
  </si>
  <si>
    <t>TS128GSSD420K
(向創見購買. Vecow組裝)</t>
  </si>
  <si>
    <t>同V368</t>
  </si>
  <si>
    <t>DIN Rail Kit for SPC-2000</t>
  </si>
  <si>
    <t>同V367</t>
  </si>
  <si>
    <t>P160705NP1</t>
  </si>
  <si>
    <t>PI-20160705B</t>
  </si>
  <si>
    <t>PO-20160705B</t>
  </si>
  <si>
    <t>CV38316161</t>
  </si>
  <si>
    <t>PO-20160705B-1</t>
  </si>
  <si>
    <t>CX47347888</t>
  </si>
  <si>
    <t>PO-20160705B-2</t>
  </si>
  <si>
    <t>CX64231958</t>
  </si>
  <si>
    <t>同V374</t>
  </si>
  <si>
    <t>同V372</t>
  </si>
  <si>
    <t>PO-20160705B-3</t>
  </si>
  <si>
    <t>CV53653914</t>
  </si>
  <si>
    <t>Freight For PI-20160705B</t>
  </si>
  <si>
    <t>同P364</t>
  </si>
  <si>
    <t>Spectr RS</t>
  </si>
  <si>
    <t>PI-20160706A</t>
  </si>
  <si>
    <t>SPC-3510-955U</t>
  </si>
  <si>
    <t>PO-20160706A-1</t>
  </si>
  <si>
    <t>CV38316189</t>
  </si>
  <si>
    <t>Innodisk M4S0-8GSSO5RG
(向宜鼎購買. Vecow組裝)</t>
  </si>
  <si>
    <t>Innodisk Corporation
宜鼎國際到Vecow組裝</t>
  </si>
  <si>
    <t>PO-20160706A</t>
  </si>
  <si>
    <t>彰化銀行(南港分行)
98010100899700</t>
  </si>
  <si>
    <t>CX69990007</t>
  </si>
  <si>
    <t>DP22682463</t>
  </si>
  <si>
    <t>5% refund tax</t>
  </si>
  <si>
    <t>CB16-301</t>
  </si>
  <si>
    <t>PI-20160706B</t>
  </si>
  <si>
    <t>PO-20160706B</t>
  </si>
  <si>
    <t>CX91913594</t>
  </si>
  <si>
    <t>CR053767H310</t>
  </si>
  <si>
    <t>PO013343</t>
  </si>
  <si>
    <t>PI-20160707A</t>
  </si>
  <si>
    <t>PO-20160707A</t>
  </si>
  <si>
    <t>CX86119787</t>
  </si>
  <si>
    <t>CH0546004420</t>
  </si>
  <si>
    <t>CX86119982</t>
  </si>
  <si>
    <t>RMA-20160707A</t>
  </si>
  <si>
    <r>
      <rPr>
        <rFont val="arial,sans,sans-serif"/>
        <color rgb="FF000000"/>
        <sz val="10.0"/>
      </rPr>
      <t xml:space="preserve">進口：7768
</t>
    </r>
    <r>
      <rPr>
        <rFont val="arial,sans,sans-serif"/>
        <color rgb="FF000000"/>
        <sz val="10.0"/>
      </rPr>
      <t>出口：4932</t>
    </r>
  </si>
  <si>
    <r>
      <rPr>
        <rFont val="arial,sans,sans-serif"/>
        <color rgb="FF000000"/>
        <sz val="10.0"/>
      </rPr>
      <t xml:space="preserve">2016/8/13
</t>
    </r>
    <r>
      <rPr>
        <rFont val="arial,sans,sans-serif"/>
        <color rgb="FF000000"/>
        <sz val="10.0"/>
      </rPr>
      <t>2016/9/18</t>
    </r>
  </si>
  <si>
    <t>2016/7/14
2016/08/19</t>
  </si>
  <si>
    <t>CX22684254
CX22732705</t>
  </si>
  <si>
    <t>進口：7768
出口:  4932</t>
  </si>
  <si>
    <t>2016/8/10
2016/9/6</t>
  </si>
  <si>
    <t>RMA出口</t>
  </si>
  <si>
    <r>
      <rPr>
        <rFont val="arial,sans,sans-serif"/>
        <color rgb="FF000000"/>
        <sz val="10.0"/>
      </rPr>
      <t xml:space="preserve">進口：同P386
</t>
    </r>
    <r>
      <rPr>
        <rFont val="arial,sans,sans-serif"/>
        <color rgb="FF000000"/>
        <sz val="10.0"/>
      </rPr>
      <t>出口：同P386</t>
    </r>
  </si>
  <si>
    <r>
      <rPr>
        <rFont val="arial,sans,sans-serif"/>
        <color rgb="FF000000"/>
        <sz val="10.0"/>
      </rPr>
      <t xml:space="preserve">2016/8/13
</t>
    </r>
    <r>
      <rPr>
        <rFont val="arial,sans,sans-serif"/>
        <color rgb="FF000000"/>
        <sz val="10.0"/>
      </rPr>
      <t>2016/9/18</t>
    </r>
  </si>
  <si>
    <t>PI-20160711A</t>
  </si>
  <si>
    <t>7009000001 / CRK16011501-T
(LVDS cable SBC-210 for G101EVN01.0)</t>
  </si>
  <si>
    <t>PO-20160711A</t>
  </si>
  <si>
    <t>CY07747849</t>
  </si>
  <si>
    <t>PI-20160712A</t>
  </si>
  <si>
    <t>MIO-2260NF-S6A1E (Advantech)</t>
  </si>
  <si>
    <t>PO-20160712A</t>
  </si>
  <si>
    <t>CX65099207</t>
  </si>
  <si>
    <t>CX052230J9KU</t>
  </si>
  <si>
    <t>DHL Freight for PI-20160712A</t>
  </si>
  <si>
    <t>20160713-AA</t>
  </si>
  <si>
    <t>PI-20160713A</t>
  </si>
  <si>
    <t>PO-20160713A-1</t>
  </si>
  <si>
    <t>CV38993071</t>
  </si>
  <si>
    <t>CV52570504</t>
  </si>
  <si>
    <t>Santiago敲定@32.0</t>
  </si>
  <si>
    <t>7/22掛號寄出</t>
  </si>
  <si>
    <t>富加堡</t>
  </si>
  <si>
    <t>PO-20160713A-2</t>
  </si>
  <si>
    <t>CV46467957</t>
  </si>
  <si>
    <t>同Z395</t>
  </si>
  <si>
    <t>ACL-7125</t>
  </si>
  <si>
    <t>PO-20160713A-3</t>
  </si>
  <si>
    <t>CX86119743</t>
  </si>
  <si>
    <t>2016/7/21(自取)</t>
  </si>
  <si>
    <t>PO-20160713A-4</t>
  </si>
  <si>
    <t>CX86119830</t>
  </si>
  <si>
    <t>ECS-4000-2R650U</t>
  </si>
  <si>
    <t>PO-20160408D-1</t>
  </si>
  <si>
    <t>BM38335836</t>
  </si>
  <si>
    <t>P160714NP0</t>
  </si>
  <si>
    <t>PI-20160714A</t>
  </si>
  <si>
    <t>PO-20160714A-1</t>
  </si>
  <si>
    <t>CX64233160</t>
  </si>
  <si>
    <t>CX052230JPJN</t>
  </si>
  <si>
    <t>DHL Freight for PI-20160714A</t>
  </si>
  <si>
    <t>P160714NP1</t>
  </si>
  <si>
    <t>PI-20160714B</t>
  </si>
  <si>
    <t>TS128GSSD420K</t>
  </si>
  <si>
    <t>PO-20160714B</t>
  </si>
  <si>
    <t>CX64233276</t>
  </si>
  <si>
    <t>DHL Freight for PI-20160714B</t>
  </si>
  <si>
    <t>同P395</t>
  </si>
  <si>
    <t>PI-20160714C</t>
  </si>
  <si>
    <t>PO-20160714C</t>
  </si>
  <si>
    <t>CV34673166</t>
  </si>
  <si>
    <t>PO-P-I160059</t>
  </si>
  <si>
    <t>PI-20160715A</t>
  </si>
  <si>
    <t>PO-20160715A</t>
  </si>
  <si>
    <t>CX81452751</t>
  </si>
  <si>
    <t>CG053766V806</t>
  </si>
  <si>
    <t>同V406</t>
  </si>
  <si>
    <t>330-16071004</t>
  </si>
  <si>
    <t>PI-20160718A</t>
  </si>
  <si>
    <t>PO-20160718A</t>
  </si>
  <si>
    <t>CX81453777</t>
  </si>
  <si>
    <t>CV52570556</t>
  </si>
  <si>
    <t>8/22央行@31.795</t>
  </si>
  <si>
    <t>8/25掛號寄出</t>
  </si>
  <si>
    <t>PI-20160721A</t>
  </si>
  <si>
    <t>LVDS cable
(YRK16072001)</t>
  </si>
  <si>
    <t>PO-20160721A</t>
  </si>
  <si>
    <t>CY07747433</t>
  </si>
  <si>
    <t>CR053766N129</t>
  </si>
  <si>
    <t>Inverter cable
(YRK16072002)</t>
  </si>
  <si>
    <t>同V410</t>
  </si>
  <si>
    <t>PO130837-1</t>
  </si>
  <si>
    <t>PI-20160721B</t>
  </si>
  <si>
    <t>TNT Economy Express
 Acc# 101009</t>
  </si>
  <si>
    <t>PO-20160721B</t>
  </si>
  <si>
    <t>DP81452838</t>
  </si>
  <si>
    <t>CG053768E226</t>
  </si>
  <si>
    <t>16/0403M</t>
  </si>
  <si>
    <t>PI-20160722A</t>
  </si>
  <si>
    <t>Advantech EKI-1526-BE</t>
  </si>
  <si>
    <t>PO-20160722A</t>
  </si>
  <si>
    <t>CX65100071</t>
  </si>
  <si>
    <t>CX052230JPKF</t>
  </si>
  <si>
    <t>PI-20160725A</t>
  </si>
  <si>
    <t>IB897-I45</t>
  </si>
  <si>
    <t>2016/7/27(自取)</t>
  </si>
  <si>
    <t>PO-20160725A</t>
  </si>
  <si>
    <t>CX48040873</t>
  </si>
  <si>
    <t>CX48040874</t>
  </si>
  <si>
    <t>PI-20160725B</t>
  </si>
  <si>
    <t>PO-20160725B</t>
  </si>
  <si>
    <t>CX48041054</t>
  </si>
  <si>
    <t>同V417</t>
  </si>
  <si>
    <t>KC00005655</t>
  </si>
  <si>
    <t>PO-20160725B-1</t>
  </si>
  <si>
    <t>CY07747842</t>
  </si>
  <si>
    <t>PO-034</t>
  </si>
  <si>
    <t>PI-20160727A</t>
  </si>
  <si>
    <t>PO-20160727A</t>
  </si>
  <si>
    <t>CX81453591</t>
  </si>
  <si>
    <t>CR053766X252</t>
  </si>
  <si>
    <t>NPort 5110 w/EU adapter</t>
  </si>
  <si>
    <t>同V420</t>
  </si>
  <si>
    <t>NPort 5130 w/EU adapter</t>
  </si>
  <si>
    <t>NPort 5150 w/EU adapter</t>
  </si>
  <si>
    <t>16/0416M</t>
  </si>
  <si>
    <t>PI-20160727C</t>
  </si>
  <si>
    <t>Advantech ADAM-4050-DE</t>
  </si>
  <si>
    <t>PO-20160727C</t>
  </si>
  <si>
    <t>CX65103177</t>
  </si>
  <si>
    <t>P160727NP0</t>
  </si>
  <si>
    <t>PI-20160728A</t>
  </si>
  <si>
    <t>Adlink MXE-1301/M4G</t>
  </si>
  <si>
    <t>PO-20160728A</t>
  </si>
  <si>
    <t>CX86120884</t>
  </si>
  <si>
    <t>CX052230ME4C</t>
  </si>
  <si>
    <t>Freight For PI-20160728A</t>
  </si>
  <si>
    <t>PI-20160728B</t>
  </si>
  <si>
    <t>PO-20160728B</t>
  </si>
  <si>
    <t>CX48041064</t>
  </si>
  <si>
    <t>PI-20160728C</t>
  </si>
  <si>
    <t>AIMB-582QG2-00A1E</t>
  </si>
  <si>
    <t>PO-20160728C</t>
  </si>
  <si>
    <t>CX65102256</t>
  </si>
  <si>
    <t>CW0548602825</t>
  </si>
  <si>
    <t>AIMB-274G2-00A1E</t>
  </si>
  <si>
    <t>同V433</t>
  </si>
  <si>
    <t>PI-20160729A</t>
  </si>
  <si>
    <t>PO-20160729A</t>
  </si>
  <si>
    <t>CG053768H517</t>
  </si>
  <si>
    <t xml:space="preserve"> 20160729-AA </t>
  </si>
  <si>
    <t>PI-20160729B</t>
  </si>
  <si>
    <t xml:space="preserve">NPORT 5110A </t>
  </si>
  <si>
    <t>PO-20160729B</t>
  </si>
  <si>
    <t>CX81453580</t>
  </si>
  <si>
    <t>CV52570550</t>
  </si>
  <si>
    <t>8/5台銀@31.545</t>
  </si>
  <si>
    <t>2016/8/8掛號寄出</t>
  </si>
  <si>
    <t>PI-20160801A</t>
  </si>
  <si>
    <t>PO-20160801A</t>
  </si>
  <si>
    <t>CX81453630</t>
  </si>
  <si>
    <t>CV52570551
修改CV52570552</t>
  </si>
  <si>
    <t>對方敲定@31.34</t>
  </si>
  <si>
    <t>8/11放客戶信箱
8/15修改放信箱</t>
  </si>
  <si>
    <t>同V379</t>
  </si>
  <si>
    <t>同Z437</t>
  </si>
  <si>
    <t>RMA-20160801A</t>
  </si>
  <si>
    <t>NPort 5650-8-DT 
TAEEE1017709</t>
  </si>
  <si>
    <t>P160805NP0</t>
  </si>
  <si>
    <t>PI-20160805A</t>
  </si>
  <si>
    <t>PO-20160805A-1</t>
  </si>
  <si>
    <t>CV38316179</t>
  </si>
  <si>
    <t>CX052230LKGV</t>
  </si>
  <si>
    <t>PO-20160805A-2</t>
  </si>
  <si>
    <t>CX47352750</t>
  </si>
  <si>
    <t>PO-20160805A-3</t>
  </si>
  <si>
    <t>預付款</t>
  </si>
  <si>
    <t>CX64239464</t>
  </si>
  <si>
    <t>同V444</t>
  </si>
  <si>
    <t>同V443</t>
  </si>
  <si>
    <t>PO-20160805A-4</t>
  </si>
  <si>
    <t>"台灣銀行華江分行
087-001-01891-3"</t>
  </si>
  <si>
    <t>CV53653971</t>
  </si>
  <si>
    <t>Freight For PI-20160805A</t>
  </si>
  <si>
    <t>CX22744334</t>
  </si>
  <si>
    <t>PO-20160517A-1</t>
  </si>
  <si>
    <t>CD38399217</t>
  </si>
  <si>
    <t xml:space="preserve">P160805NP1 </t>
  </si>
  <si>
    <t>PI-20160805B</t>
  </si>
  <si>
    <t>PO-20160805B-2</t>
  </si>
  <si>
    <t>CX64239462</t>
  </si>
  <si>
    <t>DHL Freight for PI-20160805B</t>
  </si>
  <si>
    <t>與PI20160805A&amp;PI20160812A一同並運，共12054元</t>
  </si>
  <si>
    <t>PI-20160808A</t>
  </si>
  <si>
    <t>PO-20160808A-2</t>
  </si>
  <si>
    <t>CX65102347</t>
  </si>
  <si>
    <t>CH0548602877</t>
  </si>
  <si>
    <t>USB-4761-AE</t>
  </si>
  <si>
    <t>同V453</t>
  </si>
  <si>
    <t>IPC-5122-00XE</t>
  </si>
  <si>
    <t>PO-20160808A-1</t>
  </si>
  <si>
    <t>CX65102366</t>
  </si>
  <si>
    <t>同V456</t>
  </si>
  <si>
    <t>PI-20160808A-1</t>
  </si>
  <si>
    <t>ARK-6620-18ZBE</t>
  </si>
  <si>
    <t>2016/10/5
2016/11/5</t>
  </si>
  <si>
    <t>2016/8/16
2016/8/29</t>
  </si>
  <si>
    <t>CX65102366
CX65102722</t>
  </si>
  <si>
    <r>
      <rPr>
        <rFont val="arial,sans,sans-serif"/>
        <color rgb="FF000000"/>
        <sz val="10.0"/>
      </rPr>
      <t xml:space="preserve">同V456(11件)
</t>
    </r>
    <r>
      <rPr>
        <rFont val="arial,sans,sans-serif"/>
        <color rgb="FF000000"/>
        <sz val="10.0"/>
      </rPr>
      <t>51,881(15件)</t>
    </r>
  </si>
  <si>
    <t>CW0548603003</t>
  </si>
  <si>
    <t>PO-038</t>
  </si>
  <si>
    <t>PI-20160811A</t>
  </si>
  <si>
    <t>PO-20160811A</t>
  </si>
  <si>
    <t>CX81453754</t>
  </si>
  <si>
    <t>CR053767H428</t>
  </si>
  <si>
    <t>NPORT IA5150A</t>
  </si>
  <si>
    <t>同V409</t>
  </si>
  <si>
    <t>PO-20160526A</t>
  </si>
  <si>
    <t>CD38399223</t>
  </si>
  <si>
    <t>P160812VJ0</t>
  </si>
  <si>
    <t>PI-20160812A</t>
  </si>
  <si>
    <t>DHL Freight for PI-20160812A</t>
  </si>
  <si>
    <t>與PI20160805A&amp;PI20160805B一同並運，共12054元</t>
  </si>
  <si>
    <t>PO-P-I160080</t>
  </si>
  <si>
    <t>PI-20160812C</t>
  </si>
  <si>
    <t>EDS-308-SS-SC-T</t>
  </si>
  <si>
    <t>SOVIO</t>
  </si>
  <si>
    <t>PO-20160812C</t>
  </si>
  <si>
    <t>CV49001124</t>
  </si>
  <si>
    <t>CG053767J215</t>
  </si>
  <si>
    <t>16/0461M</t>
  </si>
  <si>
    <t>PI-20160816A</t>
  </si>
  <si>
    <t>Sierra Wireless AirPrime EM7430</t>
  </si>
  <si>
    <t>PO-20160816A</t>
  </si>
  <si>
    <t>CV49682588</t>
  </si>
  <si>
    <t>330-16081438</t>
  </si>
  <si>
    <t>PI-20160819A</t>
  </si>
  <si>
    <t>PO-20160819A</t>
  </si>
  <si>
    <t>CX81453877</t>
  </si>
  <si>
    <t>DM52359454</t>
  </si>
  <si>
    <t>9/26央行@31.43</t>
  </si>
  <si>
    <t>9/26發票與PI-20160819A貨一同大榮寄出</t>
  </si>
  <si>
    <t xml:space="preserve">Air Freight </t>
  </si>
  <si>
    <t>台北富邦銀行長安(012-5402)
540-102-614164</t>
  </si>
  <si>
    <t>CV51075600</t>
  </si>
  <si>
    <t>190816-45S</t>
  </si>
  <si>
    <t>PI-20160822A</t>
  </si>
  <si>
    <t>Meanwell DR-15-12</t>
  </si>
  <si>
    <t>PO-20160822A</t>
  </si>
  <si>
    <t>DP91913401</t>
  </si>
  <si>
    <t>DM52359451</t>
  </si>
  <si>
    <t>9/8 Benson @31.18</t>
  </si>
  <si>
    <t>Meanwell DR-4524</t>
  </si>
  <si>
    <t>同V462</t>
  </si>
  <si>
    <t>同Z462</t>
  </si>
  <si>
    <t>PI-20160704A
(0930佣金已付)</t>
  </si>
  <si>
    <t>Nport W2150A EU Band 
w/ SAA Adapter</t>
  </si>
  <si>
    <t>PO-20160704A</t>
  </si>
  <si>
    <t>2016/9/5
2016/9/5</t>
  </si>
  <si>
    <t>DP81452540
DP81452536</t>
  </si>
  <si>
    <t>515,880(99片)
5,211(1片)</t>
  </si>
  <si>
    <t>CA0552001729</t>
  </si>
  <si>
    <t>PI-20160704A-1
(0930佣金已付)</t>
  </si>
  <si>
    <t>PO-20160704A-1</t>
  </si>
  <si>
    <t>DP81452534</t>
  </si>
  <si>
    <t>PI-20160829A</t>
  </si>
  <si>
    <t>PO-20160829A</t>
  </si>
  <si>
    <t>DP81452621</t>
  </si>
  <si>
    <t>DM52359452</t>
  </si>
  <si>
    <t>9/10台銀@31.55</t>
  </si>
  <si>
    <t>9/12與RMA貨物一同給客戶</t>
  </si>
  <si>
    <t>同V466</t>
  </si>
  <si>
    <t>同Z466</t>
  </si>
  <si>
    <t>PI-20160830A</t>
  </si>
  <si>
    <t>SN610-1GD3-C6</t>
  </si>
  <si>
    <t>SPARKLE</t>
  </si>
  <si>
    <t>PO-20160830A</t>
  </si>
  <si>
    <t xml:space="preserve">花旗台灣銀行松山分行
(0210292) 5800749001
</t>
  </si>
  <si>
    <t>DM51013200</t>
  </si>
  <si>
    <t>CW0568590465</t>
  </si>
  <si>
    <t>PI-20160901A</t>
  </si>
  <si>
    <t>Innodisk DESMV-16GD09BC1DC</t>
  </si>
  <si>
    <t>PO-20160901A</t>
  </si>
  <si>
    <t>DP69988897</t>
  </si>
  <si>
    <t>CX052230NAVJ</t>
  </si>
  <si>
    <t>DHL Freight for PI-20160901A</t>
  </si>
  <si>
    <t>DP22693915</t>
  </si>
  <si>
    <t>同V485</t>
  </si>
  <si>
    <t>P160902NP0</t>
  </si>
  <si>
    <t>PI-20160902A</t>
  </si>
  <si>
    <t xml:space="preserve">
PO-20160902A-1
</t>
  </si>
  <si>
    <t>DM38133813</t>
  </si>
  <si>
    <t>CX052230NA3R</t>
  </si>
  <si>
    <t>PO-20160902A-2</t>
  </si>
  <si>
    <t>DP47346041</t>
  </si>
  <si>
    <t>PO-20160902A-3</t>
  </si>
  <si>
    <t xml:space="preserve">預付款+另付2645 </t>
  </si>
  <si>
    <t>DP64231005</t>
  </si>
  <si>
    <t xml:space="preserve">PO-20160902A-1
</t>
  </si>
  <si>
    <t>同479</t>
  </si>
  <si>
    <t>Freight For PI-20160902A</t>
  </si>
  <si>
    <t>16/0502M</t>
  </si>
  <si>
    <t>PI-20160906A</t>
  </si>
  <si>
    <t>Moxa UPort 1450</t>
  </si>
  <si>
    <t>PO-20160906A-1</t>
  </si>
  <si>
    <t>DB81452735</t>
  </si>
  <si>
    <t>CX052230NVJF</t>
  </si>
  <si>
    <t>PO-20160906A-2</t>
  </si>
  <si>
    <t>DP65099867</t>
  </si>
  <si>
    <t>330-16090301</t>
  </si>
  <si>
    <t>PI-20160908A</t>
  </si>
  <si>
    <t>PO-20160908A</t>
  </si>
  <si>
    <t>DP81452837</t>
  </si>
  <si>
    <t>同Z460</t>
  </si>
  <si>
    <t>P160908NP0</t>
  </si>
  <si>
    <t>PI-20160908B
(請Leon測Mem86+ WiFi)</t>
  </si>
  <si>
    <t>Nuvo-5006LP</t>
  </si>
  <si>
    <t>PO-20160908B-1</t>
  </si>
  <si>
    <t>DM35190718</t>
  </si>
  <si>
    <t>CX052230PNYS</t>
  </si>
  <si>
    <t>同V489</t>
  </si>
  <si>
    <t>PI-20160908B</t>
  </si>
  <si>
    <t>TS1GSH64V1H
(向創見購買. Neousys 組裝)</t>
  </si>
  <si>
    <t>Transcend 創見 到Neousys組裝</t>
  </si>
  <si>
    <t>PO-20160908B-2</t>
  </si>
  <si>
    <t>DP64231817</t>
  </si>
  <si>
    <t>捷毅國際到Neousys組裝</t>
  </si>
  <si>
    <t>PO-20160908B-3</t>
  </si>
  <si>
    <t>DQ02853146</t>
  </si>
  <si>
    <t>WFK-524 WIFI KIT
(請 Neousys 組裝與測試)</t>
  </si>
  <si>
    <t>EMO-20160908B</t>
  </si>
  <si>
    <t>P160908NP1</t>
  </si>
  <si>
    <t>PI-20160908C</t>
  </si>
  <si>
    <t>發達</t>
  </si>
  <si>
    <t>PO-20160908C</t>
  </si>
  <si>
    <t>DP86120482</t>
  </si>
  <si>
    <t>CH0547180804</t>
  </si>
  <si>
    <t>同V494</t>
  </si>
  <si>
    <t>Shipping Charge for PI-20160908C</t>
  </si>
  <si>
    <t>發達國際物流</t>
  </si>
  <si>
    <t>富邦銀行
460101120954</t>
  </si>
  <si>
    <t>DN14160220</t>
  </si>
  <si>
    <t>PI-20160908D</t>
  </si>
  <si>
    <t>FPM­-2150G-­R3AE</t>
  </si>
  <si>
    <t>PO-20160908D</t>
  </si>
  <si>
    <t>DP65099189</t>
  </si>
  <si>
    <t>CX052230PNLA</t>
  </si>
  <si>
    <t>PI-20160913A</t>
  </si>
  <si>
    <t>PO-20160914A</t>
  </si>
  <si>
    <t>DM34654643</t>
  </si>
  <si>
    <t>CF05550YW231</t>
  </si>
  <si>
    <t>同V503</t>
  </si>
  <si>
    <t>PI-20160913B</t>
  </si>
  <si>
    <t>ECS-8000-2R700Q</t>
  </si>
  <si>
    <t>PO-20160714A</t>
  </si>
  <si>
    <t>CV38316168</t>
  </si>
  <si>
    <t>PI-20160914B</t>
  </si>
  <si>
    <t>EKI-2528-BE</t>
  </si>
  <si>
    <t>PO-20160914B</t>
  </si>
  <si>
    <t>DP65099918</t>
  </si>
  <si>
    <t>USB-4750-BE</t>
  </si>
  <si>
    <t>同V508</t>
  </si>
  <si>
    <t>PO-20160805B-1</t>
  </si>
  <si>
    <t>PI-20160919A</t>
  </si>
  <si>
    <t>EMO-20160919A</t>
  </si>
  <si>
    <t>CG053768P833</t>
  </si>
  <si>
    <r>
      <rPr>
        <rFont val="arial,sans,sans-serif"/>
        <color rgb="FF000000"/>
        <sz val="10.0"/>
      </rPr>
      <t xml:space="preserve">BTC013-1-79-500 
</t>
    </r>
    <r>
      <rPr>
        <rFont val="arial,sans,sans-serif"/>
        <b/>
        <color rgb="FF0000FF"/>
        <sz val="10.0"/>
      </rPr>
      <t>(WiFi Cable)</t>
    </r>
  </si>
  <si>
    <t>330-16091212</t>
  </si>
  <si>
    <t>PI-20160919B</t>
  </si>
  <si>
    <t>PO-20160919B</t>
  </si>
  <si>
    <t>DP81453698</t>
  </si>
  <si>
    <t>DM52359506</t>
  </si>
  <si>
    <t>10/17央行@31.77</t>
  </si>
  <si>
    <t>10/18掛號寄出</t>
  </si>
  <si>
    <t>PI-20160921A</t>
  </si>
  <si>
    <t>PO-20160921A</t>
  </si>
  <si>
    <t>DP81452841</t>
  </si>
  <si>
    <t>CX052230PDVN</t>
  </si>
  <si>
    <t>PI-20160921C</t>
  </si>
  <si>
    <t>PO-20160921C</t>
  </si>
  <si>
    <t>ED34754291</t>
  </si>
  <si>
    <t>CF055504427E</t>
  </si>
  <si>
    <t>同V522</t>
  </si>
  <si>
    <t>Adlink MXE-5401/M8G</t>
  </si>
  <si>
    <t>PO-20160812A</t>
  </si>
  <si>
    <t>CX86120739</t>
  </si>
  <si>
    <t>P160909NP0</t>
  </si>
  <si>
    <t>PI-20160921D</t>
  </si>
  <si>
    <t>PO-20160921D-2</t>
  </si>
  <si>
    <t>DP64232722</t>
  </si>
  <si>
    <t>CX052230QAWU</t>
  </si>
  <si>
    <t>PI-20160922A</t>
  </si>
  <si>
    <t>PO-20160922A</t>
  </si>
  <si>
    <t>DP65099707</t>
  </si>
  <si>
    <t>DE161024-001</t>
  </si>
  <si>
    <t>PI-20160922B
(請Leon換軟體及包裝)
(2017 /1/19 已付佣金)</t>
  </si>
  <si>
    <t>PO-20160922B</t>
  </si>
  <si>
    <t>EF81452677</t>
  </si>
  <si>
    <t>CA0552002111</t>
  </si>
  <si>
    <t>Profcon Electronics</t>
  </si>
  <si>
    <t>PI-20160923A</t>
  </si>
  <si>
    <t>MPC-080-DB25S7 
(w/Switchcraft PC722A JACK)</t>
  </si>
  <si>
    <r>
      <rPr>
        <rFont val="arial,sans,sans-serif"/>
        <color rgb="FF000000"/>
        <sz val="10.0"/>
      </rPr>
      <t>2016/11/10</t>
    </r>
    <r>
      <rPr>
        <rFont val="arial,sans,sans-serif"/>
        <color rgb="FFFF0000"/>
        <sz val="10.0"/>
      </rPr>
      <t xml:space="preserve">
</t>
    </r>
    <r>
      <rPr>
        <rFont val="arial,sans,sans-serif"/>
        <color rgb="FF000000"/>
        <sz val="10.0"/>
      </rPr>
      <t>2016/11/17</t>
    </r>
  </si>
  <si>
    <t>PO-20160923A-1
EMO-20160923A-2</t>
  </si>
  <si>
    <t>2016/11/11
2016/11/16</t>
  </si>
  <si>
    <t>ED34847020
ED34847027</t>
  </si>
  <si>
    <t>210470(10PCS+NRE)
39463(2PCS)</t>
  </si>
  <si>
    <t>CX052230TPDQ</t>
  </si>
  <si>
    <t>NRE fee for Switchcraft connector</t>
  </si>
  <si>
    <t>PO-20160923A-1</t>
  </si>
  <si>
    <t>ED34847020</t>
  </si>
  <si>
    <t>P160926NP0</t>
  </si>
  <si>
    <t>PI-20160926A</t>
  </si>
  <si>
    <t>PO-20160926A</t>
  </si>
  <si>
    <t>DP65099212</t>
  </si>
  <si>
    <t>P160926NP1</t>
  </si>
  <si>
    <t>PI-20160926B</t>
  </si>
  <si>
    <t>PO-20160926B(1片)
EMO-26160712A(5片)</t>
  </si>
  <si>
    <r>
      <rPr>
        <rFont val="arial,sans,sans-serif"/>
        <color rgb="FF000000"/>
        <sz val="10.0"/>
      </rPr>
      <t>4111+</t>
    </r>
    <r>
      <rPr>
        <rFont val="arial,sans,sans-serif"/>
        <color rgb="FF000000"/>
        <sz val="10.0"/>
      </rPr>
      <t>21131(8/31已付)</t>
    </r>
  </si>
  <si>
    <t>EMO-26160712A</t>
  </si>
  <si>
    <t>2016/9/29
EMO-26160712A</t>
  </si>
  <si>
    <t>DM34654719
EMO-26160712A</t>
  </si>
  <si>
    <t>4111(1Pcs)
EMO-26160712A</t>
  </si>
  <si>
    <t>PI-20160926C</t>
  </si>
  <si>
    <t>PO-20160926C-revised</t>
  </si>
  <si>
    <t>花旗台灣銀行松山分行
(0210292) 5800749001</t>
  </si>
  <si>
    <t>DM51013210</t>
  </si>
  <si>
    <t>CW0568590553</t>
  </si>
  <si>
    <t>PI-20160922B-1
(請Leon換軟體及包裝)
(2017 /1/19 已付佣金)</t>
  </si>
  <si>
    <t>PO-20160922B-1</t>
  </si>
  <si>
    <t>EF81452676</t>
  </si>
  <si>
    <t>2016/12/8(US1611.75)
2016/12/20(US4835.25)</t>
  </si>
  <si>
    <t>EF81452455</t>
  </si>
  <si>
    <t>PI-20160927A</t>
  </si>
  <si>
    <t>PO-20160927A</t>
  </si>
  <si>
    <t>DP65100021</t>
  </si>
  <si>
    <t>P160927NP0</t>
  </si>
  <si>
    <t>PI-20160929A</t>
  </si>
  <si>
    <t>Neousys POC-210</t>
  </si>
  <si>
    <t>PO-20160929A</t>
  </si>
  <si>
    <t>DM35190730</t>
  </si>
  <si>
    <t>CX052230QKD7</t>
  </si>
  <si>
    <t>DDR3L-4GB-1333 (Neousys)</t>
  </si>
  <si>
    <t>同V537</t>
  </si>
  <si>
    <t>TJS_PO-160929-1</t>
  </si>
  <si>
    <t>PI-20160929B</t>
  </si>
  <si>
    <t>PO-20160929B</t>
  </si>
  <si>
    <t>DP81453636</t>
  </si>
  <si>
    <t>DM52359503</t>
  </si>
  <si>
    <t>Santiago敲定@31.63</t>
  </si>
  <si>
    <t>10/13 掛號寄出</t>
  </si>
  <si>
    <t>同V539</t>
  </si>
  <si>
    <t>同Z539</t>
  </si>
  <si>
    <t>20160929-AA</t>
  </si>
  <si>
    <t>PI-20160929C</t>
  </si>
  <si>
    <t>PO-20160929C-2</t>
  </si>
  <si>
    <t>PI-20160929C-1</t>
  </si>
  <si>
    <t>PO-20160929C-1</t>
  </si>
  <si>
    <t>PI-20160930A-F</t>
  </si>
  <si>
    <t>DHL Freight for PI-20160926A and PI-20160908B</t>
  </si>
  <si>
    <t>UinGens DHL</t>
  </si>
  <si>
    <t>DP22720239</t>
  </si>
  <si>
    <t>290916-45T</t>
  </si>
  <si>
    <t>PI-20160930B</t>
  </si>
  <si>
    <t>DR-1512</t>
  </si>
  <si>
    <t>Unigens-巨邦</t>
  </si>
  <si>
    <t>PO-20160930B</t>
  </si>
  <si>
    <t>DP91914548</t>
  </si>
  <si>
    <t>DM52359501</t>
  </si>
  <si>
    <t>10/12 Benson @31.555</t>
  </si>
  <si>
    <t>DR-4524</t>
  </si>
  <si>
    <t>同V544</t>
  </si>
  <si>
    <t>同Z544</t>
  </si>
  <si>
    <t xml:space="preserve">2906-TD5484 </t>
  </si>
  <si>
    <t>PI-20160930C</t>
  </si>
  <si>
    <t xml:space="preserve">CP-118U-I </t>
  </si>
  <si>
    <t>PO-20160930C</t>
  </si>
  <si>
    <t>DP81453512</t>
  </si>
  <si>
    <t>CA0511302490</t>
  </si>
  <si>
    <t>同V547</t>
  </si>
  <si>
    <t>PI-20161005A-F</t>
  </si>
  <si>
    <t>DHL Freight for PI-20160921D</t>
  </si>
  <si>
    <t>DP22732658</t>
  </si>
  <si>
    <t>16/0558M</t>
  </si>
  <si>
    <t>PI-20161005B</t>
  </si>
  <si>
    <t>PO-20161005B-1</t>
  </si>
  <si>
    <t>DP81453832</t>
  </si>
  <si>
    <t>CX052230QTXK</t>
  </si>
  <si>
    <t>UPort 1130I</t>
  </si>
  <si>
    <t>PO-20161005B-2</t>
  </si>
  <si>
    <t>DP65103250</t>
  </si>
  <si>
    <t>P161005NP0</t>
  </si>
  <si>
    <t>PI-20161005C</t>
  </si>
  <si>
    <t>PO-20161005C-1-修改</t>
  </si>
  <si>
    <t>DM35190740</t>
  </si>
  <si>
    <t>CX052230RHXA</t>
  </si>
  <si>
    <t>TS512MSH64V1H
(向創見購買. Neousys 組裝)</t>
  </si>
  <si>
    <t>PO-20161005C-2修改為
PO-20161005C-4</t>
  </si>
  <si>
    <t>DP64239060</t>
  </si>
  <si>
    <t>PO-20161005C-3</t>
  </si>
  <si>
    <t>DQ02853514</t>
  </si>
  <si>
    <t>PI-20161006A</t>
  </si>
  <si>
    <t>AS-35A-RS</t>
  </si>
  <si>
    <t>PO-20161006A</t>
  </si>
  <si>
    <t>DP70070093</t>
  </si>
  <si>
    <t>PI-20161007A</t>
  </si>
  <si>
    <t>1960055791T001</t>
  </si>
  <si>
    <t>PO-20161007A</t>
  </si>
  <si>
    <t>MIO-2261Z2-2GS6A1E</t>
  </si>
  <si>
    <t>96PSA-A120W24T2</t>
  </si>
  <si>
    <t>PO-20161007A-Revised</t>
  </si>
  <si>
    <t>DP65102297</t>
  </si>
  <si>
    <t>CX05223ORHZX</t>
  </si>
  <si>
    <t>詢問銀行水單中</t>
  </si>
  <si>
    <t>TPC-1582H-433AE</t>
  </si>
  <si>
    <t>同V558</t>
  </si>
  <si>
    <t>CB16-416</t>
  </si>
  <si>
    <t>PI-20161007B</t>
  </si>
  <si>
    <t>Moxa CP-118U</t>
  </si>
  <si>
    <t>PO-20161007B-1</t>
  </si>
  <si>
    <t>DP81453635</t>
  </si>
  <si>
    <t>CG053769B105</t>
  </si>
  <si>
    <t>PO-20161007B-2</t>
  </si>
  <si>
    <t>DP81531999</t>
  </si>
  <si>
    <t xml:space="preserve">Transcend 創見 </t>
  </si>
  <si>
    <t>PO-20161007B-3</t>
  </si>
  <si>
    <t>DP64239893</t>
  </si>
  <si>
    <t>同V562</t>
  </si>
  <si>
    <t xml:space="preserve">Assemble </t>
  </si>
  <si>
    <t>CB16-568</t>
  </si>
  <si>
    <t>RMA-20161007A</t>
  </si>
  <si>
    <t>VBOX-3110 
(S/N: ST20150418111)</t>
  </si>
  <si>
    <t>Sintrones
鑫創電子</t>
  </si>
  <si>
    <t>A220-20161208003</t>
  </si>
  <si>
    <t>聯邦銀行 中和分行 
036-10-0016021</t>
  </si>
  <si>
    <t>ED34778655</t>
  </si>
  <si>
    <t>RMA無報關</t>
  </si>
  <si>
    <t>PI-20161011A</t>
  </si>
  <si>
    <t>PO-20161011A-Revised</t>
  </si>
  <si>
    <t>DP48041039</t>
  </si>
  <si>
    <t>CG053768Z235</t>
  </si>
  <si>
    <t>RMA-20160930A</t>
  </si>
  <si>
    <t>ECS-8000-2R700Q
(S/N: S15A820007)</t>
  </si>
  <si>
    <t>PI-20161013A-F</t>
  </si>
  <si>
    <t>DHL freight for PI-20160929A</t>
  </si>
  <si>
    <t>同V550</t>
  </si>
  <si>
    <t>PI-20161013B</t>
  </si>
  <si>
    <t>PO-20161013B</t>
  </si>
  <si>
    <t>DP65103105</t>
  </si>
  <si>
    <t>20161013-AA</t>
  </si>
  <si>
    <t>PI-20161014A-1</t>
  </si>
  <si>
    <t>Elgens-巨邦</t>
  </si>
  <si>
    <t>PO-20161014A-1</t>
  </si>
  <si>
    <t>DM46307571</t>
  </si>
  <si>
    <t>DM52359508</t>
  </si>
  <si>
    <t>10/21台銀@31.615</t>
  </si>
  <si>
    <t>10/21掛號寄出</t>
  </si>
  <si>
    <t>PI-20161014A-2</t>
  </si>
  <si>
    <t>Elgens-Uber</t>
  </si>
  <si>
    <t>PO-20161014A-2</t>
  </si>
  <si>
    <t>DM38822941</t>
  </si>
  <si>
    <t>DM52359511</t>
  </si>
  <si>
    <t>10/27台銀@31.615</t>
  </si>
  <si>
    <t>PI-20161014A-3</t>
  </si>
  <si>
    <t>Elgens- 全球</t>
  </si>
  <si>
    <t>PO-20161014A-3</t>
  </si>
  <si>
    <t>DM48851035</t>
  </si>
  <si>
    <t>同Z573</t>
  </si>
  <si>
    <t>PI-20161014A-4</t>
  </si>
  <si>
    <t>PO-20161014A-4</t>
  </si>
  <si>
    <t>ED49991058</t>
  </si>
  <si>
    <t>ED52606405</t>
  </si>
  <si>
    <t>11/16台銀@31.84</t>
  </si>
  <si>
    <t>PI-20161014A-5</t>
  </si>
  <si>
    <t>PO-20161014A-5-Revised</t>
  </si>
  <si>
    <t>ED39025413</t>
  </si>
  <si>
    <t>ED52606403</t>
  </si>
  <si>
    <t>11/10台銀@31.585</t>
  </si>
  <si>
    <t>PI-20161014A-6</t>
  </si>
  <si>
    <t>同V576</t>
  </si>
  <si>
    <t>同Z576</t>
  </si>
  <si>
    <t>Asrock
華擎科技</t>
  </si>
  <si>
    <t>PI-20161017A</t>
  </si>
  <si>
    <t xml:space="preserve">Advantech SOM-DB3500G-00A1E </t>
  </si>
  <si>
    <t>Elgens-黑貓</t>
  </si>
  <si>
    <t>PO-20161017A</t>
  </si>
  <si>
    <t>EF65098718</t>
  </si>
  <si>
    <t>ED52606401</t>
  </si>
  <si>
    <t>11/5掛號寄出</t>
  </si>
  <si>
    <t>PI-20161017B</t>
  </si>
  <si>
    <t>96PSA-A60W12R1-1</t>
  </si>
  <si>
    <t>PO-20161017B</t>
  </si>
  <si>
    <t>DP65102555</t>
  </si>
  <si>
    <t>CX052230S51E</t>
  </si>
  <si>
    <t>ARK-6322-Q0A1E</t>
  </si>
  <si>
    <t>MOS-1120Y-1401E</t>
  </si>
  <si>
    <t>PI-20161017C</t>
  </si>
  <si>
    <t>PO-20161017C</t>
  </si>
  <si>
    <t>DP91915283</t>
  </si>
  <si>
    <t>181016-47S</t>
  </si>
  <si>
    <t>PI-20161019A</t>
  </si>
  <si>
    <t>PO-20161019A</t>
  </si>
  <si>
    <t>DP91915305</t>
  </si>
  <si>
    <t>DM52359510</t>
  </si>
  <si>
    <t>10/26 Benson @31.55</t>
  </si>
  <si>
    <t>Nowatron Elektronik</t>
  </si>
  <si>
    <t>01-7-0000209</t>
  </si>
  <si>
    <t>PI-20161019B</t>
  </si>
  <si>
    <t>Advantech EKI-7710G-2CI-AE</t>
  </si>
  <si>
    <t>FEDEX Economy account no: 297718460</t>
  </si>
  <si>
    <t>PO-20161019B</t>
  </si>
  <si>
    <t>DP65103204</t>
  </si>
  <si>
    <t>CF055502909F</t>
  </si>
  <si>
    <t>330-16101224</t>
  </si>
  <si>
    <t>PI-20161019C</t>
  </si>
  <si>
    <t>PO-20161019C</t>
  </si>
  <si>
    <t>EF81452458</t>
  </si>
  <si>
    <t>ED52606400</t>
  </si>
  <si>
    <t>11/2央行@31.564</t>
  </si>
  <si>
    <t>11/4掛號寄出</t>
  </si>
  <si>
    <t>PI-20161020A</t>
  </si>
  <si>
    <t>PEX-P16R16i CR</t>
  </si>
  <si>
    <t>ICP DAS</t>
  </si>
  <si>
    <t>PO-20161020A</t>
  </si>
  <si>
    <t>DQ10606578</t>
  </si>
  <si>
    <t>CA-3750DM-H</t>
  </si>
  <si>
    <t>同V585</t>
  </si>
  <si>
    <t>DB-37 CR</t>
  </si>
  <si>
    <t>DN-37 CR</t>
  </si>
  <si>
    <t>PO-061</t>
  </si>
  <si>
    <t>PI-20161020B</t>
  </si>
  <si>
    <t>PO-20161020B</t>
  </si>
  <si>
    <t>DP81453793</t>
  </si>
  <si>
    <t>CR053769E426</t>
  </si>
  <si>
    <t>PI-20161024A</t>
  </si>
  <si>
    <t>PO-20161024A</t>
  </si>
  <si>
    <t>"彰化銀行：009
8119-01-53628-100"</t>
  </si>
  <si>
    <t>DM33092702</t>
  </si>
  <si>
    <t>CX052230S2P7</t>
  </si>
  <si>
    <t>DHL Freight For PI-20161024A</t>
  </si>
  <si>
    <t>EF22677561</t>
  </si>
  <si>
    <t>PI-20161024B-F</t>
  </si>
  <si>
    <t>DHL Freight For PI-20161005C</t>
  </si>
  <si>
    <t>DP22740417</t>
  </si>
  <si>
    <t>PI-20161024C</t>
  </si>
  <si>
    <t>PO-20161024C</t>
  </si>
  <si>
    <t>EF65099454</t>
  </si>
  <si>
    <t>CX052230SEU7</t>
  </si>
  <si>
    <t>同V595</t>
  </si>
  <si>
    <t>PI-20161024D-1</t>
  </si>
  <si>
    <t>IB897-I45
(BIOS IB897O4R_20161005)</t>
  </si>
  <si>
    <t>PO-20161024D-1(Revised)</t>
  </si>
  <si>
    <t>華南銀行 137100-006788</t>
  </si>
  <si>
    <t>EF48040817</t>
  </si>
  <si>
    <t>CG053769K510</t>
  </si>
  <si>
    <t>同V598</t>
  </si>
  <si>
    <t>PO-20161024D-2</t>
  </si>
  <si>
    <t>EG07747169</t>
  </si>
  <si>
    <t>同V601</t>
  </si>
  <si>
    <t>330-16101511</t>
  </si>
  <si>
    <t>PI-20161024E</t>
  </si>
  <si>
    <t>PO-20161024E</t>
  </si>
  <si>
    <t>EF81452510</t>
  </si>
  <si>
    <t>同Z586</t>
  </si>
  <si>
    <t>P161025NP0</t>
  </si>
  <si>
    <t>PI-20161025A
(請Leon組裝測試)</t>
  </si>
  <si>
    <t>POC-212 (Neousys)</t>
  </si>
  <si>
    <t>PO-20161025A-1</t>
  </si>
  <si>
    <t>ED35363003</t>
  </si>
  <si>
    <t>CX052230SEQ2</t>
  </si>
  <si>
    <t>TS128GSSD420I (創見)</t>
  </si>
  <si>
    <t>PO-20161025A-2</t>
  </si>
  <si>
    <t>DP64241373</t>
  </si>
  <si>
    <t>TS512MSK64W6H-I (創見)</t>
  </si>
  <si>
    <r>
      <rPr>
        <rFont val="arial,sans,sans-serif"/>
        <color rgb="FF000000"/>
        <sz val="10.0"/>
      </rPr>
      <t>預付款+</t>
    </r>
    <r>
      <rPr>
        <rFont val="arial,sans,sans-serif"/>
        <color rgb="FF000000"/>
        <sz val="10.0"/>
      </rPr>
      <t>3250元(待付</t>
    </r>
    <r>
      <rPr>
        <rFont val="arial,sans,sans-serif"/>
        <color rgb="FF000000"/>
        <sz val="10.0"/>
      </rPr>
      <t>)</t>
    </r>
  </si>
  <si>
    <t>同V605</t>
  </si>
  <si>
    <t>PI-20161027A</t>
  </si>
  <si>
    <t>PO-20161027A</t>
  </si>
  <si>
    <t>EF65099455</t>
  </si>
  <si>
    <t>PO-20160921D-1</t>
  </si>
  <si>
    <t>DM38133830</t>
  </si>
  <si>
    <t>PI-20161027B</t>
  </si>
  <si>
    <t>DDR3L8G (Vecow)</t>
  </si>
  <si>
    <t>PO-20161027B</t>
  </si>
  <si>
    <t>ED38325301</t>
  </si>
  <si>
    <t>同V607</t>
  </si>
  <si>
    <t>CX052230SAP4</t>
  </si>
  <si>
    <t>DHL Freight For PI-20161027B</t>
  </si>
  <si>
    <t>EF22684833</t>
  </si>
  <si>
    <t>PI-20161031A</t>
  </si>
  <si>
    <t>PO-20161031A</t>
  </si>
  <si>
    <t>EF65098669</t>
  </si>
  <si>
    <t>PI-20161031B</t>
  </si>
  <si>
    <t>PO-20161031B</t>
  </si>
  <si>
    <t>EF48040837</t>
  </si>
  <si>
    <t>TJS_PO-160929-2</t>
  </si>
  <si>
    <t>PI-20161101A</t>
  </si>
  <si>
    <t>PO-20161101A</t>
  </si>
  <si>
    <t>EF81452790</t>
  </si>
  <si>
    <t>ED52606408</t>
  </si>
  <si>
    <t>對方敲定@31.76</t>
  </si>
  <si>
    <t>11/16 掛號寄出</t>
  </si>
  <si>
    <t>同V613</t>
  </si>
  <si>
    <t>同Z613</t>
  </si>
  <si>
    <t>PI-20161102A</t>
  </si>
  <si>
    <t>1960060539T000 (IOA-02648-T0)</t>
  </si>
  <si>
    <t>Sample無發票</t>
  </si>
  <si>
    <t>Sampl無發票</t>
  </si>
  <si>
    <t>PI-20161102B-F</t>
  </si>
  <si>
    <t>DHL Freight For PI-20161025A</t>
  </si>
  <si>
    <t>同V610</t>
  </si>
  <si>
    <t>16/0609M</t>
  </si>
  <si>
    <t>PI-20161103A</t>
  </si>
  <si>
    <t>APC-4211VER3
(Advantech PPC-4211W-R3AE)</t>
  </si>
  <si>
    <t>PO-20161103A</t>
  </si>
  <si>
    <t>EF65098950</t>
  </si>
  <si>
    <t>CX052230T1DN</t>
  </si>
  <si>
    <t>PI-20161104A</t>
  </si>
  <si>
    <t>PO-20161104A</t>
  </si>
  <si>
    <t>EF65099641</t>
  </si>
  <si>
    <t>CX052230U9DG</t>
  </si>
  <si>
    <t>同V618</t>
  </si>
  <si>
    <t>20161104-AA</t>
  </si>
  <si>
    <t>PI-20161104B</t>
  </si>
  <si>
    <t>NPORT 5210A</t>
  </si>
  <si>
    <t>PO-20161104B</t>
  </si>
  <si>
    <t>EF81452755</t>
  </si>
  <si>
    <t>ED52606406</t>
  </si>
  <si>
    <t>發票隨PI-20161014A-4一起</t>
  </si>
  <si>
    <t>PI-20161107A</t>
  </si>
  <si>
    <t>NPORT5650-8 / EU
(19" Rack mount)</t>
  </si>
  <si>
    <t>PO-20161107A</t>
  </si>
  <si>
    <t>EF81452789</t>
  </si>
  <si>
    <t>PO013627</t>
  </si>
  <si>
    <t>PI-20161108A</t>
  </si>
  <si>
    <t>PO-20161108A</t>
  </si>
  <si>
    <t>EF86119670</t>
  </si>
  <si>
    <t>CH0546004654</t>
  </si>
  <si>
    <t>同V623</t>
  </si>
  <si>
    <t>P161107NP0</t>
  </si>
  <si>
    <t>PI-20161108B</t>
  </si>
  <si>
    <t>Nuvo-5002LP
(S/N:G4702668)</t>
  </si>
  <si>
    <t>PO-20161108B-1</t>
  </si>
  <si>
    <t>ED35363021</t>
  </si>
  <si>
    <t>CX052230TN26</t>
  </si>
  <si>
    <t>PO-20161108B-2</t>
  </si>
  <si>
    <t>EF64231670</t>
  </si>
  <si>
    <t>PO-20161108B-3</t>
  </si>
  <si>
    <t>EG02853096</t>
  </si>
  <si>
    <t>ECS-8000-2R700Q
(S/N: S16A820007~008)</t>
  </si>
  <si>
    <t>CB16-467</t>
  </si>
  <si>
    <t>PI-20161110B</t>
  </si>
  <si>
    <t>RKDM-190S</t>
  </si>
  <si>
    <t xml:space="preserve">CES Group閎亮 </t>
  </si>
  <si>
    <t>PO-20161110B</t>
  </si>
  <si>
    <t>ED53700255</t>
  </si>
  <si>
    <t>CR05376A6664</t>
  </si>
  <si>
    <t>Comintel</t>
  </si>
  <si>
    <t>PI-20161111A</t>
  </si>
  <si>
    <t>V2406A-C2
(S/N:TAFLA1000321)</t>
  </si>
  <si>
    <t>TNT 232506 Express</t>
  </si>
  <si>
    <t>EF81453807</t>
  </si>
  <si>
    <t>CR05376B5650</t>
  </si>
  <si>
    <r>
      <rPr>
        <rFont val="新細明體, serif"/>
        <color theme="1"/>
        <sz val="10.0"/>
      </rPr>
      <t xml:space="preserve">CFast Card 8GB 
</t>
    </r>
    <r>
      <rPr>
        <rFont val="新細明體, serif"/>
        <b/>
        <color rgb="FF0000FF"/>
        <sz val="10.0"/>
      </rPr>
      <t>w/ Debian 7 pre-installed</t>
    </r>
  </si>
  <si>
    <t>此成本已含在O610中</t>
  </si>
  <si>
    <t>CBL-M12D (MM4P)/ RJ45-100 IP67</t>
  </si>
  <si>
    <t>CBL-M12(FF5P)/ OPEN-100 IP67</t>
  </si>
  <si>
    <t>RMA-20161114A
(12/9 請Leon 灌新版軟體)</t>
  </si>
  <si>
    <t>AWK-3121-EU
(TAFJB1014554)
12/9 請Leon 灌新版軟體</t>
  </si>
  <si>
    <t>ELGen順豐</t>
  </si>
  <si>
    <t>同RMA-20160704B</t>
  </si>
  <si>
    <t>PI-20161114A-F</t>
  </si>
  <si>
    <t>Freight For PI-20161108B</t>
  </si>
  <si>
    <t>EF22696678</t>
  </si>
  <si>
    <t>Braemac Limited</t>
  </si>
  <si>
    <t>UKPO026921</t>
  </si>
  <si>
    <t>PI-20161114B</t>
  </si>
  <si>
    <t>Advantech DVP-7641E</t>
  </si>
  <si>
    <t>DHL EXPRESS Acct 969334923</t>
  </si>
  <si>
    <t>PO-20161114B</t>
  </si>
  <si>
    <t>EF65100118</t>
  </si>
  <si>
    <t>CX052230U97T</t>
  </si>
  <si>
    <t>PI-20161114C-1</t>
  </si>
  <si>
    <t>PO-20161114C</t>
  </si>
  <si>
    <t>ED33229650</t>
  </si>
  <si>
    <t>CX052230UJT2</t>
  </si>
  <si>
    <t>Freight For PI-20161114C-1</t>
  </si>
  <si>
    <t>EF22722276</t>
  </si>
  <si>
    <t>PI-20161114C-2</t>
  </si>
  <si>
    <t>ED33229651</t>
  </si>
  <si>
    <t>CX052230WB53</t>
  </si>
  <si>
    <t>Freight For PI-20161114C-2</t>
  </si>
  <si>
    <t>EF22734779</t>
  </si>
  <si>
    <t>同V686</t>
  </si>
  <si>
    <t>P161115NP0</t>
  </si>
  <si>
    <t>PI-20161115A
(請Leon測試11/25-11/27)</t>
  </si>
  <si>
    <t>ECS-8000-2R700Q
(S/N:S16A820009-014)</t>
  </si>
  <si>
    <t>PO-20161115A-1</t>
  </si>
  <si>
    <t>ED38325309</t>
  </si>
  <si>
    <t>CX052230UZC2</t>
  </si>
  <si>
    <t>"Transcend 創見
到Vecow組裝"</t>
  </si>
  <si>
    <t>PO-20161115A-2</t>
  </si>
  <si>
    <t>EF64232459</t>
  </si>
  <si>
    <t>DHL For PI-20161115A</t>
  </si>
  <si>
    <t>PI-20161115B</t>
  </si>
  <si>
    <t>Advantech PCA-6011G2-00A1E</t>
  </si>
  <si>
    <t>PO-20161115B</t>
  </si>
  <si>
    <t>EF65099075</t>
  </si>
  <si>
    <t>CX052230U97A</t>
  </si>
  <si>
    <t>DHL Freight For PI-20161115B</t>
  </si>
  <si>
    <t>P161115NP1</t>
  </si>
  <si>
    <t>PI-20161116A</t>
  </si>
  <si>
    <t>TDM-150SPH1</t>
  </si>
  <si>
    <t>UniGens TNT</t>
  </si>
  <si>
    <t>PI-20161116A-1
EMO-20161116A-1</t>
  </si>
  <si>
    <t>台灣銀行華江分行
087-001-01891-3"</t>
  </si>
  <si>
    <t>EMO-20161116A-2</t>
  </si>
  <si>
    <t>ED53700257</t>
  </si>
  <si>
    <t>CG05376A6901</t>
  </si>
  <si>
    <t>PO-20161116A-1</t>
  </si>
  <si>
    <t>ED35363047</t>
  </si>
  <si>
    <t>TS512MSK64W6H 
(向創見購買. Neousys 組裝)</t>
  </si>
  <si>
    <t>PO-20161116A-2</t>
  </si>
  <si>
    <t>EF64232630</t>
  </si>
  <si>
    <t>PO-20161116A-3</t>
  </si>
  <si>
    <t>EF86120367</t>
  </si>
  <si>
    <t>PI-20161116B</t>
  </si>
  <si>
    <t>PO-20161116B</t>
  </si>
  <si>
    <t>EF65099253</t>
  </si>
  <si>
    <t>同V651</t>
  </si>
  <si>
    <t>EF65099291</t>
  </si>
  <si>
    <t>CX052230VYKE</t>
  </si>
  <si>
    <t>EF65099074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</si>
  <si>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</si>
  <si>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PO-20161116B-1</t>
  </si>
  <si>
    <t>EF65099252</t>
  </si>
  <si>
    <t>RMA-20161117A</t>
  </si>
  <si>
    <t>ELGens DHL</t>
  </si>
  <si>
    <t>PI-20161121A</t>
  </si>
  <si>
    <t>PO-20161121A</t>
  </si>
  <si>
    <t>ED34754475</t>
  </si>
  <si>
    <t>CF055507593Z</t>
  </si>
  <si>
    <t>同V652</t>
  </si>
  <si>
    <t>P161121NP0</t>
  </si>
  <si>
    <t>PI-20161122A
(請Leon測試12/9)</t>
  </si>
  <si>
    <t>ECS-8000-2R700Q
(S/N:S16A820015-020)</t>
  </si>
  <si>
    <t>PO-20161122A-1</t>
  </si>
  <si>
    <t>ED38325317</t>
  </si>
  <si>
    <t>PO-20161122A</t>
  </si>
  <si>
    <t>EF64233095</t>
  </si>
  <si>
    <t>DHL For PI-20161122A</t>
  </si>
  <si>
    <t>EF36222105</t>
  </si>
  <si>
    <t>16/0654M</t>
  </si>
  <si>
    <t>PI-20161122B</t>
  </si>
  <si>
    <t>PO-20161122B</t>
  </si>
  <si>
    <t>EF65101579</t>
  </si>
  <si>
    <t>CX052230UY9E</t>
  </si>
  <si>
    <t>P161123NP0</t>
  </si>
  <si>
    <t>PI-20161123A</t>
  </si>
  <si>
    <t>Sierra MC7304</t>
  </si>
  <si>
    <t>UNiGens DHL</t>
  </si>
  <si>
    <t>PO-20161123A</t>
  </si>
  <si>
    <t>ED48578859</t>
  </si>
  <si>
    <t>BTC013-70-250-1</t>
  </si>
  <si>
    <t>見工單MO-20160517B</t>
  </si>
  <si>
    <t>RFA-EU-C55-U-B70</t>
  </si>
  <si>
    <t>RFA-01-GPS-12-A1-3M</t>
  </si>
  <si>
    <t>見工單MPO-20161123A</t>
  </si>
  <si>
    <t>MPO-20161123A</t>
  </si>
  <si>
    <t>PI-20161125A</t>
  </si>
  <si>
    <t>TNT Express 182056</t>
  </si>
  <si>
    <t>PO-20161125A</t>
  </si>
  <si>
    <t>EF48040964</t>
  </si>
  <si>
    <t>CG05376A6152</t>
  </si>
  <si>
    <t>PO-20161125A-1</t>
  </si>
  <si>
    <t>EG07747624</t>
  </si>
  <si>
    <t>PI-20161128A</t>
  </si>
  <si>
    <t>PO-20161128A-4</t>
  </si>
  <si>
    <t>EF65101901</t>
  </si>
  <si>
    <t>PO-20161128A-1</t>
  </si>
  <si>
    <t>EF65102152</t>
  </si>
  <si>
    <t>PO-20161128A-3</t>
  </si>
  <si>
    <t>EF65102255</t>
  </si>
  <si>
    <t>PO-20161128A-2</t>
  </si>
  <si>
    <t>EF65102024</t>
  </si>
  <si>
    <t>TJS_PO-160929-3</t>
  </si>
  <si>
    <t>PI-20161129A</t>
  </si>
  <si>
    <t>PO-20161129A</t>
  </si>
  <si>
    <t>EF81453636</t>
  </si>
  <si>
    <t>ED52606451</t>
  </si>
  <si>
    <t>對方敲定@31.74</t>
  </si>
  <si>
    <t>12/13掛號寄出</t>
  </si>
  <si>
    <t>同V682</t>
  </si>
  <si>
    <t>同Z662</t>
  </si>
  <si>
    <t>PI-20161129B-1</t>
  </si>
  <si>
    <t xml:space="preserve">Moxa C168H/PCI </t>
  </si>
  <si>
    <t>PO-20161129B-1</t>
  </si>
  <si>
    <t>EF81453745</t>
  </si>
  <si>
    <t>CX052230WKQ2</t>
  </si>
  <si>
    <t>同V664</t>
  </si>
  <si>
    <t>PI-20161129B-3</t>
  </si>
  <si>
    <t>合計在20161129B-1中</t>
  </si>
  <si>
    <t>EF81453649</t>
  </si>
  <si>
    <t>CX052230VZP4</t>
  </si>
  <si>
    <t>同V666</t>
  </si>
  <si>
    <t>RMA-20161130A</t>
  </si>
  <si>
    <t>NPORT5650-8-DT
(TAFFE1032548)</t>
  </si>
  <si>
    <t>NPORT5650-8-DT
(TAFEE1003384)</t>
  </si>
  <si>
    <t>PI-20161130A</t>
  </si>
  <si>
    <t>VECOW PE-2002</t>
  </si>
  <si>
    <t>PO-20161130A</t>
  </si>
  <si>
    <t>ED38325321</t>
  </si>
  <si>
    <t>DHL Freight For PI-20161130A</t>
  </si>
  <si>
    <t>P161201NP0</t>
  </si>
  <si>
    <t>PI-20161201A</t>
  </si>
  <si>
    <t>PO-20161201A</t>
  </si>
  <si>
    <t>ED51952028</t>
  </si>
  <si>
    <t>CX052230WBG0</t>
  </si>
  <si>
    <t>PO-P-I160136</t>
  </si>
  <si>
    <t>PI-20161201B</t>
  </si>
  <si>
    <r>
      <rPr>
        <rFont val="arial,sans,sans-serif"/>
        <color rgb="FF000000"/>
        <sz val="10.0"/>
      </rPr>
      <t xml:space="preserve">2016/12/7
</t>
    </r>
    <r>
      <rPr>
        <rFont val="arial,sans,sans-serif"/>
        <color rgb="FF000000"/>
        <sz val="10.0"/>
      </rPr>
      <t>2016/12/8</t>
    </r>
  </si>
  <si>
    <t>PO-20161201B</t>
  </si>
  <si>
    <t>2016/12/5
2016/12/07</t>
  </si>
  <si>
    <r>
      <rPr>
        <rFont val="arial,sans,sans-serif"/>
        <color rgb="FF000000"/>
        <sz val="10.0"/>
      </rPr>
      <t xml:space="preserve">EF81453549
</t>
    </r>
    <r>
      <rPr>
        <rFont val="arial,sans,sans-serif"/>
        <color rgb="FF000000"/>
        <sz val="10.0"/>
      </rPr>
      <t>EF81453581</t>
    </r>
  </si>
  <si>
    <r>
      <rPr>
        <rFont val="arial,sans,sans-serif"/>
        <color rgb="FF000000"/>
        <sz val="10.0"/>
      </rPr>
      <t xml:space="preserve">2745(1台)
</t>
    </r>
    <r>
      <rPr>
        <rFont val="arial,sans,sans-serif"/>
        <color rgb="FF000000"/>
        <sz val="10.0"/>
      </rPr>
      <t>2745(1台)</t>
    </r>
  </si>
  <si>
    <t>CG05376A7062</t>
  </si>
  <si>
    <t>PI-20161206A</t>
  </si>
  <si>
    <t>IDS-3219G-35SXA1E</t>
  </si>
  <si>
    <t>PO-20161206A-2</t>
  </si>
  <si>
    <t>EF65102345</t>
  </si>
  <si>
    <t>CX052230X065</t>
  </si>
  <si>
    <t>PO-20161206A-1</t>
  </si>
  <si>
    <t>EF65103355</t>
  </si>
  <si>
    <t>1757000105G</t>
  </si>
  <si>
    <t>330-16120218</t>
  </si>
  <si>
    <t>PI-20161206B</t>
  </si>
  <si>
    <t>PO-20161206B</t>
  </si>
  <si>
    <t>EF81453686</t>
  </si>
  <si>
    <t>ED52606450</t>
  </si>
  <si>
    <t>12/9央行@31.86</t>
  </si>
  <si>
    <t>20161205-AA</t>
  </si>
  <si>
    <t>PI-20161206C
(chloe換標籤)</t>
  </si>
  <si>
    <t>PO-20161206C</t>
  </si>
  <si>
    <t>ED39025438</t>
  </si>
  <si>
    <t>ED52606453</t>
  </si>
  <si>
    <t>12/21台銀@32.005</t>
  </si>
  <si>
    <t>12/22隨貨</t>
  </si>
  <si>
    <t>RMA-20161207A
(12/9 請Leon 灌新版軟體)</t>
  </si>
  <si>
    <t>Nport W2150A  
TAFDB1052935
12/9 請Leon 灌新版軟體</t>
  </si>
  <si>
    <t>PI-20161207A</t>
  </si>
  <si>
    <t>Freight for PI-20161116A</t>
  </si>
  <si>
    <t>與P641金額並計(PI-20161122A)</t>
  </si>
  <si>
    <t>同V641</t>
  </si>
  <si>
    <t>PI-20161207B</t>
  </si>
  <si>
    <t>PCI-1784U</t>
  </si>
  <si>
    <t>PO-20161207B</t>
  </si>
  <si>
    <t>EF65102896</t>
  </si>
  <si>
    <t>PI-20161212A</t>
  </si>
  <si>
    <t>PO-20161212A</t>
  </si>
  <si>
    <t>EF65102264</t>
  </si>
  <si>
    <t>CX052230WRNS</t>
  </si>
  <si>
    <t>PI-20161213A</t>
  </si>
  <si>
    <t>PO-20161213A</t>
  </si>
  <si>
    <t>EF48041052</t>
  </si>
  <si>
    <t>CG05376B4267</t>
  </si>
  <si>
    <t>PI-20161213B-F</t>
  </si>
  <si>
    <t>Freight for PI-20161201A</t>
  </si>
  <si>
    <t>PI-20161214A</t>
  </si>
  <si>
    <t>EF81453841</t>
  </si>
  <si>
    <t>CF055508766U</t>
  </si>
  <si>
    <t>PI-20161219A</t>
  </si>
  <si>
    <t>PO-20161219A</t>
  </si>
  <si>
    <t>EF65102411</t>
  </si>
  <si>
    <t>同V688</t>
  </si>
  <si>
    <t>PI-20161220B</t>
  </si>
  <si>
    <t>DHL Freight for 2 return ECS-8000-2R700Q</t>
  </si>
  <si>
    <t>P161221NP0</t>
  </si>
  <si>
    <t>PI-20161220C</t>
  </si>
  <si>
    <t>ECS-8000-2R850Q
(S/N:S16A840010-017)</t>
  </si>
  <si>
    <t>PO-20161220C-1</t>
  </si>
  <si>
    <t>ED38325330</t>
  </si>
  <si>
    <t>CX052230XFVB</t>
  </si>
  <si>
    <t>M3S0-8GSSDLPC (Innodisk)</t>
  </si>
  <si>
    <t xml:space="preserve">Innodisk 宜鼎 </t>
  </si>
  <si>
    <t>PO-20161220C-2</t>
  </si>
  <si>
    <t>EF69990058</t>
  </si>
  <si>
    <t>P161215NP0</t>
  </si>
  <si>
    <t>PI-20161215B</t>
  </si>
  <si>
    <t>Nuvo-5006E-PoE (Neousys)
(S/N:G5303969)</t>
  </si>
  <si>
    <t>PO-20161215B-3</t>
  </si>
  <si>
    <t>ED35363066</t>
  </si>
  <si>
    <t>PO-20161215B-1</t>
  </si>
  <si>
    <t>EG02853764</t>
  </si>
  <si>
    <t>PO-20161215B-2</t>
  </si>
  <si>
    <t>EF64240463</t>
  </si>
  <si>
    <t>MezIO-D220 (Neousys)
(請Neousys 組裝)</t>
  </si>
  <si>
    <t>PI-20161229A-F</t>
  </si>
  <si>
    <t>Freight For PI-20161215B &amp; PI-20161220C</t>
  </si>
  <si>
    <t>MR22211269</t>
  </si>
  <si>
    <t xml:space="preserve">                                            </t>
  </si>
  <si>
    <t>SRRC扣抵</t>
  </si>
  <si>
    <t>訂單號</t>
  </si>
  <si>
    <t>客戶</t>
  </si>
  <si>
    <t>型號</t>
  </si>
  <si>
    <t>數量</t>
  </si>
  <si>
    <t>原始單價</t>
  </si>
  <si>
    <t>特殊專案價</t>
  </si>
  <si>
    <t>扣抵金額</t>
  </si>
  <si>
    <t>扣抵金額(含稅)</t>
  </si>
  <si>
    <t>PO-20150626A-1</t>
  </si>
  <si>
    <t>MOXA AWK-4121-EU-T V1.1</t>
  </si>
  <si>
    <t>MOXA AWK-1127-EU V1.0.1</t>
  </si>
  <si>
    <t>MOXA AWK-3121-EU V1.2.1</t>
  </si>
  <si>
    <t>PO-20150626A-2</t>
  </si>
  <si>
    <t>NPort W2150A-EU Band 
 w/ Cn Adapter V1.0</t>
  </si>
  <si>
    <t>PO-20150626A-3</t>
  </si>
  <si>
    <t>PO-20150817A</t>
  </si>
  <si>
    <t>Techjoa
 科技國</t>
  </si>
  <si>
    <t>PO-20150917A</t>
  </si>
  <si>
    <t>Cervoz</t>
  </si>
  <si>
    <t>"Rusen
 樂瑄"</t>
  </si>
  <si>
    <t>PO-20151013A</t>
  </si>
  <si>
    <t>Oncell G3111 w/ EU adapter</t>
  </si>
  <si>
    <t>PO-20151102A-1</t>
  </si>
  <si>
    <t>Pharms
 芳慎企業</t>
  </si>
  <si>
    <t>PO-20151105A</t>
  </si>
  <si>
    <t>PO-20151109A</t>
  </si>
  <si>
    <t>Uport 1150</t>
  </si>
  <si>
    <t>PO-20151127C</t>
  </si>
  <si>
    <t>PO-20151130A</t>
  </si>
  <si>
    <t>PO-20151207A</t>
  </si>
  <si>
    <t>PO-20151209C</t>
  </si>
  <si>
    <t>PI-20151214A</t>
  </si>
  <si>
    <t>Nport 5130A w/EU adapter</t>
  </si>
  <si>
    <t>NEXCOM
 新漢</t>
  </si>
  <si>
    <t>PO-20160704A-2</t>
  </si>
  <si>
    <t>PO-2016922B-1</t>
  </si>
  <si>
    <t>Unit Price
台幣單價 (含稅)</t>
  </si>
  <si>
    <t>Total NTD
台幣總價 (含稅)</t>
  </si>
  <si>
    <t>屏榮食品</t>
  </si>
  <si>
    <t>PI-20141231A</t>
  </si>
  <si>
    <t>LPC-1505-525</t>
  </si>
  <si>
    <t>Forster/Lynn</t>
  </si>
  <si>
    <t>Avalue</t>
  </si>
  <si>
    <t>avalue</t>
  </si>
  <si>
    <t>PO-20141231A</t>
  </si>
  <si>
    <t>兆豐國際商業銀行
帳號: 06909-003785</t>
  </si>
  <si>
    <t>NQ89356955</t>
  </si>
  <si>
    <t>NN51829310</t>
  </si>
  <si>
    <t>2/13/2015掛號寄出</t>
  </si>
  <si>
    <t>PI-20150119A</t>
  </si>
  <si>
    <t>PO-20150119A</t>
  </si>
  <si>
    <t>NQ89356960</t>
  </si>
  <si>
    <t>NN51829311</t>
  </si>
  <si>
    <t>2/14/2015掛號寄出</t>
  </si>
  <si>
    <t>PI-20150216B</t>
  </si>
  <si>
    <t>LPC-1503</t>
  </si>
  <si>
    <t>avalue
安勤</t>
  </si>
  <si>
    <t>NQ89356970</t>
  </si>
  <si>
    <t>PG51988801</t>
  </si>
  <si>
    <t>2015/3/4寄出掛號</t>
  </si>
  <si>
    <t>PI-20150317D</t>
  </si>
  <si>
    <t>PO-20150317D</t>
  </si>
  <si>
    <t>"兆豐國際商業銀行
帳號: 06909-003785"</t>
  </si>
  <si>
    <t>QC89356893</t>
  </si>
  <si>
    <t>QA52291714</t>
  </si>
  <si>
    <t>5/25 掛號</t>
  </si>
  <si>
    <t>PI-20150324D</t>
  </si>
  <si>
    <t>CIS-2PM120THT032GS</t>
  </si>
  <si>
    <t>unigens-永和office</t>
  </si>
  <si>
    <t>Z</t>
  </si>
  <si>
    <t>PO-20150324D</t>
  </si>
  <si>
    <t>兆豐新店-活存021798
04609021798
VAT 號碼: 28226508</t>
  </si>
  <si>
    <t>QA36248906</t>
  </si>
  <si>
    <t>QA52291703</t>
  </si>
  <si>
    <t>5/4央行 30.69</t>
  </si>
  <si>
    <t>5/6隨貨寄出</t>
  </si>
  <si>
    <t>PI-20150401D</t>
  </si>
  <si>
    <t>PO-20150401D</t>
  </si>
  <si>
    <t>PJ89356948</t>
  </si>
  <si>
    <t>PG51988863</t>
  </si>
  <si>
    <t>2015/04/22掛號寄出</t>
  </si>
  <si>
    <t>飛偉</t>
  </si>
  <si>
    <t>借測
(預計6/5歸還)</t>
  </si>
  <si>
    <t xml:space="preserve">PI-20150420A </t>
  </si>
  <si>
    <t>M62M9x8-100 (Opt8D)</t>
  </si>
  <si>
    <t>Adaptek Automation</t>
  </si>
  <si>
    <t>PI-20150710B</t>
  </si>
  <si>
    <t xml:space="preserve">TNT A/C: 000081207
</t>
  </si>
  <si>
    <t>axiomtek 艾訊</t>
  </si>
  <si>
    <t>PO-20150710B</t>
  </si>
  <si>
    <t>"5355717-703856
(艾訊合庫)"</t>
  </si>
  <si>
    <t>QW84468648</t>
  </si>
  <si>
    <t>CR/ /04/376/R8971</t>
  </si>
  <si>
    <t>E38C120104:SHB120VGGA-RC w/PCIe x1 BIOS, 更改BIOS x4 Bios</t>
  </si>
  <si>
    <t xml:space="preserve">TNT A/C: 000081207
</t>
  </si>
  <si>
    <t>PI-20150226A</t>
  </si>
  <si>
    <t xml:space="preserve"> TNT express 000107240 </t>
  </si>
  <si>
    <t>PO-20150226A</t>
  </si>
  <si>
    <t>"合作金庫
5355-665-004610"</t>
  </si>
  <si>
    <t>PJ84405580</t>
  </si>
  <si>
    <t>CR04376H6568</t>
  </si>
  <si>
    <t>NPort 5110</t>
  </si>
  <si>
    <t>PI-20150226A-1</t>
  </si>
  <si>
    <t>PO-20150226A-1</t>
  </si>
  <si>
    <t>PJ84406455</t>
  </si>
  <si>
    <t>CR04376K9458</t>
  </si>
  <si>
    <t>PI-20151013A</t>
  </si>
  <si>
    <t>RQ84406773</t>
  </si>
  <si>
    <t>CR04376X5716</t>
  </si>
  <si>
    <t>PI-20151109A</t>
  </si>
  <si>
    <t>SJ84405731</t>
  </si>
  <si>
    <t>CR 04376CE652</t>
  </si>
  <si>
    <t>PI-20151209A</t>
  </si>
  <si>
    <t>Uport-1150i</t>
  </si>
  <si>
    <t>PO-20151209A</t>
  </si>
  <si>
    <t>SJ84406771</t>
  </si>
  <si>
    <t>CG 043761R040</t>
  </si>
  <si>
    <t>同X452</t>
  </si>
  <si>
    <t xml:space="preserve">Uport 1450 </t>
  </si>
  <si>
    <t>PO-20151214A</t>
  </si>
  <si>
    <t>SJ84406918</t>
  </si>
  <si>
    <t>Agailtech
創捷國際科技</t>
  </si>
  <si>
    <t>PI-20141222D</t>
  </si>
  <si>
    <t>PCI-1710UL-DE</t>
  </si>
  <si>
    <t>業務親送</t>
  </si>
  <si>
    <t>advantech</t>
  </si>
  <si>
    <t>PO-20141222D</t>
  </si>
  <si>
    <t>NQ67755983</t>
  </si>
  <si>
    <t>NN 51829250</t>
  </si>
  <si>
    <t>發票隨貨出(業務親送)</t>
  </si>
  <si>
    <t>Applied Industrial Automation</t>
  </si>
  <si>
    <t>PI-20141120C</t>
  </si>
  <si>
    <t>NPort 5650-8</t>
  </si>
  <si>
    <t>DHL: 956287207</t>
  </si>
  <si>
    <t>PO-20141120C</t>
  </si>
  <si>
    <t>DC05495817</t>
  </si>
  <si>
    <t>CX04223015HK</t>
  </si>
  <si>
    <t>PI-20150115D</t>
  </si>
  <si>
    <t>Nport 5232 w/ European adapter</t>
  </si>
  <si>
    <t>FETA FREIGHT SYSTEMS (TAIWAN)</t>
  </si>
  <si>
    <t>PO-20150115D</t>
  </si>
  <si>
    <t>NQ84405756</t>
  </si>
  <si>
    <t>CW0447000934</t>
  </si>
  <si>
    <t>NQ84405860</t>
  </si>
  <si>
    <t>CX04223026JS</t>
  </si>
  <si>
    <t>PI-20150115E</t>
  </si>
  <si>
    <t>MB994SP-4SB-1</t>
  </si>
  <si>
    <t>Cremax 中銨</t>
  </si>
  <si>
    <t>PO-20150115E</t>
  </si>
  <si>
    <t>國泰世華 二重分行
070-03-7009227</t>
  </si>
  <si>
    <t>NN34842440</t>
  </si>
  <si>
    <t>MB123SK-1</t>
  </si>
  <si>
    <t>兩品項發票並一張</t>
  </si>
  <si>
    <t>PI-20150126A</t>
  </si>
  <si>
    <t>Nport 5232</t>
  </si>
  <si>
    <t>PO-20150126A</t>
  </si>
  <si>
    <t>NQ84405900</t>
  </si>
  <si>
    <t>CX0422302DZ0</t>
  </si>
  <si>
    <t>PI-20150209A</t>
  </si>
  <si>
    <t>PO-20150209A</t>
  </si>
  <si>
    <t>NQ84406678</t>
  </si>
  <si>
    <t>CX0422303JJB</t>
  </si>
  <si>
    <t>PI-20150224D</t>
  </si>
  <si>
    <t>MDR-40-24</t>
  </si>
  <si>
    <t>PO-20150224D-1</t>
  </si>
  <si>
    <t>PJ84405579</t>
  </si>
  <si>
    <t>CX0422304M9U</t>
  </si>
  <si>
    <t>EDS-205A</t>
  </si>
  <si>
    <t>PO-20150224D-2</t>
  </si>
  <si>
    <t>PG34932766</t>
  </si>
  <si>
    <t>PI-20150318A</t>
  </si>
  <si>
    <t>CP-118EL-A w/o cable</t>
  </si>
  <si>
    <t>PO-20150318A</t>
  </si>
  <si>
    <t>PJ84406559</t>
  </si>
  <si>
    <t>CX04223071BP</t>
  </si>
  <si>
    <t>借出歸還
(3/12收到，轉交Vic)</t>
  </si>
  <si>
    <t>Evaluation
PI-20150108C</t>
  </si>
  <si>
    <t xml:space="preserve">ioLogik R1240 </t>
  </si>
  <si>
    <t>Forster/Michelle</t>
  </si>
  <si>
    <t>亞郁自取</t>
  </si>
  <si>
    <t>PO2015011140003</t>
  </si>
  <si>
    <t>PI-20150114B</t>
  </si>
  <si>
    <t>CP-132EL-DB9M</t>
  </si>
  <si>
    <t>PO-20150114B</t>
  </si>
  <si>
    <t>NQ84405879</t>
  </si>
  <si>
    <t>NN51829274</t>
  </si>
  <si>
    <t>(1/28台灣即期買+賣/2@31.22)</t>
  </si>
  <si>
    <t>2015/2/4掛號寄出</t>
  </si>
  <si>
    <t>PO201502030009</t>
  </si>
  <si>
    <t>PI-20150203B</t>
  </si>
  <si>
    <t>NPort-5210 2port device server美規 
adapter</t>
  </si>
  <si>
    <t>PO-20150203B</t>
  </si>
  <si>
    <t>PJ84405455</t>
  </si>
  <si>
    <t>PG51988805(原PG51988800作廢)</t>
  </si>
  <si>
    <t>@31.42</t>
  </si>
  <si>
    <t>2015/3/4掛號寄出--&gt;2015/3/30掛號寄出更新發票</t>
  </si>
  <si>
    <t>PO201503180011</t>
  </si>
  <si>
    <t>PI-20150318C</t>
  </si>
  <si>
    <t xml:space="preserve">Nport-5110 </t>
  </si>
  <si>
    <t>PO-20150318C</t>
  </si>
  <si>
    <t>PJ84406506</t>
  </si>
  <si>
    <t>PG51988850</t>
  </si>
  <si>
    <t>(3/30台銀即期買+賣/2 @31.215)</t>
  </si>
  <si>
    <t>2015/4/8掛號寄出</t>
  </si>
  <si>
    <t>PO201504090017</t>
  </si>
  <si>
    <t>PI-20150409A</t>
  </si>
  <si>
    <t>MISC  miscellaneous (1701040110010)</t>
  </si>
  <si>
    <t>PO-20150409A</t>
  </si>
  <si>
    <t>PJ84406662</t>
  </si>
  <si>
    <t>PG51988861</t>
  </si>
  <si>
    <t>(4/16台銀即期買+賣/2 @31.18)</t>
  </si>
  <si>
    <t xml:space="preserve">ioLogik E1240 </t>
  </si>
  <si>
    <t xml:space="preserve">PWR-12042-US-S2 </t>
  </si>
  <si>
    <t>PG51988862</t>
  </si>
  <si>
    <t>PO201504240023</t>
  </si>
  <si>
    <t>PI-20150423D</t>
  </si>
  <si>
    <t>Nport-5210 w/美規</t>
  </si>
  <si>
    <t>PO-20150423D</t>
  </si>
  <si>
    <t>QC84406507</t>
  </si>
  <si>
    <t>QA52291757</t>
  </si>
  <si>
    <t>6/2 30.89</t>
  </si>
  <si>
    <t>6/3 掛號寄出</t>
  </si>
  <si>
    <t>PO201505040005</t>
  </si>
  <si>
    <t>PI-20150504A</t>
  </si>
  <si>
    <t>PO-20150504A</t>
  </si>
  <si>
    <t>QC84406505</t>
  </si>
  <si>
    <t>QA52291751</t>
  </si>
  <si>
    <t>5/25 台銀30.495</t>
  </si>
  <si>
    <t>PO201505270010</t>
  </si>
  <si>
    <t>PI-20150527A</t>
  </si>
  <si>
    <t>IMC-101-M-ST</t>
  </si>
  <si>
    <t>Michelle/Forster</t>
  </si>
  <si>
    <t>PO-20150527A</t>
  </si>
  <si>
    <t>QC84406561</t>
  </si>
  <si>
    <t>QA52291761</t>
  </si>
  <si>
    <t>6/9掛號</t>
  </si>
  <si>
    <t>PO201506160018</t>
  </si>
  <si>
    <t>PI-20150616A-2</t>
  </si>
  <si>
    <t>Nport-5110 w/US adaptor</t>
  </si>
  <si>
    <t>PO-20150616A</t>
  </si>
  <si>
    <t>QC84406869</t>
  </si>
  <si>
    <t>QA52291760</t>
  </si>
  <si>
    <t>6/26 台銀30.9</t>
  </si>
  <si>
    <t>6/30掛號</t>
  </si>
  <si>
    <t>PO-201509140007</t>
  </si>
  <si>
    <t>PI-20150914A</t>
  </si>
  <si>
    <t>Uport 1110</t>
  </si>
  <si>
    <t>michelle/forster</t>
  </si>
  <si>
    <t>PO-20150914A</t>
  </si>
  <si>
    <t>RQ84406578</t>
  </si>
  <si>
    <t>RN52582152</t>
  </si>
  <si>
    <t>台銀10/9 @32.58</t>
  </si>
  <si>
    <t>10/12掛號</t>
  </si>
  <si>
    <t>PO20150050017</t>
  </si>
  <si>
    <t>PI-20151005A</t>
  </si>
  <si>
    <t>UPort 1110 1埠USB轉RS-232串列轉接器</t>
  </si>
  <si>
    <t>PO-20151005A</t>
  </si>
  <si>
    <t>RQ84406645</t>
  </si>
  <si>
    <t>RN52582155</t>
  </si>
  <si>
    <t>台銀10/14@32.48</t>
  </si>
  <si>
    <t>10/15掛號</t>
  </si>
  <si>
    <t>PO201510220015</t>
  </si>
  <si>
    <t>PI-20151022B</t>
  </si>
  <si>
    <t>MOXA UPort 1150I*2</t>
  </si>
  <si>
    <t>PO-20151022B</t>
  </si>
  <si>
    <t>RQ84406859</t>
  </si>
  <si>
    <t>RN52582159</t>
  </si>
  <si>
    <t>10/28 匯率 32.435</t>
  </si>
  <si>
    <t>10/29掛號</t>
  </si>
  <si>
    <t>PO201510260015</t>
  </si>
  <si>
    <t>PI-20151026A</t>
  </si>
  <si>
    <t>PO-20151026A</t>
  </si>
  <si>
    <t>RQ84406860</t>
  </si>
  <si>
    <t>RN52582160</t>
  </si>
  <si>
    <t>PO201511040025</t>
  </si>
  <si>
    <t>PI-20151104A</t>
  </si>
  <si>
    <t>PO-20151104A</t>
  </si>
  <si>
    <t>SJ84405595</t>
  </si>
  <si>
    <t>SG52876950</t>
  </si>
  <si>
    <t>11/10掛號</t>
  </si>
  <si>
    <t>AVERS LLC</t>
  </si>
  <si>
    <t xml:space="preserve"> No23112015</t>
  </si>
  <si>
    <t>PI-20151123A</t>
  </si>
  <si>
    <t>EL100T</t>
  </si>
  <si>
    <t>ETHERWAN
益網</t>
  </si>
  <si>
    <t>PO-20151123A</t>
  </si>
  <si>
    <r>
      <rPr>
        <rFont val="Arial"/>
        <b/>
        <color theme="1"/>
        <sz val="10.0"/>
      </rPr>
      <t>兆豐國際商業銀行</t>
    </r>
    <r>
      <rPr>
        <rFont val="Arial"/>
        <color theme="1"/>
        <sz val="10.0"/>
      </rPr>
      <t xml:space="preserve">
046-09-01601-8</t>
    </r>
  </si>
  <si>
    <t>SJ72871884</t>
  </si>
  <si>
    <t>CX 042230RRQ0
提單:5814734144</t>
  </si>
  <si>
    <t>Freight 提單:5814734144</t>
  </si>
  <si>
    <t>DHL(洋基通運)</t>
  </si>
  <si>
    <t>匯豐(台灣)商銀台北分行(081)
10081620882011
(10081+戎克帳號620882011)</t>
  </si>
  <si>
    <t>TPE790370</t>
  </si>
  <si>
    <t>同X391</t>
  </si>
  <si>
    <t>PI-20150416B</t>
  </si>
  <si>
    <t>CP-102E</t>
  </si>
  <si>
    <t>DHL 956287207</t>
  </si>
  <si>
    <t>PO-20150416B</t>
  </si>
  <si>
    <t>PJ84406871</t>
  </si>
  <si>
    <t>CX0422308P05</t>
  </si>
  <si>
    <t>CP-104EL-DB9M w/ Cable
(CBL-M44M9X4-50)</t>
  </si>
  <si>
    <t>PI-20150430B</t>
  </si>
  <si>
    <t>PO-20150430B</t>
  </si>
  <si>
    <t>QC84405565</t>
  </si>
  <si>
    <t>CX0422309FFR</t>
  </si>
  <si>
    <t>OnCell G2111</t>
  </si>
  <si>
    <t>Axiomtek
艾訊</t>
  </si>
  <si>
    <t>PI-20150304B</t>
  </si>
  <si>
    <t>C168H/PCI</t>
  </si>
  <si>
    <t>PO-20150304B</t>
  </si>
  <si>
    <t>PJ84405614</t>
  </si>
  <si>
    <t>PG51988808</t>
  </si>
  <si>
    <t>@31.45</t>
  </si>
  <si>
    <t>2015/3/10掛號寄出</t>
  </si>
  <si>
    <t>CBL-M62M9x8-100 (OPT 8D)</t>
  </si>
  <si>
    <t>PI-20150310C</t>
  </si>
  <si>
    <t>PO-20150310C</t>
  </si>
  <si>
    <t>PJ84405742</t>
  </si>
  <si>
    <t>PG51988819</t>
  </si>
  <si>
    <t>@31.65</t>
  </si>
  <si>
    <t>2015/3/19寄出掛號</t>
  </si>
  <si>
    <t>CBL-M62M9x8-100</t>
  </si>
  <si>
    <t>PI-20150429A</t>
  </si>
  <si>
    <t>PO-20150429A</t>
  </si>
  <si>
    <t>QC84405636</t>
  </si>
  <si>
    <t>QA52291710</t>
  </si>
  <si>
    <t>@30.68</t>
  </si>
  <si>
    <t>5/15隨貨寄出</t>
  </si>
  <si>
    <t>北與南</t>
  </si>
  <si>
    <t>常備料庫存</t>
  </si>
  <si>
    <t>QA36708050</t>
  </si>
  <si>
    <t>AyC</t>
  </si>
  <si>
    <t>PI-20151016B</t>
  </si>
  <si>
    <t>Nport 5210 w/ European adapter</t>
  </si>
  <si>
    <t>Hellmann Worldwide Logistics</t>
  </si>
  <si>
    <t>PO-20151016B</t>
  </si>
  <si>
    <t>RQ84406774</t>
  </si>
  <si>
    <t>CW0472838798</t>
  </si>
  <si>
    <t>PI-20141219A</t>
  </si>
  <si>
    <t xml:space="preserve">OPC-5808T-T1 </t>
  </si>
  <si>
    <t>aplex</t>
  </si>
  <si>
    <t>PO-20141219A</t>
  </si>
  <si>
    <t xml:space="preserve"> 玉山銀行
0808-940-001638</t>
  </si>
  <si>
    <t>NN35442213</t>
  </si>
  <si>
    <t>CG04376F5418</t>
  </si>
  <si>
    <t>PI-20150202C</t>
  </si>
  <si>
    <t>PO-20150202C</t>
  </si>
  <si>
    <t>NN35442264</t>
  </si>
  <si>
    <t>CG04376G5661</t>
  </si>
  <si>
    <t>PI-20150224C</t>
  </si>
  <si>
    <t>PO-20150224C</t>
  </si>
  <si>
    <t>PG35464724</t>
  </si>
  <si>
    <t>CG04376K2830</t>
  </si>
  <si>
    <t>PO29560</t>
  </si>
  <si>
    <t>PI-20141212B</t>
  </si>
  <si>
    <t>PCI-1730U-BE</t>
  </si>
  <si>
    <t>PO-20141212B</t>
  </si>
  <si>
    <t>NQ67756275</t>
  </si>
  <si>
    <t>NN51829252</t>
  </si>
  <si>
    <t>2015/1/13宅急便寄出</t>
  </si>
  <si>
    <t>PO29569</t>
  </si>
  <si>
    <t>PI-20141212D-1</t>
  </si>
  <si>
    <t>CB-134I</t>
  </si>
  <si>
    <t>PO- 20141212D-1</t>
  </si>
  <si>
    <t>NQ84405835</t>
  </si>
  <si>
    <t>NN51829268</t>
  </si>
  <si>
    <t>(1/26兆豐即期買+賣/2 @31.28)</t>
  </si>
  <si>
    <t>與PO29770隨貨出貨</t>
  </si>
  <si>
    <t>PI-20141212D-2</t>
  </si>
  <si>
    <t>PO- 20141212D-2</t>
  </si>
  <si>
    <t>PJ84405793</t>
  </si>
  <si>
    <t>PG51988821</t>
  </si>
  <si>
    <t>(3/23兆豐即期買+賣/2 @31.44)</t>
  </si>
  <si>
    <t>2015/3/24寄出掛號</t>
  </si>
  <si>
    <t>PI-20141212D-3</t>
  </si>
  <si>
    <t>PO- 20141212D-3</t>
  </si>
  <si>
    <t>PJ84405896</t>
  </si>
  <si>
    <t>PG51988831</t>
  </si>
  <si>
    <t>(3/30兆豐即期買+賣/2 @31.30)</t>
  </si>
  <si>
    <t>2015/4/1隨貨寄出</t>
  </si>
  <si>
    <t>PO29744</t>
  </si>
  <si>
    <t>PI-20150106D</t>
  </si>
  <si>
    <t>CP-118EL-A</t>
  </si>
  <si>
    <t>PO-20150106D</t>
  </si>
  <si>
    <t>NQ84405730</t>
  </si>
  <si>
    <t>NN51829262</t>
  </si>
  <si>
    <t>(1/20兆豐買+賣/2)@31.64</t>
  </si>
  <si>
    <t>2015/1/20隨PO29814寄出</t>
  </si>
  <si>
    <t>PO29770</t>
  </si>
  <si>
    <t>PI-20150109A</t>
  </si>
  <si>
    <t>PO-20150109A</t>
  </si>
  <si>
    <t>NQ67756408</t>
  </si>
  <si>
    <t>NN51829271</t>
  </si>
  <si>
    <t>PO29782</t>
  </si>
  <si>
    <t>PI-20150109B</t>
  </si>
  <si>
    <t>C104H/PCI(DB9</t>
  </si>
  <si>
    <t>PO-20150109B</t>
  </si>
  <si>
    <t>NQ84405731</t>
  </si>
  <si>
    <t>NN51829259</t>
  </si>
  <si>
    <t>(1/19兆豐買+賣/2)@31.47</t>
  </si>
  <si>
    <t>PO29784</t>
  </si>
  <si>
    <t>PI-20150113A</t>
  </si>
  <si>
    <t>ADAM-6017-CE</t>
  </si>
  <si>
    <t>PO-20150113A</t>
  </si>
  <si>
    <t>NQ67756373</t>
  </si>
  <si>
    <t>NN51829255此張作廢
因此筆調漲NT47--NN51829256</t>
  </si>
  <si>
    <t>2015/1/15業務親送</t>
  </si>
  <si>
    <t>發票合併一張(PI-20150113A)</t>
  </si>
  <si>
    <t>NN51829255此張作廢
改NN51829256</t>
  </si>
  <si>
    <t>發票併張(20150113A)</t>
  </si>
  <si>
    <t>PI-20150113A-2</t>
  </si>
  <si>
    <t>USB-4750-AE</t>
  </si>
  <si>
    <t>NN51829263</t>
  </si>
  <si>
    <t>2015/1/20隨貨寄出</t>
  </si>
  <si>
    <t>PO29817</t>
  </si>
  <si>
    <t>PI-20150115A</t>
  </si>
  <si>
    <t>PO-20150115A</t>
  </si>
  <si>
    <t>NQ84405833</t>
  </si>
  <si>
    <t>NN51829270</t>
  </si>
  <si>
    <t>PO29826</t>
  </si>
  <si>
    <t>PI-20150115B</t>
  </si>
  <si>
    <t>EKI-2741SX-AE</t>
  </si>
  <si>
    <t>PO-20150115B</t>
  </si>
  <si>
    <t>NQ67758776</t>
  </si>
  <si>
    <t>NN51829306</t>
  </si>
  <si>
    <t>2/11/2015掛號寄出</t>
  </si>
  <si>
    <t>PO29814</t>
  </si>
  <si>
    <t>PI-20150115C</t>
  </si>
  <si>
    <t>ADAM-4055-BE</t>
  </si>
  <si>
    <t>PO-20150115C</t>
  </si>
  <si>
    <t>NQ67756372</t>
  </si>
  <si>
    <t>NN51829260</t>
  </si>
  <si>
    <t>2015/1/20宅配寄出</t>
  </si>
  <si>
    <t>USB-4702-AE</t>
  </si>
  <si>
    <t>發票併張(PI-20150115C)</t>
  </si>
  <si>
    <t>PO29863</t>
  </si>
  <si>
    <t>PI-20150120B</t>
  </si>
  <si>
    <t>CP-104UL-DB9M</t>
  </si>
  <si>
    <t>PO-20150120B</t>
  </si>
  <si>
    <t>NQ84405834</t>
  </si>
  <si>
    <t>NN51829269</t>
  </si>
  <si>
    <t>PO29905</t>
  </si>
  <si>
    <t>PI-20150122A</t>
  </si>
  <si>
    <t>PO-20150122A</t>
  </si>
  <si>
    <t>NQ67756202</t>
  </si>
  <si>
    <t>NN51829272</t>
  </si>
  <si>
    <t>發票併張(PI-20150122A)</t>
  </si>
  <si>
    <t>發票併張(NN51829272)</t>
  </si>
  <si>
    <t>ADAM-4018+-BE</t>
  </si>
  <si>
    <t>ADAM-5000/TCP-BE</t>
  </si>
  <si>
    <t>ADAM-5017H-BE</t>
  </si>
  <si>
    <t>PO29913</t>
  </si>
  <si>
    <t>PI-20150122B</t>
  </si>
  <si>
    <t>PO-20150122B</t>
  </si>
  <si>
    <t>NQ84406450</t>
  </si>
  <si>
    <t>NN51829300</t>
  </si>
  <si>
    <t>(2/2/2015兆豐即期買+賣/2=@31.58)</t>
  </si>
  <si>
    <t>PO29923-R</t>
  </si>
  <si>
    <t>PI-20150126C</t>
  </si>
  <si>
    <t>PO-20150126C</t>
  </si>
  <si>
    <t>NQ67758683</t>
  </si>
  <si>
    <t>NN51829302</t>
  </si>
  <si>
    <t>2015/2/3隨貨寄出</t>
  </si>
  <si>
    <t>5013l</t>
  </si>
  <si>
    <t>PO30144</t>
  </si>
  <si>
    <t>PI-20150211A</t>
  </si>
  <si>
    <t>PO-20150211A</t>
  </si>
  <si>
    <t>NQ67758800</t>
  </si>
  <si>
    <t>NN51829313</t>
  </si>
  <si>
    <t>2/24/2015隨貨寄出</t>
  </si>
  <si>
    <t>PO30154</t>
  </si>
  <si>
    <t>PI-20150212A</t>
  </si>
  <si>
    <t>PO-20150212A</t>
  </si>
  <si>
    <t>PJ67756372</t>
  </si>
  <si>
    <t>PG51988815</t>
  </si>
  <si>
    <t>2015/3/17隨或寄出</t>
  </si>
  <si>
    <t>PO30179</t>
  </si>
  <si>
    <t>PI-20150216A</t>
  </si>
  <si>
    <t>PO-20150216A</t>
  </si>
  <si>
    <t>PJ84405602</t>
  </si>
  <si>
    <t>PG51988809</t>
  </si>
  <si>
    <t>(3/6兆豐買+賣/2)@31.43</t>
  </si>
  <si>
    <t>與PO30227隨貨出貨</t>
  </si>
  <si>
    <t>C104H/PCI(DB9)</t>
  </si>
  <si>
    <t>PO30207</t>
  </si>
  <si>
    <t>PI-20150224B</t>
  </si>
  <si>
    <t>PO-20150224B</t>
  </si>
  <si>
    <t>NQ67758833</t>
  </si>
  <si>
    <t>PG51988802</t>
  </si>
  <si>
    <t>2015/3/4隨貨出</t>
  </si>
  <si>
    <t>PO30227</t>
  </si>
  <si>
    <t>PI-20150225A-1</t>
  </si>
  <si>
    <t>PO-20150225A-1</t>
  </si>
  <si>
    <t>PJ67756361</t>
  </si>
  <si>
    <t>PG51988810</t>
  </si>
  <si>
    <t>2015/3/10隨貨出</t>
  </si>
  <si>
    <t>PI-20150225A-2</t>
  </si>
  <si>
    <t>PO-20150225A-2</t>
  </si>
  <si>
    <t>NQ67759286</t>
  </si>
  <si>
    <t>PG51988803</t>
  </si>
  <si>
    <t>ADAM-3011-AE</t>
  </si>
  <si>
    <t>PO30274</t>
  </si>
  <si>
    <t>PI-20150303B</t>
  </si>
  <si>
    <t>1700008461-11  4-port USB cable kit</t>
  </si>
  <si>
    <t>PO-20150303B</t>
  </si>
  <si>
    <t>PJ67756275</t>
  </si>
  <si>
    <t>PG51988811</t>
  </si>
  <si>
    <t>PO30318</t>
  </si>
  <si>
    <t>PI-20150305B</t>
  </si>
  <si>
    <t>PO-20150305B</t>
  </si>
  <si>
    <t>PJ67756274</t>
  </si>
  <si>
    <t>PG51988812</t>
  </si>
  <si>
    <t>ADAM-5060-AE</t>
  </si>
  <si>
    <t>ADAM-5017P-AE</t>
  </si>
  <si>
    <t>ADAM-5000L/TCP-AE</t>
  </si>
  <si>
    <t>PO30350</t>
  </si>
  <si>
    <t>PI-20150309A</t>
  </si>
  <si>
    <t>PO-20150309A</t>
  </si>
  <si>
    <t>PJ67756477</t>
  </si>
  <si>
    <t>PG51988816</t>
  </si>
  <si>
    <t>2015/3/17隨貨寄出</t>
  </si>
  <si>
    <t>PO30411</t>
  </si>
  <si>
    <t>PI-20150311A</t>
  </si>
  <si>
    <t>PO-20150311A</t>
  </si>
  <si>
    <t>PJ84405819</t>
  </si>
  <si>
    <t>PG51988825</t>
  </si>
  <si>
    <t>@31.31</t>
  </si>
  <si>
    <t>2015/3/26寄出掛號</t>
  </si>
  <si>
    <t>PO30416</t>
  </si>
  <si>
    <t>PI-20150312B</t>
  </si>
  <si>
    <t>PO-20150312B</t>
  </si>
  <si>
    <t>PJ67756146</t>
  </si>
  <si>
    <t>PG51988817</t>
  </si>
  <si>
    <t>PO30459</t>
  </si>
  <si>
    <t>PI-20150316B</t>
  </si>
  <si>
    <t>PO-20150316B</t>
  </si>
  <si>
    <t>PJ84405820</t>
  </si>
  <si>
    <t>PG51988826</t>
  </si>
  <si>
    <t>PO30496</t>
  </si>
  <si>
    <t>PI-20150318B</t>
  </si>
  <si>
    <t>CBL-M68M9x8-100 (ehem. OPT8D+)
8 x RS232 cable, DB9 connector</t>
  </si>
  <si>
    <t>PO-20150318B-1</t>
  </si>
  <si>
    <t>PJ51988832</t>
  </si>
  <si>
    <t>PG51988832</t>
  </si>
  <si>
    <t>CP-118EL-A w/o Cable
8 x RS-232/422/485 PCIe-Card</t>
  </si>
  <si>
    <t>PO-20150318B-2</t>
  </si>
  <si>
    <t>PJ84406678</t>
  </si>
  <si>
    <t>PG51988855</t>
  </si>
  <si>
    <t>4/15兆豐即期買+賣/2 @ 31.24</t>
  </si>
  <si>
    <t>4/21隨貨寄出</t>
  </si>
  <si>
    <t>PO30501-R</t>
  </si>
  <si>
    <t>PI-20150319A-1</t>
  </si>
  <si>
    <t>PO-20150319A-1</t>
  </si>
  <si>
    <t>PJ67756032</t>
  </si>
  <si>
    <t>PG51988823</t>
  </si>
  <si>
    <t>2015/3/25隨貨寄出</t>
  </si>
  <si>
    <t>PI-20150319A-2</t>
  </si>
  <si>
    <t>PO-20150319A-2</t>
  </si>
  <si>
    <t>ADAM-5017-A4E</t>
  </si>
  <si>
    <t>ADAM-5052-AE</t>
  </si>
  <si>
    <t>PI-20150319A-3</t>
  </si>
  <si>
    <t>PO-20150319A-3</t>
  </si>
  <si>
    <t>PO30510-R</t>
  </si>
  <si>
    <t>PI-20150319D</t>
  </si>
  <si>
    <t>PO-20150319D</t>
  </si>
  <si>
    <t>PJ84405897</t>
  </si>
  <si>
    <t>PG51988833</t>
  </si>
  <si>
    <t>PO30564</t>
  </si>
  <si>
    <t>PI-20150324B</t>
  </si>
  <si>
    <t>PO-20150324B</t>
  </si>
  <si>
    <t>PJ84406505</t>
  </si>
  <si>
    <t>PG51988851</t>
  </si>
  <si>
    <t>(4/2兆豐即期買+賣/2 @31.22)</t>
  </si>
  <si>
    <t>2015/4/8隨貨寄出</t>
  </si>
  <si>
    <t>PO30584</t>
  </si>
  <si>
    <t>PI-20150325A</t>
  </si>
  <si>
    <t>PO-20150325A</t>
  </si>
  <si>
    <t>PJ67757444</t>
  </si>
  <si>
    <t>PG51988834</t>
  </si>
  <si>
    <t>PO30594</t>
  </si>
  <si>
    <t>PI-20150327B</t>
  </si>
  <si>
    <t>PO-20150327B</t>
  </si>
  <si>
    <t>PJ6775443</t>
  </si>
  <si>
    <t>PG51988835</t>
  </si>
  <si>
    <t>PO30689</t>
  </si>
  <si>
    <t>PI-20150401E</t>
  </si>
  <si>
    <t>PO-20150401E</t>
  </si>
  <si>
    <t>PJ67758684</t>
  </si>
  <si>
    <t>PG51988852</t>
  </si>
  <si>
    <t>請寫寄出日期及掛號還是隨貨</t>
  </si>
  <si>
    <t>PO30717</t>
  </si>
  <si>
    <t>PI-20150407A</t>
  </si>
  <si>
    <t xml:space="preserve">CP-104UL-DB9M
</t>
  </si>
  <si>
    <t>PO-20150407A</t>
  </si>
  <si>
    <t>PJ84406653</t>
  </si>
  <si>
    <t>PG51988857</t>
  </si>
  <si>
    <t>(4/15兆豐即期買+賣/2 @31.27)</t>
  </si>
  <si>
    <t>CBL-M68M9x8-100 (ehem. OPT8D+)</t>
  </si>
  <si>
    <t xml:space="preserve"> PO30721</t>
  </si>
  <si>
    <t>PI-20150408A</t>
  </si>
  <si>
    <t>PO-20150408A</t>
  </si>
  <si>
    <t>PJ84406654</t>
  </si>
  <si>
    <t>PG51988859</t>
  </si>
  <si>
    <t>PO30759</t>
  </si>
  <si>
    <t>PI-20150409B</t>
  </si>
  <si>
    <t>PO-20150409B</t>
  </si>
  <si>
    <t>PJ84406716</t>
  </si>
  <si>
    <t>PG51988860</t>
  </si>
  <si>
    <t>(4/20兆豐即期買+賣/2 @31)</t>
  </si>
  <si>
    <t>PO30808</t>
  </si>
  <si>
    <t>PI-20150415A</t>
  </si>
  <si>
    <t>PO-20150415A</t>
  </si>
  <si>
    <t>PJ67758733</t>
  </si>
  <si>
    <t>PG51988854</t>
  </si>
  <si>
    <t>PO30816</t>
  </si>
  <si>
    <t>PI-20150415C-1</t>
  </si>
  <si>
    <t>PO-20150415C-1</t>
  </si>
  <si>
    <t>PJ67758886</t>
  </si>
  <si>
    <t>PI-20150415C-2</t>
  </si>
  <si>
    <t>PCI-1733-AE</t>
  </si>
  <si>
    <t>PO-20150415C-2</t>
  </si>
  <si>
    <t>PJ67758824</t>
  </si>
  <si>
    <t>QA52291700</t>
  </si>
  <si>
    <t>5/5隨貨寄出</t>
  </si>
  <si>
    <t>PO30832</t>
  </si>
  <si>
    <t>PI-20150416C</t>
  </si>
  <si>
    <t>MGate MB3180 EU</t>
  </si>
  <si>
    <t>PO-20150416C</t>
  </si>
  <si>
    <t>PJ84406791</t>
  </si>
  <si>
    <t>PG51988866</t>
  </si>
  <si>
    <t>4/24兆豐平均30.85</t>
  </si>
  <si>
    <t>4/27掛號</t>
  </si>
  <si>
    <t>PO30843</t>
  </si>
  <si>
    <t>PI-20150417A</t>
  </si>
  <si>
    <t>PO-20150417A</t>
  </si>
  <si>
    <t>PJ84406790</t>
  </si>
  <si>
    <t>PG51988867</t>
  </si>
  <si>
    <t>PO30865</t>
  </si>
  <si>
    <t>PI-20150420B</t>
  </si>
  <si>
    <t>PO-20150420B</t>
  </si>
  <si>
    <t>PJ67759206</t>
  </si>
  <si>
    <t>PG51988864</t>
  </si>
  <si>
    <t>PO30913</t>
  </si>
  <si>
    <t>PI-20150422A</t>
  </si>
  <si>
    <t xml:space="preserve">ADAM-4015-CE </t>
  </si>
  <si>
    <t>PO-20150422A</t>
  </si>
  <si>
    <t>PJ67758838</t>
  </si>
  <si>
    <t>PG51988865</t>
  </si>
  <si>
    <t xml:space="preserve">ADAM-4018+-BE </t>
  </si>
  <si>
    <t>ADAM-4051-BE</t>
  </si>
  <si>
    <t>PO30899</t>
  </si>
  <si>
    <t>PI-20150423B</t>
  </si>
  <si>
    <t xml:space="preserve">C104H/PCI(DB9) </t>
  </si>
  <si>
    <t>PO-20150423B</t>
  </si>
  <si>
    <t>PJ84406888</t>
  </si>
  <si>
    <t>PG51988868</t>
  </si>
  <si>
    <t>4/29 兆豐即期買賣平均30.47</t>
  </si>
  <si>
    <t>4/30掛號</t>
  </si>
  <si>
    <t>PO30910</t>
  </si>
  <si>
    <t>PI-20150423C</t>
  </si>
  <si>
    <t>PO-20150423C</t>
  </si>
  <si>
    <t>PJ84406887</t>
  </si>
  <si>
    <t>PO30963</t>
  </si>
  <si>
    <t>PI-20150428A</t>
  </si>
  <si>
    <t xml:space="preserve">EKI-2741SX-AE </t>
  </si>
  <si>
    <t>PO-20150428A</t>
  </si>
  <si>
    <t>QC67756354</t>
  </si>
  <si>
    <t>QA52291712</t>
  </si>
  <si>
    <t>5/19隨貨</t>
  </si>
  <si>
    <t>PO30969</t>
  </si>
  <si>
    <t>PI-20150428B</t>
  </si>
  <si>
    <t>CP-168U</t>
  </si>
  <si>
    <t>PO-20150428B</t>
  </si>
  <si>
    <t>QC84405528</t>
  </si>
  <si>
    <t>QA52291704</t>
  </si>
  <si>
    <t>5/5 兆豐買賣平均30.67</t>
  </si>
  <si>
    <t>5/8 掛號</t>
  </si>
  <si>
    <t>PO30975</t>
  </si>
  <si>
    <t>PI-20150428C</t>
  </si>
  <si>
    <t>PO-20150428C</t>
  </si>
  <si>
    <t>PJ67758825</t>
  </si>
  <si>
    <t>QA52291701</t>
  </si>
  <si>
    <t>QA52291702</t>
  </si>
  <si>
    <t>PO30993</t>
  </si>
  <si>
    <t>PI-20150430C</t>
  </si>
  <si>
    <t>PO-20150430C</t>
  </si>
  <si>
    <t>QC84405581</t>
  </si>
  <si>
    <t>QA52291707</t>
  </si>
  <si>
    <t>5/8兆豐買賣平均30.67</t>
  </si>
  <si>
    <t>5/12隨貨寄出</t>
  </si>
  <si>
    <t>PO31025</t>
  </si>
  <si>
    <t>PI-20150505A</t>
  </si>
  <si>
    <t>PO-20150505A</t>
  </si>
  <si>
    <t>QC67756579</t>
  </si>
  <si>
    <t>QA52291709</t>
  </si>
  <si>
    <t>5/14隨貨寄出</t>
  </si>
  <si>
    <t>QC67756121</t>
  </si>
  <si>
    <t>QA52291715</t>
  </si>
  <si>
    <t>5/27隨貨寄出</t>
  </si>
  <si>
    <t>PO31027</t>
  </si>
  <si>
    <t>PI-20150505B</t>
  </si>
  <si>
    <t>PO-20150505B</t>
  </si>
  <si>
    <t>QC84405830</t>
  </si>
  <si>
    <t>QA52291750</t>
  </si>
  <si>
    <t>6/1 兆豐30.73</t>
  </si>
  <si>
    <t>PO31046</t>
  </si>
  <si>
    <t>PI-20150506A</t>
  </si>
  <si>
    <t>PO-20150506A</t>
  </si>
  <si>
    <t>QC84405585</t>
  </si>
  <si>
    <t>同前QA52291707</t>
  </si>
  <si>
    <t>PO31054</t>
  </si>
  <si>
    <t>PI-20150506B</t>
  </si>
  <si>
    <t>PO-20150506B</t>
  </si>
  <si>
    <t>QC67756191</t>
  </si>
  <si>
    <t>QA52291708</t>
  </si>
  <si>
    <t>PO31346</t>
  </si>
  <si>
    <t>PI-20150604A</t>
  </si>
  <si>
    <t>PO-20150604A</t>
  </si>
  <si>
    <t>QC67759154</t>
  </si>
  <si>
    <t>QA52291753</t>
  </si>
  <si>
    <t>6/8隨貨</t>
  </si>
  <si>
    <t>PO31469</t>
  </si>
  <si>
    <t>PI-20150616B</t>
  </si>
  <si>
    <t>CBL-RJ45F9-150</t>
  </si>
  <si>
    <t>PO-20150616B</t>
  </si>
  <si>
    <t>QC84406779</t>
  </si>
  <si>
    <t>QA52291759</t>
  </si>
  <si>
    <t>6/25 兆豐30.9</t>
  </si>
  <si>
    <t>6/26掛號</t>
  </si>
  <si>
    <t>PO31528</t>
  </si>
  <si>
    <t>PI-20150622A</t>
  </si>
  <si>
    <t>PO-20150622A</t>
  </si>
  <si>
    <t>QW84405514</t>
  </si>
  <si>
    <t>QU52575303</t>
  </si>
  <si>
    <t>7/1兆豐 30.9</t>
  </si>
  <si>
    <t>7/2隨貨</t>
  </si>
  <si>
    <t>CBL-M62M9x8-100 (OPT8D)</t>
  </si>
  <si>
    <t>stock</t>
  </si>
  <si>
    <t>PO31556</t>
  </si>
  <si>
    <t>PI-20150625A</t>
  </si>
  <si>
    <t>PO-20150625A</t>
  </si>
  <si>
    <t>QW67755951</t>
  </si>
  <si>
    <t>QU52575304</t>
  </si>
  <si>
    <t>PO31628</t>
  </si>
  <si>
    <t>PI-20150701A</t>
  </si>
  <si>
    <t>PO-20150701A</t>
  </si>
  <si>
    <t>QW67756079</t>
  </si>
  <si>
    <t>QU52575306</t>
  </si>
  <si>
    <t>7/6隨貨</t>
  </si>
  <si>
    <t>PO31640</t>
  </si>
  <si>
    <t>PI-20150702A</t>
  </si>
  <si>
    <t>G121S1-L01 CHIMEI A grade 12.1" TFT-LCD SVGA 800x600</t>
  </si>
  <si>
    <t>元眾</t>
  </si>
  <si>
    <t>PO-20150702A</t>
  </si>
  <si>
    <t>第一銀行-華江分行
007‐2023
202‐10‐103189</t>
  </si>
  <si>
    <t>QU35504310</t>
  </si>
  <si>
    <t>QU52575307</t>
  </si>
  <si>
    <t>7/2兆豐 30.92</t>
  </si>
  <si>
    <t>PO31701</t>
  </si>
  <si>
    <t>PI-20150709A</t>
  </si>
  <si>
    <t>PO-20150709A</t>
  </si>
  <si>
    <t>QW67755989</t>
  </si>
  <si>
    <t>QU52575308</t>
  </si>
  <si>
    <t>7/13隨貨</t>
  </si>
  <si>
    <t>QU52575309</t>
  </si>
  <si>
    <t>PO31769-R</t>
  </si>
  <si>
    <t>PI-20150715A</t>
  </si>
  <si>
    <t>unigens</t>
  </si>
  <si>
    <t>PO-20150715A</t>
  </si>
  <si>
    <t>QW67756695</t>
  </si>
  <si>
    <t>QU52575310</t>
  </si>
  <si>
    <t>7/20隨貨</t>
  </si>
  <si>
    <t>ADAM-6024-A1E</t>
  </si>
  <si>
    <t>PO31770</t>
  </si>
  <si>
    <t>PI-20150715B</t>
  </si>
  <si>
    <t>PO-20150715B</t>
  </si>
  <si>
    <t>QW84405765</t>
  </si>
  <si>
    <t>QU52575313</t>
  </si>
  <si>
    <t>7/22兆豐 31.18</t>
  </si>
  <si>
    <t>7/24 掛號</t>
  </si>
  <si>
    <t>PO31782</t>
  </si>
  <si>
    <t>PI-20150716A</t>
  </si>
  <si>
    <t>USB-4751-AE</t>
  </si>
  <si>
    <t>PO-20150716A</t>
  </si>
  <si>
    <t>QW67756694</t>
  </si>
  <si>
    <t>QU52575311</t>
  </si>
  <si>
    <t>PO31923</t>
  </si>
  <si>
    <t>PI20150729A</t>
  </si>
  <si>
    <t>M215HGK-L30  InnoLux 21.5" TFT-LCD 1920 x 1080</t>
  </si>
  <si>
    <t>EEchain網訊</t>
  </si>
  <si>
    <t>PO-20150729A</t>
  </si>
  <si>
    <t>QW89330910</t>
  </si>
  <si>
    <t>QU52575353</t>
  </si>
  <si>
    <t>8/1匯率31.58</t>
  </si>
  <si>
    <t>8/11隨貨</t>
  </si>
  <si>
    <t>PO31970</t>
  </si>
  <si>
    <t>PI-20150803A</t>
  </si>
  <si>
    <t xml:space="preserve">CP-168U </t>
  </si>
  <si>
    <t>PO-20150803A</t>
  </si>
  <si>
    <t>QW84406774</t>
  </si>
  <si>
    <t>QU52575355</t>
  </si>
  <si>
    <t>8/21兆豐32.58</t>
  </si>
  <si>
    <t>8/25隨貨</t>
  </si>
  <si>
    <t>PO32011</t>
  </si>
  <si>
    <t>PI-20150806A</t>
  </si>
  <si>
    <t>PO-20150806A</t>
  </si>
  <si>
    <t>QW67758116</t>
  </si>
  <si>
    <t>QU52575352</t>
  </si>
  <si>
    <t>PO32037</t>
  </si>
  <si>
    <t>PI-20150807B</t>
  </si>
  <si>
    <t>PO-20150807B</t>
  </si>
  <si>
    <t>QW84406693</t>
  </si>
  <si>
    <t>QU52575354</t>
  </si>
  <si>
    <t>兆豐 8/14 @32.07</t>
  </si>
  <si>
    <t>8/19掛號</t>
  </si>
  <si>
    <t>PO32141</t>
  </si>
  <si>
    <t>PI-20150821A</t>
  </si>
  <si>
    <t>ADAM-4017-D2E</t>
  </si>
  <si>
    <t>PO-20150821A</t>
  </si>
  <si>
    <t>QW67759290</t>
  </si>
  <si>
    <t>QU52575357</t>
  </si>
  <si>
    <t>USB-4711A-AE</t>
  </si>
  <si>
    <t>QU52575358</t>
  </si>
  <si>
    <t>PO32271</t>
  </si>
  <si>
    <t>PI-20150902A</t>
  </si>
  <si>
    <t xml:space="preserve">ADAM-6052-CE </t>
  </si>
  <si>
    <t>PO-20150902A</t>
  </si>
  <si>
    <t>RQ67756095</t>
  </si>
  <si>
    <t>RN52582101</t>
  </si>
  <si>
    <t>9/8隨貨寄出</t>
  </si>
  <si>
    <t>PO32430</t>
  </si>
  <si>
    <t>PI-20150916A</t>
  </si>
  <si>
    <t>PO-20150916A</t>
  </si>
  <si>
    <t>RQ67756580</t>
  </si>
  <si>
    <t>RN52582105</t>
  </si>
  <si>
    <t>PI-20150916A-2</t>
  </si>
  <si>
    <t>ADAM-5510EKW/TP-CE</t>
  </si>
  <si>
    <t>RQ67756497</t>
  </si>
  <si>
    <t>PO32436</t>
  </si>
  <si>
    <t>PI-20150917A</t>
  </si>
  <si>
    <t>RQ84405763</t>
  </si>
  <si>
    <t>RN52582107</t>
  </si>
  <si>
    <t>9/23兆豐32.83</t>
  </si>
  <si>
    <t>隨9/25寄貨</t>
  </si>
  <si>
    <t>PO32495</t>
  </si>
  <si>
    <t>PI-20150923A</t>
  </si>
  <si>
    <t>PO-20150923A</t>
  </si>
  <si>
    <t>RQ67756291</t>
  </si>
  <si>
    <t>RN52582108</t>
  </si>
  <si>
    <t>9/25隨貨</t>
  </si>
  <si>
    <t>PO32641</t>
  </si>
  <si>
    <t>PI-20151007A</t>
  </si>
  <si>
    <t>PO-20151007A</t>
  </si>
  <si>
    <t>RQ67759062</t>
  </si>
  <si>
    <t>RN52582154</t>
  </si>
  <si>
    <t>10/12隨貨</t>
  </si>
  <si>
    <t>ADAM-5000/TCP-CE</t>
  </si>
  <si>
    <t xml:space="preserve">PCI-1243U-AE </t>
  </si>
  <si>
    <t>PO32630</t>
  </si>
  <si>
    <t>PI-20151007B</t>
  </si>
  <si>
    <t>PO-20151007B</t>
  </si>
  <si>
    <t>RQ67759053</t>
  </si>
  <si>
    <t>RN52582153</t>
  </si>
  <si>
    <t>CyberWorld</t>
  </si>
  <si>
    <t>PI-20141222B</t>
  </si>
  <si>
    <t>ioLogik E2214 
(RMA)</t>
  </si>
  <si>
    <t>Kindnice Express
A/C No.2141</t>
  </si>
  <si>
    <t>NQ84406600</t>
  </si>
  <si>
    <t>CE0437801144</t>
  </si>
  <si>
    <t>PI-20150106A</t>
  </si>
  <si>
    <t>EDS-G512E-4GSFP-T</t>
  </si>
  <si>
    <t>PO- 20150106A</t>
  </si>
  <si>
    <t>NQ8405602</t>
  </si>
  <si>
    <t>CE0437800287</t>
  </si>
  <si>
    <t>PI-20150106B</t>
  </si>
  <si>
    <t>EDS-305-M-SC</t>
  </si>
  <si>
    <t>PO-20150106B</t>
  </si>
  <si>
    <t>NQ84405608</t>
  </si>
  <si>
    <t>CE0437800335</t>
  </si>
  <si>
    <t>IMC-21A-M-SC</t>
  </si>
  <si>
    <t>發票合併一張(PI-20150106B)</t>
  </si>
  <si>
    <t>PI-20150106C-1</t>
  </si>
  <si>
    <t>MOXA MiiNePort E1</t>
  </si>
  <si>
    <t>PO-20150106C</t>
  </si>
  <si>
    <t>NQ84406498</t>
  </si>
  <si>
    <t>CE0437801450</t>
  </si>
  <si>
    <t>PI-20150106C-2</t>
  </si>
  <si>
    <t>NQ84406656</t>
  </si>
  <si>
    <t>CE0437802134</t>
  </si>
  <si>
    <t>PI-20150107A</t>
  </si>
  <si>
    <t>Nport 5650-16</t>
  </si>
  <si>
    <t>PO-20150107A</t>
  </si>
  <si>
    <t>NQ84405653</t>
  </si>
  <si>
    <t>CE0437800505</t>
  </si>
  <si>
    <t>PI-20150108B</t>
  </si>
  <si>
    <t>PO-20150108B</t>
  </si>
  <si>
    <t>NQ84405607</t>
  </si>
  <si>
    <t>發票合併一張(PI-20150108B)</t>
  </si>
  <si>
    <t>PI-20150114A</t>
  </si>
  <si>
    <t>IMC-21-M-SC</t>
  </si>
  <si>
    <t>PO-20150114A</t>
  </si>
  <si>
    <t>NQ84405848</t>
  </si>
  <si>
    <t>PI-20150120C</t>
  </si>
  <si>
    <t>Nport 5610-8</t>
  </si>
  <si>
    <t>PO-20150120C</t>
  </si>
  <si>
    <t>NQ84405849</t>
  </si>
  <si>
    <t>PI-20150123A</t>
  </si>
  <si>
    <t>Nport 6610-32 (EU power cable)</t>
  </si>
  <si>
    <t>PO-20150123A</t>
  </si>
  <si>
    <t>NQ84406499</t>
  </si>
  <si>
    <t>PI-20150123B</t>
  </si>
  <si>
    <t>Nport 5650-8</t>
  </si>
  <si>
    <t>PO- 20150123B</t>
  </si>
  <si>
    <t>NQ84406680</t>
  </si>
  <si>
    <t>CE0437801803</t>
  </si>
  <si>
    <t>PI-20150203A</t>
  </si>
  <si>
    <t>MB3480</t>
  </si>
  <si>
    <t>PO-20150203A</t>
  </si>
  <si>
    <t>NQ84406681</t>
  </si>
  <si>
    <t>PI-20150209B</t>
  </si>
  <si>
    <t>Nport Z2150-T</t>
  </si>
  <si>
    <t>PO-20150209B</t>
  </si>
  <si>
    <t>NQ84406724</t>
  </si>
  <si>
    <t>PI-20150224A</t>
  </si>
  <si>
    <t>PO-20150224A</t>
  </si>
  <si>
    <t>PJ84405516</t>
  </si>
  <si>
    <t>CX0407101661</t>
  </si>
  <si>
    <t>PI-20150302A</t>
  </si>
  <si>
    <t>PO-20150302A</t>
  </si>
  <si>
    <t>PJ84405636</t>
  </si>
  <si>
    <t>CBL-M44M25X4</t>
  </si>
  <si>
    <t>PI-20150303A</t>
  </si>
  <si>
    <t>PO-20150303A</t>
  </si>
  <si>
    <t>PJ84405815</t>
  </si>
  <si>
    <t>CE04378G1118</t>
  </si>
  <si>
    <t>OPT 8A+</t>
  </si>
  <si>
    <t>PI-20150306B</t>
  </si>
  <si>
    <t>Adam-6060-CE</t>
  </si>
  <si>
    <t>PO-20150306B</t>
  </si>
  <si>
    <t>PJ67756196</t>
  </si>
  <si>
    <t>CX0407101853</t>
  </si>
  <si>
    <t>PI-20150310A</t>
  </si>
  <si>
    <t>EDS-510A-1GT2SFP</t>
  </si>
  <si>
    <t>PO-20150310A</t>
  </si>
  <si>
    <t>PJ84405711</t>
  </si>
  <si>
    <t>SFP-1GLSXLC</t>
  </si>
  <si>
    <t>PI-20150326A</t>
  </si>
  <si>
    <t>PO-20150326A</t>
  </si>
  <si>
    <t>PJ84406454</t>
  </si>
  <si>
    <t>CE0437803590</t>
  </si>
  <si>
    <t>PI-20150326B</t>
  </si>
  <si>
    <t>C218Turbo/PCI</t>
  </si>
  <si>
    <t>PO-20150326B</t>
  </si>
  <si>
    <t>PJ84406656</t>
  </si>
  <si>
    <t xml:space="preserve"> CE0437804194</t>
  </si>
  <si>
    <t>OPT8B</t>
  </si>
  <si>
    <t>PI-20150327A</t>
  </si>
  <si>
    <t>PO-20150327A</t>
  </si>
  <si>
    <t>PJ67757487</t>
  </si>
  <si>
    <t>PI-20150330A</t>
  </si>
  <si>
    <t>TCF-142-M-ST-T</t>
  </si>
  <si>
    <t>PO-20150330A</t>
  </si>
  <si>
    <t>PJ84406657</t>
  </si>
  <si>
    <t>PI-20150331A
(此單較特別，待客戶來台再付現)</t>
  </si>
  <si>
    <t>MPX-954</t>
  </si>
  <si>
    <t>Commell</t>
  </si>
  <si>
    <t>"合作金庫
5388717-302857"</t>
  </si>
  <si>
    <t>PG35721972</t>
  </si>
  <si>
    <t>不開立發票算公司費用</t>
  </si>
  <si>
    <t>PI-20150413B</t>
  </si>
  <si>
    <t>NPort 5410 w/ Adapter</t>
  </si>
  <si>
    <t xml:space="preserve">佳渝
#15040157 </t>
  </si>
  <si>
    <t>PO-20150413B</t>
  </si>
  <si>
    <t>PJ84406769</t>
  </si>
  <si>
    <t>CR0440502058</t>
  </si>
  <si>
    <t>PI-20150427A</t>
  </si>
  <si>
    <t>MOXA  CBL-M62M9x8-100 (OPT 8D)</t>
  </si>
  <si>
    <t>CE 04 378 G1881</t>
  </si>
  <si>
    <t>同0430A</t>
  </si>
  <si>
    <t>PI-20150430A</t>
  </si>
  <si>
    <t>CN2650-16</t>
  </si>
  <si>
    <t>PO-20150430A</t>
  </si>
  <si>
    <t>QC84405782</t>
  </si>
  <si>
    <t>CE 04 378 G2052</t>
  </si>
  <si>
    <t>PI-20150501A</t>
  </si>
  <si>
    <t xml:space="preserve">C218Turbo/PCI </t>
  </si>
  <si>
    <t>PO-20150501A</t>
  </si>
  <si>
    <t>QC84405656</t>
  </si>
  <si>
    <t>PI-20150514C-1</t>
  </si>
  <si>
    <t xml:space="preserve"> ICF-1150-M-ST-T</t>
  </si>
  <si>
    <t>Forster</t>
  </si>
  <si>
    <t>PO-20150514C-1</t>
  </si>
  <si>
    <t>QC84405765</t>
  </si>
  <si>
    <t>PI-20150514C-2</t>
  </si>
  <si>
    <t>PO-20150514C-2</t>
  </si>
  <si>
    <t>QC84406747</t>
  </si>
  <si>
    <t>CE 04 378 G2452</t>
  </si>
  <si>
    <t>PI-20150514C-3</t>
  </si>
  <si>
    <t>Cancelled</t>
  </si>
  <si>
    <t>PO-20150514C-3</t>
  </si>
  <si>
    <t>Elektronix NG Hitech AB</t>
  </si>
  <si>
    <t>PI-20150825A</t>
  </si>
  <si>
    <t>​​nTUF610 w/ 4GB RAM</t>
  </si>
  <si>
    <t>NEXCOM
新漢智能</t>
  </si>
  <si>
    <t>PO-20150825A</t>
  </si>
  <si>
    <t>RN35936666</t>
  </si>
  <si>
    <t>CF04550XE138</t>
  </si>
  <si>
    <t>PI-20150825A-2</t>
  </si>
  <si>
    <t>power adapter w/ european power cord for nTUF610</t>
  </si>
  <si>
    <t>PO-20150825A-2</t>
  </si>
  <si>
    <t>RN35936687</t>
  </si>
  <si>
    <t>CF04550XW535</t>
  </si>
  <si>
    <t>HDD bay tray for nTUF610</t>
  </si>
  <si>
    <t>M12 LAN Cable Kits for nTUF610</t>
  </si>
  <si>
    <t>PI-20150826A</t>
  </si>
  <si>
    <t>PO-20150826A</t>
  </si>
  <si>
    <t>RN35936665</t>
  </si>
  <si>
    <t>PO-20150826A-2</t>
  </si>
  <si>
    <t>PI-20150827A</t>
  </si>
  <si>
    <t>NiSE 3600E w/ i5-3610ME &amp; power adapter &amp; cord
(w/o DRAM)</t>
  </si>
  <si>
    <t>PO-20150827A</t>
  </si>
  <si>
    <t>RN35936678</t>
  </si>
  <si>
    <t>PI-20150908A</t>
  </si>
  <si>
    <t>PO-20150908A</t>
  </si>
  <si>
    <t>RN35936702</t>
  </si>
  <si>
    <t xml:space="preserve">CF04550YZ735 </t>
  </si>
  <si>
    <t>PI-20150908A-2</t>
  </si>
  <si>
    <t>PI-20150908A-3</t>
  </si>
  <si>
    <t>APPC 1235T-2G w/ power adapter &amp; european power cord</t>
  </si>
  <si>
    <t>PO380983</t>
  </si>
  <si>
    <t>PI-20151001A</t>
  </si>
  <si>
    <t>PO-20151001A</t>
  </si>
  <si>
    <t>RN35936740</t>
  </si>
  <si>
    <t>CF 04550 ZZ510</t>
  </si>
  <si>
    <t>PI-20151117A</t>
  </si>
  <si>
    <t xml:space="preserve">NISE3720E w/ On board CPU i7-4650U </t>
  </si>
  <si>
    <t>PO-20151117A</t>
  </si>
  <si>
    <t>SG35016749</t>
  </si>
  <si>
    <t>CF045506999X</t>
  </si>
  <si>
    <t>PI-20151224A</t>
  </si>
  <si>
    <t>7400120015x00 power adaptors</t>
  </si>
  <si>
    <t>PO-20151224A</t>
  </si>
  <si>
    <t>SG35016855</t>
  </si>
  <si>
    <t>CF045507749P</t>
  </si>
  <si>
    <t>ETOP
億特科技</t>
  </si>
  <si>
    <t>借出歸還
(預計3/6歸還，3/13收到)</t>
  </si>
  <si>
    <t>Evaluation
PI-20150107B</t>
  </si>
  <si>
    <t>PB-405B</t>
  </si>
  <si>
    <t>Foxconn
鴻海精密工業</t>
  </si>
  <si>
    <t xml:space="preserve">借出歸還
</t>
  </si>
  <si>
    <t>Evaluation
PI-20150114D</t>
  </si>
  <si>
    <t xml:space="preserve">Uport 2410  
</t>
  </si>
  <si>
    <t>借測，2/9已歸還moxa</t>
  </si>
  <si>
    <t>借測
(已歸還)</t>
  </si>
  <si>
    <t>Evaluation
PI-20150121A</t>
  </si>
  <si>
    <t>AWK-1127</t>
  </si>
  <si>
    <t>借測-5/28已歸還</t>
  </si>
  <si>
    <t xml:space="preserve">借測
(預計5/24歸還)
(Forster 6/2已取回，6/3歸還至戎克辦公室)
</t>
  </si>
  <si>
    <t>Evaluation
PI-20150326C</t>
  </si>
  <si>
    <t>NPort W2150A w/EU adapter</t>
  </si>
  <si>
    <t>借測-6/2已歸還</t>
  </si>
  <si>
    <t>H</t>
  </si>
  <si>
    <t>PI-20150415B-1</t>
  </si>
  <si>
    <t>6000.0081.01 cable assembly to .20</t>
  </si>
  <si>
    <t>Fiona</t>
  </si>
  <si>
    <t>我司付來回運費到其陽</t>
  </si>
  <si>
    <t>PO-20150415B-1Z</t>
  </si>
  <si>
    <t>玉山永安 1115-940-018828</t>
  </si>
  <si>
    <t>PG54240776</t>
  </si>
  <si>
    <t>PI-20150415B-2</t>
  </si>
  <si>
    <t>PO-20150415B-2Z</t>
  </si>
  <si>
    <t>PG54240798</t>
  </si>
  <si>
    <t>PI-20150623A-2</t>
  </si>
  <si>
    <t>H01 (golden sample )</t>
  </si>
  <si>
    <t>Santiago / Fiona</t>
  </si>
  <si>
    <t>DHL 
967886572</t>
  </si>
  <si>
    <t>EMO-20150625A</t>
  </si>
  <si>
    <t>需給予工單</t>
  </si>
  <si>
    <t>CX042230JWY3</t>
  </si>
  <si>
    <t>Helvet</t>
  </si>
  <si>
    <t>PI-20150114C</t>
  </si>
  <si>
    <t>Transcend 16GB CFast, MLC</t>
  </si>
  <si>
    <t xml:space="preserve"> DHL – our ID Nomber is: 951138041. </t>
  </si>
  <si>
    <t>transcend</t>
  </si>
  <si>
    <t>PO-20140114C</t>
  </si>
  <si>
    <t xml:space="preserve">合庫大安分行˙717324727  </t>
  </si>
  <si>
    <t>NQ66772670</t>
  </si>
  <si>
    <t>CX0422302DTZ</t>
  </si>
  <si>
    <t>Jenlogix</t>
  </si>
  <si>
    <t>PI-20150130A</t>
  </si>
  <si>
    <t>MOXA EDS-208</t>
  </si>
  <si>
    <t>Alan</t>
  </si>
  <si>
    <t>DHL 96925673</t>
  </si>
  <si>
    <t>PO-20150130A</t>
  </si>
  <si>
    <t>NQ84406534</t>
  </si>
  <si>
    <t>CX042230311Q</t>
  </si>
  <si>
    <t>PI-20151014A</t>
  </si>
  <si>
    <t>IPC­5122­00XE</t>
  </si>
  <si>
    <t>under 50kg by DHL 
above 50kg w/ Geodis</t>
  </si>
  <si>
    <t>PO-20151014A</t>
  </si>
  <si>
    <t>RQ67757550</t>
  </si>
  <si>
    <t>同X383行</t>
  </si>
  <si>
    <t>CX 042230QUMC</t>
  </si>
  <si>
    <t>AIMB­582QG2­00A1E</t>
  </si>
  <si>
    <t>SJ67755693</t>
  </si>
  <si>
    <t>ARK­6620­18ZBE</t>
  </si>
  <si>
    <t>CX042230NTHS</t>
  </si>
  <si>
    <t>AIMB­274G2­00A1E</t>
  </si>
  <si>
    <t>SJ67755355</t>
  </si>
  <si>
    <t>Lanner
立端科技</t>
  </si>
  <si>
    <t>PI-20150204A</t>
  </si>
  <si>
    <t>MD-104AT 設計費
(包含1台 MD-104)</t>
  </si>
  <si>
    <t>EMO-20150210A/B</t>
  </si>
  <si>
    <t>PI-20150319C-2</t>
  </si>
  <si>
    <t>MD-104 設計費
(包含5/13台 出1pcs MD-104)</t>
  </si>
  <si>
    <t>EMO-20150210A</t>
  </si>
  <si>
    <t>PG51988853</t>
  </si>
  <si>
    <t>PI-20150319C-1</t>
  </si>
  <si>
    <t>樣品費
(MD-104 10.4" Panel and LVDS Cable Kits)
細節見備註</t>
  </si>
  <si>
    <t>4/9 forster客戶自取</t>
  </si>
  <si>
    <t>臺灣企銀 - 中和分行
帳號 : 002 120 28665</t>
  </si>
  <si>
    <t>EMO-20150326A</t>
  </si>
  <si>
    <t>PG35093832</t>
  </si>
  <si>
    <t>Lantech
昱樺科技</t>
  </si>
  <si>
    <t>PI-20151202B</t>
  </si>
  <si>
    <t>EDS-505A</t>
  </si>
  <si>
    <t>PO-20151202B</t>
  </si>
  <si>
    <t>SJ84406656</t>
  </si>
  <si>
    <t>SG52877000</t>
  </si>
  <si>
    <t>santiago 議32.8</t>
  </si>
  <si>
    <t>12/10隨貨</t>
  </si>
  <si>
    <t>PI-20150304A</t>
  </si>
  <si>
    <t>Moxa nPort 5450w/o adapter</t>
  </si>
  <si>
    <t>Unigens TNT</t>
  </si>
  <si>
    <t>PO-20150304A</t>
  </si>
  <si>
    <t>PJ84405637</t>
  </si>
  <si>
    <t>CR04376H6491</t>
  </si>
  <si>
    <t>PO15006</t>
  </si>
  <si>
    <t>PI-20150824A</t>
  </si>
  <si>
    <t xml:space="preserve">Schenker </t>
  </si>
  <si>
    <t>PO-20150824A</t>
  </si>
  <si>
    <t>RQ84405459</t>
  </si>
  <si>
    <t>CW 04013 01024</t>
  </si>
  <si>
    <t>PI-20151119A</t>
  </si>
  <si>
    <t>I330EAC-201</t>
  </si>
  <si>
    <t>Winmate融程</t>
  </si>
  <si>
    <t>PO-20151119A</t>
  </si>
  <si>
    <t>帳號：59102002013368
收款銀行：上海商業儲蓄銀行二重分行</t>
  </si>
  <si>
    <t>SJ80613533</t>
  </si>
  <si>
    <t>CW0401305135</t>
  </si>
  <si>
    <t>R15L600-MRM2</t>
  </si>
  <si>
    <t>同X428</t>
  </si>
  <si>
    <t>PO-P-I140180</t>
  </si>
  <si>
    <t>PI-20150108A</t>
  </si>
  <si>
    <t>NPort 5130A</t>
  </si>
  <si>
    <t>DHL A/C NO:964096297.</t>
  </si>
  <si>
    <t>PO-20150108A</t>
  </si>
  <si>
    <t>NQ84405652</t>
  </si>
  <si>
    <t>04223ZZZZZ</t>
  </si>
  <si>
    <t>發票合併一張(PI-20150108A)</t>
  </si>
  <si>
    <t>PO-P-I150055</t>
  </si>
  <si>
    <t>PI-20150710A</t>
  </si>
  <si>
    <t>PO-20150710A</t>
  </si>
  <si>
    <t>QW84405743</t>
  </si>
  <si>
    <t>CX042230F2Q2</t>
  </si>
  <si>
    <t xml:space="preserve">PO # PO-P-I150115 </t>
  </si>
  <si>
    <t>PI-20151006B</t>
  </si>
  <si>
    <t>PO-20151006B</t>
  </si>
  <si>
    <t>RQ84406612</t>
  </si>
  <si>
    <t>CX042230MP3B</t>
  </si>
  <si>
    <t>PO-P-I150150</t>
  </si>
  <si>
    <t>PI-20151210B</t>
  </si>
  <si>
    <t>DHL A/C NO:964096297</t>
  </si>
  <si>
    <t>PO-20151210B</t>
  </si>
  <si>
    <t>SJ84406770</t>
  </si>
  <si>
    <t>CX 042230T3XR</t>
  </si>
  <si>
    <t xml:space="preserve">Masibus Automation </t>
  </si>
  <si>
    <t>PO-P-I140197</t>
  </si>
  <si>
    <t>PI-20150205A</t>
  </si>
  <si>
    <t>PO-20150205A</t>
  </si>
  <si>
    <t>NQ84406676</t>
  </si>
  <si>
    <t>CX0422303JJ2</t>
  </si>
  <si>
    <t xml:space="preserve">             </t>
  </si>
  <si>
    <t>PI-20150204B</t>
  </si>
  <si>
    <t xml:space="preserve">CP-132IS </t>
  </si>
  <si>
    <t xml:space="preserve">Fiona </t>
  </si>
  <si>
    <t>TNT002004901
 Economy Express</t>
  </si>
  <si>
    <t>PO-20150204B</t>
  </si>
  <si>
    <t>NQ84406584</t>
  </si>
  <si>
    <t>CG04376G1233</t>
  </si>
  <si>
    <t xml:space="preserve">CB15-117 </t>
  </si>
  <si>
    <t>PI-20150317A</t>
  </si>
  <si>
    <t>Q7-BT1-2G-8G-ER</t>
  </si>
  <si>
    <t>TNT002004901 account by Express</t>
  </si>
  <si>
    <t>PO-20150317A</t>
  </si>
  <si>
    <t>QC89077703</t>
  </si>
  <si>
    <t>CR/ /04/376/KH269</t>
  </si>
  <si>
    <t>同0401A</t>
  </si>
  <si>
    <t>Q7-BT2-4G-8G-ER</t>
  </si>
  <si>
    <t xml:space="preserve">FIona </t>
  </si>
  <si>
    <t>Q7-BT-HS</t>
  </si>
  <si>
    <t xml:space="preserve">CB15-112 </t>
  </si>
  <si>
    <t>PI-20150317B</t>
  </si>
  <si>
    <t>CP-132IS</t>
  </si>
  <si>
    <t>PO-20150317B</t>
  </si>
  <si>
    <t>PJ84406558</t>
  </si>
  <si>
    <t>CG04376L2720</t>
  </si>
  <si>
    <t>CB15-136</t>
  </si>
  <si>
    <t>PI-20150317C</t>
  </si>
  <si>
    <t>VBOX-3110</t>
  </si>
  <si>
    <t xml:space="preserve"> pick up number 946631 BCN
GD327632270 
</t>
  </si>
  <si>
    <t>Sintrones
鑫創</t>
  </si>
  <si>
    <t>PO-20150317C</t>
  </si>
  <si>
    <t>PG49652155</t>
  </si>
  <si>
    <t>CG04376L7723</t>
  </si>
  <si>
    <t xml:space="preserve">CB15-098 </t>
  </si>
  <si>
    <t>PI-20150319B</t>
  </si>
  <si>
    <t>TF-GENE-CV05-A10-13</t>
  </si>
  <si>
    <t>AAEON
研揚</t>
  </si>
  <si>
    <t>PO-20150319B</t>
  </si>
  <si>
    <t>玉山
0901940-009899</t>
  </si>
  <si>
    <t>PG36029049</t>
  </si>
  <si>
    <t>170204010R</t>
  </si>
  <si>
    <t xml:space="preserve">CB15-157 </t>
  </si>
  <si>
    <t>PI-20150320A</t>
  </si>
  <si>
    <t>VDM-102W with 
A cable 5 m</t>
  </si>
  <si>
    <t>PO-20150320A</t>
  </si>
  <si>
    <t>同前</t>
  </si>
  <si>
    <t xml:space="preserve">CB15-178 </t>
  </si>
  <si>
    <t>PI-20150401A</t>
  </si>
  <si>
    <t>IPC924-212-FL</t>
  </si>
  <si>
    <t>PO-20150401A-1</t>
  </si>
  <si>
    <t>PJ84468808</t>
  </si>
  <si>
    <t>CG04376M1876</t>
  </si>
  <si>
    <t>PO-20150401A-3</t>
  </si>
  <si>
    <t>PJ84406655</t>
  </si>
  <si>
    <t>CB15-178</t>
  </si>
  <si>
    <t>Transcend
(創見)</t>
  </si>
  <si>
    <t>PO-20150401A-2</t>
  </si>
  <si>
    <t>PJ66779341</t>
  </si>
  <si>
    <t>Unigen'S Carlo</t>
  </si>
  <si>
    <t>PO-20150401Z</t>
  </si>
  <si>
    <t>要付給Carlo 的組裝費</t>
  </si>
  <si>
    <t xml:space="preserve">CB15-180 </t>
  </si>
  <si>
    <t>PI-20150401B</t>
  </si>
  <si>
    <t>VDB-800SG</t>
  </si>
  <si>
    <t xml:space="preserve">CB15-198 </t>
  </si>
  <si>
    <t>PI-20150410A</t>
  </si>
  <si>
    <t>PO-20150410A</t>
  </si>
  <si>
    <t>PJ84468809</t>
  </si>
  <si>
    <t>CB15-203</t>
  </si>
  <si>
    <t>PI-20150413A</t>
  </si>
  <si>
    <t>VDB-800S</t>
  </si>
  <si>
    <t>PO-20150413A</t>
  </si>
  <si>
    <t>CB15-279</t>
  </si>
  <si>
    <t>PI-20150514D</t>
  </si>
  <si>
    <t>PO-20150514D</t>
  </si>
  <si>
    <t>QC84405758</t>
  </si>
  <si>
    <t xml:space="preserve">CB15-290 </t>
  </si>
  <si>
    <t>PI-20150520A</t>
  </si>
  <si>
    <t>D-Link ™ DFE-530TX</t>
  </si>
  <si>
    <t>順發</t>
  </si>
  <si>
    <t>第一銀行 高雄分行   701-10-072996</t>
  </si>
  <si>
    <t>VV-21104724</t>
  </si>
  <si>
    <t>RMA-20150519A</t>
  </si>
  <si>
    <t>PI-20150525A</t>
  </si>
  <si>
    <t>鑫創</t>
  </si>
  <si>
    <t>CR/04/376/K1655</t>
  </si>
  <si>
    <t>CB15-412</t>
  </si>
  <si>
    <t>PI-20150713B</t>
  </si>
  <si>
    <t xml:space="preserve"> TNT account 002004901</t>
  </si>
  <si>
    <t>PO-20150713B</t>
  </si>
  <si>
    <t>RQ95189506</t>
  </si>
  <si>
    <t>CG/ /04/376/U8038</t>
  </si>
  <si>
    <t>CB15-419</t>
  </si>
  <si>
    <t>PI-20150715C</t>
  </si>
  <si>
    <t>SD-150B-24</t>
  </si>
  <si>
    <t>PO-20150715C</t>
  </si>
  <si>
    <t>RQ95189046</t>
  </si>
  <si>
    <t>CG 04376U4637</t>
  </si>
  <si>
    <t>CB15-538</t>
  </si>
  <si>
    <t>PI-20150916B</t>
  </si>
  <si>
    <t>PO-20150916B</t>
  </si>
  <si>
    <t>RQ84405737</t>
  </si>
  <si>
    <t>CG 04376V8138</t>
  </si>
  <si>
    <t>PI-20150922A</t>
  </si>
  <si>
    <t>CH101ILHL-CT1</t>
  </si>
  <si>
    <t>Chefree齊飛</t>
  </si>
  <si>
    <t>PO-20150922A</t>
  </si>
  <si>
    <t>合作金庫銀行 信義分行
 0833-717-206551</t>
  </si>
  <si>
    <t>RN48575604</t>
  </si>
  <si>
    <t>C46KA483NIH KITS-F</t>
  </si>
  <si>
    <t>CB15-616</t>
  </si>
  <si>
    <t>PI-20151020B</t>
  </si>
  <si>
    <t>EmETXe-i250c-D25</t>
  </si>
  <si>
    <t>Arbor磐儀</t>
  </si>
  <si>
    <t>合庫南勢角分行
0720717117266</t>
  </si>
  <si>
    <t>RN35984967</t>
  </si>
  <si>
    <t>CR04376X4829</t>
  </si>
  <si>
    <t>HS-250C-F2</t>
  </si>
  <si>
    <t>15/0380M</t>
  </si>
  <si>
    <t>PI-20150810A</t>
  </si>
  <si>
    <t>PCI-1761-BE</t>
  </si>
  <si>
    <t>PO-20150810A</t>
  </si>
  <si>
    <t>QW67759029</t>
  </si>
  <si>
    <t>CX042230HZ1R</t>
  </si>
  <si>
    <t>15/0383M</t>
  </si>
  <si>
    <t>PI-20150811A</t>
  </si>
  <si>
    <t>EKI-1526-BE</t>
  </si>
  <si>
    <t>PO-20150811A</t>
  </si>
  <si>
    <t>QW67759030</t>
  </si>
  <si>
    <t>15/0394M</t>
  </si>
  <si>
    <t>PI-20150819A</t>
  </si>
  <si>
    <t>PCI-1620A-CE</t>
  </si>
  <si>
    <t>PO-20150819A</t>
  </si>
  <si>
    <t>QW67758939</t>
  </si>
  <si>
    <t xml:space="preserve">15/0459M </t>
  </si>
  <si>
    <t>PI-20150922B</t>
  </si>
  <si>
    <t xml:space="preserve">IPPC-6152A-R2AE </t>
  </si>
  <si>
    <t>advantech
(內湖)</t>
  </si>
  <si>
    <t>PO-20150922B</t>
  </si>
  <si>
    <t>RQ67755808</t>
  </si>
  <si>
    <t>CX042230LE89</t>
  </si>
  <si>
    <t xml:space="preserve">15/0504M </t>
  </si>
  <si>
    <t>PI-20151016A</t>
  </si>
  <si>
    <t>FPM-7211W-P3AE</t>
  </si>
  <si>
    <t>PO-20151016A</t>
  </si>
  <si>
    <t>RQ67759136</t>
  </si>
  <si>
    <t>CX042230NTEF</t>
  </si>
  <si>
    <t>PI-20151120B</t>
  </si>
  <si>
    <t xml:space="preserve">PCIe-9852
</t>
  </si>
  <si>
    <t>SJ89077935</t>
  </si>
  <si>
    <t>CX 042230RSNF</t>
  </si>
  <si>
    <t>SJ84406517</t>
  </si>
  <si>
    <t>advantech研華</t>
  </si>
  <si>
    <t xml:space="preserve">PO-20151120B-3
</t>
  </si>
  <si>
    <t>SJ67756643</t>
  </si>
  <si>
    <t>PI-20141107D</t>
  </si>
  <si>
    <t>Forster/Karen</t>
  </si>
  <si>
    <t>PO-20141107D</t>
  </si>
  <si>
    <t>NQ84405761</t>
  </si>
  <si>
    <t>NN51829264
修改為NN51829266</t>
  </si>
  <si>
    <t>(1/21央行收盤@31.553)</t>
  </si>
  <si>
    <t>170457
修改為162341</t>
  </si>
  <si>
    <t>2015/1/27掛號寄出
發票開錯2015/2/4掛號寄出</t>
  </si>
  <si>
    <t>331-15010171
借轉銷</t>
  </si>
  <si>
    <t>PI-20150115F</t>
  </si>
  <si>
    <t>NPort W2150A-EU BAND w/ CN Adapter</t>
  </si>
  <si>
    <t>PO-20150115F</t>
  </si>
  <si>
    <t>NQ84405753</t>
  </si>
  <si>
    <t>NN51829258</t>
  </si>
  <si>
    <t>2015/1/20業務親送</t>
  </si>
  <si>
    <t>330-15021178</t>
  </si>
  <si>
    <t>PI-20150126B</t>
  </si>
  <si>
    <t>PO-20150126B</t>
  </si>
  <si>
    <t>NQ84406727</t>
  </si>
  <si>
    <t>NN51829314</t>
  </si>
  <si>
    <t>2015/2/26業務送</t>
  </si>
  <si>
    <t>330-15020521</t>
  </si>
  <si>
    <t>PI-20150210A</t>
  </si>
  <si>
    <t>PO-20150210A</t>
  </si>
  <si>
    <t>QC84405525</t>
  </si>
  <si>
    <t>QA52291705</t>
  </si>
  <si>
    <t>5/5央行 30.781</t>
  </si>
  <si>
    <t>5/8掛號</t>
  </si>
  <si>
    <t>330-15030165</t>
  </si>
  <si>
    <t>PI-20150305A</t>
  </si>
  <si>
    <t>PO-20150305A</t>
  </si>
  <si>
    <t>PJ84405814</t>
  </si>
  <si>
    <t>PG51988822</t>
  </si>
  <si>
    <t>2015/3/24台銀即期買+賣/2:@31.34</t>
  </si>
  <si>
    <t>2015/3/24業務送出</t>
  </si>
  <si>
    <t xml:space="preserve">330-15031532 </t>
  </si>
  <si>
    <t>PI-20150310B</t>
  </si>
  <si>
    <t>NPort 5650I-8-DT/EU</t>
  </si>
  <si>
    <t>PO-20150310B-1</t>
  </si>
  <si>
    <t>PJ84405817</t>
  </si>
  <si>
    <t>PG51988827</t>
  </si>
  <si>
    <t>@31.30</t>
  </si>
  <si>
    <t>2015/3/26機車快遞寄出</t>
  </si>
  <si>
    <t>PO-20150310B-2</t>
  </si>
  <si>
    <t>PJ84405818</t>
  </si>
  <si>
    <t>330-15031385</t>
  </si>
  <si>
    <t>PI-20150324A-1</t>
  </si>
  <si>
    <t>PO-20150324A-1</t>
  </si>
  <si>
    <t>QC84405846</t>
  </si>
  <si>
    <t>QA52291717</t>
  </si>
  <si>
    <t>5/27 央行30.725</t>
  </si>
  <si>
    <t>5/28 掛號寄出</t>
  </si>
  <si>
    <t>PI-20150324A-2</t>
  </si>
  <si>
    <t>PO-20150324A-2</t>
  </si>
  <si>
    <t>QW84405513</t>
  </si>
  <si>
    <t>QU52575305</t>
  </si>
  <si>
    <t>7/1 央行 31.1</t>
  </si>
  <si>
    <t>7/2掛號</t>
  </si>
  <si>
    <t>330-15041869 
330-15041868</t>
  </si>
  <si>
    <t>PI-20150421A</t>
  </si>
  <si>
    <t>PO-20150421A-1</t>
  </si>
  <si>
    <t>QC84405546</t>
  </si>
  <si>
    <t>QA52291711</t>
  </si>
  <si>
    <t>5/6央行匯率*30.753</t>
  </si>
  <si>
    <t>330-15041868</t>
  </si>
  <si>
    <t>PI-20150421B</t>
  </si>
  <si>
    <t>PO-20150421B</t>
  </si>
  <si>
    <t>QC84405738</t>
  </si>
  <si>
    <t>QA52291713</t>
  </si>
  <si>
    <t>5/20 央行匯率30.682</t>
  </si>
  <si>
    <t>5/22掛號</t>
  </si>
  <si>
    <t>330-15041869</t>
  </si>
  <si>
    <t>PI-20150501B</t>
  </si>
  <si>
    <t>PO-20150501B</t>
  </si>
  <si>
    <t>RQ84405720</t>
  </si>
  <si>
    <t>RN52582104</t>
  </si>
  <si>
    <t>9/17央行收盤32.662</t>
  </si>
  <si>
    <t>331-15070004</t>
  </si>
  <si>
    <t>PI-20150624A</t>
  </si>
  <si>
    <t>SOM-DB4700X-00A1E</t>
  </si>
  <si>
    <t>NEXCOM (NIS)
新漢智能</t>
  </si>
  <si>
    <t>330-15020009
借轉銷</t>
  </si>
  <si>
    <t>Evaluation
PI-20150120D-R</t>
  </si>
  <si>
    <t>BPC-100S1A</t>
  </si>
  <si>
    <t>客戶自取</t>
  </si>
  <si>
    <t>MO-20150120A
(MO-20141031A + 
EMO-20140817A)</t>
  </si>
  <si>
    <t>Santiago: 工單已付款</t>
  </si>
  <si>
    <t>NN51829304</t>
  </si>
  <si>
    <t>2/10寄出掛號</t>
  </si>
  <si>
    <t>TS32GSSD370</t>
  </si>
  <si>
    <t>transcend(創見)</t>
  </si>
  <si>
    <t>EMO-20140817A
(NQ66770604)</t>
  </si>
  <si>
    <t>借出歸還
(4/24已歸還，4/27送到辦公室)</t>
  </si>
  <si>
    <t>Evaluation
PI-20150202A</t>
  </si>
  <si>
    <t>EMO-20150202A</t>
  </si>
  <si>
    <t>PH- 0119/15UG</t>
  </si>
  <si>
    <t>PI-20150120A</t>
  </si>
  <si>
    <t>CA-104-T</t>
  </si>
  <si>
    <t>PO-20150120A</t>
  </si>
  <si>
    <t>NQ84406726</t>
  </si>
  <si>
    <t>NN51829316</t>
  </si>
  <si>
    <t>@31.345</t>
  </si>
  <si>
    <t>2015/2/26隨貨寄出</t>
  </si>
  <si>
    <t>CBL-F40M9X4-50</t>
  </si>
  <si>
    <t>NQ84406677</t>
  </si>
  <si>
    <t>同PI同發票</t>
  </si>
  <si>
    <t xml:space="preserve">(276)150122u5831u50F9 </t>
  </si>
  <si>
    <t>華南銀行代號008
帳號: 183-10-0007773</t>
  </si>
  <si>
    <t>NN36497257</t>
  </si>
  <si>
    <t>PH-689CTB</t>
  </si>
  <si>
    <t>PI-20150206A-1</t>
  </si>
  <si>
    <t>PO-20150206A-1</t>
  </si>
  <si>
    <t>NQ84406725</t>
  </si>
  <si>
    <t>NN51829317</t>
  </si>
  <si>
    <t>PI-20150206A-2</t>
  </si>
  <si>
    <t>PO-20150206A-2</t>
  </si>
  <si>
    <t>NQ84406679</t>
  </si>
  <si>
    <t>NN51829309</t>
  </si>
  <si>
    <t>@31.50</t>
  </si>
  <si>
    <t>2/13/2015寄出掛號</t>
  </si>
  <si>
    <t>PH-150727CTUG</t>
  </si>
  <si>
    <t>PI-20150728A</t>
  </si>
  <si>
    <t>E2210</t>
  </si>
  <si>
    <t>PO-20150728A</t>
  </si>
  <si>
    <t>QW84406451</t>
  </si>
  <si>
    <t>QU52575350</t>
  </si>
  <si>
    <t>8/7掛號</t>
  </si>
  <si>
    <t>PH-151020EXUG</t>
  </si>
  <si>
    <t>PI-20151020A</t>
  </si>
  <si>
    <t>PO-20151020A</t>
  </si>
  <si>
    <t>RQ84406861</t>
  </si>
  <si>
    <t>RN52582157</t>
  </si>
  <si>
    <t>1102-AA</t>
  </si>
  <si>
    <t>PI-20151102A-1</t>
  </si>
  <si>
    <t>SJ84405878</t>
  </si>
  <si>
    <t>SG52876952</t>
  </si>
  <si>
    <t>11/27 台銀平均32.61</t>
  </si>
  <si>
    <t>2015/12/1掛號</t>
  </si>
  <si>
    <t>PI-20151102A</t>
  </si>
  <si>
    <t xml:space="preserve">CA-104T </t>
  </si>
  <si>
    <t>PO-20151102A-2</t>
  </si>
  <si>
    <t>SJ84406931</t>
  </si>
  <si>
    <t>SG52877003</t>
  </si>
  <si>
    <t>12/28台銀平均</t>
  </si>
  <si>
    <t>12/30掛號</t>
  </si>
  <si>
    <t xml:space="preserve">CBL-F40M9X4-50 </t>
  </si>
  <si>
    <t>PO-20151102A-3</t>
  </si>
  <si>
    <t>SK11552590</t>
  </si>
  <si>
    <t>SG52877001</t>
  </si>
  <si>
    <t>12/9台銀平均32.815</t>
  </si>
  <si>
    <t>PI-20151006A</t>
  </si>
  <si>
    <t>Santiago/ Forster</t>
  </si>
  <si>
    <t>RQ84406750</t>
  </si>
  <si>
    <t>RN52582156</t>
  </si>
  <si>
    <t>客戶 10/21 32.24</t>
  </si>
  <si>
    <t>10/22隨貨</t>
  </si>
  <si>
    <t>SFP-1GLXLC</t>
  </si>
  <si>
    <t>PO-20151006A</t>
  </si>
  <si>
    <t>RR14324372</t>
  </si>
  <si>
    <t>STORM BET SRL</t>
  </si>
  <si>
    <t>PI-20151029A</t>
  </si>
  <si>
    <t>SMIB NRE charge</t>
  </si>
  <si>
    <t>EMO-20151029A</t>
  </si>
  <si>
    <t>CG 04376CA052</t>
  </si>
  <si>
    <t>T-Pole</t>
  </si>
  <si>
    <t>PI-20150212B-1</t>
  </si>
  <si>
    <t>IB970RF</t>
  </si>
  <si>
    <t>i-base 廣積</t>
  </si>
  <si>
    <t>PO-20150212B-1</t>
  </si>
  <si>
    <t>PJ49360966</t>
  </si>
  <si>
    <t>CG04376K4442</t>
  </si>
  <si>
    <t>PI-20150212B-2</t>
  </si>
  <si>
    <t>TNT EXPRESS Service 182056
#373466833</t>
  </si>
  <si>
    <t>PO-20150212B-2</t>
  </si>
  <si>
    <t>PJ49361080</t>
  </si>
  <si>
    <t>CR04376MO593</t>
  </si>
  <si>
    <t>PI-20150325B</t>
  </si>
  <si>
    <t>PO-20150325B</t>
  </si>
  <si>
    <t>PJ72856509</t>
  </si>
  <si>
    <t>PI-20150416A</t>
  </si>
  <si>
    <t>PO-20150416A-1</t>
  </si>
  <si>
    <t>"華南銀行
137100-006788"</t>
  </si>
  <si>
    <t>QC49360902</t>
  </si>
  <si>
    <t>CG04376M7784</t>
  </si>
  <si>
    <t>FWUNI-029</t>
  </si>
  <si>
    <t>PO-20150416A-2</t>
  </si>
  <si>
    <t>PG54240799</t>
  </si>
  <si>
    <t>PI-20150423A</t>
  </si>
  <si>
    <t>Toshiba HDD 2.5" IDE 80G, 4200, 24/7, WT</t>
  </si>
  <si>
    <t>PO-20150423A</t>
  </si>
  <si>
    <t>兆豐新店-活存021798 A/C :04609021798</t>
  </si>
  <si>
    <t>同前QA36248906</t>
  </si>
  <si>
    <t>PI-20150514B</t>
  </si>
  <si>
    <t>PO-20150514B</t>
  </si>
  <si>
    <t>QC49360955</t>
  </si>
  <si>
    <t>CG/04/376/N8295</t>
  </si>
  <si>
    <t>PI-20150707A</t>
  </si>
  <si>
    <t xml:space="preserve">UL301 </t>
  </si>
  <si>
    <t>盟訊</t>
  </si>
  <si>
    <t>PO-20150707A</t>
  </si>
  <si>
    <t>台灣土地銀行-東台北分行
099-001-00136-8
0050991</t>
  </si>
  <si>
    <t>QW68707560</t>
  </si>
  <si>
    <t>CG/ /04/376/R8944</t>
  </si>
  <si>
    <t>PI-20150713A</t>
  </si>
  <si>
    <t>Toll Global Forwarding</t>
  </si>
  <si>
    <t>PO-20150713A</t>
  </si>
  <si>
    <t>QW72856440</t>
  </si>
  <si>
    <t>AABC04194G2233</t>
  </si>
  <si>
    <t>PI-20150724A</t>
  </si>
  <si>
    <t>AS-25C-RS</t>
  </si>
  <si>
    <t>PO-20150724A</t>
  </si>
  <si>
    <t>QW72856493</t>
  </si>
  <si>
    <t>CG/ /04/376/U3110</t>
  </si>
  <si>
    <t>PI-20150727A</t>
  </si>
  <si>
    <t>PO-20150727A</t>
  </si>
  <si>
    <t>QW49361193</t>
  </si>
  <si>
    <t>PI-20150806B</t>
  </si>
  <si>
    <t>TL-WN781ND</t>
  </si>
  <si>
    <t>yahoo 拍賣</t>
  </si>
  <si>
    <t>7-11門市</t>
  </si>
  <si>
    <t>7-11收據</t>
  </si>
  <si>
    <t>PI-20150908B</t>
  </si>
  <si>
    <t xml:space="preserve">PCI-8S-RS-R40 </t>
  </si>
  <si>
    <t>PO-20150908B</t>
  </si>
  <si>
    <t>RQ72856424</t>
  </si>
  <si>
    <t>PI-20151022A</t>
  </si>
  <si>
    <t>PO-20151022A</t>
  </si>
  <si>
    <t>RQ72856514</t>
  </si>
  <si>
    <t>CG04376X4909</t>
  </si>
  <si>
    <t>PI-20151027A</t>
  </si>
  <si>
    <t>CRK15102201 (LVDS)</t>
  </si>
  <si>
    <t>free</t>
  </si>
  <si>
    <t>CX 042230RNYQ</t>
  </si>
  <si>
    <t>CRK15102202 (LVDS)</t>
  </si>
  <si>
    <t>PI-20151030A</t>
  </si>
  <si>
    <t>PO-20151030A</t>
  </si>
  <si>
    <t>SJ49360952</t>
  </si>
  <si>
    <t>CG 04376CE628</t>
  </si>
  <si>
    <t>PI-20151106A</t>
  </si>
  <si>
    <t>TNT 182056 (EXPRESS)</t>
  </si>
  <si>
    <t>香港商華展</t>
  </si>
  <si>
    <t>PO-20151106A</t>
  </si>
  <si>
    <t>澳盛(台灣)ACCOUNT 000700481198</t>
  </si>
  <si>
    <t>SG49963211</t>
  </si>
  <si>
    <t>CR 04376Z5674</t>
  </si>
  <si>
    <t>亞驪ARISTOTLE</t>
  </si>
  <si>
    <t>BTC013-79B-500
(4G &amp; GPS Cable)</t>
  </si>
  <si>
    <t>PI-20151111A</t>
  </si>
  <si>
    <t>SG35055792</t>
  </si>
  <si>
    <t>RFA-01-GPS-29-1.6M 
(Passive GPS)</t>
  </si>
  <si>
    <t>免費樣品</t>
  </si>
  <si>
    <t>PI-20151119B</t>
  </si>
  <si>
    <t>RFA-02-3-C52M3-B70
(WiFi Antenna)</t>
  </si>
  <si>
    <t>PO-20151119B</t>
  </si>
  <si>
    <t>SG35055834</t>
  </si>
  <si>
    <r>
      <rPr>
        <rFont val="arial,sans,sans-serif"/>
        <color theme="1"/>
        <sz val="10.0"/>
      </rPr>
      <t xml:space="preserve">BTC013-1-79-500
</t>
    </r>
    <r>
      <rPr>
        <rFont val="arial,sans,sans-serif"/>
        <b/>
        <color rgb="FF0000FF"/>
        <sz val="10.0"/>
      </rPr>
      <t>(WiFi Cable)</t>
    </r>
  </si>
  <si>
    <t>同X435</t>
  </si>
  <si>
    <t>PI-20151120D</t>
  </si>
  <si>
    <t>PO-20151120D</t>
  </si>
  <si>
    <t>PI-20151127A</t>
  </si>
  <si>
    <t>SG49963250</t>
  </si>
  <si>
    <t>SG35055848</t>
  </si>
  <si>
    <t>同X442</t>
  </si>
  <si>
    <t>PI-20151201A</t>
  </si>
  <si>
    <t>PO-20151201A</t>
  </si>
  <si>
    <t>SG35055849</t>
  </si>
  <si>
    <t>PI-20150612A</t>
  </si>
  <si>
    <t>PO-20150612A</t>
  </si>
  <si>
    <t>QW84405515</t>
  </si>
  <si>
    <t>QU52575301</t>
  </si>
  <si>
    <t>santiago 6/23議30.7</t>
  </si>
  <si>
    <t>PI-20150612A-1</t>
  </si>
  <si>
    <t>PI-20150617A</t>
  </si>
  <si>
    <t>PO-20150617A-2</t>
  </si>
  <si>
    <t>PO-20150617A-1</t>
  </si>
  <si>
    <t>PI-20150714A</t>
  </si>
  <si>
    <t>PO-20150714A</t>
  </si>
  <si>
    <t>QW84406546</t>
  </si>
  <si>
    <t>QU52575351</t>
  </si>
  <si>
    <t>santiago議@31.3</t>
  </si>
  <si>
    <t>PI-20150721A</t>
  </si>
  <si>
    <t>PO-20150721A</t>
  </si>
  <si>
    <t>QW84405878</t>
  </si>
  <si>
    <t>QU52575317</t>
  </si>
  <si>
    <t>7/30匯率 31.3</t>
  </si>
  <si>
    <t>8/3 掛號</t>
  </si>
  <si>
    <t>PI-20150721B</t>
  </si>
  <si>
    <t>Exchange re-work charge
(維修費)</t>
  </si>
  <si>
    <t>不用付錢</t>
  </si>
  <si>
    <t>PI-20150817A</t>
  </si>
  <si>
    <t>RQ84405687</t>
  </si>
  <si>
    <t>RN52582103</t>
  </si>
  <si>
    <t>santiago議@32.5</t>
  </si>
  <si>
    <t>9/17投客戶信箱</t>
  </si>
  <si>
    <t>PI-20151105A</t>
  </si>
  <si>
    <t>SJ84405730</t>
  </si>
  <si>
    <t>SG52876951</t>
  </si>
  <si>
    <t>11/20投信箱</t>
  </si>
  <si>
    <t>Bracket
1490914080070</t>
  </si>
  <si>
    <t xml:space="preserve">Bracket
1490914020024 </t>
  </si>
  <si>
    <t>PI-20151127C</t>
  </si>
  <si>
    <t>SJ84406807</t>
  </si>
  <si>
    <t>SG52877002</t>
  </si>
  <si>
    <t>santiago 議32.77</t>
  </si>
  <si>
    <t>12/18投客戶信箱</t>
  </si>
  <si>
    <t>PI-20151207A</t>
  </si>
  <si>
    <t>SJ84406808</t>
  </si>
  <si>
    <t>同AB447</t>
  </si>
  <si>
    <t>P151030NP0</t>
  </si>
  <si>
    <t>PI-20151030B</t>
  </si>
  <si>
    <t>PO-20151030B</t>
  </si>
  <si>
    <t>SJ89077768</t>
  </si>
  <si>
    <t>CX 042230RGNG
提單:1189767412</t>
  </si>
  <si>
    <t>30-US-03-00003
(XP Pro License)</t>
  </si>
  <si>
    <t>advantech研華(直銷Henry)</t>
  </si>
  <si>
    <t>PO-20151030B-2</t>
  </si>
  <si>
    <t>SJ67755764</t>
  </si>
  <si>
    <t>Freight 提單:1189767412
(16%重量)</t>
  </si>
  <si>
    <t xml:space="preserve">P151112NP0 </t>
  </si>
  <si>
    <t>PI-20151112A</t>
  </si>
  <si>
    <t>PO-20151112A</t>
  </si>
  <si>
    <t>SJ89077925</t>
  </si>
  <si>
    <t>同X414</t>
  </si>
  <si>
    <t>源達科技</t>
  </si>
  <si>
    <t>PO-20151112A-2</t>
  </si>
  <si>
    <t>第一商業銀行:忠孝路分行
帳號:10310032763</t>
  </si>
  <si>
    <t>SH15935576</t>
  </si>
  <si>
    <t>同X417</t>
  </si>
  <si>
    <t>Unigens' Leon</t>
  </si>
  <si>
    <t>Freight 提單:1189767412  
(60%重量)</t>
  </si>
  <si>
    <t>同X388</t>
  </si>
  <si>
    <t>同AB388</t>
  </si>
  <si>
    <t>PI-20151112A-1</t>
  </si>
  <si>
    <t>CX 042230S3K5
提單:6921329516</t>
  </si>
  <si>
    <t>同X419</t>
  </si>
  <si>
    <t>Freight
提單:6921329516</t>
  </si>
  <si>
    <t>P151118NP0</t>
  </si>
  <si>
    <t>PI-20151118A</t>
  </si>
  <si>
    <t>PO-20151118A</t>
  </si>
  <si>
    <t>SJ89077926</t>
  </si>
  <si>
    <t>FreightFreight 提單:1189767412
(20.6%重量)</t>
  </si>
  <si>
    <t>P151120NP0</t>
  </si>
  <si>
    <t>PI-20151120A</t>
  </si>
  <si>
    <t>ECS7000-2R</t>
  </si>
  <si>
    <t>PO-20151120A</t>
  </si>
  <si>
    <t>SG38628973</t>
  </si>
  <si>
    <t>世平
11/27 交Vecow組裝</t>
  </si>
  <si>
    <t>PO-20151120A-2</t>
  </si>
  <si>
    <t>彰化商業銀行南港分行 
980103-03112700</t>
  </si>
  <si>
    <t>SJ48663383</t>
  </si>
  <si>
    <t>創見
11/27交Vecow組裝</t>
  </si>
  <si>
    <t>PO-20151120A-3</t>
  </si>
  <si>
    <t>合庫大安分行˙760717324727</t>
  </si>
  <si>
    <t>SJ66772653</t>
  </si>
  <si>
    <t>同X437</t>
  </si>
  <si>
    <t>Freight 提單:1189767412(%3.4重量)</t>
  </si>
  <si>
    <t>PI-20150626A
(佣金已付)</t>
  </si>
  <si>
    <t>QW84406653</t>
  </si>
  <si>
    <t>AA04436Y2416</t>
  </si>
  <si>
    <t>V-12/16收到14226</t>
  </si>
  <si>
    <t>PI-20150626B
(佣金已付)</t>
  </si>
  <si>
    <t>NPort W2150A-EU Band 
w/ Cn Adapter V1.0</t>
  </si>
  <si>
    <t>QW84406650</t>
  </si>
  <si>
    <t>PI-20150720A
(佣金已付)</t>
  </si>
  <si>
    <t>QW84406649</t>
  </si>
  <si>
    <t>DT151130-002</t>
  </si>
  <si>
    <t>PI-20151130A
(佣金已付)</t>
  </si>
  <si>
    <t>SJ84406768</t>
  </si>
  <si>
    <t>CA0452002318</t>
  </si>
  <si>
    <t>WGSC</t>
  </si>
  <si>
    <t>借測</t>
  </si>
  <si>
    <t>20150519Z</t>
  </si>
  <si>
    <t xml:space="preserve">UMB-210G1 </t>
  </si>
  <si>
    <t>Dk kit (memory/SSD)</t>
  </si>
  <si>
    <t>PO29390</t>
  </si>
  <si>
    <t>PI-20141127C</t>
  </si>
  <si>
    <t>PCL-725-AE</t>
  </si>
  <si>
    <t>PO-20141127C</t>
  </si>
  <si>
    <t>NQ67756276</t>
  </si>
  <si>
    <t>NN51829254</t>
  </si>
  <si>
    <t>2015/1/15與PO29784隨貨出</t>
  </si>
  <si>
    <t xml:space="preserve">科技國因訂單金額較大, 匯率另計為31.3 </t>
  </si>
  <si>
    <t>科技國因訂單金額較大, 匯率另計為32.5</t>
  </si>
  <si>
    <t xml:space="preserve">　　　</t>
  </si>
  <si>
    <t>科技國因訂單金額較大, 匯率另計為32.6</t>
  </si>
  <si>
    <t>科技國因訂單金額較大, 匯率另計為32.77</t>
  </si>
  <si>
    <t>Pickup Location
出貨地</t>
  </si>
  <si>
    <t>Payment Confirm
供應商付款確認</t>
  </si>
  <si>
    <t>Invoice Date
供應商發票日期</t>
  </si>
  <si>
    <t>Invoice Amount
供應商發票金額</t>
  </si>
  <si>
    <t>Custom Number
報關單號/ 內銷發票號碼</t>
  </si>
  <si>
    <t>內銷發票寄出日</t>
  </si>
  <si>
    <t>330-13111765</t>
  </si>
  <si>
    <t>PI-20131127A</t>
  </si>
  <si>
    <t>MOXA負責</t>
  </si>
  <si>
    <t>內銷(2014/01/14發票掛號寄出)</t>
  </si>
  <si>
    <t>330-13120257</t>
  </si>
  <si>
    <t>PI-20131205B</t>
  </si>
  <si>
    <t>C085</t>
  </si>
  <si>
    <t>PI-20131106A</t>
  </si>
  <si>
    <t xml:space="preserve"> IPC924-212-FL </t>
  </si>
  <si>
    <t>UniGens</t>
  </si>
  <si>
    <t>CG0337600878</t>
  </si>
  <si>
    <t xml:space="preserve">Moxa CP-118U
</t>
  </si>
  <si>
    <t>PI-20131220B</t>
  </si>
  <si>
    <t>TS16GSSD630,
16GB SSD, MLC</t>
  </si>
  <si>
    <t>上伊美/創見</t>
  </si>
  <si>
    <t>TS512MSK64V1N,
4GB RAM DDR3, 1066</t>
  </si>
  <si>
    <t>C126</t>
  </si>
  <si>
    <t>PPS-200-27</t>
  </si>
  <si>
    <t>MeanWell</t>
  </si>
  <si>
    <t>MeanWell
明緯 宗先生</t>
  </si>
  <si>
    <t>CG0337609402</t>
  </si>
  <si>
    <t xml:space="preserve"> CP-132IS</t>
  </si>
  <si>
    <t>PI-20131210C</t>
  </si>
  <si>
    <t>CG0337621695</t>
  </si>
  <si>
    <t>Perfectron
百崴宇智</t>
  </si>
  <si>
    <t>PO131213009</t>
  </si>
  <si>
    <t>PI-20131213A</t>
  </si>
  <si>
    <t xml:space="preserve"> NPort 6150 w/ UK power cord</t>
  </si>
  <si>
    <t>Moxa 負責</t>
  </si>
  <si>
    <t>PO131219001</t>
  </si>
  <si>
    <t>PI-20131220A</t>
  </si>
  <si>
    <t>Moxa TCF-142-M-ST-T</t>
  </si>
  <si>
    <t>CSIL</t>
  </si>
  <si>
    <t>PI-20131224A</t>
  </si>
  <si>
    <t>ADAM-6018-BE</t>
  </si>
  <si>
    <t>DHL Import / Export - A/C No.: 965489432</t>
  </si>
  <si>
    <t>Advantech</t>
  </si>
  <si>
    <t>CX0322300SBQ</t>
  </si>
  <si>
    <t>PO131230006</t>
  </si>
  <si>
    <t>PI-20131230A</t>
  </si>
  <si>
    <t>MiiNePort E1</t>
  </si>
  <si>
    <t>PI-20140114A</t>
  </si>
  <si>
    <t>OPC-5808T-E1 + NRE</t>
  </si>
  <si>
    <t>Aplex</t>
  </si>
  <si>
    <t>Aplex 維田</t>
  </si>
  <si>
    <t>CG0337618426</t>
  </si>
  <si>
    <t xml:space="preserve">OPC-5808T-E1 </t>
  </si>
  <si>
    <t>OPC-5157-T08</t>
  </si>
  <si>
    <t>PO140121003</t>
  </si>
  <si>
    <t>PI-20140121A</t>
  </si>
  <si>
    <t>MOXA IMC-21A-S-SC-T</t>
  </si>
  <si>
    <t>內銷(2014/02/11發票掛號寄出)</t>
  </si>
  <si>
    <t>PO140127001</t>
  </si>
  <si>
    <t>PI-20140128A</t>
  </si>
  <si>
    <t>MOXA CP-114UL-DB9M</t>
  </si>
  <si>
    <t>AYC</t>
  </si>
  <si>
    <t>PI-20140206A</t>
  </si>
  <si>
    <t>NISE 2010</t>
  </si>
  <si>
    <t>TNT economy 2018699</t>
  </si>
  <si>
    <t>NEXCOM</t>
  </si>
  <si>
    <t>220-14020310</t>
  </si>
  <si>
    <t>兆豐: 04109013067</t>
  </si>
  <si>
    <t>CG0337625645</t>
  </si>
  <si>
    <t>7400065012X00</t>
  </si>
  <si>
    <t>PI-20140211A</t>
  </si>
  <si>
    <t>DHL: 967966829 (ATECH) (DHL Economy)</t>
  </si>
  <si>
    <t>CX0322359HEH</t>
  </si>
  <si>
    <t>CP-114UL-DB9M</t>
  </si>
  <si>
    <t>DHL: 967966829 (ATECH)(DHL Economy)</t>
  </si>
  <si>
    <t>PI-20140212A</t>
  </si>
  <si>
    <t>KINO-AH611-R10</t>
  </si>
  <si>
    <t>TNT Account No- A/c :  000081207</t>
  </si>
  <si>
    <t>IEI</t>
  </si>
  <si>
    <t>iEi</t>
  </si>
  <si>
    <t>使用新帳號. 未來要注意</t>
  </si>
  <si>
    <t>CG0337632268</t>
  </si>
  <si>
    <t>IMBA-H610-R10</t>
  </si>
  <si>
    <t>KINO-AH612-R10</t>
  </si>
  <si>
    <t xml:space="preserve">Aditech ICT </t>
  </si>
  <si>
    <t>PO-20</t>
  </si>
  <si>
    <t>PI-20140217A</t>
  </si>
  <si>
    <t>TNT EXPRESS 000107240</t>
  </si>
  <si>
    <t>CR0337628710</t>
  </si>
  <si>
    <t>CP-138U-I</t>
  </si>
  <si>
    <t>PO140214001</t>
  </si>
  <si>
    <t>PI-20140219A</t>
  </si>
  <si>
    <t>NPort 6450</t>
  </si>
  <si>
    <t>內銷(2014/03/06發票掛號寄出)</t>
  </si>
  <si>
    <t>PO140214003</t>
  </si>
  <si>
    <t>PI-20140219B</t>
  </si>
  <si>
    <t>EDS-P206A-4POE</t>
  </si>
  <si>
    <t>331-14020110</t>
  </si>
  <si>
    <t>PI-20140219C</t>
  </si>
  <si>
    <t>戎克負責</t>
  </si>
  <si>
    <t>140225D01</t>
  </si>
  <si>
    <t>內銷(2014/03/10發票隨貨寄出)</t>
  </si>
  <si>
    <t>PO140219002</t>
  </si>
  <si>
    <t>PI-20140220B</t>
  </si>
  <si>
    <t>TCF-142-M-ST-T with DK35A</t>
  </si>
  <si>
    <t>PO140219003</t>
  </si>
  <si>
    <t>PI-20140220C</t>
  </si>
  <si>
    <t>330-14021156</t>
  </si>
  <si>
    <t>PI-20140220D</t>
  </si>
  <si>
    <t xml:space="preserve">合作金庫
5355-665-004610
</t>
  </si>
  <si>
    <t>內銷(2014/03/17發票掛號寄出)</t>
  </si>
  <si>
    <t>PO140221003</t>
  </si>
  <si>
    <t>PI-20140226A</t>
  </si>
  <si>
    <t>NPort 6610-32 w/ AU power cord</t>
  </si>
  <si>
    <t>PI-20140226B</t>
  </si>
  <si>
    <t>NPORT 5450I w/o adapter</t>
  </si>
  <si>
    <t>TNT economy 2024214</t>
  </si>
  <si>
    <t>CG0337642478</t>
  </si>
  <si>
    <t>PI-20140226C</t>
  </si>
  <si>
    <t>ICF-1180I-M-ST</t>
  </si>
  <si>
    <t>PO-21</t>
  </si>
  <si>
    <t>PI-20140306A</t>
  </si>
  <si>
    <t>CR0337637578</t>
  </si>
  <si>
    <t>PO140311004</t>
  </si>
  <si>
    <t>PI-20140312A</t>
  </si>
  <si>
    <t>內銷(2014/03/24發票掛號寄出)</t>
  </si>
  <si>
    <t>DK-35A</t>
  </si>
  <si>
    <t>PO140311007</t>
  </si>
  <si>
    <t>PI-20140312B</t>
  </si>
  <si>
    <t>PI-20143012C</t>
  </si>
  <si>
    <t>CG0337637564</t>
  </si>
  <si>
    <t>5355717-703856
(艾訊合庫)</t>
  </si>
  <si>
    <t xml:space="preserve"> 042001-00011967</t>
  </si>
  <si>
    <t>PI-20140317A</t>
  </si>
  <si>
    <t>EDS-308-MM-SC-T</t>
  </si>
  <si>
    <t>DHL: 967966829 計同PI-20140211A一起出貨</t>
  </si>
  <si>
    <t>PI-20140318A</t>
  </si>
  <si>
    <t>CP-114UL w/o Cable</t>
  </si>
  <si>
    <t>PO140321004</t>
  </si>
  <si>
    <t>PI-20140319A</t>
  </si>
  <si>
    <t>內銷(2014/04/02發票掛號寄出)</t>
  </si>
  <si>
    <t>PI-20140331A</t>
  </si>
  <si>
    <t>CX0322361MNP</t>
  </si>
  <si>
    <t>PO140401001</t>
  </si>
  <si>
    <t>PI-20140402A</t>
  </si>
  <si>
    <t>Moxa Mgate MB3270</t>
  </si>
  <si>
    <t>內銷(2014/04/24發票掛號寄出)</t>
  </si>
  <si>
    <t>PO140403001</t>
  </si>
  <si>
    <t>PI-20140403A</t>
  </si>
  <si>
    <t>MOXA CN2650-16</t>
  </si>
  <si>
    <t>內銷(2014/04/12發票掛號寄出)</t>
  </si>
  <si>
    <t xml:space="preserve">MOXA CN2650-8
</t>
  </si>
  <si>
    <t>PI-20140301-L</t>
  </si>
  <si>
    <t>UNO-2170-C11BE</t>
  </si>
  <si>
    <t>Angela</t>
  </si>
  <si>
    <t xml:space="preserve"> UPS- 0341W3  
(EXPRESS)</t>
  </si>
  <si>
    <t>C1030409.82報價單號</t>
  </si>
  <si>
    <t>CU0357BH4502</t>
  </si>
  <si>
    <t>1757002161 power adaptor (EU)</t>
  </si>
  <si>
    <t>PI-20140407A</t>
  </si>
  <si>
    <t xml:space="preserve">BCN944249
ECONOMY </t>
  </si>
  <si>
    <t>CG0337657921</t>
  </si>
  <si>
    <t>PI-20140407B</t>
  </si>
  <si>
    <t>未知</t>
  </si>
  <si>
    <t>PI-20140407C</t>
  </si>
  <si>
    <t>CR0337646919</t>
  </si>
  <si>
    <t>PO26898</t>
  </si>
  <si>
    <t>PI-20140407D</t>
  </si>
  <si>
    <t>CP-118U-I (119706)</t>
  </si>
  <si>
    <t>Forster/Angela</t>
  </si>
  <si>
    <t>內銷(2014/04/14發票隨研華貨箱寄出)</t>
  </si>
  <si>
    <t>PO26939</t>
  </si>
  <si>
    <t>PI-20140409</t>
  </si>
  <si>
    <t>PCI-1730U-BE(125721)</t>
  </si>
  <si>
    <t>UNIGENS負責</t>
  </si>
  <si>
    <t>140409D001報價單號</t>
  </si>
  <si>
    <t>內銷(2014/04/14發票隨貨寄出)</t>
  </si>
  <si>
    <t>PO27037</t>
  </si>
  <si>
    <t>PI-20140417</t>
  </si>
  <si>
    <t>CP-104UL-DB9M(P00612)</t>
  </si>
  <si>
    <t>內銷(2014/04/26發票掛號寄出)</t>
  </si>
  <si>
    <t>PI-20140419A</t>
  </si>
  <si>
    <t>TNT Economy EXPRESS 000107240</t>
  </si>
  <si>
    <t>CG0337657336</t>
  </si>
  <si>
    <t>PO201404190008</t>
  </si>
  <si>
    <t>PI-20140421A</t>
  </si>
  <si>
    <t>UPort-1150</t>
  </si>
  <si>
    <t>PO140421001</t>
  </si>
  <si>
    <t>PI-20140421B</t>
  </si>
  <si>
    <t>MOXA ioLogik E2210</t>
  </si>
  <si>
    <t>MOXA EDS-205A</t>
  </si>
  <si>
    <t>PO140416002</t>
  </si>
  <si>
    <t>PI-20140422A</t>
  </si>
  <si>
    <t>MOXA  NPort6610-32 (US/JP Power Cord)</t>
  </si>
  <si>
    <t>內銷(2014/05/06發票掛號寄出)</t>
  </si>
  <si>
    <t>PI-20140422B</t>
  </si>
  <si>
    <t>UC-7122-CE</t>
  </si>
  <si>
    <t>Lissa/ Yvonne</t>
  </si>
  <si>
    <t>DHL Express Courier Cargo Mode  (A/C NO:964096297)</t>
  </si>
  <si>
    <t>CX0322364ZNP</t>
  </si>
  <si>
    <t>PI-20140430A</t>
  </si>
  <si>
    <t>EDS-308-MM-SC</t>
  </si>
  <si>
    <t>UNIGENS負責TNT</t>
  </si>
  <si>
    <t>CR0337667882</t>
  </si>
  <si>
    <t>PI-20140505A</t>
  </si>
  <si>
    <t>NPort 5232 w/adapter</t>
  </si>
  <si>
    <t>Lissa/Yvonne</t>
  </si>
  <si>
    <t>Cleveron LTD</t>
  </si>
  <si>
    <t>PI-20140506A</t>
  </si>
  <si>
    <t>V101ZHU110+
HJ101NA-02C</t>
  </si>
  <si>
    <t>碩望</t>
  </si>
  <si>
    <t>華南中崙116-10-007799-6</t>
  </si>
  <si>
    <t>CG0337666882</t>
  </si>
  <si>
    <t>PO27203</t>
  </si>
  <si>
    <t>PI-20140507A3</t>
  </si>
  <si>
    <t>UPort 1150 (Z part no. P02615)</t>
  </si>
  <si>
    <t>內銷(2014/05/12發票平信寄出)</t>
  </si>
  <si>
    <t>PI-20140512A</t>
  </si>
  <si>
    <t>TNT ECONOMY (2024214)</t>
  </si>
  <si>
    <t>CG033766398</t>
  </si>
  <si>
    <t>OPT8D-2M</t>
  </si>
  <si>
    <t>MOXA
四零四科技</t>
  </si>
  <si>
    <t>PI-20140513A</t>
  </si>
  <si>
    <t>IPC-E2204S</t>
  </si>
  <si>
    <t>Unigen負責</t>
  </si>
  <si>
    <t>SUNBOX 
慧展</t>
  </si>
  <si>
    <t>玉山中和808
0439-440-023936</t>
  </si>
  <si>
    <t>內銷(2014/06/12發票隨貨寄出)</t>
  </si>
  <si>
    <t>PCIE-1622B</t>
  </si>
  <si>
    <t>PO27288</t>
  </si>
  <si>
    <t>PI-20140514A</t>
  </si>
  <si>
    <t>內銷(2014/05/26發票掛號寄出)</t>
  </si>
  <si>
    <t>Profcon</t>
  </si>
  <si>
    <t>PI-20140514B</t>
  </si>
  <si>
    <t>MPC-080S-DB25</t>
  </si>
  <si>
    <t>DHL 953324071</t>
  </si>
  <si>
    <t>CX0322370VSK</t>
  </si>
  <si>
    <t>PI-20140515A</t>
  </si>
  <si>
    <t>Uport 404</t>
  </si>
  <si>
    <t>內銷(2014/05/30發票掛號寄出)</t>
  </si>
  <si>
    <t>PH-0515UG</t>
  </si>
  <si>
    <t>PI-20140516A</t>
  </si>
  <si>
    <t>ioLogik E1210</t>
  </si>
  <si>
    <t>Alan/Angela</t>
  </si>
  <si>
    <t>AQ 36763153</t>
  </si>
  <si>
    <t>內銷(2014/05/24發票掛信寄出)</t>
  </si>
  <si>
    <t xml:space="preserve">PO140516001
</t>
  </si>
  <si>
    <t>PI-20140516B</t>
  </si>
  <si>
    <t>CN2650-16(GI1409CN2650100L)</t>
  </si>
  <si>
    <t>內銷(2014/05/26發票隨貨寄出)</t>
  </si>
  <si>
    <t>內銷(2014/06/12發票掛號寄出)</t>
  </si>
  <si>
    <t>PI-20140519A</t>
  </si>
  <si>
    <t>UMB-D255E1</t>
  </si>
  <si>
    <t>FedEx 173194102</t>
  </si>
  <si>
    <t>Stech</t>
  </si>
  <si>
    <t>預付HSBC 香港</t>
  </si>
  <si>
    <t>CF03550NZ192</t>
  </si>
  <si>
    <t>永豐
042001-00011967</t>
  </si>
  <si>
    <t>TS64GMSA340</t>
  </si>
  <si>
    <t>7WT-00050</t>
  </si>
  <si>
    <t>全達</t>
  </si>
  <si>
    <t>兆豐
0460900-5938</t>
  </si>
  <si>
    <t>PI-20140522A</t>
  </si>
  <si>
    <t>CX0322367KUL</t>
  </si>
  <si>
    <t>PO201405160012</t>
  </si>
  <si>
    <t>PI-20140522B</t>
  </si>
  <si>
    <t xml:space="preserve">Nport5150. 美規adapter
</t>
  </si>
  <si>
    <t xml:space="preserve">Forster/Michelle
</t>
  </si>
  <si>
    <t>PO27407</t>
  </si>
  <si>
    <t>PI-20140527A</t>
  </si>
  <si>
    <t xml:space="preserve"> CP-104UL-DB9M</t>
  </si>
  <si>
    <t>內銷(2014/06/03發票掛號寄出)</t>
  </si>
  <si>
    <t>PO-P-I140033</t>
  </si>
  <si>
    <t>PI-20140528A</t>
  </si>
  <si>
    <t>CX0322368UXX</t>
  </si>
  <si>
    <t>NPORT 5450</t>
  </si>
  <si>
    <t>PO140526002</t>
  </si>
  <si>
    <t>PI-20140529A</t>
  </si>
  <si>
    <t>CP- 134U-DB9M</t>
  </si>
  <si>
    <t>PI-20140609A</t>
  </si>
  <si>
    <t>內銷(2014/06/17發票掛號寄出)</t>
  </si>
  <si>
    <t>PI-20140610A</t>
  </si>
  <si>
    <t>DHL Account Number : 965031150</t>
  </si>
  <si>
    <t>CX0322369MKQ</t>
  </si>
  <si>
    <t xml:space="preserve">PI-20140610B </t>
  </si>
  <si>
    <t xml:space="preserve">PCI-1730U-BE </t>
  </si>
  <si>
    <t>PO-20140610A</t>
  </si>
  <si>
    <t>PO27576</t>
  </si>
  <si>
    <t>PI-20140612A</t>
  </si>
  <si>
    <t>內銷(2014/06/20發票隨貨寄出)</t>
  </si>
  <si>
    <t>PH-M7/151</t>
  </si>
  <si>
    <t>PI-20140613A</t>
  </si>
  <si>
    <t>MOXA  CA-104-T</t>
  </si>
  <si>
    <t>BK 36697953</t>
  </si>
  <si>
    <t>內銷(2014/07/10發票隨貨寄出)</t>
  </si>
  <si>
    <t>BK 36697958</t>
  </si>
  <si>
    <t>內銷(2014/07/24發票隨貨寄出)</t>
  </si>
  <si>
    <t>Unigens-巨邦機車</t>
  </si>
  <si>
    <t>(242)140616</t>
  </si>
  <si>
    <t>"華南銀行代號008
帳號: 183-10-0007773"</t>
  </si>
  <si>
    <t>PO140611003</t>
  </si>
  <si>
    <t>PI-20140617A</t>
  </si>
  <si>
    <t>Moxa NPort 6150</t>
  </si>
  <si>
    <t>BK 36697957</t>
  </si>
  <si>
    <t>內銷(2014/07/19發票掛號寄出)</t>
  </si>
  <si>
    <t>MOXA Nport 6250</t>
  </si>
  <si>
    <t>AQ 36763174</t>
  </si>
  <si>
    <t>內銷(2014/07/01發票掛號寄出)</t>
  </si>
  <si>
    <t>PO140616004</t>
  </si>
  <si>
    <t>PI-20140617B</t>
  </si>
  <si>
    <t>MOXA NPort 6610-32 w/UK power adpator</t>
  </si>
  <si>
    <t>PO27602</t>
  </si>
  <si>
    <t>PI-20140617C</t>
  </si>
  <si>
    <t>20140600126137
(20140600126025)</t>
  </si>
  <si>
    <t>PO27625</t>
  </si>
  <si>
    <t>PI-20140617D</t>
  </si>
  <si>
    <t>PO20140617A</t>
  </si>
  <si>
    <t>PO4984</t>
  </si>
  <si>
    <t>PI-20140618A</t>
  </si>
  <si>
    <t>V2406-LX</t>
  </si>
  <si>
    <t>The Regency Express</t>
  </si>
  <si>
    <t>CW0370501940</t>
  </si>
  <si>
    <t>CBL-M12D(MM4P)/RJ45-100 IP67</t>
  </si>
  <si>
    <t>CBL-M12(FF5P)/Open-100 IP67</t>
  </si>
  <si>
    <t>Avalue
安勤科技</t>
  </si>
  <si>
    <t>PI-20140618D</t>
  </si>
  <si>
    <t>SOM-6765N-S6A1E</t>
  </si>
  <si>
    <t>PO20140618A</t>
  </si>
  <si>
    <t>BK 36697952</t>
  </si>
  <si>
    <t>內銷(2014/07/07發票掛號寄出)</t>
  </si>
  <si>
    <t>PO140617002</t>
  </si>
  <si>
    <t>PI-20140618B</t>
  </si>
  <si>
    <t>PI-20140618C</t>
  </si>
  <si>
    <t>PO-20140619A</t>
  </si>
  <si>
    <t>CG0337687750</t>
  </si>
  <si>
    <t>PO201405080003</t>
  </si>
  <si>
    <t>PI-20140619A</t>
  </si>
  <si>
    <t xml:space="preserve"> 杜邦2.0母轉2.54公 轉接線5CM        </t>
  </si>
  <si>
    <t>travla</t>
  </si>
  <si>
    <t>內銷(2014/06/23發票隨貨寄出)</t>
  </si>
  <si>
    <t>PO1240501-2</t>
  </si>
  <si>
    <t>PI-20140623A</t>
  </si>
  <si>
    <t>JAS TAIWAN.docx</t>
  </si>
  <si>
    <t>CH0369503174</t>
  </si>
  <si>
    <t>PO27680</t>
  </si>
  <si>
    <t>PI-20140623B</t>
  </si>
  <si>
    <t>PO20140623A</t>
  </si>
  <si>
    <t>BK 36697950</t>
  </si>
  <si>
    <t>內銷(2014/07/04發票隨貨寄出)</t>
  </si>
  <si>
    <t>BK 36697966</t>
  </si>
  <si>
    <t>2014/08/01發票隨貨寄出</t>
  </si>
  <si>
    <t>CB14-254</t>
  </si>
  <si>
    <t>PI-20140703A</t>
  </si>
  <si>
    <t>GS25A18-P1J</t>
  </si>
  <si>
    <t>贊翔（meanwell）</t>
  </si>
  <si>
    <t>PO20140704A</t>
  </si>
  <si>
    <t>CG03376A9081</t>
  </si>
  <si>
    <t xml:space="preserve">CB14-261 </t>
  </si>
  <si>
    <t>PI-20140703B</t>
  </si>
  <si>
    <t>CG0337693697</t>
  </si>
  <si>
    <t>CB14-261</t>
  </si>
  <si>
    <t>PO20140707A</t>
  </si>
  <si>
    <t>5355717-703856 (艾訊合庫)</t>
  </si>
  <si>
    <t>PO201407020009</t>
  </si>
  <si>
    <t>PI-20140707A</t>
  </si>
  <si>
    <t>BK 36697965</t>
  </si>
  <si>
    <t>內銷(2014/07/30發票掛號寄出)</t>
  </si>
  <si>
    <t>PO201407040009</t>
  </si>
  <si>
    <t>PI-20140707B</t>
  </si>
  <si>
    <t>PO201407080007</t>
  </si>
  <si>
    <t>PI-20140708A</t>
  </si>
  <si>
    <t>BK 36697954</t>
  </si>
  <si>
    <t>內銷(2014/07/14發票掛號寄出)</t>
  </si>
  <si>
    <t>PO140711008</t>
  </si>
  <si>
    <t>PI-20140711A</t>
  </si>
  <si>
    <t>Moxa C218 Turbo/ PCI</t>
  </si>
  <si>
    <t>BK 36697956</t>
  </si>
  <si>
    <t>PI-20140714A</t>
  </si>
  <si>
    <t>HTS541680J9AT00</t>
  </si>
  <si>
    <t>Forster 負責</t>
  </si>
  <si>
    <t>ORD33027</t>
  </si>
  <si>
    <t>BK 36697955</t>
  </si>
  <si>
    <t>內銷(2014/07/15發票掛號寄出)</t>
  </si>
  <si>
    <t>PI-20140715A</t>
  </si>
  <si>
    <t>MGate 5101-PBM-MN</t>
  </si>
  <si>
    <t>CX0322376BKX</t>
  </si>
  <si>
    <t>PO-P-I140057</t>
  </si>
  <si>
    <t>PI-20140715B</t>
  </si>
  <si>
    <t>CX0322373BTV</t>
  </si>
  <si>
    <t>PO140715005</t>
  </si>
  <si>
    <t>PI-20140716A</t>
  </si>
  <si>
    <t>IMC-21-S-SC</t>
  </si>
  <si>
    <t>BK 36697959</t>
  </si>
  <si>
    <t>內銷(2014/07/24發票掛號寄出)</t>
  </si>
  <si>
    <t>PH-0626ETUG</t>
  </si>
  <si>
    <t>PI-20140717A</t>
  </si>
  <si>
    <t>20140700128681
20140700128679</t>
  </si>
  <si>
    <t>2014/08/14
2014/08/14</t>
  </si>
  <si>
    <t>32,244
39,409</t>
  </si>
  <si>
    <t>BK 36697971</t>
  </si>
  <si>
    <t>內銷(2014/08/14發票掛號寄出)</t>
  </si>
  <si>
    <t>BK 36697964</t>
  </si>
  <si>
    <t>內銷(2014/07/29發票掛號寄出)</t>
  </si>
  <si>
    <t>PO27955</t>
  </si>
  <si>
    <t>PI-20140718A</t>
  </si>
  <si>
    <t>P02169 ADAM-6060-CE</t>
  </si>
  <si>
    <t>PO20140718A</t>
  </si>
  <si>
    <t>BK 36697962</t>
  </si>
  <si>
    <t>P01021 ADAM-4021-DE</t>
  </si>
  <si>
    <t>PO27973</t>
  </si>
  <si>
    <t>PI-20140718B</t>
  </si>
  <si>
    <t>P02494 ADAM-4520-EE</t>
  </si>
  <si>
    <t>PO20140718A 最低進價 NTD1237</t>
  </si>
  <si>
    <t>PRTronic Gmbh</t>
  </si>
  <si>
    <t>1-28 14-0024</t>
  </si>
  <si>
    <t>PI-20140721A</t>
  </si>
  <si>
    <t>2.5"HDD HTS541680J9AT00</t>
  </si>
  <si>
    <t>PO20140722A</t>
  </si>
  <si>
    <t>兆豐新店-活存017
 A/C :04609021798</t>
  </si>
  <si>
    <t>CW03148K2765</t>
  </si>
  <si>
    <t>PO28013</t>
  </si>
  <si>
    <t>PI-20140722A</t>
  </si>
  <si>
    <t xml:space="preserve">P01693 PCI-1612A-CE </t>
  </si>
  <si>
    <t>Unigens-郵局</t>
  </si>
  <si>
    <t>PO20140722B</t>
  </si>
  <si>
    <t>BK 36697963</t>
  </si>
  <si>
    <t>2014/07/28發票隨貨寄出</t>
  </si>
  <si>
    <t>PO28031</t>
  </si>
  <si>
    <t>PI-20140724A</t>
  </si>
  <si>
    <t xml:space="preserve"> P02283 EKI-2741SX-AE </t>
  </si>
  <si>
    <t>PO20140724A</t>
  </si>
  <si>
    <t>BK 36697970</t>
  </si>
  <si>
    <t>2014/08/13發票隨貨寄出</t>
  </si>
  <si>
    <t>PO28036</t>
  </si>
  <si>
    <t>PI-20140724B</t>
  </si>
  <si>
    <t xml:space="preserve">P02228 ADAM-6050-CE </t>
  </si>
  <si>
    <t>PO20140724B</t>
  </si>
  <si>
    <t>PO28056</t>
  </si>
  <si>
    <t>PI-20140728A</t>
  </si>
  <si>
    <t>PO20140728A</t>
  </si>
  <si>
    <t>P02494. ADAM-4520-EE</t>
  </si>
  <si>
    <t>P02228 ADAM-6050-CE</t>
  </si>
  <si>
    <t>PI-20140728B</t>
  </si>
  <si>
    <t>NPort W2150A</t>
  </si>
  <si>
    <t xml:space="preserve">TNT Account No: 000081207 </t>
  </si>
  <si>
    <t>TNT-CG03376A4225</t>
  </si>
  <si>
    <t>Fedex Account No: 319862919</t>
  </si>
  <si>
    <t>FEDEX-CF03550UT855</t>
  </si>
  <si>
    <t>PO28089</t>
  </si>
  <si>
    <t>PI-20140729A</t>
  </si>
  <si>
    <t>Unigens-全球</t>
  </si>
  <si>
    <t>PO20140729A</t>
  </si>
  <si>
    <t>BK 36697973</t>
  </si>
  <si>
    <t>2014/08/21發票隨貨寄出</t>
  </si>
  <si>
    <t>PO201407290007</t>
  </si>
  <si>
    <t>PI-20140729B</t>
  </si>
  <si>
    <t xml:space="preserve"> 杜邦2.0母轉2.54公 轉接線5CM	</t>
  </si>
  <si>
    <t>Travla</t>
  </si>
  <si>
    <t>PO20140729B</t>
  </si>
  <si>
    <t>CE  52075050</t>
  </si>
  <si>
    <t>內銷(2014/09/02發票隨貨寄出)</t>
  </si>
  <si>
    <t>PH-0724ETUG</t>
  </si>
  <si>
    <t>PI-20140730A</t>
  </si>
  <si>
    <t>TCC-100I-T</t>
  </si>
  <si>
    <t>PO28108</t>
  </si>
  <si>
    <t>PI-20140731A</t>
  </si>
  <si>
    <t>PO20140731A</t>
  </si>
  <si>
    <t>BK 36697968</t>
  </si>
  <si>
    <t>2014/08/07發票隨貨寄出</t>
  </si>
  <si>
    <t>PI-20140731B</t>
  </si>
  <si>
    <t>Avalue LPC-1503 RMA</t>
  </si>
  <si>
    <t>BK 36697967</t>
  </si>
  <si>
    <t>2014/08/07發票掛號寄出</t>
  </si>
  <si>
    <t>PI-20140805B</t>
  </si>
  <si>
    <t>FETA FREIGHT SYSTEMS (TAIWAN )</t>
  </si>
  <si>
    <t>CW0347023156</t>
  </si>
  <si>
    <t>CP-104EL-DB9M</t>
  </si>
  <si>
    <t>PO28172</t>
  </si>
  <si>
    <t>PI-20140806A</t>
  </si>
  <si>
    <t>PO20140806A</t>
  </si>
  <si>
    <t>PO201408050006</t>
  </si>
  <si>
    <t xml:space="preserve">PI20140806B </t>
  </si>
  <si>
    <t>Nupro-852DV</t>
  </si>
  <si>
    <t>adlink</t>
  </si>
  <si>
    <t>PO20140806B</t>
  </si>
  <si>
    <t>BK 36697974</t>
  </si>
  <si>
    <t>PO28187</t>
  </si>
  <si>
    <t>PI-20140807A</t>
  </si>
  <si>
    <t>PO20140807A</t>
  </si>
  <si>
    <t>CE 52075052</t>
  </si>
  <si>
    <t>2014/09/09發票隨貨寄出</t>
  </si>
  <si>
    <t>PH - 656CTB</t>
  </si>
  <si>
    <t>PI-20140812A</t>
  </si>
  <si>
    <t>MOXA C218 Turbo/PCI</t>
  </si>
  <si>
    <t>BK 36697975</t>
  </si>
  <si>
    <t>2014/08/23發票掛號寄出</t>
  </si>
  <si>
    <t>MOXA OPT8-M9</t>
  </si>
  <si>
    <t>PI-20140813A</t>
  </si>
  <si>
    <t xml:space="preserve">"合作金庫
5355-665-004610"
</t>
  </si>
  <si>
    <t>NPort 5410</t>
  </si>
  <si>
    <t>NPort 5610-8</t>
  </si>
  <si>
    <t>NPort 5610-16</t>
  </si>
  <si>
    <t>330-14080667</t>
  </si>
  <si>
    <t>PI-20140813B</t>
  </si>
  <si>
    <t>BK 36697977</t>
  </si>
  <si>
    <t>2014/08/26發票掛號寄出</t>
  </si>
  <si>
    <t>CE 52075061</t>
  </si>
  <si>
    <t>2014/09/27發票掛號寄出</t>
  </si>
  <si>
    <t>PO28251</t>
  </si>
  <si>
    <t>PI-20140814A</t>
  </si>
  <si>
    <t>PCI-1762-AE</t>
  </si>
  <si>
    <t>unigens-巨邦</t>
  </si>
  <si>
    <t>PO20140814A</t>
  </si>
  <si>
    <t>CE 52075051</t>
  </si>
  <si>
    <t>2014/09/02發票隨貨寄出</t>
  </si>
  <si>
    <t>BK 36697972</t>
  </si>
  <si>
    <t>CSIL/PO - 653/13-14</t>
  </si>
  <si>
    <t>PI-20140818A</t>
  </si>
  <si>
    <t>DHL A/C No. 965489432</t>
  </si>
  <si>
    <t>已預付1000</t>
  </si>
  <si>
    <t>CX 0322323XUT</t>
  </si>
  <si>
    <t>PO28293</t>
  </si>
  <si>
    <t>PI-20140819A</t>
  </si>
  <si>
    <t>PO20140819B</t>
  </si>
  <si>
    <t>PO28317</t>
  </si>
  <si>
    <t>PI-20140820A</t>
  </si>
  <si>
    <t>PO20140821A</t>
  </si>
  <si>
    <t>BK 36697976</t>
  </si>
  <si>
    <t>2014/08/25發票隨貨寄出</t>
  </si>
  <si>
    <t>ADAM-4520-EE一</t>
  </si>
  <si>
    <t>PH- M7/154-1</t>
  </si>
  <si>
    <t>PI-20140821A</t>
  </si>
  <si>
    <t>MOXA CA-108T</t>
  </si>
  <si>
    <t>CE 52075058</t>
  </si>
  <si>
    <t>2014/09/18發票隨貨寄出</t>
  </si>
  <si>
    <t>MOXA CBL-F40M9X4-50</t>
  </si>
  <si>
    <t>(252-1)140822</t>
  </si>
  <si>
    <t>PI-20140825A</t>
  </si>
  <si>
    <t>C168H</t>
  </si>
  <si>
    <t>TNT ECONOMY EXPRESS 000107240</t>
  </si>
  <si>
    <t>CG03376B5196</t>
  </si>
  <si>
    <t>PI-20140822A-Revise台幣</t>
  </si>
  <si>
    <t>MOXA ioLogoik E2214</t>
  </si>
  <si>
    <t>CE0337811648</t>
  </si>
  <si>
    <t>PO28354</t>
  </si>
  <si>
    <t>PI-20140827A</t>
  </si>
  <si>
    <t>PO20140827A</t>
  </si>
  <si>
    <t>PI-20140901A</t>
  </si>
  <si>
    <t>MOXA CP-114I-DB9M</t>
  </si>
  <si>
    <t>PI-20140901B</t>
  </si>
  <si>
    <t>MOXA NPort 5650-8</t>
  </si>
  <si>
    <t>MOXA NPort 5150</t>
  </si>
  <si>
    <t>MOXA NPort 5450</t>
  </si>
  <si>
    <t>CE0337812246</t>
  </si>
  <si>
    <t>PO28458</t>
  </si>
  <si>
    <t>PI-20140904A</t>
  </si>
  <si>
    <t>PO20140904A</t>
  </si>
  <si>
    <t>CE 52075053</t>
  </si>
  <si>
    <t>2014/09/09發票隨或寄出</t>
  </si>
  <si>
    <t>PO28453</t>
  </si>
  <si>
    <t>PI-20140904B</t>
  </si>
  <si>
    <t>PO20140904B</t>
  </si>
  <si>
    <t>PO28476</t>
  </si>
  <si>
    <t>PI-20140905A</t>
  </si>
  <si>
    <t>PO20140905A</t>
  </si>
  <si>
    <t>CE 52075062改成
CE 36928101</t>
  </si>
  <si>
    <t>2014/10/01發票隨貨寄出</t>
  </si>
  <si>
    <t>PO28474</t>
  </si>
  <si>
    <t>PI-20140905B</t>
  </si>
  <si>
    <t>PO20140905B</t>
  </si>
  <si>
    <t>CE 52075056</t>
  </si>
  <si>
    <t>2014/09/16發票隨貨寄出</t>
  </si>
  <si>
    <t>PI-20140909A</t>
  </si>
  <si>
    <t>APLEX</t>
  </si>
  <si>
    <t>PO20140909A</t>
  </si>
  <si>
    <t>CG03376C8302</t>
  </si>
  <si>
    <t>PI-20140909B</t>
  </si>
  <si>
    <t>2014 /09/12</t>
  </si>
  <si>
    <t>330-14090030</t>
  </si>
  <si>
    <t>PI-20140910A-Revise</t>
  </si>
  <si>
    <t>MOXA NPort W2150A</t>
  </si>
  <si>
    <t>CE 52075054</t>
  </si>
  <si>
    <t>2014/09/12發票交由老闆</t>
  </si>
  <si>
    <t>PI-20140910B</t>
  </si>
  <si>
    <t>PO28510</t>
  </si>
  <si>
    <t>PI-20140910C</t>
  </si>
  <si>
    <t>PCI-1762AE</t>
  </si>
  <si>
    <t>PO20140910A</t>
  </si>
  <si>
    <t>CE 52075057</t>
  </si>
  <si>
    <t>PI-20140911A</t>
  </si>
  <si>
    <t>MOXA IEX-402-VDSL2</t>
  </si>
  <si>
    <t>PO28592</t>
  </si>
  <si>
    <t>PI-20140916A</t>
  </si>
  <si>
    <t>PO20140916A</t>
  </si>
  <si>
    <t>CE 52075059</t>
  </si>
  <si>
    <t>PI-20140917A</t>
  </si>
  <si>
    <t>MOXA TCC-120I</t>
  </si>
  <si>
    <t>CE0337813227</t>
  </si>
  <si>
    <t>MOXA M-1800</t>
  </si>
  <si>
    <t>10/6/2014  (要寫下產品序號）</t>
  </si>
  <si>
    <t>201410/06</t>
  </si>
  <si>
    <t>MOXA NA-4020</t>
  </si>
  <si>
    <t>MOXA M-2450</t>
  </si>
  <si>
    <t>PO28616</t>
  </si>
  <si>
    <t>PI-20140918A</t>
  </si>
  <si>
    <t>unigens-大榮</t>
  </si>
  <si>
    <t>PO20140918A</t>
  </si>
  <si>
    <t>CE 52075060</t>
  </si>
  <si>
    <t>2014/09/22發票隨貨寄出</t>
  </si>
  <si>
    <t>PI-20140919A-Revise</t>
  </si>
  <si>
    <t>Avalue LPC-1505-525</t>
  </si>
  <si>
    <t>1/5/2015
(付款695929)</t>
  </si>
  <si>
    <t>CZ 52099153</t>
  </si>
  <si>
    <t>2014/11/3發票隨貨寄出</t>
  </si>
  <si>
    <t>Unigens永和</t>
  </si>
  <si>
    <t>PO20140926C</t>
  </si>
  <si>
    <t>11/11
(付款500,000)</t>
  </si>
  <si>
    <t>CZ 52099168</t>
  </si>
  <si>
    <t>2014/11/17發票隨貨寄出</t>
  </si>
  <si>
    <t>Avalue LPC-1505-525-5COM</t>
  </si>
  <si>
    <t>Avalue SPC-1505-525</t>
  </si>
  <si>
    <t>PI-20141009A</t>
  </si>
  <si>
    <t>Avalue SPC-1505 3in1 Cable (E1700392000R)</t>
  </si>
  <si>
    <t>PO20141013B</t>
  </si>
  <si>
    <t>PI-20140919B-Revise</t>
  </si>
  <si>
    <t>MOXA ioLogik E2214</t>
  </si>
  <si>
    <t>PO28697</t>
  </si>
  <si>
    <t>PI-20140925A</t>
  </si>
  <si>
    <t>PCL-10162-1E</t>
  </si>
  <si>
    <t>PO20140926A</t>
  </si>
  <si>
    <t>CE 52075063改成 
CE 36928102</t>
  </si>
  <si>
    <t>CE 52075064改成
CE 36928103</t>
  </si>
  <si>
    <t>CE 52075065改成
CE 36928104</t>
  </si>
  <si>
    <t>PI-20140925B</t>
  </si>
  <si>
    <t>CE 36928106</t>
  </si>
  <si>
    <t>2014/10/13發票隨貨寄出</t>
  </si>
  <si>
    <t>PI-20140925C</t>
  </si>
  <si>
    <t>CE 36928109</t>
  </si>
  <si>
    <t>2014/10/15發票隨貨寄出</t>
  </si>
  <si>
    <t>330-14091302</t>
  </si>
  <si>
    <t>PI-20140926A</t>
  </si>
  <si>
    <t>CE 52075066改成
CE 36928105</t>
  </si>
  <si>
    <t>2014/10/07發票掛號寄出</t>
  </si>
  <si>
    <t xml:space="preserve">CB14-505 </t>
  </si>
  <si>
    <t>PI-20140926B</t>
  </si>
  <si>
    <t>NPORT 6450</t>
  </si>
  <si>
    <t>"TNT002004901
 Economy Express"</t>
  </si>
  <si>
    <t>CG03376D1792</t>
  </si>
  <si>
    <t>CG0376E8270</t>
  </si>
  <si>
    <t>PO28716-R</t>
  </si>
  <si>
    <t>PI-20140926C</t>
  </si>
  <si>
    <t>PO20140928A</t>
  </si>
  <si>
    <t>CE 52075065改成
CE 36928103</t>
  </si>
  <si>
    <t>PO28722</t>
  </si>
  <si>
    <t>PI-20140926D</t>
  </si>
  <si>
    <t>PO20140928B</t>
  </si>
  <si>
    <t>CE 536928115</t>
  </si>
  <si>
    <t>2014/10/23發票隨貨寄出</t>
  </si>
  <si>
    <t>PI-20140930A</t>
  </si>
  <si>
    <t>MeanWell PPT-125B</t>
  </si>
  <si>
    <t>PO20140930A</t>
  </si>
  <si>
    <t>CE0337812616</t>
  </si>
  <si>
    <t>PO28769</t>
  </si>
  <si>
    <t>PI-20141002A</t>
  </si>
  <si>
    <t>PO20141002A</t>
  </si>
  <si>
    <t>CE 36928107</t>
  </si>
  <si>
    <t>PI-20141002B</t>
  </si>
  <si>
    <t>PO28777</t>
  </si>
  <si>
    <t>PI-20141002C</t>
  </si>
  <si>
    <t>PCL-10137-3</t>
  </si>
  <si>
    <t>PO20141002B</t>
  </si>
  <si>
    <t>PCL-10137-2</t>
  </si>
  <si>
    <t>330-14100192</t>
  </si>
  <si>
    <t>PI-20141003A</t>
  </si>
  <si>
    <t>CP-168EL-A w/o Cable</t>
  </si>
  <si>
    <t>CE 36928121</t>
  </si>
  <si>
    <t>2014/10/30發票掛號寄出</t>
  </si>
  <si>
    <t>CZ 52099176</t>
  </si>
  <si>
    <t>2014/11/26發票掛號寄出</t>
  </si>
  <si>
    <t>PI-20141006A</t>
  </si>
  <si>
    <t xml:space="preserve"> MOXA CP-134U-DB9M</t>
  </si>
  <si>
    <t>.</t>
  </si>
  <si>
    <t>CE0337812888</t>
  </si>
  <si>
    <t>PO28808</t>
  </si>
  <si>
    <t>PI-20141006B</t>
  </si>
  <si>
    <t>PO20141006A</t>
  </si>
  <si>
    <t>CE 36928108</t>
  </si>
  <si>
    <t>PI-20141007A-R</t>
  </si>
  <si>
    <t xml:space="preserve"> MOXA NPort 6610-32</t>
  </si>
  <si>
    <t>PI-20141008A</t>
  </si>
  <si>
    <t>SI-58M</t>
  </si>
  <si>
    <t>FETA FREIGHT SYSTEMS
(TAIWAN )</t>
  </si>
  <si>
    <t>iBase</t>
  </si>
  <si>
    <t>PO20141017D</t>
  </si>
  <si>
    <t>CW0347026933</t>
  </si>
  <si>
    <t>BPC-100S1C</t>
  </si>
  <si>
    <t>要從工單中拉出</t>
  </si>
  <si>
    <t>PO28835</t>
  </si>
  <si>
    <t>PI-20141008B</t>
  </si>
  <si>
    <t xml:space="preserve">CBL-M68M9x8-100 </t>
  </si>
  <si>
    <t>CZ 52099152</t>
  </si>
  <si>
    <t>2014/11/04發票掛號寄出</t>
  </si>
  <si>
    <t>PO28861</t>
  </si>
  <si>
    <t>PI-20141013A</t>
  </si>
  <si>
    <t>PO20141009A</t>
  </si>
  <si>
    <t>CE 36928111</t>
  </si>
  <si>
    <t>PCL-10250-2E</t>
  </si>
  <si>
    <t>PCL-10137-2E</t>
  </si>
  <si>
    <t>PCI-1756-AE</t>
  </si>
  <si>
    <t>CE 36928112 改成
CE 36928124</t>
  </si>
  <si>
    <t>PCI-1713U-BE</t>
  </si>
  <si>
    <t>PI-20141013B</t>
  </si>
  <si>
    <t>unigens-巨邦機車</t>
  </si>
  <si>
    <t>CE 36928122</t>
  </si>
  <si>
    <t>2014/10/30發票隨貨寄出</t>
  </si>
  <si>
    <t>PI-20141013C</t>
  </si>
  <si>
    <t xml:space="preserve"> UPS- 0341W3                 (EXPRESS)</t>
  </si>
  <si>
    <t>CU 0357BG8541</t>
  </si>
  <si>
    <t xml:space="preserve">CB14-560 </t>
  </si>
  <si>
    <t>PI-20141013D</t>
  </si>
  <si>
    <t>RD-85A</t>
  </si>
  <si>
    <t>PO20141013A</t>
  </si>
  <si>
    <t>CG03376G9978</t>
  </si>
  <si>
    <t>CB14-560</t>
  </si>
  <si>
    <t>CR03376D6518</t>
  </si>
  <si>
    <t>PO28901</t>
  </si>
  <si>
    <t>PI-20141014A</t>
  </si>
  <si>
    <t>CE 36928114</t>
  </si>
  <si>
    <t>發票隨20140926D合併寄出</t>
  </si>
  <si>
    <t>PI-20141014B</t>
  </si>
  <si>
    <t>CZ 52099159</t>
  </si>
  <si>
    <t>2014/11/10發票隨貨寄出</t>
  </si>
  <si>
    <t>PI-20141015A</t>
  </si>
  <si>
    <t xml:space="preserve"> MOXA Uport 1110</t>
  </si>
  <si>
    <t>CE0337813358</t>
  </si>
  <si>
    <t>PI-20141015B</t>
  </si>
  <si>
    <t>MOXA EDS-308</t>
  </si>
  <si>
    <t>PO201410170002</t>
  </si>
  <si>
    <t>PI-20141017A</t>
  </si>
  <si>
    <t xml:space="preserve">14-US-00-00008 SATA Cable </t>
  </si>
  <si>
    <t>PO20141017A</t>
  </si>
  <si>
    <t>CZ 52099154</t>
  </si>
  <si>
    <t>2014/11/6發票隨貨寄出</t>
  </si>
  <si>
    <t>PO28955</t>
  </si>
  <si>
    <t>PI-20141017B</t>
  </si>
  <si>
    <t>PCLD-789D-AE</t>
  </si>
  <si>
    <t>PO20141017B</t>
  </si>
  <si>
    <t>CE 36928117</t>
  </si>
  <si>
    <t>2014/10/27發票隨貨寄出</t>
  </si>
  <si>
    <t>PO28959</t>
  </si>
  <si>
    <t>PI-20141020A</t>
  </si>
  <si>
    <t>CE 36928116</t>
  </si>
  <si>
    <t>(255)141020</t>
  </si>
  <si>
    <t>PO28969</t>
  </si>
  <si>
    <t>PI-20141021A</t>
  </si>
  <si>
    <t>PO20141021A</t>
  </si>
  <si>
    <t>CZ 52099163</t>
  </si>
  <si>
    <t>2014/11/11發票隨貨寄出</t>
  </si>
  <si>
    <t>PO-P-I140127</t>
  </si>
  <si>
    <t>PI-20141021B</t>
  </si>
  <si>
    <t>DHL A/C No 964096297</t>
  </si>
  <si>
    <t>CX0322386CDB</t>
  </si>
  <si>
    <t>Evaluation PI-20141021C</t>
  </si>
  <si>
    <t>UMB-N280S1  ( 12/5 已歸還 )</t>
  </si>
  <si>
    <t>Forster Dellivery</t>
  </si>
  <si>
    <t>客戶已歸還不需開票</t>
  </si>
  <si>
    <t>PI-20141022A</t>
  </si>
  <si>
    <t>MOXA EDS-P206A-4PoE-S-SC</t>
  </si>
  <si>
    <t>CE0337815413</t>
  </si>
  <si>
    <t>MOXA AWK-4121-EU-T</t>
  </si>
  <si>
    <t>330-14101076</t>
  </si>
  <si>
    <t>PI-20141022B</t>
  </si>
  <si>
    <t>CZ 5099177</t>
  </si>
  <si>
    <t>330-14100101</t>
  </si>
  <si>
    <t>PI-20141022C</t>
  </si>
  <si>
    <t>MOXA NPort W2150A w/ China Adapter</t>
  </si>
  <si>
    <t>CE 36928123</t>
  </si>
  <si>
    <t>2014/10/30發票交由老闆</t>
  </si>
  <si>
    <t>PO201410220003</t>
  </si>
  <si>
    <t>PI-20141022D</t>
  </si>
  <si>
    <t>CZ 52099151</t>
  </si>
  <si>
    <t>PO29011</t>
  </si>
  <si>
    <t>PI-20141023A</t>
  </si>
  <si>
    <t>PO20141023A</t>
  </si>
  <si>
    <t>CE 36928119</t>
  </si>
  <si>
    <t>2014/10/28發票隨貨寄出</t>
  </si>
  <si>
    <t>PO29006</t>
  </si>
  <si>
    <t>PI-20141023B</t>
  </si>
  <si>
    <t>PO20141023AB</t>
  </si>
  <si>
    <t>CE 36928120</t>
  </si>
  <si>
    <t>ADAM-4117-AE</t>
  </si>
  <si>
    <t>PI-20141024A</t>
  </si>
  <si>
    <t>(255)141023</t>
  </si>
  <si>
    <t>CG03376E8276</t>
  </si>
  <si>
    <t>PI-20141027A</t>
  </si>
  <si>
    <t>MOXA Nport 5610-8</t>
  </si>
  <si>
    <t>PO-20141027A</t>
  </si>
  <si>
    <t>CE0337814695</t>
  </si>
  <si>
    <t>PO201410270016</t>
  </si>
  <si>
    <t>PI-20141027B</t>
  </si>
  <si>
    <t>NPort-5210 w/ adapter USA</t>
  </si>
  <si>
    <t>PO-20141027B</t>
  </si>
  <si>
    <t>CZ 52099155</t>
  </si>
  <si>
    <t>PI-20141028A</t>
  </si>
  <si>
    <t>PI-20141028B</t>
  </si>
  <si>
    <t>EBX-A2 NRE ( w/ 5 Pcs Samples)</t>
  </si>
  <si>
    <t>Forster負責</t>
  </si>
  <si>
    <t>Unigens
永和辦公室</t>
  </si>
  <si>
    <t>T</t>
  </si>
  <si>
    <t>銀行帳號: 143100002991 
銀行名稱: 華南商業銀行</t>
  </si>
  <si>
    <t>CZ 38045126</t>
  </si>
  <si>
    <t>2014/12/26業務取走給廠商</t>
  </si>
  <si>
    <t>EBX-U2 Coversink</t>
  </si>
  <si>
    <t>PO29085</t>
  </si>
  <si>
    <t>PI-20141029B</t>
  </si>
  <si>
    <t>PO-20141029B</t>
  </si>
  <si>
    <t>CZ 52099150</t>
  </si>
  <si>
    <t>PI-20141103A</t>
  </si>
  <si>
    <t>MOXA C168H/PCI</t>
  </si>
  <si>
    <t>PO-20141103A</t>
  </si>
  <si>
    <t>CZ 52099161</t>
  </si>
  <si>
    <t>MOXA CBL-M62M9x8-100 (OPT8D)</t>
  </si>
  <si>
    <t>(259)141104</t>
  </si>
  <si>
    <t>PO29142</t>
  </si>
  <si>
    <t>PI-20141104A</t>
  </si>
  <si>
    <t>PO-20141104A</t>
  </si>
  <si>
    <t>CZ 52099160</t>
  </si>
  <si>
    <t>PO29152</t>
  </si>
  <si>
    <t>PI-20141105A</t>
  </si>
  <si>
    <t xml:space="preserve"> NPort IA5450AI-T</t>
  </si>
  <si>
    <t>CZ 38045112-此張作廢
已改CZ38045117</t>
  </si>
  <si>
    <t>201412/18掛號寄出
改的發票已和PO29615隨貨寄出</t>
  </si>
  <si>
    <t>PI-20141106A</t>
  </si>
  <si>
    <t>PO-20141106A</t>
  </si>
  <si>
    <t>CZ 52099162</t>
  </si>
  <si>
    <t>PO29177</t>
  </si>
  <si>
    <t>PI-20141106B</t>
  </si>
  <si>
    <t>PO-20141106B</t>
  </si>
  <si>
    <t>PI-20141106C</t>
  </si>
  <si>
    <t>USB-4704-AE</t>
  </si>
  <si>
    <t>PO-20141106C</t>
  </si>
  <si>
    <t>PI-20141106D</t>
  </si>
  <si>
    <t>PO-20141106D</t>
  </si>
  <si>
    <t>CG03376G3286</t>
  </si>
  <si>
    <t>HDD</t>
  </si>
  <si>
    <t>聯沃(WD)</t>
  </si>
  <si>
    <t>彰化銀行  吉林分行
3003-01-88889-7-00</t>
  </si>
  <si>
    <t>PO201411060021</t>
  </si>
  <si>
    <t>PI-20141106E</t>
  </si>
  <si>
    <t>PO-20141106E</t>
  </si>
  <si>
    <t>CZ 52099164</t>
  </si>
  <si>
    <t>2014/11/13發票掛號寄出</t>
  </si>
  <si>
    <t>PI-20141107A</t>
  </si>
  <si>
    <t>MOXA AWK-5222-EU</t>
  </si>
  <si>
    <t>PO-20141107A</t>
  </si>
  <si>
    <t>CE0337815910</t>
  </si>
  <si>
    <t>MOXA EDS-P206A-4PoE</t>
  </si>
  <si>
    <t>PI-20141107B</t>
  </si>
  <si>
    <t>MOXA TCC-100I</t>
  </si>
  <si>
    <t>PO-20141107B</t>
  </si>
  <si>
    <t>CE0337814954</t>
  </si>
  <si>
    <t>PO29200</t>
  </si>
  <si>
    <t>PI-20141107C-1</t>
  </si>
  <si>
    <t>PO-20141107C</t>
  </si>
  <si>
    <t>CZ 38045105</t>
  </si>
  <si>
    <t>2014/12/10發票隨貨寄出</t>
  </si>
  <si>
    <t>PI-20141107C-2</t>
  </si>
  <si>
    <t>CZ 38045108</t>
  </si>
  <si>
    <t>2014/12/16發票隨貨寄出</t>
  </si>
  <si>
    <t>PI-20141112A</t>
  </si>
  <si>
    <t>CFAST SATA3 3ME MLC 16GB 
 DECFA-16GD07RC2DC</t>
  </si>
  <si>
    <t>FIONA</t>
  </si>
  <si>
    <t>innodisk</t>
  </si>
  <si>
    <t>PO-20141112A</t>
  </si>
  <si>
    <t>CX0322387UFE</t>
  </si>
  <si>
    <t>bank fee</t>
  </si>
  <si>
    <t>-</t>
  </si>
  <si>
    <t>PO29251</t>
  </si>
  <si>
    <t>PI-20141112B</t>
  </si>
  <si>
    <t>PO-20141112B</t>
  </si>
  <si>
    <t>CZ 38045130</t>
  </si>
  <si>
    <t>2014/12/30發票隨貨寄出</t>
  </si>
  <si>
    <t>PO29262</t>
  </si>
  <si>
    <t>PI-20141113A</t>
  </si>
  <si>
    <t>PO-20141113A</t>
  </si>
  <si>
    <t>CZ 52099169</t>
  </si>
  <si>
    <t>2014/11/18發票隨貨寄出</t>
  </si>
  <si>
    <t>PI-20141113B</t>
  </si>
  <si>
    <t>MOXA NPort Z2150-T</t>
  </si>
  <si>
    <t>PO-20141113B</t>
  </si>
  <si>
    <t>CE0337816242</t>
  </si>
  <si>
    <t>PO29278</t>
  </si>
  <si>
    <t>PI-20141117A</t>
  </si>
  <si>
    <t>PO-20141117A</t>
  </si>
  <si>
    <t>CZ 52099171</t>
  </si>
  <si>
    <t>2014/11/25發票隨貨寄出</t>
  </si>
  <si>
    <t>PI-20141117B</t>
  </si>
  <si>
    <t>PO-20141117B</t>
  </si>
  <si>
    <t>CZ 38045109</t>
  </si>
  <si>
    <t>PI-20141118A</t>
  </si>
  <si>
    <t>MOXA  ioLogik E2214</t>
  </si>
  <si>
    <t>PO-20141118A</t>
  </si>
  <si>
    <t>CE0337816347</t>
  </si>
  <si>
    <t>MOXA  LDP1602</t>
  </si>
  <si>
    <t>MOXA  ioLogik E2242</t>
  </si>
  <si>
    <t>PO201411180008</t>
  </si>
  <si>
    <t>PI-20141118B</t>
  </si>
  <si>
    <t>MOXA Uport 1150i</t>
  </si>
  <si>
    <t>PO-20141118B</t>
  </si>
  <si>
    <t>CZ 52099170</t>
  </si>
  <si>
    <t>2014/11/25發票掛號寄出</t>
  </si>
  <si>
    <t>PI-20141119A</t>
  </si>
  <si>
    <t>TS16GCFX300</t>
  </si>
  <si>
    <t xml:space="preserve"> DHL 951138041. </t>
  </si>
  <si>
    <t>PO-20141119A</t>
  </si>
  <si>
    <t>delivery with 
PI-20141112A</t>
  </si>
  <si>
    <t>PO29338</t>
  </si>
  <si>
    <t>PI-20141120A</t>
  </si>
  <si>
    <t>PO-20141120A</t>
  </si>
  <si>
    <t>CZ 52099172</t>
  </si>
  <si>
    <t>PO29344</t>
  </si>
  <si>
    <t>PI-20141120B</t>
  </si>
  <si>
    <t>PO-20141120B</t>
  </si>
  <si>
    <t>CZ 38045103</t>
  </si>
  <si>
    <t>2014/12/10隨1203B貨寄出</t>
  </si>
  <si>
    <t>PI-20141121A</t>
  </si>
  <si>
    <t>MOXA EDS-P206A-4PoE-S-SC-T</t>
  </si>
  <si>
    <t>PO-20141121A</t>
  </si>
  <si>
    <t>Meanwell DRP-240-48</t>
  </si>
  <si>
    <t>mealwell(贊翔)</t>
  </si>
  <si>
    <t>PI-20141121B</t>
  </si>
  <si>
    <t>MOXA CP-168U</t>
  </si>
  <si>
    <t>PO-20141121B</t>
  </si>
  <si>
    <t>CZ 38045101
12/8客戶反應發票地址寫錯，故重開CZ 38045102</t>
  </si>
  <si>
    <t>2014/12/03發票掛號寄出
重開發票2014/12/09掛號寄出</t>
  </si>
  <si>
    <t>MOXA OPT8B</t>
  </si>
  <si>
    <t>PO29374</t>
  </si>
  <si>
    <t>PI-20141125A</t>
  </si>
  <si>
    <t>PO-20141125A</t>
  </si>
  <si>
    <t>CZ 52099178</t>
  </si>
  <si>
    <t>2014/11/27發票隨貨寄出</t>
  </si>
  <si>
    <t>PI-20141127B</t>
  </si>
  <si>
    <t>MOXA EDS-305-M-SC</t>
  </si>
  <si>
    <t>PO-20141127B</t>
  </si>
  <si>
    <t>PO29397</t>
  </si>
  <si>
    <t>PI-20141127A</t>
  </si>
  <si>
    <t>PO-20141127A</t>
  </si>
  <si>
    <t>CZ 38045100</t>
  </si>
  <si>
    <t>2014/12/02發票隨貨寄出</t>
  </si>
  <si>
    <t>PI-20141202A-R</t>
  </si>
  <si>
    <t>MOXA NPort 5450 w/ UK adapter</t>
  </si>
  <si>
    <t>PO-20141202A-R</t>
  </si>
  <si>
    <t>PO29456-R</t>
  </si>
  <si>
    <t>PI-20141203A</t>
  </si>
  <si>
    <t>ADAM-3962-AE</t>
  </si>
  <si>
    <t>PO-20141203A</t>
  </si>
  <si>
    <t>CZ 38045106</t>
  </si>
  <si>
    <t>PI-20141203C</t>
  </si>
  <si>
    <t>PO-20141203C</t>
  </si>
  <si>
    <t>CZ 38045121</t>
  </si>
  <si>
    <t>12/23/2014隨貨寄出</t>
  </si>
  <si>
    <t>PO29473</t>
  </si>
  <si>
    <t>PI-20141203B</t>
  </si>
  <si>
    <t>PO-20141203B</t>
  </si>
  <si>
    <t>CZ 38045104</t>
  </si>
  <si>
    <t xml:space="preserve">CB14-688 </t>
  </si>
  <si>
    <t>PI-20141204A</t>
  </si>
  <si>
    <t>"BCN944249 ECONOMY "</t>
  </si>
  <si>
    <t>PO-20141204A-3</t>
  </si>
  <si>
    <t>CG03376H7755</t>
  </si>
  <si>
    <t>axiomtek</t>
  </si>
  <si>
    <t>PO-20141204A-1</t>
  </si>
  <si>
    <t>PO-20141204A-2</t>
  </si>
  <si>
    <t xml:space="preserve">testing </t>
  </si>
  <si>
    <t>PH-1204/14UG</t>
  </si>
  <si>
    <t>PI-20141205A</t>
  </si>
  <si>
    <t>Moxa TCC-100I-T</t>
  </si>
  <si>
    <t>PO-20141205A</t>
  </si>
  <si>
    <t>CZ 38045107</t>
  </si>
  <si>
    <t>2014/12/12掛號寄出</t>
  </si>
  <si>
    <t>Pegatron
和碩聯合科技</t>
  </si>
  <si>
    <t>PI-20141209A-R</t>
  </si>
  <si>
    <t>Axiomtek PICO831VGA-N2800 w/ IO Board &amp; Accessory</t>
  </si>
  <si>
    <t>PO-20141209A</t>
  </si>
  <si>
    <t xml:space="preserve">CZ 38045110-此張作廢
已改CZ38045116
</t>
  </si>
  <si>
    <t>201412/17業務隨貨出貨</t>
  </si>
  <si>
    <t>Axiomtek PICO880PGA-i7 4650U</t>
  </si>
  <si>
    <t>AX93276</t>
  </si>
  <si>
    <t>PO-20141209A-R</t>
  </si>
  <si>
    <t>PI-20141210A</t>
  </si>
  <si>
    <t>MOXA TCF-142-M-ST-T</t>
  </si>
  <si>
    <t>PO-20141210A</t>
  </si>
  <si>
    <t>CE0337816711</t>
  </si>
  <si>
    <t>MOXA DK35A</t>
  </si>
  <si>
    <t>PO29530</t>
  </si>
  <si>
    <t>PI-20141210B</t>
  </si>
  <si>
    <t>PO-20141210B</t>
  </si>
  <si>
    <t>CZ 38045123</t>
  </si>
  <si>
    <t>PO29529</t>
  </si>
  <si>
    <t>PI-20141210C</t>
  </si>
  <si>
    <t>MOXA C104H/PCI-DB9M</t>
  </si>
  <si>
    <t>PO-20141210C</t>
  </si>
  <si>
    <t>CZ 38045114</t>
  </si>
  <si>
    <t>2014/12/18掛號寄出</t>
  </si>
  <si>
    <t>PI-20141211A</t>
  </si>
  <si>
    <t>PO-20141211A-1</t>
  </si>
  <si>
    <t>CZ 38045111</t>
  </si>
  <si>
    <t>CBL-M62M9x8-100 (OPT 8D)RS-232 cable</t>
  </si>
  <si>
    <t>PO-20141211A-2 / (276)141212</t>
  </si>
  <si>
    <t>2014/12/18隨貨出貨</t>
  </si>
  <si>
    <t>PO29561</t>
  </si>
  <si>
    <t>PI-20141212A</t>
  </si>
  <si>
    <t>C218T/PCI</t>
  </si>
  <si>
    <t>PO-20141212A</t>
  </si>
  <si>
    <t>CZ 38045118</t>
  </si>
  <si>
    <t>2014/12/25掛號寄出</t>
  </si>
  <si>
    <t>PI-20141212C</t>
  </si>
  <si>
    <t>IEX-402-VDSL2</t>
  </si>
  <si>
    <t>PO-20141212C</t>
  </si>
  <si>
    <t>PI-20141216A</t>
  </si>
  <si>
    <t>PO-20141216A-1</t>
  </si>
  <si>
    <t>CZ 38045120</t>
  </si>
  <si>
    <t>2014/12/22隨貨出貨</t>
  </si>
  <si>
    <t>Unigens-永和office</t>
  </si>
  <si>
    <t>PO-20141216A-2 / (268)141217</t>
  </si>
  <si>
    <t>PO29615</t>
  </si>
  <si>
    <t>PI-20141217A</t>
  </si>
  <si>
    <t>PO-20141217A</t>
  </si>
  <si>
    <t>CZ 38045124</t>
  </si>
  <si>
    <t>PO29631</t>
  </si>
  <si>
    <t>PI-20141218A</t>
  </si>
  <si>
    <t>PO-20141218A</t>
  </si>
  <si>
    <t>CZ 38045125</t>
  </si>
  <si>
    <t>PO201412180005</t>
  </si>
  <si>
    <t>PI-20141218B</t>
  </si>
  <si>
    <t xml:space="preserve">Uport 1110 </t>
  </si>
  <si>
    <t>PO-20141218B</t>
  </si>
  <si>
    <t>CZ 38045128</t>
  </si>
  <si>
    <t>PI-20141222A</t>
  </si>
  <si>
    <t>Nport 6610-32 with UK Adapter</t>
  </si>
  <si>
    <t>PO- 20141222A</t>
  </si>
  <si>
    <t>PO-P-I140168</t>
  </si>
  <si>
    <t>PI-20141222C</t>
  </si>
  <si>
    <t>PO-20141222C</t>
  </si>
  <si>
    <t>CX032239BAQ7</t>
  </si>
  <si>
    <t>EDS-316</t>
  </si>
  <si>
    <t>Lazenby</t>
  </si>
  <si>
    <t>Client
客戶</t>
  </si>
  <si>
    <t>Unit Price
單價</t>
  </si>
  <si>
    <t xml:space="preserve">Total 
總價 </t>
  </si>
  <si>
    <t>Shipping Info
運輸方式</t>
  </si>
  <si>
    <t>Delivery 
預計出貨日</t>
  </si>
  <si>
    <t>供應商訂單號
Order No</t>
  </si>
  <si>
    <t>供應商
付款確認
confirmation</t>
  </si>
  <si>
    <t>帳號
account</t>
  </si>
  <si>
    <t>美金付款金額
payment</t>
  </si>
  <si>
    <t>台幣付款金額
payment</t>
  </si>
  <si>
    <t>發票日期
Invoice Date</t>
  </si>
  <si>
    <t>發票金額
Invoice amount</t>
  </si>
  <si>
    <t>報關單號
Custom Number</t>
  </si>
  <si>
    <t>PO12047</t>
  </si>
  <si>
    <t>PI-20130403</t>
  </si>
  <si>
    <t>Schenker 信可</t>
  </si>
  <si>
    <t>銀行代號006
帳號: 8989029170405</t>
  </si>
  <si>
    <t>US$11579.4</t>
  </si>
  <si>
    <t>CW0201300425</t>
  </si>
  <si>
    <t>20130416及0417</t>
  </si>
  <si>
    <t xml:space="preserve">Nport 5450 </t>
  </si>
  <si>
    <t>602512276N_1</t>
  </si>
  <si>
    <t>PI-20121121A_1</t>
  </si>
  <si>
    <t>Special TNT</t>
  </si>
  <si>
    <t>YES.20130307</t>
  </si>
  <si>
    <t>CG0237625231</t>
  </si>
  <si>
    <t>PO118972­1</t>
  </si>
  <si>
    <t>PI-20121219B</t>
  </si>
  <si>
    <t>CP-­118EL-­A</t>
  </si>
  <si>
    <t>FedEx Priority  128196064</t>
  </si>
  <si>
    <t>YES.
20130205</t>
  </si>
  <si>
    <t>US$2047.5</t>
  </si>
  <si>
    <t>CF02550E0286</t>
  </si>
  <si>
    <t xml:space="preserve"> PO 602513004E</t>
  </si>
  <si>
    <t>PI-20130116A</t>
  </si>
  <si>
    <t xml:space="preserve">RS75-15 </t>
  </si>
  <si>
    <t>PHARMS</t>
  </si>
  <si>
    <t>PH-0115 CTB</t>
  </si>
  <si>
    <t xml:space="preserve">C218 TURBO/PCI </t>
  </si>
  <si>
    <t xml:space="preserve">Abi </t>
  </si>
  <si>
    <t>US$478.8</t>
  </si>
  <si>
    <t>內銷(2013/01/19發票寄出)</t>
  </si>
  <si>
    <t xml:space="preserve">      </t>
  </si>
  <si>
    <t xml:space="preserve">OPT8-M9    </t>
  </si>
  <si>
    <t>Abi</t>
  </si>
  <si>
    <t>PI-20130122A</t>
  </si>
  <si>
    <t>TNT  87613 (Economy)</t>
  </si>
  <si>
    <t>US$1297.80</t>
  </si>
  <si>
    <t>CG0237611713</t>
  </si>
  <si>
    <t>PI-20130102A</t>
  </si>
  <si>
    <t>戎克付EMS</t>
  </si>
  <si>
    <t>YES20130409</t>
  </si>
  <si>
    <t>US$2044.5</t>
  </si>
  <si>
    <t>維修品無發票</t>
  </si>
  <si>
    <t>PI-20130125A</t>
  </si>
  <si>
    <t>S-100F-24</t>
  </si>
  <si>
    <t>台騑空運</t>
  </si>
  <si>
    <t>CW0235501534</t>
  </si>
  <si>
    <t>PO 602513027F</t>
  </si>
  <si>
    <t>PI-20130221A</t>
  </si>
  <si>
    <t xml:space="preserve">62205AN.HMWEB  915344  </t>
  </si>
  <si>
    <t>建智</t>
  </si>
  <si>
    <t>YES.20130225</t>
  </si>
  <si>
    <t>PO13000045UNI</t>
  </si>
  <si>
    <t>PI-20130307A</t>
  </si>
  <si>
    <t>CP-114IS-DB9M</t>
  </si>
  <si>
    <t>2018699 Economy</t>
  </si>
  <si>
    <t>US$506.1</t>
  </si>
  <si>
    <t>CG0237626160</t>
  </si>
  <si>
    <t>PO13000054UNI</t>
  </si>
  <si>
    <t>PI-20130311A</t>
  </si>
  <si>
    <t>OPT8D-2M - CBL-M62M9x8-200</t>
  </si>
  <si>
    <t xml:space="preserve">2018699 Economy </t>
  </si>
  <si>
    <t>銀行代號008
帳號: 183-10-0007773</t>
  </si>
  <si>
    <t>PI-20130311B</t>
  </si>
  <si>
    <t> UPS- 0341W3</t>
  </si>
  <si>
    <t>YES20130410</t>
  </si>
  <si>
    <t>代碼：021 
帳號：5-028523-019</t>
  </si>
  <si>
    <t>CU0257BF1994</t>
  </si>
  <si>
    <t>Power Adapter1757002161</t>
  </si>
  <si>
    <t>代碼：021
帳號：5-028523-019</t>
  </si>
  <si>
    <t>PO 602513042M</t>
  </si>
  <si>
    <t>PI-20130325A_1</t>
  </si>
  <si>
    <t>TNT002004901
  Express </t>
  </si>
  <si>
    <t>YES20130520</t>
  </si>
  <si>
    <t>CR0237653544</t>
  </si>
  <si>
    <t>PI-20130325A_2</t>
  </si>
  <si>
    <t>TNT002004901
  Express</t>
  </si>
  <si>
    <t>YES20130520
YES20130705</t>
  </si>
  <si>
    <t>PH-000445</t>
  </si>
  <si>
    <t>US$1436.4</t>
  </si>
  <si>
    <t>內銷(2013/04/01發票寄出)</t>
  </si>
  <si>
    <t>PI-20130408A</t>
  </si>
  <si>
    <t>NPort 5650-8-DT</t>
  </si>
  <si>
    <t>US$387</t>
  </si>
  <si>
    <t>CG0237639063</t>
  </si>
  <si>
    <t>Perfectron</t>
  </si>
  <si>
    <t xml:space="preserve"> PO130408021</t>
  </si>
  <si>
    <t>PI-20130408B</t>
  </si>
  <si>
    <t>C218Turbo/PCI w/ CBL-M62M9x8-100 (OPT8D)</t>
  </si>
  <si>
    <t>US$775</t>
  </si>
  <si>
    <t>內銷(2013/04/16發票寄出)</t>
  </si>
  <si>
    <t xml:space="preserve"> UPort 1110</t>
  </si>
  <si>
    <t>PO130422003</t>
  </si>
  <si>
    <t>PI-20130423A</t>
  </si>
  <si>
    <t>EDS- 205A</t>
  </si>
  <si>
    <t>YES 20130508</t>
  </si>
  <si>
    <t>USD$3624.6_1</t>
  </si>
  <si>
    <t>內銷(2013/04/26發票寄出)</t>
  </si>
  <si>
    <t>4/23/0203</t>
  </si>
  <si>
    <t>Mastec</t>
  </si>
  <si>
    <t>I4745</t>
  </si>
  <si>
    <t>PI- 20130423B</t>
  </si>
  <si>
    <t>Nport 5110</t>
  </si>
  <si>
    <t>DHL account # 962797349</t>
  </si>
  <si>
    <t>CX0222311BUB</t>
  </si>
  <si>
    <t>NPort-5410</t>
  </si>
  <si>
    <t>PO130425001</t>
  </si>
  <si>
    <t>PI-20130424A</t>
  </si>
  <si>
    <t>C218Turbo/PCI w/o cable</t>
  </si>
  <si>
    <t>內銷(2013/05/17發票隨貨出)</t>
  </si>
  <si>
    <t>USD$4403.18_1</t>
  </si>
  <si>
    <t>EDS-305-M-ST</t>
  </si>
  <si>
    <t>巨邦/戎克</t>
  </si>
  <si>
    <t>YES 20130507</t>
  </si>
  <si>
    <t>銀行代號：005
帳號：115-001-00769-8</t>
  </si>
  <si>
    <t>Cable for MOXA C218Turbo/PCI
(CBL-M62M9X8-100)</t>
  </si>
  <si>
    <t>PI-20130424B</t>
  </si>
  <si>
    <t>CG0237652629</t>
  </si>
  <si>
    <t>PI-20130426A</t>
  </si>
  <si>
    <t>OPT8D-1M</t>
  </si>
  <si>
    <t>CG0237653807</t>
  </si>
  <si>
    <t xml:space="preserve"> OPT8C</t>
  </si>
  <si>
    <t>PI-20130429A-1</t>
  </si>
  <si>
    <t>CP-168U-V2</t>
  </si>
  <si>
    <t>OPT8D-2M (DB-9M TORRETA
MACHO)</t>
  </si>
  <si>
    <t>PI-20130429A-2</t>
  </si>
  <si>
    <t>TNT 2018699
(Economy)</t>
  </si>
  <si>
    <t>US$7034.99_1</t>
  </si>
  <si>
    <t>CG0237658275</t>
  </si>
  <si>
    <t>PI-20130507A</t>
  </si>
  <si>
    <t>PI-20130507B</t>
  </si>
  <si>
    <t>EDS-205A( 5 and 8-port unmanaged Ethernet switches)</t>
  </si>
  <si>
    <t>Eurolink</t>
  </si>
  <si>
    <t>2013063UG</t>
  </si>
  <si>
    <t>PI-20130508A</t>
  </si>
  <si>
    <t>DHL (Account # 960510117)</t>
  </si>
  <si>
    <t>CX0222312HRD</t>
  </si>
  <si>
    <t>PI-20130513A</t>
  </si>
  <si>
    <t>內銷(2013/05/24發票寄出)</t>
  </si>
  <si>
    <t>MOXA EDR-G902</t>
  </si>
  <si>
    <t>PI-20130520A</t>
  </si>
  <si>
    <t>MOXA MGate 4101-MB-PBS</t>
  </si>
  <si>
    <t>內銷(2013/06/07發票寄出)</t>
  </si>
  <si>
    <t>PO-602513066X</t>
  </si>
  <si>
    <t>PI-20130522A_1</t>
  </si>
  <si>
    <t>CG0237686846</t>
  </si>
  <si>
    <t>PI-20130522A_2</t>
  </si>
  <si>
    <t>CG02376B2976</t>
  </si>
  <si>
    <t>PI-20130521A</t>
  </si>
  <si>
    <t>Nport NP6610-32</t>
  </si>
  <si>
    <t xml:space="preserve">Essential </t>
  </si>
  <si>
    <t>PI-20130406A</t>
  </si>
  <si>
    <t>TR-600</t>
  </si>
  <si>
    <t>Soba</t>
  </si>
  <si>
    <t>環天</t>
  </si>
  <si>
    <t>YES</t>
  </si>
  <si>
    <t>提款卡 
帳號：1449717715013</t>
  </si>
  <si>
    <t>CA0248920132</t>
  </si>
  <si>
    <t>TK103-2</t>
  </si>
  <si>
    <t>大陸</t>
  </si>
  <si>
    <t>信用卡</t>
  </si>
  <si>
    <t>US$107</t>
  </si>
  <si>
    <t>PI-20130406A_1</t>
  </si>
  <si>
    <t>PadFone Infinity 64G</t>
  </si>
  <si>
    <t>崑碁電腦</t>
  </si>
  <si>
    <t>103 100 46870 第一銀行忠孝路分行</t>
  </si>
  <si>
    <t>CA0248920270</t>
  </si>
  <si>
    <t xml:space="preserve">此行不填寫. 代表由這行開始. 交由Chloe 管財務. Tammy 管Moxa
</t>
  </si>
  <si>
    <t>PH - 7/136</t>
  </si>
  <si>
    <t>PI-20130604B</t>
  </si>
  <si>
    <t>合作金庫-5355-665-004610</t>
  </si>
  <si>
    <t>US$3985.8</t>
  </si>
  <si>
    <t>內銷(2013/07/10發票隨貨寄出)</t>
  </si>
  <si>
    <t>CBL-F40M9x4-50</t>
  </si>
  <si>
    <t>郵局/戎克</t>
  </si>
  <si>
    <t>PI-20130604B-1</t>
  </si>
  <si>
    <t>US$3679.2</t>
  </si>
  <si>
    <t>內銷(2013/07/24發票隨貨寄出)</t>
  </si>
  <si>
    <t>PI-20130604A</t>
  </si>
  <si>
    <t xml:space="preserve">UPort 1150
</t>
  </si>
  <si>
    <t>US$54.6</t>
  </si>
  <si>
    <t>內銷(2013/06/18發票掛號寄出)</t>
  </si>
  <si>
    <t>PI-20130605A</t>
  </si>
  <si>
    <t>US$10609.20</t>
  </si>
  <si>
    <t>CW0201322391</t>
  </si>
  <si>
    <t>Ayc</t>
  </si>
  <si>
    <t>PI-20130612A</t>
  </si>
  <si>
    <t>TNT 2018699     (Economy)</t>
  </si>
  <si>
    <t>PI#210-13060166</t>
  </si>
  <si>
    <t>CG0237672580</t>
  </si>
  <si>
    <t>NISE 2020</t>
  </si>
  <si>
    <t>PO130619027</t>
  </si>
  <si>
    <t>PI-20130614A</t>
  </si>
  <si>
    <t>US$178.50</t>
  </si>
  <si>
    <t>內銷(2013/07/04發票掛號寄出)</t>
  </si>
  <si>
    <t>Varisys Ltd.</t>
  </si>
  <si>
    <t>PO7810</t>
  </si>
  <si>
    <t>PI-20130619A</t>
  </si>
  <si>
    <t>AFL-08AH-N270</t>
  </si>
  <si>
    <t>UPS SAVER #44X36F</t>
  </si>
  <si>
    <t>兆豐帳號： 042-09-80877-7</t>
  </si>
  <si>
    <t>CU0257BH8135</t>
  </si>
  <si>
    <t>PI-20130610A</t>
  </si>
  <si>
    <t xml:space="preserve">16GB CF card </t>
  </si>
  <si>
    <t>PC home</t>
  </si>
  <si>
    <t>by PC home</t>
  </si>
  <si>
    <t>Santiago 信用卡已付</t>
  </si>
  <si>
    <t>PO130625027</t>
  </si>
  <si>
    <t>PI-20130619B</t>
  </si>
  <si>
    <t>TCC-120I</t>
  </si>
  <si>
    <t>US$821.1</t>
  </si>
  <si>
    <t>內銷(2013/07/03發票掛號寄出)</t>
  </si>
  <si>
    <t>NPort 5610-8-DTL</t>
  </si>
  <si>
    <t>PI-20130626A</t>
  </si>
  <si>
    <t>US$4527.6</t>
  </si>
  <si>
    <t>內銷(2013/07/18發票掛號寄出)</t>
  </si>
  <si>
    <t>PO130701005</t>
  </si>
  <si>
    <t>PI-20130701A</t>
  </si>
  <si>
    <t>US$1940.4</t>
  </si>
  <si>
    <t>PI-20130625A</t>
  </si>
  <si>
    <t xml:space="preserve">NPort 5450
</t>
  </si>
  <si>
    <t>US$3706.5</t>
  </si>
  <si>
    <t>CU0257BH8090</t>
  </si>
  <si>
    <t>PH-0630UG</t>
  </si>
  <si>
    <t>PI-20130709A</t>
  </si>
  <si>
    <t>US$1502.55</t>
  </si>
  <si>
    <t>2013083/UG</t>
  </si>
  <si>
    <t>PI-20130705A</t>
  </si>
  <si>
    <t>EDS-P506A-4PoE-SS-SC-T</t>
  </si>
  <si>
    <t>DHL # 960510117</t>
  </si>
  <si>
    <t>US$2881.2</t>
  </si>
  <si>
    <t>CX0222372CEK</t>
  </si>
  <si>
    <t>PI-20130717A</t>
  </si>
  <si>
    <t>CR0237681374</t>
  </si>
  <si>
    <t>PO130717003</t>
  </si>
  <si>
    <t>PI-20130717B</t>
  </si>
  <si>
    <t>US$1617</t>
  </si>
  <si>
    <t>內銷(2013/08/08發票掛號寄出)8/15重寄</t>
  </si>
  <si>
    <t>US$11319</t>
  </si>
  <si>
    <t>內銷(2013/08/26發票掛號寄出)</t>
  </si>
  <si>
    <t>PO130724019</t>
  </si>
  <si>
    <t>PI-20130725A</t>
  </si>
  <si>
    <t>EDS-205A-T</t>
  </si>
  <si>
    <t>US$16800</t>
  </si>
  <si>
    <t>內銷(2013/08/08發票掛號寄出)</t>
  </si>
  <si>
    <t>PO130724011</t>
  </si>
  <si>
    <t>PI-20130725B</t>
  </si>
  <si>
    <t>US$136.5</t>
  </si>
  <si>
    <t>PI-20130804A</t>
  </si>
  <si>
    <t>US$1436,4</t>
  </si>
  <si>
    <t>PH-000510CTB-1</t>
  </si>
  <si>
    <t>PO130819006</t>
  </si>
  <si>
    <t>PI-20130820A</t>
  </si>
  <si>
    <t>US$67.20</t>
  </si>
  <si>
    <t>PO130830002</t>
  </si>
  <si>
    <t>PI-20130830A</t>
  </si>
  <si>
    <t>NE-4110S</t>
  </si>
  <si>
    <t>US$245.70</t>
  </si>
  <si>
    <t>內銷(2013/09/10發票掛號寄出)</t>
  </si>
  <si>
    <t>PO130902005</t>
  </si>
  <si>
    <t>PI-20130902A</t>
  </si>
  <si>
    <t>US$840</t>
  </si>
  <si>
    <t>內銷(2013/10/24發票掛號寄出)</t>
  </si>
  <si>
    <t>內銷(2013/09/25發票掛號寄出)</t>
  </si>
  <si>
    <t>sample order</t>
  </si>
  <si>
    <t>PI-20130911</t>
  </si>
  <si>
    <t xml:space="preserve">SPECIAL TNT </t>
  </si>
  <si>
    <t>已抵達. 借樣品</t>
  </si>
  <si>
    <t>PH15540691
 (發票號碼)</t>
  </si>
  <si>
    <t>US$162.75</t>
  </si>
  <si>
    <t>上伊美</t>
  </si>
  <si>
    <t>永豐銀行 042001-00011967</t>
  </si>
  <si>
    <t>13000282_1</t>
  </si>
  <si>
    <t>PI-20130919A</t>
  </si>
  <si>
    <t>US$2565.36</t>
  </si>
  <si>
    <t>CG02376B0522</t>
  </si>
  <si>
    <t>PO20130919A</t>
  </si>
  <si>
    <t>13000282_2</t>
  </si>
  <si>
    <t>PI-20130919B</t>
  </si>
  <si>
    <t>US$1603.35</t>
  </si>
  <si>
    <t>CG02376C3820</t>
  </si>
  <si>
    <t>PO20130919B</t>
  </si>
  <si>
    <t>Nexcom</t>
  </si>
  <si>
    <t>330-13100075</t>
  </si>
  <si>
    <t>PI-20130924A</t>
  </si>
  <si>
    <t>US$34387.5</t>
  </si>
  <si>
    <t>內銷(2013/10/29發票掛號寄出)</t>
  </si>
  <si>
    <t>EDR-G902</t>
  </si>
  <si>
    <t>US$43575</t>
  </si>
  <si>
    <t>內銷(2013/11/12發票掛號寄出)</t>
  </si>
  <si>
    <t>US$4725</t>
  </si>
  <si>
    <t>PO130916001</t>
  </si>
  <si>
    <t>PI-20130925A</t>
  </si>
  <si>
    <t>US$646.80</t>
  </si>
  <si>
    <t>內銷(2013/10/03發票掛號寄出)</t>
  </si>
  <si>
    <t>PI-20131003A</t>
  </si>
  <si>
    <t>Meanwell S-100F-24</t>
  </si>
  <si>
    <t>Fedex 1731-9410-2</t>
  </si>
  <si>
    <t>CF025500326U</t>
  </si>
  <si>
    <t>Meanwell RS25-12</t>
  </si>
  <si>
    <t>PO131016001</t>
  </si>
  <si>
    <t>PI-20131016A</t>
  </si>
  <si>
    <t>US$3859.8</t>
  </si>
  <si>
    <t>內銷(2013/11/08發票掛號寄出)</t>
  </si>
  <si>
    <t>PO131016002</t>
  </si>
  <si>
    <t>PI-20131016B</t>
  </si>
  <si>
    <t>PO131016003</t>
  </si>
  <si>
    <t>PI-20131016C</t>
  </si>
  <si>
    <t>Moxa NPort 6250-M-SC</t>
  </si>
  <si>
    <t>PO131016004</t>
  </si>
  <si>
    <t>PI-20131016D</t>
  </si>
  <si>
    <t>MOXA
EDS-P308-T</t>
  </si>
  <si>
    <t>PO131018002</t>
  </si>
  <si>
    <t>PI-20131018A</t>
  </si>
  <si>
    <t>MOXA C218Turbo/PCI
with CBL-M62M9x8-100（OPT8D）</t>
  </si>
  <si>
    <t>US$1248.45</t>
  </si>
  <si>
    <t>PO131018003</t>
  </si>
  <si>
    <t>PI-20131018B</t>
  </si>
  <si>
    <t>MOXA ioLogik R1210</t>
  </si>
  <si>
    <t>PO131018004</t>
  </si>
  <si>
    <t>PI-20131018C</t>
  </si>
  <si>
    <t>MOXA ADP-RJ458P-DB9F</t>
  </si>
  <si>
    <t>PI-20131020A</t>
  </si>
  <si>
    <t>TNTexpress
002004901</t>
  </si>
  <si>
    <t>US$459.9</t>
  </si>
  <si>
    <t>CG02376C6585</t>
  </si>
  <si>
    <t>PH-M7/146</t>
  </si>
  <si>
    <t>US$3832.5</t>
  </si>
  <si>
    <t>內銷(2013/11/18發票與貨掛號寄出)</t>
  </si>
  <si>
    <t>銀行代號008
帳號: 183-10-0007773"</t>
  </si>
  <si>
    <t>PO-131025001</t>
  </si>
  <si>
    <t>PI-20131025A</t>
  </si>
  <si>
    <t>NPort 6610-32 (UK Power Cord)</t>
  </si>
  <si>
    <t>US$1992.9</t>
  </si>
  <si>
    <t>內銷(2013/12/10發票掛號寄出)</t>
  </si>
  <si>
    <t>PO-16</t>
  </si>
  <si>
    <t>PI-20131025B</t>
  </si>
  <si>
    <t>NPort 5232I W/ Adapter</t>
  </si>
  <si>
    <t xml:space="preserve">DHL.969834944 </t>
  </si>
  <si>
    <t>US$764.4</t>
  </si>
  <si>
    <t>CX0222329BCH</t>
  </si>
  <si>
    <t xml:space="preserve">Uport-1110 </t>
  </si>
  <si>
    <t xml:space="preserve">Uport-1130 </t>
  </si>
  <si>
    <t>PO131028001</t>
  </si>
  <si>
    <t>PI-20131029A</t>
  </si>
  <si>
    <t>US$245.7</t>
  </si>
  <si>
    <t>PO131028002</t>
  </si>
  <si>
    <t>PI-20131029B</t>
  </si>
  <si>
    <t>US$646.8</t>
  </si>
  <si>
    <t>內銷(2013/11/14發票掛號寄出)</t>
  </si>
  <si>
    <t>PO131101002</t>
  </si>
  <si>
    <t>PI-20131101A</t>
  </si>
  <si>
    <t xml:space="preserve"> IMC-21-S-SC</t>
  </si>
  <si>
    <t>US$2856</t>
  </si>
  <si>
    <t>內銷(2013/11/21發票掛號寄出)</t>
  </si>
  <si>
    <t>PH-33157</t>
  </si>
  <si>
    <t>CBL-M68M9x8-100</t>
  </si>
  <si>
    <t>US$235.2</t>
  </si>
  <si>
    <t>CP-118EL</t>
  </si>
  <si>
    <t>PO-17</t>
  </si>
  <si>
    <t>PI-20131111A</t>
  </si>
  <si>
    <t xml:space="preserve">合作金庫-5355-665-004610
</t>
  </si>
  <si>
    <t>US$823.2</t>
  </si>
  <si>
    <t>CX0222330GRR</t>
  </si>
  <si>
    <t>PO131111007</t>
  </si>
  <si>
    <t>PI-20131112A</t>
  </si>
  <si>
    <t>EDS-P206A-4PoE-M-ST-T</t>
  </si>
  <si>
    <t>US$4925.5</t>
  </si>
  <si>
    <t>內銷(2013/12/20發票掛號寄出1230重寄)</t>
  </si>
  <si>
    <t>PO131111008</t>
  </si>
  <si>
    <t>PI-20131112B</t>
  </si>
  <si>
    <t>C105</t>
  </si>
  <si>
    <t>PI-20131114B</t>
  </si>
  <si>
    <t>RS-75-15</t>
  </si>
  <si>
    <t>CG02376D4782</t>
  </si>
  <si>
    <t>PI-20131114B-1</t>
  </si>
  <si>
    <t>CG02376E7963</t>
  </si>
  <si>
    <t>PO131119006</t>
  </si>
  <si>
    <t>PI-20131119A</t>
  </si>
  <si>
    <t>EDS-P206A-4PoE</t>
  </si>
  <si>
    <t>US$737.1</t>
  </si>
  <si>
    <t>PI-20131114A</t>
  </si>
  <si>
    <t>US$357</t>
  </si>
  <si>
    <t>CU0257BF8507</t>
  </si>
  <si>
    <t>US$4410</t>
  </si>
  <si>
    <t>內銷(2013/12/13發票掛號寄出)</t>
  </si>
  <si>
    <t>PI-20131127A-1</t>
  </si>
  <si>
    <t xml:space="preserve"> MOXA負責</t>
  </si>
  <si>
    <t>US$31237.5</t>
  </si>
  <si>
    <t>內銷(2014/01/07發票掛號寄出)</t>
  </si>
  <si>
    <t>PO131204017</t>
  </si>
  <si>
    <t>PI-20131204A</t>
  </si>
  <si>
    <t>US$266.8</t>
  </si>
  <si>
    <t>C123</t>
  </si>
  <si>
    <t>PI-20131205A</t>
  </si>
  <si>
    <t xml:space="preserve"> CP-132IS </t>
  </si>
  <si>
    <t>US$368.55</t>
  </si>
  <si>
    <t>PI-20131210A</t>
  </si>
  <si>
    <t>Order Date
訂單確認</t>
  </si>
  <si>
    <t>Transportation
運輸方式/帳號</t>
  </si>
  <si>
    <t>付款金額
payment</t>
  </si>
  <si>
    <t>PI-20111230A</t>
  </si>
  <si>
    <t>ST3250318AS</t>
  </si>
  <si>
    <t>Robert</t>
  </si>
  <si>
    <t xml:space="preserve"> ORD17989</t>
  </si>
  <si>
    <t>聯邦-新店031108000489</t>
  </si>
  <si>
    <t>CG0137604056</t>
  </si>
  <si>
    <t>公司自行吸收</t>
  </si>
  <si>
    <t>PO18591</t>
  </si>
  <si>
    <t>PI-20120110A</t>
  </si>
  <si>
    <t>內銷(無報關單)</t>
  </si>
  <si>
    <t xml:space="preserve">CBL-M62M9x8-100 </t>
  </si>
  <si>
    <t>Masibus</t>
  </si>
  <si>
    <t>缺.但沒關係. 不影響記帳</t>
  </si>
  <si>
    <t>PI-20120125A</t>
  </si>
  <si>
    <t>Nport 5630-16</t>
  </si>
  <si>
    <t>2月2日</t>
  </si>
  <si>
    <t>CX0122372PEP</t>
  </si>
  <si>
    <t>ADAM-4510S-DE</t>
  </si>
  <si>
    <t>銀行代號011                     帳號: 29-10200-000166-7</t>
  </si>
  <si>
    <t>602512177F</t>
  </si>
  <si>
    <t>PI-20120208A
PI-20120208A-1</t>
  </si>
  <si>
    <t>無. 報價單直接簽回</t>
  </si>
  <si>
    <t>YES 0419 全付清</t>
  </si>
  <si>
    <t xml:space="preserve">CR0137641405
CG0137641621
</t>
  </si>
  <si>
    <t xml:space="preserve">602512178F </t>
  </si>
  <si>
    <t>PI-20120228A</t>
  </si>
  <si>
    <t>YES 0502</t>
  </si>
  <si>
    <t>CG0137646780</t>
  </si>
  <si>
    <t xml:space="preserve">弈享科技股份有限公司 
</t>
  </si>
  <si>
    <t>PI-20120210A</t>
  </si>
  <si>
    <t>UNI-Open150</t>
  </si>
  <si>
    <t>勁盛科技</t>
  </si>
  <si>
    <t>PO-20120214A</t>
  </si>
  <si>
    <t>PI-20120301A</t>
  </si>
  <si>
    <t xml:space="preserve"> Cable/CBL-M62M9x8-200</t>
  </si>
  <si>
    <t>YES 20120402</t>
  </si>
  <si>
    <t>CH0160400610</t>
  </si>
  <si>
    <t>602512194F</t>
  </si>
  <si>
    <t>PI-20120308A</t>
  </si>
  <si>
    <t>T010-1301-T320</t>
  </si>
  <si>
    <t>敦吉洪先生</t>
  </si>
  <si>
    <t>貨到付款</t>
  </si>
  <si>
    <t>CR0137625283</t>
  </si>
  <si>
    <t>PI-20120228A-1</t>
  </si>
  <si>
    <t xml:space="preserve">YES 20120612 . 
</t>
  </si>
  <si>
    <t>CG0137663091</t>
  </si>
  <si>
    <t>OF12000178</t>
  </si>
  <si>
    <t>PI-20120329A</t>
  </si>
  <si>
    <t>CH0160401095</t>
  </si>
  <si>
    <t>OPT8-RJ45</t>
  </si>
  <si>
    <t>CP-104JU</t>
  </si>
  <si>
    <t>PI-20120329A-1</t>
  </si>
  <si>
    <t>US$46552.77</t>
  </si>
  <si>
    <t>CW0160401529</t>
  </si>
  <si>
    <t>科技國</t>
  </si>
  <si>
    <t>PI-20120406A</t>
  </si>
  <si>
    <t>EC-1040GBATX/A130A-R30</t>
  </si>
  <si>
    <t>土地銀行
銀行代號：005
帳號：115-001-00769-8</t>
  </si>
  <si>
    <t>內銷(2012/05/11發票寄出)</t>
  </si>
  <si>
    <t xml:space="preserve">KM-088G-EN </t>
  </si>
  <si>
    <t>Masibus FZE</t>
  </si>
  <si>
    <t>ORD/1001/04/2012</t>
  </si>
  <si>
    <t>PI-20120411A</t>
  </si>
  <si>
    <t>EDS-308A- Conformal Coating</t>
  </si>
  <si>
    <t>CX0122383BSP</t>
  </si>
  <si>
    <t>GMS</t>
  </si>
  <si>
    <t>PI-20120411B</t>
  </si>
  <si>
    <t>STO-190WU-LIA</t>
  </si>
  <si>
    <t>凌飛/寶絢</t>
  </si>
  <si>
    <t>凌飛科技有限公司 
永豐商業銀行  
帳號 : 191-001-0001599-5
寶絢科技股份有限公司 
中國信託
帳號023540-193302</t>
  </si>
  <si>
    <t xml:space="preserve">5/18/2012
5/08/2012
</t>
  </si>
  <si>
    <t xml:space="preserve">5977(凌飛)
3475(寶絢)
</t>
  </si>
  <si>
    <t>CF01550JX473</t>
  </si>
  <si>
    <t>602512204A</t>
  </si>
  <si>
    <t>PI-20120412A</t>
  </si>
  <si>
    <t>YES 20120719</t>
  </si>
  <si>
    <t>CG0137678616</t>
  </si>
  <si>
    <t>Order #10183</t>
  </si>
  <si>
    <t>PI-20120321A</t>
  </si>
  <si>
    <t>CW0135504627</t>
  </si>
  <si>
    <t>PI-20120430A</t>
  </si>
  <si>
    <t>5/2/2012
5/8/2012</t>
  </si>
  <si>
    <t xml:space="preserve">714
714
</t>
  </si>
  <si>
    <t>EE663295342TW(走EMS 不報關)</t>
  </si>
  <si>
    <t>PI-20120511A</t>
  </si>
  <si>
    <t>CW0135507119</t>
  </si>
  <si>
    <t>PI-20120511A-1</t>
  </si>
  <si>
    <t>CG0137665170</t>
  </si>
  <si>
    <t>PI-20120511A-2</t>
  </si>
  <si>
    <t>GS40A24-P1J</t>
  </si>
  <si>
    <t>FedEx</t>
  </si>
  <si>
    <t>CF01550NT154</t>
  </si>
  <si>
    <t>Clientron
公信電子</t>
  </si>
  <si>
    <t>PI-20120508A</t>
  </si>
  <si>
    <t>POS485/C48</t>
  </si>
  <si>
    <t>飛捷</t>
  </si>
  <si>
    <t>YES 20120521</t>
  </si>
  <si>
    <t>009
帳號980101-16678900</t>
  </si>
  <si>
    <t>內銷(2012/06/01發票寄出)</t>
  </si>
  <si>
    <t>PI-20120515B</t>
  </si>
  <si>
    <t>S4-122C11P4Z3AD1</t>
  </si>
  <si>
    <t>6月15日</t>
  </si>
  <si>
    <t>宇辰光電</t>
  </si>
  <si>
    <t>銀行代號007
帳號 : 028310-022886</t>
  </si>
  <si>
    <t>CP0130446414</t>
  </si>
  <si>
    <t>CMI-G121I1L-L01</t>
  </si>
  <si>
    <t>YES 20120522</t>
  </si>
  <si>
    <t>銀行 : 臺灣企銀050
帳號 : 002 120 28665</t>
  </si>
  <si>
    <t>AU-G070VW01 V</t>
  </si>
  <si>
    <t>6月11日</t>
  </si>
  <si>
    <t>CU0157BH4937</t>
  </si>
  <si>
    <t>4W0703-S-100</t>
  </si>
  <si>
    <t xml:space="preserve">Bonding </t>
  </si>
  <si>
    <t xml:space="preserve">EMS </t>
  </si>
  <si>
    <t>Chloe</t>
  </si>
  <si>
    <t>運費無發票</t>
  </si>
  <si>
    <t>CU0157BH4937
/CP0130446414</t>
  </si>
  <si>
    <t>Phoebe</t>
  </si>
  <si>
    <t>PI-20110914A</t>
  </si>
  <si>
    <t>C168H-ISA</t>
  </si>
  <si>
    <t>YES 20120612</t>
  </si>
  <si>
    <t>5355-***-***610</t>
  </si>
  <si>
    <t>US$26687.52</t>
  </si>
  <si>
    <t>CW0108851074</t>
  </si>
  <si>
    <t>CBL-M62M62-150</t>
  </si>
  <si>
    <t>PI-20120601A</t>
  </si>
  <si>
    <t>KS-7715</t>
  </si>
  <si>
    <t>7月10日</t>
  </si>
  <si>
    <t>公信會安排提貨</t>
  </si>
  <si>
    <t>振樺</t>
  </si>
  <si>
    <t>內銷(2012/07/10發票寄出)</t>
  </si>
  <si>
    <t>602512237J</t>
  </si>
  <si>
    <t>PI-20120624A</t>
  </si>
  <si>
    <t xml:space="preserve">(1)8/29/2012
(2)10/6/2012
</t>
  </si>
  <si>
    <t>YES 20121004</t>
  </si>
  <si>
    <t xml:space="preserve">(1)9/3/2012
(2)10/4/2012
</t>
  </si>
  <si>
    <t xml:space="preserve">(1)105000
(2)105000
</t>
  </si>
  <si>
    <t xml:space="preserve">(1)CG0137693189
(2)CG01376A7346
</t>
  </si>
  <si>
    <t>602512238J</t>
  </si>
  <si>
    <t>PI-20120627A</t>
  </si>
  <si>
    <t>EB1021</t>
  </si>
  <si>
    <t>崑碁</t>
  </si>
  <si>
    <t>CG0137686833</t>
  </si>
  <si>
    <t>602512239J</t>
  </si>
  <si>
    <t>PI-20120702A</t>
  </si>
  <si>
    <t>PHARM. S.</t>
  </si>
  <si>
    <t>PI-20120709A</t>
  </si>
  <si>
    <t>宅急便</t>
  </si>
  <si>
    <t>YES20120907</t>
  </si>
  <si>
    <t>內銷(2012/08/08發票寄出)</t>
  </si>
  <si>
    <t>PI-20120709B</t>
  </si>
  <si>
    <t>貨運</t>
  </si>
  <si>
    <t>US$3276</t>
  </si>
  <si>
    <t>PO12000474</t>
  </si>
  <si>
    <t>PI-20120918A</t>
  </si>
  <si>
    <t>TNT Economy 87613</t>
  </si>
  <si>
    <t>US$13020</t>
  </si>
  <si>
    <t>CG01376A4521</t>
  </si>
  <si>
    <t>Opt8D (CBL-M62M9x8-100)</t>
  </si>
  <si>
    <t>PO118030­-1</t>
  </si>
  <si>
    <t>PI-20120918A-1</t>
  </si>
  <si>
    <t>FedEx Priority 128196064</t>
  </si>
  <si>
    <t>US$614.25</t>
  </si>
  <si>
    <t>CF01550YP960</t>
  </si>
  <si>
    <t>CBL-­M68M9x8­100</t>
  </si>
  <si>
    <t>FedEx Priority 128196064</t>
  </si>
  <si>
    <t>PO12045</t>
  </si>
  <si>
    <t>PI-20120920A</t>
  </si>
  <si>
    <t xml:space="preserve"> UPS 0341W3
(express saver)</t>
  </si>
  <si>
    <t>US$5695.2</t>
  </si>
  <si>
    <t>CU0157BF7579</t>
  </si>
  <si>
    <t>UPS 0341W3
(express saver)</t>
  </si>
  <si>
    <t>Mgate MB3170</t>
  </si>
  <si>
    <t>PO12046</t>
  </si>
  <si>
    <t>PI-20121016A</t>
  </si>
  <si>
    <t>Forword 信可空運＿</t>
  </si>
  <si>
    <t>YES.20121127</t>
  </si>
  <si>
    <t>US$14789</t>
  </si>
  <si>
    <t>CW0101312268</t>
  </si>
  <si>
    <t>602512255S</t>
  </si>
  <si>
    <t>PI-20121008A</t>
  </si>
  <si>
    <t>CRK-12083101</t>
  </si>
  <si>
    <t>TNT002004901
 Economy Express </t>
  </si>
  <si>
    <t>Bebe</t>
  </si>
  <si>
    <t>YES.20121015</t>
  </si>
  <si>
    <t>渣打銀行
04353000036259</t>
  </si>
  <si>
    <t>CG01376B1310</t>
  </si>
  <si>
    <t>602512263O</t>
  </si>
  <si>
    <t>CRK-12091101</t>
  </si>
  <si>
    <t>TNT002004901
 Economy Express</t>
  </si>
  <si>
    <t>CRK-12091102</t>
  </si>
  <si>
    <t>CRK-12091103</t>
  </si>
  <si>
    <t>CRK-12091104</t>
  </si>
  <si>
    <t>602512267O</t>
  </si>
  <si>
    <t>ETP-CB-4XN02</t>
  </si>
  <si>
    <t>EETI 禾瑞亞</t>
  </si>
  <si>
    <t>M-7/128</t>
  </si>
  <si>
    <t>PI-20121011A</t>
  </si>
  <si>
    <t>郵局快捷</t>
  </si>
  <si>
    <t>YES.20121128</t>
  </si>
  <si>
    <t>內銷(2012/11/28發票寄出)</t>
  </si>
  <si>
    <t>YES.20121225</t>
  </si>
  <si>
    <t>US$3591</t>
  </si>
  <si>
    <t>600412275N</t>
  </si>
  <si>
    <t>PI-20121111A</t>
  </si>
  <si>
    <t>CRK120120601-T</t>
  </si>
  <si>
    <t>和PI-20121121A一起出</t>
  </si>
  <si>
    <t>CG01376D4779</t>
  </si>
  <si>
    <t xml:space="preserve">602512276N_1 </t>
  </si>
  <si>
    <t>PI-20121121A</t>
  </si>
  <si>
    <t>YES.20121211</t>
  </si>
  <si>
    <t>PO12050</t>
  </si>
  <si>
    <t>PI-20121130A</t>
  </si>
  <si>
    <t>YES20130110</t>
  </si>
  <si>
    <t>CU0157BHB149</t>
  </si>
  <si>
    <t>PI-20121130A-1</t>
  </si>
  <si>
    <t>PI-20121219A</t>
  </si>
  <si>
    <t>台騑(備TNT文件)</t>
  </si>
  <si>
    <t>YES20121221</t>
  </si>
  <si>
    <t>CR01376D8987</t>
  </si>
  <si>
    <t>※ O/A 超出 US$3000 由業務決定是否要先行放貨 (Santiago20181003)</t>
  </si>
  <si>
    <t>Sales 
業務</t>
  </si>
  <si>
    <t>USD O/A Amount
美金放帳額度</t>
  </si>
  <si>
    <t>Balanced Date
結算日期</t>
  </si>
  <si>
    <t>Remark
備註</t>
  </si>
  <si>
    <t xml:space="preserve">每月25日結算. 次月1日付款
20160304 因半年沒有訂單.  暫停放帳 </t>
  </si>
  <si>
    <t>Santiago 20140818同意
20141112 寄發通知書
20150212 更新通知書</t>
  </si>
  <si>
    <t>Avalue 安勤科技</t>
  </si>
  <si>
    <t>目前只有一次往來
暫停放帳</t>
  </si>
  <si>
    <t>Santiago 20140625同意
Santaigo 20141103複核</t>
  </si>
  <si>
    <t xml:space="preserve">每月25日結算，次月10日付款
20160304 因半年沒有訂單.  暫停放帳 </t>
  </si>
  <si>
    <t>Santiago 20140625同意
20141112 寄發通知書
若2014/04/31未有交易, 則取消</t>
  </si>
  <si>
    <t>Lanner 立端</t>
  </si>
  <si>
    <t>1. 出貨後14天內付款
2. 20150909 暫停放帳. 不再往來</t>
  </si>
  <si>
    <t>Santiago 20150212 同意
20150212 寄發通知書</t>
  </si>
  <si>
    <t>Etop 億特</t>
  </si>
  <si>
    <t xml:space="preserve">30 % Down Payment, 
70% / 2 weeks upon goods arrival
20160304 因半年沒有訂單.  暫停放帳 </t>
  </si>
  <si>
    <t>Santiago 20140916同意
20141112 寄發通知書</t>
  </si>
  <si>
    <t>Axiomtek 艾訊</t>
  </si>
  <si>
    <t xml:space="preserve">每月25日結算，次月25日付款
20160304 因半年沒有訂單.  暫停放帳 </t>
  </si>
  <si>
    <t>Santiago 20140715同意
20141112 寄發通知書</t>
  </si>
  <si>
    <t xml:space="preserve">每月25日結算，次月25日付款-合庫
20160304 因半年沒有訂單.  暫停放帳 </t>
  </si>
  <si>
    <t>Autech 亞郁科技</t>
  </si>
  <si>
    <t>20180101 因半年沒有訂單. 暫停放帳
* 6/26 前PI 每月25日結算, 次月25日支票付款  
20190626 chloe: 每月25日結算，隔月5日付款</t>
  </si>
  <si>
    <t>Cathy 20190626 當月25日結，隔月5日電匯款 
Santiago 20141208同意
20141208 寄發通知書
20190626 寄發通知書</t>
  </si>
  <si>
    <t>Pharms 芳慎</t>
  </si>
  <si>
    <t>每月25日結算，月結30天</t>
  </si>
  <si>
    <t>Santiago 2010613同意 額度5000
Santiago 20191022同意 額度改為10000月結30天</t>
  </si>
  <si>
    <t>Toamec 東托</t>
  </si>
  <si>
    <t>1. 出貨後14天內付款
2. 若超過10K美金, 出貨前先付一半訂金, 另一半同第1點</t>
  </si>
  <si>
    <t>Santiago 20150831 同意</t>
  </si>
  <si>
    <t>Ti2</t>
  </si>
  <si>
    <t>出貨後第45日付款</t>
  </si>
  <si>
    <t>Santiago 20161006 同意
Santago 20181003 同意 /寄發通知書</t>
  </si>
  <si>
    <t>O/A 30 days. 出貨後第30日付款
逾期一週仍可出貨，逾期第二週則不可安排出貨</t>
  </si>
  <si>
    <t>Santiago 20160216同意
Santago 20181003 同意 /寄發通知書</t>
  </si>
  <si>
    <t>每月31日結算. 次月1日付款</t>
  </si>
  <si>
    <t>Santiago 20140916同意
20141112 寄發通知書
20150212 更新通知書</t>
  </si>
  <si>
    <t>出貨後第30日付款</t>
  </si>
  <si>
    <t>Santiago 20160314 同意</t>
  </si>
  <si>
    <t xml:space="preserve">NIJKERK </t>
  </si>
  <si>
    <t>Santiago 20160630 同意</t>
  </si>
  <si>
    <t>Nexcom (與B34同)</t>
  </si>
  <si>
    <t>月結30天. 25日結帳. 隔月月底前付款</t>
  </si>
  <si>
    <t>Santiago 20160705 同意</t>
  </si>
  <si>
    <t>每月31日結算. 次月5日付款</t>
  </si>
  <si>
    <t>Santiago 20161101同意
20161101 寄發通知書</t>
  </si>
  <si>
    <t>Jetone
捷毅</t>
  </si>
  <si>
    <t>O/A 30 days.</t>
  </si>
  <si>
    <t>Santiago 20170324同意
20170324 寄發通知書</t>
  </si>
  <si>
    <t>Santiago 20140625同意
2014/12/05 寄發通知書</t>
  </si>
  <si>
    <t>Martinsson Elektronik AB</t>
  </si>
  <si>
    <t>Santiago 20170417同意
20170417 寄發通知書</t>
  </si>
  <si>
    <t xml:space="preserve">Cathy  </t>
  </si>
  <si>
    <t>Sntiago 20191204 改credit amount USD 100,000
Cathy  20190924 寄發通知書
Santiago 20190922 Meeting minute 同意
Santiago 20170518同意 (O/A 5,000) 
20170518 寄發通知書</t>
  </si>
  <si>
    <t>Elektronix NG AB
(更名HATTELAND TECHNOLOGY AB)</t>
  </si>
  <si>
    <t>O/A 30 days. 出貨後第30日付款</t>
  </si>
  <si>
    <t>Santiago 20141215同意
20141216 寄發通知書
Santiago 20170724 改10K
Santago 20181003 同意 /寄發通知書
Chloe 20190709 客戶更名HATTELAND TECHNOLOGY AB</t>
  </si>
  <si>
    <t>每月31日結算. 次月15日付款
(逾期一週仍可出貨，逾期第二週則不可安排出貨)</t>
  </si>
  <si>
    <t>Santiago 20170731 同意
Santago 20181003 同意 /寄發通知書</t>
  </si>
  <si>
    <t>誼龢科技</t>
  </si>
  <si>
    <t>當月30日結帳. 次月15日付款
文哲:每個月的15日匯款</t>
  </si>
  <si>
    <t>Santiago 20180308 和客戶協定結果, 雙方同意</t>
  </si>
  <si>
    <t>O/A 14 days.</t>
  </si>
  <si>
    <t>Santiago 20180514 同意
Santiago 20180514 寄發通知書</t>
  </si>
  <si>
    <t>HighTech IoT Nordic AB</t>
  </si>
  <si>
    <t>月結30天. (25日結帳. 隔月月底前付款(現金票) )
26日出貨則下下個月付款</t>
  </si>
  <si>
    <t>Santiago 20180705 同意</t>
  </si>
  <si>
    <t>合同會社</t>
  </si>
  <si>
    <t>Santiago 20190222 同意</t>
  </si>
  <si>
    <t xml:space="preserve">Aditech </t>
  </si>
  <si>
    <t>O/A 2 Weeks after shipment
(雙創+AdItech)</t>
  </si>
  <si>
    <t xml:space="preserve">Santiago 20190412同意
Santiago 20190412 寄發通知書
Santiago 201905 變更雙創+Aditech USD 4000
Santiago 20190910 同意變更雙創+Aditech USD 7000+3000 =10000(正式文件尚未提供) </t>
  </si>
  <si>
    <t>SA Electroquip Pvt. Ltd.</t>
  </si>
  <si>
    <r>
      <rPr>
        <rFont val="arial,sans,sans-serif"/>
        <color theme="1"/>
        <sz val="10.0"/>
      </rPr>
      <t>2020/03/03 Chloe mail說明：「</t>
    </r>
    <r>
      <rPr>
        <rFont val="arial,sans,sans-serif"/>
        <color rgb="FFFF0000"/>
        <sz val="10.0"/>
      </rPr>
      <t>取消原O/A 14 days. 額度USD20,000元整，</t>
    </r>
    <r>
      <rPr>
        <rFont val="arial,sans,sans-serif"/>
        <color theme="1"/>
        <sz val="10.0"/>
      </rPr>
      <t>超過這金額的訂單. 就逆10天訂貨 」，</t>
    </r>
    <r>
      <rPr>
        <rFont val="arial,sans,sans-serif"/>
        <color rgb="FFFF0000"/>
        <sz val="10.0"/>
      </rPr>
      <t>往後SA 請確定出貨前出貨前2週
告知客戶付款(1週給SA籌錢，1週給SA向銀行付款 )，款項收到後才可出貨(若老大有另外通知者才可先行放貨)</t>
    </r>
  </si>
  <si>
    <t>Santiago 20190713 同意
Santiago 20200303 同意</t>
  </si>
  <si>
    <t>JSTT 季宣</t>
  </si>
  <si>
    <t>月底結, 隔月5日前匯款</t>
  </si>
  <si>
    <t>Santiago 20190902 同意</t>
  </si>
  <si>
    <t>月底結算，次月月底付款</t>
  </si>
  <si>
    <t>Santiago 20191022 同意</t>
  </si>
  <si>
    <t>東擎科技(股)公司</t>
  </si>
  <si>
    <t>到貨後7天內付款</t>
  </si>
  <si>
    <t>Santiago/Chloe 20200310同意</t>
  </si>
  <si>
    <t>PLUG-IN Electronic GmbH</t>
  </si>
  <si>
    <t>出貨後第21日付款</t>
  </si>
  <si>
    <t>Santiago 20200505 同意</t>
  </si>
  <si>
    <t>Cherry</t>
  </si>
  <si>
    <t>Santiago 20200126 同意</t>
  </si>
  <si>
    <t>Jepico</t>
  </si>
  <si>
    <t>20190827 更新</t>
  </si>
  <si>
    <t>申請須提供: 去年下單金額，今年下單金額，預計明年成長多少?，放帳期限最高只到月結30天</t>
  </si>
  <si>
    <t>Re. 國內客戶
1. 上市 IPC 客戶. 最高5000美金, 放帳一開始3000
2. 上市每月25日結算，次月5日付款
3. 非上市IPC客戶. 最高5000美金, 放帳一開始1000美金
4. 非上市IPC客戶第一次交易不放帳
5. 非上市IPC客戶每月30/31日結算. 次月5日付款
Re. 國外客戶
1. 第一次交易不放帳 (除非證明客戶記錄良. 且Santiago同意)
2. 放帳一定要30% Down Payment, O/A 2 weeks upon shipment
3. 客戶額度要控制在U3000美金內
4. 經申請過後，一律皆為月底結, 隔月5日前匯款(之前已申請者不更動)</t>
  </si>
  <si>
    <t>PI No.
訂單號碼</t>
  </si>
  <si>
    <t xml:space="preserve">Total Amount
總價 </t>
  </si>
  <si>
    <t>PI-2011011701</t>
  </si>
  <si>
    <t>1月26日</t>
  </si>
  <si>
    <t>2011-0100033802</t>
  </si>
  <si>
    <t>銀行代號006
帳號: 535571-7704160</t>
  </si>
  <si>
    <t>CW0060400320</t>
  </si>
  <si>
    <t>PO20110120A</t>
  </si>
  <si>
    <t>PI-20110209A</t>
  </si>
  <si>
    <t>CP-118UA</t>
  </si>
  <si>
    <t>2月15日</t>
  </si>
  <si>
    <t>樣品. 不會有發票</t>
  </si>
  <si>
    <t>未付.等Jasper 回國</t>
  </si>
  <si>
    <t>灌在MOXA Quotation 2011-0200035288</t>
  </si>
  <si>
    <t>一</t>
  </si>
  <si>
    <t>CW0060400547</t>
  </si>
  <si>
    <t>PO-11000104</t>
  </si>
  <si>
    <t>PI-20110225A</t>
  </si>
  <si>
    <t>2011-0200​035363</t>
  </si>
  <si>
    <t>YES 20110310</t>
  </si>
  <si>
    <t>CR0037682574</t>
  </si>
  <si>
    <t>CP-114</t>
  </si>
  <si>
    <t>PO-20110310A</t>
  </si>
  <si>
    <t>PO-11000133</t>
  </si>
  <si>
    <t>PI-20110329A</t>
  </si>
  <si>
    <t>4月8日</t>
  </si>
  <si>
    <t>2011-0400037297</t>
  </si>
  <si>
    <t>YES 20110419</t>
  </si>
  <si>
    <t>CH0060401214</t>
  </si>
  <si>
    <t>C104H/PCI/DB9</t>
  </si>
  <si>
    <t>OPT8A</t>
  </si>
  <si>
    <t>PO-20110401A</t>
  </si>
  <si>
    <t>YES20110425</t>
  </si>
  <si>
    <t>TPOLE</t>
  </si>
  <si>
    <t>PI-20110411A</t>
  </si>
  <si>
    <t>4月26日</t>
  </si>
  <si>
    <t>2011-0400037527</t>
  </si>
  <si>
    <t>CR0037684522/GD108987786</t>
  </si>
  <si>
    <t>5月2日</t>
  </si>
  <si>
    <t>YES20110511</t>
  </si>
  <si>
    <t>CR0037684863/GD108987790</t>
  </si>
  <si>
    <t>masibus</t>
  </si>
  <si>
    <t>PO-P-I110003</t>
  </si>
  <si>
    <t>PI-20110412A</t>
  </si>
  <si>
    <t>NPort 5150</t>
  </si>
  <si>
    <t>5月5日</t>
  </si>
  <si>
    <t>2011-0400037616</t>
  </si>
  <si>
    <t>CW0047005705</t>
  </si>
  <si>
    <t>Vextron</t>
  </si>
  <si>
    <t>PI-20110328A</t>
  </si>
  <si>
    <t>110325D04</t>
  </si>
  <si>
    <t>銀行代號011
帳號: 29-10200-000166-7</t>
  </si>
  <si>
    <t>CH0016681266</t>
  </si>
  <si>
    <t>ADAM-5017-A3E</t>
  </si>
  <si>
    <t>ADAM-5013-A1E</t>
  </si>
  <si>
    <t>PO11000183</t>
  </si>
  <si>
    <t>PI-20110420A</t>
  </si>
  <si>
    <t>Nport-5650-8-DT-J</t>
  </si>
  <si>
    <t>2011-0400​037974</t>
  </si>
  <si>
    <t>CH0060401649</t>
  </si>
  <si>
    <t>PO11000217</t>
  </si>
  <si>
    <t>PI-20110513B</t>
  </si>
  <si>
    <t>PO-20110518A</t>
  </si>
  <si>
    <t>CH0060401765</t>
  </si>
  <si>
    <t>CP-114/DB9</t>
  </si>
  <si>
    <t>2011-0500040271</t>
  </si>
  <si>
    <t>Nport 5650-8-DTJ</t>
  </si>
  <si>
    <t>NPORT 5110</t>
  </si>
  <si>
    <t>PO11000261</t>
  </si>
  <si>
    <t>PI-20110531B</t>
  </si>
  <si>
    <t>60pcs, 6/27  ,40 pcs of card 6/8
The 90 pcs cablesafter 6/8.</t>
  </si>
  <si>
    <t>2011-0600041452</t>
  </si>
  <si>
    <t>107,520(6/8  40片) 161,280(6/27  60片)</t>
  </si>
  <si>
    <t>CH0060401964/CH0060402209</t>
  </si>
  <si>
    <t>60pcs, 6/27    ,10 pcs, 6/8,30pcs ,6/10
The 90 pcs cables after 6/8.</t>
  </si>
  <si>
    <t>PO-20110602A</t>
  </si>
  <si>
    <t>YES20110622</t>
  </si>
  <si>
    <t>18,900(6/810片+6/1030片)             28,350(6/23 60片)</t>
  </si>
  <si>
    <t>CH0060401964/CH0060402018/CH0060402209</t>
  </si>
  <si>
    <t>2011-0600041455</t>
  </si>
  <si>
    <t>YES20110607</t>
  </si>
  <si>
    <t>CH0060402018</t>
  </si>
  <si>
    <t>PI-20110601A</t>
  </si>
  <si>
    <t>110530D05-2</t>
  </si>
  <si>
    <t>CH0016681553</t>
  </si>
  <si>
    <t>PI-20110601C</t>
  </si>
  <si>
    <t>PS-300ATX-ZBE</t>
  </si>
  <si>
    <t>110602D01</t>
  </si>
  <si>
    <t>CH0060401964</t>
  </si>
  <si>
    <t>PCA-6114P12-0B3E</t>
  </si>
  <si>
    <t>PCA-6010VG-00A1E</t>
  </si>
  <si>
    <t>PO11000274</t>
  </si>
  <si>
    <t>PI-20110602A</t>
  </si>
  <si>
    <t>110610D01</t>
  </si>
  <si>
    <t>CH0060402209</t>
  </si>
  <si>
    <t>Acqutek(安企)</t>
  </si>
  <si>
    <t>PI-20110611A</t>
  </si>
  <si>
    <t>Uport-404-T</t>
  </si>
  <si>
    <t>2011-0600041740</t>
  </si>
  <si>
    <t>PO-P-I1100​08</t>
  </si>
  <si>
    <t>PI-20110613A</t>
  </si>
  <si>
    <t>MDR 100-24</t>
  </si>
  <si>
    <t>贊翔</t>
  </si>
  <si>
    <t>銀行代號：007 帳號：23110037813</t>
  </si>
  <si>
    <t>CW0047008325</t>
  </si>
  <si>
    <t>DRP-240-24</t>
  </si>
  <si>
    <t>銀行代號：007
帳號：23110037813</t>
  </si>
  <si>
    <t>NES-15-24</t>
  </si>
  <si>
    <t>PO#201104980</t>
  </si>
  <si>
    <t>20110718A</t>
  </si>
  <si>
    <t>YES 20110726</t>
  </si>
  <si>
    <t>2011-0700043928</t>
  </si>
  <si>
    <t>PO#201105224</t>
  </si>
  <si>
    <t>C168H/PC</t>
  </si>
  <si>
    <t>2011-0700044131</t>
  </si>
  <si>
    <t>PO#201105285</t>
  </si>
  <si>
    <t>CBL-M62M9X8-100</t>
  </si>
  <si>
    <t>20110722A</t>
  </si>
  <si>
    <t>PO11000371</t>
  </si>
  <si>
    <t>PI-20110722A</t>
  </si>
  <si>
    <t>YES 20110801</t>
  </si>
  <si>
    <t>GD108987826/CG00376W3395</t>
  </si>
  <si>
    <t>PI-20110804A</t>
  </si>
  <si>
    <t>YES20110817</t>
  </si>
  <si>
    <t>CH0060402832</t>
  </si>
  <si>
    <t>PO-P-I110022</t>
  </si>
  <si>
    <t>PI-20110817A</t>
  </si>
  <si>
    <t>YES20110830</t>
  </si>
  <si>
    <t>8438102153/CX0022317BDX</t>
  </si>
  <si>
    <t>Alcom Electronics BV</t>
  </si>
  <si>
    <t>PO114445</t>
  </si>
  <si>
    <t>PI-20110909B</t>
  </si>
  <si>
    <t>876061813802/CF00550XP579</t>
  </si>
  <si>
    <t>CBL-M68M9X8-100</t>
  </si>
  <si>
    <t>PO-P-L110032</t>
  </si>
  <si>
    <t>PI-20110919A</t>
  </si>
  <si>
    <t>MGate MB 3180</t>
  </si>
  <si>
    <t>CW0047012774</t>
  </si>
  <si>
    <t>MGate MB 3480</t>
  </si>
  <si>
    <t>PI-20111003A</t>
  </si>
  <si>
    <t>OPT4D-2M</t>
  </si>
  <si>
    <t>YES20111013</t>
  </si>
  <si>
    <t>CH0060403489</t>
  </si>
  <si>
    <t>Total Value</t>
  </si>
  <si>
    <t>us$110,505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</si>
</sst>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3">
    <numFmt numFmtId="164" formatCode="yyyy/m/d"/>
    <numFmt numFmtId="165" formatCode="yyyy/mm/dd"/>
    <numFmt numFmtId="166" formatCode="#,##0.0"/>
    <numFmt numFmtId="167" formatCode="yyyy&quot;/&quot;m&quot;/&quot;d"/>
    <numFmt numFmtId="168" formatCode="m/d"/>
    <numFmt numFmtId="169" formatCode="#,##0;\(#,##0\)"/>
    <numFmt numFmtId="170" formatCode="#,##0.000"/>
    <numFmt numFmtId="171" formatCode="0.0"/>
    <numFmt numFmtId="172" formatCode="[$NT$-404]#,##0.00"/>
    <numFmt numFmtId="173" formatCode="[$US$]#,##0"/>
    <numFmt numFmtId="174" formatCode="m/d/yyyy\ h:mm:ss"/>
    <numFmt numFmtId="175" formatCode="_-* #,##0_-;\-* #,##0_-;_-* &quot;-&quot;_-;_-@"/>
    <numFmt numFmtId="176" formatCode="&quot;$&quot;#,##0"/>
    <numFmt numFmtId="177" formatCode="m/d/yyyy"/>
    <numFmt numFmtId="178" formatCode="&quot;$&quot;#,##0.0"/>
    <numFmt numFmtId="179" formatCode="&quot;$&quot;#,##0.00"/>
    <numFmt numFmtId="180" formatCode="#,##0.###############"/>
    <numFmt numFmtId="181" formatCode="\$#,##0.00"/>
    <numFmt numFmtId="182" formatCode="[$US$]#,##0.00"/>
    <numFmt numFmtId="183" formatCode="\$#,##0"/>
    <numFmt numFmtId="184" formatCode="m/d/yy"/>
    <numFmt numFmtId="185" formatCode="\$#,##0;\-\$#,##0"/>
    <numFmt numFmtId="186" formatCode="#,##0\ ;\(#,##0\)"/>
  </numFmts>
  <fonts count="62">
    <font>
      <sz val="10.0"/>
      <color rgb="FF000000"/>
      <name val="Aptos Narrow"/>
      <scheme val="minor"/>
    </font>
    <font>
      <sz val="10.0"/>
      <color rgb="FFFFFFFF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sz val="9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rgb="FFFF0000"/>
      <name val="Arial"/>
    </font>
    <font>
      <sz val="10.0"/>
      <color rgb="FF0000FF"/>
      <name val="Arial"/>
    </font>
    <font>
      <strike/>
      <sz val="10.0"/>
      <color theme="1"/>
      <name val="Arial"/>
    </font>
    <font>
      <strike/>
      <sz val="10.0"/>
      <color rgb="FF000000"/>
      <name val="Arial"/>
    </font>
    <font>
      <strike/>
      <sz val="10.0"/>
      <color rgb="FFFF0000"/>
      <name val="Arial"/>
    </font>
    <font>
      <b/>
      <sz val="11.0"/>
      <color rgb="FFFF0000"/>
      <name val="Arial"/>
    </font>
    <font>
      <sz val="9.0"/>
      <color rgb="FFFFFFFF"/>
      <name val="Microsoft JhengHei"/>
    </font>
    <font>
      <sz val="10.0"/>
      <color rgb="FF222222"/>
      <name val="Arial"/>
    </font>
    <font>
      <b/>
      <sz val="10.0"/>
      <color rgb="FF0000FF"/>
      <name val="Arial"/>
    </font>
    <font>
      <sz val="10.0"/>
      <color rgb="FF000000"/>
      <name val="Roboto"/>
    </font>
    <font>
      <b/>
      <sz val="10.0"/>
      <color rgb="FF000000"/>
      <name val="Arial"/>
    </font>
    <font>
      <sz val="10.0"/>
      <color rgb="FF000000"/>
      <name val="Sans-serif"/>
    </font>
    <font>
      <sz val="10.0"/>
      <color rgb="FF000000"/>
      <name val="Microsoft JhengHei"/>
    </font>
    <font>
      <sz val="10.0"/>
      <color rgb="FF434343"/>
      <name val="Arial"/>
    </font>
    <font>
      <sz val="10.0"/>
      <color rgb="FF000000"/>
      <name val="PMingLiu"/>
    </font>
    <font>
      <sz val="9.0"/>
      <color rgb="FF000000"/>
      <name val="Arial"/>
    </font>
    <font>
      <sz val="12.0"/>
      <color theme="1"/>
      <name val="Microsoft JhengHei"/>
    </font>
    <font>
      <sz val="10.0"/>
      <color rgb="FF000000"/>
      <name val="Verdana"/>
    </font>
    <font>
      <sz val="10.0"/>
      <color rgb="FF222222"/>
      <name val="Verdana"/>
    </font>
    <font>
      <sz val="12.0"/>
      <color rgb="FF000000"/>
      <name val="Calibri"/>
    </font>
    <font>
      <sz val="11.0"/>
      <color rgb="FF000000"/>
      <name val="Arial"/>
    </font>
    <font>
      <sz val="10.0"/>
      <color rgb="FF4A86E8"/>
      <name val="Arial"/>
    </font>
    <font>
      <b/>
      <sz val="12.0"/>
      <color rgb="FF000000"/>
      <name val="Calibri"/>
    </font>
    <font>
      <strike/>
      <sz val="10.0"/>
      <color rgb="FF0000FF"/>
      <name val="Arial"/>
    </font>
    <font>
      <sz val="10.0"/>
      <color rgb="FFFF0000"/>
      <name val="MingLiu"/>
    </font>
    <font>
      <sz val="10.0"/>
      <color rgb="FFFF0000"/>
      <name val="PMingLiu"/>
    </font>
    <font>
      <sz val="10.0"/>
      <color rgb="FF000000"/>
      <name val="MingLiu"/>
    </font>
    <font>
      <sz val="10.0"/>
      <color rgb="FF000000"/>
      <name val="Microsoft Yahei"/>
    </font>
    <font>
      <sz val="10.0"/>
      <color rgb="FFFFFBF5"/>
      <name val="Arial"/>
    </font>
    <font>
      <b/>
      <sz val="10.0"/>
      <color theme="1"/>
      <name val="Arial"/>
    </font>
    <font>
      <sz val="11.0"/>
      <color rgb="FF222222"/>
      <name val="Arial"/>
    </font>
    <font>
      <b/>
      <strike/>
      <sz val="10.0"/>
      <color theme="1"/>
      <name val="Arial"/>
    </font>
    <font>
      <sz val="12.0"/>
      <color rgb="FF000000"/>
      <name val="PMingLiu"/>
    </font>
    <font>
      <b/>
      <strike/>
      <sz val="10.0"/>
      <color rgb="FF000000"/>
      <name val="Arial"/>
    </font>
    <font>
      <sz val="11.0"/>
      <color rgb="FF222222"/>
      <name val="Verdana"/>
    </font>
    <font>
      <sz val="11.0"/>
      <color rgb="FF222222"/>
      <name val="Calibri"/>
    </font>
    <font>
      <b/>
      <sz val="10.0"/>
      <color rgb="FFFF0000"/>
      <name val="Arial"/>
    </font>
    <font>
      <b/>
      <sz val="16.0"/>
      <color rgb="FF000000"/>
      <name val="Arial"/>
    </font>
    <font>
      <b/>
      <sz val="12.0"/>
      <color rgb="FFFF0000"/>
      <name val="Arial"/>
    </font>
    <font>
      <b/>
      <strike/>
      <sz val="10.0"/>
      <color rgb="FFFF0000"/>
      <name val="Arial"/>
    </font>
    <font>
      <b/>
      <sz val="11.0"/>
      <color rgb="FF222222"/>
      <name val="Arial"/>
    </font>
    <font>
      <b/>
      <sz val="10.0"/>
      <color rgb="FF434343"/>
      <name val="Arial"/>
    </font>
    <font>
      <sz val="11.0"/>
      <color rgb="FF000000"/>
      <name val="Tahoma"/>
    </font>
    <font>
      <sz val="12.0"/>
      <color rgb="FF222222"/>
      <name val="Calibri"/>
    </font>
    <font>
      <sz val="6.0"/>
      <color theme="1"/>
      <name val="Arial"/>
    </font>
    <font>
      <sz val="10.0"/>
      <color theme="1"/>
      <name val="PMingLiu"/>
    </font>
    <font>
      <sz val="8.0"/>
      <color theme="1"/>
      <name val="Arial"/>
    </font>
    <font>
      <sz val="11.0"/>
      <color theme="1"/>
      <name val="Arial"/>
    </font>
    <font>
      <sz val="17.0"/>
      <color rgb="FF1F1F1F"/>
      <name val="Arial"/>
    </font>
    <font/>
    <font>
      <sz val="11.0"/>
      <color rgb="FF000000"/>
      <name val="MingLiu"/>
    </font>
    <font>
      <b/>
      <sz val="11.0"/>
      <color rgb="FF000000"/>
      <name val="Arial"/>
    </font>
    <font>
      <sz val="11.0"/>
      <color rgb="FFFF0000"/>
      <name val="Arial"/>
    </font>
    <font>
      <sz val="12.0"/>
      <color rgb="FFCFE2F3"/>
      <name val="Arial"/>
    </font>
    <font>
      <sz val="12.0"/>
      <color rgb="FFFF0000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  <fill>
      <patternFill patternType="solid">
        <fgColor rgb="FF1C4587"/>
        <bgColor rgb="FF1C4587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693C"/>
        <bgColor rgb="FFFF693C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BF5"/>
        <bgColor rgb="FFFFFBF5"/>
      </patternFill>
    </fill>
    <fill>
      <patternFill patternType="solid">
        <fgColor rgb="FFB6DDE8"/>
        <bgColor rgb="FFB6DDE8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FF99FF"/>
        <bgColor rgb="FFFF99FF"/>
      </patternFill>
    </fill>
    <fill>
      <patternFill patternType="solid">
        <fgColor rgb="FFFF66FF"/>
        <bgColor rgb="FFFF66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8E7CC3"/>
        <bgColor rgb="FF8E7CC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9900FF"/>
        <bgColor rgb="FF9900FF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double">
        <color rgb="FF000000"/>
      </left>
      <right/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CCCCCC"/>
      </left>
      <right/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/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4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1" xfId="0" applyAlignment="1" applyBorder="1" applyFont="1" applyNumberFormat="1">
      <alignment horizontal="center" shrinkToFit="0" vertical="center" wrapText="1"/>
    </xf>
    <xf borderId="1" fillId="2" fontId="3" numFmtId="4" xfId="0" applyAlignment="1" applyBorder="1" applyFont="1" applyNumberFormat="1">
      <alignment horizontal="center"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1" fillId="4" fontId="1" numFmtId="164" xfId="0" applyAlignment="1" applyBorder="1" applyFill="1" applyFont="1" applyNumberForma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center" vertical="center"/>
    </xf>
    <xf borderId="1" fillId="4" fontId="3" numFmtId="4" xfId="0" applyAlignment="1" applyBorder="1" applyFont="1" applyNumberFormat="1">
      <alignment horizontal="center" shrinkToFit="0" vertical="center" wrapText="1"/>
    </xf>
    <xf borderId="2" fillId="4" fontId="2" numFmtId="1" xfId="0" applyAlignment="1" applyBorder="1" applyFont="1" applyNumberFormat="1">
      <alignment horizontal="center" vertical="center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right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5" fontId="4" numFmtId="3" xfId="0" applyAlignment="1" applyBorder="1" applyFont="1" applyNumberFormat="1">
      <alignment horizontal="center" shrinkToFit="0" vertical="center" wrapText="1"/>
    </xf>
    <xf borderId="1" fillId="5" fontId="4" numFmtId="1" xfId="0" applyAlignment="1" applyBorder="1" applyFont="1" applyNumberFormat="1">
      <alignment horizontal="center" shrinkToFit="0" vertical="center" wrapText="1"/>
    </xf>
    <xf borderId="3" fillId="5" fontId="4" numFmtId="0" xfId="0" applyAlignment="1" applyBorder="1" applyFont="1">
      <alignment horizontal="center" shrinkToFit="0" vertical="center" wrapText="1"/>
    </xf>
    <xf borderId="4" fillId="7" fontId="5" numFmtId="164" xfId="0" applyAlignment="1" applyBorder="1" applyFill="1" applyFont="1" applyNumberFormat="1">
      <alignment horizontal="center" vertical="center"/>
    </xf>
    <xf borderId="5" fillId="8" fontId="5" numFmtId="0" xfId="0" applyAlignment="1" applyBorder="1" applyFill="1" applyFont="1">
      <alignment vertical="center"/>
    </xf>
    <xf borderId="1" fillId="8" fontId="5" numFmtId="0" xfId="0" applyAlignment="1" applyBorder="1" applyFont="1">
      <alignment horizontal="left" vertical="center"/>
    </xf>
    <xf borderId="1" fillId="8" fontId="5" numFmtId="0" xfId="0" applyAlignment="1" applyBorder="1" applyFont="1">
      <alignment vertical="center"/>
    </xf>
    <xf borderId="5" fillId="8" fontId="5" numFmtId="0" xfId="0" applyAlignment="1" applyBorder="1" applyFont="1">
      <alignment horizontal="left" shrinkToFit="0" vertical="center" wrapText="1"/>
    </xf>
    <xf borderId="1" fillId="8" fontId="6" numFmtId="0" xfId="0" applyAlignment="1" applyBorder="1" applyFont="1">
      <alignment horizontal="center" vertical="center"/>
    </xf>
    <xf borderId="5" fillId="8" fontId="6" numFmtId="4" xfId="0" applyAlignment="1" applyBorder="1" applyFont="1" applyNumberFormat="1">
      <alignment horizontal="right" vertical="center"/>
    </xf>
    <xf borderId="2" fillId="8" fontId="5" numFmtId="4" xfId="0" applyAlignment="1" applyBorder="1" applyFont="1" applyNumberFormat="1">
      <alignment horizontal="right" vertical="center"/>
    </xf>
    <xf borderId="5" fillId="8" fontId="7" numFmtId="0" xfId="0" applyAlignment="1" applyBorder="1" applyFont="1">
      <alignment horizontal="center" vertical="center"/>
    </xf>
    <xf borderId="1" fillId="8" fontId="7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vertical="center"/>
    </xf>
    <xf borderId="1" fillId="8" fontId="5" numFmtId="164" xfId="0" applyAlignment="1" applyBorder="1" applyFont="1" applyNumberFormat="1">
      <alignment horizontal="center" vertical="center"/>
    </xf>
    <xf borderId="5" fillId="8" fontId="5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left" shrinkToFit="0" vertical="center" wrapText="1"/>
    </xf>
    <xf borderId="1" fillId="8" fontId="7" numFmtId="4" xfId="0" applyAlignment="1" applyBorder="1" applyFont="1" applyNumberFormat="1">
      <alignment horizontal="right" vertical="center"/>
    </xf>
    <xf borderId="1" fillId="0" fontId="7" numFmtId="0" xfId="0" applyAlignment="1" applyBorder="1" applyFont="1">
      <alignment vertical="center"/>
    </xf>
    <xf borderId="1" fillId="8" fontId="5" numFmtId="0" xfId="0" applyAlignment="1" applyBorder="1" applyFont="1">
      <alignment shrinkToFit="0" vertical="center" wrapText="1"/>
    </xf>
    <xf borderId="1" fillId="8" fontId="7" numFmtId="0" xfId="0" applyAlignment="1" applyBorder="1" applyFont="1">
      <alignment horizontal="right" vertical="center"/>
    </xf>
    <xf borderId="1" fillId="8" fontId="6" numFmtId="0" xfId="0" applyAlignment="1" applyBorder="1" applyFont="1">
      <alignment horizontal="right" vertical="center"/>
    </xf>
    <xf borderId="1" fillId="8" fontId="6" numFmtId="3" xfId="0" applyAlignment="1" applyBorder="1" applyFont="1" applyNumberFormat="1">
      <alignment horizontal="center" vertical="center"/>
    </xf>
    <xf borderId="1" fillId="8" fontId="6" numFmtId="165" xfId="0" applyAlignment="1" applyBorder="1" applyFont="1" applyNumberFormat="1">
      <alignment horizontal="center" vertical="center"/>
    </xf>
    <xf borderId="3" fillId="8" fontId="6" numFmtId="0" xfId="0" applyAlignment="1" applyBorder="1" applyFont="1">
      <alignment horizontal="center" vertical="center"/>
    </xf>
    <xf borderId="1" fillId="8" fontId="7" numFmtId="0" xfId="0" applyAlignment="1" applyBorder="1" applyFont="1">
      <alignment vertical="center"/>
    </xf>
    <xf borderId="5" fillId="8" fontId="6" numFmtId="0" xfId="0" applyAlignment="1" applyBorder="1" applyFont="1">
      <alignment shrinkToFit="0" vertical="center" wrapText="1"/>
    </xf>
    <xf borderId="1" fillId="0" fontId="7" numFmtId="164" xfId="0" applyAlignment="1" applyBorder="1" applyFont="1" applyNumberFormat="1">
      <alignment horizontal="center" vertical="center"/>
    </xf>
    <xf borderId="1" fillId="8" fontId="7" numFmtId="164" xfId="0" applyAlignment="1" applyBorder="1" applyFont="1" applyNumberFormat="1">
      <alignment horizontal="center" vertical="center"/>
    </xf>
    <xf borderId="1" fillId="8" fontId="7" numFmtId="164" xfId="0" applyAlignment="1" applyBorder="1" applyFont="1" applyNumberFormat="1">
      <alignment horizontal="right" vertical="center"/>
    </xf>
    <xf borderId="1" fillId="8" fontId="6" numFmtId="164" xfId="0" applyAlignment="1" applyBorder="1" applyFont="1" applyNumberFormat="1">
      <alignment horizontal="right" vertical="center"/>
    </xf>
    <xf borderId="1" fillId="8" fontId="5" numFmtId="4" xfId="0" applyAlignment="1" applyBorder="1" applyFont="1" applyNumberFormat="1">
      <alignment horizontal="right" vertical="center"/>
    </xf>
    <xf borderId="1" fillId="8" fontId="6" numFmtId="4" xfId="0" applyAlignment="1" applyBorder="1" applyFont="1" applyNumberFormat="1">
      <alignment horizontal="right" vertical="center"/>
    </xf>
    <xf borderId="1" fillId="8" fontId="7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5" fillId="8" fontId="5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right" vertical="center"/>
    </xf>
    <xf borderId="1" fillId="0" fontId="6" numFmtId="0" xfId="0" applyAlignment="1" applyBorder="1" applyFont="1">
      <alignment horizontal="right" vertical="center"/>
    </xf>
    <xf borderId="1" fillId="0" fontId="6" numFmtId="0" xfId="0" applyAlignment="1" applyBorder="1" applyFont="1">
      <alignment horizontal="center" vertical="center"/>
    </xf>
    <xf borderId="1" fillId="0" fontId="6" numFmtId="3" xfId="0" applyAlignment="1" applyBorder="1" applyFont="1" applyNumberForma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1" fillId="8" fontId="5" numFmtId="0" xfId="0" applyAlignment="1" applyBorder="1" applyFont="1">
      <alignment horizontal="center" shrinkToFit="0" vertical="center" wrapText="1"/>
    </xf>
    <xf borderId="2" fillId="8" fontId="5" numFmtId="0" xfId="0" applyAlignment="1" applyBorder="1" applyFont="1">
      <alignment vertical="center"/>
    </xf>
    <xf borderId="6" fillId="0" fontId="5" numFmtId="4" xfId="0" applyAlignment="1" applyBorder="1" applyFont="1" applyNumberFormat="1">
      <alignment vertical="center"/>
    </xf>
    <xf borderId="7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7" numFmtId="3" xfId="0" applyAlignment="1" applyBorder="1" applyFont="1" applyNumberFormat="1">
      <alignment vertical="center"/>
    </xf>
    <xf borderId="7" fillId="0" fontId="6" numFmtId="0" xfId="0" applyAlignment="1" applyBorder="1" applyFont="1">
      <alignment vertical="center"/>
    </xf>
    <xf borderId="1" fillId="0" fontId="6" numFmtId="0" xfId="0" applyBorder="1" applyFont="1"/>
    <xf borderId="1" fillId="0" fontId="6" numFmtId="1" xfId="0" applyAlignment="1" applyBorder="1" applyFont="1" applyNumberFormat="1">
      <alignment horizontal="center" vertical="center"/>
    </xf>
    <xf borderId="4" fillId="7" fontId="6" numFmtId="164" xfId="0" applyAlignment="1" applyBorder="1" applyFont="1" applyNumberFormat="1">
      <alignment horizontal="center" vertical="center"/>
    </xf>
    <xf borderId="5" fillId="8" fontId="5" numFmtId="0" xfId="0" applyAlignment="1" applyBorder="1" applyFont="1">
      <alignment horizontal="left" vertical="center"/>
    </xf>
    <xf borderId="2" fillId="8" fontId="5" numFmtId="0" xfId="0" applyAlignment="1" applyBorder="1" applyFont="1">
      <alignment horizontal="left" vertical="center"/>
    </xf>
    <xf borderId="2" fillId="8" fontId="5" numFmtId="0" xfId="0" applyAlignment="1" applyBorder="1" applyFont="1">
      <alignment horizontal="left" shrinkToFit="0" vertical="center" wrapText="1"/>
    </xf>
    <xf borderId="2" fillId="8" fontId="8" numFmtId="0" xfId="0" applyAlignment="1" applyBorder="1" applyFont="1">
      <alignment horizontal="left" shrinkToFit="0" vertical="center" wrapText="1"/>
    </xf>
    <xf borderId="1" fillId="0" fontId="5" numFmtId="4" xfId="0" applyAlignment="1" applyBorder="1" applyFont="1" applyNumberFormat="1">
      <alignment horizontal="right" vertical="center"/>
    </xf>
    <xf borderId="7" fillId="0" fontId="7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" fillId="0" fontId="7" numFmtId="165" xfId="0" applyAlignment="1" applyBorder="1" applyFont="1" applyNumberFormat="1">
      <alignment horizontal="right" vertical="center"/>
    </xf>
    <xf borderId="1" fillId="0" fontId="6" numFmtId="164" xfId="0" applyAlignment="1" applyBorder="1" applyFont="1" applyNumberFormat="1">
      <alignment horizontal="right" vertical="center"/>
    </xf>
    <xf borderId="7" fillId="0" fontId="6" numFmtId="0" xfId="0" applyAlignment="1" applyBorder="1" applyFont="1">
      <alignment horizontal="center" shrinkToFit="0" vertical="center" wrapText="1"/>
    </xf>
    <xf borderId="1" fillId="8" fontId="8" numFmtId="0" xfId="0" applyAlignment="1" applyBorder="1" applyFont="1">
      <alignment horizontal="left" shrinkToFit="0" vertical="center" wrapText="1"/>
    </xf>
    <xf borderId="6" fillId="0" fontId="7" numFmtId="4" xfId="0" applyAlignment="1" applyBorder="1" applyFont="1" applyNumberFormat="1">
      <alignment vertical="center"/>
    </xf>
    <xf borderId="1" fillId="8" fontId="5" numFmtId="0" xfId="0" applyAlignment="1" applyBorder="1" applyFont="1">
      <alignment horizontal="center" vertical="center"/>
    </xf>
    <xf borderId="1" fillId="0" fontId="7" numFmtId="165" xfId="0" applyAlignment="1" applyBorder="1" applyFont="1" applyNumberFormat="1">
      <alignment horizontal="center" vertical="center"/>
    </xf>
    <xf borderId="1" fillId="8" fontId="5" numFmtId="164" xfId="0" applyAlignment="1" applyBorder="1" applyFont="1" applyNumberFormat="1">
      <alignment horizontal="center" shrinkToFit="0" vertical="center" wrapText="1"/>
    </xf>
    <xf borderId="1" fillId="8" fontId="7" numFmtId="3" xfId="0" applyAlignment="1" applyBorder="1" applyFont="1" applyNumberFormat="1">
      <alignment vertical="center"/>
    </xf>
    <xf borderId="1" fillId="0" fontId="7" numFmtId="3" xfId="0" applyAlignment="1" applyBorder="1" applyFont="1" applyNumberFormat="1">
      <alignment horizontal="right" vertical="center"/>
    </xf>
    <xf borderId="1" fillId="0" fontId="7" numFmtId="0" xfId="0" applyAlignment="1" applyBorder="1" applyFont="1">
      <alignment horizontal="center" vertical="center"/>
    </xf>
    <xf borderId="1" fillId="8" fontId="7" numFmtId="165" xfId="0" applyAlignment="1" applyBorder="1" applyFont="1" applyNumberFormat="1">
      <alignment horizontal="center" shrinkToFit="0" vertical="center" wrapText="1"/>
    </xf>
    <xf borderId="1" fillId="0" fontId="6" numFmtId="3" xfId="0" applyAlignment="1" applyBorder="1" applyFont="1" applyNumberFormat="1">
      <alignment vertical="center"/>
    </xf>
    <xf borderId="1" fillId="0" fontId="6" numFmtId="1" xfId="0" applyAlignment="1" applyBorder="1" applyFont="1" applyNumberFormat="1">
      <alignment vertical="center"/>
    </xf>
    <xf borderId="0" fillId="0" fontId="6" numFmtId="0" xfId="0" applyAlignment="1" applyFont="1">
      <alignment vertical="center"/>
    </xf>
    <xf borderId="1" fillId="8" fontId="8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shrinkToFit="0" vertical="center" wrapText="1"/>
    </xf>
    <xf borderId="3" fillId="8" fontId="5" numFmtId="0" xfId="0" applyAlignment="1" applyBorder="1" applyFont="1">
      <alignment horizontal="left" shrinkToFit="0" vertical="center" wrapText="1"/>
    </xf>
    <xf borderId="4" fillId="7" fontId="6" numFmtId="164" xfId="0" applyAlignment="1" applyBorder="1" applyFont="1" applyNumberFormat="1">
      <alignment horizontal="center"/>
    </xf>
    <xf borderId="1" fillId="9" fontId="5" numFmtId="0" xfId="0" applyBorder="1" applyFill="1" applyFont="1"/>
    <xf borderId="1" fillId="8" fontId="5" numFmtId="0" xfId="0" applyBorder="1" applyFont="1"/>
    <xf borderId="2" fillId="8" fontId="5" numFmtId="0" xfId="0" applyBorder="1" applyFont="1"/>
    <xf borderId="1" fillId="8" fontId="5" numFmtId="0" xfId="0" applyAlignment="1" applyBorder="1" applyFont="1">
      <alignment shrinkToFit="0" wrapText="1"/>
    </xf>
    <xf borderId="1" fillId="8" fontId="6" numFmtId="0" xfId="0" applyAlignment="1" applyBorder="1" applyFont="1">
      <alignment horizontal="center"/>
    </xf>
    <xf borderId="1" fillId="8" fontId="6" numFmtId="4" xfId="0" applyAlignment="1" applyBorder="1" applyFont="1" applyNumberFormat="1">
      <alignment horizontal="right"/>
    </xf>
    <xf borderId="6" fillId="0" fontId="5" numFmtId="4" xfId="0" applyAlignment="1" applyBorder="1" applyFont="1" applyNumberFormat="1">
      <alignment horizontal="right"/>
    </xf>
    <xf borderId="1" fillId="0" fontId="6" numFmtId="0" xfId="0" applyAlignment="1" applyBorder="1" applyFont="1">
      <alignment horizontal="center" shrinkToFit="0" wrapText="1"/>
    </xf>
    <xf borderId="1" fillId="0" fontId="7" numFmtId="164" xfId="0" applyAlignment="1" applyBorder="1" applyFont="1" applyNumberFormat="1">
      <alignment horizontal="center"/>
    </xf>
    <xf borderId="1" fillId="0" fontId="6" numFmtId="164" xfId="0" applyBorder="1" applyFont="1" applyNumberFormat="1"/>
    <xf borderId="1" fillId="0" fontId="7" numFmtId="3" xfId="0" applyAlignment="1" applyBorder="1" applyFont="1" applyNumberFormat="1">
      <alignment horizontal="right"/>
    </xf>
    <xf borderId="1" fillId="0" fontId="6" numFmtId="3" xfId="0" applyBorder="1" applyFont="1" applyNumberFormat="1"/>
    <xf borderId="1" fillId="0" fontId="6" numFmtId="165" xfId="0" applyAlignment="1" applyBorder="1" applyFont="1" applyNumberFormat="1">
      <alignment horizontal="center"/>
    </xf>
    <xf borderId="0" fillId="0" fontId="6" numFmtId="0" xfId="0" applyFont="1"/>
    <xf borderId="1" fillId="7" fontId="6" numFmtId="164" xfId="0" applyAlignment="1" applyBorder="1" applyFont="1" applyNumberFormat="1">
      <alignment horizontal="center" vertical="center"/>
    </xf>
    <xf borderId="2" fillId="8" fontId="8" numFmtId="0" xfId="0" applyAlignment="1" applyBorder="1" applyFont="1">
      <alignment horizontal="left" vertical="center"/>
    </xf>
    <xf borderId="2" fillId="8" fontId="7" numFmtId="0" xfId="0" applyAlignment="1" applyBorder="1" applyFont="1">
      <alignment horizontal="left" vertical="center"/>
    </xf>
    <xf borderId="6" fillId="0" fontId="6" numFmtId="0" xfId="0" applyAlignment="1" applyBorder="1" applyFont="1">
      <alignment vertical="center"/>
    </xf>
    <xf borderId="2" fillId="8" fontId="6" numFmtId="0" xfId="0" applyAlignment="1" applyBorder="1" applyFont="1">
      <alignment horizontal="center" vertical="center"/>
    </xf>
    <xf borderId="2" fillId="8" fontId="6" numFmtId="4" xfId="0" applyAlignment="1" applyBorder="1" applyFont="1" applyNumberFormat="1">
      <alignment horizontal="right" vertical="center"/>
    </xf>
    <xf borderId="6" fillId="0" fontId="7" numFmtId="0" xfId="0" applyAlignment="1" applyBorder="1" applyFont="1">
      <alignment horizontal="center" shrinkToFit="0" vertical="center" wrapText="1"/>
    </xf>
    <xf borderId="2" fillId="8" fontId="7" numFmtId="0" xfId="0" applyAlignment="1" applyBorder="1" applyFont="1">
      <alignment horizontal="center" shrinkToFit="0" vertical="center" wrapText="1"/>
    </xf>
    <xf borderId="5" fillId="8" fontId="7" numFmtId="164" xfId="0" applyAlignment="1" applyBorder="1" applyFont="1" applyNumberFormat="1">
      <alignment horizontal="center" vertical="center"/>
    </xf>
    <xf borderId="2" fillId="8" fontId="5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vertical="center"/>
    </xf>
    <xf borderId="6" fillId="0" fontId="7" numFmtId="3" xfId="0" applyAlignment="1" applyBorder="1" applyFont="1" applyNumberFormat="1">
      <alignment vertical="center"/>
    </xf>
    <xf borderId="2" fillId="8" fontId="5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horizontal="right" vertical="center"/>
    </xf>
    <xf borderId="6" fillId="0" fontId="6" numFmtId="0" xfId="0" applyAlignment="1" applyBorder="1" applyFont="1">
      <alignment horizontal="right" vertical="center"/>
    </xf>
    <xf borderId="6" fillId="0" fontId="6" numFmtId="0" xfId="0" applyAlignment="1" applyBorder="1" applyFont="1">
      <alignment horizontal="center" vertical="center"/>
    </xf>
    <xf borderId="6" fillId="0" fontId="6" numFmtId="3" xfId="0" applyAlignment="1" applyBorder="1" applyFont="1" applyNumberFormat="1">
      <alignment horizontal="center" vertical="center"/>
    </xf>
    <xf borderId="6" fillId="0" fontId="6" numFmtId="165" xfId="0" applyAlignment="1" applyBorder="1" applyFont="1" applyNumberFormat="1">
      <alignment horizontal="center" vertical="center"/>
    </xf>
    <xf borderId="5" fillId="8" fontId="8" numFmtId="0" xfId="0" applyAlignment="1" applyBorder="1" applyFont="1">
      <alignment horizontal="left" vertical="center"/>
    </xf>
    <xf borderId="5" fillId="8" fontId="7" numFmtId="0" xfId="0" applyAlignment="1" applyBorder="1" applyFont="1">
      <alignment horizontal="left" vertical="center"/>
    </xf>
    <xf borderId="5" fillId="8" fontId="6" numFmtId="0" xfId="0" applyAlignment="1" applyBorder="1" applyFont="1">
      <alignment horizontal="center" vertical="center"/>
    </xf>
    <xf borderId="7" fillId="0" fontId="7" numFmtId="4" xfId="0" applyAlignment="1" applyBorder="1" applyFont="1" applyNumberFormat="1">
      <alignment vertical="center"/>
    </xf>
    <xf borderId="7" fillId="0" fontId="7" numFmtId="0" xfId="0" applyAlignment="1" applyBorder="1" applyFont="1">
      <alignment horizontal="center" shrinkToFit="0" vertical="center" wrapText="1"/>
    </xf>
    <xf borderId="5" fillId="8" fontId="7" numFmtId="0" xfId="0" applyAlignment="1" applyBorder="1" applyFont="1">
      <alignment horizontal="center" shrinkToFit="0" vertical="center" wrapText="1"/>
    </xf>
    <xf borderId="7" fillId="0" fontId="7" numFmtId="3" xfId="0" applyAlignment="1" applyBorder="1" applyFont="1" applyNumberFormat="1">
      <alignment vertical="center"/>
    </xf>
    <xf borderId="7" fillId="0" fontId="7" numFmtId="0" xfId="0" applyAlignment="1" applyBorder="1" applyFont="1">
      <alignment horizontal="right" vertical="center"/>
    </xf>
    <xf borderId="7" fillId="0" fontId="6" numFmtId="0" xfId="0" applyAlignment="1" applyBorder="1" applyFont="1">
      <alignment horizontal="right" vertical="center"/>
    </xf>
    <xf borderId="7" fillId="0" fontId="6" numFmtId="0" xfId="0" applyAlignment="1" applyBorder="1" applyFont="1">
      <alignment horizontal="center" vertical="center"/>
    </xf>
    <xf borderId="7" fillId="0" fontId="6" numFmtId="3" xfId="0" applyAlignment="1" applyBorder="1" applyFont="1" applyNumberFormat="1">
      <alignment horizontal="center" vertical="center"/>
    </xf>
    <xf borderId="1" fillId="8" fontId="7" numFmtId="0" xfId="0" applyAlignment="1" applyBorder="1" applyFont="1">
      <alignment horizontal="left" vertical="center"/>
    </xf>
    <xf borderId="8" fillId="8" fontId="5" numFmtId="0" xfId="0" applyAlignment="1" applyBorder="1" applyFont="1">
      <alignment horizontal="left" vertical="center"/>
    </xf>
    <xf borderId="8" fillId="8" fontId="5" numFmtId="0" xfId="0" applyAlignment="1" applyBorder="1" applyFont="1">
      <alignment horizontal="left" shrinkToFit="0" vertical="center" wrapText="1"/>
    </xf>
    <xf borderId="9" fillId="0" fontId="7" numFmtId="0" xfId="0" applyAlignment="1" applyBorder="1" applyFont="1">
      <alignment vertical="center"/>
    </xf>
    <xf borderId="5" fillId="8" fontId="5" numFmtId="4" xfId="0" applyAlignment="1" applyBorder="1" applyFont="1" applyNumberFormat="1">
      <alignment horizontal="right" vertical="center"/>
    </xf>
    <xf borderId="5" fillId="9" fontId="5" numFmtId="0" xfId="0" applyAlignment="1" applyBorder="1" applyFont="1">
      <alignment horizontal="left" vertical="center"/>
    </xf>
    <xf borderId="1" fillId="8" fontId="5" numFmtId="165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1" fillId="9" fontId="5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1" fillId="10" fontId="7" numFmtId="165" xfId="0" applyAlignment="1" applyBorder="1" applyFill="1" applyFont="1" applyNumberFormat="1">
      <alignment horizontal="center" vertical="center"/>
    </xf>
    <xf borderId="1" fillId="8" fontId="6" numFmtId="0" xfId="0" applyAlignment="1" applyBorder="1" applyFont="1">
      <alignment vertical="center"/>
    </xf>
    <xf borderId="5" fillId="8" fontId="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right"/>
    </xf>
    <xf borderId="0" fillId="0" fontId="6" numFmtId="164" xfId="0" applyAlignment="1" applyFont="1" applyNumberFormat="1">
      <alignment horizontal="center" vertical="center"/>
    </xf>
    <xf borderId="6" fillId="0" fontId="7" numFmtId="0" xfId="0" applyAlignment="1" applyBorder="1" applyFont="1">
      <alignment horizontal="center" vertical="center"/>
    </xf>
    <xf borderId="1" fillId="0" fontId="7" numFmtId="4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horizontal="center"/>
    </xf>
    <xf borderId="1" fillId="0" fontId="7" numFmtId="4" xfId="0" applyAlignment="1" applyBorder="1" applyFont="1" applyNumberFormat="1">
      <alignment vertical="center"/>
    </xf>
    <xf borderId="9" fillId="0" fontId="7" numFmtId="0" xfId="0" applyAlignment="1" applyBorder="1" applyFont="1">
      <alignment horizontal="right" vertical="center"/>
    </xf>
    <xf borderId="7" fillId="0" fontId="6" numFmtId="3" xfId="0" applyAlignment="1" applyBorder="1" applyFont="1" applyNumberFormat="1">
      <alignment vertical="center"/>
    </xf>
    <xf borderId="7" fillId="0" fontId="7" numFmtId="3" xfId="0" applyAlignment="1" applyBorder="1" applyFont="1" applyNumberFormat="1">
      <alignment horizontal="right" vertical="center"/>
    </xf>
    <xf borderId="1" fillId="8" fontId="6" numFmtId="0" xfId="0" applyAlignment="1" applyBorder="1" applyFont="1">
      <alignment horizontal="center" shrinkToFit="0" vertical="center" wrapText="1"/>
    </xf>
    <xf borderId="2" fillId="8" fontId="7" numFmtId="4" xfId="0" applyAlignment="1" applyBorder="1" applyFont="1" applyNumberFormat="1">
      <alignment vertical="center"/>
    </xf>
    <xf borderId="1" fillId="10" fontId="7" numFmtId="0" xfId="0" applyAlignment="1" applyBorder="1" applyFont="1">
      <alignment horizontal="center" vertical="center"/>
    </xf>
    <xf borderId="9" fillId="0" fontId="7" numFmtId="4" xfId="0" applyAlignment="1" applyBorder="1" applyFont="1" applyNumberFormat="1">
      <alignment horizontal="right" vertical="center"/>
    </xf>
    <xf borderId="2" fillId="8" fontId="5" numFmtId="4" xfId="0" applyAlignment="1" applyBorder="1" applyFont="1" applyNumberFormat="1">
      <alignment vertical="center"/>
    </xf>
    <xf borderId="0" fillId="0" fontId="6" numFmtId="166" xfId="0" applyAlignment="1" applyFont="1" applyNumberFormat="1">
      <alignment horizontal="center" vertical="center"/>
    </xf>
    <xf borderId="5" fillId="8" fontId="5" numFmtId="166" xfId="0" applyAlignment="1" applyBorder="1" applyFont="1" applyNumberFormat="1">
      <alignment horizontal="left" vertical="center"/>
    </xf>
    <xf borderId="1" fillId="8" fontId="8" numFmtId="166" xfId="0" applyAlignment="1" applyBorder="1" applyFont="1" applyNumberFormat="1">
      <alignment horizontal="left" vertical="center"/>
    </xf>
    <xf borderId="2" fillId="8" fontId="7" numFmtId="166" xfId="0" applyAlignment="1" applyBorder="1" applyFont="1" applyNumberFormat="1">
      <alignment horizontal="left" vertical="center"/>
    </xf>
    <xf borderId="5" fillId="8" fontId="5" numFmtId="166" xfId="0" applyAlignment="1" applyBorder="1" applyFont="1" applyNumberFormat="1">
      <alignment horizontal="left" shrinkToFit="0" vertical="center" wrapText="1"/>
    </xf>
    <xf borderId="1" fillId="8" fontId="6" numFmtId="166" xfId="0" applyAlignment="1" applyBorder="1" applyFont="1" applyNumberFormat="1">
      <alignment horizontal="right" vertical="center"/>
    </xf>
    <xf borderId="2" fillId="8" fontId="5" numFmtId="166" xfId="0" applyAlignment="1" applyBorder="1" applyFont="1" applyNumberFormat="1">
      <alignment vertical="center"/>
    </xf>
    <xf borderId="7" fillId="0" fontId="7" numFmtId="166" xfId="0" applyAlignment="1" applyBorder="1" applyFont="1" applyNumberFormat="1">
      <alignment horizontal="center" shrinkToFit="0" vertical="center" wrapText="1"/>
    </xf>
    <xf borderId="1" fillId="0" fontId="6" numFmtId="166" xfId="0" applyAlignment="1" applyBorder="1" applyFont="1" applyNumberFormat="1">
      <alignment horizontal="center" shrinkToFit="0" vertical="center" wrapText="1"/>
    </xf>
    <xf borderId="1" fillId="0" fontId="6" numFmtId="166" xfId="0" applyAlignment="1" applyBorder="1" applyFont="1" applyNumberFormat="1">
      <alignment horizontal="left" shrinkToFit="0" vertical="center" wrapText="1"/>
    </xf>
    <xf borderId="1" fillId="0" fontId="7" numFmtId="166" xfId="0" applyAlignment="1" applyBorder="1" applyFont="1" applyNumberFormat="1">
      <alignment vertical="center"/>
    </xf>
    <xf borderId="1" fillId="0" fontId="7" numFmtId="166" xfId="0" applyAlignment="1" applyBorder="1" applyFont="1" applyNumberFormat="1">
      <alignment horizontal="right" vertical="center"/>
    </xf>
    <xf borderId="1" fillId="0" fontId="6" numFmtId="166" xfId="0" applyAlignment="1" applyBorder="1" applyFont="1" applyNumberFormat="1">
      <alignment vertical="center"/>
    </xf>
    <xf borderId="1" fillId="8" fontId="5" numFmtId="166" xfId="0" applyAlignment="1" applyBorder="1" applyFont="1" applyNumberFormat="1">
      <alignment shrinkToFit="0" vertical="center" wrapText="1"/>
    </xf>
    <xf borderId="1" fillId="0" fontId="6" numFmtId="166" xfId="0" applyAlignment="1" applyBorder="1" applyFont="1" applyNumberFormat="1">
      <alignment horizontal="right" vertical="center"/>
    </xf>
    <xf borderId="1" fillId="0" fontId="6" numFmtId="166" xfId="0" applyAlignment="1" applyBorder="1" applyFont="1" applyNumberFormat="1">
      <alignment horizontal="center" vertical="center"/>
    </xf>
    <xf borderId="4" fillId="8" fontId="9" numFmtId="164" xfId="0" applyAlignment="1" applyBorder="1" applyFont="1" applyNumberFormat="1">
      <alignment horizontal="center" vertical="center"/>
    </xf>
    <xf borderId="1" fillId="8" fontId="10" numFmtId="0" xfId="0" applyAlignment="1" applyBorder="1" applyFont="1">
      <alignment horizontal="left" vertical="center"/>
    </xf>
    <xf borderId="2" fillId="8" fontId="10" numFmtId="0" xfId="0" applyAlignment="1" applyBorder="1" applyFont="1">
      <alignment horizontal="left" vertical="center"/>
    </xf>
    <xf borderId="1" fillId="8" fontId="10" numFmtId="0" xfId="0" applyAlignment="1" applyBorder="1" applyFont="1">
      <alignment horizontal="left" shrinkToFit="0" vertical="center" wrapText="1"/>
    </xf>
    <xf borderId="1" fillId="8" fontId="9" numFmtId="0" xfId="0" applyAlignment="1" applyBorder="1" applyFont="1">
      <alignment horizontal="center" vertical="center"/>
    </xf>
    <xf borderId="1" fillId="8" fontId="9" numFmtId="4" xfId="0" applyAlignment="1" applyBorder="1" applyFont="1" applyNumberFormat="1">
      <alignment horizontal="right" vertical="center"/>
    </xf>
    <xf borderId="6" fillId="0" fontId="10" numFmtId="4" xfId="0" applyAlignment="1" applyBorder="1" applyFont="1" applyNumberFormat="1">
      <alignment vertical="center"/>
    </xf>
    <xf borderId="7" fillId="0" fontId="1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11" numFmtId="164" xfId="0" applyAlignment="1" applyBorder="1" applyFont="1" applyNumberFormat="1">
      <alignment horizontal="center" vertical="center"/>
    </xf>
    <xf borderId="1" fillId="8" fontId="11" numFmtId="164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vertical="center"/>
    </xf>
    <xf borderId="1" fillId="0" fontId="11" numFmtId="0" xfId="0" applyAlignment="1" applyBorder="1" applyFont="1">
      <alignment horizontal="right" vertical="center"/>
    </xf>
    <xf borderId="9" fillId="0" fontId="9" numFmtId="3" xfId="0" applyAlignment="1" applyBorder="1" applyFont="1" applyNumberFormat="1">
      <alignment vertical="center"/>
    </xf>
    <xf borderId="7" fillId="0" fontId="11" numFmtId="3" xfId="0" applyAlignment="1" applyBorder="1" applyFont="1" applyNumberFormat="1">
      <alignment horizontal="right" vertical="center"/>
    </xf>
    <xf borderId="1" fillId="8" fontId="10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right" vertical="center"/>
    </xf>
    <xf borderId="1" fillId="0" fontId="9" numFmtId="0" xfId="0" applyAlignment="1" applyBorder="1" applyFont="1">
      <alignment horizontal="center" vertical="center"/>
    </xf>
    <xf borderId="1" fillId="0" fontId="9" numFmtId="3" xfId="0" applyAlignment="1" applyBorder="1" applyFont="1" applyNumberFormat="1">
      <alignment horizontal="center" vertical="center"/>
    </xf>
    <xf borderId="1" fillId="0" fontId="9" numFmtId="1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4" fillId="8" fontId="6" numFmtId="164" xfId="0" applyAlignment="1" applyBorder="1" applyFont="1" applyNumberFormat="1">
      <alignment horizontal="center" vertical="center"/>
    </xf>
    <xf borderId="1" fillId="8" fontId="6" numFmtId="164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center" shrinkToFit="0" vertical="center" wrapText="1"/>
    </xf>
    <xf borderId="6" fillId="0" fontId="7" numFmtId="164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left" shrinkToFit="0" vertical="center" wrapText="1"/>
    </xf>
    <xf borderId="6" fillId="0" fontId="6" numFmtId="3" xfId="0" applyAlignment="1" applyBorder="1" applyFont="1" applyNumberFormat="1">
      <alignment vertical="center"/>
    </xf>
    <xf borderId="6" fillId="0" fontId="7" numFmtId="3" xfId="0" applyAlignment="1" applyBorder="1" applyFont="1" applyNumberFormat="1">
      <alignment horizontal="right" vertical="center"/>
    </xf>
    <xf borderId="6" fillId="0" fontId="6" numFmtId="1" xfId="0" applyAlignment="1" applyBorder="1" applyFont="1" applyNumberFormat="1">
      <alignment horizontal="center" vertical="center"/>
    </xf>
    <xf borderId="7" fillId="0" fontId="5" numFmtId="4" xfId="0" applyAlignment="1" applyBorder="1" applyFont="1" applyNumberFormat="1">
      <alignment vertical="center"/>
    </xf>
    <xf borderId="7" fillId="0" fontId="5" numFmtId="164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left" shrinkToFit="0" vertical="center" wrapText="1"/>
    </xf>
    <xf borderId="7" fillId="0" fontId="6" numFmtId="1" xfId="0" applyAlignment="1" applyBorder="1" applyFont="1" applyNumberFormat="1">
      <alignment horizontal="center" vertical="center"/>
    </xf>
    <xf borderId="6" fillId="0" fontId="6" numFmtId="4" xfId="0" applyAlignment="1" applyBorder="1" applyFont="1" applyNumberFormat="1">
      <alignment vertical="center"/>
    </xf>
    <xf borderId="9" fillId="0" fontId="7" numFmtId="0" xfId="0" applyAlignment="1" applyBorder="1" applyFont="1">
      <alignment horizontal="right"/>
    </xf>
    <xf borderId="7" fillId="0" fontId="6" numFmtId="3" xfId="0" applyBorder="1" applyFont="1" applyNumberFormat="1"/>
    <xf borderId="7" fillId="0" fontId="7" numFmtId="3" xfId="0" applyAlignment="1" applyBorder="1" applyFont="1" applyNumberFormat="1">
      <alignment horizontal="right"/>
    </xf>
    <xf borderId="0" fillId="0" fontId="8" numFmtId="0" xfId="0" applyAlignment="1" applyFont="1">
      <alignment vertical="center"/>
    </xf>
    <xf borderId="3" fillId="8" fontId="6" numFmtId="0" xfId="0" applyAlignment="1" applyBorder="1" applyFont="1">
      <alignment shrinkToFit="0" vertical="center" wrapText="1"/>
    </xf>
    <xf borderId="0" fillId="0" fontId="12" numFmtId="4" xfId="0" applyAlignment="1" applyFont="1" applyNumberFormat="1">
      <alignment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vertical="center"/>
    </xf>
    <xf borderId="0" fillId="0" fontId="6" numFmtId="0" xfId="0" applyAlignment="1" applyFont="1">
      <alignment horizontal="right" vertical="center"/>
    </xf>
    <xf borderId="0" fillId="0" fontId="6" numFmtId="3" xfId="0" applyAlignment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0" fillId="0" fontId="5" numFmtId="0" xfId="0" applyFont="1"/>
    <xf borderId="0" fillId="0" fontId="7" numFmtId="0" xfId="0" applyFont="1"/>
    <xf borderId="0" fillId="0" fontId="5" numFmtId="0" xfId="0" applyAlignment="1" applyFont="1">
      <alignment horizontal="right"/>
    </xf>
    <xf borderId="0" fillId="0" fontId="7" numFmtId="0" xfId="0" applyAlignment="1" applyFont="1">
      <alignment horizontal="right"/>
    </xf>
    <xf borderId="0" fillId="0" fontId="7" numFmtId="164" xfId="0" applyAlignment="1" applyFont="1" applyNumberFormat="1">
      <alignment horizontal="right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right" vertical="center"/>
    </xf>
    <xf borderId="0" fillId="0" fontId="5" numFmtId="3" xfId="0" applyAlignment="1" applyFont="1" applyNumberFormat="1">
      <alignment horizontal="center" vertical="center"/>
    </xf>
    <xf borderId="0" fillId="0" fontId="5" numFmtId="1" xfId="0" applyAlignment="1" applyFont="1" applyNumberFormat="1">
      <alignment horizontal="center" vertical="center"/>
    </xf>
    <xf borderId="3" fillId="8" fontId="5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6" numFmtId="4" xfId="0" applyAlignment="1" applyFont="1" applyNumberFormat="1">
      <alignment vertical="center"/>
    </xf>
    <xf borderId="0" fillId="0" fontId="5" numFmtId="164" xfId="0" applyAlignment="1" applyFont="1" applyNumberFormat="1">
      <alignment horizontal="center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shrinkToFit="0" wrapText="1"/>
    </xf>
    <xf borderId="1" fillId="8" fontId="6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/>
    </xf>
    <xf borderId="3" fillId="8" fontId="7" numFmtId="0" xfId="0" applyAlignment="1" applyBorder="1" applyFont="1">
      <alignment horizontal="center"/>
    </xf>
    <xf borderId="3" fillId="8" fontId="6" numFmtId="0" xfId="0" applyBorder="1" applyFont="1"/>
    <xf borderId="1" fillId="2" fontId="4" numFmtId="0" xfId="0" applyAlignment="1" applyBorder="1" applyFont="1">
      <alignment horizontal="center" shrinkToFit="0" vertical="center" wrapText="1"/>
    </xf>
    <xf borderId="1" fillId="5" fontId="13" numFmtId="1" xfId="0" applyAlignment="1" applyBorder="1" applyFont="1" applyNumberFormat="1">
      <alignment horizontal="center" shrinkToFit="0" vertical="center" wrapText="1"/>
    </xf>
    <xf borderId="1" fillId="11" fontId="5" numFmtId="0" xfId="0" applyAlignment="1" applyBorder="1" applyFill="1" applyFont="1">
      <alignment horizontal="left" vertical="center"/>
    </xf>
    <xf borderId="1" fillId="11" fontId="6" numFmtId="0" xfId="0" applyAlignment="1" applyBorder="1" applyFont="1">
      <alignment horizontal="center" vertical="center"/>
    </xf>
    <xf borderId="1" fillId="11" fontId="6" numFmtId="4" xfId="0" applyAlignment="1" applyBorder="1" applyFont="1" applyNumberFormat="1">
      <alignment horizontal="right" vertical="center"/>
    </xf>
    <xf borderId="2" fillId="11" fontId="5" numFmtId="4" xfId="0" applyAlignment="1" applyBorder="1" applyFont="1" applyNumberFormat="1">
      <alignment horizontal="right" vertical="center"/>
    </xf>
    <xf borderId="5" fillId="11" fontId="5" numFmtId="0" xfId="0" applyAlignment="1" applyBorder="1" applyFont="1">
      <alignment horizontal="center" vertical="center"/>
    </xf>
    <xf borderId="8" fillId="11" fontId="5" numFmtId="0" xfId="0" applyAlignment="1" applyBorder="1" applyFont="1">
      <alignment horizontal="center" shrinkToFit="0" vertical="center" wrapText="1"/>
    </xf>
    <xf borderId="1" fillId="11" fontId="5" numFmtId="164" xfId="0" applyAlignment="1" applyBorder="1" applyFont="1" applyNumberFormat="1">
      <alignment horizontal="center" vertical="center"/>
    </xf>
    <xf borderId="1" fillId="11" fontId="14" numFmtId="0" xfId="0" applyAlignment="1" applyBorder="1" applyFont="1">
      <alignment vertical="center"/>
    </xf>
    <xf borderId="1" fillId="11" fontId="14" numFmtId="164" xfId="0" applyAlignment="1" applyBorder="1" applyFont="1" applyNumberFormat="1">
      <alignment horizontal="right" vertical="center"/>
    </xf>
    <xf borderId="1" fillId="11" fontId="14" numFmtId="0" xfId="0" applyAlignment="1" applyBorder="1" applyFont="1">
      <alignment horizontal="right" vertical="center"/>
    </xf>
    <xf borderId="1" fillId="11" fontId="6" numFmtId="3" xfId="0" applyAlignment="1" applyBorder="1" applyFont="1" applyNumberFormat="1">
      <alignment horizontal="center" vertical="center"/>
    </xf>
    <xf borderId="1" fillId="11" fontId="6" numFmtId="165" xfId="0" applyAlignment="1" applyBorder="1" applyFont="1" applyNumberFormat="1">
      <alignment horizontal="center" vertical="center"/>
    </xf>
    <xf borderId="3" fillId="11" fontId="6" numFmtId="0" xfId="0" applyAlignment="1" applyBorder="1" applyFont="1">
      <alignment horizontal="center" vertical="center"/>
    </xf>
    <xf borderId="5" fillId="11" fontId="5" numFmtId="0" xfId="0" applyAlignment="1" applyBorder="1" applyFont="1">
      <alignment horizontal="left" vertical="center"/>
    </xf>
    <xf borderId="1" fillId="11" fontId="5" numFmtId="0" xfId="0" applyAlignment="1" applyBorder="1" applyFont="1">
      <alignment horizontal="center" vertical="center"/>
    </xf>
    <xf borderId="1" fillId="11" fontId="5" numFmtId="4" xfId="0" applyAlignment="1" applyBorder="1" applyFont="1" applyNumberFormat="1">
      <alignment horizontal="right" vertical="center"/>
    </xf>
    <xf borderId="1" fillId="11" fontId="5" numFmtId="4" xfId="0" applyAlignment="1" applyBorder="1" applyFont="1" applyNumberFormat="1">
      <alignment vertical="center"/>
    </xf>
    <xf borderId="5" fillId="11" fontId="6" numFmtId="0" xfId="0" applyAlignment="1" applyBorder="1" applyFont="1">
      <alignment horizontal="center" shrinkToFit="0" vertical="center" wrapText="1"/>
    </xf>
    <xf borderId="5" fillId="11" fontId="14" numFmtId="167" xfId="0" applyAlignment="1" applyBorder="1" applyFont="1" applyNumberFormat="1">
      <alignment vertical="center"/>
    </xf>
    <xf borderId="1" fillId="11" fontId="14" numFmtId="167" xfId="0" applyAlignment="1" applyBorder="1" applyFont="1" applyNumberFormat="1">
      <alignment horizontal="right" vertical="center"/>
    </xf>
    <xf borderId="1" fillId="11" fontId="14" numFmtId="3" xfId="0" applyAlignment="1" applyBorder="1" applyFont="1" applyNumberFormat="1">
      <alignment horizontal="right" vertical="center"/>
    </xf>
    <xf borderId="4" fillId="7" fontId="6" numFmtId="0" xfId="0" applyAlignment="1" applyBorder="1" applyFont="1">
      <alignment horizontal="center" vertical="center"/>
    </xf>
    <xf borderId="4" fillId="11" fontId="9" numFmtId="164" xfId="0" applyAlignment="1" applyBorder="1" applyFont="1" applyNumberFormat="1">
      <alignment horizontal="center" vertical="center"/>
    </xf>
    <xf borderId="5" fillId="9" fontId="10" numFmtId="0" xfId="0" applyAlignment="1" applyBorder="1" applyFont="1">
      <alignment horizontal="left" vertical="center"/>
    </xf>
    <xf borderId="1" fillId="11" fontId="10" numFmtId="0" xfId="0" applyAlignment="1" applyBorder="1" applyFont="1">
      <alignment horizontal="left" vertical="center"/>
    </xf>
    <xf borderId="1" fillId="11" fontId="11" numFmtId="0" xfId="0" applyAlignment="1" applyBorder="1" applyFont="1">
      <alignment horizontal="left" vertical="center"/>
    </xf>
    <xf borderId="1" fillId="8" fontId="9" numFmtId="0" xfId="0" applyAlignment="1" applyBorder="1" applyFont="1">
      <alignment horizontal="left" shrinkToFit="0" vertical="center" wrapText="1"/>
    </xf>
    <xf borderId="1" fillId="11" fontId="9" numFmtId="0" xfId="0" applyAlignment="1" applyBorder="1" applyFont="1">
      <alignment horizontal="center" vertical="center"/>
    </xf>
    <xf borderId="1" fillId="11" fontId="9" numFmtId="4" xfId="0" applyAlignment="1" applyBorder="1" applyFont="1" applyNumberFormat="1">
      <alignment horizontal="right" vertical="center"/>
    </xf>
    <xf borderId="1" fillId="11" fontId="10" numFmtId="4" xfId="0" applyAlignment="1" applyBorder="1" applyFont="1" applyNumberFormat="1">
      <alignment horizontal="right" vertical="center"/>
    </xf>
    <xf borderId="5" fillId="11" fontId="10" numFmtId="0" xfId="0" applyAlignment="1" applyBorder="1" applyFont="1">
      <alignment horizontal="center" vertical="center"/>
    </xf>
    <xf borderId="5" fillId="11" fontId="10" numFmtId="0" xfId="0" applyAlignment="1" applyBorder="1" applyFont="1">
      <alignment horizontal="center" shrinkToFit="0" vertical="center" wrapText="1"/>
    </xf>
    <xf borderId="1" fillId="11" fontId="10" numFmtId="164" xfId="0" applyAlignment="1" applyBorder="1" applyFont="1" applyNumberFormat="1">
      <alignment horizontal="center" shrinkToFit="0" vertical="center" wrapText="1"/>
    </xf>
    <xf borderId="5" fillId="11" fontId="11" numFmtId="0" xfId="0" applyAlignment="1" applyBorder="1" applyFont="1">
      <alignment horizontal="left" vertical="center"/>
    </xf>
    <xf borderId="1" fillId="11" fontId="9" numFmtId="0" xfId="0" applyAlignment="1" applyBorder="1" applyFont="1">
      <alignment horizontal="right" vertical="center"/>
    </xf>
    <xf borderId="1" fillId="11" fontId="9" numFmtId="3" xfId="0" applyAlignment="1" applyBorder="1" applyFont="1" applyNumberFormat="1">
      <alignment horizontal="center" vertical="center"/>
    </xf>
    <xf borderId="3" fillId="11" fontId="9" numFmtId="0" xfId="0" applyAlignment="1" applyBorder="1" applyFont="1">
      <alignment horizontal="center" vertical="center"/>
    </xf>
    <xf borderId="2" fillId="11" fontId="10" numFmtId="4" xfId="0" applyAlignment="1" applyBorder="1" applyFont="1" applyNumberFormat="1">
      <alignment horizontal="right" vertical="center"/>
    </xf>
    <xf borderId="8" fillId="11" fontId="10" numFmtId="0" xfId="0" applyAlignment="1" applyBorder="1" applyFont="1">
      <alignment horizontal="center" shrinkToFit="0" vertical="center" wrapText="1"/>
    </xf>
    <xf borderId="1" fillId="11" fontId="10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left" vertical="center"/>
    </xf>
    <xf borderId="8" fillId="8" fontId="5" numFmtId="0" xfId="0" applyAlignment="1" applyBorder="1" applyFont="1">
      <alignment horizontal="center" shrinkToFit="0" vertical="center" wrapText="1"/>
    </xf>
    <xf borderId="1" fillId="0" fontId="14" numFmtId="164" xfId="0" applyAlignment="1" applyBorder="1" applyFont="1" applyNumberFormat="1">
      <alignment vertical="center"/>
    </xf>
    <xf borderId="1" fillId="0" fontId="14" numFmtId="164" xfId="0" applyAlignment="1" applyBorder="1" applyFont="1" applyNumberFormat="1">
      <alignment horizontal="right" vertical="center"/>
    </xf>
    <xf borderId="1" fillId="0" fontId="14" numFmtId="0" xfId="0" applyAlignment="1" applyBorder="1" applyFont="1">
      <alignment horizontal="right" vertical="center"/>
    </xf>
    <xf borderId="1" fillId="0" fontId="14" numFmtId="3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3" xfId="0" applyAlignment="1" applyBorder="1" applyFont="1" applyNumberFormat="1">
      <alignment horizontal="center" vertical="center"/>
    </xf>
    <xf borderId="1" fillId="0" fontId="5" numFmtId="165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left" shrinkToFit="0" vertical="center" wrapText="1"/>
    </xf>
    <xf borderId="1" fillId="0" fontId="14" numFmtId="165" xfId="0" applyAlignment="1" applyBorder="1" applyFont="1" applyNumberFormat="1">
      <alignment horizontal="right" vertical="center"/>
    </xf>
    <xf borderId="1" fillId="0" fontId="15" numFmtId="0" xfId="0" applyAlignment="1" applyBorder="1" applyFont="1">
      <alignment horizontal="left" vertical="center"/>
    </xf>
    <xf borderId="1" fillId="0" fontId="5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horizontal="right" vertical="center"/>
    </xf>
    <xf borderId="1" fillId="11" fontId="6" numFmtId="1" xfId="0" applyAlignment="1" applyBorder="1" applyFont="1" applyNumberFormat="1">
      <alignment horizontal="center" vertical="center"/>
    </xf>
    <xf borderId="4" fillId="7" fontId="5" numFmtId="165" xfId="0" applyAlignment="1" applyBorder="1" applyFont="1" applyNumberFormat="1">
      <alignment horizontal="center" vertical="center"/>
    </xf>
    <xf borderId="5" fillId="9" fontId="5" numFmtId="0" xfId="0" applyAlignment="1" applyBorder="1" applyFont="1">
      <alignment vertical="center"/>
    </xf>
    <xf borderId="1" fillId="11" fontId="5" numFmtId="0" xfId="0" applyAlignment="1" applyBorder="1" applyFont="1">
      <alignment vertical="center"/>
    </xf>
    <xf borderId="1" fillId="11" fontId="14" numFmtId="164" xfId="0" applyAlignment="1" applyBorder="1" applyFont="1" applyNumberFormat="1">
      <alignment horizontal="right" shrinkToFit="0" vertical="center" wrapText="1"/>
    </xf>
    <xf borderId="1" fillId="11" fontId="14" numFmtId="164" xfId="0" applyAlignment="1" applyBorder="1" applyFont="1" applyNumberFormat="1">
      <alignment shrinkToFit="0" vertical="center" wrapText="1"/>
    </xf>
    <xf borderId="10" fillId="7" fontId="6" numFmtId="164" xfId="0" applyAlignment="1" applyBorder="1" applyFont="1" applyNumberFormat="1">
      <alignment horizontal="center" vertical="center"/>
    </xf>
    <xf borderId="11" fillId="11" fontId="5" numFmtId="0" xfId="0" applyAlignment="1" applyBorder="1" applyFont="1">
      <alignment horizontal="left" vertical="center"/>
    </xf>
    <xf borderId="11" fillId="8" fontId="6" numFmtId="0" xfId="0" applyAlignment="1" applyBorder="1" applyFont="1">
      <alignment horizontal="left" shrinkToFit="0" vertical="center" wrapText="1"/>
    </xf>
    <xf borderId="11" fillId="11" fontId="6" numFmtId="4" xfId="0" applyAlignment="1" applyBorder="1" applyFont="1" applyNumberFormat="1">
      <alignment horizontal="right" vertical="center"/>
    </xf>
    <xf borderId="2" fillId="11" fontId="14" numFmtId="164" xfId="0" applyAlignment="1" applyBorder="1" applyFont="1" applyNumberFormat="1">
      <alignment shrinkToFit="0" vertical="center" wrapText="1"/>
    </xf>
    <xf borderId="2" fillId="11" fontId="14" numFmtId="164" xfId="0" applyAlignment="1" applyBorder="1" applyFont="1" applyNumberFormat="1">
      <alignment horizontal="right" vertical="center"/>
    </xf>
    <xf borderId="2" fillId="11" fontId="14" numFmtId="0" xfId="0" applyAlignment="1" applyBorder="1" applyFont="1">
      <alignment horizontal="right" vertical="center"/>
    </xf>
    <xf borderId="5" fillId="11" fontId="5" numFmtId="0" xfId="0" applyAlignment="1" applyBorder="1" applyFont="1">
      <alignment vertical="center"/>
    </xf>
    <xf borderId="8" fillId="11" fontId="6" numFmtId="0" xfId="0" applyAlignment="1" applyBorder="1" applyFont="1">
      <alignment horizontal="center" shrinkToFit="0" vertical="center" wrapText="1"/>
    </xf>
    <xf borderId="5" fillId="11" fontId="14" numFmtId="164" xfId="0" applyAlignment="1" applyBorder="1" applyFont="1" applyNumberFormat="1">
      <alignment shrinkToFit="0" vertical="center" wrapText="1"/>
    </xf>
    <xf borderId="5" fillId="11" fontId="14" numFmtId="164" xfId="0" applyAlignment="1" applyBorder="1" applyFont="1" applyNumberFormat="1">
      <alignment vertical="center"/>
    </xf>
    <xf borderId="8" fillId="8" fontId="6" numFmtId="0" xfId="0" applyAlignment="1" applyBorder="1" applyFont="1">
      <alignment horizontal="left" shrinkToFit="0" vertical="center" wrapText="1"/>
    </xf>
    <xf borderId="5" fillId="11" fontId="6" numFmtId="4" xfId="0" applyAlignment="1" applyBorder="1" applyFont="1" applyNumberFormat="1">
      <alignment horizontal="right" vertical="center"/>
    </xf>
    <xf borderId="1" fillId="11" fontId="14" numFmtId="164" xfId="0" applyAlignment="1" applyBorder="1" applyFont="1" applyNumberFormat="1">
      <alignment vertical="center"/>
    </xf>
    <xf borderId="8" fillId="8" fontId="5" numFmtId="0" xfId="0" applyAlignment="1" applyBorder="1" applyFont="1">
      <alignment shrinkToFit="0" vertical="center" wrapText="1"/>
    </xf>
    <xf borderId="1" fillId="11" fontId="15" numFmtId="0" xfId="0" applyAlignment="1" applyBorder="1" applyFont="1">
      <alignment horizontal="left" vertical="center"/>
    </xf>
    <xf borderId="3" fillId="8" fontId="6" numFmtId="0" xfId="0" applyAlignment="1" applyBorder="1" applyFont="1">
      <alignment horizontal="left" shrinkToFit="0" vertical="center" wrapText="1"/>
    </xf>
    <xf borderId="1" fillId="11" fontId="6" numFmtId="0" xfId="0" applyAlignment="1" applyBorder="1" applyFont="1">
      <alignment vertical="center"/>
    </xf>
    <xf borderId="1" fillId="11" fontId="6" numFmtId="0" xfId="0" applyAlignment="1" applyBorder="1" applyFont="1">
      <alignment horizontal="right" vertical="center"/>
    </xf>
    <xf borderId="2" fillId="10" fontId="5" numFmtId="4" xfId="0" applyAlignment="1" applyBorder="1" applyFont="1" applyNumberFormat="1">
      <alignment horizontal="right" vertical="center"/>
    </xf>
    <xf borderId="5" fillId="11" fontId="5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left" vertical="center"/>
    </xf>
    <xf borderId="1" fillId="11" fontId="15" numFmtId="0" xfId="0" applyAlignment="1" applyBorder="1" applyFont="1">
      <alignment horizontal="left" shrinkToFit="0" vertical="center" wrapText="1"/>
    </xf>
    <xf borderId="2" fillId="11" fontId="5" numFmtId="4" xfId="0" applyAlignment="1" applyBorder="1" applyFont="1" applyNumberFormat="1">
      <alignment vertical="center"/>
    </xf>
    <xf borderId="1" fillId="11" fontId="14" numFmtId="164" xfId="0" applyAlignment="1" applyBorder="1" applyFont="1" applyNumberFormat="1">
      <alignment horizontal="center" vertical="center"/>
    </xf>
    <xf borderId="1" fillId="11" fontId="6" numFmtId="4" xfId="0" applyAlignment="1" applyBorder="1" applyFont="1" applyNumberFormat="1">
      <alignment vertical="center"/>
    </xf>
    <xf borderId="1" fillId="11" fontId="7" numFmtId="0" xfId="0" applyAlignment="1" applyBorder="1" applyFont="1">
      <alignment horizontal="right" vertical="center"/>
    </xf>
    <xf borderId="5" fillId="11" fontId="5" numFmtId="0" xfId="0" applyAlignment="1" applyBorder="1" applyFont="1">
      <alignment shrinkToFit="0" vertical="center" wrapText="1"/>
    </xf>
    <xf borderId="1" fillId="8" fontId="15" numFmtId="0" xfId="0" applyAlignment="1" applyBorder="1" applyFont="1">
      <alignment shrinkToFit="0" vertical="center" wrapText="1"/>
    </xf>
    <xf borderId="1" fillId="8" fontId="14" numFmtId="0" xfId="0" applyAlignment="1" applyBorder="1" applyFont="1">
      <alignment horizontal="right" vertical="center"/>
    </xf>
    <xf borderId="1" fillId="7" fontId="5" numFmtId="164" xfId="0" applyAlignment="1" applyBorder="1" applyFont="1" applyNumberFormat="1">
      <alignment horizontal="center" vertical="center"/>
    </xf>
    <xf borderId="12" fillId="8" fontId="5" numFmtId="0" xfId="0" applyAlignment="1" applyBorder="1" applyFont="1">
      <alignment shrinkToFit="0" vertical="center" wrapText="1"/>
    </xf>
    <xf borderId="12" fillId="8" fontId="5" numFmtId="0" xfId="0" applyAlignment="1" applyBorder="1" applyFont="1">
      <alignment vertical="center"/>
    </xf>
    <xf borderId="12" fillId="8" fontId="5" numFmtId="0" xfId="0" applyAlignment="1" applyBorder="1" applyFont="1">
      <alignment horizontal="center" vertical="center"/>
    </xf>
    <xf borderId="12" fillId="8" fontId="5" numFmtId="4" xfId="0" applyAlignment="1" applyBorder="1" applyFont="1" applyNumberFormat="1">
      <alignment horizontal="right" vertical="center"/>
    </xf>
    <xf borderId="7" fillId="0" fontId="5" numFmtId="0" xfId="0" applyAlignment="1" applyBorder="1" applyFont="1">
      <alignment horizontal="center" vertical="center"/>
    </xf>
    <xf borderId="5" fillId="8" fontId="6" numFmtId="0" xfId="0" applyAlignment="1" applyBorder="1" applyFont="1">
      <alignment horizontal="center" shrinkToFit="0" vertical="center" wrapText="1"/>
    </xf>
    <xf borderId="1" fillId="8" fontId="5" numFmtId="164" xfId="0" applyAlignment="1" applyBorder="1" applyFont="1" applyNumberFormat="1">
      <alignment vertical="center"/>
    </xf>
    <xf borderId="1" fillId="8" fontId="5" numFmtId="165" xfId="0" applyAlignment="1" applyBorder="1" applyFont="1" applyNumberFormat="1">
      <alignment horizontal="right" vertical="center"/>
    </xf>
    <xf borderId="1" fillId="8" fontId="5" numFmtId="0" xfId="0" applyAlignment="1" applyBorder="1" applyFont="1">
      <alignment horizontal="right" vertical="center"/>
    </xf>
    <xf borderId="12" fillId="8" fontId="15" numFmtId="0" xfId="0" applyAlignment="1" applyBorder="1" applyFont="1">
      <alignment vertical="center"/>
    </xf>
    <xf borderId="1" fillId="8" fontId="14" numFmtId="164" xfId="0" applyAlignment="1" applyBorder="1" applyFont="1" applyNumberFormat="1">
      <alignment vertical="center"/>
    </xf>
    <xf borderId="1" fillId="8" fontId="7" numFmtId="164" xfId="0" applyAlignment="1" applyBorder="1" applyFont="1" applyNumberFormat="1">
      <alignment vertical="center"/>
    </xf>
    <xf borderId="1" fillId="8" fontId="6" numFmtId="3" xfId="0" applyAlignment="1" applyBorder="1" applyFont="1" applyNumberFormat="1">
      <alignment horizontal="right" vertical="center"/>
    </xf>
    <xf borderId="12" fillId="11" fontId="6" numFmtId="0" xfId="0" applyAlignment="1" applyBorder="1" applyFont="1">
      <alignment vertical="center"/>
    </xf>
    <xf borderId="12" fillId="11" fontId="5" numFmtId="0" xfId="0" applyAlignment="1" applyBorder="1" applyFont="1">
      <alignment vertical="center"/>
    </xf>
    <xf borderId="12" fillId="11" fontId="5" numFmtId="0" xfId="0" applyAlignment="1" applyBorder="1" applyFont="1">
      <alignment horizontal="center" vertical="center"/>
    </xf>
    <xf borderId="12" fillId="11" fontId="5" numFmtId="0" xfId="0" applyAlignment="1" applyBorder="1" applyFont="1">
      <alignment horizontal="left" vertical="center"/>
    </xf>
    <xf borderId="12" fillId="11" fontId="6" numFmtId="0" xfId="0" applyAlignment="1" applyBorder="1" applyFont="1">
      <alignment horizontal="center" vertical="center"/>
    </xf>
    <xf borderId="12" fillId="11" fontId="6" numFmtId="4" xfId="0" applyAlignment="1" applyBorder="1" applyFont="1" applyNumberFormat="1">
      <alignment horizontal="right" vertical="center"/>
    </xf>
    <xf borderId="2" fillId="11" fontId="6" numFmtId="0" xfId="0" applyAlignment="1" applyBorder="1" applyFont="1">
      <alignment horizontal="center" shrinkToFit="0" vertical="center" wrapText="1"/>
    </xf>
    <xf borderId="2" fillId="12" fontId="5" numFmtId="4" xfId="0" applyAlignment="1" applyBorder="1" applyFill="1" applyFont="1" applyNumberFormat="1">
      <alignment horizontal="right" vertical="center"/>
    </xf>
    <xf borderId="12" fillId="11" fontId="6" numFmtId="0" xfId="0" applyAlignment="1" applyBorder="1" applyFont="1">
      <alignment horizontal="center" shrinkToFit="0" vertical="center" wrapText="1"/>
    </xf>
    <xf borderId="12" fillId="11" fontId="5" numFmtId="4" xfId="0" applyAlignment="1" applyBorder="1" applyFont="1" applyNumberFormat="1">
      <alignment horizontal="right" vertical="center"/>
    </xf>
    <xf borderId="2" fillId="11" fontId="6" numFmtId="4" xfId="0" applyAlignment="1" applyBorder="1" applyFont="1" applyNumberFormat="1">
      <alignment horizontal="right" vertical="center"/>
    </xf>
    <xf borderId="2" fillId="11" fontId="5" numFmtId="0" xfId="0" applyAlignment="1" applyBorder="1" applyFont="1">
      <alignment horizontal="left" vertical="center"/>
    </xf>
    <xf borderId="1" fillId="11" fontId="6" numFmtId="0" xfId="0" applyAlignment="1" applyBorder="1" applyFont="1">
      <alignment horizontal="center" shrinkToFit="0" vertical="center" wrapText="1"/>
    </xf>
    <xf borderId="1" fillId="11" fontId="14" numFmtId="165" xfId="0" applyAlignment="1" applyBorder="1" applyFont="1" applyNumberFormat="1">
      <alignment horizontal="right" vertical="center"/>
    </xf>
    <xf borderId="1" fillId="0" fontId="14" numFmtId="0" xfId="0" applyAlignment="1" applyBorder="1" applyFont="1">
      <alignment horizontal="center" vertical="center"/>
    </xf>
    <xf borderId="1" fillId="0" fontId="14" numFmtId="3" xfId="0" applyAlignment="1" applyBorder="1" applyFont="1" applyNumberFormat="1">
      <alignment horizontal="center" vertical="center"/>
    </xf>
    <xf borderId="1" fillId="0" fontId="14" numFmtId="165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4" fillId="7" fontId="10" numFmtId="164" xfId="0" applyAlignment="1" applyBorder="1" applyFont="1" applyNumberFormat="1">
      <alignment horizontal="center" vertical="center"/>
    </xf>
    <xf borderId="5" fillId="8" fontId="10" numFmtId="0" xfId="0" applyAlignment="1" applyBorder="1" applyFont="1">
      <alignment horizontal="left" vertical="center"/>
    </xf>
    <xf borderId="5" fillId="8" fontId="10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horizontal="center" vertical="center"/>
    </xf>
    <xf borderId="5" fillId="8" fontId="10" numFmtId="4" xfId="0" applyAlignment="1" applyBorder="1" applyFont="1" applyNumberFormat="1">
      <alignment horizontal="right" vertical="center"/>
    </xf>
    <xf borderId="2" fillId="8" fontId="10" numFmtId="4" xfId="0" applyAlignment="1" applyBorder="1" applyFont="1" applyNumberFormat="1">
      <alignment horizontal="right" vertical="center"/>
    </xf>
    <xf borderId="1" fillId="8" fontId="11" numFmtId="0" xfId="0" applyAlignment="1" applyBorder="1" applyFont="1">
      <alignment horizontal="center" vertical="center"/>
    </xf>
    <xf borderId="1" fillId="8" fontId="9" numFmtId="0" xfId="0" applyAlignment="1" applyBorder="1" applyFont="1">
      <alignment horizontal="center" shrinkToFit="0" vertical="center" wrapText="1"/>
    </xf>
    <xf borderId="1" fillId="8" fontId="10" numFmtId="164" xfId="0" applyAlignment="1" applyBorder="1" applyFont="1" applyNumberFormat="1">
      <alignment horizontal="center" vertical="center"/>
    </xf>
    <xf borderId="1" fillId="0" fontId="9" numFmtId="3" xfId="0" applyAlignment="1" applyBorder="1" applyFont="1" applyNumberFormat="1">
      <alignment horizontal="right" vertical="center"/>
    </xf>
    <xf borderId="1" fillId="0" fontId="6" numFmtId="3" xfId="0" applyAlignment="1" applyBorder="1" applyFont="1" applyNumberFormat="1">
      <alignment horizontal="right" vertical="center"/>
    </xf>
    <xf borderId="11" fillId="8" fontId="5" numFmtId="4" xfId="0" applyAlignment="1" applyBorder="1" applyFont="1" applyNumberFormat="1">
      <alignment horizontal="right" vertical="center"/>
    </xf>
    <xf borderId="5" fillId="11" fontId="6" numFmtId="0" xfId="0" applyAlignment="1" applyBorder="1" applyFont="1">
      <alignment vertical="center"/>
    </xf>
    <xf borderId="5" fillId="11" fontId="16" numFmtId="0" xfId="0" applyAlignment="1" applyBorder="1" applyFont="1">
      <alignment vertical="center"/>
    </xf>
    <xf borderId="11" fillId="11" fontId="5" numFmtId="0" xfId="0" applyAlignment="1" applyBorder="1" applyFont="1">
      <alignment horizontal="center" vertical="center"/>
    </xf>
    <xf borderId="11" fillId="11" fontId="5" numFmtId="4" xfId="0" applyAlignment="1" applyBorder="1" applyFont="1" applyNumberFormat="1">
      <alignment horizontal="right" vertical="center"/>
    </xf>
    <xf borderId="11" fillId="11" fontId="5" numFmtId="0" xfId="0" applyAlignment="1" applyBorder="1" applyFont="1">
      <alignment horizontal="center" shrinkToFit="0" vertical="center" wrapText="1"/>
    </xf>
    <xf borderId="11" fillId="11" fontId="6" numFmtId="0" xfId="0" applyAlignment="1" applyBorder="1" applyFont="1">
      <alignment horizontal="center" vertical="center"/>
    </xf>
    <xf borderId="5" fillId="11" fontId="15" numFmtId="0" xfId="0" applyAlignment="1" applyBorder="1" applyFont="1">
      <alignment horizontal="left" vertical="center"/>
    </xf>
    <xf borderId="8" fillId="11" fontId="6" numFmtId="0" xfId="0" applyAlignment="1" applyBorder="1" applyFont="1">
      <alignment horizontal="center" vertical="center"/>
    </xf>
    <xf borderId="1" fillId="11" fontId="14" numFmtId="167" xfId="0" applyAlignment="1" applyBorder="1" applyFont="1" applyNumberFormat="1">
      <alignment vertical="center"/>
    </xf>
    <xf borderId="1" fillId="0" fontId="14" numFmtId="0" xfId="0" applyAlignment="1" applyBorder="1" applyFont="1">
      <alignment horizontal="right" shrinkToFit="0" vertical="center" wrapText="1"/>
    </xf>
    <xf borderId="1" fillId="8" fontId="14" numFmtId="0" xfId="0" applyAlignment="1" applyBorder="1" applyFont="1">
      <alignment horizontal="left" vertical="center"/>
    </xf>
    <xf borderId="4" fillId="7" fontId="9" numFmtId="164" xfId="0" applyAlignment="1" applyBorder="1" applyFont="1" applyNumberFormat="1">
      <alignment horizontal="center" vertical="center"/>
    </xf>
    <xf borderId="1" fillId="8" fontId="10" numFmtId="0" xfId="0" applyAlignment="1" applyBorder="1" applyFont="1">
      <alignment horizontal="center" shrinkToFit="0" vertical="center" wrapText="1"/>
    </xf>
    <xf borderId="1" fillId="8" fontId="10" numFmtId="4" xfId="0" applyAlignment="1" applyBorder="1" applyFont="1" applyNumberFormat="1">
      <alignment horizontal="right" vertical="center"/>
    </xf>
    <xf borderId="1" fillId="0" fontId="11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shrinkToFit="0" vertical="center" wrapText="1"/>
    </xf>
    <xf borderId="1" fillId="11" fontId="6" numFmtId="3" xfId="0" applyAlignment="1" applyBorder="1" applyFont="1" applyNumberFormat="1">
      <alignment horizontal="right" vertical="center"/>
    </xf>
    <xf borderId="3" fillId="11" fontId="6" numFmtId="0" xfId="0" applyAlignment="1" applyBorder="1" applyFont="1">
      <alignment horizontal="right" vertical="center"/>
    </xf>
    <xf borderId="1" fillId="0" fontId="5" numFmtId="3" xfId="0" applyAlignment="1" applyBorder="1" applyFont="1" applyNumberFormat="1">
      <alignment horizontal="right" vertical="center"/>
    </xf>
    <xf borderId="7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vertical="center"/>
    </xf>
    <xf borderId="1" fillId="8" fontId="17" numFmtId="0" xfId="0" applyAlignment="1" applyBorder="1" applyFont="1">
      <alignment vertical="center"/>
    </xf>
    <xf borderId="1" fillId="0" fontId="14" numFmtId="167" xfId="0" applyAlignment="1" applyBorder="1" applyFont="1" applyNumberFormat="1">
      <alignment horizontal="right" vertical="center"/>
    </xf>
    <xf borderId="6" fillId="0" fontId="5" numFmtId="0" xfId="0" applyAlignment="1" applyBorder="1" applyFont="1">
      <alignment vertical="center"/>
    </xf>
    <xf borderId="12" fillId="8" fontId="17" numFmtId="0" xfId="0" applyAlignment="1" applyBorder="1" applyFont="1">
      <alignment vertical="center"/>
    </xf>
    <xf borderId="1" fillId="8" fontId="14" numFmtId="164" xfId="0" applyAlignment="1" applyBorder="1" applyFont="1" applyNumberFormat="1">
      <alignment horizontal="right" vertical="center"/>
    </xf>
    <xf borderId="1" fillId="8" fontId="14" numFmtId="3" xfId="0" applyAlignment="1" applyBorder="1" applyFont="1" applyNumberFormat="1">
      <alignment horizontal="right" vertical="center"/>
    </xf>
    <xf borderId="1" fillId="9" fontId="5" numFmtId="0" xfId="0" applyAlignment="1" applyBorder="1" applyFont="1">
      <alignment vertical="center"/>
    </xf>
    <xf borderId="11" fillId="9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11" fillId="11" fontId="6" numFmtId="0" xfId="0" applyAlignment="1" applyBorder="1" applyFont="1">
      <alignment vertical="center"/>
    </xf>
    <xf borderId="11" fillId="8" fontId="5" numFmtId="0" xfId="0" applyAlignment="1" applyBorder="1" applyFont="1">
      <alignment horizontal="left" vertical="center"/>
    </xf>
    <xf borderId="11" fillId="0" fontId="6" numFmtId="0" xfId="0" applyAlignment="1" applyBorder="1" applyFont="1">
      <alignment vertical="center"/>
    </xf>
    <xf borderId="11" fillId="8" fontId="6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left" shrinkToFit="0" vertical="center" wrapText="1"/>
    </xf>
    <xf borderId="2" fillId="8" fontId="14" numFmtId="4" xfId="0" applyAlignment="1" applyBorder="1" applyFont="1" applyNumberFormat="1">
      <alignment horizontal="right" vertical="center"/>
    </xf>
    <xf borderId="13" fillId="0" fontId="6" numFmtId="0" xfId="0" applyAlignment="1" applyBorder="1" applyFont="1">
      <alignment horizontal="center" shrinkToFit="0" vertical="center" wrapText="1"/>
    </xf>
    <xf borderId="5" fillId="11" fontId="14" numFmtId="164" xfId="0" applyAlignment="1" applyBorder="1" applyFont="1" applyNumberFormat="1">
      <alignment horizontal="right" vertical="center"/>
    </xf>
    <xf borderId="3" fillId="11" fontId="14" numFmtId="164" xfId="0" applyAlignment="1" applyBorder="1" applyFont="1" applyNumberFormat="1">
      <alignment horizontal="right" vertical="center"/>
    </xf>
    <xf borderId="8" fillId="8" fontId="5" numFmtId="0" xfId="0" applyAlignment="1" applyBorder="1" applyFont="1">
      <alignment horizontal="center" vertical="center"/>
    </xf>
    <xf borderId="8" fillId="11" fontId="5" numFmtId="0" xfId="0" applyAlignment="1" applyBorder="1" applyFont="1">
      <alignment horizontal="center" vertical="center"/>
    </xf>
    <xf borderId="1" fillId="10" fontId="5" numFmtId="0" xfId="0" applyAlignment="1" applyBorder="1" applyFont="1">
      <alignment horizontal="left" vertical="center"/>
    </xf>
    <xf borderId="2" fillId="11" fontId="15" numFmtId="0" xfId="0" applyAlignment="1" applyBorder="1" applyFont="1">
      <alignment horizontal="left" vertical="center"/>
    </xf>
    <xf borderId="5" fillId="8" fontId="5" numFmtId="0" xfId="0" applyAlignment="1" applyBorder="1" applyFont="1">
      <alignment horizontal="center" vertical="center"/>
    </xf>
    <xf borderId="1" fillId="8" fontId="5" numFmtId="3" xfId="0" applyAlignment="1" applyBorder="1" applyFont="1" applyNumberFormat="1">
      <alignment horizontal="center" vertical="center"/>
    </xf>
    <xf borderId="1" fillId="8" fontId="14" numFmtId="0" xfId="0" applyAlignment="1" applyBorder="1" applyFont="1">
      <alignment horizontal="center" vertical="center"/>
    </xf>
    <xf borderId="1" fillId="8" fontId="14" numFmtId="3" xfId="0" applyAlignment="1" applyBorder="1" applyFont="1" applyNumberFormat="1">
      <alignment horizontal="center" vertical="center"/>
    </xf>
    <xf borderId="1" fillId="8" fontId="6" numFmtId="1" xfId="0" applyAlignment="1" applyBorder="1" applyFont="1" applyNumberFormat="1">
      <alignment horizontal="center" vertical="center"/>
    </xf>
    <xf borderId="1" fillId="8" fontId="6" numFmtId="4" xfId="0" applyAlignment="1" applyBorder="1" applyFont="1" applyNumberFormat="1">
      <alignment vertical="center"/>
    </xf>
    <xf borderId="1" fillId="8" fontId="14" numFmtId="167" xfId="0" applyAlignment="1" applyBorder="1" applyFont="1" applyNumberFormat="1">
      <alignment horizontal="right" vertical="center"/>
    </xf>
    <xf borderId="2" fillId="8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shrinkToFit="0" vertical="center" wrapText="1"/>
    </xf>
    <xf borderId="1" fillId="10" fontId="6" numFmtId="0" xfId="0" applyAlignment="1" applyBorder="1" applyFont="1">
      <alignment horizontal="center" vertical="center"/>
    </xf>
    <xf borderId="1" fillId="10" fontId="6" numFmtId="4" xfId="0" applyAlignment="1" applyBorder="1" applyFont="1" applyNumberFormat="1">
      <alignment horizontal="right" vertical="center"/>
    </xf>
    <xf borderId="2" fillId="10" fontId="5" numFmtId="4" xfId="0" applyAlignment="1" applyBorder="1" applyFont="1" applyNumberFormat="1">
      <alignment vertical="center"/>
    </xf>
    <xf borderId="1" fillId="10" fontId="5" numFmtId="0" xfId="0" applyAlignment="1" applyBorder="1" applyFont="1">
      <alignment horizontal="center" vertical="center"/>
    </xf>
    <xf borderId="8" fillId="10" fontId="5" numFmtId="0" xfId="0" applyAlignment="1" applyBorder="1" applyFont="1">
      <alignment horizontal="center" shrinkToFit="0" vertical="center" wrapText="1"/>
    </xf>
    <xf borderId="1" fillId="10" fontId="5" numFmtId="164" xfId="0" applyAlignment="1" applyBorder="1" applyFont="1" applyNumberFormat="1">
      <alignment horizontal="center" vertical="center"/>
    </xf>
    <xf borderId="1" fillId="10" fontId="14" numFmtId="165" xfId="0" applyAlignment="1" applyBorder="1" applyFont="1" applyNumberFormat="1">
      <alignment horizontal="right" vertical="center"/>
    </xf>
    <xf borderId="1" fillId="10" fontId="14" numFmtId="0" xfId="0" applyAlignment="1" applyBorder="1" applyFont="1">
      <alignment horizontal="right" vertical="center"/>
    </xf>
    <xf borderId="1" fillId="10" fontId="6" numFmtId="3" xfId="0" applyAlignment="1" applyBorder="1" applyFont="1" applyNumberFormat="1">
      <alignment horizontal="center" vertical="center"/>
    </xf>
    <xf borderId="3" fillId="10" fontId="6" numFmtId="0" xfId="0" applyAlignment="1" applyBorder="1" applyFont="1">
      <alignment horizontal="center" vertical="center"/>
    </xf>
    <xf borderId="8" fillId="8" fontId="6" numFmtId="0" xfId="0" applyAlignment="1" applyBorder="1" applyFont="1">
      <alignment horizontal="center" shrinkToFit="0" vertical="center" wrapText="1"/>
    </xf>
    <xf borderId="1" fillId="8" fontId="14" numFmtId="165" xfId="0" applyAlignment="1" applyBorder="1" applyFont="1" applyNumberFormat="1">
      <alignment horizontal="right" vertical="center"/>
    </xf>
    <xf borderId="5" fillId="11" fontId="18" numFmtId="0" xfId="0" applyAlignment="1" applyBorder="1" applyFont="1">
      <alignment vertical="center"/>
    </xf>
    <xf borderId="7" fillId="0" fontId="5" numFmtId="0" xfId="0" applyAlignment="1" applyBorder="1" applyFont="1">
      <alignment horizontal="left" vertical="center"/>
    </xf>
    <xf borderId="7" fillId="0" fontId="5" numFmtId="4" xfId="0" applyAlignment="1" applyBorder="1" applyFont="1" applyNumberFormat="1">
      <alignment horizontal="right" vertical="center"/>
    </xf>
    <xf borderId="6" fillId="0" fontId="5" numFmtId="4" xfId="0" applyAlignment="1" applyBorder="1" applyFont="1" applyNumberFormat="1">
      <alignment horizontal="right" vertical="center"/>
    </xf>
    <xf borderId="1" fillId="8" fontId="19" numFmtId="0" xfId="0" applyAlignment="1" applyBorder="1" applyFont="1">
      <alignment vertical="center"/>
    </xf>
    <xf borderId="1" fillId="8" fontId="14" numFmtId="165" xfId="0" applyAlignment="1" applyBorder="1" applyFont="1" applyNumberFormat="1">
      <alignment horizontal="center" vertical="center"/>
    </xf>
    <xf borderId="6" fillId="0" fontId="6" numFmtId="0" xfId="0" applyBorder="1" applyFont="1"/>
    <xf borderId="3" fillId="8" fontId="5" numFmtId="0" xfId="0" applyAlignment="1" applyBorder="1" applyFont="1">
      <alignment horizontal="center" vertical="center"/>
    </xf>
    <xf borderId="5" fillId="8" fontId="19" numFmtId="0" xfId="0" applyAlignment="1" applyBorder="1" applyFont="1">
      <alignment horizontal="left" shrinkToFit="0" vertical="center" wrapText="1"/>
    </xf>
    <xf borderId="1" fillId="8" fontId="5" numFmtId="164" xfId="0" applyAlignment="1" applyBorder="1" applyFont="1" applyNumberFormat="1">
      <alignment horizontal="right" vertical="center"/>
    </xf>
    <xf borderId="1" fillId="0" fontId="5" numFmtId="165" xfId="0" applyAlignment="1" applyBorder="1" applyFont="1" applyNumberFormat="1">
      <alignment horizontal="right" vertical="center"/>
    </xf>
    <xf borderId="6" fillId="0" fontId="14" numFmtId="0" xfId="0" applyAlignment="1" applyBorder="1" applyFont="1">
      <alignment horizontal="right" vertical="center"/>
    </xf>
    <xf borderId="1" fillId="0" fontId="6" numFmtId="4" xfId="0" applyAlignment="1" applyBorder="1" applyFont="1" applyNumberFormat="1">
      <alignment vertical="center"/>
    </xf>
    <xf borderId="4" fillId="7" fontId="5" numFmtId="165" xfId="0" applyAlignment="1" applyBorder="1" applyFont="1" applyNumberFormat="1">
      <alignment horizontal="left" vertical="center"/>
    </xf>
    <xf borderId="5" fillId="11" fontId="5" numFmtId="4" xfId="0" applyAlignment="1" applyBorder="1" applyFont="1" applyNumberFormat="1">
      <alignment horizontal="right" vertical="center"/>
    </xf>
    <xf borderId="1" fillId="0" fontId="5" numFmtId="167" xfId="0" applyAlignment="1" applyBorder="1" applyFont="1" applyNumberFormat="1">
      <alignment horizontal="right" vertical="center"/>
    </xf>
    <xf borderId="6" fillId="0" fontId="20" numFmtId="4" xfId="0" applyAlignment="1" applyBorder="1" applyFont="1" applyNumberFormat="1">
      <alignment vertical="center"/>
    </xf>
    <xf borderId="4" fillId="7" fontId="6" numFmtId="165" xfId="0" applyAlignment="1" applyBorder="1" applyFont="1" applyNumberFormat="1">
      <alignment horizontal="center" vertical="center"/>
    </xf>
    <xf borderId="1" fillId="0" fontId="5" numFmtId="4" xfId="0" applyAlignment="1" applyBorder="1" applyFont="1" applyNumberFormat="1">
      <alignment vertical="center"/>
    </xf>
    <xf borderId="1" fillId="8" fontId="17" numFmtId="0" xfId="0" applyAlignment="1" applyBorder="1" applyFont="1">
      <alignment shrinkToFit="0" vertical="center" wrapText="1"/>
    </xf>
    <xf borderId="1" fillId="0" fontId="6" numFmtId="165" xfId="0" applyAlignment="1" applyBorder="1" applyFont="1" applyNumberFormat="1">
      <alignment horizontal="right" vertical="center"/>
    </xf>
    <xf borderId="1" fillId="8" fontId="5" numFmtId="3" xfId="0" applyAlignment="1" applyBorder="1" applyFont="1" applyNumberFormat="1">
      <alignment horizontal="right" vertical="center"/>
    </xf>
    <xf borderId="1" fillId="0" fontId="19" numFmtId="0" xfId="0" applyAlignment="1" applyBorder="1" applyFont="1">
      <alignment horizontal="center" vertical="center"/>
    </xf>
    <xf borderId="1" fillId="0" fontId="14" numFmtId="4" xfId="0" applyAlignment="1" applyBorder="1" applyFont="1" applyNumberFormat="1">
      <alignment vertical="center"/>
    </xf>
    <xf borderId="1" fillId="0" fontId="5" numFmtId="165" xfId="0" applyAlignment="1" applyBorder="1" applyFont="1" applyNumberFormat="1">
      <alignment horizontal="center" shrinkToFit="0" vertical="center" wrapText="1"/>
    </xf>
    <xf borderId="1" fillId="8" fontId="15" numFmtId="0" xfId="0" applyAlignment="1" applyBorder="1" applyFont="1">
      <alignment horizontal="left" vertical="center"/>
    </xf>
    <xf borderId="5" fillId="8" fontId="9" numFmtId="0" xfId="0" applyAlignment="1" applyBorder="1" applyFont="1">
      <alignment vertical="center"/>
    </xf>
    <xf borderId="1" fillId="8" fontId="10" numFmtId="0" xfId="0" applyAlignment="1" applyBorder="1" applyFont="1">
      <alignment vertical="center"/>
    </xf>
    <xf borderId="1" fillId="8" fontId="11" numFmtId="0" xfId="0" applyAlignment="1" applyBorder="1" applyFont="1">
      <alignment vertical="center"/>
    </xf>
    <xf borderId="11" fillId="8" fontId="10" numFmtId="0" xfId="0" applyAlignment="1" applyBorder="1" applyFont="1">
      <alignment horizontal="center" vertical="center"/>
    </xf>
    <xf borderId="11" fillId="8" fontId="9" numFmtId="0" xfId="0" applyAlignment="1" applyBorder="1" applyFont="1">
      <alignment vertical="center"/>
    </xf>
    <xf borderId="7" fillId="0" fontId="11" numFmtId="0" xfId="0" applyAlignment="1" applyBorder="1" applyFont="1">
      <alignment horizontal="center" vertical="center"/>
    </xf>
    <xf borderId="12" fillId="8" fontId="9" numFmtId="0" xfId="0" applyAlignment="1" applyBorder="1" applyFont="1">
      <alignment vertical="center"/>
    </xf>
    <xf borderId="12" fillId="8" fontId="10" numFmtId="0" xfId="0" applyAlignment="1" applyBorder="1" applyFont="1">
      <alignment vertical="center"/>
    </xf>
    <xf borderId="12" fillId="8" fontId="11" numFmtId="0" xfId="0" applyAlignment="1" applyBorder="1" applyFont="1">
      <alignment vertical="center"/>
    </xf>
    <xf borderId="12" fillId="8" fontId="9" numFmtId="0" xfId="0" applyAlignment="1" applyBorder="1" applyFont="1">
      <alignment horizontal="center" vertical="center"/>
    </xf>
    <xf borderId="12" fillId="8" fontId="9" numFmtId="4" xfId="0" applyAlignment="1" applyBorder="1" applyFont="1" applyNumberFormat="1">
      <alignment horizontal="right" vertical="center"/>
    </xf>
    <xf borderId="5" fillId="8" fontId="11" numFmtId="0" xfId="0" applyAlignment="1" applyBorder="1" applyFont="1">
      <alignment horizontal="center" vertical="center"/>
    </xf>
    <xf borderId="5" fillId="8" fontId="9" numFmtId="0" xfId="0" applyAlignment="1" applyBorder="1" applyFont="1">
      <alignment horizontal="center" shrinkToFit="0" vertical="center" wrapText="1"/>
    </xf>
    <xf borderId="12" fillId="8" fontId="5" numFmtId="0" xfId="0" applyAlignment="1" applyBorder="1" applyFont="1">
      <alignment horizontal="left" vertical="center"/>
    </xf>
    <xf borderId="6" fillId="0" fontId="11" numFmtId="4" xfId="0" applyAlignment="1" applyBorder="1" applyFont="1" applyNumberFormat="1">
      <alignment vertical="center"/>
    </xf>
    <xf borderId="1" fillId="8" fontId="15" numFmtId="0" xfId="0" applyAlignment="1" applyBorder="1" applyFont="1">
      <alignment horizontal="left" shrinkToFit="0" vertical="center" wrapText="1"/>
    </xf>
    <xf borderId="1" fillId="8" fontId="11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center" shrinkToFit="0" vertical="center" wrapText="1"/>
    </xf>
    <xf borderId="11" fillId="8" fontId="9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6" fillId="0" fontId="14" numFmtId="4" xfId="0" applyAlignment="1" applyBorder="1" applyFont="1" applyNumberFormat="1">
      <alignment vertical="center"/>
    </xf>
    <xf borderId="5" fillId="8" fontId="21" numFmtId="0" xfId="0" applyAlignment="1" applyBorder="1" applyFont="1">
      <alignment vertical="center"/>
    </xf>
    <xf borderId="1" fillId="8" fontId="21" numFmtId="0" xfId="0" applyAlignment="1" applyBorder="1" applyFont="1">
      <alignment vertical="center"/>
    </xf>
    <xf borderId="4" fillId="8" fontId="21" numFmtId="0" xfId="0" applyAlignment="1" applyBorder="1" applyFont="1">
      <alignment vertical="center"/>
    </xf>
    <xf borderId="2" fillId="9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1" fillId="8" fontId="22" numFmtId="0" xfId="0" applyAlignment="1" applyBorder="1" applyFont="1">
      <alignment horizontal="left" vertical="center"/>
    </xf>
    <xf borderId="1" fillId="8" fontId="17" numFmtId="0" xfId="0" applyAlignment="1" applyBorder="1" applyFont="1">
      <alignment horizontal="left" shrinkToFit="0" vertical="center" wrapText="1"/>
    </xf>
    <xf borderId="1" fillId="0" fontId="23" numFmtId="0" xfId="0" applyAlignment="1" applyBorder="1" applyFont="1">
      <alignment horizontal="center"/>
    </xf>
    <xf borderId="8" fillId="8" fontId="14" numFmtId="0" xfId="0" applyAlignment="1" applyBorder="1" applyFont="1">
      <alignment horizontal="center" vertical="center"/>
    </xf>
    <xf borderId="1" fillId="0" fontId="24" numFmtId="0" xfId="0" applyAlignment="1" applyBorder="1" applyFont="1">
      <alignment vertical="center"/>
    </xf>
    <xf borderId="9" fillId="0" fontId="7" numFmtId="0" xfId="0" applyAlignment="1" applyBorder="1" applyFont="1">
      <alignment horizontal="center" vertical="center"/>
    </xf>
    <xf borderId="4" fillId="8" fontId="7" numFmtId="0" xfId="0" applyAlignment="1" applyBorder="1" applyFont="1">
      <alignment horizontal="center" vertical="center"/>
    </xf>
    <xf borderId="1" fillId="12" fontId="5" numFmtId="0" xfId="0" applyAlignment="1" applyBorder="1" applyFont="1">
      <alignment vertical="center"/>
    </xf>
    <xf borderId="1" fillId="0" fontId="5" numFmtId="165" xfId="0" applyAlignment="1" applyBorder="1" applyFont="1" applyNumberFormat="1">
      <alignment horizontal="right"/>
    </xf>
    <xf borderId="1" fillId="0" fontId="5" numFmtId="0" xfId="0" applyAlignment="1" applyBorder="1" applyFont="1">
      <alignment horizontal="right"/>
    </xf>
    <xf borderId="5" fillId="8" fontId="19" numFmtId="0" xfId="0" applyAlignment="1" applyBorder="1" applyFont="1">
      <alignment horizontal="left" vertical="center"/>
    </xf>
    <xf borderId="3" fillId="8" fontId="6" numFmtId="4" xfId="0" applyAlignment="1" applyBorder="1" applyFont="1" applyNumberFormat="1">
      <alignment horizontal="right" vertical="center"/>
    </xf>
    <xf borderId="6" fillId="0" fontId="5" numFmtId="165" xfId="0" applyAlignment="1" applyBorder="1" applyFont="1" applyNumberFormat="1">
      <alignment horizontal="right" vertical="center"/>
    </xf>
    <xf borderId="6" fillId="0" fontId="5" numFmtId="0" xfId="0" applyAlignment="1" applyBorder="1" applyFont="1">
      <alignment horizontal="right" vertical="center"/>
    </xf>
    <xf borderId="1" fillId="8" fontId="6" numFmtId="0" xfId="0" applyAlignment="1" applyBorder="1" applyFont="1">
      <alignment horizontal="left" vertical="center"/>
    </xf>
    <xf borderId="1" fillId="0" fontId="25" numFmtId="0" xfId="0" applyBorder="1" applyFont="1"/>
    <xf borderId="2" fillId="8" fontId="15" numFmtId="0" xfId="0" applyAlignment="1" applyBorder="1" applyFont="1">
      <alignment horizontal="left" shrinkToFit="0" vertical="center" wrapText="1"/>
    </xf>
    <xf borderId="5" fillId="8" fontId="6" numFmtId="0" xfId="0" applyAlignment="1" applyBorder="1" applyFont="1">
      <alignment vertical="center"/>
    </xf>
    <xf borderId="1" fillId="8" fontId="26" numFmtId="0" xfId="0" applyAlignment="1" applyBorder="1" applyFont="1">
      <alignment vertical="center"/>
    </xf>
    <xf borderId="1" fillId="8" fontId="27" numFmtId="0" xfId="0" applyAlignment="1" applyBorder="1" applyFont="1">
      <alignment vertical="center"/>
    </xf>
    <xf borderId="14" fillId="8" fontId="27" numFmtId="0" xfId="0" applyAlignment="1" applyBorder="1" applyFont="1">
      <alignment vertical="center"/>
    </xf>
    <xf borderId="14" fillId="8" fontId="5" numFmtId="0" xfId="0" applyAlignment="1" applyBorder="1" applyFont="1">
      <alignment horizontal="left" shrinkToFit="0" vertical="center" wrapText="1"/>
    </xf>
    <xf borderId="2" fillId="13" fontId="5" numFmtId="4" xfId="0" applyAlignment="1" applyBorder="1" applyFill="1" applyFont="1" applyNumberFormat="1">
      <alignment horizontal="right" vertical="center"/>
    </xf>
    <xf borderId="1" fillId="0" fontId="5" numFmtId="49" xfId="0" applyAlignment="1" applyBorder="1" applyFont="1" applyNumberFormat="1">
      <alignment horizontal="center" vertical="center"/>
    </xf>
    <xf borderId="1" fillId="0" fontId="5" numFmtId="167" xfId="0" applyAlignment="1" applyBorder="1" applyFont="1" applyNumberFormat="1">
      <alignment horizontal="center" vertical="center"/>
    </xf>
    <xf borderId="15" fillId="8" fontId="5" numFmtId="0" xfId="0" applyAlignment="1" applyBorder="1" applyFont="1">
      <alignment horizontal="left" shrinkToFit="0" vertical="center" wrapText="1"/>
    </xf>
    <xf borderId="1" fillId="8" fontId="5" numFmtId="0" xfId="0" applyAlignment="1" applyBorder="1" applyFont="1">
      <alignment horizontal="center" shrinkToFit="0" wrapText="1"/>
    </xf>
    <xf borderId="1" fillId="8" fontId="5" numFmtId="167" xfId="0" applyAlignment="1" applyBorder="1" applyFont="1" applyNumberFormat="1">
      <alignment horizontal="right" vertical="center"/>
    </xf>
    <xf borderId="0" fillId="0" fontId="6" numFmtId="0" xfId="0" applyAlignment="1" applyFont="1">
      <alignment horizontal="center" shrinkToFit="0" vertical="center" wrapText="1"/>
    </xf>
    <xf borderId="1" fillId="0" fontId="7" numFmtId="164" xfId="0" applyAlignment="1" applyBorder="1" applyFont="1" applyNumberFormat="1">
      <alignment horizontal="right" vertical="center"/>
    </xf>
    <xf borderId="1" fillId="8" fontId="9" numFmtId="4" xfId="0" applyAlignment="1" applyBorder="1" applyFont="1" applyNumberFormat="1">
      <alignment vertical="center"/>
    </xf>
    <xf borderId="5" fillId="8" fontId="26" numFmtId="0" xfId="0" applyAlignment="1" applyBorder="1" applyFont="1">
      <alignment vertical="center"/>
    </xf>
    <xf borderId="1" fillId="7" fontId="6" numFmtId="165" xfId="0" applyAlignment="1" applyBorder="1" applyFont="1" applyNumberFormat="1">
      <alignment horizontal="center" vertical="center"/>
    </xf>
    <xf borderId="1" fillId="0" fontId="5" numFmtId="0" xfId="0" applyBorder="1" applyFont="1"/>
    <xf borderId="1" fillId="8" fontId="18" numFmtId="0" xfId="0" applyAlignment="1" applyBorder="1" applyFont="1">
      <alignment horizontal="center" shrinkToFit="0" vertical="center" wrapText="1"/>
    </xf>
    <xf borderId="1" fillId="0" fontId="5" numFmtId="1" xfId="0" applyAlignment="1" applyBorder="1" applyFont="1" applyNumberFormat="1">
      <alignment horizontal="center" vertical="center"/>
    </xf>
    <xf borderId="6" fillId="0" fontId="9" numFmtId="4" xfId="0" applyAlignment="1" applyBorder="1" applyFont="1" applyNumberFormat="1">
      <alignment vertical="center"/>
    </xf>
    <xf borderId="1" fillId="0" fontId="10" numFmtId="164" xfId="0" applyAlignment="1" applyBorder="1" applyFont="1" applyNumberFormat="1">
      <alignment horizontal="center" vertical="center"/>
    </xf>
    <xf borderId="11" fillId="8" fontId="5" numFmtId="164" xfId="0" applyAlignment="1" applyBorder="1" applyFont="1" applyNumberFormat="1">
      <alignment horizontal="center" vertical="center"/>
    </xf>
    <xf borderId="1" fillId="8" fontId="21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5" fillId="8" fontId="6" numFmtId="4" xfId="0" applyAlignment="1" applyBorder="1" applyFont="1" applyNumberFormat="1">
      <alignment vertical="center"/>
    </xf>
    <xf borderId="7" fillId="0" fontId="26" numFmtId="0" xfId="0" applyAlignment="1" applyBorder="1" applyFont="1">
      <alignment horizontal="left" vertical="center"/>
    </xf>
    <xf borderId="5" fillId="12" fontId="5" numFmtId="0" xfId="0" applyAlignment="1" applyBorder="1" applyFont="1">
      <alignment horizontal="left" shrinkToFit="0" vertical="center" wrapText="1"/>
    </xf>
    <xf borderId="5" fillId="8" fontId="22" numFmtId="0" xfId="0" applyAlignment="1" applyBorder="1" applyFont="1">
      <alignment horizontal="left" vertical="center"/>
    </xf>
    <xf borderId="4" fillId="8" fontId="6" numFmtId="0" xfId="0" applyAlignment="1" applyBorder="1" applyFont="1">
      <alignment shrinkToFit="0" vertical="center" wrapText="1"/>
    </xf>
    <xf borderId="1" fillId="0" fontId="26" numFmtId="0" xfId="0" applyAlignment="1" applyBorder="1" applyFont="1">
      <alignment vertical="center"/>
    </xf>
    <xf borderId="2" fillId="8" fontId="28" numFmtId="0" xfId="0" applyAlignment="1" applyBorder="1" applyFont="1">
      <alignment horizontal="left" vertical="center"/>
    </xf>
    <xf borderId="5" fillId="7" fontId="6" numFmtId="164" xfId="0" applyAlignment="1" applyBorder="1" applyFont="1" applyNumberFormat="1">
      <alignment horizontal="center" vertical="center"/>
    </xf>
    <xf borderId="4" fillId="7" fontId="5" numFmtId="164" xfId="0" applyAlignment="1" applyBorder="1" applyFont="1" applyNumberFormat="1">
      <alignment horizontal="left" vertical="center"/>
    </xf>
    <xf borderId="1" fillId="0" fontId="21" numFmtId="0" xfId="0" applyAlignment="1" applyBorder="1" applyFont="1">
      <alignment vertical="center"/>
    </xf>
    <xf borderId="1" fillId="8" fontId="6" numFmtId="0" xfId="0" applyAlignment="1" applyBorder="1" applyFont="1">
      <alignment shrinkToFit="0" vertical="center" wrapText="1"/>
    </xf>
    <xf borderId="1" fillId="0" fontId="29" numFmtId="0" xfId="0" applyBorder="1" applyFont="1"/>
    <xf borderId="1" fillId="8" fontId="5" numFmtId="165" xfId="0" applyAlignment="1" applyBorder="1" applyFont="1" applyNumberFormat="1">
      <alignment horizontal="left" vertical="center"/>
    </xf>
    <xf borderId="9" fillId="0" fontId="5" numFmtId="165" xfId="0" applyAlignment="1" applyBorder="1" applyFont="1" applyNumberFormat="1">
      <alignment horizontal="right" vertical="center"/>
    </xf>
    <xf borderId="7" fillId="0" fontId="5" numFmtId="165" xfId="0" applyAlignment="1" applyBorder="1" applyFont="1" applyNumberFormat="1">
      <alignment horizontal="right" vertical="center"/>
    </xf>
    <xf borderId="9" fillId="0" fontId="5" numFmtId="0" xfId="0" applyAlignment="1" applyBorder="1" applyFont="1">
      <alignment horizontal="center" vertical="center"/>
    </xf>
    <xf borderId="9" fillId="0" fontId="5" numFmtId="164" xfId="0" applyAlignment="1" applyBorder="1" applyFont="1" applyNumberFormat="1">
      <alignment horizontal="right" vertical="center"/>
    </xf>
    <xf borderId="7" fillId="0" fontId="5" numFmtId="164" xfId="0" applyAlignment="1" applyBorder="1" applyFont="1" applyNumberFormat="1">
      <alignment horizontal="right" vertical="center"/>
    </xf>
    <xf borderId="6" fillId="0" fontId="5" numFmtId="3" xfId="0" applyAlignment="1" applyBorder="1" applyFont="1" applyNumberFormat="1">
      <alignment horizontal="right" vertical="center"/>
    </xf>
    <xf borderId="5" fillId="8" fontId="5" numFmtId="0" xfId="0" applyBorder="1" applyFont="1"/>
    <xf borderId="1" fillId="8" fontId="19" numFmtId="164" xfId="0" applyAlignment="1" applyBorder="1" applyFont="1" applyNumberFormat="1">
      <alignment horizontal="center" vertical="center"/>
    </xf>
    <xf borderId="1" fillId="12" fontId="5" numFmtId="0" xfId="0" applyAlignment="1" applyBorder="1" applyFont="1">
      <alignment horizontal="left" shrinkToFit="0" vertical="center" wrapText="1"/>
    </xf>
    <xf borderId="1" fillId="8" fontId="30" numFmtId="0" xfId="0" applyAlignment="1" applyBorder="1" applyFont="1">
      <alignment horizontal="left" vertical="center"/>
    </xf>
    <xf borderId="2" fillId="8" fontId="10" numFmtId="4" xfId="0" applyAlignment="1" applyBorder="1" applyFont="1" applyNumberFormat="1">
      <alignment vertical="center"/>
    </xf>
    <xf borderId="1" fillId="0" fontId="10" numFmtId="165" xfId="0" applyAlignment="1" applyBorder="1" applyFont="1" applyNumberFormat="1">
      <alignment horizontal="right" vertical="center"/>
    </xf>
    <xf borderId="1" fillId="0" fontId="9" numFmtId="164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left" vertical="center"/>
    </xf>
    <xf borderId="5" fillId="8" fontId="7" numFmtId="0" xfId="0" applyAlignment="1" applyBorder="1" applyFont="1">
      <alignment horizontal="left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vertical="center"/>
    </xf>
    <xf borderId="1" fillId="4" fontId="4" numFmtId="4" xfId="0" applyAlignment="1" applyBorder="1" applyFont="1" applyNumberFormat="1">
      <alignment horizontal="center" shrinkToFit="0" vertical="center" wrapText="1"/>
    </xf>
    <xf borderId="2" fillId="4" fontId="1" numFmtId="1" xfId="0" applyAlignment="1" applyBorder="1" applyFont="1" applyNumberFormat="1">
      <alignment horizontal="center" vertical="center"/>
    </xf>
    <xf borderId="1" fillId="11" fontId="5" numFmtId="0" xfId="0" applyAlignment="1" applyBorder="1" applyFont="1">
      <alignment shrinkToFit="0" vertical="center" wrapText="1"/>
    </xf>
    <xf borderId="1" fillId="11" fontId="5" numFmtId="3" xfId="0" applyAlignment="1" applyBorder="1" applyFont="1" applyNumberFormat="1">
      <alignment vertical="center"/>
    </xf>
    <xf borderId="1" fillId="11" fontId="6" numFmtId="164" xfId="0" applyAlignment="1" applyBorder="1" applyFont="1" applyNumberFormat="1">
      <alignment horizontal="right" vertical="center"/>
    </xf>
    <xf borderId="1" fillId="11" fontId="5" numFmtId="0" xfId="0" applyAlignment="1" applyBorder="1" applyFont="1">
      <alignment horizontal="right" vertical="center"/>
    </xf>
    <xf borderId="1" fillId="11" fontId="9" numFmtId="0" xfId="0" applyAlignment="1" applyBorder="1" applyFont="1">
      <alignment vertical="center"/>
    </xf>
    <xf borderId="1" fillId="11" fontId="11" numFmtId="4" xfId="0" applyAlignment="1" applyBorder="1" applyFont="1" applyNumberFormat="1">
      <alignment vertical="center"/>
    </xf>
    <xf borderId="5" fillId="11" fontId="11" numFmtId="3" xfId="0" applyAlignment="1" applyBorder="1" applyFont="1" applyNumberFormat="1">
      <alignment vertical="center"/>
    </xf>
    <xf borderId="1" fillId="11" fontId="9" numFmtId="164" xfId="0" applyAlignment="1" applyBorder="1" applyFont="1" applyNumberFormat="1">
      <alignment horizontal="right" vertical="center"/>
    </xf>
    <xf borderId="1" fillId="11" fontId="11" numFmtId="3" xfId="0" applyAlignment="1" applyBorder="1" applyFont="1" applyNumberFormat="1">
      <alignment vertical="center"/>
    </xf>
    <xf borderId="1" fillId="8" fontId="5" numFmtId="4" xfId="0" applyAlignment="1" applyBorder="1" applyFont="1" applyNumberFormat="1">
      <alignment vertical="center"/>
    </xf>
    <xf borderId="1" fillId="8" fontId="5" numFmtId="3" xfId="0" applyAlignment="1" applyBorder="1" applyFont="1" applyNumberFormat="1">
      <alignment vertical="center"/>
    </xf>
    <xf borderId="5" fillId="8" fontId="5" numFmtId="4" xfId="0" applyAlignment="1" applyBorder="1" applyFont="1" applyNumberFormat="1">
      <alignment vertical="center"/>
    </xf>
    <xf borderId="5" fillId="10" fontId="5" numFmtId="4" xfId="0" applyAlignment="1" applyBorder="1" applyFont="1" applyNumberFormat="1">
      <alignment horizontal="right" vertical="center"/>
    </xf>
    <xf borderId="1" fillId="10" fontId="5" numFmtId="4" xfId="0" applyAlignment="1" applyBorder="1" applyFont="1" applyNumberFormat="1">
      <alignment horizontal="right" vertical="center"/>
    </xf>
    <xf borderId="5" fillId="11" fontId="6" numFmtId="0" xfId="0" applyAlignment="1" applyBorder="1" applyFont="1">
      <alignment horizontal="center" vertical="center"/>
    </xf>
    <xf borderId="1" fillId="11" fontId="7" numFmtId="0" xfId="0" applyAlignment="1" applyBorder="1" applyFont="1">
      <alignment horizontal="center" vertical="center"/>
    </xf>
    <xf borderId="3" fillId="11" fontId="5" numFmtId="4" xfId="0" applyAlignment="1" applyBorder="1" applyFont="1" applyNumberFormat="1">
      <alignment vertical="center"/>
    </xf>
    <xf borderId="2" fillId="11" fontId="5" numFmtId="0" xfId="0" applyAlignment="1" applyBorder="1" applyFont="1">
      <alignment shrinkToFit="0" vertical="center" wrapText="1"/>
    </xf>
    <xf borderId="1" fillId="11" fontId="7" numFmtId="3" xfId="0" applyAlignment="1" applyBorder="1" applyFont="1" applyNumberFormat="1">
      <alignment vertical="center"/>
    </xf>
    <xf borderId="5" fillId="11" fontId="5" numFmtId="0" xfId="0" applyAlignment="1" applyBorder="1" applyFont="1">
      <alignment horizontal="left" shrinkToFit="0" vertical="center" wrapText="1"/>
    </xf>
    <xf borderId="1" fillId="11" fontId="7" numFmtId="4" xfId="0" applyAlignment="1" applyBorder="1" applyFont="1" applyNumberFormat="1">
      <alignment vertical="center"/>
    </xf>
    <xf borderId="5" fillId="11" fontId="6" numFmtId="0" xfId="0" applyAlignment="1" applyBorder="1" applyFont="1">
      <alignment shrinkToFit="0" vertical="center" wrapText="1"/>
    </xf>
    <xf borderId="1" fillId="11" fontId="7" numFmtId="0" xfId="0" applyAlignment="1" applyBorder="1" applyFont="1">
      <alignment vertical="center"/>
    </xf>
    <xf borderId="1" fillId="11" fontId="6" numFmtId="164" xfId="0" applyAlignment="1" applyBorder="1" applyFont="1" applyNumberFormat="1">
      <alignment horizontal="center" vertical="center"/>
    </xf>
    <xf borderId="1" fillId="11" fontId="6" numFmtId="0" xfId="0" applyAlignment="1" applyBorder="1" applyFont="1">
      <alignment horizontal="left" shrinkToFit="0" vertical="center" wrapText="1"/>
    </xf>
    <xf borderId="1" fillId="11" fontId="16" numFmtId="0" xfId="0" applyAlignment="1" applyBorder="1" applyFont="1">
      <alignment horizontal="center" vertical="center"/>
    </xf>
    <xf borderId="1" fillId="11" fontId="6" numFmtId="0" xfId="0" applyAlignment="1" applyBorder="1" applyFont="1">
      <alignment shrinkToFit="0" vertical="center" wrapText="1"/>
    </xf>
    <xf borderId="3" fillId="11" fontId="5" numFmtId="0" xfId="0" applyAlignment="1" applyBorder="1" applyFont="1">
      <alignment vertical="center"/>
    </xf>
    <xf borderId="1" fillId="11" fontId="6" numFmtId="165" xfId="0" applyAlignment="1" applyBorder="1" applyFont="1" applyNumberFormat="1">
      <alignment horizontal="right" vertical="center"/>
    </xf>
    <xf borderId="1" fillId="8" fontId="15" numFmtId="0" xfId="0" applyAlignment="1" applyBorder="1" applyFont="1">
      <alignment vertical="center"/>
    </xf>
    <xf borderId="3" fillId="8" fontId="5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right" shrinkToFit="0" vertical="center" wrapText="1"/>
    </xf>
    <xf borderId="1" fillId="8" fontId="6" numFmtId="165" xfId="0" applyAlignment="1" applyBorder="1" applyFont="1" applyNumberFormat="1">
      <alignment horizontal="right" vertical="center"/>
    </xf>
    <xf borderId="1" fillId="8" fontId="7" numFmtId="4" xfId="0" applyAlignment="1" applyBorder="1" applyFont="1" applyNumberFormat="1">
      <alignment vertical="center"/>
    </xf>
    <xf borderId="1" fillId="8" fontId="6" numFmtId="0" xfId="0" applyAlignment="1" applyBorder="1" applyFont="1">
      <alignment horizontal="right" shrinkToFit="0" vertical="center" wrapText="1"/>
    </xf>
    <xf borderId="1" fillId="8" fontId="14" numFmtId="164" xfId="0" applyAlignment="1" applyBorder="1" applyFont="1" applyNumberFormat="1">
      <alignment horizontal="center" vertical="center"/>
    </xf>
    <xf borderId="1" fillId="8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left" shrinkToFit="0" vertical="center" wrapText="1"/>
    </xf>
    <xf borderId="1" fillId="0" fontId="14" numFmtId="3" xfId="0" applyAlignment="1" applyBorder="1" applyFont="1" applyNumberFormat="1">
      <alignment vertical="center"/>
    </xf>
    <xf borderId="5" fillId="8" fontId="14" numFmtId="0" xfId="0" applyAlignment="1" applyBorder="1" applyFont="1">
      <alignment shrinkToFit="0" vertical="center" wrapText="1"/>
    </xf>
    <xf borderId="7" fillId="0" fontId="14" numFmtId="0" xfId="0" applyAlignment="1" applyBorder="1" applyFont="1">
      <alignment vertical="center"/>
    </xf>
    <xf borderId="1" fillId="0" fontId="14" numFmtId="0" xfId="0" applyAlignment="1" applyBorder="1" applyFont="1">
      <alignment vertical="center"/>
    </xf>
    <xf borderId="7" fillId="0" fontId="14" numFmtId="0" xfId="0" applyAlignment="1" applyBorder="1" applyFont="1">
      <alignment horizontal="center" vertical="center"/>
    </xf>
    <xf borderId="1" fillId="0" fontId="9" numFmtId="164" xfId="0" applyAlignment="1" applyBorder="1" applyFont="1" applyNumberFormat="1">
      <alignment vertical="center"/>
    </xf>
    <xf borderId="7" fillId="0" fontId="9" numFmtId="0" xfId="0" applyAlignment="1" applyBorder="1" applyFont="1">
      <alignment vertical="center"/>
    </xf>
    <xf borderId="1" fillId="0" fontId="9" numFmtId="0" xfId="0" applyAlignment="1" applyBorder="1" applyFont="1">
      <alignment horizontal="left" shrinkToFit="0" vertical="center" wrapText="1"/>
    </xf>
    <xf borderId="1" fillId="10" fontId="11" numFmtId="0" xfId="0" applyAlignment="1" applyBorder="1" applyFont="1">
      <alignment horizontal="right" vertical="center"/>
    </xf>
    <xf borderId="1" fillId="0" fontId="9" numFmtId="0" xfId="0" applyAlignment="1" applyBorder="1" applyFont="1">
      <alignment vertical="center"/>
    </xf>
    <xf borderId="1" fillId="0" fontId="6" numFmtId="0" xfId="0" applyAlignment="1" applyBorder="1" applyFont="1">
      <alignment shrinkToFit="0" vertical="center" wrapText="1"/>
    </xf>
    <xf borderId="1" fillId="0" fontId="5" numFmtId="3" xfId="0" applyAlignment="1" applyBorder="1" applyFont="1" applyNumberFormat="1">
      <alignment vertical="center"/>
    </xf>
    <xf borderId="1" fillId="14" fontId="21" numFmtId="0" xfId="0" applyAlignment="1" applyBorder="1" applyFill="1" applyFont="1">
      <alignment horizontal="right" vertical="center"/>
    </xf>
    <xf borderId="7" fillId="0" fontId="6" numFmtId="0" xfId="0" applyAlignment="1" applyBorder="1" applyFont="1">
      <alignment shrinkToFit="0" vertical="center" wrapText="1"/>
    </xf>
    <xf borderId="1" fillId="11" fontId="7" numFmtId="164" xfId="0" applyAlignment="1" applyBorder="1" applyFont="1" applyNumberFormat="1">
      <alignment horizontal="center" vertical="center"/>
    </xf>
    <xf borderId="1" fillId="11" fontId="6" numFmtId="164" xfId="0" applyAlignment="1" applyBorder="1" applyFont="1" applyNumberFormat="1">
      <alignment vertical="center"/>
    </xf>
    <xf borderId="1" fillId="0" fontId="5" numFmtId="166" xfId="0" applyAlignment="1" applyBorder="1" applyFont="1" applyNumberFormat="1">
      <alignment vertical="center"/>
    </xf>
    <xf borderId="3" fillId="11" fontId="5" numFmtId="0" xfId="0" applyAlignment="1" applyBorder="1" applyFont="1">
      <alignment horizontal="left" shrinkToFit="0" vertical="center" wrapText="1"/>
    </xf>
    <xf borderId="1" fillId="15" fontId="31" numFmtId="3" xfId="0" applyAlignment="1" applyBorder="1" applyFill="1" applyFont="1" applyNumberFormat="1">
      <alignment vertical="center"/>
    </xf>
    <xf borderId="1" fillId="15" fontId="7" numFmtId="0" xfId="0" applyAlignment="1" applyBorder="1" applyFont="1">
      <alignment vertical="center"/>
    </xf>
    <xf borderId="4" fillId="11" fontId="5" numFmtId="0" xfId="0" applyAlignment="1" applyBorder="1" applyFont="1">
      <alignment shrinkToFit="0" vertical="center" wrapText="1"/>
    </xf>
    <xf borderId="1" fillId="11" fontId="5" numFmtId="3" xfId="0" applyAlignment="1" applyBorder="1" applyFont="1" applyNumberFormat="1">
      <alignment horizontal="right" vertical="center"/>
    </xf>
    <xf borderId="5" fillId="8" fontId="14" numFmtId="0" xfId="0" applyAlignment="1" applyBorder="1" applyFont="1">
      <alignment vertical="center"/>
    </xf>
    <xf borderId="1" fillId="8" fontId="21" numFmtId="0" xfId="0" applyAlignment="1" applyBorder="1" applyFont="1">
      <alignment horizontal="right" vertical="center"/>
    </xf>
    <xf borderId="1" fillId="15" fontId="5" numFmtId="3" xfId="0" applyAlignment="1" applyBorder="1" applyFont="1" applyNumberFormat="1">
      <alignment vertical="center"/>
    </xf>
    <xf borderId="1" fillId="8" fontId="31" numFmtId="0" xfId="0" applyAlignment="1" applyBorder="1" applyFont="1">
      <alignment vertical="center"/>
    </xf>
    <xf borderId="7" fillId="0" fontId="5" numFmtId="0" xfId="0" applyAlignment="1" applyBorder="1" applyFont="1">
      <alignment shrinkToFit="0" vertical="center" wrapText="1"/>
    </xf>
    <xf borderId="5" fillId="8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13" fontId="5" numFmtId="0" xfId="0" applyAlignment="1" applyBorder="1" applyFont="1">
      <alignment horizontal="right"/>
    </xf>
    <xf borderId="1" fillId="8" fontId="14" numFmtId="0" xfId="0" applyAlignment="1" applyBorder="1" applyFont="1">
      <alignment horizontal="left" shrinkToFit="0" vertical="center" wrapText="1"/>
    </xf>
    <xf borderId="1" fillId="8" fontId="14" numFmtId="0" xfId="0" applyAlignment="1" applyBorder="1" applyFont="1">
      <alignment vertical="center"/>
    </xf>
    <xf borderId="1" fillId="8" fontId="14" numFmtId="0" xfId="0" applyAlignment="1" applyBorder="1" applyFont="1">
      <alignment shrinkToFit="0" vertical="center" wrapText="1"/>
    </xf>
    <xf borderId="5" fillId="8" fontId="6" numFmtId="0" xfId="0" applyAlignment="1" applyBorder="1" applyFont="1">
      <alignment horizontal="left" vertical="center"/>
    </xf>
    <xf borderId="4" fillId="11" fontId="5" numFmtId="0" xfId="0" applyAlignment="1" applyBorder="1" applyFont="1">
      <alignment vertical="center"/>
    </xf>
    <xf borderId="4" fillId="8" fontId="5" numFmtId="0" xfId="0" applyAlignment="1" applyBorder="1" applyFont="1">
      <alignment vertical="center"/>
    </xf>
    <xf borderId="1" fillId="0" fontId="14" numFmtId="164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1" xfId="0" applyAlignment="1" applyBorder="1" applyFont="1" applyNumberFormat="1">
      <alignment vertical="center"/>
    </xf>
    <xf borderId="1" fillId="0" fontId="5" numFmtId="1" xfId="0" applyAlignment="1" applyBorder="1" applyFont="1" applyNumberFormat="1">
      <alignment vertical="center"/>
    </xf>
    <xf borderId="4" fillId="8" fontId="5" numFmtId="0" xfId="0" applyAlignment="1" applyBorder="1" applyFont="1">
      <alignment shrinkToFit="0" vertical="center" wrapText="1"/>
    </xf>
    <xf borderId="5" fillId="8" fontId="5" numFmtId="3" xfId="0" applyAlignment="1" applyBorder="1" applyFont="1" applyNumberFormat="1">
      <alignment vertical="center"/>
    </xf>
    <xf borderId="1" fillId="10" fontId="6" numFmtId="0" xfId="0" applyAlignment="1" applyBorder="1" applyFont="1">
      <alignment horizontal="center" shrinkToFit="0" vertical="center" wrapText="1"/>
    </xf>
    <xf borderId="1" fillId="10" fontId="7" numFmtId="0" xfId="0" applyAlignment="1" applyBorder="1" applyFont="1">
      <alignment vertical="center"/>
    </xf>
    <xf borderId="1" fillId="10" fontId="7" numFmtId="0" xfId="0" applyAlignment="1" applyBorder="1" applyFont="1">
      <alignment horizontal="right" vertical="center"/>
    </xf>
    <xf borderId="1" fillId="10" fontId="5" numFmtId="0" xfId="0" applyAlignment="1" applyBorder="1" applyFont="1">
      <alignment horizontal="right" vertical="center"/>
    </xf>
    <xf borderId="5" fillId="10" fontId="6" numFmtId="0" xfId="0" applyAlignment="1" applyBorder="1" applyFont="1">
      <alignment shrinkToFit="0" vertical="center" wrapText="1"/>
    </xf>
    <xf borderId="1" fillId="10" fontId="6" numFmtId="0" xfId="0" applyAlignment="1" applyBorder="1" applyFont="1">
      <alignment horizontal="right" vertical="center"/>
    </xf>
    <xf borderId="5" fillId="11" fontId="7" numFmtId="0" xfId="0" applyAlignment="1" applyBorder="1" applyFont="1">
      <alignment vertical="center"/>
    </xf>
    <xf borderId="11" fillId="11" fontId="7" numFmtId="0" xfId="0" applyAlignment="1" applyBorder="1" applyFont="1">
      <alignment vertical="center"/>
    </xf>
    <xf borderId="1" fillId="8" fontId="5" numFmtId="2" xfId="0" applyAlignment="1" applyBorder="1" applyFont="1" applyNumberFormat="1">
      <alignment vertical="center"/>
    </xf>
    <xf borderId="5" fillId="8" fontId="14" numFmtId="0" xfId="0" applyAlignment="1" applyBorder="1" applyFont="1">
      <alignment horizontal="left" shrinkToFit="0" vertical="center" wrapText="1"/>
    </xf>
    <xf borderId="1" fillId="8" fontId="14" numFmtId="4" xfId="0" applyAlignment="1" applyBorder="1" applyFont="1" applyNumberFormat="1">
      <alignment horizontal="right" vertical="center"/>
    </xf>
    <xf quotePrefix="1" borderId="5" fillId="8" fontId="5" numFmtId="4" xfId="0" applyAlignment="1" applyBorder="1" applyFont="1" applyNumberFormat="1">
      <alignment horizontal="right" vertical="center"/>
    </xf>
    <xf borderId="3" fillId="8" fontId="5" numFmtId="0" xfId="0" applyAlignment="1" applyBorder="1" applyFont="1">
      <alignment horizontal="right" vertical="center"/>
    </xf>
    <xf borderId="1" fillId="16" fontId="5" numFmtId="0" xfId="0" applyAlignment="1" applyBorder="1" applyFill="1" applyFont="1">
      <alignment vertical="center"/>
    </xf>
    <xf borderId="3" fillId="8" fontId="5" numFmtId="164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vertical="center"/>
    </xf>
    <xf borderId="5" fillId="8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right" vertical="center"/>
    </xf>
    <xf borderId="1" fillId="8" fontId="32" numFmtId="0" xfId="0" applyAlignment="1" applyBorder="1" applyFont="1">
      <alignment horizontal="right" vertical="center"/>
    </xf>
    <xf borderId="1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1" fillId="10" fontId="14" numFmtId="0" xfId="0" applyAlignment="1" applyBorder="1" applyFont="1">
      <alignment horizontal="left" vertical="center"/>
    </xf>
    <xf borderId="7" fillId="0" fontId="14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center" wrapText="1"/>
    </xf>
    <xf borderId="0" fillId="0" fontId="14" numFmtId="0" xfId="0" applyAlignment="1" applyFont="1">
      <alignment vertical="center"/>
    </xf>
    <xf borderId="1" fillId="8" fontId="33" numFmtId="0" xfId="0" applyAlignment="1" applyBorder="1" applyFont="1">
      <alignment vertical="center"/>
    </xf>
    <xf borderId="11" fillId="8" fontId="5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horizontal="left" vertical="center"/>
    </xf>
    <xf borderId="11" fillId="0" fontId="21" numFmtId="0" xfId="0" applyAlignment="1" applyBorder="1" applyFont="1">
      <alignment vertical="center"/>
    </xf>
    <xf borderId="0" fillId="0" fontId="5" numFmtId="3" xfId="0" applyAlignment="1" applyFont="1" applyNumberFormat="1">
      <alignment vertical="center"/>
    </xf>
    <xf borderId="0" fillId="0" fontId="5" numFmtId="4" xfId="0" applyAlignment="1" applyFont="1" applyNumberFormat="1">
      <alignment vertical="center"/>
    </xf>
    <xf borderId="1" fillId="0" fontId="14" numFmtId="168" xfId="0" applyAlignment="1" applyBorder="1" applyFont="1" applyNumberFormat="1">
      <alignment horizontal="right" vertical="center"/>
    </xf>
    <xf borderId="7" fillId="0" fontId="14" numFmtId="0" xfId="0" applyAlignment="1" applyBorder="1" applyFont="1">
      <alignment horizontal="left" vertical="center"/>
    </xf>
    <xf borderId="1" fillId="0" fontId="5" numFmtId="164" xfId="0" applyAlignment="1" applyBorder="1" applyFont="1" applyNumberFormat="1">
      <alignment horizontal="center" shrinkToFit="0" vertical="center" wrapText="1"/>
    </xf>
    <xf borderId="1" fillId="8" fontId="5" numFmtId="165" xfId="0" applyAlignment="1" applyBorder="1" applyFont="1" applyNumberFormat="1">
      <alignment horizontal="center" shrinkToFit="0" vertical="center" wrapText="1"/>
    </xf>
    <xf borderId="5" fillId="8" fontId="5" numFmtId="0" xfId="0" applyAlignment="1" applyBorder="1" applyFont="1">
      <alignment horizontal="right" vertical="center"/>
    </xf>
    <xf borderId="5" fillId="8" fontId="5" numFmtId="1" xfId="0" applyAlignment="1" applyBorder="1" applyFont="1" applyNumberFormat="1">
      <alignment horizontal="right" vertical="center"/>
    </xf>
    <xf borderId="5" fillId="8" fontId="5" numFmtId="3" xfId="0" applyAlignment="1" applyBorder="1" applyFont="1" applyNumberFormat="1">
      <alignment horizontal="right" vertical="center"/>
    </xf>
    <xf borderId="1" fillId="17" fontId="5" numFmtId="3" xfId="0" applyAlignment="1" applyBorder="1" applyFill="1" applyFont="1" applyNumberFormat="1">
      <alignment horizontal="right"/>
    </xf>
    <xf borderId="1" fillId="17" fontId="5" numFmtId="0" xfId="0" applyAlignment="1" applyBorder="1" applyFont="1">
      <alignment horizontal="right" vertical="center"/>
    </xf>
    <xf borderId="1" fillId="17" fontId="5" numFmtId="3" xfId="0" applyAlignment="1" applyBorder="1" applyFont="1" applyNumberFormat="1">
      <alignment horizontal="right" vertical="center"/>
    </xf>
    <xf borderId="1" fillId="13" fontId="20" numFmtId="0" xfId="0" applyAlignment="1" applyBorder="1" applyFont="1">
      <alignment horizontal="right"/>
    </xf>
    <xf borderId="1" fillId="13" fontId="14" numFmtId="2" xfId="0" applyBorder="1" applyFont="1" applyNumberFormat="1"/>
    <xf borderId="1" fillId="13" fontId="14" numFmtId="2" xfId="0" applyAlignment="1" applyBorder="1" applyFont="1" applyNumberFormat="1">
      <alignment horizontal="right"/>
    </xf>
    <xf borderId="1" fillId="13" fontId="33" numFmtId="0" xfId="0" applyAlignment="1" applyBorder="1" applyFont="1">
      <alignment horizontal="right"/>
    </xf>
    <xf borderId="1" fillId="8" fontId="5" numFmtId="167" xfId="0" applyAlignment="1" applyBorder="1" applyFont="1" applyNumberFormat="1">
      <alignment horizontal="center" vertical="center"/>
    </xf>
    <xf borderId="1" fillId="0" fontId="5" numFmtId="2" xfId="0" applyAlignment="1" applyBorder="1" applyFont="1" applyNumberFormat="1">
      <alignment vertical="center"/>
    </xf>
    <xf borderId="1" fillId="18" fontId="5" numFmtId="0" xfId="0" applyAlignment="1" applyBorder="1" applyFill="1" applyFont="1">
      <alignment horizontal="right"/>
    </xf>
    <xf borderId="1" fillId="19" fontId="5" numFmtId="0" xfId="0" applyAlignment="1" applyBorder="1" applyFill="1" applyFont="1">
      <alignment horizontal="right"/>
    </xf>
    <xf borderId="5" fillId="8" fontId="5" numFmtId="3" xfId="0" applyAlignment="1" applyBorder="1" applyFont="1" applyNumberFormat="1">
      <alignment shrinkToFit="0" vertical="center" wrapText="1"/>
    </xf>
    <xf borderId="3" fillId="8" fontId="5" numFmtId="0" xfId="0" applyAlignment="1" applyBorder="1" applyFont="1">
      <alignment vertical="center"/>
    </xf>
    <xf borderId="1" fillId="10" fontId="6" numFmtId="0" xfId="0" applyAlignment="1" applyBorder="1" applyFont="1">
      <alignment horizontal="left" shrinkToFit="0" vertical="center" wrapText="1"/>
    </xf>
    <xf borderId="1" fillId="8" fontId="10" numFmtId="0" xfId="0" applyAlignment="1" applyBorder="1" applyFont="1">
      <alignment horizontal="center" vertical="center"/>
    </xf>
    <xf borderId="1" fillId="10" fontId="9" numFmtId="0" xfId="0" applyAlignment="1" applyBorder="1" applyFont="1">
      <alignment horizontal="left" shrinkToFit="0" vertical="center" wrapText="1"/>
    </xf>
    <xf borderId="1" fillId="19" fontId="7" numFmtId="0" xfId="0" applyAlignment="1" applyBorder="1" applyFont="1">
      <alignment horizontal="right"/>
    </xf>
    <xf borderId="1" fillId="19" fontId="7" numFmtId="0" xfId="0" applyBorder="1" applyFont="1"/>
    <xf borderId="5" fillId="8" fontId="5" numFmtId="0" xfId="0" applyAlignment="1" applyBorder="1" applyFont="1">
      <alignment horizontal="left"/>
    </xf>
    <xf borderId="1" fillId="19" fontId="7" numFmtId="3" xfId="0" applyAlignment="1" applyBorder="1" applyFont="1" applyNumberFormat="1">
      <alignment horizontal="right"/>
    </xf>
    <xf borderId="1" fillId="18" fontId="5" numFmtId="1" xfId="0" applyAlignment="1" applyBorder="1" applyFont="1" applyNumberFormat="1">
      <alignment horizontal="right"/>
    </xf>
    <xf borderId="1" fillId="18" fontId="33" numFmtId="0" xfId="0" applyAlignment="1" applyBorder="1" applyFont="1">
      <alignment horizontal="right"/>
    </xf>
    <xf borderId="1" fillId="19" fontId="7" numFmtId="0" xfId="0" applyAlignment="1" applyBorder="1" applyFont="1">
      <alignment vertical="center"/>
    </xf>
    <xf borderId="1" fillId="10" fontId="5" numFmtId="0" xfId="0" applyAlignment="1" applyBorder="1" applyFont="1">
      <alignment horizontal="left" shrinkToFit="0" vertical="center" wrapText="1"/>
    </xf>
    <xf borderId="5" fillId="20" fontId="5" numFmtId="3" xfId="0" applyAlignment="1" applyBorder="1" applyFill="1" applyFont="1" applyNumberFormat="1">
      <alignment horizontal="right" vertical="center"/>
    </xf>
    <xf borderId="7" fillId="0" fontId="5" numFmtId="0" xfId="0" applyAlignment="1" applyBorder="1" applyFont="1">
      <alignment horizontal="right" vertical="center"/>
    </xf>
    <xf borderId="1" fillId="8" fontId="34" numFmtId="0" xfId="0" applyAlignment="1" applyBorder="1" applyFont="1">
      <alignment horizontal="left"/>
    </xf>
    <xf borderId="1" fillId="20" fontId="5" numFmtId="0" xfId="0" applyAlignment="1" applyBorder="1" applyFont="1">
      <alignment vertical="center"/>
    </xf>
    <xf borderId="1" fillId="20" fontId="33" numFmtId="0" xfId="0" applyAlignment="1" applyBorder="1" applyFont="1">
      <alignment horizontal="right" vertical="center"/>
    </xf>
    <xf borderId="1" fillId="20" fontId="5" numFmtId="0" xfId="0" applyAlignment="1" applyBorder="1" applyFont="1">
      <alignment horizontal="right" vertical="center"/>
    </xf>
    <xf borderId="1" fillId="20" fontId="33" numFmtId="0" xfId="0" applyAlignment="1" applyBorder="1" applyFont="1">
      <alignment horizontal="right"/>
    </xf>
    <xf borderId="1" fillId="20" fontId="5" numFmtId="0" xfId="0" applyAlignment="1" applyBorder="1" applyFont="1">
      <alignment horizontal="right"/>
    </xf>
    <xf borderId="7" fillId="0" fontId="5" numFmtId="3" xfId="0" applyAlignment="1" applyBorder="1" applyFont="1" applyNumberFormat="1">
      <alignment horizontal="right" vertical="center"/>
    </xf>
    <xf borderId="1" fillId="20" fontId="33" numFmtId="3" xfId="0" applyAlignment="1" applyBorder="1" applyFont="1" applyNumberFormat="1">
      <alignment horizontal="right" vertical="center"/>
    </xf>
    <xf borderId="5" fillId="20" fontId="5" numFmtId="0" xfId="0" applyAlignment="1" applyBorder="1" applyFont="1">
      <alignment horizontal="right" vertical="center"/>
    </xf>
    <xf borderId="5" fillId="20" fontId="5" numFmtId="0" xfId="0" applyAlignment="1" applyBorder="1" applyFont="1">
      <alignment vertical="center"/>
    </xf>
    <xf borderId="1" fillId="8" fontId="5" numFmtId="0" xfId="0" applyAlignment="1" applyBorder="1" applyFont="1">
      <alignment horizontal="right"/>
    </xf>
    <xf borderId="1" fillId="20" fontId="5" numFmtId="3" xfId="0" applyAlignment="1" applyBorder="1" applyFont="1" applyNumberFormat="1">
      <alignment vertical="center"/>
    </xf>
    <xf borderId="1" fillId="8" fontId="34" numFmtId="0" xfId="0" applyAlignment="1" applyBorder="1" applyFont="1">
      <alignment horizontal="left" vertical="center"/>
    </xf>
    <xf borderId="5" fillId="8" fontId="5" numFmtId="164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left" shrinkToFit="0" vertical="center" wrapText="1"/>
    </xf>
    <xf borderId="6" fillId="0" fontId="5" numFmtId="3" xfId="0" applyAlignment="1" applyBorder="1" applyFont="1" applyNumberFormat="1">
      <alignment vertical="center"/>
    </xf>
    <xf borderId="1" fillId="0" fontId="10" numFmtId="0" xfId="0" applyAlignment="1" applyBorder="1" applyFont="1">
      <alignment vertical="center"/>
    </xf>
    <xf borderId="1" fillId="0" fontId="11" numFmtId="3" xfId="0" applyAlignment="1" applyBorder="1" applyFont="1" applyNumberFormat="1">
      <alignment vertical="center"/>
    </xf>
    <xf borderId="9" fillId="0" fontId="5" numFmtId="0" xfId="0" applyAlignment="1" applyBorder="1" applyFont="1">
      <alignment vertical="center"/>
    </xf>
    <xf borderId="7" fillId="0" fontId="5" numFmtId="3" xfId="0" applyAlignment="1" applyBorder="1" applyFont="1" applyNumberFormat="1">
      <alignment vertical="center"/>
    </xf>
    <xf borderId="9" fillId="0" fontId="5" numFmtId="0" xfId="0" applyAlignment="1" applyBorder="1" applyFont="1">
      <alignment horizontal="right"/>
    </xf>
    <xf borderId="7" fillId="0" fontId="5" numFmtId="3" xfId="0" applyBorder="1" applyFont="1" applyNumberFormat="1"/>
    <xf borderId="7" fillId="0" fontId="5" numFmtId="3" xfId="0" applyAlignment="1" applyBorder="1" applyFont="1" applyNumberFormat="1">
      <alignment horizontal="right"/>
    </xf>
    <xf borderId="6" fillId="0" fontId="5" numFmtId="3" xfId="0" applyBorder="1" applyFont="1" applyNumberFormat="1"/>
    <xf borderId="6" fillId="0" fontId="5" numFmtId="3" xfId="0" applyAlignment="1" applyBorder="1" applyFont="1" applyNumberFormat="1">
      <alignment horizontal="right"/>
    </xf>
    <xf borderId="9" fillId="0" fontId="5" numFmtId="0" xfId="0" applyAlignment="1" applyBorder="1" applyFont="1">
      <alignment horizontal="right" vertical="center"/>
    </xf>
    <xf borderId="7" fillId="0" fontId="7" numFmtId="0" xfId="0" applyAlignment="1" applyBorder="1" applyFont="1">
      <alignment horizontal="right"/>
    </xf>
    <xf borderId="7" fillId="0" fontId="5" numFmtId="0" xfId="0" applyAlignment="1" applyBorder="1" applyFont="1">
      <alignment horizontal="right"/>
    </xf>
    <xf borderId="9" fillId="0" fontId="5" numFmtId="4" xfId="0" applyAlignment="1" applyBorder="1" applyFont="1" applyNumberFormat="1">
      <alignment horizontal="right" vertical="center"/>
    </xf>
    <xf borderId="9" fillId="0" fontId="5" numFmtId="3" xfId="0" applyAlignment="1" applyBorder="1" applyFont="1" applyNumberFormat="1">
      <alignment horizontal="right" vertical="center"/>
    </xf>
    <xf borderId="1" fillId="2" fontId="2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1" xfId="0" applyAlignment="1" applyBorder="1" applyFont="1" applyNumberFormat="1">
      <alignment horizontal="center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  <xf borderId="1" fillId="2" fontId="1" numFmtId="4" xfId="0" applyAlignment="1" applyBorder="1" applyFont="1" applyNumberFormat="1">
      <alignment horizontal="right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1" fillId="4" fontId="1" numFmtId="4" xfId="0" applyAlignment="1" applyBorder="1" applyFont="1" applyNumberForma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6" fontId="35" numFmtId="0" xfId="0" applyAlignment="1" applyBorder="1" applyFont="1">
      <alignment horizontal="center" shrinkToFit="0" vertical="center" wrapText="1"/>
    </xf>
    <xf borderId="4" fillId="11" fontId="6" numFmtId="164" xfId="0" applyAlignment="1" applyBorder="1" applyFont="1" applyNumberFormat="1">
      <alignment horizontal="center" vertical="center"/>
    </xf>
    <xf borderId="1" fillId="11" fontId="6" numFmtId="0" xfId="0" applyAlignment="1" applyBorder="1" applyFont="1">
      <alignment horizontal="left" vertical="center"/>
    </xf>
    <xf borderId="1" fillId="11" fontId="36" numFmtId="0" xfId="0" applyAlignment="1" applyBorder="1" applyFont="1">
      <alignment horizontal="left" vertical="center"/>
    </xf>
    <xf borderId="1" fillId="11" fontId="36" numFmtId="164" xfId="0" applyAlignment="1" applyBorder="1" applyFont="1" applyNumberFormat="1">
      <alignment horizontal="left" vertical="center"/>
    </xf>
    <xf borderId="1" fillId="11" fontId="5" numFmtId="164" xfId="0" applyAlignment="1" applyBorder="1" applyFont="1" applyNumberFormat="1">
      <alignment vertical="center"/>
    </xf>
    <xf borderId="1" fillId="11" fontId="6" numFmtId="164" xfId="0" applyAlignment="1" applyBorder="1" applyFont="1" applyNumberFormat="1">
      <alignment horizontal="left" vertical="center"/>
    </xf>
    <xf borderId="1" fillId="11" fontId="6" numFmtId="3" xfId="0" applyAlignment="1" applyBorder="1" applyFont="1" applyNumberFormat="1">
      <alignment horizontal="left" vertical="center"/>
    </xf>
    <xf borderId="1" fillId="11" fontId="5" numFmtId="164" xfId="0" applyAlignment="1" applyBorder="1" applyFont="1" applyNumberFormat="1">
      <alignment horizontal="left" vertical="center"/>
    </xf>
    <xf borderId="1" fillId="11" fontId="6" numFmtId="169" xfId="0" applyAlignment="1" applyBorder="1" applyFont="1" applyNumberFormat="1">
      <alignment horizontal="left" vertical="center"/>
    </xf>
    <xf borderId="5" fillId="11" fontId="5" numFmtId="0" xfId="0" applyAlignment="1" applyBorder="1" applyFont="1">
      <alignment horizontal="right" vertical="center"/>
    </xf>
    <xf borderId="1" fillId="11" fontId="5" numFmtId="3" xfId="0" applyAlignment="1" applyBorder="1" applyFont="1" applyNumberFormat="1">
      <alignment horizontal="left" vertical="center"/>
    </xf>
    <xf borderId="4" fillId="11" fontId="5" numFmtId="0" xfId="0" applyAlignment="1" applyBorder="1" applyFont="1">
      <alignment horizontal="right" shrinkToFit="0" vertical="center" wrapText="1"/>
    </xf>
    <xf borderId="4" fillId="11" fontId="5" numFmtId="164" xfId="0" applyAlignment="1" applyBorder="1" applyFont="1" applyNumberFormat="1">
      <alignment horizontal="center" vertical="center"/>
    </xf>
    <xf borderId="2" fillId="11" fontId="5" numFmtId="0" xfId="0" applyAlignment="1" applyBorder="1" applyFont="1">
      <alignment horizontal="center" shrinkToFit="0" vertical="center" wrapText="1"/>
    </xf>
    <xf quotePrefix="1" borderId="1" fillId="11" fontId="6" numFmtId="0" xfId="0" applyAlignment="1" applyBorder="1" applyFont="1">
      <alignment horizontal="left" vertical="center"/>
    </xf>
    <xf borderId="5" fillId="21" fontId="5" numFmtId="0" xfId="0" applyAlignment="1" applyBorder="1" applyFill="1" applyFont="1">
      <alignment horizontal="center" vertical="center"/>
    </xf>
    <xf borderId="3" fillId="11" fontId="5" numFmtId="0" xfId="0" applyAlignment="1" applyBorder="1" applyFont="1">
      <alignment horizontal="left" vertical="center"/>
    </xf>
    <xf borderId="1" fillId="11" fontId="37" numFmtId="0" xfId="0" applyAlignment="1" applyBorder="1" applyFont="1">
      <alignment horizontal="center" shrinkToFit="0" vertical="center" wrapText="1"/>
    </xf>
    <xf quotePrefix="1" borderId="1" fillId="11" fontId="5" numFmtId="0" xfId="0" applyAlignment="1" applyBorder="1" applyFont="1">
      <alignment horizontal="left" vertical="center"/>
    </xf>
    <xf borderId="5" fillId="11" fontId="10" numFmtId="0" xfId="0" applyAlignment="1" applyBorder="1" applyFont="1">
      <alignment horizontal="left" vertical="center"/>
    </xf>
    <xf borderId="5" fillId="11" fontId="9" numFmtId="0" xfId="0" applyAlignment="1" applyBorder="1" applyFont="1">
      <alignment horizontal="center" shrinkToFit="0" vertical="center" wrapText="1"/>
    </xf>
    <xf borderId="1" fillId="11" fontId="11" numFmtId="0" xfId="0" applyAlignment="1" applyBorder="1" applyFont="1">
      <alignment vertical="center"/>
    </xf>
    <xf borderId="5" fillId="11" fontId="10" numFmtId="0" xfId="0" applyAlignment="1" applyBorder="1" applyFont="1">
      <alignment shrinkToFit="0" vertical="center" wrapText="1"/>
    </xf>
    <xf borderId="1" fillId="11" fontId="38" numFmtId="0" xfId="0" applyAlignment="1" applyBorder="1" applyFont="1">
      <alignment horizontal="left" vertical="center"/>
    </xf>
    <xf borderId="1" fillId="11" fontId="38" numFmtId="164" xfId="0" applyAlignment="1" applyBorder="1" applyFont="1" applyNumberFormat="1">
      <alignment horizontal="left" vertical="center"/>
    </xf>
    <xf borderId="1" fillId="11" fontId="9" numFmtId="0" xfId="0" applyAlignment="1" applyBorder="1" applyFont="1">
      <alignment horizontal="left" vertical="center"/>
    </xf>
    <xf borderId="3" fillId="11" fontId="5" numFmtId="4" xfId="0" applyAlignment="1" applyBorder="1" applyFont="1" applyNumberFormat="1">
      <alignment horizontal="left" vertical="center"/>
    </xf>
    <xf borderId="1" fillId="11" fontId="6" numFmtId="3" xfId="0" applyAlignment="1" applyBorder="1" applyFont="1" applyNumberFormat="1">
      <alignment vertical="center"/>
    </xf>
    <xf borderId="1" fillId="11" fontId="7" numFmtId="164" xfId="0" applyAlignment="1" applyBorder="1" applyFont="1" applyNumberFormat="1">
      <alignment vertical="center"/>
    </xf>
    <xf borderId="5" fillId="11" fontId="6" numFmtId="4" xfId="0" applyAlignment="1" applyBorder="1" applyFont="1" applyNumberFormat="1">
      <alignment vertical="center"/>
    </xf>
    <xf borderId="11" fillId="11" fontId="39" numFmtId="0" xfId="0" applyAlignment="1" applyBorder="1" applyFont="1">
      <alignment vertical="center"/>
    </xf>
    <xf borderId="5" fillId="9" fontId="5" numFmtId="0" xfId="0" applyAlignment="1" applyBorder="1" applyFont="1">
      <alignment horizontal="left" shrinkToFit="0" vertical="center" wrapText="1"/>
    </xf>
    <xf borderId="4" fillId="11" fontId="10" numFmtId="164" xfId="0" applyAlignment="1" applyBorder="1" applyFont="1" applyNumberFormat="1">
      <alignment horizontal="center" vertical="center"/>
    </xf>
    <xf borderId="1" fillId="11" fontId="10" numFmtId="0" xfId="0" applyAlignment="1" applyBorder="1" applyFont="1">
      <alignment horizontal="center" vertical="center"/>
    </xf>
    <xf borderId="1" fillId="11" fontId="10" numFmtId="0" xfId="0" applyAlignment="1" applyBorder="1" applyFont="1">
      <alignment vertical="center"/>
    </xf>
    <xf borderId="1" fillId="11" fontId="10" numFmtId="4" xfId="0" applyAlignment="1" applyBorder="1" applyFont="1" applyNumberFormat="1">
      <alignment vertical="center"/>
    </xf>
    <xf borderId="5" fillId="11" fontId="10" numFmtId="0" xfId="0" applyAlignment="1" applyBorder="1" applyFont="1">
      <alignment vertical="center"/>
    </xf>
    <xf borderId="1" fillId="11" fontId="40" numFmtId="0" xfId="0" applyAlignment="1" applyBorder="1" applyFont="1">
      <alignment horizontal="left" vertical="center"/>
    </xf>
    <xf borderId="1" fillId="11" fontId="40" numFmtId="164" xfId="0" applyAlignment="1" applyBorder="1" applyFont="1" applyNumberFormat="1">
      <alignment horizontal="left" vertical="center"/>
    </xf>
    <xf borderId="1" fillId="11" fontId="10" numFmtId="3" xfId="0" applyAlignment="1" applyBorder="1" applyFont="1" applyNumberFormat="1">
      <alignment vertical="center"/>
    </xf>
    <xf borderId="5" fillId="11" fontId="10" numFmtId="0" xfId="0" applyAlignment="1" applyBorder="1" applyFont="1">
      <alignment horizontal="left" shrinkToFit="0" vertical="center" wrapText="1"/>
    </xf>
    <xf borderId="2" fillId="11" fontId="11" numFmtId="4" xfId="0" applyAlignment="1" applyBorder="1" applyFont="1" applyNumberFormat="1">
      <alignment horizontal="right" vertical="center"/>
    </xf>
    <xf borderId="2" fillId="11" fontId="5" numFmtId="0" xfId="0" applyAlignment="1" applyBorder="1" applyFont="1">
      <alignment vertical="center"/>
    </xf>
    <xf borderId="2" fillId="11" fontId="5" numFmtId="0" xfId="0" applyAlignment="1" applyBorder="1" applyFont="1">
      <alignment horizontal="center" vertical="center"/>
    </xf>
    <xf borderId="1" fillId="11" fontId="5" numFmtId="1" xfId="0" applyAlignment="1" applyBorder="1" applyFont="1" applyNumberFormat="1">
      <alignment horizontal="center" vertical="center"/>
    </xf>
    <xf borderId="1" fillId="11" fontId="17" numFmtId="164" xfId="0" applyAlignment="1" applyBorder="1" applyFont="1" applyNumberFormat="1">
      <alignment horizontal="left" vertical="center"/>
    </xf>
    <xf borderId="1" fillId="11" fontId="5" numFmtId="164" xfId="0" applyAlignment="1" applyBorder="1" applyFont="1" applyNumberFormat="1">
      <alignment horizontal="right" vertical="center"/>
    </xf>
    <xf borderId="1" fillId="11" fontId="5" numFmtId="166" xfId="0" applyAlignment="1" applyBorder="1" applyFont="1" applyNumberFormat="1">
      <alignment horizontal="right" vertical="center"/>
    </xf>
    <xf borderId="1" fillId="11" fontId="7" numFmtId="166" xfId="0" applyAlignment="1" applyBorder="1" applyFont="1" applyNumberFormat="1">
      <alignment vertical="center"/>
    </xf>
    <xf borderId="4" fillId="11" fontId="5" numFmtId="3" xfId="0" applyAlignment="1" applyBorder="1" applyFont="1" applyNumberFormat="1">
      <alignment horizontal="right" vertical="center"/>
    </xf>
    <xf borderId="1" fillId="11" fontId="5" numFmtId="166" xfId="0" applyAlignment="1" applyBorder="1" applyFont="1" applyNumberFormat="1">
      <alignment vertical="center"/>
    </xf>
    <xf borderId="8" fillId="11" fontId="5" numFmtId="0" xfId="0" applyAlignment="1" applyBorder="1" applyFont="1">
      <alignment vertical="center"/>
    </xf>
    <xf borderId="1" fillId="11" fontId="7" numFmtId="3" xfId="0" applyAlignment="1" applyBorder="1" applyFont="1" applyNumberFormat="1">
      <alignment horizontal="right" vertical="center"/>
    </xf>
    <xf borderId="3" fillId="11" fontId="5" numFmtId="0" xfId="0" applyAlignment="1" applyBorder="1" applyFont="1">
      <alignment horizontal="center" vertical="center"/>
    </xf>
    <xf borderId="1" fillId="11" fontId="36" numFmtId="164" xfId="0" applyAlignment="1" applyBorder="1" applyFont="1" applyNumberFormat="1">
      <alignment horizontal="right" vertical="center"/>
    </xf>
    <xf borderId="5" fillId="11" fontId="5" numFmtId="167" xfId="0" applyAlignment="1" applyBorder="1" applyFont="1" applyNumberFormat="1">
      <alignment horizontal="center" vertical="center"/>
    </xf>
    <xf borderId="8" fillId="11" fontId="6" numFmtId="0" xfId="0" applyAlignment="1" applyBorder="1" applyFont="1">
      <alignment horizontal="left" shrinkToFit="0" vertical="center" wrapText="1"/>
    </xf>
    <xf borderId="1" fillId="11" fontId="9" numFmtId="0" xfId="0" applyAlignment="1" applyBorder="1" applyFont="1">
      <alignment horizontal="left" shrinkToFit="0" vertical="center" wrapText="1"/>
    </xf>
    <xf borderId="2" fillId="11" fontId="7" numFmtId="4" xfId="0" applyAlignment="1" applyBorder="1" applyFont="1" applyNumberFormat="1">
      <alignment horizontal="right" vertical="center"/>
    </xf>
    <xf borderId="5" fillId="11" fontId="7" numFmtId="0" xfId="0" applyAlignment="1" applyBorder="1" applyFont="1">
      <alignment horizontal="center" vertical="center"/>
    </xf>
    <xf borderId="5" fillId="11" fontId="7" numFmtId="0" xfId="0" applyAlignment="1" applyBorder="1" applyFont="1">
      <alignment horizontal="center" shrinkToFit="0" vertical="center" wrapText="1"/>
    </xf>
    <xf borderId="3" fillId="11" fontId="14" numFmtId="0" xfId="0" applyAlignment="1" applyBorder="1" applyFont="1">
      <alignment vertical="center"/>
    </xf>
    <xf borderId="1" fillId="11" fontId="5" numFmtId="167" xfId="0" applyAlignment="1" applyBorder="1" applyFont="1" applyNumberFormat="1">
      <alignment vertical="center"/>
    </xf>
    <xf borderId="1" fillId="11" fontId="6" numFmtId="170" xfId="0" applyAlignment="1" applyBorder="1" applyFont="1" applyNumberFormat="1">
      <alignment horizontal="right" vertical="center"/>
    </xf>
    <xf borderId="1" fillId="11" fontId="9" numFmtId="170" xfId="0" applyAlignment="1" applyBorder="1" applyFont="1" applyNumberFormat="1">
      <alignment horizontal="right" vertical="center"/>
    </xf>
    <xf borderId="2" fillId="10" fontId="10" numFmtId="4" xfId="0" applyAlignment="1" applyBorder="1" applyFont="1" applyNumberFormat="1">
      <alignment horizontal="right" vertical="center"/>
    </xf>
    <xf borderId="4" fillId="11" fontId="6" numFmtId="165" xfId="0" applyAlignment="1" applyBorder="1" applyFont="1" applyNumberFormat="1">
      <alignment horizontal="center" vertical="center"/>
    </xf>
    <xf borderId="1" fillId="11" fontId="5" numFmtId="169" xfId="0" applyAlignment="1" applyBorder="1" applyFont="1" applyNumberFormat="1">
      <alignment vertical="center"/>
    </xf>
    <xf borderId="5" fillId="11" fontId="5" numFmtId="164" xfId="0" applyAlignment="1" applyBorder="1" applyFont="1" applyNumberFormat="1">
      <alignment horizontal="center" vertical="center"/>
    </xf>
    <xf borderId="8" fillId="11" fontId="10" numFmtId="0" xfId="0" applyAlignment="1" applyBorder="1" applyFont="1">
      <alignment horizontal="left" shrinkToFit="0" vertical="center" wrapText="1"/>
    </xf>
    <xf borderId="5" fillId="11" fontId="10" numFmtId="4" xfId="0" applyAlignment="1" applyBorder="1" applyFont="1" applyNumberFormat="1">
      <alignment horizontal="right" vertical="center"/>
    </xf>
    <xf borderId="5" fillId="11" fontId="10" numFmtId="164" xfId="0" applyAlignment="1" applyBorder="1" applyFont="1" applyNumberFormat="1">
      <alignment horizontal="center" vertical="center"/>
    </xf>
    <xf borderId="1" fillId="11" fontId="10" numFmtId="3" xfId="0" applyAlignment="1" applyBorder="1" applyFont="1" applyNumberFormat="1">
      <alignment horizontal="right" vertical="center"/>
    </xf>
    <xf borderId="1" fillId="11" fontId="10" numFmtId="164" xfId="0" applyAlignment="1" applyBorder="1" applyFont="1" applyNumberFormat="1">
      <alignment vertical="center"/>
    </xf>
    <xf borderId="8" fillId="11" fontId="5" numFmtId="0" xfId="0" applyAlignment="1" applyBorder="1" applyFont="1">
      <alignment horizontal="left" shrinkToFit="0" vertical="center" wrapText="1"/>
    </xf>
    <xf borderId="1" fillId="11" fontId="17" numFmtId="0" xfId="0" applyAlignment="1" applyBorder="1" applyFont="1">
      <alignment horizontal="left" vertical="center"/>
    </xf>
    <xf borderId="1" fillId="11" fontId="14" numFmtId="0" xfId="0" applyAlignment="1" applyBorder="1" applyFont="1">
      <alignment horizontal="left" vertical="center"/>
    </xf>
    <xf borderId="16" fillId="11" fontId="5" numFmtId="0" xfId="0" applyAlignment="1" applyBorder="1" applyFont="1">
      <alignment horizontal="center" shrinkToFit="0" vertical="center" wrapText="1"/>
    </xf>
    <xf borderId="1" fillId="11" fontId="6" numFmtId="167" xfId="0" applyAlignment="1" applyBorder="1" applyFont="1" applyNumberFormat="1">
      <alignment horizontal="left" vertical="center"/>
    </xf>
    <xf borderId="1" fillId="11" fontId="18" numFmtId="0" xfId="0" applyAlignment="1" applyBorder="1" applyFont="1">
      <alignment vertical="center"/>
    </xf>
    <xf borderId="5" fillId="11" fontId="6" numFmtId="0" xfId="0" applyAlignment="1" applyBorder="1" applyFont="1">
      <alignment horizontal="left" shrinkToFit="0" vertical="center" wrapText="1"/>
    </xf>
    <xf borderId="5" fillId="11" fontId="6" numFmtId="3" xfId="0" applyAlignment="1" applyBorder="1" applyFont="1" applyNumberFormat="1">
      <alignment horizontal="center" vertical="center"/>
    </xf>
    <xf borderId="2" fillId="11" fontId="5" numFmtId="0" xfId="0" applyAlignment="1" applyBorder="1" applyFont="1">
      <alignment horizontal="right" vertical="center"/>
    </xf>
    <xf borderId="3" fillId="11" fontId="37" numFmtId="0" xfId="0" applyAlignment="1" applyBorder="1" applyFont="1">
      <alignment vertical="center"/>
    </xf>
    <xf borderId="17" fillId="11" fontId="37" numFmtId="0" xfId="0" applyAlignment="1" applyBorder="1" applyFont="1">
      <alignment vertical="center"/>
    </xf>
    <xf borderId="1" fillId="11" fontId="37" numFmtId="0" xfId="0" applyAlignment="1" applyBorder="1" applyFont="1">
      <alignment horizontal="center" vertical="center"/>
    </xf>
    <xf borderId="5" fillId="11" fontId="5" numFmtId="164" xfId="0" applyAlignment="1" applyBorder="1" applyFont="1" applyNumberFormat="1">
      <alignment horizontal="center" shrinkToFit="0" vertical="center" wrapText="1"/>
    </xf>
    <xf borderId="1" fillId="11" fontId="7" numFmtId="4" xfId="0" applyAlignment="1" applyBorder="1" applyFont="1" applyNumberFormat="1">
      <alignment horizontal="right" vertical="center"/>
    </xf>
    <xf borderId="5" fillId="11" fontId="5" numFmtId="0" xfId="0" applyAlignment="1" applyBorder="1" applyFont="1">
      <alignment horizontal="right" shrinkToFit="0" vertical="center" wrapText="1"/>
    </xf>
    <xf borderId="8" fillId="11" fontId="6" numFmtId="0" xfId="0" applyAlignment="1" applyBorder="1" applyFont="1">
      <alignment horizontal="left" vertical="center"/>
    </xf>
    <xf borderId="1" fillId="11" fontId="11" numFmtId="164" xfId="0" applyAlignment="1" applyBorder="1" applyFont="1" applyNumberFormat="1">
      <alignment horizontal="center" vertical="center"/>
    </xf>
    <xf borderId="5" fillId="11" fontId="11" numFmtId="0" xfId="0" applyAlignment="1" applyBorder="1" applyFont="1">
      <alignment horizontal="center" vertical="center"/>
    </xf>
    <xf borderId="5" fillId="11" fontId="11" numFmtId="0" xfId="0" applyAlignment="1" applyBorder="1" applyFont="1">
      <alignment horizontal="center" shrinkToFit="0" vertical="center" wrapText="1"/>
    </xf>
    <xf borderId="5" fillId="11" fontId="9" numFmtId="0" xfId="0" applyAlignment="1" applyBorder="1" applyFont="1">
      <alignment vertical="center"/>
    </xf>
    <xf borderId="1" fillId="11" fontId="10" numFmtId="0" xfId="0" applyAlignment="1" applyBorder="1" applyFont="1">
      <alignment horizontal="right" vertical="center"/>
    </xf>
    <xf borderId="5" fillId="11" fontId="10" numFmtId="0" xfId="0" applyAlignment="1" applyBorder="1" applyFont="1">
      <alignment horizontal="right" shrinkToFit="0" vertical="center" wrapText="1"/>
    </xf>
    <xf borderId="1" fillId="11" fontId="11" numFmtId="0" xfId="0" applyAlignment="1" applyBorder="1" applyFont="1">
      <alignment horizontal="center" vertical="center"/>
    </xf>
    <xf borderId="8" fillId="11" fontId="5" numFmtId="0" xfId="0" applyAlignment="1" applyBorder="1" applyFont="1">
      <alignment shrinkToFit="0" vertical="center" wrapText="1"/>
    </xf>
    <xf borderId="3" fillId="11" fontId="5" numFmtId="164" xfId="0" applyAlignment="1" applyBorder="1" applyFont="1" applyNumberFormat="1">
      <alignment horizontal="right" vertical="center"/>
    </xf>
    <xf borderId="3" fillId="11" fontId="6" numFmtId="0" xfId="0" applyAlignment="1" applyBorder="1" applyFont="1">
      <alignment vertical="center"/>
    </xf>
    <xf borderId="3" fillId="11" fontId="41" numFmtId="0" xfId="0" applyAlignment="1" applyBorder="1" applyFont="1">
      <alignment vertical="center"/>
    </xf>
    <xf borderId="1" fillId="11" fontId="41" numFmtId="0" xfId="0" applyAlignment="1" applyBorder="1" applyFont="1">
      <alignment vertical="center"/>
    </xf>
    <xf borderId="17" fillId="11" fontId="5" numFmtId="0" xfId="0" applyAlignment="1" applyBorder="1" applyFont="1">
      <alignment vertical="center"/>
    </xf>
    <xf borderId="4" fillId="11" fontId="6" numFmtId="167" xfId="0" applyAlignment="1" applyBorder="1" applyFont="1" applyNumberFormat="1">
      <alignment horizontal="center" vertical="center"/>
    </xf>
    <xf borderId="1" fillId="11" fontId="37" numFmtId="0" xfId="0" applyAlignment="1" applyBorder="1" applyFont="1">
      <alignment vertical="center"/>
    </xf>
    <xf borderId="10" fillId="11" fontId="5" numFmtId="164" xfId="0" applyAlignment="1" applyBorder="1" applyFont="1" applyNumberFormat="1">
      <alignment horizontal="center" vertical="center"/>
    </xf>
    <xf borderId="1" fillId="11" fontId="14" numFmtId="0" xfId="0" applyAlignment="1" applyBorder="1" applyFont="1">
      <alignment horizontal="center" vertical="center"/>
    </xf>
    <xf borderId="4" fillId="11" fontId="6" numFmtId="0" xfId="0" applyAlignment="1" applyBorder="1" applyFont="1">
      <alignment horizontal="left" vertical="center"/>
    </xf>
    <xf borderId="1" fillId="11" fontId="9" numFmtId="164" xfId="0" applyAlignment="1" applyBorder="1" applyFont="1" applyNumberFormat="1">
      <alignment horizontal="left" vertical="center"/>
    </xf>
    <xf borderId="8" fillId="11" fontId="14" numFmtId="0" xfId="0" applyAlignment="1" applyBorder="1" applyFont="1">
      <alignment shrinkToFit="0" vertical="center" wrapText="1"/>
    </xf>
    <xf borderId="1" fillId="11" fontId="5" numFmtId="2" xfId="0" applyAlignment="1" applyBorder="1" applyFont="1" applyNumberFormat="1">
      <alignment vertical="center"/>
    </xf>
    <xf borderId="1" fillId="11" fontId="5" numFmtId="170" xfId="0" applyAlignment="1" applyBorder="1" applyFont="1" applyNumberFormat="1">
      <alignment vertical="center"/>
    </xf>
    <xf borderId="1" fillId="11" fontId="14" numFmtId="0" xfId="0" applyAlignment="1" applyBorder="1" applyFont="1">
      <alignment shrinkToFit="0" wrapText="1"/>
    </xf>
    <xf borderId="1" fillId="11" fontId="5" numFmtId="0" xfId="0" applyAlignment="1" applyBorder="1" applyFont="1">
      <alignment shrinkToFit="0" wrapText="1"/>
    </xf>
    <xf borderId="1" fillId="11" fontId="5" numFmtId="0" xfId="0" applyBorder="1" applyFont="1"/>
    <xf borderId="1" fillId="10" fontId="6" numFmtId="0" xfId="0" applyAlignment="1" applyBorder="1" applyFont="1">
      <alignment horizontal="left" vertical="center"/>
    </xf>
    <xf borderId="2" fillId="10" fontId="6" numFmtId="0" xfId="0" applyAlignment="1" applyBorder="1" applyFont="1">
      <alignment horizontal="left" vertical="center"/>
    </xf>
    <xf borderId="2" fillId="11" fontId="6" numFmtId="0" xfId="0" applyAlignment="1" applyBorder="1" applyFont="1">
      <alignment horizontal="left" shrinkToFit="0" vertical="center" wrapText="1"/>
    </xf>
    <xf borderId="5" fillId="9" fontId="6" numFmtId="0" xfId="0" applyAlignment="1" applyBorder="1" applyFont="1">
      <alignment horizontal="left" shrinkToFit="0" vertical="center" wrapText="1"/>
    </xf>
    <xf borderId="4" fillId="11" fontId="6" numFmtId="0" xfId="0" applyAlignment="1" applyBorder="1" applyFont="1">
      <alignment shrinkToFit="0" vertical="center" wrapText="1"/>
    </xf>
    <xf borderId="18" fillId="11" fontId="5" numFmtId="0" xfId="0" applyAlignment="1" applyBorder="1" applyFont="1">
      <alignment horizontal="center" shrinkToFit="0" vertical="center" wrapText="1"/>
    </xf>
    <xf borderId="1" fillId="11" fontId="36" numFmtId="3" xfId="0" applyAlignment="1" applyBorder="1" applyFont="1" applyNumberFormat="1">
      <alignment horizontal="left" vertical="center"/>
    </xf>
    <xf borderId="1" fillId="11" fontId="5" numFmtId="164" xfId="0" applyAlignment="1" applyBorder="1" applyFont="1" applyNumberFormat="1">
      <alignment horizontal="center" shrinkToFit="0" vertical="center" wrapText="1"/>
    </xf>
    <xf borderId="1" fillId="11" fontId="7" numFmtId="4" xfId="0" applyAlignment="1" applyBorder="1" applyFont="1" applyNumberFormat="1">
      <alignment horizontal="center" vertical="center"/>
    </xf>
    <xf borderId="1" fillId="11" fontId="9" numFmtId="0" xfId="0" applyAlignment="1" applyBorder="1" applyFont="1">
      <alignment horizontal="center" shrinkToFit="0" vertical="center" wrapText="1"/>
    </xf>
    <xf borderId="8" fillId="11" fontId="42" numFmtId="0" xfId="0" applyAlignment="1" applyBorder="1" applyFont="1">
      <alignment vertical="center"/>
    </xf>
    <xf borderId="1" fillId="11" fontId="6" numFmtId="166" xfId="0" applyAlignment="1" applyBorder="1" applyFont="1" applyNumberFormat="1">
      <alignment horizontal="left" vertical="center"/>
    </xf>
    <xf borderId="3" fillId="11" fontId="42" numFmtId="0" xfId="0" applyAlignment="1" applyBorder="1" applyFont="1">
      <alignment vertical="center"/>
    </xf>
    <xf borderId="12" fillId="11" fontId="5" numFmtId="0" xfId="0" applyAlignment="1" applyBorder="1" applyFont="1">
      <alignment shrinkToFit="0" vertical="center" wrapText="1"/>
    </xf>
    <xf borderId="12" fillId="9" fontId="5" numFmtId="0" xfId="0" applyAlignment="1" applyBorder="1" applyFont="1">
      <alignment shrinkToFit="0" vertical="center" wrapText="1"/>
    </xf>
    <xf borderId="2" fillId="10" fontId="6" numFmtId="0" xfId="0" applyAlignment="1" applyBorder="1" applyFont="1">
      <alignment horizontal="center" vertical="center"/>
    </xf>
    <xf borderId="2" fillId="11" fontId="6" numFmtId="0" xfId="0" applyAlignment="1" applyBorder="1" applyFont="1">
      <alignment horizontal="left" vertical="center"/>
    </xf>
    <xf borderId="1" fillId="11" fontId="41" numFmtId="0" xfId="0" applyAlignment="1" applyBorder="1" applyFont="1">
      <alignment horizontal="center" vertical="center"/>
    </xf>
    <xf borderId="1" fillId="11" fontId="6" numFmtId="0" xfId="0" applyBorder="1" applyFont="1"/>
    <xf borderId="5" fillId="11" fontId="9" numFmtId="0" xfId="0" applyAlignment="1" applyBorder="1" applyFont="1">
      <alignment horizontal="left" shrinkToFit="0" vertical="center" wrapText="1"/>
    </xf>
    <xf borderId="1" fillId="11" fontId="9" numFmtId="1" xfId="0" applyAlignment="1" applyBorder="1" applyFont="1" applyNumberFormat="1">
      <alignment horizontal="center" vertical="center"/>
    </xf>
    <xf borderId="5" fillId="11" fontId="9" numFmtId="4" xfId="0" applyAlignment="1" applyBorder="1" applyFont="1" applyNumberFormat="1">
      <alignment horizontal="right" vertical="center"/>
    </xf>
    <xf borderId="8" fillId="11" fontId="11" numFmtId="0" xfId="0" applyAlignment="1" applyBorder="1" applyFont="1">
      <alignment horizontal="center" shrinkToFit="0" vertical="center" wrapText="1"/>
    </xf>
    <xf borderId="1" fillId="11" fontId="36" numFmtId="0" xfId="0" applyAlignment="1" applyBorder="1" applyFont="1">
      <alignment vertical="center"/>
    </xf>
    <xf borderId="1" fillId="11" fontId="43" numFmtId="0" xfId="0" applyAlignment="1" applyBorder="1" applyFont="1">
      <alignment horizontal="left" vertical="center"/>
    </xf>
    <xf borderId="12" fillId="11" fontId="10" numFmtId="0" xfId="0" applyAlignment="1" applyBorder="1" applyFont="1">
      <alignment shrinkToFit="0" vertical="center" wrapText="1"/>
    </xf>
    <xf borderId="12" fillId="11" fontId="10" numFmtId="0" xfId="0" applyAlignment="1" applyBorder="1" applyFont="1">
      <alignment vertical="center"/>
    </xf>
    <xf borderId="12" fillId="11" fontId="10" numFmtId="0" xfId="0" applyAlignment="1" applyBorder="1" applyFont="1">
      <alignment horizontal="center" vertical="center"/>
    </xf>
    <xf borderId="12" fillId="11" fontId="10" numFmtId="4" xfId="0" applyAlignment="1" applyBorder="1" applyFont="1" applyNumberFormat="1">
      <alignment horizontal="right" vertical="center"/>
    </xf>
    <xf borderId="1" fillId="11" fontId="11" numFmtId="4" xfId="0" applyAlignment="1" applyBorder="1" applyFont="1" applyNumberFormat="1">
      <alignment horizontal="right" vertical="center"/>
    </xf>
    <xf borderId="18" fillId="11" fontId="10" numFmtId="0" xfId="0" applyAlignment="1" applyBorder="1" applyFont="1">
      <alignment horizontal="center" shrinkToFit="0" vertical="center" wrapText="1"/>
    </xf>
    <xf borderId="1" fillId="11" fontId="20" numFmtId="0" xfId="0" applyAlignment="1" applyBorder="1" applyFont="1">
      <alignment horizontal="left" vertical="center"/>
    </xf>
    <xf borderId="1" fillId="11" fontId="17" numFmtId="164" xfId="0" applyAlignment="1" applyBorder="1" applyFont="1" applyNumberFormat="1">
      <alignment vertical="center"/>
    </xf>
    <xf borderId="5" fillId="11" fontId="20" numFmtId="0" xfId="0" applyAlignment="1" applyBorder="1" applyFont="1">
      <alignment horizontal="center" vertical="center"/>
    </xf>
    <xf borderId="5" fillId="11" fontId="7" numFmtId="0" xfId="0" applyAlignment="1" applyBorder="1" applyFont="1">
      <alignment horizontal="left" vertical="center"/>
    </xf>
    <xf borderId="17" fillId="11" fontId="5" numFmtId="0" xfId="0" applyAlignment="1" applyBorder="1" applyFont="1">
      <alignment horizontal="center" shrinkToFit="0" vertical="center" wrapText="1"/>
    </xf>
    <xf borderId="19" fillId="11" fontId="5" numFmtId="0" xfId="0" applyAlignment="1" applyBorder="1" applyFont="1">
      <alignment vertical="center"/>
    </xf>
    <xf borderId="19" fillId="11" fontId="5" numFmtId="0" xfId="0" applyAlignment="1" applyBorder="1" applyFont="1">
      <alignment horizontal="center" vertical="center"/>
    </xf>
    <xf borderId="19" fillId="11" fontId="5" numFmtId="4" xfId="0" applyAlignment="1" applyBorder="1" applyFont="1" applyNumberFormat="1">
      <alignment horizontal="right" vertical="center"/>
    </xf>
    <xf borderId="1" fillId="11" fontId="20" numFmtId="0" xfId="0" applyAlignment="1" applyBorder="1" applyFont="1">
      <alignment horizontal="center" vertical="center"/>
    </xf>
    <xf borderId="10" fillId="11" fontId="5" numFmtId="165" xfId="0" applyAlignment="1" applyBorder="1" applyFont="1" applyNumberFormat="1">
      <alignment horizontal="center" vertical="center"/>
    </xf>
    <xf borderId="11" fillId="11" fontId="5" numFmtId="0" xfId="0" applyAlignment="1" applyBorder="1" applyFont="1">
      <alignment vertical="center"/>
    </xf>
    <xf borderId="2" fillId="11" fontId="5" numFmtId="3" xfId="0" applyAlignment="1" applyBorder="1" applyFont="1" applyNumberFormat="1">
      <alignment horizontal="right" vertical="center"/>
    </xf>
    <xf borderId="5" fillId="11" fontId="14" numFmtId="0" xfId="0" applyAlignment="1" applyBorder="1" applyFont="1">
      <alignment horizontal="center" vertical="center"/>
    </xf>
    <xf borderId="16" fillId="11" fontId="14" numFmtId="0" xfId="0" applyAlignment="1" applyBorder="1" applyFont="1">
      <alignment horizontal="center" vertical="center"/>
    </xf>
    <xf borderId="12" fillId="11" fontId="15" numFmtId="0" xfId="0" applyAlignment="1" applyBorder="1" applyFont="1">
      <alignment vertical="center"/>
    </xf>
    <xf borderId="1" fillId="11" fontId="14" numFmtId="4" xfId="0" applyAlignment="1" applyBorder="1" applyFont="1" applyNumberFormat="1">
      <alignment horizontal="right" vertical="center"/>
    </xf>
    <xf borderId="1" fillId="11" fontId="7" numFmtId="3" xfId="0" applyAlignment="1" applyBorder="1" applyFont="1" applyNumberFormat="1">
      <alignment shrinkToFit="0" vertical="center" wrapText="1"/>
    </xf>
    <xf borderId="3" fillId="11" fontId="5" numFmtId="0" xfId="0" applyAlignment="1" applyBorder="1" applyFont="1">
      <alignment horizontal="left"/>
    </xf>
    <xf borderId="1" fillId="11" fontId="5" numFmtId="167" xfId="0" applyAlignment="1" applyBorder="1" applyFont="1" applyNumberFormat="1">
      <alignment horizontal="left" vertical="center"/>
    </xf>
    <xf borderId="1" fillId="11" fontId="5" numFmtId="4" xfId="0" applyAlignment="1" applyBorder="1" applyFont="1" applyNumberFormat="1">
      <alignment horizontal="left" vertical="center"/>
    </xf>
    <xf borderId="5" fillId="11" fontId="10" numFmtId="0" xfId="0" applyAlignment="1" applyBorder="1" applyFont="1">
      <alignment horizontal="right" vertical="center"/>
    </xf>
    <xf borderId="2" fillId="11" fontId="7" numFmtId="3" xfId="0" applyAlignment="1" applyBorder="1" applyFont="1" applyNumberFormat="1">
      <alignment horizontal="right" vertical="center"/>
    </xf>
    <xf borderId="1" fillId="11" fontId="7" numFmtId="10" xfId="0" applyAlignment="1" applyBorder="1" applyFont="1" applyNumberFormat="1">
      <alignment vertical="center"/>
    </xf>
    <xf borderId="1" fillId="0" fontId="7" numFmtId="0" xfId="0" applyAlignment="1" applyBorder="1" applyFont="1">
      <alignment horizontal="left" vertical="center"/>
    </xf>
    <xf borderId="1" fillId="0" fontId="44" numFmtId="0" xfId="0" applyBorder="1" applyFont="1"/>
    <xf borderId="2" fillId="8" fontId="7" numFmtId="3" xfId="0" applyAlignment="1" applyBorder="1" applyFont="1" applyNumberFormat="1">
      <alignment horizontal="right" vertical="center"/>
    </xf>
    <xf borderId="1" fillId="0" fontId="36" numFmtId="0" xfId="0" applyAlignment="1" applyBorder="1" applyFont="1">
      <alignment vertical="center"/>
    </xf>
    <xf borderId="1" fillId="0" fontId="36" numFmtId="0" xfId="0" applyAlignment="1" applyBorder="1" applyFont="1">
      <alignment horizontal="left" vertical="center"/>
    </xf>
    <xf borderId="1" fillId="0" fontId="36" numFmtId="164" xfId="0" applyAlignment="1" applyBorder="1" applyFont="1" applyNumberFormat="1">
      <alignment horizontal="left" vertical="center"/>
    </xf>
    <xf borderId="3" fillId="8" fontId="6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3" fillId="8" fontId="45" numFmtId="3" xfId="0" applyAlignment="1" applyBorder="1" applyFont="1" applyNumberFormat="1">
      <alignment horizontal="right" vertical="center"/>
    </xf>
    <xf borderId="0" fillId="0" fontId="7" numFmtId="0" xfId="0" applyAlignment="1" applyFont="1">
      <alignment horizontal="center" vertical="center"/>
    </xf>
    <xf borderId="3" fillId="8" fontId="6" numFmtId="0" xfId="0" applyAlignment="1" applyBorder="1" applyFont="1">
      <alignment horizontal="center" shrinkToFit="0" vertical="center" wrapText="1"/>
    </xf>
    <xf borderId="3" fillId="8" fontId="7" numFmtId="164" xfId="0" applyAlignment="1" applyBorder="1" applyFont="1" applyNumberFormat="1">
      <alignment horizontal="center" vertical="center"/>
    </xf>
    <xf borderId="3" fillId="8" fontId="7" numFmtId="4" xfId="0" applyAlignment="1" applyBorder="1" applyFont="1" applyNumberFormat="1">
      <alignment vertical="center"/>
    </xf>
    <xf borderId="3" fillId="8" fontId="7" numFmtId="3" xfId="0" applyAlignment="1" applyBorder="1" applyFont="1" applyNumberFormat="1">
      <alignment vertical="center"/>
    </xf>
    <xf borderId="0" fillId="0" fontId="36" numFmtId="0" xfId="0" applyAlignment="1" applyFont="1">
      <alignment horizontal="left" vertical="center"/>
    </xf>
    <xf borderId="0" fillId="0" fontId="36" numFmtId="164" xfId="0" applyAlignment="1" applyFont="1" applyNumberFormat="1">
      <alignment horizontal="left" vertical="center"/>
    </xf>
    <xf borderId="3" fillId="8" fontId="7" numFmtId="0" xfId="0" applyAlignment="1" applyBorder="1" applyFont="1">
      <alignment horizontal="right" vertical="center"/>
    </xf>
    <xf borderId="3" fillId="8" fontId="15" numFmtId="0" xfId="0" applyAlignment="1" applyBorder="1" applyFont="1">
      <alignment vertical="center"/>
    </xf>
    <xf borderId="0" fillId="0" fontId="6" numFmtId="164" xfId="0" applyAlignment="1" applyFont="1" applyNumberFormat="1">
      <alignment horizontal="left" vertical="center"/>
    </xf>
    <xf borderId="3" fillId="8" fontId="6" numFmtId="0" xfId="0" applyAlignment="1" applyBorder="1" applyFont="1">
      <alignment vertical="center"/>
    </xf>
    <xf borderId="1" fillId="0" fontId="6" numFmtId="171" xfId="0" applyAlignment="1" applyBorder="1" applyFont="1" applyNumberFormat="1">
      <alignment horizontal="left" vertical="center"/>
    </xf>
    <xf borderId="1" fillId="2" fontId="1" numFmtId="1" xfId="0" applyAlignment="1" applyBorder="1" applyFont="1" applyNumberFormat="1">
      <alignment horizontal="center" vertical="center"/>
    </xf>
    <xf borderId="1" fillId="2" fontId="1" numFmtId="4" xfId="0" applyAlignment="1" applyBorder="1" applyFont="1" applyNumberFormat="1">
      <alignment horizontal="center" vertical="center"/>
    </xf>
    <xf borderId="1" fillId="2" fontId="1" numFmtId="4" xfId="0" applyAlignment="1" applyBorder="1" applyFont="1" applyNumberFormat="1">
      <alignment horizontal="right" vertical="center"/>
    </xf>
    <xf borderId="2" fillId="2" fontId="1" numFmtId="164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1" numFmtId="4" xfId="0" applyAlignment="1" applyBorder="1" applyFont="1" applyNumberFormat="1">
      <alignment horizontal="center" vertical="center"/>
    </xf>
    <xf borderId="1" fillId="22" fontId="1" numFmtId="0" xfId="0" applyAlignment="1" applyBorder="1" applyFill="1" applyFont="1">
      <alignment horizontal="center" vertical="center"/>
    </xf>
    <xf borderId="1" fillId="5" fontId="1" numFmtId="164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4" fillId="8" fontId="5" numFmtId="164" xfId="0" applyAlignment="1" applyBorder="1" applyFont="1" applyNumberFormat="1">
      <alignment horizontal="center" vertical="center"/>
    </xf>
    <xf borderId="5" fillId="10" fontId="5" numFmtId="0" xfId="0" applyAlignment="1" applyBorder="1" applyFont="1">
      <alignment vertical="center"/>
    </xf>
    <xf borderId="1" fillId="8" fontId="5" numFmtId="1" xfId="0" applyAlignment="1" applyBorder="1" applyFont="1" applyNumberFormat="1">
      <alignment horizontal="center" vertical="center"/>
    </xf>
    <xf borderId="7" fillId="0" fontId="5" numFmtId="2" xfId="0" applyAlignment="1" applyBorder="1" applyFont="1" applyNumberFormat="1">
      <alignment horizontal="right" vertical="center"/>
    </xf>
    <xf borderId="7" fillId="0" fontId="22" numFmtId="0" xfId="0" applyAlignment="1" applyBorder="1" applyFont="1">
      <alignment horizontal="center" vertical="center"/>
    </xf>
    <xf borderId="5" fillId="8" fontId="6" numFmtId="164" xfId="0" applyAlignment="1" applyBorder="1" applyFont="1" applyNumberFormat="1">
      <alignment vertical="center"/>
    </xf>
    <xf borderId="5" fillId="8" fontId="17" numFmtId="164" xfId="0" applyAlignment="1" applyBorder="1" applyFont="1" applyNumberFormat="1">
      <alignment horizontal="left" vertical="center"/>
    </xf>
    <xf borderId="5" fillId="8" fontId="17" numFmtId="0" xfId="0" applyAlignment="1" applyBorder="1" applyFont="1">
      <alignment horizontal="left" vertical="center"/>
    </xf>
    <xf borderId="5" fillId="8" fontId="17" numFmtId="3" xfId="0" applyAlignment="1" applyBorder="1" applyFont="1" applyNumberFormat="1">
      <alignment horizontal="center" vertical="center"/>
    </xf>
    <xf borderId="5" fillId="8" fontId="17" numFmtId="164" xfId="0" applyAlignment="1" applyBorder="1" applyFont="1" applyNumberFormat="1">
      <alignment horizontal="center" vertical="center"/>
    </xf>
    <xf borderId="5" fillId="8" fontId="17" numFmtId="0" xfId="0" applyAlignment="1" applyBorder="1" applyFont="1">
      <alignment vertical="center"/>
    </xf>
    <xf borderId="5" fillId="8" fontId="36" numFmtId="0" xfId="0" applyAlignment="1" applyBorder="1" applyFont="1">
      <alignment vertical="center"/>
    </xf>
    <xf borderId="5" fillId="8" fontId="17" numFmtId="3" xfId="0" applyAlignment="1" applyBorder="1" applyFont="1" applyNumberFormat="1">
      <alignment horizontal="right" vertical="center"/>
    </xf>
    <xf borderId="1" fillId="8" fontId="6" numFmtId="164" xfId="0" applyAlignment="1" applyBorder="1" applyFont="1" applyNumberFormat="1">
      <alignment vertical="center"/>
    </xf>
    <xf borderId="1" fillId="8" fontId="17" numFmtId="164" xfId="0" applyAlignment="1" applyBorder="1" applyFont="1" applyNumberFormat="1">
      <alignment horizontal="left" vertical="center"/>
    </xf>
    <xf borderId="1" fillId="8" fontId="17" numFmtId="0" xfId="0" applyAlignment="1" applyBorder="1" applyFont="1">
      <alignment horizontal="left" vertical="center"/>
    </xf>
    <xf borderId="5" fillId="8" fontId="36" numFmtId="0" xfId="0" applyAlignment="1" applyBorder="1" applyFont="1">
      <alignment horizontal="left" vertical="center"/>
    </xf>
    <xf borderId="1" fillId="10" fontId="5" numFmtId="0" xfId="0" applyAlignment="1" applyBorder="1" applyFont="1">
      <alignment vertical="center"/>
    </xf>
    <xf borderId="5" fillId="8" fontId="5" numFmtId="164" xfId="0" applyAlignment="1" applyBorder="1" applyFont="1" applyNumberFormat="1">
      <alignment horizontal="left" vertical="center"/>
    </xf>
    <xf borderId="5" fillId="8" fontId="5" numFmtId="3" xfId="0" applyAlignment="1" applyBorder="1" applyFont="1" applyNumberFormat="1">
      <alignment horizontal="center" vertical="center"/>
    </xf>
    <xf borderId="5" fillId="12" fontId="5" numFmtId="0" xfId="0" applyAlignment="1" applyBorder="1" applyFont="1">
      <alignment horizontal="left" vertical="center"/>
    </xf>
    <xf borderId="1" fillId="8" fontId="5" numFmtId="164" xfId="0" applyAlignment="1" applyBorder="1" applyFont="1" applyNumberFormat="1">
      <alignment horizontal="left" vertical="center"/>
    </xf>
    <xf borderId="5" fillId="12" fontId="5" numFmtId="0" xfId="0" applyAlignment="1" applyBorder="1" applyFont="1">
      <alignment vertical="center"/>
    </xf>
    <xf borderId="5" fillId="8" fontId="5" numFmtId="1" xfId="0" applyAlignment="1" applyBorder="1" applyFont="1" applyNumberFormat="1">
      <alignment horizontal="center" vertical="center"/>
    </xf>
    <xf borderId="5" fillId="8" fontId="7" numFmtId="4" xfId="0" applyAlignment="1" applyBorder="1" applyFont="1" applyNumberFormat="1">
      <alignment horizontal="right" vertical="center"/>
    </xf>
    <xf borderId="5" fillId="8" fontId="17" numFmtId="164" xfId="0" applyAlignment="1" applyBorder="1" applyFont="1" applyNumberFormat="1">
      <alignment vertical="center"/>
    </xf>
    <xf borderId="5" fillId="8" fontId="43" numFmtId="0" xfId="0" applyAlignment="1" applyBorder="1" applyFont="1">
      <alignment horizontal="right" vertical="center"/>
    </xf>
    <xf borderId="5" fillId="8" fontId="5" numFmtId="164" xfId="0" applyAlignment="1" applyBorder="1" applyFont="1" applyNumberFormat="1">
      <alignment vertical="center"/>
    </xf>
    <xf borderId="4" fillId="11" fontId="5" numFmtId="164" xfId="0" applyBorder="1" applyFont="1" applyNumberFormat="1"/>
    <xf borderId="1" fillId="11" fontId="5" numFmtId="1" xfId="0" applyAlignment="1" applyBorder="1" applyFont="1" applyNumberFormat="1">
      <alignment horizontal="center"/>
    </xf>
    <xf borderId="1" fillId="11" fontId="5" numFmtId="4" xfId="0" applyBorder="1" applyFont="1" applyNumberFormat="1"/>
    <xf borderId="5" fillId="11" fontId="5" numFmtId="0" xfId="0" applyBorder="1" applyFont="1"/>
    <xf borderId="1" fillId="11" fontId="5" numFmtId="164" xfId="0" applyAlignment="1" applyBorder="1" applyFont="1" applyNumberFormat="1">
      <alignment horizontal="center"/>
    </xf>
    <xf borderId="1" fillId="11" fontId="5" numFmtId="0" xfId="0" applyAlignment="1" applyBorder="1" applyFont="1">
      <alignment horizontal="center"/>
    </xf>
    <xf borderId="1" fillId="11" fontId="5" numFmtId="3" xfId="0" applyAlignment="1" applyBorder="1" applyFont="1" applyNumberFormat="1">
      <alignment horizontal="right"/>
    </xf>
    <xf borderId="1" fillId="11" fontId="5" numFmtId="164" xfId="0" applyAlignment="1" applyBorder="1" applyFont="1" applyNumberFormat="1">
      <alignment horizontal="right"/>
    </xf>
    <xf borderId="1" fillId="11" fontId="5" numFmtId="164" xfId="0" applyBorder="1" applyFont="1" applyNumberFormat="1"/>
    <xf borderId="1" fillId="11" fontId="5" numFmtId="3" xfId="0" applyBorder="1" applyFont="1" applyNumberFormat="1"/>
    <xf borderId="5" fillId="11" fontId="5" numFmtId="164" xfId="0" applyBorder="1" applyFont="1" applyNumberFormat="1"/>
    <xf borderId="5" fillId="11" fontId="5" numFmtId="3" xfId="0" applyBorder="1" applyFont="1" applyNumberFormat="1"/>
    <xf borderId="3" fillId="11" fontId="5" numFmtId="0" xfId="0" applyBorder="1" applyFont="1"/>
    <xf borderId="5" fillId="11" fontId="6" numFmtId="0" xfId="0" applyAlignment="1" applyBorder="1" applyFont="1">
      <alignment horizontal="left" vertical="center"/>
    </xf>
    <xf borderId="5" fillId="11" fontId="5" numFmtId="1" xfId="0" applyAlignment="1" applyBorder="1" applyFont="1" applyNumberFormat="1">
      <alignment horizontal="center" vertical="center"/>
    </xf>
    <xf borderId="1" fillId="11" fontId="7" numFmtId="0" xfId="0" applyAlignment="1" applyBorder="1" applyFont="1">
      <alignment shrinkToFit="0" vertical="center" wrapText="1"/>
    </xf>
    <xf borderId="1" fillId="11" fontId="17" numFmtId="0" xfId="0" applyAlignment="1" applyBorder="1" applyFont="1">
      <alignment vertical="center"/>
    </xf>
    <xf borderId="1" fillId="11" fontId="17" numFmtId="3" xfId="0" applyAlignment="1" applyBorder="1" applyFont="1" applyNumberFormat="1">
      <alignment horizontal="right" vertical="center"/>
    </xf>
    <xf borderId="1" fillId="23" fontId="5" numFmtId="0" xfId="0" applyAlignment="1" applyBorder="1" applyFill="1" applyFont="1">
      <alignment horizontal="center" vertical="center"/>
    </xf>
    <xf borderId="1" fillId="11" fontId="5" numFmtId="3" xfId="0" applyAlignment="1" applyBorder="1" applyFont="1" applyNumberFormat="1">
      <alignment shrinkToFit="0" vertical="center" wrapText="1"/>
    </xf>
    <xf borderId="1" fillId="11" fontId="20" numFmtId="164" xfId="0" applyAlignment="1" applyBorder="1" applyFont="1" applyNumberFormat="1">
      <alignment horizontal="center" vertical="center"/>
    </xf>
    <xf borderId="5" fillId="11" fontId="5" numFmtId="3" xfId="0" applyAlignment="1" applyBorder="1" applyFont="1" applyNumberFormat="1">
      <alignment shrinkToFit="0" vertical="center" wrapText="1"/>
    </xf>
    <xf borderId="1" fillId="11" fontId="10" numFmtId="1" xfId="0" applyAlignment="1" applyBorder="1" applyFont="1" applyNumberFormat="1">
      <alignment horizontal="center" vertical="center"/>
    </xf>
    <xf borderId="1" fillId="11" fontId="9" numFmtId="164" xfId="0" applyAlignment="1" applyBorder="1" applyFont="1" applyNumberFormat="1">
      <alignment horizontal="center" vertical="center"/>
    </xf>
    <xf borderId="1" fillId="11" fontId="10" numFmtId="0" xfId="0" applyAlignment="1" applyBorder="1" applyFont="1">
      <alignment horizontal="center" shrinkToFit="0" vertical="center" wrapText="1"/>
    </xf>
    <xf borderId="1" fillId="11" fontId="10" numFmtId="3" xfId="0" applyAlignment="1" applyBorder="1" applyFont="1" applyNumberFormat="1">
      <alignment shrinkToFit="0" vertical="center" wrapText="1"/>
    </xf>
    <xf borderId="1" fillId="11" fontId="40" numFmtId="164" xfId="0" applyAlignment="1" applyBorder="1" applyFont="1" applyNumberFormat="1">
      <alignment horizontal="right" vertical="center"/>
    </xf>
    <xf borderId="1" fillId="11" fontId="17" numFmtId="3" xfId="0" applyAlignment="1" applyBorder="1" applyFont="1" applyNumberFormat="1">
      <alignment horizontal="left" vertical="center"/>
    </xf>
    <xf borderId="1" fillId="11" fontId="17" numFmtId="164" xfId="0" applyAlignment="1" applyBorder="1" applyFont="1" applyNumberFormat="1">
      <alignment horizontal="center" vertical="center"/>
    </xf>
    <xf borderId="1" fillId="11" fontId="40" numFmtId="0" xfId="0" applyAlignment="1" applyBorder="1" applyFont="1">
      <alignment vertical="center"/>
    </xf>
    <xf borderId="1" fillId="11" fontId="40" numFmtId="3" xfId="0" applyAlignment="1" applyBorder="1" applyFont="1" applyNumberFormat="1">
      <alignment horizontal="right" vertical="center"/>
    </xf>
    <xf borderId="1" fillId="11" fontId="11" numFmtId="0" xfId="0" applyAlignment="1" applyBorder="1" applyFont="1">
      <alignment shrinkToFit="0" vertical="center" wrapText="1"/>
    </xf>
    <xf borderId="1" fillId="11" fontId="40" numFmtId="0" xfId="0" applyAlignment="1" applyBorder="1" applyFont="1">
      <alignment horizontal="right" vertical="center"/>
    </xf>
    <xf borderId="1" fillId="11" fontId="40" numFmtId="3" xfId="0" applyAlignment="1" applyBorder="1" applyFont="1" applyNumberFormat="1">
      <alignment horizontal="center" vertical="center"/>
    </xf>
    <xf borderId="1" fillId="11" fontId="40" numFmtId="164" xfId="0" applyAlignment="1" applyBorder="1" applyFont="1" applyNumberFormat="1">
      <alignment horizontal="center" vertical="center"/>
    </xf>
    <xf borderId="1" fillId="11" fontId="11" numFmtId="164" xfId="0" applyAlignment="1" applyBorder="1" applyFont="1" applyNumberFormat="1">
      <alignment vertical="center"/>
    </xf>
    <xf borderId="3" fillId="11" fontId="10" numFmtId="0" xfId="0" applyAlignment="1" applyBorder="1" applyFont="1">
      <alignment horizontal="left" vertical="center"/>
    </xf>
    <xf borderId="1" fillId="11" fontId="10" numFmtId="0" xfId="0" applyAlignment="1" applyBorder="1" applyFont="1">
      <alignment horizontal="right" shrinkToFit="0" vertical="center" wrapText="1"/>
    </xf>
    <xf borderId="1" fillId="11" fontId="46" numFmtId="164" xfId="0" applyAlignment="1" applyBorder="1" applyFont="1" applyNumberFormat="1">
      <alignment vertical="center"/>
    </xf>
    <xf borderId="1" fillId="11" fontId="5" numFmtId="3" xfId="0" applyAlignment="1" applyBorder="1" applyFont="1" applyNumberFormat="1">
      <alignment horizontal="center" vertical="center"/>
    </xf>
    <xf borderId="1" fillId="21" fontId="5" numFmtId="0" xfId="0" applyAlignment="1" applyBorder="1" applyFont="1">
      <alignment horizontal="center" vertical="center"/>
    </xf>
    <xf borderId="1" fillId="11" fontId="43" numFmtId="164" xfId="0" applyAlignment="1" applyBorder="1" applyFont="1" applyNumberFormat="1">
      <alignment vertical="center"/>
    </xf>
    <xf borderId="1" fillId="11" fontId="17" numFmtId="3" xfId="0" applyAlignment="1" applyBorder="1" applyFont="1" applyNumberFormat="1">
      <alignment horizontal="center" vertical="center"/>
    </xf>
    <xf borderId="5" fillId="11" fontId="10" numFmtId="1" xfId="0" applyAlignment="1" applyBorder="1" applyFont="1" applyNumberFormat="1">
      <alignment horizontal="center" vertical="center"/>
    </xf>
    <xf borderId="2" fillId="11" fontId="14" numFmtId="0" xfId="0" applyAlignment="1" applyBorder="1" applyFont="1">
      <alignment horizontal="center" shrinkToFit="0" vertical="center" wrapText="1"/>
    </xf>
    <xf borderId="1" fillId="11" fontId="36" numFmtId="0" xfId="0" applyAlignment="1" applyBorder="1" applyFont="1">
      <alignment horizontal="right" vertical="center"/>
    </xf>
    <xf borderId="1" fillId="11" fontId="36" numFmtId="0" xfId="0" applyAlignment="1" applyBorder="1" applyFont="1">
      <alignment horizontal="center" vertical="center"/>
    </xf>
    <xf borderId="1" fillId="11" fontId="47" numFmtId="0" xfId="0" applyAlignment="1" applyBorder="1" applyFont="1">
      <alignment vertical="center"/>
    </xf>
    <xf borderId="1" fillId="11" fontId="17" numFmtId="0" xfId="0" applyAlignment="1" applyBorder="1" applyFont="1">
      <alignment horizontal="right" vertical="center"/>
    </xf>
    <xf borderId="3" fillId="11" fontId="5" numFmtId="3" xfId="0" applyAlignment="1" applyBorder="1" applyFont="1" applyNumberFormat="1">
      <alignment horizontal="right" vertical="center"/>
    </xf>
    <xf borderId="5" fillId="11" fontId="6" numFmtId="1" xfId="0" applyAlignment="1" applyBorder="1" applyFont="1" applyNumberFormat="1">
      <alignment horizontal="center" vertical="center"/>
    </xf>
    <xf borderId="1" fillId="11" fontId="14" numFmtId="0" xfId="0" applyAlignment="1" applyBorder="1" applyFont="1">
      <alignment horizontal="center" shrinkToFit="0" vertical="center" wrapText="1"/>
    </xf>
    <xf borderId="1" fillId="11" fontId="5" numFmtId="164" xfId="0" applyAlignment="1" applyBorder="1" applyFont="1" applyNumberFormat="1">
      <alignment horizontal="right" shrinkToFit="0" vertical="center" wrapText="1"/>
    </xf>
    <xf borderId="1" fillId="11" fontId="43" numFmtId="164" xfId="0" applyAlignment="1" applyBorder="1" applyFont="1" applyNumberFormat="1">
      <alignment horizontal="right" vertical="center"/>
    </xf>
    <xf borderId="1" fillId="11" fontId="11" numFmtId="0" xfId="0" applyAlignment="1" applyBorder="1" applyFont="1">
      <alignment horizontal="right" vertical="center"/>
    </xf>
    <xf borderId="1" fillId="11" fontId="38" numFmtId="0" xfId="0" applyAlignment="1" applyBorder="1" applyFont="1">
      <alignment horizontal="right" vertical="center"/>
    </xf>
    <xf borderId="1" fillId="11" fontId="38" numFmtId="0" xfId="0" applyAlignment="1" applyBorder="1" applyFont="1">
      <alignment horizontal="center" vertical="center"/>
    </xf>
    <xf borderId="1" fillId="11" fontId="7" numFmtId="166" xfId="0" applyAlignment="1" applyBorder="1" applyFont="1" applyNumberFormat="1">
      <alignment horizontal="right" vertical="center"/>
    </xf>
    <xf borderId="1" fillId="11" fontId="43" numFmtId="0" xfId="0" applyAlignment="1" applyBorder="1" applyFont="1">
      <alignment horizontal="right" vertical="center"/>
    </xf>
    <xf borderId="1" fillId="11" fontId="20" numFmtId="3" xfId="0" applyAlignment="1" applyBorder="1" applyFont="1" applyNumberFormat="1">
      <alignment horizontal="right" vertical="center"/>
    </xf>
    <xf borderId="1" fillId="11" fontId="11" numFmtId="3" xfId="0" applyAlignment="1" applyBorder="1" applyFont="1" applyNumberFormat="1">
      <alignment shrinkToFit="0" vertical="center" wrapText="1"/>
    </xf>
    <xf borderId="1" fillId="11" fontId="39" numFmtId="3" xfId="0" applyAlignment="1" applyBorder="1" applyFont="1" applyNumberFormat="1">
      <alignment vertical="center"/>
    </xf>
    <xf borderId="1" fillId="11" fontId="21" numFmtId="3" xfId="0" applyAlignment="1" applyBorder="1" applyFont="1" applyNumberFormat="1">
      <alignment vertical="center"/>
    </xf>
    <xf borderId="1" fillId="11" fontId="5" numFmtId="3" xfId="0" applyAlignment="1" applyBorder="1" applyFont="1" applyNumberFormat="1">
      <alignment horizontal="left" shrinkToFit="0" vertical="center" wrapText="1"/>
    </xf>
    <xf borderId="1" fillId="24" fontId="5" numFmtId="0" xfId="0" applyAlignment="1" applyBorder="1" applyFill="1" applyFont="1">
      <alignment horizontal="center" vertical="center"/>
    </xf>
    <xf borderId="2" fillId="11" fontId="6" numFmtId="0" xfId="0" applyAlignment="1" applyBorder="1" applyFont="1">
      <alignment horizontal="center" vertical="center"/>
    </xf>
    <xf borderId="1" fillId="21" fontId="10" numFmtId="0" xfId="0" applyAlignment="1" applyBorder="1" applyFont="1">
      <alignment horizontal="center" vertical="center"/>
    </xf>
    <xf borderId="5" fillId="11" fontId="9" numFmtId="0" xfId="0" applyAlignment="1" applyBorder="1" applyFont="1">
      <alignment horizontal="left" vertical="center"/>
    </xf>
    <xf borderId="3" fillId="11" fontId="36" numFmtId="0" xfId="0" applyAlignment="1" applyBorder="1" applyFont="1">
      <alignment horizontal="left" vertical="center"/>
    </xf>
    <xf borderId="1" fillId="11" fontId="20" numFmtId="164" xfId="0" applyAlignment="1" applyBorder="1" applyFont="1" applyNumberFormat="1">
      <alignment horizontal="right" vertical="center"/>
    </xf>
    <xf borderId="1" fillId="11" fontId="5" numFmtId="2" xfId="0" applyAlignment="1" applyBorder="1" applyFont="1" applyNumberFormat="1">
      <alignment horizontal="right" vertical="center"/>
    </xf>
    <xf borderId="1" fillId="11" fontId="36" numFmtId="168" xfId="0" applyAlignment="1" applyBorder="1" applyFont="1" applyNumberFormat="1">
      <alignment horizontal="right" vertical="center"/>
    </xf>
    <xf borderId="5" fillId="23" fontId="5" numFmtId="0" xfId="0" applyAlignment="1" applyBorder="1" applyFont="1">
      <alignment horizontal="center" vertical="center"/>
    </xf>
    <xf borderId="1" fillId="11" fontId="6" numFmtId="168" xfId="0" applyAlignment="1" applyBorder="1" applyFont="1" applyNumberFormat="1">
      <alignment horizontal="center" vertical="center"/>
    </xf>
    <xf borderId="1" fillId="11" fontId="48" numFmtId="164" xfId="0" applyAlignment="1" applyBorder="1" applyFont="1" applyNumberFormat="1">
      <alignment horizontal="right" vertical="center"/>
    </xf>
    <xf borderId="5" fillId="11" fontId="9" numFmtId="1" xfId="0" applyAlignment="1" applyBorder="1" applyFont="1" applyNumberFormat="1">
      <alignment horizontal="center" vertical="center"/>
    </xf>
    <xf borderId="1" fillId="11" fontId="11" numFmtId="3" xfId="0" applyAlignment="1" applyBorder="1" applyFont="1" applyNumberFormat="1">
      <alignment horizontal="right" vertical="center"/>
    </xf>
    <xf borderId="1" fillId="11" fontId="7" numFmtId="164" xfId="0" applyAlignment="1" applyBorder="1" applyFont="1" applyNumberFormat="1">
      <alignment horizontal="right" vertical="center"/>
    </xf>
    <xf borderId="2" fillId="11" fontId="9" numFmtId="0" xfId="0" applyAlignment="1" applyBorder="1" applyFont="1">
      <alignment horizontal="center" vertical="center"/>
    </xf>
    <xf borderId="1" fillId="11" fontId="46" numFmtId="164" xfId="0" applyAlignment="1" applyBorder="1" applyFont="1" applyNumberFormat="1">
      <alignment horizontal="right" vertical="center"/>
    </xf>
    <xf borderId="1" fillId="10" fontId="5" numFmtId="2" xfId="0" applyAlignment="1" applyBorder="1" applyFont="1" applyNumberFormat="1">
      <alignment horizontal="right" vertical="center"/>
    </xf>
    <xf borderId="4" fillId="11" fontId="6" numFmtId="164" xfId="0" applyAlignment="1" applyBorder="1" applyFont="1" applyNumberFormat="1">
      <alignment horizontal="center" shrinkToFit="0" vertical="center" wrapText="1"/>
    </xf>
    <xf borderId="4" fillId="11" fontId="5" numFmtId="0" xfId="0" applyAlignment="1" applyBorder="1" applyFont="1">
      <alignment horizontal="center" shrinkToFit="0" vertical="center" wrapText="1"/>
    </xf>
    <xf borderId="4" fillId="11" fontId="6" numFmtId="0" xfId="0" applyAlignment="1" applyBorder="1" applyFont="1">
      <alignment horizontal="center" vertical="center"/>
    </xf>
    <xf borderId="4" fillId="11" fontId="6" numFmtId="0" xfId="0" applyAlignment="1" applyBorder="1" applyFont="1">
      <alignment vertical="center"/>
    </xf>
    <xf borderId="1" fillId="11" fontId="36" numFmtId="164" xfId="0" applyAlignment="1" applyBorder="1" applyFont="1" applyNumberFormat="1">
      <alignment horizontal="center" vertical="center"/>
    </xf>
    <xf quotePrefix="1" borderId="1" fillId="11" fontId="6" numFmtId="0" xfId="0" applyAlignment="1" applyBorder="1" applyFont="1">
      <alignment vertical="center"/>
    </xf>
    <xf borderId="1" fillId="11" fontId="43" numFmtId="0" xfId="0" applyAlignment="1" applyBorder="1" applyFont="1">
      <alignment vertical="center"/>
    </xf>
    <xf borderId="2" fillId="11" fontId="6" numFmtId="0" xfId="0" applyAlignment="1" applyBorder="1" applyFont="1">
      <alignment vertical="center"/>
    </xf>
    <xf borderId="2" fillId="11" fontId="5" numFmtId="164" xfId="0" applyAlignment="1" applyBorder="1" applyFont="1" applyNumberFormat="1">
      <alignment horizontal="center" vertical="center"/>
    </xf>
    <xf borderId="1" fillId="11" fontId="49" numFmtId="0" xfId="0" applyAlignment="1" applyBorder="1" applyFont="1">
      <alignment horizontal="center" vertical="center"/>
    </xf>
    <xf borderId="1" fillId="11" fontId="20" numFmtId="0" xfId="0" applyAlignment="1" applyBorder="1" applyFont="1">
      <alignment vertical="center"/>
    </xf>
    <xf borderId="1" fillId="11" fontId="20" numFmtId="166" xfId="0" applyAlignment="1" applyBorder="1" applyFont="1" applyNumberFormat="1">
      <alignment vertical="center"/>
    </xf>
    <xf borderId="1" fillId="11" fontId="5" numFmtId="172" xfId="0" applyAlignment="1" applyBorder="1" applyFont="1" applyNumberFormat="1">
      <alignment vertical="center"/>
    </xf>
    <xf borderId="1" fillId="11" fontId="20" numFmtId="164" xfId="0" applyAlignment="1" applyBorder="1" applyFont="1" applyNumberFormat="1">
      <alignment vertical="center"/>
    </xf>
    <xf borderId="5" fillId="11" fontId="5" numFmtId="4" xfId="0" applyAlignment="1" applyBorder="1" applyFont="1" applyNumberFormat="1">
      <alignment vertical="center"/>
    </xf>
    <xf borderId="5" fillId="11" fontId="7" numFmtId="4" xfId="0" applyAlignment="1" applyBorder="1" applyFont="1" applyNumberFormat="1">
      <alignment vertical="center"/>
    </xf>
    <xf borderId="5" fillId="11" fontId="5" numFmtId="3" xfId="0" applyAlignment="1" applyBorder="1" applyFont="1" applyNumberFormat="1">
      <alignment vertical="center"/>
    </xf>
    <xf borderId="1" fillId="11" fontId="9" numFmtId="4" xfId="0" applyAlignment="1" applyBorder="1" applyFont="1" applyNumberFormat="1">
      <alignment vertical="center"/>
    </xf>
    <xf borderId="1" fillId="25" fontId="5" numFmtId="0" xfId="0" applyAlignment="1" applyBorder="1" applyFill="1" applyFont="1">
      <alignment vertical="center"/>
    </xf>
    <xf borderId="1" fillId="11" fontId="6" numFmtId="168" xfId="0" applyAlignment="1" applyBorder="1" applyFont="1" applyNumberFormat="1">
      <alignment vertical="center"/>
    </xf>
    <xf borderId="1" fillId="11" fontId="5" numFmtId="165" xfId="0" applyAlignment="1" applyBorder="1" applyFont="1" applyNumberFormat="1">
      <alignment horizontal="center" vertical="center"/>
    </xf>
    <xf borderId="1" fillId="11" fontId="39" numFmtId="4" xfId="0" applyAlignment="1" applyBorder="1" applyFont="1" applyNumberFormat="1">
      <alignment vertical="center"/>
    </xf>
    <xf borderId="1" fillId="11" fontId="39" numFmtId="0" xfId="0" applyAlignment="1" applyBorder="1" applyFont="1">
      <alignment vertical="center"/>
    </xf>
    <xf borderId="1" fillId="11" fontId="17" numFmtId="164" xfId="0" applyAlignment="1" applyBorder="1" applyFont="1" applyNumberFormat="1">
      <alignment horizontal="right" vertical="center"/>
    </xf>
    <xf borderId="4" fillId="11" fontId="6" numFmtId="0" xfId="0" applyAlignment="1" applyBorder="1" applyFont="1">
      <alignment horizontal="center" shrinkToFit="0" vertical="center" wrapText="1"/>
    </xf>
    <xf borderId="4" fillId="11" fontId="6" numFmtId="3" xfId="0" applyAlignment="1" applyBorder="1" applyFont="1" applyNumberFormat="1">
      <alignment vertical="center"/>
    </xf>
    <xf borderId="1" fillId="11" fontId="6" numFmtId="169" xfId="0" applyAlignment="1" applyBorder="1" applyFont="1" applyNumberFormat="1">
      <alignment horizontal="center" vertical="center"/>
    </xf>
    <xf borderId="2" fillId="11" fontId="5" numFmtId="1" xfId="0" applyAlignment="1" applyBorder="1" applyFont="1" applyNumberFormat="1">
      <alignment horizontal="center" vertical="center"/>
    </xf>
    <xf borderId="1" fillId="11" fontId="5" numFmtId="169" xfId="0" applyAlignment="1" applyBorder="1" applyFont="1" applyNumberFormat="1">
      <alignment horizontal="right" vertical="center"/>
    </xf>
    <xf quotePrefix="1" borderId="2" fillId="11" fontId="6" numFmtId="0" xfId="0" applyAlignment="1" applyBorder="1" applyFont="1">
      <alignment horizontal="left" vertical="center"/>
    </xf>
    <xf borderId="3" fillId="11" fontId="5" numFmtId="164" xfId="0" applyAlignment="1" applyBorder="1" applyFont="1" applyNumberFormat="1">
      <alignment horizontal="center" vertical="center"/>
    </xf>
    <xf borderId="1" fillId="11" fontId="36" numFmtId="164" xfId="0" applyAlignment="1" applyBorder="1" applyFont="1" applyNumberFormat="1">
      <alignment vertical="center"/>
    </xf>
    <xf borderId="2" fillId="11" fontId="6" numFmtId="3" xfId="0" applyAlignment="1" applyBorder="1" applyFont="1" applyNumberFormat="1">
      <alignment horizontal="left" vertical="center"/>
    </xf>
    <xf borderId="1" fillId="0" fontId="6" numFmtId="4" xfId="0" applyAlignment="1" applyBorder="1" applyFont="1" applyNumberFormat="1">
      <alignment horizontal="right" vertical="center"/>
    </xf>
    <xf borderId="1" fillId="0" fontId="36" numFmtId="0" xfId="0" applyAlignment="1" applyBorder="1" applyFont="1">
      <alignment horizontal="center" vertical="center"/>
    </xf>
    <xf borderId="2" fillId="8" fontId="7" numFmtId="0" xfId="0" applyAlignment="1" applyBorder="1" applyFont="1">
      <alignment horizontal="right" vertical="center"/>
    </xf>
    <xf borderId="1" fillId="11" fontId="6" numFmtId="169" xfId="0" applyAlignment="1" applyBorder="1" applyFont="1" applyNumberFormat="1">
      <alignment vertical="center"/>
    </xf>
    <xf borderId="2" fillId="11" fontId="10" numFmtId="0" xfId="0" applyAlignment="1" applyBorder="1" applyFont="1">
      <alignment horizontal="right" vertical="center"/>
    </xf>
    <xf borderId="1" fillId="11" fontId="17" numFmtId="0" xfId="0" applyAlignment="1" applyBorder="1" applyFont="1">
      <alignment horizontal="center" vertical="center"/>
    </xf>
    <xf borderId="1" fillId="11" fontId="6" numFmtId="169" xfId="0" applyAlignment="1" applyBorder="1" applyFont="1" applyNumberFormat="1">
      <alignment horizontal="right" vertical="center"/>
    </xf>
    <xf borderId="1" fillId="10" fontId="5" numFmtId="3" xfId="0" applyAlignment="1" applyBorder="1" applyFont="1" applyNumberFormat="1">
      <alignment vertical="center"/>
    </xf>
    <xf borderId="1" fillId="11" fontId="5" numFmtId="169" xfId="0" applyAlignment="1" applyBorder="1" applyFont="1" applyNumberFormat="1">
      <alignment horizontal="left" vertical="center"/>
    </xf>
    <xf borderId="2" fillId="11" fontId="5" numFmtId="0" xfId="0" applyAlignment="1" applyBorder="1" applyFont="1">
      <alignment horizontal="left" shrinkToFit="0" vertical="center" wrapText="1"/>
    </xf>
    <xf borderId="1" fillId="11" fontId="50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left" shrinkToFit="0" wrapText="1"/>
    </xf>
    <xf borderId="2" fillId="8" fontId="5" numFmtId="0" xfId="0" applyAlignment="1" applyBorder="1" applyFont="1">
      <alignment horizontal="right" vertical="center"/>
    </xf>
    <xf borderId="3" fillId="8" fontId="6" numFmtId="0" xfId="0" applyAlignment="1" applyBorder="1" applyFont="1">
      <alignment horizontal="left" vertical="center"/>
    </xf>
    <xf borderId="0" fillId="0" fontId="51" numFmtId="0" xfId="0" applyAlignment="1" applyFon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0" fillId="0" fontId="45" numFmtId="4" xfId="0" applyAlignment="1" applyFont="1" applyNumberFormat="1">
      <alignment horizontal="right" vertical="center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2" fillId="2" fontId="1" numFmtId="4" xfId="0" applyAlignment="1" applyBorder="1" applyFont="1" applyNumberFormat="1">
      <alignment horizontal="center" vertical="center"/>
    </xf>
    <xf borderId="2" fillId="4" fontId="1" numFmtId="0" xfId="0" applyAlignment="1" applyBorder="1" applyFont="1">
      <alignment horizontal="left" vertical="center"/>
    </xf>
    <xf borderId="2" fillId="4" fontId="1" numFmtId="4" xfId="0" applyAlignment="1" applyBorder="1" applyFont="1" applyNumberFormat="1">
      <alignment horizontal="center" vertical="center"/>
    </xf>
    <xf borderId="17" fillId="4" fontId="1" numFmtId="0" xfId="0" applyAlignment="1" applyBorder="1" applyFont="1">
      <alignment horizontal="center" vertical="center"/>
    </xf>
    <xf borderId="2" fillId="22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right" vertical="center"/>
    </xf>
    <xf borderId="2" fillId="5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vertical="center"/>
    </xf>
    <xf borderId="5" fillId="11" fontId="5" numFmtId="164" xfId="0" applyAlignment="1" applyBorder="1" applyFont="1" applyNumberFormat="1">
      <alignment horizontal="left" vertical="center"/>
    </xf>
    <xf borderId="5" fillId="11" fontId="5" numFmtId="164" xfId="0" applyAlignment="1" applyBorder="1" applyFont="1" applyNumberFormat="1">
      <alignment horizontal="right" vertical="center"/>
    </xf>
    <xf borderId="5" fillId="11" fontId="5" numFmtId="3" xfId="0" applyAlignment="1" applyBorder="1" applyFont="1" applyNumberFormat="1">
      <alignment horizontal="left" vertical="center"/>
    </xf>
    <xf borderId="5" fillId="11" fontId="5" numFmtId="3" xfId="0" applyAlignment="1" applyBorder="1" applyFont="1" applyNumberFormat="1">
      <alignment horizontal="center" vertical="center"/>
    </xf>
    <xf borderId="5" fillId="11" fontId="17" numFmtId="0" xfId="0" applyAlignment="1" applyBorder="1" applyFont="1">
      <alignment horizontal="left" vertical="center"/>
    </xf>
    <xf borderId="5" fillId="11" fontId="6" numFmtId="0" xfId="0" applyAlignment="1" applyBorder="1" applyFont="1">
      <alignment horizontal="right" vertical="center"/>
    </xf>
    <xf borderId="5" fillId="11" fontId="5" numFmtId="1" xfId="0" applyAlignment="1" applyBorder="1" applyFont="1" applyNumberFormat="1">
      <alignment vertical="center"/>
    </xf>
    <xf borderId="5" fillId="11" fontId="6" numFmtId="164" xfId="0" applyAlignment="1" applyBorder="1" applyFont="1" applyNumberFormat="1">
      <alignment vertical="center"/>
    </xf>
    <xf borderId="5" fillId="11" fontId="36" numFmtId="0" xfId="0" applyAlignment="1" applyBorder="1" applyFont="1">
      <alignment vertical="center"/>
    </xf>
    <xf borderId="5" fillId="11" fontId="17" numFmtId="0" xfId="0" applyAlignment="1" applyBorder="1" applyFont="1">
      <alignment vertical="center"/>
    </xf>
    <xf borderId="5" fillId="11" fontId="7" numFmtId="164" xfId="0" applyAlignment="1" applyBorder="1" applyFont="1" applyNumberFormat="1">
      <alignment horizontal="center" vertical="center"/>
    </xf>
    <xf borderId="5" fillId="11" fontId="6" numFmtId="164" xfId="0" applyAlignment="1" applyBorder="1" applyFont="1" applyNumberFormat="1">
      <alignment horizontal="right" vertical="center"/>
    </xf>
    <xf borderId="5" fillId="11" fontId="6" numFmtId="164" xfId="0" applyAlignment="1" applyBorder="1" applyFont="1" applyNumberFormat="1">
      <alignment horizontal="left" vertical="center"/>
    </xf>
    <xf borderId="5" fillId="11" fontId="5" numFmtId="164" xfId="0" applyAlignment="1" applyBorder="1" applyFont="1" applyNumberFormat="1">
      <alignment vertical="center"/>
    </xf>
    <xf borderId="5" fillId="11" fontId="6" numFmtId="3" xfId="0" applyAlignment="1" applyBorder="1" applyFont="1" applyNumberFormat="1">
      <alignment vertical="center"/>
    </xf>
    <xf borderId="5" fillId="11" fontId="5" numFmtId="2" xfId="0" applyAlignment="1" applyBorder="1" applyFont="1" applyNumberFormat="1">
      <alignment horizontal="right" vertical="center"/>
    </xf>
    <xf borderId="5" fillId="11" fontId="6" numFmtId="164" xfId="0" applyAlignment="1" applyBorder="1" applyFont="1" applyNumberFormat="1">
      <alignment horizontal="center" vertical="center"/>
    </xf>
    <xf borderId="5" fillId="11" fontId="5" numFmtId="3" xfId="0" applyAlignment="1" applyBorder="1" applyFont="1" applyNumberFormat="1">
      <alignment horizontal="right" vertical="center"/>
    </xf>
    <xf borderId="5" fillId="11" fontId="17" numFmtId="164" xfId="0" applyAlignment="1" applyBorder="1" applyFont="1" applyNumberFormat="1">
      <alignment horizontal="left" vertical="center"/>
    </xf>
    <xf borderId="5" fillId="11" fontId="17" numFmtId="3" xfId="0" applyAlignment="1" applyBorder="1" applyFont="1" applyNumberFormat="1">
      <alignment horizontal="center" vertical="center"/>
    </xf>
    <xf borderId="5" fillId="11" fontId="17" numFmtId="3" xfId="0" applyAlignment="1" applyBorder="1" applyFont="1" applyNumberFormat="1">
      <alignment horizontal="right" vertical="center"/>
    </xf>
    <xf borderId="5" fillId="11" fontId="36" numFmtId="3" xfId="0" applyAlignment="1" applyBorder="1" applyFont="1" applyNumberFormat="1">
      <alignment horizontal="right" vertical="center"/>
    </xf>
    <xf borderId="5" fillId="11" fontId="36" numFmtId="3" xfId="0" applyAlignment="1" applyBorder="1" applyFont="1" applyNumberFormat="1">
      <alignment vertical="center"/>
    </xf>
    <xf borderId="5" fillId="11" fontId="5" numFmtId="2" xfId="0" applyAlignment="1" applyBorder="1" applyFont="1" applyNumberFormat="1">
      <alignment shrinkToFit="0" vertical="center" wrapText="1"/>
    </xf>
    <xf borderId="5" fillId="11" fontId="7" numFmtId="0" xfId="0" applyAlignment="1" applyBorder="1" applyFont="1">
      <alignment horizontal="right" vertical="center"/>
    </xf>
    <xf borderId="5" fillId="11" fontId="5" numFmtId="1" xfId="0" applyAlignment="1" applyBorder="1" applyFont="1" applyNumberFormat="1">
      <alignment horizontal="right" vertical="center"/>
    </xf>
    <xf borderId="5" fillId="11" fontId="36" numFmtId="164" xfId="0" applyAlignment="1" applyBorder="1" applyFont="1" applyNumberFormat="1">
      <alignment horizontal="left" vertical="center"/>
    </xf>
    <xf borderId="5" fillId="11" fontId="6" numFmtId="3" xfId="0" applyAlignment="1" applyBorder="1" applyFont="1" applyNumberFormat="1">
      <alignment horizontal="right" vertical="center"/>
    </xf>
    <xf borderId="3" fillId="11" fontId="6" numFmtId="0" xfId="0" applyAlignment="1" applyBorder="1" applyFont="1">
      <alignment shrinkToFit="0" vertical="center" wrapText="1"/>
    </xf>
    <xf quotePrefix="1" borderId="5" fillId="11" fontId="5" numFmtId="0" xfId="0" applyAlignment="1" applyBorder="1" applyFont="1">
      <alignment horizontal="center" vertical="center"/>
    </xf>
    <xf borderId="4" fillId="11" fontId="5" numFmtId="0" xfId="0" applyAlignment="1" applyBorder="1" applyFont="1">
      <alignment horizontal="center" vertical="center"/>
    </xf>
    <xf borderId="5" fillId="11" fontId="17" numFmtId="164" xfId="0" applyAlignment="1" applyBorder="1" applyFont="1" applyNumberFormat="1">
      <alignment horizontal="center" vertical="center"/>
    </xf>
    <xf borderId="1" fillId="11" fontId="10" numFmtId="0" xfId="0" applyAlignment="1" applyBorder="1" applyFont="1">
      <alignment shrinkToFit="0" vertical="center" wrapText="1"/>
    </xf>
    <xf borderId="5" fillId="11" fontId="10" numFmtId="171" xfId="0" applyAlignment="1" applyBorder="1" applyFont="1" applyNumberFormat="1">
      <alignment vertical="center"/>
    </xf>
    <xf borderId="5" fillId="11" fontId="10" numFmtId="164" xfId="0" applyAlignment="1" applyBorder="1" applyFont="1" applyNumberFormat="1">
      <alignment vertical="center"/>
    </xf>
    <xf borderId="5" fillId="11" fontId="40" numFmtId="164" xfId="0" applyAlignment="1" applyBorder="1" applyFont="1" applyNumberFormat="1">
      <alignment horizontal="left" vertical="center"/>
    </xf>
    <xf borderId="5" fillId="11" fontId="40" numFmtId="0" xfId="0" applyAlignment="1" applyBorder="1" applyFont="1">
      <alignment horizontal="left" vertical="center"/>
    </xf>
    <xf borderId="5" fillId="11" fontId="40" numFmtId="3" xfId="0" applyAlignment="1" applyBorder="1" applyFont="1" applyNumberFormat="1">
      <alignment horizontal="center" vertical="center"/>
    </xf>
    <xf borderId="5" fillId="11" fontId="40" numFmtId="164" xfId="0" applyAlignment="1" applyBorder="1" applyFont="1" applyNumberFormat="1">
      <alignment horizontal="center" vertical="center"/>
    </xf>
    <xf borderId="5" fillId="11" fontId="40" numFmtId="0" xfId="0" applyAlignment="1" applyBorder="1" applyFont="1">
      <alignment vertical="center"/>
    </xf>
    <xf borderId="1" fillId="11" fontId="9" numFmtId="164" xfId="0" applyAlignment="1" applyBorder="1" applyFont="1" applyNumberFormat="1">
      <alignment vertical="center"/>
    </xf>
    <xf borderId="5" fillId="11" fontId="38" numFmtId="0" xfId="0" applyAlignment="1" applyBorder="1" applyFont="1">
      <alignment vertical="center"/>
    </xf>
    <xf borderId="5" fillId="11" fontId="5" numFmtId="3" xfId="0" applyAlignment="1" applyBorder="1" applyFont="1" applyNumberFormat="1">
      <alignment horizontal="left" shrinkToFit="0" vertical="center" wrapText="1"/>
    </xf>
    <xf borderId="5" fillId="11" fontId="17" numFmtId="0" xfId="0" applyAlignment="1" applyBorder="1" applyFont="1">
      <alignment horizontal="center" vertical="center"/>
    </xf>
    <xf borderId="11" fillId="11" fontId="21" numFmtId="0" xfId="0" applyAlignment="1" applyBorder="1" applyFont="1">
      <alignment vertical="center"/>
    </xf>
    <xf borderId="5" fillId="11" fontId="7" numFmtId="164" xfId="0" applyAlignment="1" applyBorder="1" applyFont="1" applyNumberFormat="1">
      <alignment vertical="center"/>
    </xf>
    <xf borderId="5" fillId="11" fontId="6" numFmtId="166" xfId="0" applyAlignment="1" applyBorder="1" applyFont="1" applyNumberFormat="1">
      <alignment vertical="center"/>
    </xf>
    <xf borderId="5" fillId="11" fontId="7" numFmtId="0" xfId="0" applyAlignment="1" applyBorder="1" applyFont="1">
      <alignment shrinkToFit="0" vertical="center" wrapText="1"/>
    </xf>
    <xf borderId="1" fillId="11" fontId="6" numFmtId="3" xfId="0" applyBorder="1" applyFont="1" applyNumberFormat="1"/>
    <xf borderId="4" fillId="11" fontId="5" numFmtId="0" xfId="0" applyAlignment="1" applyBorder="1" applyFont="1">
      <alignment horizontal="right" vertical="center"/>
    </xf>
    <xf borderId="4" fillId="11" fontId="6" numFmtId="3" xfId="0" applyBorder="1" applyFont="1" applyNumberFormat="1"/>
    <xf borderId="5" fillId="11" fontId="17" numFmtId="164" xfId="0" applyAlignment="1" applyBorder="1" applyFont="1" applyNumberFormat="1">
      <alignment vertical="center"/>
    </xf>
    <xf borderId="5" fillId="11" fontId="6" numFmtId="3" xfId="0" applyAlignment="1" applyBorder="1" applyFont="1" applyNumberFormat="1">
      <alignment shrinkToFit="0" vertical="center" wrapText="1"/>
    </xf>
    <xf borderId="5" fillId="11" fontId="20" numFmtId="0" xfId="0" applyAlignment="1" applyBorder="1" applyFont="1">
      <alignment horizontal="left" vertical="center"/>
    </xf>
    <xf borderId="5" fillId="11" fontId="43" numFmtId="164" xfId="0" applyAlignment="1" applyBorder="1" applyFont="1" applyNumberFormat="1">
      <alignment vertical="center"/>
    </xf>
    <xf borderId="5" fillId="11" fontId="7" numFmtId="4" xfId="0" applyAlignment="1" applyBorder="1" applyFont="1" applyNumberFormat="1">
      <alignment horizontal="right" vertical="center"/>
    </xf>
    <xf borderId="5" fillId="11" fontId="11" numFmtId="3" xfId="0" applyAlignment="1" applyBorder="1" applyFont="1" applyNumberFormat="1">
      <alignment shrinkToFit="0" vertical="center" wrapText="1"/>
    </xf>
    <xf borderId="5" fillId="11" fontId="5" numFmtId="3" xfId="0" applyAlignment="1" applyBorder="1" applyFont="1" applyNumberFormat="1">
      <alignment horizontal="right" shrinkToFit="0" vertical="center" wrapText="1"/>
    </xf>
    <xf borderId="2" fillId="11" fontId="10" numFmtId="0" xfId="0" applyAlignment="1" applyBorder="1" applyFont="1">
      <alignment horizontal="center" shrinkToFit="0" vertical="center" wrapText="1"/>
    </xf>
    <xf borderId="5" fillId="11" fontId="46" numFmtId="164" xfId="0" applyAlignment="1" applyBorder="1" applyFont="1" applyNumberFormat="1">
      <alignment vertical="center"/>
    </xf>
    <xf borderId="5" fillId="11" fontId="10" numFmtId="164" xfId="0" applyAlignment="1" applyBorder="1" applyFont="1" applyNumberFormat="1">
      <alignment horizontal="left" vertical="center"/>
    </xf>
    <xf borderId="5" fillId="11" fontId="10" numFmtId="3" xfId="0" applyAlignment="1" applyBorder="1" applyFont="1" applyNumberFormat="1">
      <alignment horizontal="center" vertical="center"/>
    </xf>
    <xf borderId="5" fillId="11" fontId="40" numFmtId="3" xfId="0" applyAlignment="1" applyBorder="1" applyFont="1" applyNumberFormat="1">
      <alignment horizontal="right" vertical="center"/>
    </xf>
    <xf borderId="5" fillId="11" fontId="43" numFmtId="3" xfId="0" applyAlignment="1" applyBorder="1" applyFont="1" applyNumberFormat="1">
      <alignment horizontal="right" shrinkToFit="0" vertical="center" wrapText="1"/>
    </xf>
    <xf quotePrefix="1" borderId="5" fillId="11" fontId="5" numFmtId="0" xfId="0" applyAlignment="1" applyBorder="1" applyFont="1">
      <alignment horizontal="left" vertical="center"/>
    </xf>
    <xf borderId="1" fillId="20" fontId="5" numFmtId="4" xfId="0" applyAlignment="1" applyBorder="1" applyFont="1" applyNumberFormat="1">
      <alignment horizontal="right" vertical="center"/>
    </xf>
    <xf borderId="1" fillId="11" fontId="52" numFmtId="0" xfId="0" applyAlignment="1" applyBorder="1" applyFont="1">
      <alignment vertical="center"/>
    </xf>
    <xf borderId="1" fillId="11" fontId="52" numFmtId="0" xfId="0" applyBorder="1" applyFont="1"/>
    <xf borderId="1" fillId="11" fontId="5" numFmtId="0" xfId="0" applyAlignment="1" applyBorder="1" applyFont="1">
      <alignment horizontal="right" shrinkToFit="0" vertical="center" wrapText="1"/>
    </xf>
    <xf borderId="1" fillId="11" fontId="5" numFmtId="3" xfId="0" applyAlignment="1" applyBorder="1" applyFont="1" applyNumberFormat="1">
      <alignment horizontal="right" shrinkToFit="0" vertical="center" wrapText="1"/>
    </xf>
    <xf borderId="1" fillId="11" fontId="20" numFmtId="4" xfId="0" applyAlignment="1" applyBorder="1" applyFont="1" applyNumberFormat="1">
      <alignment horizontal="right" vertical="center"/>
    </xf>
    <xf borderId="1" fillId="10" fontId="20" numFmtId="4" xfId="0" applyAlignment="1" applyBorder="1" applyFont="1" applyNumberFormat="1">
      <alignment horizontal="right" vertical="center"/>
    </xf>
    <xf borderId="1" fillId="8" fontId="5" numFmtId="3" xfId="0" applyAlignment="1" applyBorder="1" applyFont="1" applyNumberFormat="1">
      <alignment horizontal="right" shrinkToFit="0" vertical="center" wrapText="1"/>
    </xf>
    <xf borderId="1" fillId="8" fontId="17" numFmtId="3" xfId="0" applyAlignment="1" applyBorder="1" applyFont="1" applyNumberFormat="1">
      <alignment horizontal="right" vertical="center"/>
    </xf>
    <xf borderId="5" fillId="11" fontId="43" numFmtId="0" xfId="0" applyAlignment="1" applyBorder="1" applyFont="1">
      <alignment horizontal="right" shrinkToFit="0" vertical="center" wrapText="1"/>
    </xf>
    <xf borderId="1" fillId="11" fontId="5" numFmtId="0" xfId="0" applyAlignment="1" applyBorder="1" applyFont="1">
      <alignment vertical="top"/>
    </xf>
    <xf borderId="1" fillId="8" fontId="11" numFmtId="4" xfId="0" applyAlignment="1" applyBorder="1" applyFont="1" applyNumberFormat="1">
      <alignment horizontal="right" vertical="center"/>
    </xf>
    <xf borderId="1" fillId="11" fontId="10" numFmtId="164" xfId="0" applyAlignment="1" applyBorder="1" applyFont="1" applyNumberFormat="1">
      <alignment horizontal="left" vertical="center"/>
    </xf>
    <xf borderId="1" fillId="11" fontId="10" numFmtId="3" xfId="0" applyAlignment="1" applyBorder="1" applyFont="1" applyNumberFormat="1">
      <alignment horizontal="center" vertical="center"/>
    </xf>
    <xf borderId="1" fillId="11" fontId="38" numFmtId="0" xfId="0" applyAlignment="1" applyBorder="1" applyFont="1">
      <alignment vertical="center"/>
    </xf>
    <xf borderId="1" fillId="8" fontId="7" numFmtId="0" xfId="0" applyAlignment="1" applyBorder="1" applyFont="1">
      <alignment shrinkToFit="0" vertical="center" wrapText="1"/>
    </xf>
    <xf borderId="5" fillId="8" fontId="6" numFmtId="164" xfId="0" applyAlignment="1" applyBorder="1" applyFont="1" applyNumberFormat="1">
      <alignment horizontal="center" vertical="center"/>
    </xf>
    <xf borderId="5" fillId="8" fontId="36" numFmtId="0" xfId="0" applyAlignment="1" applyBorder="1" applyFont="1">
      <alignment horizontal="center" vertical="center"/>
    </xf>
    <xf borderId="0" fillId="0" fontId="45" numFmtId="173" xfId="0" applyAlignment="1" applyFont="1" applyNumberFormat="1">
      <alignment vertical="center"/>
    </xf>
    <xf borderId="0" fillId="0" fontId="6" numFmtId="164" xfId="0" applyAlignment="1" applyFont="1" applyNumberFormat="1">
      <alignment vertical="center"/>
    </xf>
    <xf borderId="13" fillId="0" fontId="6" numFmtId="0" xfId="0" applyAlignment="1" applyBorder="1" applyFont="1">
      <alignment horizontal="left" vertical="center"/>
    </xf>
    <xf borderId="13" fillId="0" fontId="6" numFmtId="0" xfId="0" applyAlignment="1" applyBorder="1" applyFont="1">
      <alignment vertical="center"/>
    </xf>
    <xf borderId="13" fillId="0" fontId="6" numFmtId="0" xfId="0" applyAlignment="1" applyBorder="1" applyFont="1">
      <alignment shrinkToFit="0" vertical="center" wrapText="1"/>
    </xf>
    <xf borderId="20" fillId="0" fontId="21" numFmtId="0" xfId="0" applyAlignment="1" applyBorder="1" applyFont="1">
      <alignment vertical="center"/>
    </xf>
    <xf borderId="21" fillId="0" fontId="21" numFmtId="0" xfId="0" applyAlignment="1" applyBorder="1" applyFont="1">
      <alignment vertical="center"/>
    </xf>
    <xf borderId="11" fillId="17" fontId="21" numFmtId="0" xfId="0" applyAlignment="1" applyBorder="1" applyFont="1">
      <alignment vertical="center"/>
    </xf>
    <xf borderId="20" fillId="17" fontId="21" numFmtId="0" xfId="0" applyAlignment="1" applyBorder="1" applyFont="1">
      <alignment vertical="center"/>
    </xf>
    <xf borderId="11" fillId="17" fontId="21" numFmtId="11" xfId="0" applyAlignment="1" applyBorder="1" applyFont="1" applyNumberFormat="1">
      <alignment vertical="center"/>
    </xf>
    <xf borderId="11" fillId="8" fontId="21" numFmtId="0" xfId="0" applyAlignment="1" applyBorder="1" applyFont="1">
      <alignment vertical="center"/>
    </xf>
    <xf borderId="20" fillId="8" fontId="21" numFmtId="0" xfId="0" applyAlignment="1" applyBorder="1" applyFont="1">
      <alignment vertical="center"/>
    </xf>
    <xf borderId="3" fillId="8" fontId="6" numFmtId="164" xfId="0" applyAlignment="1" applyBorder="1" applyFont="1" applyNumberFormat="1">
      <alignment vertical="center"/>
    </xf>
    <xf borderId="0" fillId="0" fontId="21" numFmtId="0" xfId="0" applyAlignment="1" applyFont="1">
      <alignment vertical="center"/>
    </xf>
    <xf borderId="2" fillId="2" fontId="1" numFmtId="0" xfId="0" applyAlignment="1" applyBorder="1" applyFont="1">
      <alignment horizontal="left" vertical="center"/>
    </xf>
    <xf borderId="2" fillId="2" fontId="1" numFmtId="174" xfId="0" applyAlignment="1" applyBorder="1" applyFont="1" applyNumberFormat="1">
      <alignment horizontal="center" vertical="center"/>
    </xf>
    <xf borderId="2" fillId="5" fontId="1" numFmtId="0" xfId="0" applyAlignment="1" applyBorder="1" applyFont="1">
      <alignment horizontal="left" vertical="center"/>
    </xf>
    <xf borderId="3" fillId="11" fontId="6" numFmtId="0" xfId="0" applyAlignment="1" applyBorder="1" applyFont="1">
      <alignment horizontal="left" shrinkToFit="0" vertical="center" wrapText="1"/>
    </xf>
    <xf borderId="5" fillId="11" fontId="9" numFmtId="0" xfId="0" applyAlignment="1" applyBorder="1" applyFont="1">
      <alignment shrinkToFit="0" vertical="center" wrapText="1"/>
    </xf>
    <xf borderId="5" fillId="11" fontId="9" numFmtId="0" xfId="0" applyAlignment="1" applyBorder="1" applyFont="1">
      <alignment horizontal="right" vertical="center"/>
    </xf>
    <xf borderId="5" fillId="11" fontId="36" numFmtId="0" xfId="0" applyAlignment="1" applyBorder="1" applyFont="1">
      <alignment horizontal="left" vertical="center"/>
    </xf>
    <xf borderId="5" fillId="11" fontId="53" numFmtId="0" xfId="0" applyAlignment="1" applyBorder="1" applyFont="1">
      <alignment horizontal="center" shrinkToFit="0" vertical="center" wrapText="1"/>
    </xf>
    <xf borderId="5" fillId="11" fontId="6" numFmtId="175" xfId="0" applyAlignment="1" applyBorder="1" applyFont="1" applyNumberFormat="1">
      <alignment horizontal="right" vertical="center"/>
    </xf>
    <xf borderId="5" fillId="11" fontId="5" numFmtId="176" xfId="0" applyAlignment="1" applyBorder="1" applyFont="1" applyNumberFormat="1">
      <alignment horizontal="right" vertical="center"/>
    </xf>
    <xf borderId="5" fillId="11" fontId="6" numFmtId="1" xfId="0" applyAlignment="1" applyBorder="1" applyFont="1" applyNumberFormat="1">
      <alignment vertical="center"/>
    </xf>
    <xf borderId="5" fillId="11" fontId="36" numFmtId="164" xfId="0" applyAlignment="1" applyBorder="1" applyFont="1" applyNumberFormat="1">
      <alignment vertical="center"/>
    </xf>
    <xf borderId="5" fillId="11" fontId="36" numFmtId="3" xfId="0" applyAlignment="1" applyBorder="1" applyFont="1" applyNumberFormat="1">
      <alignment horizontal="center" vertical="center"/>
    </xf>
    <xf borderId="5" fillId="11" fontId="36" numFmtId="0" xfId="0" applyAlignment="1" applyBorder="1" applyFont="1">
      <alignment horizontal="center" vertical="center"/>
    </xf>
    <xf borderId="5" fillId="11" fontId="5" numFmtId="177" xfId="0" applyAlignment="1" applyBorder="1" applyFont="1" applyNumberFormat="1">
      <alignment horizontal="center" vertical="center"/>
    </xf>
    <xf borderId="5" fillId="11" fontId="6" numFmtId="2" xfId="0" applyAlignment="1" applyBorder="1" applyFont="1" applyNumberFormat="1">
      <alignment horizontal="right" vertical="center"/>
    </xf>
    <xf borderId="5" fillId="11" fontId="6" numFmtId="178" xfId="0" applyAlignment="1" applyBorder="1" applyFont="1" applyNumberFormat="1">
      <alignment horizontal="right" vertical="center"/>
    </xf>
    <xf borderId="5" fillId="11" fontId="6" numFmtId="179" xfId="0" applyAlignment="1" applyBorder="1" applyFont="1" applyNumberFormat="1">
      <alignment horizontal="right" vertical="center"/>
    </xf>
    <xf borderId="5" fillId="11" fontId="20" numFmtId="164" xfId="0" applyAlignment="1" applyBorder="1" applyFont="1" applyNumberFormat="1">
      <alignment horizontal="center" vertical="center"/>
    </xf>
    <xf borderId="5" fillId="11" fontId="20" numFmtId="0" xfId="0" applyAlignment="1" applyBorder="1" applyFont="1">
      <alignment horizontal="right" vertical="center"/>
    </xf>
    <xf borderId="5" fillId="11" fontId="5" numFmtId="179" xfId="0" applyAlignment="1" applyBorder="1" applyFont="1" applyNumberFormat="1">
      <alignment horizontal="right" vertical="center"/>
    </xf>
    <xf borderId="5" fillId="11" fontId="5" numFmtId="178" xfId="0" applyAlignment="1" applyBorder="1" applyFont="1" applyNumberFormat="1">
      <alignment horizontal="right" vertical="center"/>
    </xf>
    <xf borderId="5" fillId="11" fontId="5" numFmtId="180" xfId="0" applyAlignment="1" applyBorder="1" applyFont="1" applyNumberFormat="1">
      <alignment horizontal="right" vertical="center"/>
    </xf>
    <xf borderId="5" fillId="11" fontId="6" numFmtId="1" xfId="0" applyAlignment="1" applyBorder="1" applyFont="1" applyNumberFormat="1">
      <alignment horizontal="right" vertical="center"/>
    </xf>
    <xf borderId="5" fillId="11" fontId="54" numFmtId="0" xfId="0" applyAlignment="1" applyBorder="1" applyFont="1">
      <alignment horizontal="center" shrinkToFit="0" vertical="center" wrapText="1"/>
    </xf>
    <xf borderId="5" fillId="11" fontId="54" numFmtId="0" xfId="0" applyAlignment="1" applyBorder="1" applyFont="1">
      <alignment vertical="center"/>
    </xf>
    <xf borderId="5" fillId="11" fontId="6" numFmtId="171" xfId="0" applyAlignment="1" applyBorder="1" applyFont="1" applyNumberFormat="1">
      <alignment horizontal="right" vertical="center"/>
    </xf>
    <xf borderId="5" fillId="11" fontId="9" numFmtId="0" xfId="0" applyAlignment="1" applyBorder="1" applyFont="1">
      <alignment horizontal="center" vertical="center"/>
    </xf>
    <xf borderId="5" fillId="11" fontId="20" numFmtId="0" xfId="0" applyAlignment="1" applyBorder="1" applyFont="1">
      <alignment horizontal="center" shrinkToFit="0" vertical="center" wrapText="1"/>
    </xf>
    <xf borderId="9" fillId="0" fontId="6" numFmtId="164" xfId="0" applyAlignment="1" applyBorder="1" applyFont="1" applyNumberFormat="1">
      <alignment horizontal="center" vertical="center"/>
    </xf>
    <xf borderId="5" fillId="8" fontId="5" numFmtId="176" xfId="0" applyAlignment="1" applyBorder="1" applyFont="1" applyNumberFormat="1">
      <alignment horizontal="right" vertical="center"/>
    </xf>
    <xf borderId="5" fillId="21" fontId="7" numFmtId="0" xfId="0" applyAlignment="1" applyBorder="1" applyFont="1">
      <alignment horizontal="left" vertical="center"/>
    </xf>
    <xf borderId="5" fillId="11" fontId="36" numFmtId="164" xfId="0" applyAlignment="1" applyBorder="1" applyFont="1" applyNumberFormat="1">
      <alignment horizontal="right" vertical="center"/>
    </xf>
    <xf borderId="5" fillId="11" fontId="6" numFmtId="176" xfId="0" applyAlignment="1" applyBorder="1" applyFont="1" applyNumberFormat="1">
      <alignment horizontal="right" vertical="center"/>
    </xf>
    <xf borderId="5" fillId="11" fontId="5" numFmtId="181" xfId="0" applyAlignment="1" applyBorder="1" applyFont="1" applyNumberFormat="1">
      <alignment horizontal="right" vertical="center"/>
    </xf>
    <xf borderId="5" fillId="11" fontId="11" numFmtId="179" xfId="0" applyAlignment="1" applyBorder="1" applyFont="1" applyNumberFormat="1">
      <alignment horizontal="right" vertical="center"/>
    </xf>
    <xf borderId="5" fillId="11" fontId="11" numFmtId="0" xfId="0" applyAlignment="1" applyBorder="1" applyFont="1">
      <alignment horizontal="right" vertical="center"/>
    </xf>
    <xf borderId="5" fillId="11" fontId="43" numFmtId="0" xfId="0" applyAlignment="1" applyBorder="1" applyFont="1">
      <alignment vertical="center"/>
    </xf>
    <xf borderId="5" fillId="11" fontId="43" numFmtId="0" xfId="0" applyAlignment="1" applyBorder="1" applyFont="1">
      <alignment horizontal="center" vertical="center"/>
    </xf>
    <xf borderId="5" fillId="11" fontId="6" numFmtId="3" xfId="0" applyAlignment="1" applyBorder="1" applyFont="1" applyNumberFormat="1">
      <alignment horizontal="left" vertical="center"/>
    </xf>
    <xf borderId="5" fillId="11" fontId="6" numFmtId="180" xfId="0" applyAlignment="1" applyBorder="1" applyFont="1" applyNumberFormat="1">
      <alignment horizontal="center" vertical="center"/>
    </xf>
    <xf borderId="5" fillId="11" fontId="27" numFmtId="1" xfId="0" applyAlignment="1" applyBorder="1" applyFont="1" applyNumberFormat="1">
      <alignment horizontal="right" vertical="center"/>
    </xf>
    <xf borderId="5" fillId="11" fontId="10" numFmtId="2" xfId="0" applyAlignment="1" applyBorder="1" applyFont="1" applyNumberFormat="1">
      <alignment horizontal="right" vertical="center"/>
    </xf>
    <xf borderId="5" fillId="11" fontId="9" numFmtId="164" xfId="0" applyAlignment="1" applyBorder="1" applyFont="1" applyNumberFormat="1">
      <alignment horizontal="left" vertical="center"/>
    </xf>
    <xf borderId="5" fillId="11" fontId="9" numFmtId="164" xfId="0" applyAlignment="1" applyBorder="1" applyFont="1" applyNumberFormat="1">
      <alignment horizontal="right" vertical="center"/>
    </xf>
    <xf borderId="5" fillId="11" fontId="9" numFmtId="3" xfId="0" applyAlignment="1" applyBorder="1" applyFont="1" applyNumberFormat="1">
      <alignment horizontal="center" vertical="center"/>
    </xf>
    <xf borderId="5" fillId="11" fontId="11" numFmtId="0" xfId="0" applyAlignment="1" applyBorder="1" applyFont="1">
      <alignment vertical="center"/>
    </xf>
    <xf borderId="1" fillId="11" fontId="9" numFmtId="0" xfId="0" applyAlignment="1" applyBorder="1" applyFont="1">
      <alignment shrinkToFit="0" vertical="center" wrapText="1"/>
    </xf>
    <xf borderId="5" fillId="11" fontId="9" numFmtId="176" xfId="0" applyAlignment="1" applyBorder="1" applyFont="1" applyNumberFormat="1">
      <alignment horizontal="right" vertical="center"/>
    </xf>
    <xf borderId="5" fillId="11" fontId="6" numFmtId="176" xfId="0" applyAlignment="1" applyBorder="1" applyFont="1" applyNumberFormat="1">
      <alignment vertical="center"/>
    </xf>
    <xf borderId="5" fillId="11" fontId="38" numFmtId="164" xfId="0" applyAlignment="1" applyBorder="1" applyFont="1" applyNumberFormat="1">
      <alignment horizontal="left" vertical="center"/>
    </xf>
    <xf borderId="5" fillId="11" fontId="38" numFmtId="0" xfId="0" applyAlignment="1" applyBorder="1" applyFont="1">
      <alignment horizontal="center" vertical="center"/>
    </xf>
    <xf borderId="5" fillId="11" fontId="38" numFmtId="0" xfId="0" applyAlignment="1" applyBorder="1" applyFont="1">
      <alignment horizontal="right" vertical="center"/>
    </xf>
    <xf borderId="5" fillId="11" fontId="6" numFmtId="2" xfId="0" applyAlignment="1" applyBorder="1" applyFont="1" applyNumberFormat="1">
      <alignment vertical="center"/>
    </xf>
    <xf borderId="5" fillId="11" fontId="6" numFmtId="0" xfId="0" applyBorder="1" applyFont="1"/>
    <xf borderId="5" fillId="11" fontId="6" numFmtId="0" xfId="0" applyAlignment="1" applyBorder="1" applyFont="1">
      <alignment horizontal="right"/>
    </xf>
    <xf borderId="5" fillId="11" fontId="5" numFmtId="177" xfId="0" applyAlignment="1" applyBorder="1" applyFont="1" applyNumberFormat="1">
      <alignment horizontal="right" vertical="center"/>
    </xf>
    <xf borderId="7" fillId="0" fontId="6" numFmtId="0" xfId="0" applyBorder="1" applyFont="1"/>
    <xf borderId="9" fillId="0" fontId="6" numFmtId="0" xfId="0" applyAlignment="1" applyBorder="1" applyFont="1">
      <alignment horizontal="center" vertical="center"/>
    </xf>
    <xf borderId="7" fillId="0" fontId="7" numFmtId="2" xfId="0" applyAlignment="1" applyBorder="1" applyFont="1" applyNumberFormat="1">
      <alignment horizontal="right" vertical="center"/>
    </xf>
    <xf borderId="0" fillId="0" fontId="45" numFmtId="182" xfId="0" applyAlignment="1" applyFont="1" applyNumberFormat="1">
      <alignment horizontal="right" vertical="center"/>
    </xf>
    <xf borderId="13" fillId="0" fontId="7" numFmtId="181" xfId="0" applyAlignment="1" applyBorder="1" applyFont="1" applyNumberFormat="1">
      <alignment horizontal="right" vertical="center"/>
    </xf>
    <xf borderId="0" fillId="0" fontId="7" numFmtId="181" xfId="0" applyAlignment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4" fillId="11" fontId="6" numFmtId="164" xfId="0" applyAlignment="1" applyBorder="1" applyFont="1" applyNumberFormat="1">
      <alignment horizontal="left" vertical="center"/>
    </xf>
    <xf borderId="16" fillId="11" fontId="5" numFmtId="4" xfId="0" applyAlignment="1" applyBorder="1" applyFont="1" applyNumberFormat="1">
      <alignment horizontal="right" vertical="center"/>
    </xf>
    <xf borderId="16" fillId="11" fontId="5" numFmtId="164" xfId="0" applyAlignment="1" applyBorder="1" applyFont="1" applyNumberFormat="1">
      <alignment horizontal="right" vertical="center"/>
    </xf>
    <xf borderId="16" fillId="11" fontId="5" numFmtId="3" xfId="0" applyAlignment="1" applyBorder="1" applyFont="1" applyNumberFormat="1">
      <alignment horizontal="right" vertical="center"/>
    </xf>
    <xf borderId="16" fillId="11" fontId="5" numFmtId="0" xfId="0" applyAlignment="1" applyBorder="1" applyFont="1">
      <alignment vertical="center"/>
    </xf>
    <xf borderId="16" fillId="11" fontId="5" numFmtId="0" xfId="0" applyAlignment="1" applyBorder="1" applyFont="1">
      <alignment horizontal="right" vertical="center"/>
    </xf>
    <xf borderId="16" fillId="11" fontId="6" numFmtId="4" xfId="0" applyAlignment="1" applyBorder="1" applyFont="1" applyNumberFormat="1">
      <alignment horizontal="right" vertical="center"/>
    </xf>
    <xf borderId="16" fillId="11" fontId="6" numFmtId="0" xfId="0" applyAlignment="1" applyBorder="1" applyFont="1">
      <alignment vertical="center"/>
    </xf>
    <xf borderId="16" fillId="11" fontId="6" numFmtId="0" xfId="0" applyAlignment="1" applyBorder="1" applyFont="1">
      <alignment horizontal="center" vertical="center"/>
    </xf>
    <xf borderId="16" fillId="11" fontId="6" numFmtId="164" xfId="0" applyAlignment="1" applyBorder="1" applyFont="1" applyNumberFormat="1">
      <alignment horizontal="right" vertical="center"/>
    </xf>
    <xf borderId="16" fillId="11" fontId="6" numFmtId="3" xfId="0" applyAlignment="1" applyBorder="1" applyFont="1" applyNumberFormat="1">
      <alignment horizontal="right" vertical="center"/>
    </xf>
    <xf borderId="5" fillId="11" fontId="6" numFmtId="181" xfId="0" applyAlignment="1" applyBorder="1" applyFont="1" applyNumberFormat="1">
      <alignment vertical="center"/>
    </xf>
    <xf borderId="16" fillId="11" fontId="5" numFmtId="0" xfId="0" applyAlignment="1" applyBorder="1" applyFont="1">
      <alignment horizontal="left" vertical="center"/>
    </xf>
    <xf quotePrefix="1" borderId="5" fillId="11" fontId="5" numFmtId="0" xfId="0" applyAlignment="1" applyBorder="1" applyFont="1">
      <alignment shrinkToFit="0" vertical="center" wrapText="1"/>
    </xf>
    <xf borderId="16" fillId="11" fontId="5" numFmtId="164" xfId="0" applyAlignment="1" applyBorder="1" applyFont="1" applyNumberFormat="1">
      <alignment horizontal="center" vertical="center"/>
    </xf>
    <xf borderId="16" fillId="11" fontId="6" numFmtId="164" xfId="0" applyAlignment="1" applyBorder="1" applyFont="1" applyNumberFormat="1">
      <alignment horizontal="center" vertical="center"/>
    </xf>
    <xf borderId="5" fillId="11" fontId="36" numFmtId="4" xfId="0" applyAlignment="1" applyBorder="1" applyFont="1" applyNumberFormat="1">
      <alignment horizontal="right" vertical="center"/>
    </xf>
    <xf borderId="5" fillId="11" fontId="17" numFmtId="4" xfId="0" applyAlignment="1" applyBorder="1" applyFont="1" applyNumberFormat="1">
      <alignment horizontal="right" vertical="center"/>
    </xf>
    <xf borderId="4" fillId="11" fontId="5" numFmtId="164" xfId="0" applyAlignment="1" applyBorder="1" applyFont="1" applyNumberFormat="1">
      <alignment horizontal="left" vertical="center"/>
    </xf>
    <xf borderId="16" fillId="11" fontId="6" numFmtId="0" xfId="0" applyAlignment="1" applyBorder="1" applyFont="1">
      <alignment horizontal="right" vertical="center"/>
    </xf>
    <xf borderId="5" fillId="11" fontId="5" numFmtId="4" xfId="0" applyAlignment="1" applyBorder="1" applyFont="1" applyNumberFormat="1">
      <alignment horizontal="center" vertical="center"/>
    </xf>
    <xf borderId="16" fillId="11" fontId="5" numFmtId="181" xfId="0" applyAlignment="1" applyBorder="1" applyFont="1" applyNumberFormat="1">
      <alignment horizontal="right" vertical="center"/>
    </xf>
    <xf borderId="16" fillId="11" fontId="5" numFmtId="0" xfId="0" applyAlignment="1" applyBorder="1" applyFont="1">
      <alignment horizontal="center" vertical="center"/>
    </xf>
    <xf borderId="5" fillId="11" fontId="17" numFmtId="0" xfId="0" applyAlignment="1" applyBorder="1" applyFont="1">
      <alignment horizontal="right" vertical="center"/>
    </xf>
    <xf borderId="9" fillId="0" fontId="6" numFmtId="0" xfId="0" applyAlignment="1" applyBorder="1" applyFont="1">
      <alignment vertical="center"/>
    </xf>
    <xf borderId="7" fillId="0" fontId="6" numFmtId="4" xfId="0" applyAlignment="1" applyBorder="1" applyFont="1" applyNumberFormat="1">
      <alignment vertical="center"/>
    </xf>
    <xf borderId="0" fillId="0" fontId="45" numFmtId="3" xfId="0" applyAlignment="1" applyFont="1" applyNumberFormat="1">
      <alignment horizontal="right" vertical="center"/>
    </xf>
    <xf borderId="0" fillId="0" fontId="15" numFmtId="4" xfId="0" applyAlignment="1" applyFont="1" applyNumberFormat="1">
      <alignment horizontal="right" vertical="center"/>
    </xf>
    <xf borderId="22" fillId="0" fontId="6" numFmtId="0" xfId="0" applyAlignment="1" applyBorder="1" applyFont="1">
      <alignment vertical="center"/>
    </xf>
    <xf borderId="3" fillId="8" fontId="55" numFmtId="0" xfId="0" applyBorder="1" applyFont="1"/>
    <xf borderId="2" fillId="26" fontId="1" numFmtId="0" xfId="0" applyAlignment="1" applyBorder="1" applyFill="1" applyFont="1">
      <alignment horizontal="center" vertical="center"/>
    </xf>
    <xf borderId="2" fillId="5" fontId="1" numFmtId="3" xfId="0" applyAlignment="1" applyBorder="1" applyFont="1" applyNumberFormat="1">
      <alignment horizontal="center" vertical="center"/>
    </xf>
    <xf borderId="4" fillId="8" fontId="5" numFmtId="164" xfId="0" applyAlignment="1" applyBorder="1" applyFont="1" applyNumberFormat="1">
      <alignment horizontal="left" vertical="center"/>
    </xf>
    <xf borderId="5" fillId="8" fontId="6" numFmtId="0" xfId="0" applyAlignment="1" applyBorder="1" applyFont="1">
      <alignment horizontal="right" vertical="center"/>
    </xf>
    <xf borderId="23" fillId="8" fontId="6" numFmtId="181" xfId="0" applyAlignment="1" applyBorder="1" applyFont="1" applyNumberFormat="1">
      <alignment vertical="center"/>
    </xf>
    <xf borderId="22" fillId="0" fontId="5" numFmtId="164" xfId="0" applyAlignment="1" applyBorder="1" applyFont="1" applyNumberFormat="1">
      <alignment horizontal="right" vertical="center"/>
    </xf>
    <xf borderId="22" fillId="0" fontId="5" numFmtId="3" xfId="0" applyAlignment="1" applyBorder="1" applyFont="1" applyNumberFormat="1">
      <alignment horizontal="right" vertical="center"/>
    </xf>
    <xf borderId="22" fillId="0" fontId="5" numFmtId="0" xfId="0" applyAlignment="1" applyBorder="1" applyFont="1">
      <alignment horizontal="left" vertical="center"/>
    </xf>
    <xf borderId="16" fillId="8" fontId="6" numFmtId="0" xfId="0" applyAlignment="1" applyBorder="1" applyFont="1">
      <alignment vertical="center"/>
    </xf>
    <xf borderId="24" fillId="0" fontId="56" numFmtId="0" xfId="0" applyBorder="1" applyFont="1"/>
    <xf borderId="22" fillId="0" fontId="56" numFmtId="0" xfId="0" applyBorder="1" applyFont="1"/>
    <xf borderId="25" fillId="0" fontId="56" numFmtId="0" xfId="0" applyBorder="1" applyFont="1"/>
    <xf borderId="7" fillId="0" fontId="56" numFmtId="0" xfId="0" applyBorder="1" applyFont="1"/>
    <xf borderId="5" fillId="8" fontId="6" numFmtId="181" xfId="0" applyAlignment="1" applyBorder="1" applyFont="1" applyNumberFormat="1">
      <alignment vertical="center"/>
    </xf>
    <xf borderId="5" fillId="8" fontId="5" numFmtId="177" xfId="0" applyAlignment="1" applyBorder="1" applyFont="1" applyNumberFormat="1">
      <alignment horizontal="center" vertical="center"/>
    </xf>
    <xf borderId="5" fillId="8" fontId="5" numFmtId="181" xfId="0" applyAlignment="1" applyBorder="1" applyFont="1" applyNumberFormat="1">
      <alignment vertical="center"/>
    </xf>
    <xf borderId="4" fillId="8" fontId="6" numFmtId="164" xfId="0" applyAlignment="1" applyBorder="1" applyFont="1" applyNumberFormat="1">
      <alignment horizontal="left" vertical="center"/>
    </xf>
    <xf borderId="7" fillId="0" fontId="6" numFmtId="3" xfId="0" applyAlignment="1" applyBorder="1" applyFont="1" applyNumberFormat="1">
      <alignment horizontal="right" vertical="center"/>
    </xf>
    <xf borderId="7" fillId="0" fontId="6" numFmtId="164" xfId="0" applyAlignment="1" applyBorder="1" applyFont="1" applyNumberFormat="1">
      <alignment horizontal="right" vertical="center"/>
    </xf>
    <xf borderId="22" fillId="0" fontId="6" numFmtId="3" xfId="0" applyAlignment="1" applyBorder="1" applyFont="1" applyNumberFormat="1">
      <alignment horizontal="right" vertical="center"/>
    </xf>
    <xf borderId="22" fillId="0" fontId="5" numFmtId="0" xfId="0" applyAlignment="1" applyBorder="1" applyFont="1">
      <alignment vertical="center"/>
    </xf>
    <xf borderId="5" fillId="8" fontId="6" numFmtId="181" xfId="0" applyAlignment="1" applyBorder="1" applyFont="1" applyNumberFormat="1">
      <alignment horizontal="right" vertical="center"/>
    </xf>
    <xf borderId="5" fillId="8" fontId="6" numFmtId="3" xfId="0" applyAlignment="1" applyBorder="1" applyFont="1" applyNumberFormat="1">
      <alignment horizontal="right" vertical="center"/>
    </xf>
    <xf borderId="5" fillId="8" fontId="6" numFmtId="164" xfId="0" applyAlignment="1" applyBorder="1" applyFont="1" applyNumberFormat="1">
      <alignment horizontal="right" vertical="center"/>
    </xf>
    <xf borderId="23" fillId="8" fontId="6" numFmtId="181" xfId="0" applyAlignment="1" applyBorder="1" applyFont="1" applyNumberFormat="1">
      <alignment horizontal="right" vertical="center"/>
    </xf>
    <xf borderId="23" fillId="8" fontId="6" numFmtId="0" xfId="0" applyAlignment="1" applyBorder="1" applyFont="1">
      <alignment horizontal="right" vertical="center"/>
    </xf>
    <xf borderId="23" fillId="8" fontId="6" numFmtId="164" xfId="0" applyAlignment="1" applyBorder="1" applyFont="1" applyNumberFormat="1">
      <alignment horizontal="right" vertical="center"/>
    </xf>
    <xf borderId="23" fillId="8" fontId="6" numFmtId="3" xfId="0" applyAlignment="1" applyBorder="1" applyFont="1" applyNumberFormat="1">
      <alignment horizontal="right" vertical="center"/>
    </xf>
    <xf borderId="5" fillId="8" fontId="27" numFmtId="0" xfId="0" applyAlignment="1" applyBorder="1" applyFont="1">
      <alignment vertical="center"/>
    </xf>
    <xf borderId="23" fillId="8" fontId="5" numFmtId="164" xfId="0" applyAlignment="1" applyBorder="1" applyFont="1" applyNumberFormat="1">
      <alignment horizontal="right" vertical="center"/>
    </xf>
    <xf borderId="23" fillId="8" fontId="5" numFmtId="3" xfId="0" applyAlignment="1" applyBorder="1" applyFont="1" applyNumberFormat="1">
      <alignment horizontal="right" vertical="center"/>
    </xf>
    <xf borderId="5" fillId="8" fontId="5" numFmtId="164" xfId="0" applyAlignment="1" applyBorder="1" applyFont="1" applyNumberFormat="1">
      <alignment horizontal="right" vertical="center"/>
    </xf>
    <xf borderId="5" fillId="8" fontId="6" numFmtId="3" xfId="0" applyAlignment="1" applyBorder="1" applyFont="1" applyNumberFormat="1">
      <alignment vertical="center"/>
    </xf>
    <xf borderId="22" fillId="0" fontId="5" numFmtId="177" xfId="0" applyAlignment="1" applyBorder="1" applyFont="1" applyNumberFormat="1">
      <alignment horizontal="right" vertical="center"/>
    </xf>
    <xf borderId="4" fillId="17" fontId="6" numFmtId="0" xfId="0" applyAlignment="1" applyBorder="1" applyFont="1">
      <alignment horizontal="left" vertical="center"/>
    </xf>
    <xf borderId="5" fillId="17" fontId="6" numFmtId="0" xfId="0" applyAlignment="1" applyBorder="1" applyFont="1">
      <alignment vertical="center"/>
    </xf>
    <xf borderId="5" fillId="17" fontId="6" numFmtId="181" xfId="0" applyAlignment="1" applyBorder="1" applyFont="1" applyNumberFormat="1">
      <alignment vertical="center"/>
    </xf>
    <xf borderId="5" fillId="17" fontId="6" numFmtId="3" xfId="0" applyAlignment="1" applyBorder="1" applyFont="1" applyNumberFormat="1">
      <alignment vertical="center"/>
    </xf>
    <xf borderId="9" fillId="0" fontId="6" numFmtId="164" xfId="0" applyAlignment="1" applyBorder="1" applyFont="1" applyNumberFormat="1">
      <alignment horizontal="left" vertical="center"/>
    </xf>
    <xf borderId="7" fillId="0" fontId="27" numFmtId="0" xfId="0" applyAlignment="1" applyBorder="1" applyFont="1">
      <alignment vertical="center"/>
    </xf>
    <xf borderId="7" fillId="0" fontId="6" numFmtId="181" xfId="0" applyAlignment="1" applyBorder="1" applyFont="1" applyNumberFormat="1">
      <alignment vertical="center"/>
    </xf>
    <xf borderId="7" fillId="0" fontId="6" numFmtId="164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left" vertical="center"/>
    </xf>
    <xf borderId="22" fillId="0" fontId="6" numFmtId="0" xfId="0" applyAlignment="1" applyBorder="1" applyFont="1">
      <alignment horizontal="right" vertical="center"/>
    </xf>
    <xf borderId="22" fillId="0" fontId="6" numFmtId="164" xfId="0" applyAlignment="1" applyBorder="1" applyFont="1" applyNumberFormat="1">
      <alignment horizontal="right" vertical="center"/>
    </xf>
    <xf borderId="22" fillId="0" fontId="6" numFmtId="181" xfId="0" applyAlignment="1" applyBorder="1" applyFont="1" applyNumberFormat="1">
      <alignment vertical="center"/>
    </xf>
    <xf borderId="23" fillId="8" fontId="5" numFmtId="0" xfId="0" applyAlignment="1" applyBorder="1" applyFont="1">
      <alignment vertical="center"/>
    </xf>
    <xf borderId="23" fillId="8" fontId="6" numFmtId="0" xfId="0" applyAlignment="1" applyBorder="1" applyFont="1">
      <alignment vertical="center"/>
    </xf>
    <xf borderId="22" fillId="0" fontId="6" numFmtId="0" xfId="0" applyAlignment="1" applyBorder="1" applyFont="1">
      <alignment horizontal="left" vertical="center"/>
    </xf>
    <xf borderId="23" fillId="8" fontId="5" numFmtId="0" xfId="0" applyAlignment="1" applyBorder="1" applyFont="1">
      <alignment horizontal="center" vertical="center"/>
    </xf>
    <xf borderId="7" fillId="0" fontId="5" numFmtId="181" xfId="0" applyAlignment="1" applyBorder="1" applyFont="1" applyNumberFormat="1">
      <alignment vertical="center"/>
    </xf>
    <xf borderId="23" fillId="8" fontId="5" numFmtId="181" xfId="0" applyAlignment="1" applyBorder="1" applyFont="1" applyNumberFormat="1">
      <alignment vertical="center"/>
    </xf>
    <xf borderId="22" fillId="0" fontId="6" numFmtId="0" xfId="0" applyAlignment="1" applyBorder="1" applyFont="1">
      <alignment horizontal="center" vertical="center"/>
    </xf>
    <xf borderId="22" fillId="0" fontId="5" numFmtId="164" xfId="0" applyAlignment="1" applyBorder="1" applyFont="1" applyNumberFormat="1">
      <alignment horizontal="center" vertical="center"/>
    </xf>
    <xf borderId="22" fillId="0" fontId="5" numFmtId="181" xfId="0" applyAlignment="1" applyBorder="1" applyFont="1" applyNumberFormat="1">
      <alignment vertical="center"/>
    </xf>
    <xf borderId="5" fillId="8" fontId="17" numFmtId="0" xfId="0" applyAlignment="1" applyBorder="1" applyFont="1">
      <alignment horizontal="right" vertical="center"/>
    </xf>
    <xf borderId="0" fillId="0" fontId="6" numFmtId="3" xfId="0" applyAlignment="1" applyFont="1" applyNumberFormat="1">
      <alignment vertical="center"/>
    </xf>
    <xf borderId="0" fillId="0" fontId="45" numFmtId="183" xfId="0" applyAlignment="1" applyFont="1" applyNumberFormat="1">
      <alignment horizontal="right" vertical="center"/>
    </xf>
    <xf borderId="0" fillId="0" fontId="6" numFmtId="3" xfId="0" applyAlignment="1" applyFont="1" applyNumberFormat="1">
      <alignment horizontal="right" vertical="center"/>
    </xf>
    <xf borderId="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center" vertical="center"/>
    </xf>
    <xf borderId="2" fillId="26" fontId="2" numFmtId="174" xfId="0" applyAlignment="1" applyBorder="1" applyFont="1" applyNumberFormat="1">
      <alignment horizontal="center" vertical="center"/>
    </xf>
    <xf borderId="2" fillId="26" fontId="2" numFmtId="0" xfId="0" applyAlignment="1" applyBorder="1" applyFont="1">
      <alignment horizontal="center" vertical="center"/>
    </xf>
    <xf borderId="2" fillId="26" fontId="2" numFmtId="0" xfId="0" applyAlignment="1" applyBorder="1" applyFont="1">
      <alignment horizontal="left" vertical="center"/>
    </xf>
    <xf borderId="2" fillId="5" fontId="2" numFmtId="0" xfId="0" applyAlignment="1" applyBorder="1" applyFont="1">
      <alignment horizontal="center" vertical="center"/>
    </xf>
    <xf borderId="9" fillId="0" fontId="27" numFmtId="184" xfId="0" applyAlignment="1" applyBorder="1" applyFont="1" applyNumberFormat="1">
      <alignment horizontal="left" vertical="center"/>
    </xf>
    <xf borderId="7" fillId="0" fontId="27" numFmtId="0" xfId="0" applyAlignment="1" applyBorder="1" applyFont="1">
      <alignment horizontal="left" vertical="center"/>
    </xf>
    <xf borderId="7" fillId="0" fontId="27" numFmtId="0" xfId="0" applyAlignment="1" applyBorder="1" applyFont="1">
      <alignment horizontal="right" vertical="center"/>
    </xf>
    <xf borderId="7" fillId="0" fontId="27" numFmtId="185" xfId="0" applyAlignment="1" applyBorder="1" applyFont="1" applyNumberFormat="1">
      <alignment horizontal="right" vertical="center"/>
    </xf>
    <xf borderId="7" fillId="0" fontId="27" numFmtId="168" xfId="0" applyAlignment="1" applyBorder="1" applyFont="1" applyNumberFormat="1">
      <alignment horizontal="center" vertical="center"/>
    </xf>
    <xf borderId="7" fillId="0" fontId="33" numFmtId="0" xfId="0" applyAlignment="1" applyBorder="1" applyFont="1">
      <alignment horizontal="left" vertical="center"/>
    </xf>
    <xf borderId="7" fillId="0" fontId="27" numFmtId="3" xfId="0" applyAlignment="1" applyBorder="1" applyFont="1" applyNumberFormat="1">
      <alignment horizontal="right" vertical="center"/>
    </xf>
    <xf borderId="7" fillId="0" fontId="27" numFmtId="184" xfId="0" applyAlignment="1" applyBorder="1" applyFont="1" applyNumberFormat="1">
      <alignment horizontal="right" vertical="center"/>
    </xf>
    <xf borderId="7" fillId="0" fontId="6" numFmtId="183" xfId="0" applyAlignment="1" applyBorder="1" applyFont="1" applyNumberFormat="1">
      <alignment vertical="center"/>
    </xf>
    <xf borderId="7" fillId="0" fontId="6" numFmtId="174" xfId="0" applyAlignment="1" applyBorder="1" applyFont="1" applyNumberFormat="1">
      <alignment vertical="center"/>
    </xf>
    <xf borderId="7" fillId="0" fontId="6" numFmtId="186" xfId="0" applyAlignment="1" applyBorder="1" applyFont="1" applyNumberFormat="1">
      <alignment vertical="center"/>
    </xf>
    <xf borderId="7" fillId="0" fontId="57" numFmtId="0" xfId="0" applyAlignment="1" applyBorder="1" applyFont="1">
      <alignment horizontal="left" vertical="center"/>
    </xf>
    <xf borderId="7" fillId="0" fontId="27" numFmtId="186" xfId="0" applyAlignment="1" applyBorder="1" applyFont="1" applyNumberFormat="1">
      <alignment horizontal="right" vertical="center"/>
    </xf>
    <xf borderId="7" fillId="0" fontId="27" numFmtId="174" xfId="0" applyAlignment="1" applyBorder="1" applyFont="1" applyNumberFormat="1">
      <alignment horizontal="center" vertical="center"/>
    </xf>
    <xf borderId="7" fillId="0" fontId="58" numFmtId="168" xfId="0" applyAlignment="1" applyBorder="1" applyFont="1" applyNumberFormat="1">
      <alignment horizontal="center" vertical="center"/>
    </xf>
    <xf borderId="7" fillId="0" fontId="57" numFmtId="0" xfId="0" applyAlignment="1" applyBorder="1" applyFont="1">
      <alignment vertical="center"/>
    </xf>
    <xf borderId="7" fillId="0" fontId="27" numFmtId="164" xfId="0" applyAlignment="1" applyBorder="1" applyFont="1" applyNumberFormat="1">
      <alignment horizontal="right" vertical="center"/>
    </xf>
    <xf borderId="7" fillId="0" fontId="57" numFmtId="186" xfId="0" applyAlignment="1" applyBorder="1" applyFont="1" applyNumberFormat="1">
      <alignment horizontal="right" vertical="center"/>
    </xf>
    <xf borderId="5" fillId="8" fontId="27" numFmtId="3" xfId="0" applyAlignment="1" applyBorder="1" applyFont="1" applyNumberFormat="1">
      <alignment horizontal="right" vertical="center"/>
    </xf>
    <xf borderId="7" fillId="0" fontId="27" numFmtId="1" xfId="0" applyAlignment="1" applyBorder="1" applyFont="1" applyNumberFormat="1">
      <alignment horizontal="left" vertical="center"/>
    </xf>
    <xf borderId="9" fillId="0" fontId="27" numFmtId="164" xfId="0" applyAlignment="1" applyBorder="1" applyFont="1" applyNumberFormat="1">
      <alignment horizontal="left" vertical="center"/>
    </xf>
    <xf borderId="7" fillId="0" fontId="27" numFmtId="186" xfId="0" applyAlignment="1" applyBorder="1" applyFont="1" applyNumberFormat="1">
      <alignment horizontal="left" vertical="center"/>
    </xf>
    <xf borderId="5" fillId="8" fontId="58" numFmtId="168" xfId="0" applyAlignment="1" applyBorder="1" applyFont="1" applyNumberFormat="1">
      <alignment horizontal="center" vertical="center"/>
    </xf>
    <xf borderId="7" fillId="0" fontId="27" numFmtId="180" xfId="0" applyAlignment="1" applyBorder="1" applyFont="1" applyNumberFormat="1">
      <alignment horizontal="left" vertical="center"/>
    </xf>
    <xf borderId="7" fillId="0" fontId="27" numFmtId="178" xfId="0" applyAlignment="1" applyBorder="1" applyFont="1" applyNumberFormat="1">
      <alignment horizontal="right" vertical="center"/>
    </xf>
    <xf borderId="7" fillId="0" fontId="27" numFmtId="176" xfId="0" applyAlignment="1" applyBorder="1" applyFont="1" applyNumberFormat="1">
      <alignment horizontal="right" vertical="center"/>
    </xf>
    <xf borderId="5" fillId="8" fontId="12" numFmtId="0" xfId="0" applyAlignment="1" applyBorder="1" applyFont="1">
      <alignment vertical="center"/>
    </xf>
    <xf borderId="7" fillId="0" fontId="27" numFmtId="186" xfId="0" applyAlignment="1" applyBorder="1" applyFont="1" applyNumberFormat="1">
      <alignment vertical="center"/>
    </xf>
    <xf borderId="7" fillId="0" fontId="58" numFmtId="0" xfId="0" applyAlignment="1" applyBorder="1" applyFont="1">
      <alignment horizontal="left" vertical="center"/>
    </xf>
    <xf borderId="5" fillId="27" fontId="27" numFmtId="0" xfId="0" applyAlignment="1" applyBorder="1" applyFill="1" applyFont="1">
      <alignment horizontal="right" vertical="center"/>
    </xf>
    <xf borderId="5" fillId="8" fontId="27" numFmtId="168" xfId="0" applyAlignment="1" applyBorder="1" applyFont="1" applyNumberFormat="1">
      <alignment horizontal="center" vertical="center"/>
    </xf>
    <xf borderId="7" fillId="0" fontId="54" numFmtId="0" xfId="0" applyAlignment="1" applyBorder="1" applyFont="1">
      <alignment vertical="center"/>
    </xf>
    <xf borderId="7" fillId="0" fontId="54" numFmtId="0" xfId="0" applyAlignment="1" applyBorder="1" applyFont="1">
      <alignment horizontal="center" vertical="center"/>
    </xf>
    <xf borderId="7" fillId="0" fontId="27" numFmtId="164" xfId="0" applyAlignment="1" applyBorder="1" applyFont="1" applyNumberFormat="1">
      <alignment horizontal="center" vertical="center"/>
    </xf>
    <xf borderId="7" fillId="0" fontId="58" numFmtId="0" xfId="0" applyAlignment="1" applyBorder="1" applyFont="1">
      <alignment horizontal="right" vertical="center"/>
    </xf>
    <xf borderId="5" fillId="8" fontId="27" numFmtId="0" xfId="0" applyAlignment="1" applyBorder="1" applyFont="1">
      <alignment horizontal="left" vertical="center"/>
    </xf>
    <xf borderId="5" fillId="8" fontId="27" numFmtId="0" xfId="0" applyAlignment="1" applyBorder="1" applyFont="1">
      <alignment horizontal="right" vertical="center"/>
    </xf>
    <xf borderId="5" fillId="8" fontId="27" numFmtId="164" xfId="0" applyAlignment="1" applyBorder="1" applyFont="1" applyNumberFormat="1">
      <alignment horizontal="center" vertical="center"/>
    </xf>
    <xf borderId="5" fillId="8" fontId="27" numFmtId="174" xfId="0" applyAlignment="1" applyBorder="1" applyFont="1" applyNumberFormat="1">
      <alignment horizontal="center" vertical="center"/>
    </xf>
    <xf borderId="22" fillId="0" fontId="27" numFmtId="3" xfId="0" applyAlignment="1" applyBorder="1" applyFont="1" applyNumberFormat="1">
      <alignment horizontal="right" vertical="center"/>
    </xf>
    <xf borderId="7" fillId="0" fontId="58" numFmtId="0" xfId="0" applyAlignment="1" applyBorder="1" applyFont="1">
      <alignment vertical="center"/>
    </xf>
    <xf borderId="5" fillId="8" fontId="58" numFmtId="0" xfId="0" applyAlignment="1" applyBorder="1" applyFont="1">
      <alignment vertical="center"/>
    </xf>
    <xf borderId="5" fillId="8" fontId="12" numFmtId="0" xfId="0" applyAlignment="1" applyBorder="1" applyFont="1">
      <alignment horizontal="left" vertical="center"/>
    </xf>
    <xf borderId="5" fillId="8" fontId="58" numFmtId="174" xfId="0" applyAlignment="1" applyBorder="1" applyFont="1" applyNumberFormat="1">
      <alignment horizontal="center" vertical="center"/>
    </xf>
    <xf borderId="7" fillId="0" fontId="27" numFmtId="3" xfId="0" applyAlignment="1" applyBorder="1" applyFont="1" applyNumberFormat="1">
      <alignment vertical="center"/>
    </xf>
    <xf borderId="7" fillId="0" fontId="54" numFmtId="3" xfId="0" applyAlignment="1" applyBorder="1" applyFont="1" applyNumberFormat="1">
      <alignment horizontal="right" vertical="center"/>
    </xf>
    <xf borderId="7" fillId="0" fontId="27" numFmtId="0" xfId="0" applyAlignment="1" applyBorder="1" applyFont="1">
      <alignment horizontal="center" vertical="center"/>
    </xf>
    <xf borderId="7" fillId="0" fontId="12" numFmtId="0" xfId="0" applyAlignment="1" applyBorder="1" applyFont="1">
      <alignment vertical="center"/>
    </xf>
    <xf borderId="22" fillId="0" fontId="12" numFmtId="0" xfId="0" applyAlignment="1" applyBorder="1" applyFont="1">
      <alignment vertical="center"/>
    </xf>
    <xf borderId="22" fillId="0" fontId="27" numFmtId="164" xfId="0" applyAlignment="1" applyBorder="1" applyFont="1" applyNumberFormat="1">
      <alignment horizontal="right" vertical="center"/>
    </xf>
    <xf borderId="5" fillId="27" fontId="27" numFmtId="0" xfId="0" applyAlignment="1" applyBorder="1" applyFont="1">
      <alignment vertical="center"/>
    </xf>
    <xf borderId="22" fillId="0" fontId="27" numFmtId="0" xfId="0" applyAlignment="1" applyBorder="1" applyFont="1">
      <alignment horizontal="left" vertical="center"/>
    </xf>
    <xf borderId="5" fillId="8" fontId="27" numFmtId="0" xfId="0" applyAlignment="1" applyBorder="1" applyFont="1">
      <alignment horizontal="center" vertical="center"/>
    </xf>
    <xf borderId="22" fillId="0" fontId="27" numFmtId="0" xfId="0" applyAlignment="1" applyBorder="1" applyFont="1">
      <alignment horizontal="right" vertical="center"/>
    </xf>
    <xf borderId="7" fillId="0" fontId="59" numFmtId="0" xfId="0" applyAlignment="1" applyBorder="1" applyFont="1">
      <alignment vertical="center"/>
    </xf>
    <xf borderId="7" fillId="0" fontId="27" numFmtId="177" xfId="0" applyAlignment="1" applyBorder="1" applyFont="1" applyNumberFormat="1">
      <alignment horizontal="center" vertical="center"/>
    </xf>
    <xf borderId="0" fillId="0" fontId="12" numFmtId="183" xfId="0" applyAlignment="1" applyFont="1" applyNumberFormat="1">
      <alignment horizontal="right" vertical="center"/>
    </xf>
    <xf borderId="0" fillId="0" fontId="6" numFmtId="174" xfId="0" applyAlignment="1" applyFont="1" applyNumberFormat="1">
      <alignment vertical="center"/>
    </xf>
    <xf borderId="0" fillId="0" fontId="6" numFmtId="183" xfId="0" applyAlignment="1" applyFont="1" applyNumberFormat="1">
      <alignment vertical="center"/>
    </xf>
    <xf borderId="26" fillId="28" fontId="60" numFmtId="0" xfId="0" applyAlignment="1" applyBorder="1" applyFill="1" applyFont="1">
      <alignment horizontal="center" vertical="center"/>
    </xf>
    <xf borderId="27" fillId="0" fontId="56" numFmtId="0" xfId="0" applyBorder="1" applyFont="1"/>
    <xf borderId="1" fillId="17" fontId="17" numFmtId="0" xfId="0" applyAlignment="1" applyBorder="1" applyFont="1">
      <alignment horizontal="left" vertical="center"/>
    </xf>
    <xf borderId="2" fillId="17" fontId="17" numFmtId="0" xfId="0" applyAlignment="1" applyBorder="1" applyFont="1">
      <alignment horizontal="left" vertical="center"/>
    </xf>
    <xf borderId="2" fillId="17" fontId="17" numFmtId="3" xfId="0" applyAlignment="1" applyBorder="1" applyFont="1" applyNumberFormat="1">
      <alignment horizontal="left" vertical="center"/>
    </xf>
    <xf borderId="4" fillId="29" fontId="6" numFmtId="164" xfId="0" applyAlignment="1" applyBorder="1" applyFill="1" applyFont="1" applyNumberFormat="1">
      <alignment horizontal="left" vertical="center"/>
    </xf>
    <xf borderId="5" fillId="29" fontId="14" numFmtId="0" xfId="0" applyAlignment="1" applyBorder="1" applyFont="1">
      <alignment horizontal="left" vertical="center"/>
    </xf>
    <xf borderId="5" fillId="29" fontId="6" numFmtId="0" xfId="0" applyAlignment="1" applyBorder="1" applyFont="1">
      <alignment horizontal="left" vertical="center"/>
    </xf>
    <xf borderId="5" fillId="29" fontId="6" numFmtId="3" xfId="0" applyAlignment="1" applyBorder="1" applyFont="1" applyNumberFormat="1">
      <alignment horizontal="right" vertical="center"/>
    </xf>
    <xf borderId="5" fillId="29" fontId="5" numFmtId="0" xfId="0" applyAlignment="1" applyBorder="1" applyFont="1">
      <alignment horizontal="left" vertical="center"/>
    </xf>
    <xf borderId="0" fillId="0" fontId="61" numFmtId="0" xfId="0" applyAlignment="1" applyFont="1">
      <alignment horizontal="left" vertical="center"/>
    </xf>
    <xf borderId="5" fillId="29" fontId="7" numFmtId="0" xfId="0" applyAlignment="1" applyBorder="1" applyFont="1">
      <alignment horizontal="left" vertical="center"/>
    </xf>
    <xf borderId="5" fillId="10" fontId="14" numFmtId="0" xfId="0" applyAlignment="1" applyBorder="1" applyFont="1">
      <alignment horizontal="left" vertical="center"/>
    </xf>
    <xf borderId="5" fillId="10" fontId="6" numFmtId="0" xfId="0" applyAlignment="1" applyBorder="1" applyFont="1">
      <alignment horizontal="left" vertical="center"/>
    </xf>
    <xf borderId="5" fillId="8" fontId="15" numFmtId="3" xfId="0" applyAlignment="1" applyBorder="1" applyFont="1" applyNumberFormat="1">
      <alignment horizontal="right" vertical="center"/>
    </xf>
    <xf borderId="7" fillId="0" fontId="14" numFmtId="0" xfId="0" applyAlignment="1" applyBorder="1" applyFont="1">
      <alignment horizontal="left" shrinkToFit="0" vertical="center" wrapText="1"/>
    </xf>
    <xf borderId="5" fillId="8" fontId="15" numFmtId="3" xfId="0" applyAlignment="1" applyBorder="1" applyFont="1" applyNumberFormat="1">
      <alignment vertical="center"/>
    </xf>
    <xf borderId="5" fillId="8" fontId="14" numFmtId="0" xfId="0" applyAlignment="1" applyBorder="1" applyFont="1">
      <alignment horizontal="left" vertical="center"/>
    </xf>
    <xf borderId="5" fillId="10" fontId="6" numFmtId="0" xfId="0" applyAlignment="1" applyBorder="1" applyFont="1">
      <alignment horizontal="left" shrinkToFit="0" vertical="center" wrapText="1"/>
    </xf>
    <xf borderId="1" fillId="8" fontId="25" numFmtId="0" xfId="0" applyBorder="1" applyFont="1"/>
    <xf borderId="9" fillId="0" fontId="6" numFmtId="165" xfId="0" applyAlignment="1" applyBorder="1" applyFont="1" applyNumberFormat="1">
      <alignment horizontal="left" vertical="center"/>
    </xf>
    <xf borderId="0" fillId="0" fontId="7" numFmtId="3" xfId="0" applyAlignment="1" applyFont="1" applyNumberFormat="1">
      <alignment horizontal="right" vertical="center"/>
    </xf>
    <xf borderId="9" fillId="0" fontId="5" numFmtId="164" xfId="0" applyAlignment="1" applyBorder="1" applyFont="1" applyNumberFormat="1">
      <alignment horizontal="left" vertical="center"/>
    </xf>
    <xf borderId="7" fillId="0" fontId="5" numFmtId="176" xfId="0" applyAlignment="1" applyBorder="1" applyFont="1" applyNumberFormat="1">
      <alignment horizontal="right" vertical="center"/>
    </xf>
    <xf borderId="7" fillId="0" fontId="21" numFmtId="0" xfId="0" applyAlignment="1" applyBorder="1" applyFont="1">
      <alignment vertical="center"/>
    </xf>
    <xf borderId="7" fillId="0" fontId="33" numFmtId="0" xfId="0" applyAlignment="1" applyBorder="1" applyFont="1">
      <alignment vertical="center"/>
    </xf>
    <xf borderId="7" fillId="0" fontId="7" numFmtId="0" xfId="0" applyAlignment="1" applyBorder="1" applyFont="1">
      <alignment horizontal="left" vertical="center"/>
    </xf>
    <xf borderId="7" fillId="0" fontId="43" numFmtId="0" xfId="0" applyAlignment="1" applyBorder="1" applyFont="1">
      <alignment horizontal="right" vertical="center"/>
    </xf>
    <xf borderId="7" fillId="0" fontId="43" numFmtId="176" xfId="0" applyAlignment="1" applyBorder="1" applyFont="1" applyNumberFormat="1">
      <alignment horizontal="right" vertical="center"/>
    </xf>
    <xf borderId="7" fillId="0" fontId="33" numFmtId="0" xfId="0" applyAlignment="1" applyBorder="1" applyFont="1">
      <alignment horizontal="right" vertical="center"/>
    </xf>
    <xf borderId="4" fillId="2" fontId="6" numFmtId="0" xfId="0" applyAlignment="1" applyBorder="1" applyFont="1">
      <alignment vertical="center"/>
    </xf>
    <xf borderId="5" fillId="2" fontId="6" numFmtId="0" xfId="0" applyAlignment="1" applyBorder="1" applyFont="1">
      <alignment vertical="center"/>
    </xf>
    <xf borderId="28" fillId="0" fontId="5" numFmtId="0" xfId="0" applyAlignment="1" applyBorder="1" applyFont="1">
      <alignment vertical="center"/>
    </xf>
    <xf borderId="7" fillId="0" fontId="17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&#28165;&#21934;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單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57"/>
    <col customWidth="1" min="2" max="2" width="18.43"/>
    <col customWidth="1" min="3" max="3" width="21.29"/>
    <col customWidth="1" min="4" max="4" width="18.43"/>
    <col customWidth="1" min="5" max="5" width="24.29"/>
    <col customWidth="1" min="6" max="6" width="7.14"/>
    <col customWidth="1" min="7" max="7" width="10.14"/>
    <col customWidth="1" min="8" max="8" width="11.43"/>
    <col customWidth="1" min="9" max="9" width="13.43"/>
    <col customWidth="1" min="10" max="10" width="13.29"/>
    <col customWidth="1" min="11" max="11" width="17.14"/>
    <col customWidth="1" min="12" max="12" width="15.14"/>
    <col customWidth="1" min="13" max="13" width="13.43"/>
    <col customWidth="1" min="14" max="14" width="17.43"/>
    <col customWidth="1" min="15" max="15" width="11.14"/>
    <col customWidth="1" min="16" max="16" width="14.0"/>
    <col customWidth="1" min="17" max="17" width="11.43"/>
    <col customWidth="1" min="18" max="18" width="13.43"/>
    <col customWidth="1" min="19" max="19" width="19.29"/>
    <col customWidth="1" min="20" max="20" width="15.0"/>
    <col customWidth="1" min="21" max="21" width="15.29"/>
    <col customWidth="1" min="22" max="22" width="18.43"/>
    <col customWidth="1" min="23" max="23" width="15.14"/>
    <col customWidth="1" min="24" max="24" width="17.29"/>
    <col customWidth="1" min="25" max="25" width="18.43"/>
    <col customWidth="1" min="26" max="26" width="18.57"/>
    <col customWidth="1" min="27" max="27" width="10.29"/>
    <col customWidth="1" min="28" max="28" width="17.0"/>
    <col customWidth="1" min="29" max="29" width="18.71"/>
    <col customWidth="1" min="30" max="35" width="12.29"/>
    <col customWidth="1" min="36" max="36" width="13.71"/>
    <col customWidth="1" min="37" max="41" width="12.29"/>
  </cols>
  <sheetData>
    <row r="1" ht="36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11" t="s">
        <v>17</v>
      </c>
      <c r="S1" s="9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4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3" t="s">
        <v>29</v>
      </c>
      <c r="AE1" s="13" t="s">
        <v>30</v>
      </c>
      <c r="AF1" s="16" t="s">
        <v>31</v>
      </c>
      <c r="AG1" s="17" t="s">
        <v>32</v>
      </c>
      <c r="AH1" s="16" t="s">
        <v>33</v>
      </c>
      <c r="AI1" s="16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8" t="s">
        <v>39</v>
      </c>
      <c r="AO1" s="18"/>
    </row>
    <row r="2" ht="41.25" customHeight="1">
      <c r="A2" s="19">
        <v>43523.0</v>
      </c>
      <c r="B2" s="20" t="s">
        <v>40</v>
      </c>
      <c r="C2" s="21">
        <v>2027739.0</v>
      </c>
      <c r="D2" s="22" t="s">
        <v>41</v>
      </c>
      <c r="E2" s="23" t="s">
        <v>42</v>
      </c>
      <c r="F2" s="24">
        <v>10.0</v>
      </c>
      <c r="G2" s="25">
        <v>273.0</v>
      </c>
      <c r="H2" s="26">
        <f t="shared" ref="H2:H44" si="1">G2*F2</f>
        <v>2730</v>
      </c>
      <c r="I2" s="27" t="s">
        <v>43</v>
      </c>
      <c r="J2" s="28" t="s">
        <v>44</v>
      </c>
      <c r="K2" s="29">
        <v>43836.0</v>
      </c>
      <c r="L2" s="30">
        <v>43819.0</v>
      </c>
      <c r="M2" s="31" t="s">
        <v>45</v>
      </c>
      <c r="N2" s="32" t="s">
        <v>46</v>
      </c>
      <c r="O2" s="33"/>
      <c r="P2" s="33">
        <v>2100.0</v>
      </c>
      <c r="Q2" s="34"/>
      <c r="R2" s="34"/>
      <c r="S2" s="35" t="s">
        <v>47</v>
      </c>
      <c r="T2" s="36"/>
      <c r="U2" s="37"/>
      <c r="V2" s="37"/>
      <c r="W2" s="37"/>
      <c r="X2" s="37"/>
      <c r="Y2" s="37" t="s">
        <v>48</v>
      </c>
      <c r="Z2" s="37" t="s">
        <v>49</v>
      </c>
      <c r="AA2" s="37">
        <v>30.04</v>
      </c>
      <c r="AB2" s="37"/>
      <c r="AC2" s="37"/>
      <c r="AD2" s="24"/>
      <c r="AE2" s="24"/>
      <c r="AF2" s="38"/>
      <c r="AG2" s="39">
        <v>43852.0</v>
      </c>
      <c r="AH2" s="38">
        <f>8493.32*29.93</f>
        <v>254205.0676</v>
      </c>
      <c r="AI2" s="38">
        <f>(8500-8493.32)*29.93</f>
        <v>199.9324</v>
      </c>
      <c r="AJ2" s="24" t="s">
        <v>50</v>
      </c>
      <c r="AK2" s="24" t="s">
        <v>0</v>
      </c>
      <c r="AL2" s="24" t="s">
        <v>51</v>
      </c>
      <c r="AM2" s="24" t="s">
        <v>52</v>
      </c>
      <c r="AN2" s="40"/>
      <c r="AO2" s="40"/>
    </row>
    <row r="3" ht="45.75" customHeight="1">
      <c r="A3" s="19">
        <v>43523.0</v>
      </c>
      <c r="B3" s="20" t="s">
        <v>40</v>
      </c>
      <c r="C3" s="21">
        <v>2027739.0</v>
      </c>
      <c r="D3" s="22" t="s">
        <v>41</v>
      </c>
      <c r="E3" s="23" t="s">
        <v>53</v>
      </c>
      <c r="F3" s="24">
        <v>10.0</v>
      </c>
      <c r="G3" s="25">
        <v>31.0</v>
      </c>
      <c r="H3" s="26">
        <f t="shared" si="1"/>
        <v>310</v>
      </c>
      <c r="I3" s="27" t="s">
        <v>43</v>
      </c>
      <c r="J3" s="28" t="s">
        <v>44</v>
      </c>
      <c r="K3" s="29">
        <v>43836.0</v>
      </c>
      <c r="L3" s="30">
        <v>43825.0</v>
      </c>
      <c r="M3" s="31" t="s">
        <v>54</v>
      </c>
      <c r="N3" s="32" t="s">
        <v>55</v>
      </c>
      <c r="O3" s="41"/>
      <c r="P3" s="41">
        <v>226.8</v>
      </c>
      <c r="Q3" s="41"/>
      <c r="R3" s="41"/>
      <c r="S3" s="32" t="s">
        <v>56</v>
      </c>
      <c r="T3" s="36"/>
      <c r="U3" s="37"/>
      <c r="V3" s="37"/>
      <c r="W3" s="37"/>
      <c r="X3" s="37"/>
      <c r="Y3" s="37" t="s">
        <v>48</v>
      </c>
      <c r="Z3" s="37" t="s">
        <v>49</v>
      </c>
      <c r="AA3" s="37">
        <v>30.04</v>
      </c>
      <c r="AB3" s="37"/>
      <c r="AC3" s="37"/>
      <c r="AD3" s="24"/>
      <c r="AE3" s="24"/>
      <c r="AF3" s="38"/>
      <c r="AG3" s="39">
        <v>43852.0</v>
      </c>
      <c r="AH3" s="38" t="s">
        <v>57</v>
      </c>
      <c r="AI3" s="38" t="s">
        <v>58</v>
      </c>
      <c r="AJ3" s="24" t="s">
        <v>50</v>
      </c>
      <c r="AK3" s="24" t="s">
        <v>0</v>
      </c>
      <c r="AL3" s="24" t="s">
        <v>51</v>
      </c>
      <c r="AM3" s="24" t="s">
        <v>52</v>
      </c>
      <c r="AN3" s="40"/>
      <c r="AO3" s="40"/>
    </row>
    <row r="4" ht="28.5" customHeight="1">
      <c r="A4" s="19">
        <v>43523.0</v>
      </c>
      <c r="B4" s="20" t="s">
        <v>40</v>
      </c>
      <c r="C4" s="21">
        <v>2027739.0</v>
      </c>
      <c r="D4" s="22" t="s">
        <v>41</v>
      </c>
      <c r="E4" s="23" t="s">
        <v>59</v>
      </c>
      <c r="F4" s="24">
        <v>10.0</v>
      </c>
      <c r="G4" s="25">
        <v>4.0</v>
      </c>
      <c r="H4" s="26">
        <f t="shared" si="1"/>
        <v>40</v>
      </c>
      <c r="I4" s="27" t="s">
        <v>43</v>
      </c>
      <c r="J4" s="28" t="s">
        <v>44</v>
      </c>
      <c r="K4" s="29">
        <v>43836.0</v>
      </c>
      <c r="L4" s="30">
        <v>43825.0</v>
      </c>
      <c r="M4" s="31" t="s">
        <v>54</v>
      </c>
      <c r="N4" s="32" t="s">
        <v>55</v>
      </c>
      <c r="O4" s="41"/>
      <c r="P4" s="41">
        <v>21.0</v>
      </c>
      <c r="Q4" s="41"/>
      <c r="R4" s="41"/>
      <c r="S4" s="32" t="s">
        <v>56</v>
      </c>
      <c r="T4" s="36"/>
      <c r="U4" s="37"/>
      <c r="V4" s="37"/>
      <c r="W4" s="37"/>
      <c r="X4" s="37"/>
      <c r="Y4" s="37" t="s">
        <v>48</v>
      </c>
      <c r="Z4" s="37" t="s">
        <v>49</v>
      </c>
      <c r="AA4" s="37">
        <v>30.04</v>
      </c>
      <c r="AB4" s="37"/>
      <c r="AC4" s="37"/>
      <c r="AD4" s="24"/>
      <c r="AE4" s="24"/>
      <c r="AF4" s="38"/>
      <c r="AG4" s="39">
        <v>43852.0</v>
      </c>
      <c r="AH4" s="38" t="s">
        <v>57</v>
      </c>
      <c r="AI4" s="38" t="s">
        <v>58</v>
      </c>
      <c r="AJ4" s="24" t="s">
        <v>50</v>
      </c>
      <c r="AK4" s="24" t="s">
        <v>0</v>
      </c>
      <c r="AL4" s="24" t="s">
        <v>51</v>
      </c>
      <c r="AM4" s="24" t="s">
        <v>52</v>
      </c>
      <c r="AN4" s="40"/>
      <c r="AO4" s="40"/>
    </row>
    <row r="5" ht="45.0" customHeight="1">
      <c r="A5" s="19">
        <v>43523.0</v>
      </c>
      <c r="B5" s="20" t="s">
        <v>40</v>
      </c>
      <c r="C5" s="21">
        <v>2027739.0</v>
      </c>
      <c r="D5" s="22" t="s">
        <v>60</v>
      </c>
      <c r="E5" s="23" t="s">
        <v>61</v>
      </c>
      <c r="F5" s="24">
        <v>10.0</v>
      </c>
      <c r="G5" s="25">
        <v>542.0</v>
      </c>
      <c r="H5" s="26">
        <f t="shared" si="1"/>
        <v>5420</v>
      </c>
      <c r="I5" s="27" t="s">
        <v>43</v>
      </c>
      <c r="J5" s="28" t="s">
        <v>44</v>
      </c>
      <c r="K5" s="29">
        <v>43836.0</v>
      </c>
      <c r="L5" s="30">
        <v>43825.0</v>
      </c>
      <c r="M5" s="31" t="s">
        <v>54</v>
      </c>
      <c r="N5" s="32" t="s">
        <v>55</v>
      </c>
      <c r="O5" s="41"/>
      <c r="P5" s="41">
        <v>5040.0</v>
      </c>
      <c r="Q5" s="41"/>
      <c r="R5" s="41"/>
      <c r="S5" s="42" t="s">
        <v>56</v>
      </c>
      <c r="T5" s="36"/>
      <c r="U5" s="37"/>
      <c r="V5" s="37"/>
      <c r="W5" s="37"/>
      <c r="X5" s="37"/>
      <c r="Y5" s="37" t="s">
        <v>48</v>
      </c>
      <c r="Z5" s="37" t="s">
        <v>49</v>
      </c>
      <c r="AA5" s="37">
        <v>30.04</v>
      </c>
      <c r="AB5" s="37"/>
      <c r="AC5" s="37"/>
      <c r="AD5" s="24"/>
      <c r="AE5" s="24"/>
      <c r="AF5" s="38"/>
      <c r="AG5" s="39">
        <v>43852.0</v>
      </c>
      <c r="AH5" s="38" t="s">
        <v>57</v>
      </c>
      <c r="AI5" s="38" t="s">
        <v>58</v>
      </c>
      <c r="AJ5" s="24" t="s">
        <v>50</v>
      </c>
      <c r="AK5" s="24" t="s">
        <v>0</v>
      </c>
      <c r="AL5" s="24" t="s">
        <v>51</v>
      </c>
      <c r="AM5" s="24" t="s">
        <v>52</v>
      </c>
      <c r="AN5" s="40"/>
      <c r="AO5" s="40"/>
    </row>
    <row r="6" ht="50.25" customHeight="1">
      <c r="A6" s="19">
        <v>43523.0</v>
      </c>
      <c r="B6" s="20" t="s">
        <v>40</v>
      </c>
      <c r="C6" s="21">
        <v>2027739.0</v>
      </c>
      <c r="D6" s="22" t="s">
        <v>62</v>
      </c>
      <c r="E6" s="23" t="s">
        <v>42</v>
      </c>
      <c r="F6" s="24">
        <v>5.0</v>
      </c>
      <c r="G6" s="25">
        <v>273.0</v>
      </c>
      <c r="H6" s="26">
        <f t="shared" si="1"/>
        <v>1365</v>
      </c>
      <c r="I6" s="27" t="s">
        <v>43</v>
      </c>
      <c r="J6" s="28" t="s">
        <v>44</v>
      </c>
      <c r="K6" s="43">
        <v>43860.0</v>
      </c>
      <c r="L6" s="44">
        <v>43833.0</v>
      </c>
      <c r="M6" s="31" t="s">
        <v>45</v>
      </c>
      <c r="N6" s="32" t="s">
        <v>63</v>
      </c>
      <c r="O6" s="33"/>
      <c r="P6" s="33">
        <v>1050.0</v>
      </c>
      <c r="Q6" s="34"/>
      <c r="R6" s="34">
        <v>32215.0</v>
      </c>
      <c r="S6" s="35" t="s">
        <v>47</v>
      </c>
      <c r="T6" s="45">
        <v>43786.0</v>
      </c>
      <c r="U6" s="46">
        <v>43756.0</v>
      </c>
      <c r="V6" s="37" t="s">
        <v>64</v>
      </c>
      <c r="W6" s="37" t="s">
        <v>65</v>
      </c>
      <c r="X6" s="37"/>
      <c r="Y6" s="37"/>
      <c r="Z6" s="37"/>
      <c r="AA6" s="37"/>
      <c r="AB6" s="37"/>
      <c r="AC6" s="37"/>
      <c r="AD6" s="24"/>
      <c r="AE6" s="24"/>
      <c r="AF6" s="38"/>
      <c r="AG6" s="39">
        <v>43875.0</v>
      </c>
      <c r="AH6" s="38">
        <f>4243.32*29.941</f>
        <v>127049.2441</v>
      </c>
      <c r="AI6" s="38">
        <f>6.68*29.941</f>
        <v>200.00588</v>
      </c>
      <c r="AJ6" s="24" t="s">
        <v>50</v>
      </c>
      <c r="AK6" s="24" t="s">
        <v>0</v>
      </c>
      <c r="AL6" s="24" t="s">
        <v>51</v>
      </c>
      <c r="AM6" s="24" t="s">
        <v>52</v>
      </c>
      <c r="AN6" s="40"/>
      <c r="AO6" s="40"/>
    </row>
    <row r="7" ht="39.0" customHeight="1">
      <c r="A7" s="19">
        <v>43523.0</v>
      </c>
      <c r="B7" s="20" t="s">
        <v>40</v>
      </c>
      <c r="C7" s="21">
        <v>2027739.0</v>
      </c>
      <c r="D7" s="22" t="s">
        <v>62</v>
      </c>
      <c r="E7" s="23" t="s">
        <v>53</v>
      </c>
      <c r="F7" s="24">
        <v>5.0</v>
      </c>
      <c r="G7" s="25">
        <v>31.0</v>
      </c>
      <c r="H7" s="47">
        <f t="shared" si="1"/>
        <v>155</v>
      </c>
      <c r="I7" s="27" t="s">
        <v>43</v>
      </c>
      <c r="J7" s="28" t="s">
        <v>44</v>
      </c>
      <c r="K7" s="43">
        <v>43860.0</v>
      </c>
      <c r="L7" s="44">
        <v>43843.0</v>
      </c>
      <c r="M7" s="31" t="s">
        <v>54</v>
      </c>
      <c r="N7" s="32" t="s">
        <v>66</v>
      </c>
      <c r="O7" s="41"/>
      <c r="P7" s="41">
        <v>113.4</v>
      </c>
      <c r="Q7" s="41"/>
      <c r="R7" s="41"/>
      <c r="S7" s="32" t="s">
        <v>56</v>
      </c>
      <c r="T7" s="36"/>
      <c r="U7" s="37"/>
      <c r="V7" s="37"/>
      <c r="W7" s="37"/>
      <c r="X7" s="37"/>
      <c r="Y7" s="37"/>
      <c r="Z7" s="37"/>
      <c r="AA7" s="37"/>
      <c r="AB7" s="37"/>
      <c r="AC7" s="37"/>
      <c r="AD7" s="24"/>
      <c r="AE7" s="24"/>
      <c r="AF7" s="38"/>
      <c r="AG7" s="39">
        <v>43875.0</v>
      </c>
      <c r="AH7" s="38" t="s">
        <v>67</v>
      </c>
      <c r="AI7" s="38" t="s">
        <v>68</v>
      </c>
      <c r="AJ7" s="24" t="s">
        <v>50</v>
      </c>
      <c r="AK7" s="24" t="s">
        <v>0</v>
      </c>
      <c r="AL7" s="24" t="s">
        <v>51</v>
      </c>
      <c r="AM7" s="24" t="s">
        <v>52</v>
      </c>
      <c r="AN7" s="40"/>
      <c r="AO7" s="40"/>
    </row>
    <row r="8" ht="48.75" customHeight="1">
      <c r="A8" s="19">
        <v>43523.0</v>
      </c>
      <c r="B8" s="20" t="s">
        <v>40</v>
      </c>
      <c r="C8" s="21">
        <v>2027739.0</v>
      </c>
      <c r="D8" s="22" t="s">
        <v>62</v>
      </c>
      <c r="E8" s="23" t="s">
        <v>59</v>
      </c>
      <c r="F8" s="24">
        <v>5.0</v>
      </c>
      <c r="G8" s="25">
        <v>4.0</v>
      </c>
      <c r="H8" s="26">
        <f t="shared" si="1"/>
        <v>20</v>
      </c>
      <c r="I8" s="27" t="s">
        <v>43</v>
      </c>
      <c r="J8" s="28" t="s">
        <v>44</v>
      </c>
      <c r="K8" s="43">
        <v>43860.0</v>
      </c>
      <c r="L8" s="44">
        <v>43843.0</v>
      </c>
      <c r="M8" s="31" t="s">
        <v>54</v>
      </c>
      <c r="N8" s="32" t="s">
        <v>66</v>
      </c>
      <c r="O8" s="41"/>
      <c r="P8" s="41">
        <v>10.5</v>
      </c>
      <c r="Q8" s="41"/>
      <c r="R8" s="41"/>
      <c r="S8" s="32" t="s">
        <v>56</v>
      </c>
      <c r="T8" s="36"/>
      <c r="U8" s="37"/>
      <c r="V8" s="37"/>
      <c r="W8" s="37"/>
      <c r="X8" s="37"/>
      <c r="Y8" s="37"/>
      <c r="Z8" s="37"/>
      <c r="AA8" s="37"/>
      <c r="AB8" s="37"/>
      <c r="AC8" s="37"/>
      <c r="AD8" s="24"/>
      <c r="AE8" s="24"/>
      <c r="AF8" s="38"/>
      <c r="AG8" s="39">
        <v>43875.0</v>
      </c>
      <c r="AH8" s="38" t="s">
        <v>67</v>
      </c>
      <c r="AI8" s="38" t="s">
        <v>68</v>
      </c>
      <c r="AJ8" s="24" t="s">
        <v>50</v>
      </c>
      <c r="AK8" s="24" t="s">
        <v>0</v>
      </c>
      <c r="AL8" s="24" t="s">
        <v>51</v>
      </c>
      <c r="AM8" s="24" t="s">
        <v>52</v>
      </c>
      <c r="AN8" s="40"/>
      <c r="AO8" s="40"/>
    </row>
    <row r="9" ht="35.25" customHeight="1">
      <c r="A9" s="19">
        <v>43523.0</v>
      </c>
      <c r="B9" s="22" t="s">
        <v>40</v>
      </c>
      <c r="C9" s="21">
        <v>2027739.0</v>
      </c>
      <c r="D9" s="22" t="s">
        <v>69</v>
      </c>
      <c r="E9" s="23" t="s">
        <v>61</v>
      </c>
      <c r="F9" s="24">
        <v>5.0</v>
      </c>
      <c r="G9" s="25">
        <v>542.0</v>
      </c>
      <c r="H9" s="26">
        <f t="shared" si="1"/>
        <v>2710</v>
      </c>
      <c r="I9" s="27" t="s">
        <v>43</v>
      </c>
      <c r="J9" s="28" t="s">
        <v>44</v>
      </c>
      <c r="K9" s="43">
        <v>43860.0</v>
      </c>
      <c r="L9" s="44">
        <v>43843.0</v>
      </c>
      <c r="M9" s="31" t="s">
        <v>54</v>
      </c>
      <c r="N9" s="32" t="s">
        <v>66</v>
      </c>
      <c r="O9" s="41"/>
      <c r="P9" s="41">
        <v>2520.0</v>
      </c>
      <c r="Q9" s="41"/>
      <c r="R9" s="41"/>
      <c r="S9" s="42" t="s">
        <v>56</v>
      </c>
      <c r="T9" s="36"/>
      <c r="U9" s="37"/>
      <c r="V9" s="37"/>
      <c r="W9" s="37"/>
      <c r="X9" s="37"/>
      <c r="Y9" s="37"/>
      <c r="Z9" s="37"/>
      <c r="AA9" s="37"/>
      <c r="AB9" s="37"/>
      <c r="AC9" s="37"/>
      <c r="AD9" s="24"/>
      <c r="AE9" s="24"/>
      <c r="AF9" s="38"/>
      <c r="AG9" s="39">
        <v>43875.0</v>
      </c>
      <c r="AH9" s="38" t="s">
        <v>67</v>
      </c>
      <c r="AI9" s="38" t="s">
        <v>68</v>
      </c>
      <c r="AJ9" s="24" t="s">
        <v>50</v>
      </c>
      <c r="AK9" s="24" t="s">
        <v>0</v>
      </c>
      <c r="AL9" s="24" t="s">
        <v>51</v>
      </c>
      <c r="AM9" s="24" t="s">
        <v>52</v>
      </c>
      <c r="AN9" s="40"/>
      <c r="AO9" s="40"/>
    </row>
    <row r="10" ht="49.5" customHeight="1">
      <c r="A10" s="19">
        <v>43663.0</v>
      </c>
      <c r="B10" s="20" t="s">
        <v>40</v>
      </c>
      <c r="C10" s="21">
        <v>2029844.0</v>
      </c>
      <c r="D10" s="22" t="s">
        <v>70</v>
      </c>
      <c r="E10" s="23" t="s">
        <v>42</v>
      </c>
      <c r="F10" s="24">
        <v>63.0</v>
      </c>
      <c r="G10" s="48">
        <v>273.0</v>
      </c>
      <c r="H10" s="47">
        <f t="shared" si="1"/>
        <v>17199</v>
      </c>
      <c r="I10" s="27" t="s">
        <v>43</v>
      </c>
      <c r="J10" s="49" t="s">
        <v>71</v>
      </c>
      <c r="K10" s="43">
        <v>43860.0</v>
      </c>
      <c r="L10" s="30">
        <v>43832.0</v>
      </c>
      <c r="M10" s="50" t="s">
        <v>45</v>
      </c>
      <c r="N10" s="32" t="s">
        <v>72</v>
      </c>
      <c r="O10" s="34">
        <v>200.0</v>
      </c>
      <c r="P10" s="34">
        <f t="shared" ref="P10:P13" si="2">(O10*F10)*1.05</f>
        <v>13230</v>
      </c>
      <c r="Q10" s="34"/>
      <c r="R10" s="34">
        <f t="shared" ref="R10:R14" si="3">(Q10*F10)*1.05</f>
        <v>0</v>
      </c>
      <c r="S10" s="51" t="s">
        <v>47</v>
      </c>
      <c r="T10" s="52"/>
      <c r="U10" s="53"/>
      <c r="V10" s="53"/>
      <c r="W10" s="53"/>
      <c r="X10" s="53"/>
      <c r="Y10" s="53"/>
      <c r="Z10" s="53"/>
      <c r="AA10" s="53"/>
      <c r="AB10" s="53"/>
      <c r="AC10" s="53"/>
      <c r="AD10" s="54"/>
      <c r="AE10" s="54"/>
      <c r="AF10" s="55"/>
      <c r="AG10" s="56">
        <v>43868.0</v>
      </c>
      <c r="AH10" s="55">
        <f>52893.55*30.052</f>
        <v>1589556.965</v>
      </c>
      <c r="AI10" s="55">
        <f>26.45*30.052</f>
        <v>794.8754</v>
      </c>
      <c r="AJ10" s="54" t="s">
        <v>50</v>
      </c>
      <c r="AK10" s="54"/>
      <c r="AL10" s="54" t="s">
        <v>51</v>
      </c>
      <c r="AM10" s="54" t="s">
        <v>52</v>
      </c>
      <c r="AN10" s="57"/>
      <c r="AO10" s="57"/>
    </row>
    <row r="11" ht="15.75" customHeight="1">
      <c r="A11" s="19">
        <v>43663.0</v>
      </c>
      <c r="B11" s="20" t="s">
        <v>40</v>
      </c>
      <c r="C11" s="21">
        <v>2029844.0</v>
      </c>
      <c r="D11" s="22" t="s">
        <v>70</v>
      </c>
      <c r="E11" s="23" t="s">
        <v>53</v>
      </c>
      <c r="F11" s="24">
        <v>63.0</v>
      </c>
      <c r="G11" s="48">
        <v>31.0</v>
      </c>
      <c r="H11" s="26">
        <f t="shared" si="1"/>
        <v>1953</v>
      </c>
      <c r="I11" s="27" t="s">
        <v>43</v>
      </c>
      <c r="J11" s="49" t="s">
        <v>71</v>
      </c>
      <c r="K11" s="43">
        <v>43860.0</v>
      </c>
      <c r="L11" s="44">
        <v>43844.0</v>
      </c>
      <c r="M11" s="58" t="s">
        <v>54</v>
      </c>
      <c r="N11" s="32" t="s">
        <v>73</v>
      </c>
      <c r="O11" s="34">
        <v>28.0</v>
      </c>
      <c r="P11" s="34">
        <f t="shared" si="2"/>
        <v>1852.2</v>
      </c>
      <c r="Q11" s="34"/>
      <c r="R11" s="34">
        <f t="shared" si="3"/>
        <v>0</v>
      </c>
      <c r="S11" s="23" t="s">
        <v>56</v>
      </c>
      <c r="T11" s="52"/>
      <c r="U11" s="53"/>
      <c r="V11" s="53"/>
      <c r="W11" s="53"/>
      <c r="X11" s="53"/>
      <c r="Y11" s="53"/>
      <c r="Z11" s="53"/>
      <c r="AA11" s="53"/>
      <c r="AB11" s="53"/>
      <c r="AC11" s="53"/>
      <c r="AD11" s="54"/>
      <c r="AE11" s="54"/>
      <c r="AF11" s="55"/>
      <c r="AG11" s="56">
        <v>43868.0</v>
      </c>
      <c r="AH11" s="55" t="s">
        <v>74</v>
      </c>
      <c r="AI11" s="55" t="s">
        <v>75</v>
      </c>
      <c r="AJ11" s="54" t="s">
        <v>50</v>
      </c>
      <c r="AK11" s="54"/>
      <c r="AL11" s="54" t="s">
        <v>51</v>
      </c>
      <c r="AM11" s="54" t="s">
        <v>52</v>
      </c>
      <c r="AN11" s="57"/>
      <c r="AO11" s="57"/>
    </row>
    <row r="12" ht="15.75" customHeight="1">
      <c r="A12" s="19">
        <v>43663.0</v>
      </c>
      <c r="B12" s="20" t="s">
        <v>40</v>
      </c>
      <c r="C12" s="21">
        <v>2029844.0</v>
      </c>
      <c r="D12" s="22" t="s">
        <v>70</v>
      </c>
      <c r="E12" s="23" t="s">
        <v>59</v>
      </c>
      <c r="F12" s="24">
        <v>63.0</v>
      </c>
      <c r="G12" s="25">
        <v>4.0</v>
      </c>
      <c r="H12" s="26">
        <f t="shared" si="1"/>
        <v>252</v>
      </c>
      <c r="I12" s="27" t="s">
        <v>43</v>
      </c>
      <c r="J12" s="49" t="s">
        <v>71</v>
      </c>
      <c r="K12" s="43">
        <v>43860.0</v>
      </c>
      <c r="L12" s="44">
        <v>43844.0</v>
      </c>
      <c r="M12" s="58" t="s">
        <v>54</v>
      </c>
      <c r="N12" s="32" t="s">
        <v>73</v>
      </c>
      <c r="O12" s="34">
        <v>2.5</v>
      </c>
      <c r="P12" s="34">
        <f t="shared" si="2"/>
        <v>165.375</v>
      </c>
      <c r="Q12" s="34"/>
      <c r="R12" s="34">
        <f t="shared" si="3"/>
        <v>0</v>
      </c>
      <c r="S12" s="23" t="s">
        <v>56</v>
      </c>
      <c r="T12" s="52"/>
      <c r="U12" s="53"/>
      <c r="V12" s="53"/>
      <c r="W12" s="53"/>
      <c r="X12" s="53"/>
      <c r="Y12" s="53"/>
      <c r="Z12" s="53"/>
      <c r="AA12" s="53"/>
      <c r="AB12" s="53"/>
      <c r="AC12" s="53"/>
      <c r="AD12" s="54"/>
      <c r="AE12" s="54"/>
      <c r="AF12" s="55"/>
      <c r="AG12" s="56">
        <v>43868.0</v>
      </c>
      <c r="AH12" s="55" t="s">
        <v>74</v>
      </c>
      <c r="AI12" s="55" t="s">
        <v>75</v>
      </c>
      <c r="AJ12" s="54" t="s">
        <v>50</v>
      </c>
      <c r="AK12" s="54"/>
      <c r="AL12" s="54" t="s">
        <v>51</v>
      </c>
      <c r="AM12" s="54" t="s">
        <v>52</v>
      </c>
      <c r="AN12" s="57"/>
      <c r="AO12" s="57"/>
    </row>
    <row r="13" ht="15.75" customHeight="1">
      <c r="A13" s="19">
        <v>43663.0</v>
      </c>
      <c r="B13" s="20" t="s">
        <v>40</v>
      </c>
      <c r="C13" s="21">
        <v>2029844.0</v>
      </c>
      <c r="D13" s="22" t="s">
        <v>76</v>
      </c>
      <c r="E13" s="23" t="s">
        <v>61</v>
      </c>
      <c r="F13" s="24">
        <v>63.0</v>
      </c>
      <c r="G13" s="25">
        <v>532.0</v>
      </c>
      <c r="H13" s="26">
        <f t="shared" si="1"/>
        <v>33516</v>
      </c>
      <c r="I13" s="27" t="s">
        <v>43</v>
      </c>
      <c r="J13" s="49" t="s">
        <v>71</v>
      </c>
      <c r="K13" s="43">
        <v>43860.0</v>
      </c>
      <c r="L13" s="44">
        <v>43844.0</v>
      </c>
      <c r="M13" s="58" t="s">
        <v>54</v>
      </c>
      <c r="N13" s="32" t="s">
        <v>73</v>
      </c>
      <c r="O13" s="34">
        <v>468.0</v>
      </c>
      <c r="P13" s="34">
        <f t="shared" si="2"/>
        <v>30958.2</v>
      </c>
      <c r="Q13" s="34"/>
      <c r="R13" s="34">
        <f t="shared" si="3"/>
        <v>0</v>
      </c>
      <c r="S13" s="23" t="s">
        <v>56</v>
      </c>
      <c r="T13" s="52"/>
      <c r="U13" s="53"/>
      <c r="V13" s="53"/>
      <c r="W13" s="53"/>
      <c r="X13" s="53"/>
      <c r="Y13" s="53"/>
      <c r="Z13" s="53"/>
      <c r="AA13" s="53"/>
      <c r="AB13" s="53"/>
      <c r="AC13" s="53"/>
      <c r="AD13" s="54"/>
      <c r="AE13" s="54"/>
      <c r="AF13" s="55"/>
      <c r="AG13" s="56">
        <v>43868.0</v>
      </c>
      <c r="AH13" s="55" t="s">
        <v>74</v>
      </c>
      <c r="AI13" s="55" t="s">
        <v>75</v>
      </c>
      <c r="AJ13" s="54" t="s">
        <v>50</v>
      </c>
      <c r="AK13" s="54"/>
      <c r="AL13" s="54" t="s">
        <v>51</v>
      </c>
      <c r="AM13" s="54" t="s">
        <v>52</v>
      </c>
      <c r="AN13" s="57"/>
      <c r="AO13" s="57"/>
    </row>
    <row r="14" ht="15.75" customHeight="1">
      <c r="A14" s="19">
        <v>43752.0</v>
      </c>
      <c r="B14" s="51" t="s">
        <v>77</v>
      </c>
      <c r="C14" s="21">
        <v>745.0</v>
      </c>
      <c r="D14" s="59" t="s">
        <v>78</v>
      </c>
      <c r="E14" s="22" t="s">
        <v>79</v>
      </c>
      <c r="F14" s="24">
        <v>100.0</v>
      </c>
      <c r="G14" s="48">
        <v>28.0</v>
      </c>
      <c r="H14" s="60">
        <f t="shared" si="1"/>
        <v>2800</v>
      </c>
      <c r="I14" s="61" t="s">
        <v>43</v>
      </c>
      <c r="J14" s="62" t="s">
        <v>80</v>
      </c>
      <c r="K14" s="44">
        <v>43844.0</v>
      </c>
      <c r="L14" s="44">
        <v>43840.0</v>
      </c>
      <c r="M14" s="63" t="s">
        <v>81</v>
      </c>
      <c r="N14" s="64" t="s">
        <v>82</v>
      </c>
      <c r="O14" s="34"/>
      <c r="P14" s="34"/>
      <c r="Q14" s="34">
        <v>761.0</v>
      </c>
      <c r="R14" s="65">
        <f t="shared" si="3"/>
        <v>79905</v>
      </c>
      <c r="S14" s="66"/>
      <c r="T14" s="52"/>
      <c r="U14" s="53"/>
      <c r="V14" s="53"/>
      <c r="W14" s="53"/>
      <c r="X14" s="53"/>
      <c r="Y14" s="53"/>
      <c r="Z14" s="53"/>
      <c r="AA14" s="67"/>
      <c r="AB14" s="53"/>
      <c r="AC14" s="53"/>
      <c r="AD14" s="54"/>
      <c r="AE14" s="53"/>
      <c r="AF14" s="55"/>
      <c r="AG14" s="68"/>
      <c r="AH14" s="55"/>
      <c r="AI14" s="55"/>
      <c r="AJ14" s="55" t="s">
        <v>50</v>
      </c>
      <c r="AK14" s="54"/>
      <c r="AL14" s="54"/>
      <c r="AM14" s="54"/>
      <c r="AN14" s="57"/>
      <c r="AO14" s="57"/>
    </row>
    <row r="15" ht="15.75" customHeight="1">
      <c r="A15" s="69">
        <v>43768.0</v>
      </c>
      <c r="B15" s="70" t="s">
        <v>83</v>
      </c>
      <c r="C15" s="21" t="s">
        <v>84</v>
      </c>
      <c r="D15" s="71" t="s">
        <v>85</v>
      </c>
      <c r="E15" s="32" t="s">
        <v>86</v>
      </c>
      <c r="F15" s="24">
        <v>4.0</v>
      </c>
      <c r="G15" s="48">
        <v>90.0</v>
      </c>
      <c r="H15" s="60">
        <f t="shared" si="1"/>
        <v>360</v>
      </c>
      <c r="I15" s="61" t="s">
        <v>87</v>
      </c>
      <c r="J15" s="28" t="s">
        <v>88</v>
      </c>
      <c r="K15" s="49" t="s">
        <v>89</v>
      </c>
      <c r="L15" s="44">
        <v>43863.0</v>
      </c>
      <c r="M15" s="63" t="s">
        <v>90</v>
      </c>
      <c r="N15" s="32" t="s">
        <v>91</v>
      </c>
      <c r="O15" s="52" t="s">
        <v>92</v>
      </c>
      <c r="P15" s="52" t="s">
        <v>93</v>
      </c>
      <c r="Q15" s="34"/>
      <c r="R15" s="34">
        <f t="shared" ref="R15:R17" si="4">(Q15*F16)*1.05</f>
        <v>0</v>
      </c>
      <c r="S15" s="51" t="s">
        <v>94</v>
      </c>
      <c r="T15" s="52"/>
      <c r="U15" s="53"/>
      <c r="V15" s="53"/>
      <c r="W15" s="53"/>
      <c r="X15" s="53"/>
      <c r="Y15" s="53"/>
      <c r="Z15" s="53"/>
      <c r="AA15" s="67"/>
      <c r="AB15" s="53"/>
      <c r="AC15" s="53"/>
      <c r="AD15" s="54"/>
      <c r="AE15" s="53"/>
      <c r="AF15" s="55"/>
      <c r="AG15" s="56">
        <v>43776.0</v>
      </c>
      <c r="AH15" s="55" t="s">
        <v>95</v>
      </c>
      <c r="AI15" s="55" t="s">
        <v>96</v>
      </c>
      <c r="AJ15" s="54" t="s">
        <v>50</v>
      </c>
      <c r="AK15" s="54"/>
      <c r="AL15" s="54"/>
      <c r="AM15" s="54"/>
      <c r="AN15" s="57"/>
      <c r="AO15" s="57"/>
    </row>
    <row r="16" ht="15.75" customHeight="1">
      <c r="A16" s="69">
        <v>43768.0</v>
      </c>
      <c r="B16" s="70" t="s">
        <v>83</v>
      </c>
      <c r="C16" s="21" t="s">
        <v>84</v>
      </c>
      <c r="D16" s="71" t="s">
        <v>85</v>
      </c>
      <c r="E16" s="32" t="s">
        <v>97</v>
      </c>
      <c r="F16" s="24">
        <v>4.0</v>
      </c>
      <c r="G16" s="48">
        <v>15.0</v>
      </c>
      <c r="H16" s="60">
        <f t="shared" si="1"/>
        <v>60</v>
      </c>
      <c r="I16" s="61" t="s">
        <v>87</v>
      </c>
      <c r="J16" s="28" t="s">
        <v>88</v>
      </c>
      <c r="K16" s="49" t="s">
        <v>89</v>
      </c>
      <c r="L16" s="44">
        <v>43863.0</v>
      </c>
      <c r="M16" s="63" t="s">
        <v>90</v>
      </c>
      <c r="N16" s="32" t="s">
        <v>91</v>
      </c>
      <c r="O16" s="34">
        <v>11.5</v>
      </c>
      <c r="P16" s="34">
        <f t="shared" ref="P16:P18" si="5">(O16*F16)*1.05</f>
        <v>48.3</v>
      </c>
      <c r="Q16" s="34"/>
      <c r="R16" s="34">
        <f t="shared" si="4"/>
        <v>0</v>
      </c>
      <c r="S16" s="51" t="s">
        <v>94</v>
      </c>
      <c r="T16" s="52"/>
      <c r="U16" s="53"/>
      <c r="V16" s="53"/>
      <c r="W16" s="53"/>
      <c r="X16" s="53"/>
      <c r="Y16" s="53"/>
      <c r="Z16" s="53"/>
      <c r="AA16" s="67"/>
      <c r="AB16" s="53"/>
      <c r="AC16" s="53"/>
      <c r="AD16" s="54"/>
      <c r="AE16" s="53"/>
      <c r="AF16" s="55"/>
      <c r="AG16" s="56">
        <v>43776.0</v>
      </c>
      <c r="AH16" s="55" t="s">
        <v>95</v>
      </c>
      <c r="AI16" s="55" t="s">
        <v>96</v>
      </c>
      <c r="AJ16" s="54" t="s">
        <v>50</v>
      </c>
      <c r="AK16" s="54"/>
      <c r="AL16" s="54"/>
      <c r="AM16" s="54"/>
      <c r="AN16" s="57"/>
      <c r="AO16" s="57"/>
    </row>
    <row r="17" ht="15.75" customHeight="1">
      <c r="A17" s="69">
        <v>43768.0</v>
      </c>
      <c r="B17" s="70" t="s">
        <v>83</v>
      </c>
      <c r="C17" s="21" t="s">
        <v>84</v>
      </c>
      <c r="D17" s="71" t="s">
        <v>85</v>
      </c>
      <c r="E17" s="32" t="s">
        <v>98</v>
      </c>
      <c r="F17" s="24">
        <v>4.0</v>
      </c>
      <c r="G17" s="48">
        <v>200.0</v>
      </c>
      <c r="H17" s="60">
        <f t="shared" si="1"/>
        <v>800</v>
      </c>
      <c r="I17" s="61" t="s">
        <v>87</v>
      </c>
      <c r="J17" s="28" t="s">
        <v>88</v>
      </c>
      <c r="K17" s="49" t="s">
        <v>89</v>
      </c>
      <c r="L17" s="44">
        <v>43863.0</v>
      </c>
      <c r="M17" s="63" t="s">
        <v>90</v>
      </c>
      <c r="N17" s="32" t="s">
        <v>91</v>
      </c>
      <c r="O17" s="34">
        <v>169.0</v>
      </c>
      <c r="P17" s="34">
        <f t="shared" si="5"/>
        <v>709.8</v>
      </c>
      <c r="Q17" s="34"/>
      <c r="R17" s="34">
        <f t="shared" si="4"/>
        <v>0</v>
      </c>
      <c r="S17" s="51" t="s">
        <v>94</v>
      </c>
      <c r="T17" s="52"/>
      <c r="U17" s="53"/>
      <c r="V17" s="53"/>
      <c r="W17" s="53"/>
      <c r="X17" s="53"/>
      <c r="Y17" s="53"/>
      <c r="Z17" s="53"/>
      <c r="AA17" s="67"/>
      <c r="AB17" s="53"/>
      <c r="AC17" s="53"/>
      <c r="AD17" s="54"/>
      <c r="AE17" s="53"/>
      <c r="AF17" s="55"/>
      <c r="AG17" s="56">
        <v>43776.0</v>
      </c>
      <c r="AH17" s="55" t="s">
        <v>95</v>
      </c>
      <c r="AI17" s="55" t="s">
        <v>96</v>
      </c>
      <c r="AJ17" s="54" t="s">
        <v>50</v>
      </c>
      <c r="AK17" s="54"/>
      <c r="AL17" s="54"/>
      <c r="AM17" s="54"/>
      <c r="AN17" s="57"/>
      <c r="AO17" s="57"/>
    </row>
    <row r="18" ht="15.75" customHeight="1">
      <c r="A18" s="69">
        <v>43768.0</v>
      </c>
      <c r="B18" s="70" t="s">
        <v>83</v>
      </c>
      <c r="C18" s="21" t="s">
        <v>84</v>
      </c>
      <c r="D18" s="72" t="s">
        <v>99</v>
      </c>
      <c r="E18" s="32" t="s">
        <v>100</v>
      </c>
      <c r="F18" s="24">
        <v>4.0</v>
      </c>
      <c r="G18" s="48">
        <v>1676.0</v>
      </c>
      <c r="H18" s="60">
        <f t="shared" si="1"/>
        <v>6704</v>
      </c>
      <c r="I18" s="61" t="s">
        <v>87</v>
      </c>
      <c r="J18" s="28" t="s">
        <v>88</v>
      </c>
      <c r="K18" s="49" t="s">
        <v>89</v>
      </c>
      <c r="L18" s="44">
        <v>43863.0</v>
      </c>
      <c r="M18" s="63" t="s">
        <v>90</v>
      </c>
      <c r="N18" s="32" t="s">
        <v>91</v>
      </c>
      <c r="O18" s="34">
        <v>1481.4</v>
      </c>
      <c r="P18" s="34">
        <f t="shared" si="5"/>
        <v>6221.88</v>
      </c>
      <c r="Q18" s="34"/>
      <c r="R18" s="34" t="str">
        <f>(Q18*#REF!)*1.05</f>
        <v>#REF!</v>
      </c>
      <c r="S18" s="35" t="s">
        <v>94</v>
      </c>
      <c r="T18" s="52"/>
      <c r="U18" s="53"/>
      <c r="V18" s="53"/>
      <c r="W18" s="53"/>
      <c r="X18" s="53"/>
      <c r="Y18" s="53"/>
      <c r="Z18" s="53"/>
      <c r="AA18" s="67"/>
      <c r="AB18" s="53"/>
      <c r="AC18" s="53"/>
      <c r="AD18" s="54"/>
      <c r="AE18" s="53"/>
      <c r="AF18" s="55"/>
      <c r="AG18" s="56">
        <v>43776.0</v>
      </c>
      <c r="AH18" s="55">
        <f>7879.41*30.35</f>
        <v>239140.0935</v>
      </c>
      <c r="AI18" s="55">
        <f>(7924-7879.41)*30.35</f>
        <v>1353.3065</v>
      </c>
      <c r="AJ18" s="54" t="s">
        <v>50</v>
      </c>
      <c r="AK18" s="54"/>
      <c r="AL18" s="54"/>
      <c r="AM18" s="54"/>
      <c r="AN18" s="57"/>
      <c r="AO18" s="57"/>
    </row>
    <row r="19" ht="15.75" customHeight="1">
      <c r="A19" s="69">
        <v>43770.0</v>
      </c>
      <c r="B19" s="70" t="s">
        <v>101</v>
      </c>
      <c r="C19" s="21" t="s">
        <v>102</v>
      </c>
      <c r="D19" s="73" t="s">
        <v>103</v>
      </c>
      <c r="E19" s="32" t="s">
        <v>104</v>
      </c>
      <c r="F19" s="24">
        <v>1.0</v>
      </c>
      <c r="G19" s="74">
        <v>1308.0</v>
      </c>
      <c r="H19" s="60">
        <f t="shared" si="1"/>
        <v>1308</v>
      </c>
      <c r="I19" s="61" t="s">
        <v>105</v>
      </c>
      <c r="J19" s="63" t="s">
        <v>106</v>
      </c>
      <c r="K19" s="43">
        <v>43843.0</v>
      </c>
      <c r="L19" s="44">
        <v>43840.0</v>
      </c>
      <c r="M19" s="63" t="s">
        <v>107</v>
      </c>
      <c r="N19" s="64" t="s">
        <v>108</v>
      </c>
      <c r="O19" s="34"/>
      <c r="P19" s="34"/>
      <c r="Q19" s="34">
        <f t="shared" ref="Q19:Q25" si="6">(P19*F19)*1.05</f>
        <v>0</v>
      </c>
      <c r="R19" s="34"/>
      <c r="S19" s="75">
        <f>(R19*F20)*1.05</f>
        <v>0</v>
      </c>
      <c r="T19" s="76"/>
      <c r="U19" s="52"/>
      <c r="V19" s="53"/>
      <c r="W19" s="53"/>
      <c r="X19" s="53"/>
      <c r="Y19" s="53"/>
      <c r="Z19" s="53"/>
      <c r="AA19" s="53"/>
      <c r="AB19" s="67"/>
      <c r="AC19" s="53"/>
      <c r="AD19" s="53"/>
      <c r="AE19" s="54"/>
      <c r="AF19" s="53"/>
      <c r="AG19" s="56">
        <v>43885.0</v>
      </c>
      <c r="AH19" s="68"/>
      <c r="AI19" s="55"/>
      <c r="AJ19" s="55" t="s">
        <v>50</v>
      </c>
      <c r="AK19" s="54"/>
      <c r="AL19" s="54"/>
      <c r="AM19" s="54"/>
      <c r="AN19" s="57"/>
      <c r="AO19" s="57"/>
    </row>
    <row r="20" ht="15.75" customHeight="1">
      <c r="A20" s="69">
        <v>43770.0</v>
      </c>
      <c r="B20" s="70" t="s">
        <v>101</v>
      </c>
      <c r="C20" s="21" t="s">
        <v>102</v>
      </c>
      <c r="D20" s="73" t="s">
        <v>103</v>
      </c>
      <c r="E20" s="32" t="s">
        <v>109</v>
      </c>
      <c r="F20" s="24">
        <v>1.0</v>
      </c>
      <c r="G20" s="74">
        <v>54.0</v>
      </c>
      <c r="H20" s="60">
        <f t="shared" si="1"/>
        <v>54</v>
      </c>
      <c r="I20" s="61" t="s">
        <v>105</v>
      </c>
      <c r="J20" s="63" t="s">
        <v>106</v>
      </c>
      <c r="K20" s="43">
        <v>43843.0</v>
      </c>
      <c r="L20" s="30">
        <v>43783.0</v>
      </c>
      <c r="M20" s="50" t="s">
        <v>110</v>
      </c>
      <c r="N20" s="64" t="s">
        <v>111</v>
      </c>
      <c r="O20" s="34"/>
      <c r="P20" s="34"/>
      <c r="Q20" s="34">
        <f t="shared" si="6"/>
        <v>0</v>
      </c>
      <c r="R20" s="34">
        <v>1339.0</v>
      </c>
      <c r="S20" s="75">
        <v>1406.0</v>
      </c>
      <c r="T20" s="76"/>
      <c r="U20" s="77">
        <v>43804.0</v>
      </c>
      <c r="V20" s="78">
        <v>43783.0</v>
      </c>
      <c r="W20" s="53" t="s">
        <v>112</v>
      </c>
      <c r="X20" s="53">
        <v>7506.0</v>
      </c>
      <c r="Y20" s="53"/>
      <c r="Z20" s="53"/>
      <c r="AA20" s="53"/>
      <c r="AB20" s="67"/>
      <c r="AC20" s="53"/>
      <c r="AD20" s="53"/>
      <c r="AE20" s="54"/>
      <c r="AF20" s="53"/>
      <c r="AG20" s="56">
        <v>43885.0</v>
      </c>
      <c r="AH20" s="68"/>
      <c r="AI20" s="55"/>
      <c r="AJ20" s="55" t="s">
        <v>50</v>
      </c>
      <c r="AK20" s="54"/>
      <c r="AL20" s="54"/>
      <c r="AM20" s="54"/>
      <c r="AN20" s="57"/>
      <c r="AO20" s="57"/>
    </row>
    <row r="21" ht="15.75" customHeight="1">
      <c r="A21" s="69">
        <v>43770.0</v>
      </c>
      <c r="B21" s="70" t="s">
        <v>101</v>
      </c>
      <c r="C21" s="21" t="s">
        <v>102</v>
      </c>
      <c r="D21" s="73" t="s">
        <v>103</v>
      </c>
      <c r="E21" s="32" t="s">
        <v>113</v>
      </c>
      <c r="F21" s="24">
        <v>1.0</v>
      </c>
      <c r="G21" s="74">
        <v>232.0</v>
      </c>
      <c r="H21" s="60">
        <f t="shared" si="1"/>
        <v>232</v>
      </c>
      <c r="I21" s="61" t="s">
        <v>105</v>
      </c>
      <c r="J21" s="63" t="s">
        <v>106</v>
      </c>
      <c r="K21" s="43">
        <v>43843.0</v>
      </c>
      <c r="L21" s="30">
        <v>43783.0</v>
      </c>
      <c r="M21" s="50" t="s">
        <v>110</v>
      </c>
      <c r="N21" s="64" t="s">
        <v>111</v>
      </c>
      <c r="O21" s="34"/>
      <c r="P21" s="34"/>
      <c r="Q21" s="34">
        <f t="shared" si="6"/>
        <v>0</v>
      </c>
      <c r="R21" s="34">
        <v>5810.0</v>
      </c>
      <c r="S21" s="75">
        <v>6100.0</v>
      </c>
      <c r="T21" s="76"/>
      <c r="U21" s="77">
        <v>43804.0</v>
      </c>
      <c r="V21" s="78">
        <v>43783.0</v>
      </c>
      <c r="W21" s="53" t="s">
        <v>112</v>
      </c>
      <c r="X21" s="53" t="s">
        <v>114</v>
      </c>
      <c r="Y21" s="53"/>
      <c r="Z21" s="53"/>
      <c r="AA21" s="53"/>
      <c r="AB21" s="67"/>
      <c r="AC21" s="53"/>
      <c r="AD21" s="53"/>
      <c r="AE21" s="54"/>
      <c r="AF21" s="53"/>
      <c r="AG21" s="56">
        <v>43885.0</v>
      </c>
      <c r="AH21" s="68"/>
      <c r="AI21" s="55"/>
      <c r="AJ21" s="55" t="s">
        <v>50</v>
      </c>
      <c r="AK21" s="54"/>
      <c r="AL21" s="54"/>
      <c r="AM21" s="54"/>
      <c r="AN21" s="57"/>
      <c r="AO21" s="57"/>
    </row>
    <row r="22" ht="15.75" customHeight="1">
      <c r="A22" s="69">
        <v>43770.0</v>
      </c>
      <c r="B22" s="70" t="s">
        <v>101</v>
      </c>
      <c r="C22" s="21" t="s">
        <v>102</v>
      </c>
      <c r="D22" s="73" t="s">
        <v>103</v>
      </c>
      <c r="E22" s="32" t="s">
        <v>115</v>
      </c>
      <c r="F22" s="24">
        <v>1.0</v>
      </c>
      <c r="G22" s="74">
        <v>165.0</v>
      </c>
      <c r="H22" s="60">
        <f t="shared" si="1"/>
        <v>165</v>
      </c>
      <c r="I22" s="61" t="s">
        <v>105</v>
      </c>
      <c r="J22" s="79" t="s">
        <v>106</v>
      </c>
      <c r="K22" s="43">
        <v>43843.0</v>
      </c>
      <c r="L22" s="44">
        <v>43840.0</v>
      </c>
      <c r="M22" s="63" t="s">
        <v>107</v>
      </c>
      <c r="N22" s="64" t="s">
        <v>108</v>
      </c>
      <c r="O22" s="34"/>
      <c r="P22" s="34"/>
      <c r="Q22" s="34">
        <f t="shared" si="6"/>
        <v>0</v>
      </c>
      <c r="R22" s="34"/>
      <c r="S22" s="75">
        <f>(R22*F22)*1.05</f>
        <v>0</v>
      </c>
      <c r="T22" s="76"/>
      <c r="U22" s="52"/>
      <c r="V22" s="53"/>
      <c r="W22" s="53"/>
      <c r="X22" s="53"/>
      <c r="Y22" s="53"/>
      <c r="Z22" s="53"/>
      <c r="AA22" s="53"/>
      <c r="AB22" s="67"/>
      <c r="AC22" s="53"/>
      <c r="AD22" s="53"/>
      <c r="AE22" s="54"/>
      <c r="AF22" s="53"/>
      <c r="AG22" s="56">
        <v>43885.0</v>
      </c>
      <c r="AH22" s="68"/>
      <c r="AI22" s="55"/>
      <c r="AJ22" s="55" t="s">
        <v>50</v>
      </c>
      <c r="AK22" s="54"/>
      <c r="AL22" s="54"/>
      <c r="AM22" s="54"/>
      <c r="AN22" s="57"/>
      <c r="AO22" s="57"/>
    </row>
    <row r="23" ht="15.75" customHeight="1">
      <c r="A23" s="69">
        <v>43770.0</v>
      </c>
      <c r="B23" s="70" t="s">
        <v>101</v>
      </c>
      <c r="C23" s="21" t="s">
        <v>102</v>
      </c>
      <c r="D23" s="73" t="s">
        <v>103</v>
      </c>
      <c r="E23" s="32" t="s">
        <v>116</v>
      </c>
      <c r="F23" s="24">
        <v>1.0</v>
      </c>
      <c r="G23" s="74">
        <v>70.0</v>
      </c>
      <c r="H23" s="60">
        <f t="shared" si="1"/>
        <v>70</v>
      </c>
      <c r="I23" s="61" t="s">
        <v>105</v>
      </c>
      <c r="J23" s="79" t="s">
        <v>106</v>
      </c>
      <c r="K23" s="43">
        <v>43843.0</v>
      </c>
      <c r="L23" s="44">
        <v>43840.0</v>
      </c>
      <c r="M23" s="63" t="s">
        <v>107</v>
      </c>
      <c r="N23" s="64" t="s">
        <v>108</v>
      </c>
      <c r="O23" s="34"/>
      <c r="P23" s="34"/>
      <c r="Q23" s="34">
        <f t="shared" si="6"/>
        <v>0</v>
      </c>
      <c r="R23" s="34"/>
      <c r="S23" s="34">
        <f t="shared" ref="S23:S24" si="7">(R23*F24)*1.05</f>
        <v>0</v>
      </c>
      <c r="T23" s="76"/>
      <c r="U23" s="52"/>
      <c r="V23" s="53"/>
      <c r="W23" s="53"/>
      <c r="X23" s="53"/>
      <c r="Y23" s="53"/>
      <c r="Z23" s="53"/>
      <c r="AA23" s="53"/>
      <c r="AB23" s="67"/>
      <c r="AC23" s="53"/>
      <c r="AD23" s="53"/>
      <c r="AE23" s="54"/>
      <c r="AF23" s="53"/>
      <c r="AG23" s="56">
        <v>43885.0</v>
      </c>
      <c r="AH23" s="68"/>
      <c r="AI23" s="55"/>
      <c r="AJ23" s="55" t="s">
        <v>50</v>
      </c>
      <c r="AK23" s="54"/>
      <c r="AL23" s="54"/>
      <c r="AM23" s="54"/>
      <c r="AN23" s="57"/>
      <c r="AO23" s="57"/>
    </row>
    <row r="24" ht="15.75" customHeight="1">
      <c r="A24" s="69">
        <v>43770.0</v>
      </c>
      <c r="B24" s="70" t="s">
        <v>101</v>
      </c>
      <c r="C24" s="21" t="s">
        <v>102</v>
      </c>
      <c r="D24" s="80" t="s">
        <v>103</v>
      </c>
      <c r="E24" s="32" t="s">
        <v>117</v>
      </c>
      <c r="F24" s="24">
        <v>1.0</v>
      </c>
      <c r="G24" s="74">
        <v>115.0</v>
      </c>
      <c r="H24" s="60">
        <f t="shared" si="1"/>
        <v>115</v>
      </c>
      <c r="I24" s="61" t="s">
        <v>105</v>
      </c>
      <c r="J24" s="63" t="s">
        <v>106</v>
      </c>
      <c r="K24" s="43">
        <v>43843.0</v>
      </c>
      <c r="L24" s="44">
        <v>43840.0</v>
      </c>
      <c r="M24" s="63" t="s">
        <v>107</v>
      </c>
      <c r="N24" s="64" t="s">
        <v>108</v>
      </c>
      <c r="O24" s="34"/>
      <c r="P24" s="34"/>
      <c r="Q24" s="34">
        <f t="shared" si="6"/>
        <v>0</v>
      </c>
      <c r="R24" s="34"/>
      <c r="S24" s="34">
        <f t="shared" si="7"/>
        <v>0</v>
      </c>
      <c r="T24" s="76"/>
      <c r="U24" s="52"/>
      <c r="V24" s="53"/>
      <c r="W24" s="53"/>
      <c r="X24" s="53"/>
      <c r="Y24" s="53"/>
      <c r="Z24" s="53"/>
      <c r="AA24" s="53"/>
      <c r="AB24" s="67"/>
      <c r="AC24" s="53"/>
      <c r="AD24" s="53"/>
      <c r="AE24" s="54"/>
      <c r="AF24" s="53"/>
      <c r="AG24" s="56">
        <v>43885.0</v>
      </c>
      <c r="AH24" s="68"/>
      <c r="AI24" s="55"/>
      <c r="AJ24" s="55" t="s">
        <v>50</v>
      </c>
      <c r="AK24" s="54"/>
      <c r="AL24" s="54"/>
      <c r="AM24" s="54"/>
      <c r="AN24" s="57"/>
      <c r="AO24" s="57"/>
    </row>
    <row r="25" ht="15.75" customHeight="1">
      <c r="A25" s="69">
        <v>43770.0</v>
      </c>
      <c r="B25" s="70" t="s">
        <v>101</v>
      </c>
      <c r="C25" s="21" t="s">
        <v>102</v>
      </c>
      <c r="D25" s="73" t="s">
        <v>103</v>
      </c>
      <c r="E25" s="32" t="s">
        <v>118</v>
      </c>
      <c r="F25" s="24">
        <v>1.0</v>
      </c>
      <c r="G25" s="74">
        <v>70.0</v>
      </c>
      <c r="H25" s="60">
        <f t="shared" si="1"/>
        <v>70</v>
      </c>
      <c r="I25" s="61" t="s">
        <v>105</v>
      </c>
      <c r="J25" s="63" t="s">
        <v>106</v>
      </c>
      <c r="K25" s="43">
        <v>43843.0</v>
      </c>
      <c r="L25" s="44">
        <v>43840.0</v>
      </c>
      <c r="M25" s="63" t="s">
        <v>107</v>
      </c>
      <c r="N25" s="64" t="s">
        <v>108</v>
      </c>
      <c r="O25" s="34"/>
      <c r="P25" s="34"/>
      <c r="Q25" s="34">
        <f t="shared" si="6"/>
        <v>0</v>
      </c>
      <c r="R25" s="34"/>
      <c r="S25" s="34" t="str">
        <f>(R25*#REF!)*1.05</f>
        <v>#REF!</v>
      </c>
      <c r="T25" s="76"/>
      <c r="U25" s="52"/>
      <c r="V25" s="53"/>
      <c r="W25" s="53"/>
      <c r="X25" s="53"/>
      <c r="Y25" s="53"/>
      <c r="Z25" s="53"/>
      <c r="AA25" s="53"/>
      <c r="AB25" s="67"/>
      <c r="AC25" s="53"/>
      <c r="AD25" s="53"/>
      <c r="AE25" s="54"/>
      <c r="AF25" s="53"/>
      <c r="AG25" s="56">
        <v>43885.0</v>
      </c>
      <c r="AH25" s="68"/>
      <c r="AI25" s="55"/>
      <c r="AJ25" s="55" t="s">
        <v>50</v>
      </c>
      <c r="AK25" s="54"/>
      <c r="AL25" s="54"/>
      <c r="AM25" s="54"/>
      <c r="AN25" s="57"/>
      <c r="AO25" s="57"/>
    </row>
    <row r="26" ht="15.75" customHeight="1">
      <c r="A26" s="69">
        <v>43777.0</v>
      </c>
      <c r="B26" s="21" t="s">
        <v>119</v>
      </c>
      <c r="C26" s="21">
        <v>1672019.0</v>
      </c>
      <c r="D26" s="71" t="s">
        <v>120</v>
      </c>
      <c r="E26" s="32" t="s">
        <v>121</v>
      </c>
      <c r="F26" s="24">
        <v>24.0</v>
      </c>
      <c r="G26" s="48">
        <v>359.0</v>
      </c>
      <c r="H26" s="81">
        <f t="shared" si="1"/>
        <v>8616</v>
      </c>
      <c r="I26" s="61" t="s">
        <v>87</v>
      </c>
      <c r="J26" s="82" t="s">
        <v>122</v>
      </c>
      <c r="K26" s="83">
        <v>43888.0</v>
      </c>
      <c r="L26" s="84">
        <v>43826.0</v>
      </c>
      <c r="M26" s="63" t="s">
        <v>90</v>
      </c>
      <c r="N26" s="32" t="s">
        <v>123</v>
      </c>
      <c r="O26" s="41">
        <v>332.0</v>
      </c>
      <c r="P26" s="85">
        <v>332.0</v>
      </c>
      <c r="Q26" s="85">
        <f>(P26*G26)*1.05</f>
        <v>125147.4</v>
      </c>
      <c r="R26" s="34"/>
      <c r="S26" s="86">
        <f>(R26*F26)*1.05</f>
        <v>0</v>
      </c>
      <c r="T26" s="35" t="s">
        <v>94</v>
      </c>
      <c r="U26" s="53"/>
      <c r="V26" s="53"/>
      <c r="W26" s="53"/>
      <c r="X26" s="53"/>
      <c r="Y26" s="53"/>
      <c r="Z26" s="53"/>
      <c r="AA26" s="67"/>
      <c r="AB26" s="53"/>
      <c r="AC26" s="53"/>
      <c r="AD26" s="54"/>
      <c r="AE26" s="53"/>
      <c r="AF26" s="55"/>
      <c r="AG26" s="68"/>
      <c r="AH26" s="55"/>
      <c r="AI26" s="55"/>
      <c r="AJ26" s="54"/>
      <c r="AK26" s="54"/>
      <c r="AL26" s="54"/>
      <c r="AM26" s="54"/>
      <c r="AN26" s="57"/>
      <c r="AO26" s="57"/>
    </row>
    <row r="27" ht="15.75" customHeight="1">
      <c r="A27" s="19">
        <v>43781.0</v>
      </c>
      <c r="B27" s="22" t="s">
        <v>40</v>
      </c>
      <c r="C27" s="22" t="s">
        <v>124</v>
      </c>
      <c r="D27" s="59" t="s">
        <v>125</v>
      </c>
      <c r="E27" s="35" t="s">
        <v>126</v>
      </c>
      <c r="F27" s="24">
        <v>25.0</v>
      </c>
      <c r="G27" s="48">
        <v>634.0</v>
      </c>
      <c r="H27" s="26">
        <f t="shared" si="1"/>
        <v>15850</v>
      </c>
      <c r="I27" s="61" t="s">
        <v>43</v>
      </c>
      <c r="J27" s="87" t="s">
        <v>71</v>
      </c>
      <c r="K27" s="43">
        <v>43879.0</v>
      </c>
      <c r="L27" s="88">
        <v>43875.0</v>
      </c>
      <c r="M27" s="24" t="s">
        <v>127</v>
      </c>
      <c r="N27" s="64" t="s">
        <v>128</v>
      </c>
      <c r="O27" s="76"/>
      <c r="P27" s="76"/>
      <c r="Q27" s="86">
        <f t="shared" ref="Q27:Q28" si="8">(P27*F27)*1.05</f>
        <v>0</v>
      </c>
      <c r="R27" s="89"/>
      <c r="S27" s="52">
        <f t="shared" ref="S27:S28" si="9">(R27*F28)*1.05</f>
        <v>0</v>
      </c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89"/>
      <c r="AG27" s="89"/>
      <c r="AH27" s="90"/>
      <c r="AI27" s="89"/>
      <c r="AJ27" s="55" t="s">
        <v>50</v>
      </c>
      <c r="AK27" s="76"/>
      <c r="AL27" s="76"/>
      <c r="AM27" s="76"/>
      <c r="AN27" s="91"/>
      <c r="AO27" s="57"/>
    </row>
    <row r="28" ht="15.75" customHeight="1">
      <c r="A28" s="19">
        <v>43781.0</v>
      </c>
      <c r="B28" s="22" t="s">
        <v>40</v>
      </c>
      <c r="C28" s="22" t="s">
        <v>124</v>
      </c>
      <c r="D28" s="59" t="s">
        <v>125</v>
      </c>
      <c r="E28" s="35" t="s">
        <v>129</v>
      </c>
      <c r="F28" s="24">
        <v>75.0</v>
      </c>
      <c r="G28" s="48">
        <v>250.0</v>
      </c>
      <c r="H28" s="26">
        <f t="shared" si="1"/>
        <v>18750</v>
      </c>
      <c r="I28" s="61" t="s">
        <v>43</v>
      </c>
      <c r="J28" s="49" t="s">
        <v>71</v>
      </c>
      <c r="K28" s="87" t="s">
        <v>71</v>
      </c>
      <c r="L28" s="88">
        <v>43875.0</v>
      </c>
      <c r="M28" s="24" t="s">
        <v>127</v>
      </c>
      <c r="N28" s="64" t="s">
        <v>128</v>
      </c>
      <c r="O28" s="76"/>
      <c r="P28" s="76"/>
      <c r="Q28" s="86">
        <f t="shared" si="8"/>
        <v>0</v>
      </c>
      <c r="R28" s="89"/>
      <c r="S28" s="52">
        <f t="shared" si="9"/>
        <v>0</v>
      </c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89"/>
      <c r="AG28" s="89"/>
      <c r="AH28" s="90"/>
      <c r="AI28" s="89"/>
      <c r="AJ28" s="55" t="s">
        <v>50</v>
      </c>
      <c r="AK28" s="76"/>
      <c r="AL28" s="76"/>
      <c r="AM28" s="76"/>
      <c r="AN28" s="91"/>
      <c r="AO28" s="57"/>
    </row>
    <row r="29" ht="15.75" customHeight="1">
      <c r="A29" s="69">
        <v>43788.0</v>
      </c>
      <c r="B29" s="21" t="s">
        <v>130</v>
      </c>
      <c r="C29" s="92" t="s">
        <v>131</v>
      </c>
      <c r="D29" s="71" t="s">
        <v>132</v>
      </c>
      <c r="E29" s="32" t="s">
        <v>133</v>
      </c>
      <c r="F29" s="24">
        <v>16.0</v>
      </c>
      <c r="G29" s="48">
        <v>103.0</v>
      </c>
      <c r="H29" s="60">
        <f t="shared" si="1"/>
        <v>1648</v>
      </c>
      <c r="I29" s="61" t="s">
        <v>87</v>
      </c>
      <c r="J29" s="63" t="s">
        <v>134</v>
      </c>
      <c r="K29" s="84">
        <v>43832.0</v>
      </c>
      <c r="L29" s="30">
        <v>43826.0</v>
      </c>
      <c r="M29" s="63" t="s">
        <v>90</v>
      </c>
      <c r="N29" s="93" t="s">
        <v>135</v>
      </c>
      <c r="O29" s="34">
        <v>96.0</v>
      </c>
      <c r="P29" s="34">
        <f t="shared" ref="P29:P30" si="10">(O29*F29)*1.05</f>
        <v>1612.8</v>
      </c>
      <c r="Q29" s="65"/>
      <c r="R29" s="65">
        <f t="shared" ref="R29:R30" si="11">(Q29*F29)*1.05</f>
        <v>0</v>
      </c>
      <c r="S29" s="35" t="s">
        <v>94</v>
      </c>
      <c r="T29" s="52"/>
      <c r="U29" s="53"/>
      <c r="V29" s="53"/>
      <c r="W29" s="53"/>
      <c r="X29" s="53"/>
      <c r="Y29" s="53" t="s">
        <v>136</v>
      </c>
      <c r="Z29" s="53">
        <v>3.413145842E9</v>
      </c>
      <c r="AA29" s="53">
        <v>30.04</v>
      </c>
      <c r="AB29" s="53"/>
      <c r="AC29" s="53"/>
      <c r="AD29" s="54"/>
      <c r="AE29" s="54"/>
      <c r="AF29" s="55"/>
      <c r="AG29" s="56">
        <v>43860.0</v>
      </c>
      <c r="AH29" s="55">
        <f>2095.38*30.213</f>
        <v>63307.71594</v>
      </c>
      <c r="AI29" s="55">
        <f>(2112-2095.38)*30.213</f>
        <v>502.14006</v>
      </c>
      <c r="AJ29" s="54" t="s">
        <v>50</v>
      </c>
      <c r="AK29" s="54"/>
      <c r="AL29" s="54"/>
      <c r="AM29" s="54"/>
      <c r="AN29" s="57"/>
      <c r="AO29" s="57"/>
    </row>
    <row r="30" ht="15.75" customHeight="1">
      <c r="A30" s="69">
        <v>43788.0</v>
      </c>
      <c r="B30" s="21" t="s">
        <v>130</v>
      </c>
      <c r="C30" s="92" t="s">
        <v>131</v>
      </c>
      <c r="D30" s="71" t="s">
        <v>132</v>
      </c>
      <c r="E30" s="94" t="s">
        <v>137</v>
      </c>
      <c r="F30" s="24">
        <v>16.0</v>
      </c>
      <c r="G30" s="48">
        <v>29.0</v>
      </c>
      <c r="H30" s="60">
        <f t="shared" si="1"/>
        <v>464</v>
      </c>
      <c r="I30" s="61" t="s">
        <v>87</v>
      </c>
      <c r="J30" s="63" t="s">
        <v>134</v>
      </c>
      <c r="K30" s="84">
        <v>43832.0</v>
      </c>
      <c r="L30" s="30">
        <v>43826.0</v>
      </c>
      <c r="M30" s="63" t="s">
        <v>90</v>
      </c>
      <c r="N30" s="93" t="s">
        <v>135</v>
      </c>
      <c r="O30" s="34">
        <v>27.0</v>
      </c>
      <c r="P30" s="34">
        <f t="shared" si="10"/>
        <v>453.6</v>
      </c>
      <c r="Q30" s="65"/>
      <c r="R30" s="65">
        <f t="shared" si="11"/>
        <v>0</v>
      </c>
      <c r="S30" s="35" t="s">
        <v>94</v>
      </c>
      <c r="T30" s="52"/>
      <c r="U30" s="53"/>
      <c r="V30" s="53"/>
      <c r="W30" s="53"/>
      <c r="X30" s="53"/>
      <c r="Y30" s="53" t="s">
        <v>136</v>
      </c>
      <c r="Z30" s="53">
        <v>3.413145842E9</v>
      </c>
      <c r="AA30" s="53">
        <v>30.04</v>
      </c>
      <c r="AB30" s="53"/>
      <c r="AC30" s="53"/>
      <c r="AD30" s="54"/>
      <c r="AE30" s="54"/>
      <c r="AF30" s="55"/>
      <c r="AG30" s="56">
        <v>43860.0</v>
      </c>
      <c r="AH30" s="55" t="s">
        <v>138</v>
      </c>
      <c r="AI30" s="55" t="s">
        <v>139</v>
      </c>
      <c r="AJ30" s="54" t="s">
        <v>50</v>
      </c>
      <c r="AK30" s="54"/>
      <c r="AL30" s="54"/>
      <c r="AM30" s="54"/>
      <c r="AN30" s="57"/>
      <c r="AO30" s="57"/>
    </row>
    <row r="31" ht="15.75" customHeight="1">
      <c r="A31" s="95">
        <v>43789.0</v>
      </c>
      <c r="B31" s="96" t="s">
        <v>140</v>
      </c>
      <c r="C31" s="97" t="s">
        <v>141</v>
      </c>
      <c r="D31" s="98" t="s">
        <v>142</v>
      </c>
      <c r="E31" s="99" t="s">
        <v>143</v>
      </c>
      <c r="F31" s="100">
        <v>1.0</v>
      </c>
      <c r="G31" s="101">
        <v>220.0</v>
      </c>
      <c r="H31" s="102">
        <f t="shared" si="1"/>
        <v>220</v>
      </c>
      <c r="I31" s="61" t="s">
        <v>144</v>
      </c>
      <c r="J31" s="103" t="s">
        <v>145</v>
      </c>
      <c r="K31" s="104">
        <v>43829.0</v>
      </c>
      <c r="L31" s="105"/>
      <c r="M31" s="67"/>
      <c r="N31" s="67"/>
      <c r="O31" s="67"/>
      <c r="P31" s="67"/>
      <c r="Q31" s="106">
        <f t="shared" ref="Q31:Q32" si="12">(P31*F31)*1.05</f>
        <v>0</v>
      </c>
      <c r="R31" s="107"/>
      <c r="S31" s="106">
        <f t="shared" ref="S31:S32" si="13">(R31*F31)*1.05</f>
        <v>0</v>
      </c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107"/>
      <c r="AG31" s="108">
        <v>43860.0</v>
      </c>
      <c r="AH31" s="107">
        <f>3319.38*30.213</f>
        <v>100288.4279</v>
      </c>
      <c r="AI31" s="107">
        <f>(3356-3319.38)*30.213</f>
        <v>1106.40006</v>
      </c>
      <c r="AJ31" s="107" t="s">
        <v>50</v>
      </c>
      <c r="AK31" s="67"/>
      <c r="AL31" s="67"/>
      <c r="AM31" s="67"/>
      <c r="AN31" s="109"/>
      <c r="AO31" s="109"/>
    </row>
    <row r="32" ht="15.75" customHeight="1">
      <c r="A32" s="95">
        <v>43789.0</v>
      </c>
      <c r="B32" s="96" t="s">
        <v>140</v>
      </c>
      <c r="C32" s="97" t="s">
        <v>141</v>
      </c>
      <c r="D32" s="98" t="s">
        <v>142</v>
      </c>
      <c r="E32" s="99" t="s">
        <v>146</v>
      </c>
      <c r="F32" s="100">
        <v>1.0</v>
      </c>
      <c r="G32" s="101">
        <v>260.0</v>
      </c>
      <c r="H32" s="102">
        <f t="shared" si="1"/>
        <v>260</v>
      </c>
      <c r="I32" s="61" t="s">
        <v>144</v>
      </c>
      <c r="J32" s="103" t="s">
        <v>145</v>
      </c>
      <c r="K32" s="104">
        <v>43829.0</v>
      </c>
      <c r="L32" s="105"/>
      <c r="M32" s="67"/>
      <c r="N32" s="67"/>
      <c r="O32" s="67"/>
      <c r="P32" s="67"/>
      <c r="Q32" s="106">
        <f t="shared" si="12"/>
        <v>0</v>
      </c>
      <c r="R32" s="107"/>
      <c r="S32" s="106">
        <f t="shared" si="13"/>
        <v>0</v>
      </c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107"/>
      <c r="AG32" s="108">
        <v>43860.0</v>
      </c>
      <c r="AH32" s="107" t="s">
        <v>147</v>
      </c>
      <c r="AI32" s="107" t="s">
        <v>148</v>
      </c>
      <c r="AJ32" s="107" t="s">
        <v>50</v>
      </c>
      <c r="AK32" s="67"/>
      <c r="AL32" s="67"/>
      <c r="AM32" s="67"/>
      <c r="AN32" s="109"/>
      <c r="AO32" s="109"/>
    </row>
    <row r="33" ht="15.75" customHeight="1">
      <c r="A33" s="110">
        <v>43794.0</v>
      </c>
      <c r="B33" s="71" t="s">
        <v>119</v>
      </c>
      <c r="C33" s="111">
        <v>1802019.0</v>
      </c>
      <c r="D33" s="112" t="s">
        <v>149</v>
      </c>
      <c r="E33" s="113" t="s">
        <v>121</v>
      </c>
      <c r="F33" s="114">
        <v>30.0</v>
      </c>
      <c r="G33" s="115">
        <v>359.0</v>
      </c>
      <c r="H33" s="81">
        <f t="shared" si="1"/>
        <v>10770</v>
      </c>
      <c r="I33" s="116" t="s">
        <v>150</v>
      </c>
      <c r="J33" s="117" t="s">
        <v>71</v>
      </c>
      <c r="K33" s="83">
        <v>43888.0</v>
      </c>
      <c r="L33" s="118">
        <v>43864.0</v>
      </c>
      <c r="M33" s="119" t="s">
        <v>90</v>
      </c>
      <c r="N33" s="93" t="s">
        <v>151</v>
      </c>
      <c r="O33" s="120">
        <v>332.0</v>
      </c>
      <c r="P33" s="120">
        <f t="shared" ref="P33:P83" si="14">(O33*F33)*1.05</f>
        <v>10458</v>
      </c>
      <c r="Q33" s="121"/>
      <c r="R33" s="121">
        <f t="shared" ref="R33:R83" si="15">(Q33*F33)*1.05</f>
        <v>0</v>
      </c>
      <c r="S33" s="122" t="s">
        <v>94</v>
      </c>
      <c r="T33" s="123"/>
      <c r="U33" s="124"/>
      <c r="V33" s="124"/>
      <c r="W33" s="124"/>
      <c r="X33" s="124"/>
      <c r="Y33" s="124"/>
      <c r="Z33" s="124"/>
      <c r="AA33" s="124"/>
      <c r="AB33" s="124"/>
      <c r="AC33" s="124"/>
      <c r="AD33" s="125"/>
      <c r="AE33" s="125"/>
      <c r="AF33" s="126"/>
      <c r="AG33" s="127">
        <v>43896.0</v>
      </c>
      <c r="AH33" s="126">
        <f>44965.52*29.933</f>
        <v>1345952.91</v>
      </c>
      <c r="AI33" s="126">
        <f>34.48*29.933</f>
        <v>1032.08984</v>
      </c>
      <c r="AJ33" s="125"/>
      <c r="AK33" s="125"/>
      <c r="AL33" s="125"/>
      <c r="AM33" s="125"/>
      <c r="AN33" s="125"/>
      <c r="AO33" s="57"/>
    </row>
    <row r="34" ht="15.75" customHeight="1">
      <c r="A34" s="69">
        <v>43794.0</v>
      </c>
      <c r="B34" s="70" t="s">
        <v>119</v>
      </c>
      <c r="C34" s="128">
        <v>1802019.0</v>
      </c>
      <c r="D34" s="129" t="s">
        <v>149</v>
      </c>
      <c r="E34" s="23" t="s">
        <v>152</v>
      </c>
      <c r="F34" s="130">
        <v>30.0</v>
      </c>
      <c r="G34" s="25">
        <v>1045.0</v>
      </c>
      <c r="H34" s="131">
        <f t="shared" si="1"/>
        <v>31350</v>
      </c>
      <c r="I34" s="132" t="s">
        <v>150</v>
      </c>
      <c r="J34" s="133" t="s">
        <v>71</v>
      </c>
      <c r="K34" s="83">
        <v>43888.0</v>
      </c>
      <c r="L34" s="118">
        <v>43864.0</v>
      </c>
      <c r="M34" s="31" t="s">
        <v>90</v>
      </c>
      <c r="N34" s="93" t="s">
        <v>153</v>
      </c>
      <c r="O34" s="75">
        <v>920.0</v>
      </c>
      <c r="P34" s="134">
        <f t="shared" si="14"/>
        <v>28980</v>
      </c>
      <c r="Q34" s="134"/>
      <c r="R34" s="134">
        <f t="shared" si="15"/>
        <v>0</v>
      </c>
      <c r="S34" s="51" t="s">
        <v>94</v>
      </c>
      <c r="T34" s="135"/>
      <c r="U34" s="136"/>
      <c r="V34" s="136"/>
      <c r="W34" s="136"/>
      <c r="X34" s="136"/>
      <c r="Y34" s="136"/>
      <c r="Z34" s="136"/>
      <c r="AA34" s="136"/>
      <c r="AB34" s="136"/>
      <c r="AC34" s="136"/>
      <c r="AD34" s="137"/>
      <c r="AE34" s="137"/>
      <c r="AF34" s="138"/>
      <c r="AG34" s="127">
        <v>43896.0</v>
      </c>
      <c r="AH34" s="138" t="s">
        <v>154</v>
      </c>
      <c r="AI34" s="138" t="s">
        <v>155</v>
      </c>
      <c r="AJ34" s="137"/>
      <c r="AK34" s="137"/>
      <c r="AL34" s="137"/>
      <c r="AM34" s="137"/>
      <c r="AN34" s="137"/>
      <c r="AO34" s="57"/>
    </row>
    <row r="35" ht="15.75" customHeight="1">
      <c r="A35" s="69">
        <v>43794.0</v>
      </c>
      <c r="B35" s="70" t="s">
        <v>119</v>
      </c>
      <c r="C35" s="92">
        <v>1802019.0</v>
      </c>
      <c r="D35" s="112" t="s">
        <v>149</v>
      </c>
      <c r="E35" s="23" t="s">
        <v>156</v>
      </c>
      <c r="F35" s="24">
        <v>40.0</v>
      </c>
      <c r="G35" s="48">
        <v>335.0</v>
      </c>
      <c r="H35" s="81">
        <f t="shared" si="1"/>
        <v>13400</v>
      </c>
      <c r="I35" s="132" t="s">
        <v>150</v>
      </c>
      <c r="J35" s="28" t="s">
        <v>71</v>
      </c>
      <c r="K35" s="83">
        <v>43888.0</v>
      </c>
      <c r="L35" s="118">
        <v>43864.0</v>
      </c>
      <c r="M35" s="58" t="s">
        <v>90</v>
      </c>
      <c r="N35" s="93" t="s">
        <v>153</v>
      </c>
      <c r="O35" s="34">
        <v>290.0</v>
      </c>
      <c r="P35" s="65">
        <f t="shared" si="14"/>
        <v>12180</v>
      </c>
      <c r="Q35" s="65"/>
      <c r="R35" s="65">
        <f t="shared" si="15"/>
        <v>0</v>
      </c>
      <c r="S35" s="35" t="s">
        <v>94</v>
      </c>
      <c r="T35" s="52"/>
      <c r="U35" s="53"/>
      <c r="V35" s="53"/>
      <c r="W35" s="53"/>
      <c r="X35" s="53"/>
      <c r="Y35" s="53"/>
      <c r="Z35" s="53"/>
      <c r="AA35" s="53"/>
      <c r="AB35" s="53"/>
      <c r="AC35" s="53"/>
      <c r="AD35" s="54"/>
      <c r="AE35" s="54"/>
      <c r="AF35" s="55"/>
      <c r="AG35" s="127">
        <v>43896.0</v>
      </c>
      <c r="AH35" s="138" t="s">
        <v>154</v>
      </c>
      <c r="AI35" s="138" t="s">
        <v>155</v>
      </c>
      <c r="AJ35" s="54"/>
      <c r="AK35" s="54"/>
      <c r="AL35" s="54"/>
      <c r="AM35" s="54"/>
      <c r="AN35" s="57"/>
      <c r="AO35" s="57"/>
    </row>
    <row r="36" ht="15.75" customHeight="1">
      <c r="A36" s="69">
        <v>43794.0</v>
      </c>
      <c r="B36" s="70" t="s">
        <v>119</v>
      </c>
      <c r="C36" s="92">
        <v>1802019.0</v>
      </c>
      <c r="D36" s="112" t="s">
        <v>149</v>
      </c>
      <c r="E36" s="32" t="s">
        <v>157</v>
      </c>
      <c r="F36" s="24">
        <v>10.0</v>
      </c>
      <c r="G36" s="48">
        <v>118.0</v>
      </c>
      <c r="H36" s="81">
        <f t="shared" si="1"/>
        <v>1180</v>
      </c>
      <c r="I36" s="132" t="s">
        <v>150</v>
      </c>
      <c r="J36" s="28" t="s">
        <v>71</v>
      </c>
      <c r="K36" s="83">
        <v>43888.0</v>
      </c>
      <c r="L36" s="118">
        <v>43864.0</v>
      </c>
      <c r="M36" s="58" t="s">
        <v>90</v>
      </c>
      <c r="N36" s="93" t="s">
        <v>153</v>
      </c>
      <c r="O36" s="65">
        <v>95.0</v>
      </c>
      <c r="P36" s="65">
        <f t="shared" si="14"/>
        <v>997.5</v>
      </c>
      <c r="Q36" s="65"/>
      <c r="R36" s="65">
        <f t="shared" si="15"/>
        <v>0</v>
      </c>
      <c r="S36" s="35" t="s">
        <v>94</v>
      </c>
      <c r="T36" s="52"/>
      <c r="U36" s="53"/>
      <c r="V36" s="53"/>
      <c r="W36" s="53"/>
      <c r="X36" s="53"/>
      <c r="Y36" s="53"/>
      <c r="Z36" s="53"/>
      <c r="AA36" s="53"/>
      <c r="AB36" s="53"/>
      <c r="AC36" s="53"/>
      <c r="AD36" s="54"/>
      <c r="AE36" s="54"/>
      <c r="AF36" s="55"/>
      <c r="AG36" s="68"/>
      <c r="AH36" s="55"/>
      <c r="AI36" s="55"/>
      <c r="AJ36" s="54"/>
      <c r="AK36" s="54"/>
      <c r="AL36" s="54"/>
      <c r="AM36" s="54"/>
      <c r="AN36" s="57"/>
      <c r="AO36" s="57"/>
    </row>
    <row r="37" ht="15.75" customHeight="1">
      <c r="A37" s="69">
        <v>43794.0</v>
      </c>
      <c r="B37" s="70" t="s">
        <v>119</v>
      </c>
      <c r="C37" s="92">
        <v>1802019.0</v>
      </c>
      <c r="D37" s="112" t="s">
        <v>149</v>
      </c>
      <c r="E37" s="23" t="s">
        <v>158</v>
      </c>
      <c r="F37" s="24">
        <v>15.0</v>
      </c>
      <c r="G37" s="48">
        <v>979.0</v>
      </c>
      <c r="H37" s="81">
        <f t="shared" si="1"/>
        <v>14685</v>
      </c>
      <c r="I37" s="132" t="s">
        <v>150</v>
      </c>
      <c r="J37" s="28" t="s">
        <v>71</v>
      </c>
      <c r="K37" s="83">
        <v>43909.0</v>
      </c>
      <c r="L37" s="44">
        <v>43876.0</v>
      </c>
      <c r="M37" s="58" t="s">
        <v>90</v>
      </c>
      <c r="N37" s="93" t="s">
        <v>159</v>
      </c>
      <c r="O37" s="34">
        <v>926.9</v>
      </c>
      <c r="P37" s="34">
        <f t="shared" si="14"/>
        <v>14598.675</v>
      </c>
      <c r="Q37" s="65"/>
      <c r="R37" s="65">
        <f t="shared" si="15"/>
        <v>0</v>
      </c>
      <c r="S37" s="35" t="s">
        <v>94</v>
      </c>
      <c r="T37" s="52"/>
      <c r="U37" s="53"/>
      <c r="V37" s="53"/>
      <c r="W37" s="53"/>
      <c r="X37" s="53"/>
      <c r="Y37" s="53"/>
      <c r="Z37" s="53"/>
      <c r="AA37" s="53"/>
      <c r="AB37" s="53"/>
      <c r="AC37" s="53"/>
      <c r="AD37" s="54"/>
      <c r="AE37" s="54"/>
      <c r="AF37" s="55"/>
      <c r="AG37" s="68"/>
      <c r="AH37" s="55"/>
      <c r="AI37" s="55"/>
      <c r="AJ37" s="54"/>
      <c r="AK37" s="54"/>
      <c r="AL37" s="54"/>
      <c r="AM37" s="54"/>
      <c r="AN37" s="57"/>
      <c r="AO37" s="57"/>
    </row>
    <row r="38" ht="15.75" customHeight="1">
      <c r="A38" s="69">
        <v>43794.0</v>
      </c>
      <c r="B38" s="70" t="s">
        <v>119</v>
      </c>
      <c r="C38" s="92">
        <v>1802019.0</v>
      </c>
      <c r="D38" s="112" t="s">
        <v>149</v>
      </c>
      <c r="E38" s="23" t="s">
        <v>160</v>
      </c>
      <c r="F38" s="24">
        <v>12.0</v>
      </c>
      <c r="G38" s="48">
        <v>880.0</v>
      </c>
      <c r="H38" s="81">
        <f t="shared" si="1"/>
        <v>10560</v>
      </c>
      <c r="I38" s="132" t="s">
        <v>150</v>
      </c>
      <c r="J38" s="28" t="s">
        <v>71</v>
      </c>
      <c r="K38" s="83">
        <v>43888.0</v>
      </c>
      <c r="L38" s="118">
        <v>43864.0</v>
      </c>
      <c r="M38" s="58" t="s">
        <v>90</v>
      </c>
      <c r="N38" s="93" t="s">
        <v>151</v>
      </c>
      <c r="O38" s="34">
        <v>665.0</v>
      </c>
      <c r="P38" s="34">
        <f t="shared" si="14"/>
        <v>8379</v>
      </c>
      <c r="Q38" s="65"/>
      <c r="R38" s="65">
        <f t="shared" si="15"/>
        <v>0</v>
      </c>
      <c r="S38" s="35" t="s">
        <v>94</v>
      </c>
      <c r="T38" s="52"/>
      <c r="U38" s="53"/>
      <c r="V38" s="53"/>
      <c r="W38" s="53"/>
      <c r="X38" s="53"/>
      <c r="Y38" s="53"/>
      <c r="Z38" s="53"/>
      <c r="AA38" s="53"/>
      <c r="AB38" s="53"/>
      <c r="AC38" s="53"/>
      <c r="AD38" s="54"/>
      <c r="AE38" s="54"/>
      <c r="AF38" s="55"/>
      <c r="AG38" s="68"/>
      <c r="AH38" s="55"/>
      <c r="AI38" s="55"/>
      <c r="AJ38" s="54"/>
      <c r="AK38" s="54"/>
      <c r="AL38" s="54"/>
      <c r="AM38" s="54"/>
      <c r="AN38" s="57"/>
      <c r="AO38" s="57"/>
    </row>
    <row r="39" ht="15.75" customHeight="1">
      <c r="A39" s="69">
        <v>43794.0</v>
      </c>
      <c r="B39" s="70" t="s">
        <v>119</v>
      </c>
      <c r="C39" s="92">
        <v>1802019.0</v>
      </c>
      <c r="D39" s="112" t="s">
        <v>149</v>
      </c>
      <c r="E39" s="32" t="s">
        <v>161</v>
      </c>
      <c r="F39" s="24">
        <v>15.0</v>
      </c>
      <c r="G39" s="48">
        <v>485.0</v>
      </c>
      <c r="H39" s="81">
        <f t="shared" si="1"/>
        <v>7275</v>
      </c>
      <c r="I39" s="132" t="s">
        <v>150</v>
      </c>
      <c r="J39" s="28" t="s">
        <v>71</v>
      </c>
      <c r="K39" s="83">
        <v>43888.0</v>
      </c>
      <c r="L39" s="118">
        <v>43864.0</v>
      </c>
      <c r="M39" s="58" t="s">
        <v>90</v>
      </c>
      <c r="N39" s="93" t="s">
        <v>151</v>
      </c>
      <c r="O39" s="34">
        <v>425.0</v>
      </c>
      <c r="P39" s="34">
        <f t="shared" si="14"/>
        <v>6693.75</v>
      </c>
      <c r="Q39" s="65"/>
      <c r="R39" s="65">
        <f t="shared" si="15"/>
        <v>0</v>
      </c>
      <c r="S39" s="35" t="s">
        <v>94</v>
      </c>
      <c r="T39" s="52"/>
      <c r="U39" s="53"/>
      <c r="V39" s="53"/>
      <c r="W39" s="53"/>
      <c r="X39" s="53"/>
      <c r="Y39" s="53"/>
      <c r="Z39" s="53"/>
      <c r="AA39" s="53"/>
      <c r="AB39" s="53"/>
      <c r="AC39" s="53"/>
      <c r="AD39" s="54"/>
      <c r="AE39" s="54"/>
      <c r="AF39" s="55"/>
      <c r="AG39" s="68"/>
      <c r="AH39" s="55"/>
      <c r="AI39" s="55"/>
      <c r="AJ39" s="54"/>
      <c r="AK39" s="54"/>
      <c r="AL39" s="54"/>
      <c r="AM39" s="54"/>
      <c r="AN39" s="57"/>
      <c r="AO39" s="57"/>
    </row>
    <row r="40" ht="15.75" customHeight="1">
      <c r="A40" s="110">
        <v>43794.0</v>
      </c>
      <c r="B40" s="21" t="s">
        <v>119</v>
      </c>
      <c r="C40" s="92">
        <v>1802019.0</v>
      </c>
      <c r="D40" s="112" t="s">
        <v>149</v>
      </c>
      <c r="E40" s="23" t="s">
        <v>162</v>
      </c>
      <c r="F40" s="24">
        <v>10.0</v>
      </c>
      <c r="G40" s="48">
        <v>738.0</v>
      </c>
      <c r="H40" s="81">
        <f t="shared" si="1"/>
        <v>7380</v>
      </c>
      <c r="I40" s="132" t="s">
        <v>150</v>
      </c>
      <c r="J40" s="28" t="s">
        <v>71</v>
      </c>
      <c r="K40" s="83">
        <v>43888.0</v>
      </c>
      <c r="L40" s="118">
        <v>43864.0</v>
      </c>
      <c r="M40" s="58" t="s">
        <v>90</v>
      </c>
      <c r="N40" s="93" t="s">
        <v>151</v>
      </c>
      <c r="O40" s="65">
        <v>638.0</v>
      </c>
      <c r="P40" s="65">
        <f t="shared" si="14"/>
        <v>6699</v>
      </c>
      <c r="Q40" s="65"/>
      <c r="R40" s="65">
        <f t="shared" si="15"/>
        <v>0</v>
      </c>
      <c r="S40" s="35" t="s">
        <v>94</v>
      </c>
      <c r="T40" s="52"/>
      <c r="U40" s="53"/>
      <c r="V40" s="53"/>
      <c r="W40" s="53"/>
      <c r="X40" s="53"/>
      <c r="Y40" s="53"/>
      <c r="Z40" s="53"/>
      <c r="AA40" s="53"/>
      <c r="AB40" s="53"/>
      <c r="AC40" s="53"/>
      <c r="AD40" s="54"/>
      <c r="AE40" s="54"/>
      <c r="AF40" s="55"/>
      <c r="AG40" s="68"/>
      <c r="AH40" s="55"/>
      <c r="AI40" s="55"/>
      <c r="AJ40" s="54"/>
      <c r="AK40" s="54"/>
      <c r="AL40" s="54"/>
      <c r="AM40" s="54"/>
      <c r="AN40" s="57"/>
      <c r="AO40" s="57"/>
    </row>
    <row r="41" ht="15.75" customHeight="1">
      <c r="A41" s="69">
        <v>43794.0</v>
      </c>
      <c r="B41" s="70" t="s">
        <v>119</v>
      </c>
      <c r="C41" s="92">
        <v>1802019.0</v>
      </c>
      <c r="D41" s="139" t="s">
        <v>149</v>
      </c>
      <c r="E41" s="140" t="s">
        <v>163</v>
      </c>
      <c r="F41" s="24">
        <v>5.0</v>
      </c>
      <c r="G41" s="48">
        <v>190.0</v>
      </c>
      <c r="H41" s="81">
        <f t="shared" si="1"/>
        <v>950</v>
      </c>
      <c r="I41" s="132" t="s">
        <v>150</v>
      </c>
      <c r="J41" s="28" t="s">
        <v>71</v>
      </c>
      <c r="K41" s="83">
        <v>43888.0</v>
      </c>
      <c r="L41" s="118">
        <v>43864.0</v>
      </c>
      <c r="M41" s="58" t="s">
        <v>90</v>
      </c>
      <c r="N41" s="93" t="s">
        <v>151</v>
      </c>
      <c r="O41" s="34">
        <v>148.0</v>
      </c>
      <c r="P41" s="34">
        <f t="shared" si="14"/>
        <v>777</v>
      </c>
      <c r="Q41" s="65"/>
      <c r="R41" s="65">
        <f t="shared" si="15"/>
        <v>0</v>
      </c>
      <c r="S41" s="51" t="s">
        <v>94</v>
      </c>
      <c r="T41" s="52"/>
      <c r="U41" s="53"/>
      <c r="V41" s="53"/>
      <c r="W41" s="53"/>
      <c r="X41" s="53"/>
      <c r="Y41" s="53"/>
      <c r="Z41" s="53"/>
      <c r="AA41" s="53"/>
      <c r="AB41" s="53"/>
      <c r="AC41" s="53"/>
      <c r="AD41" s="54"/>
      <c r="AE41" s="54"/>
      <c r="AF41" s="55"/>
      <c r="AG41" s="68"/>
      <c r="AH41" s="55"/>
      <c r="AI41" s="55"/>
      <c r="AJ41" s="54"/>
      <c r="AK41" s="54"/>
      <c r="AL41" s="54"/>
      <c r="AM41" s="54"/>
      <c r="AN41" s="57"/>
      <c r="AO41" s="57"/>
    </row>
    <row r="42" ht="15.75" customHeight="1">
      <c r="A42" s="69">
        <v>43794.0</v>
      </c>
      <c r="B42" s="70" t="s">
        <v>119</v>
      </c>
      <c r="C42" s="92">
        <v>1802019.0</v>
      </c>
      <c r="D42" s="112" t="s">
        <v>149</v>
      </c>
      <c r="E42" s="141" t="s">
        <v>164</v>
      </c>
      <c r="F42" s="24">
        <v>15.0</v>
      </c>
      <c r="G42" s="48">
        <v>44.0</v>
      </c>
      <c r="H42" s="81">
        <f t="shared" si="1"/>
        <v>660</v>
      </c>
      <c r="I42" s="132" t="s">
        <v>150</v>
      </c>
      <c r="J42" s="28" t="s">
        <v>71</v>
      </c>
      <c r="K42" s="83">
        <v>43888.0</v>
      </c>
      <c r="L42" s="118">
        <v>43864.0</v>
      </c>
      <c r="M42" s="58" t="s">
        <v>90</v>
      </c>
      <c r="N42" s="93" t="s">
        <v>151</v>
      </c>
      <c r="O42" s="34">
        <v>36.0</v>
      </c>
      <c r="P42" s="142">
        <f t="shared" si="14"/>
        <v>567</v>
      </c>
      <c r="Q42" s="134"/>
      <c r="R42" s="134">
        <f t="shared" si="15"/>
        <v>0</v>
      </c>
      <c r="S42" s="35" t="s">
        <v>94</v>
      </c>
      <c r="T42" s="52"/>
      <c r="U42" s="53"/>
      <c r="V42" s="53"/>
      <c r="W42" s="53"/>
      <c r="X42" s="53"/>
      <c r="Y42" s="53"/>
      <c r="Z42" s="53"/>
      <c r="AA42" s="53"/>
      <c r="AB42" s="53"/>
      <c r="AC42" s="53"/>
      <c r="AD42" s="54"/>
      <c r="AE42" s="54"/>
      <c r="AF42" s="55"/>
      <c r="AG42" s="68"/>
      <c r="AH42" s="55"/>
      <c r="AI42" s="55"/>
      <c r="AJ42" s="54"/>
      <c r="AK42" s="54"/>
      <c r="AL42" s="54"/>
      <c r="AM42" s="54"/>
      <c r="AN42" s="57"/>
      <c r="AO42" s="109"/>
    </row>
    <row r="43" ht="15.75" customHeight="1">
      <c r="A43" s="69">
        <v>43794.0</v>
      </c>
      <c r="B43" s="70" t="s">
        <v>119</v>
      </c>
      <c r="C43" s="128">
        <v>1802019.0</v>
      </c>
      <c r="D43" s="112" t="s">
        <v>149</v>
      </c>
      <c r="E43" s="23" t="s">
        <v>165</v>
      </c>
      <c r="F43" s="130">
        <v>80.0</v>
      </c>
      <c r="G43" s="25">
        <v>105.0</v>
      </c>
      <c r="H43" s="81">
        <f t="shared" si="1"/>
        <v>8400</v>
      </c>
      <c r="I43" s="132" t="s">
        <v>150</v>
      </c>
      <c r="J43" s="28" t="s">
        <v>71</v>
      </c>
      <c r="K43" s="83">
        <v>43888.0</v>
      </c>
      <c r="L43" s="118">
        <v>43864.0</v>
      </c>
      <c r="M43" s="58" t="s">
        <v>90</v>
      </c>
      <c r="N43" s="93" t="s">
        <v>151</v>
      </c>
      <c r="O43" s="34">
        <v>82.0</v>
      </c>
      <c r="P43" s="142">
        <f t="shared" si="14"/>
        <v>6888</v>
      </c>
      <c r="Q43" s="134"/>
      <c r="R43" s="134">
        <f t="shared" si="15"/>
        <v>0</v>
      </c>
      <c r="S43" s="35" t="s">
        <v>94</v>
      </c>
      <c r="T43" s="52"/>
      <c r="U43" s="53"/>
      <c r="V43" s="53"/>
      <c r="W43" s="53"/>
      <c r="X43" s="53"/>
      <c r="Y43" s="53"/>
      <c r="Z43" s="53"/>
      <c r="AA43" s="53"/>
      <c r="AB43" s="53"/>
      <c r="AC43" s="53"/>
      <c r="AD43" s="54"/>
      <c r="AE43" s="54"/>
      <c r="AF43" s="55"/>
      <c r="AG43" s="68"/>
      <c r="AH43" s="55"/>
      <c r="AI43" s="55"/>
      <c r="AJ43" s="54"/>
      <c r="AK43" s="54"/>
      <c r="AL43" s="54"/>
      <c r="AM43" s="54"/>
      <c r="AN43" s="57"/>
      <c r="AO43" s="109"/>
    </row>
    <row r="44" ht="15.75" customHeight="1">
      <c r="A44" s="69">
        <v>43794.0</v>
      </c>
      <c r="B44" s="70" t="s">
        <v>119</v>
      </c>
      <c r="C44" s="128">
        <v>1802019.0</v>
      </c>
      <c r="D44" s="112" t="s">
        <v>149</v>
      </c>
      <c r="E44" s="23" t="s">
        <v>166</v>
      </c>
      <c r="F44" s="137">
        <v>8.0</v>
      </c>
      <c r="G44" s="143">
        <v>934.0</v>
      </c>
      <c r="H44" s="81">
        <f t="shared" si="1"/>
        <v>7472</v>
      </c>
      <c r="I44" s="132" t="s">
        <v>150</v>
      </c>
      <c r="J44" s="28" t="s">
        <v>71</v>
      </c>
      <c r="K44" s="83">
        <v>43888.0</v>
      </c>
      <c r="L44" s="44">
        <v>43881.0</v>
      </c>
      <c r="M44" s="58" t="s">
        <v>90</v>
      </c>
      <c r="N44" s="93" t="s">
        <v>151</v>
      </c>
      <c r="O44" s="34">
        <v>747.5</v>
      </c>
      <c r="P44" s="142">
        <f t="shared" si="14"/>
        <v>6279</v>
      </c>
      <c r="Q44" s="134"/>
      <c r="R44" s="134">
        <f t="shared" si="15"/>
        <v>0</v>
      </c>
      <c r="S44" s="51" t="s">
        <v>94</v>
      </c>
      <c r="T44" s="52"/>
      <c r="U44" s="53"/>
      <c r="V44" s="53"/>
      <c r="W44" s="53"/>
      <c r="X44" s="53"/>
      <c r="Y44" s="53"/>
      <c r="Z44" s="53"/>
      <c r="AA44" s="53"/>
      <c r="AB44" s="53"/>
      <c r="AC44" s="53"/>
      <c r="AD44" s="54"/>
      <c r="AE44" s="54"/>
      <c r="AF44" s="55"/>
      <c r="AG44" s="68"/>
      <c r="AH44" s="55"/>
      <c r="AI44" s="55"/>
      <c r="AJ44" s="54"/>
      <c r="AK44" s="54"/>
      <c r="AL44" s="54"/>
      <c r="AM44" s="54"/>
      <c r="AN44" s="57"/>
      <c r="AO44" s="57"/>
    </row>
    <row r="45" ht="15.75" customHeight="1">
      <c r="A45" s="69">
        <v>43796.0</v>
      </c>
      <c r="B45" s="144" t="s">
        <v>167</v>
      </c>
      <c r="C45" s="70" t="s">
        <v>168</v>
      </c>
      <c r="D45" s="71" t="s">
        <v>169</v>
      </c>
      <c r="E45" s="23" t="s">
        <v>170</v>
      </c>
      <c r="F45" s="24">
        <v>3.0</v>
      </c>
      <c r="G45" s="48">
        <v>1429.0</v>
      </c>
      <c r="H45" s="60">
        <f t="shared" ref="H45:H50" si="16">F45*G45</f>
        <v>4287</v>
      </c>
      <c r="I45" s="61" t="s">
        <v>171</v>
      </c>
      <c r="J45" s="58" t="s">
        <v>172</v>
      </c>
      <c r="K45" s="145">
        <v>43832.0</v>
      </c>
      <c r="L45" s="44">
        <v>43840.0</v>
      </c>
      <c r="M45" s="63"/>
      <c r="N45" s="64">
        <v>2.019120200002E12</v>
      </c>
      <c r="O45" s="34"/>
      <c r="P45" s="34">
        <f t="shared" si="14"/>
        <v>0</v>
      </c>
      <c r="Q45" s="34"/>
      <c r="R45" s="34">
        <f t="shared" si="15"/>
        <v>0</v>
      </c>
      <c r="S45" s="76"/>
      <c r="T45" s="52"/>
      <c r="U45" s="53"/>
      <c r="V45" s="53"/>
      <c r="W45" s="53"/>
      <c r="X45" s="53"/>
      <c r="Y45" s="53" t="s">
        <v>173</v>
      </c>
      <c r="Z45" s="53">
        <v>6.6103051E9</v>
      </c>
      <c r="AA45" s="53">
        <v>30.04</v>
      </c>
      <c r="AB45" s="53"/>
      <c r="AC45" s="53"/>
      <c r="AD45" s="54"/>
      <c r="AE45" s="54"/>
      <c r="AF45" s="55"/>
      <c r="AG45" s="146">
        <v>43819.0</v>
      </c>
      <c r="AH45" s="55">
        <f>20251.38*30.133</f>
        <v>610234.8335</v>
      </c>
      <c r="AI45" s="55">
        <f>(20306-54.62)</f>
        <v>20251.38</v>
      </c>
      <c r="AJ45" s="54" t="s">
        <v>50</v>
      </c>
      <c r="AK45" s="54"/>
      <c r="AL45" s="54"/>
      <c r="AM45" s="54"/>
      <c r="AN45" s="57"/>
      <c r="AO45" s="57"/>
    </row>
    <row r="46" ht="15.75" customHeight="1">
      <c r="A46" s="69">
        <v>43796.0</v>
      </c>
      <c r="B46" s="144" t="s">
        <v>167</v>
      </c>
      <c r="C46" s="70" t="s">
        <v>168</v>
      </c>
      <c r="D46" s="71" t="s">
        <v>169</v>
      </c>
      <c r="E46" s="32" t="s">
        <v>174</v>
      </c>
      <c r="F46" s="24">
        <v>3.0</v>
      </c>
      <c r="G46" s="48">
        <v>72.0</v>
      </c>
      <c r="H46" s="60">
        <f t="shared" si="16"/>
        <v>216</v>
      </c>
      <c r="I46" s="61" t="s">
        <v>171</v>
      </c>
      <c r="J46" s="58" t="s">
        <v>172</v>
      </c>
      <c r="K46" s="145">
        <v>43832.0</v>
      </c>
      <c r="L46" s="44">
        <v>43840.0</v>
      </c>
      <c r="M46" s="63"/>
      <c r="N46" s="64"/>
      <c r="O46" s="34"/>
      <c r="P46" s="34">
        <f t="shared" si="14"/>
        <v>0</v>
      </c>
      <c r="Q46" s="34"/>
      <c r="R46" s="34">
        <f t="shared" si="15"/>
        <v>0</v>
      </c>
      <c r="S46" s="76"/>
      <c r="T46" s="52"/>
      <c r="U46" s="53"/>
      <c r="V46" s="53"/>
      <c r="W46" s="53"/>
      <c r="X46" s="53"/>
      <c r="Y46" s="53" t="s">
        <v>173</v>
      </c>
      <c r="Z46" s="53">
        <v>6.6103051E9</v>
      </c>
      <c r="AA46" s="53">
        <v>30.04</v>
      </c>
      <c r="AB46" s="53"/>
      <c r="AC46" s="53"/>
      <c r="AD46" s="54"/>
      <c r="AE46" s="54"/>
      <c r="AF46" s="55"/>
      <c r="AG46" s="146">
        <v>43819.0</v>
      </c>
      <c r="AH46" s="55" t="s">
        <v>175</v>
      </c>
      <c r="AI46" s="55" t="s">
        <v>176</v>
      </c>
      <c r="AJ46" s="54" t="s">
        <v>50</v>
      </c>
      <c r="AK46" s="54"/>
      <c r="AL46" s="54"/>
      <c r="AM46" s="54"/>
      <c r="AN46" s="57"/>
      <c r="AO46" s="57"/>
    </row>
    <row r="47" ht="15.75" customHeight="1">
      <c r="A47" s="69">
        <v>43796.0</v>
      </c>
      <c r="B47" s="147" t="s">
        <v>167</v>
      </c>
      <c r="C47" s="70" t="s">
        <v>168</v>
      </c>
      <c r="D47" s="71" t="s">
        <v>169</v>
      </c>
      <c r="E47" s="23" t="s">
        <v>177</v>
      </c>
      <c r="F47" s="24">
        <v>3.0</v>
      </c>
      <c r="G47" s="48">
        <v>61.0</v>
      </c>
      <c r="H47" s="60">
        <f t="shared" si="16"/>
        <v>183</v>
      </c>
      <c r="I47" s="61" t="s">
        <v>171</v>
      </c>
      <c r="J47" s="58" t="s">
        <v>172</v>
      </c>
      <c r="K47" s="145">
        <v>43832.0</v>
      </c>
      <c r="L47" s="44">
        <v>43840.0</v>
      </c>
      <c r="M47" s="63" t="s">
        <v>178</v>
      </c>
      <c r="N47" s="148" t="s">
        <v>179</v>
      </c>
      <c r="O47" s="34"/>
      <c r="P47" s="142">
        <f t="shared" si="14"/>
        <v>0</v>
      </c>
      <c r="Q47" s="75"/>
      <c r="R47" s="75">
        <f t="shared" si="15"/>
        <v>0</v>
      </c>
      <c r="S47" s="76"/>
      <c r="T47" s="52"/>
      <c r="U47" s="53"/>
      <c r="V47" s="53"/>
      <c r="W47" s="53"/>
      <c r="X47" s="53"/>
      <c r="Y47" s="53" t="s">
        <v>173</v>
      </c>
      <c r="Z47" s="53">
        <v>6.6103051E9</v>
      </c>
      <c r="AA47" s="53">
        <v>30.04</v>
      </c>
      <c r="AB47" s="53"/>
      <c r="AC47" s="53"/>
      <c r="AD47" s="54"/>
      <c r="AE47" s="54"/>
      <c r="AF47" s="55"/>
      <c r="AG47" s="146">
        <v>43819.0</v>
      </c>
      <c r="AH47" s="55" t="s">
        <v>175</v>
      </c>
      <c r="AI47" s="55" t="s">
        <v>176</v>
      </c>
      <c r="AJ47" s="54" t="s">
        <v>50</v>
      </c>
      <c r="AK47" s="54"/>
      <c r="AL47" s="54"/>
      <c r="AM47" s="54"/>
      <c r="AN47" s="57"/>
      <c r="AO47" s="57"/>
    </row>
    <row r="48" ht="15.75" customHeight="1">
      <c r="A48" s="69">
        <v>43796.0</v>
      </c>
      <c r="B48" s="144" t="s">
        <v>167</v>
      </c>
      <c r="C48" s="21" t="s">
        <v>168</v>
      </c>
      <c r="D48" s="71" t="s">
        <v>180</v>
      </c>
      <c r="E48" s="23" t="s">
        <v>170</v>
      </c>
      <c r="F48" s="24">
        <v>7.0</v>
      </c>
      <c r="G48" s="48">
        <v>1429.0</v>
      </c>
      <c r="H48" s="60">
        <f t="shared" si="16"/>
        <v>10003</v>
      </c>
      <c r="I48" s="61" t="s">
        <v>171</v>
      </c>
      <c r="J48" s="58" t="s">
        <v>172</v>
      </c>
      <c r="K48" s="149">
        <v>43865.0</v>
      </c>
      <c r="L48" s="43">
        <v>43864.0</v>
      </c>
      <c r="M48" s="63"/>
      <c r="N48" s="64">
        <v>2.019120200002E12</v>
      </c>
      <c r="O48" s="34"/>
      <c r="P48" s="34">
        <f t="shared" si="14"/>
        <v>0</v>
      </c>
      <c r="Q48" s="142"/>
      <c r="R48" s="75">
        <f t="shared" si="15"/>
        <v>0</v>
      </c>
      <c r="S48" s="76"/>
      <c r="T48" s="135"/>
      <c r="U48" s="53"/>
      <c r="V48" s="53"/>
      <c r="W48" s="53"/>
      <c r="X48" s="53"/>
      <c r="Y48" s="53"/>
      <c r="Z48" s="53"/>
      <c r="AA48" s="53"/>
      <c r="AB48" s="53"/>
      <c r="AC48" s="53"/>
      <c r="AD48" s="54"/>
      <c r="AE48" s="54"/>
      <c r="AF48" s="55"/>
      <c r="AG48" s="146">
        <v>43819.0</v>
      </c>
      <c r="AH48" s="55" t="s">
        <v>175</v>
      </c>
      <c r="AI48" s="55" t="s">
        <v>176</v>
      </c>
      <c r="AJ48" s="54" t="s">
        <v>50</v>
      </c>
      <c r="AK48" s="54"/>
      <c r="AL48" s="54"/>
      <c r="AM48" s="54"/>
      <c r="AN48" s="54"/>
      <c r="AO48" s="57"/>
    </row>
    <row r="49" ht="15.75" customHeight="1">
      <c r="A49" s="69">
        <v>43796.0</v>
      </c>
      <c r="B49" s="144" t="s">
        <v>167</v>
      </c>
      <c r="C49" s="21" t="s">
        <v>168</v>
      </c>
      <c r="D49" s="21" t="s">
        <v>180</v>
      </c>
      <c r="E49" s="141" t="s">
        <v>174</v>
      </c>
      <c r="F49" s="24">
        <v>7.0</v>
      </c>
      <c r="G49" s="48">
        <v>72.0</v>
      </c>
      <c r="H49" s="60">
        <f t="shared" si="16"/>
        <v>504</v>
      </c>
      <c r="I49" s="61" t="s">
        <v>171</v>
      </c>
      <c r="J49" s="58" t="s">
        <v>172</v>
      </c>
      <c r="K49" s="149">
        <v>43865.0</v>
      </c>
      <c r="L49" s="43">
        <v>43864.0</v>
      </c>
      <c r="M49" s="63"/>
      <c r="N49" s="64"/>
      <c r="O49" s="34"/>
      <c r="P49" s="142">
        <f t="shared" si="14"/>
        <v>0</v>
      </c>
      <c r="Q49" s="75"/>
      <c r="R49" s="75">
        <f t="shared" si="15"/>
        <v>0</v>
      </c>
      <c r="S49" s="66"/>
      <c r="T49" s="52"/>
      <c r="U49" s="53"/>
      <c r="V49" s="53"/>
      <c r="W49" s="53"/>
      <c r="X49" s="53"/>
      <c r="Y49" s="53"/>
      <c r="Z49" s="53"/>
      <c r="AA49" s="53"/>
      <c r="AB49" s="53"/>
      <c r="AC49" s="53"/>
      <c r="AD49" s="54"/>
      <c r="AE49" s="54"/>
      <c r="AF49" s="55"/>
      <c r="AG49" s="146">
        <v>43819.0</v>
      </c>
      <c r="AH49" s="55" t="s">
        <v>175</v>
      </c>
      <c r="AI49" s="55" t="s">
        <v>176</v>
      </c>
      <c r="AJ49" s="54" t="s">
        <v>50</v>
      </c>
      <c r="AK49" s="54"/>
      <c r="AL49" s="54"/>
      <c r="AM49" s="54"/>
      <c r="AN49" s="57"/>
      <c r="AO49" s="57"/>
    </row>
    <row r="50" ht="15.75" customHeight="1">
      <c r="A50" s="69">
        <v>43796.0</v>
      </c>
      <c r="B50" s="147" t="s">
        <v>167</v>
      </c>
      <c r="C50" s="70" t="s">
        <v>168</v>
      </c>
      <c r="D50" s="71" t="s">
        <v>180</v>
      </c>
      <c r="E50" s="23" t="s">
        <v>177</v>
      </c>
      <c r="F50" s="130">
        <v>7.0</v>
      </c>
      <c r="G50" s="25">
        <v>61.0</v>
      </c>
      <c r="H50" s="60">
        <f t="shared" si="16"/>
        <v>427</v>
      </c>
      <c r="I50" s="61" t="s">
        <v>171</v>
      </c>
      <c r="J50" s="31" t="s">
        <v>172</v>
      </c>
      <c r="K50" s="149">
        <v>43865.0</v>
      </c>
      <c r="L50" s="43">
        <v>43864.0</v>
      </c>
      <c r="M50" s="63" t="s">
        <v>178</v>
      </c>
      <c r="N50" s="148" t="s">
        <v>179</v>
      </c>
      <c r="O50" s="34"/>
      <c r="P50" s="142">
        <f t="shared" si="14"/>
        <v>0</v>
      </c>
      <c r="Q50" s="75"/>
      <c r="R50" s="75">
        <f t="shared" si="15"/>
        <v>0</v>
      </c>
      <c r="S50" s="76"/>
      <c r="T50" s="52"/>
      <c r="U50" s="53"/>
      <c r="V50" s="53"/>
      <c r="W50" s="53"/>
      <c r="X50" s="53"/>
      <c r="Y50" s="53"/>
      <c r="Z50" s="53"/>
      <c r="AA50" s="53"/>
      <c r="AB50" s="53"/>
      <c r="AC50" s="53"/>
      <c r="AD50" s="54"/>
      <c r="AE50" s="54"/>
      <c r="AF50" s="55"/>
      <c r="AG50" s="146">
        <v>43819.0</v>
      </c>
      <c r="AH50" s="55" t="s">
        <v>175</v>
      </c>
      <c r="AI50" s="55" t="s">
        <v>176</v>
      </c>
      <c r="AJ50" s="54" t="s">
        <v>50</v>
      </c>
      <c r="AK50" s="54"/>
      <c r="AL50" s="54"/>
      <c r="AM50" s="54"/>
      <c r="AN50" s="57"/>
      <c r="AO50" s="57"/>
    </row>
    <row r="51" ht="15.75" customHeight="1">
      <c r="A51" s="69">
        <v>43802.0</v>
      </c>
      <c r="B51" s="32" t="s">
        <v>77</v>
      </c>
      <c r="C51" s="21">
        <v>913.0</v>
      </c>
      <c r="D51" s="21" t="s">
        <v>181</v>
      </c>
      <c r="E51" s="23" t="s">
        <v>182</v>
      </c>
      <c r="F51" s="130">
        <v>50.0</v>
      </c>
      <c r="G51" s="25">
        <v>2.7</v>
      </c>
      <c r="H51" s="26">
        <f t="shared" ref="H51:H53" si="17">G51*F51</f>
        <v>135</v>
      </c>
      <c r="I51" s="61" t="s">
        <v>43</v>
      </c>
      <c r="J51" s="62" t="s">
        <v>183</v>
      </c>
      <c r="K51" s="44">
        <v>43839.0</v>
      </c>
      <c r="L51" s="29">
        <v>43829.0</v>
      </c>
      <c r="M51" s="54" t="s">
        <v>184</v>
      </c>
      <c r="N51" s="64" t="s">
        <v>185</v>
      </c>
      <c r="O51" s="34"/>
      <c r="P51" s="142">
        <f t="shared" si="14"/>
        <v>0</v>
      </c>
      <c r="Q51" s="75">
        <v>60.0</v>
      </c>
      <c r="R51" s="75">
        <f t="shared" si="15"/>
        <v>3150</v>
      </c>
      <c r="S51" s="150" t="s">
        <v>186</v>
      </c>
      <c r="T51" s="52"/>
      <c r="U51" s="53"/>
      <c r="V51" s="53"/>
      <c r="W51" s="53"/>
      <c r="X51" s="53"/>
      <c r="Y51" s="53"/>
      <c r="Z51" s="53"/>
      <c r="AA51" s="53"/>
      <c r="AB51" s="53"/>
      <c r="AC51" s="53"/>
      <c r="AD51" s="54"/>
      <c r="AE51" s="54"/>
      <c r="AF51" s="55"/>
      <c r="AG51" s="56">
        <v>43872.0</v>
      </c>
      <c r="AH51" s="55">
        <f>392*29.96</f>
        <v>11744.32</v>
      </c>
      <c r="AI51" s="55">
        <v>0.0</v>
      </c>
      <c r="AJ51" s="54" t="s">
        <v>50</v>
      </c>
      <c r="AK51" s="54"/>
      <c r="AL51" s="54"/>
      <c r="AM51" s="54"/>
      <c r="AN51" s="57"/>
      <c r="AO51" s="57"/>
    </row>
    <row r="52" ht="15.75" customHeight="1">
      <c r="A52" s="19">
        <v>43803.0</v>
      </c>
      <c r="B52" s="22" t="s">
        <v>40</v>
      </c>
      <c r="C52" s="21">
        <v>2032210.0</v>
      </c>
      <c r="D52" s="22" t="s">
        <v>187</v>
      </c>
      <c r="E52" s="151" t="s">
        <v>188</v>
      </c>
      <c r="F52" s="130">
        <v>50.0</v>
      </c>
      <c r="G52" s="25">
        <v>278.0</v>
      </c>
      <c r="H52" s="60">
        <f t="shared" si="17"/>
        <v>13900</v>
      </c>
      <c r="I52" s="61" t="s">
        <v>43</v>
      </c>
      <c r="J52" s="132" t="s">
        <v>80</v>
      </c>
      <c r="K52" s="43">
        <v>43864.0</v>
      </c>
      <c r="L52" s="146"/>
      <c r="M52" s="63" t="s">
        <v>127</v>
      </c>
      <c r="N52" s="64"/>
      <c r="O52" s="34"/>
      <c r="P52" s="152">
        <f t="shared" si="14"/>
        <v>0</v>
      </c>
      <c r="Q52" s="107"/>
      <c r="R52" s="106">
        <f t="shared" si="15"/>
        <v>0</v>
      </c>
      <c r="S52" s="76"/>
      <c r="T52" s="52"/>
      <c r="U52" s="53"/>
      <c r="V52" s="53"/>
      <c r="W52" s="53"/>
      <c r="X52" s="53"/>
      <c r="Y52" s="53"/>
      <c r="Z52" s="53"/>
      <c r="AA52" s="53"/>
      <c r="AB52" s="53"/>
      <c r="AC52" s="53"/>
      <c r="AD52" s="54"/>
      <c r="AE52" s="54"/>
      <c r="AF52" s="55"/>
      <c r="AG52" s="56">
        <v>43892.0</v>
      </c>
      <c r="AH52" s="55">
        <f>13893.04*30.043</f>
        <v>417388.6007</v>
      </c>
      <c r="AI52" s="55">
        <f>6.96*30.043</f>
        <v>209.09928</v>
      </c>
      <c r="AJ52" s="54" t="s">
        <v>50</v>
      </c>
      <c r="AK52" s="54"/>
      <c r="AL52" s="54"/>
      <c r="AM52" s="54"/>
      <c r="AN52" s="57"/>
      <c r="AO52" s="57"/>
    </row>
    <row r="53" ht="15.75" customHeight="1">
      <c r="A53" s="19">
        <v>43803.0</v>
      </c>
      <c r="B53" s="22" t="s">
        <v>40</v>
      </c>
      <c r="C53" s="21">
        <v>2032210.0</v>
      </c>
      <c r="D53" s="21" t="s">
        <v>189</v>
      </c>
      <c r="E53" s="151" t="s">
        <v>188</v>
      </c>
      <c r="F53" s="130">
        <v>50.0</v>
      </c>
      <c r="G53" s="25">
        <v>278.0</v>
      </c>
      <c r="H53" s="81">
        <f t="shared" si="17"/>
        <v>13900</v>
      </c>
      <c r="I53" s="61" t="s">
        <v>43</v>
      </c>
      <c r="J53" s="62" t="s">
        <v>80</v>
      </c>
      <c r="K53" s="43">
        <v>43983.0</v>
      </c>
      <c r="L53" s="153"/>
      <c r="M53" s="63" t="s">
        <v>127</v>
      </c>
      <c r="N53" s="64"/>
      <c r="O53" s="34"/>
      <c r="P53" s="152">
        <f t="shared" si="14"/>
        <v>0</v>
      </c>
      <c r="Q53" s="107"/>
      <c r="R53" s="106">
        <f t="shared" si="15"/>
        <v>0</v>
      </c>
      <c r="S53" s="76"/>
      <c r="T53" s="52"/>
      <c r="U53" s="53"/>
      <c r="V53" s="53"/>
      <c r="W53" s="53"/>
      <c r="X53" s="53"/>
      <c r="Y53" s="53"/>
      <c r="Z53" s="53"/>
      <c r="AA53" s="53"/>
      <c r="AB53" s="53"/>
      <c r="AC53" s="53"/>
      <c r="AD53" s="54"/>
      <c r="AE53" s="54"/>
      <c r="AF53" s="55"/>
      <c r="AG53" s="68"/>
      <c r="AH53" s="55"/>
      <c r="AI53" s="55"/>
      <c r="AJ53" s="54"/>
      <c r="AK53" s="54"/>
      <c r="AL53" s="54"/>
      <c r="AM53" s="54"/>
      <c r="AN53" s="57"/>
      <c r="AO53" s="57"/>
    </row>
    <row r="54" ht="15.75" customHeight="1">
      <c r="A54" s="110">
        <v>43808.0</v>
      </c>
      <c r="B54" s="144" t="s">
        <v>167</v>
      </c>
      <c r="C54" s="71" t="s">
        <v>190</v>
      </c>
      <c r="D54" s="71" t="s">
        <v>191</v>
      </c>
      <c r="E54" s="72" t="s">
        <v>170</v>
      </c>
      <c r="F54" s="114">
        <v>3.0</v>
      </c>
      <c r="G54" s="115">
        <v>1429.0</v>
      </c>
      <c r="H54" s="60">
        <f t="shared" ref="H54:H56" si="18">F54*G54</f>
        <v>4287</v>
      </c>
      <c r="I54" s="154" t="s">
        <v>171</v>
      </c>
      <c r="J54" s="58" t="s">
        <v>172</v>
      </c>
      <c r="K54" s="149">
        <v>43865.0</v>
      </c>
      <c r="L54" s="43">
        <v>43864.0</v>
      </c>
      <c r="M54" s="63"/>
      <c r="N54" s="64">
        <v>2.019120900001E12</v>
      </c>
      <c r="O54" s="34"/>
      <c r="P54" s="34">
        <f t="shared" si="14"/>
        <v>0</v>
      </c>
      <c r="Q54" s="34"/>
      <c r="R54" s="34">
        <f t="shared" si="15"/>
        <v>0</v>
      </c>
      <c r="S54" s="76"/>
      <c r="T54" s="52"/>
      <c r="U54" s="53"/>
      <c r="V54" s="53"/>
      <c r="W54" s="53"/>
      <c r="X54" s="53"/>
      <c r="Y54" s="53"/>
      <c r="Z54" s="53"/>
      <c r="AA54" s="53"/>
      <c r="AB54" s="53"/>
      <c r="AC54" s="53"/>
      <c r="AD54" s="54"/>
      <c r="AE54" s="54"/>
      <c r="AF54" s="55"/>
      <c r="AG54" s="146">
        <v>43819.0</v>
      </c>
      <c r="AH54" s="55" t="s">
        <v>175</v>
      </c>
      <c r="AI54" s="55" t="s">
        <v>176</v>
      </c>
      <c r="AJ54" s="54" t="s">
        <v>50</v>
      </c>
      <c r="AK54" s="54"/>
      <c r="AL54" s="54"/>
      <c r="AM54" s="54"/>
      <c r="AN54" s="54"/>
      <c r="AO54" s="57"/>
    </row>
    <row r="55" ht="15.75" customHeight="1">
      <c r="A55" s="69">
        <v>43808.0</v>
      </c>
      <c r="B55" s="144" t="s">
        <v>167</v>
      </c>
      <c r="C55" s="21" t="s">
        <v>190</v>
      </c>
      <c r="D55" s="71" t="s">
        <v>191</v>
      </c>
      <c r="E55" s="32" t="s">
        <v>174</v>
      </c>
      <c r="F55" s="24">
        <v>3.0</v>
      </c>
      <c r="G55" s="48">
        <v>72.0</v>
      </c>
      <c r="H55" s="60">
        <f t="shared" si="18"/>
        <v>216</v>
      </c>
      <c r="I55" s="61" t="s">
        <v>171</v>
      </c>
      <c r="J55" s="58" t="s">
        <v>172</v>
      </c>
      <c r="K55" s="149">
        <v>43865.0</v>
      </c>
      <c r="L55" s="43">
        <v>43864.0</v>
      </c>
      <c r="M55" s="63"/>
      <c r="N55" s="64"/>
      <c r="O55" s="34"/>
      <c r="P55" s="34">
        <f t="shared" si="14"/>
        <v>0</v>
      </c>
      <c r="Q55" s="34"/>
      <c r="R55" s="34">
        <f t="shared" si="15"/>
        <v>0</v>
      </c>
      <c r="S55" s="76"/>
      <c r="T55" s="52"/>
      <c r="U55" s="53"/>
      <c r="V55" s="53"/>
      <c r="W55" s="53"/>
      <c r="X55" s="53"/>
      <c r="Y55" s="53"/>
      <c r="Z55" s="53"/>
      <c r="AA55" s="53"/>
      <c r="AB55" s="53"/>
      <c r="AC55" s="53"/>
      <c r="AD55" s="54"/>
      <c r="AE55" s="54"/>
      <c r="AF55" s="55"/>
      <c r="AG55" s="146">
        <v>43819.0</v>
      </c>
      <c r="AH55" s="55" t="s">
        <v>175</v>
      </c>
      <c r="AI55" s="55" t="s">
        <v>176</v>
      </c>
      <c r="AJ55" s="54" t="s">
        <v>50</v>
      </c>
      <c r="AK55" s="54"/>
      <c r="AL55" s="54"/>
      <c r="AM55" s="54"/>
      <c r="AN55" s="54"/>
      <c r="AO55" s="57"/>
    </row>
    <row r="56" ht="15.75" customHeight="1">
      <c r="A56" s="69">
        <v>43808.0</v>
      </c>
      <c r="B56" s="144" t="s">
        <v>167</v>
      </c>
      <c r="C56" s="21" t="s">
        <v>190</v>
      </c>
      <c r="D56" s="71" t="s">
        <v>191</v>
      </c>
      <c r="E56" s="32" t="s">
        <v>177</v>
      </c>
      <c r="F56" s="24">
        <v>3.0</v>
      </c>
      <c r="G56" s="48">
        <v>61.0</v>
      </c>
      <c r="H56" s="60">
        <f t="shared" si="18"/>
        <v>183</v>
      </c>
      <c r="I56" s="61" t="s">
        <v>171</v>
      </c>
      <c r="J56" s="58" t="s">
        <v>172</v>
      </c>
      <c r="K56" s="149">
        <v>43865.0</v>
      </c>
      <c r="L56" s="43">
        <v>43864.0</v>
      </c>
      <c r="M56" s="63" t="s">
        <v>178</v>
      </c>
      <c r="N56" s="148" t="s">
        <v>179</v>
      </c>
      <c r="O56" s="34"/>
      <c r="P56" s="152">
        <f t="shared" si="14"/>
        <v>0</v>
      </c>
      <c r="Q56" s="107"/>
      <c r="R56" s="106">
        <f t="shared" si="15"/>
        <v>0</v>
      </c>
      <c r="S56" s="76"/>
      <c r="T56" s="52"/>
      <c r="U56" s="53"/>
      <c r="V56" s="53"/>
      <c r="W56" s="53"/>
      <c r="X56" s="53"/>
      <c r="Y56" s="53"/>
      <c r="Z56" s="53"/>
      <c r="AA56" s="53"/>
      <c r="AB56" s="53"/>
      <c r="AC56" s="53"/>
      <c r="AD56" s="54"/>
      <c r="AE56" s="54"/>
      <c r="AF56" s="55"/>
      <c r="AG56" s="146">
        <v>43819.0</v>
      </c>
      <c r="AH56" s="55" t="s">
        <v>175</v>
      </c>
      <c r="AI56" s="55" t="s">
        <v>176</v>
      </c>
      <c r="AJ56" s="54" t="s">
        <v>50</v>
      </c>
      <c r="AK56" s="54"/>
      <c r="AL56" s="54"/>
      <c r="AM56" s="54"/>
      <c r="AN56" s="54"/>
      <c r="AO56" s="57"/>
    </row>
    <row r="57" ht="15.75" customHeight="1">
      <c r="A57" s="69">
        <v>43810.0</v>
      </c>
      <c r="B57" s="23" t="s">
        <v>77</v>
      </c>
      <c r="C57" s="21">
        <v>959.0</v>
      </c>
      <c r="D57" s="71" t="s">
        <v>192</v>
      </c>
      <c r="E57" s="32" t="s">
        <v>193</v>
      </c>
      <c r="F57" s="24">
        <v>1.0</v>
      </c>
      <c r="G57" s="48">
        <v>257.0</v>
      </c>
      <c r="H57" s="26">
        <f t="shared" ref="H57:H75" si="19">G57*F57</f>
        <v>257</v>
      </c>
      <c r="I57" s="61" t="s">
        <v>43</v>
      </c>
      <c r="J57" s="62" t="s">
        <v>183</v>
      </c>
      <c r="K57" s="43">
        <v>43839.0</v>
      </c>
      <c r="L57" s="43"/>
      <c r="M57" s="54"/>
      <c r="N57" s="64"/>
      <c r="O57" s="34"/>
      <c r="P57" s="152">
        <f t="shared" si="14"/>
        <v>0</v>
      </c>
      <c r="Q57" s="107"/>
      <c r="R57" s="106">
        <f t="shared" si="15"/>
        <v>0</v>
      </c>
      <c r="S57" s="150"/>
      <c r="T57" s="52"/>
      <c r="U57" s="53"/>
      <c r="V57" s="53"/>
      <c r="W57" s="53"/>
      <c r="X57" s="53"/>
      <c r="Y57" s="53"/>
      <c r="Z57" s="53"/>
      <c r="AA57" s="53"/>
      <c r="AB57" s="53"/>
      <c r="AC57" s="53"/>
      <c r="AD57" s="54"/>
      <c r="AE57" s="54"/>
      <c r="AF57" s="55"/>
      <c r="AG57" s="56">
        <v>43872.0</v>
      </c>
      <c r="AH57" s="55" t="s">
        <v>194</v>
      </c>
      <c r="AI57" s="55" t="s">
        <v>195</v>
      </c>
      <c r="AJ57" s="54" t="s">
        <v>50</v>
      </c>
      <c r="AK57" s="54"/>
      <c r="AL57" s="54"/>
      <c r="AM57" s="54"/>
      <c r="AN57" s="54"/>
      <c r="AO57" s="57"/>
    </row>
    <row r="58" ht="15.75" customHeight="1">
      <c r="A58" s="69">
        <v>43815.0</v>
      </c>
      <c r="B58" s="70" t="s">
        <v>140</v>
      </c>
      <c r="C58" s="21" t="s">
        <v>196</v>
      </c>
      <c r="D58" s="71" t="s">
        <v>197</v>
      </c>
      <c r="E58" s="32" t="s">
        <v>198</v>
      </c>
      <c r="F58" s="24">
        <v>2.0</v>
      </c>
      <c r="G58" s="48">
        <v>140.0</v>
      </c>
      <c r="H58" s="26">
        <f t="shared" si="19"/>
        <v>280</v>
      </c>
      <c r="I58" s="61" t="s">
        <v>144</v>
      </c>
      <c r="J58" s="63" t="s">
        <v>199</v>
      </c>
      <c r="K58" s="44">
        <v>43868.0</v>
      </c>
      <c r="L58" s="44">
        <v>43865.0</v>
      </c>
      <c r="M58" s="63" t="s">
        <v>90</v>
      </c>
      <c r="N58" s="64" t="s">
        <v>200</v>
      </c>
      <c r="O58" s="34">
        <v>128.0</v>
      </c>
      <c r="P58" s="155">
        <f t="shared" si="14"/>
        <v>268.8</v>
      </c>
      <c r="Q58" s="89"/>
      <c r="R58" s="86">
        <f t="shared" si="15"/>
        <v>0</v>
      </c>
      <c r="S58" s="35" t="s">
        <v>94</v>
      </c>
      <c r="T58" s="52"/>
      <c r="U58" s="53"/>
      <c r="V58" s="53"/>
      <c r="W58" s="53"/>
      <c r="X58" s="53"/>
      <c r="Y58" s="53"/>
      <c r="Z58" s="53"/>
      <c r="AA58" s="53"/>
      <c r="AB58" s="53"/>
      <c r="AC58" s="53"/>
      <c r="AD58" s="54"/>
      <c r="AE58" s="54"/>
      <c r="AF58" s="55"/>
      <c r="AG58" s="108">
        <v>43860.0</v>
      </c>
      <c r="AH58" s="107" t="s">
        <v>147</v>
      </c>
      <c r="AI58" s="107" t="s">
        <v>148</v>
      </c>
      <c r="AJ58" s="107" t="s">
        <v>50</v>
      </c>
      <c r="AK58" s="54"/>
      <c r="AL58" s="54"/>
      <c r="AM58" s="54"/>
      <c r="AN58" s="54"/>
      <c r="AO58" s="57"/>
    </row>
    <row r="59" ht="15.75" customHeight="1">
      <c r="A59" s="69">
        <v>43815.0</v>
      </c>
      <c r="B59" s="70" t="s">
        <v>140</v>
      </c>
      <c r="C59" s="21" t="s">
        <v>196</v>
      </c>
      <c r="D59" s="71" t="s">
        <v>197</v>
      </c>
      <c r="E59" s="32" t="s">
        <v>201</v>
      </c>
      <c r="F59" s="24">
        <v>1.0</v>
      </c>
      <c r="G59" s="48">
        <v>189.0</v>
      </c>
      <c r="H59" s="26">
        <f t="shared" si="19"/>
        <v>189</v>
      </c>
      <c r="I59" s="61" t="s">
        <v>144</v>
      </c>
      <c r="J59" s="63" t="s">
        <v>199</v>
      </c>
      <c r="K59" s="44">
        <v>43868.0</v>
      </c>
      <c r="L59" s="44">
        <v>43865.0</v>
      </c>
      <c r="M59" s="63" t="s">
        <v>90</v>
      </c>
      <c r="N59" s="64" t="s">
        <v>200</v>
      </c>
      <c r="O59" s="34">
        <v>182.0</v>
      </c>
      <c r="P59" s="155">
        <f t="shared" si="14"/>
        <v>191.1</v>
      </c>
      <c r="Q59" s="89"/>
      <c r="R59" s="86">
        <f t="shared" si="15"/>
        <v>0</v>
      </c>
      <c r="S59" s="35" t="s">
        <v>94</v>
      </c>
      <c r="T59" s="52"/>
      <c r="U59" s="53"/>
      <c r="V59" s="53"/>
      <c r="W59" s="53"/>
      <c r="X59" s="53"/>
      <c r="Y59" s="53"/>
      <c r="Z59" s="53"/>
      <c r="AA59" s="53"/>
      <c r="AB59" s="53"/>
      <c r="AC59" s="53"/>
      <c r="AD59" s="54"/>
      <c r="AE59" s="54"/>
      <c r="AF59" s="55"/>
      <c r="AG59" s="108">
        <v>43860.0</v>
      </c>
      <c r="AH59" s="107" t="s">
        <v>147</v>
      </c>
      <c r="AI59" s="107" t="s">
        <v>148</v>
      </c>
      <c r="AJ59" s="107" t="s">
        <v>50</v>
      </c>
      <c r="AK59" s="54"/>
      <c r="AL59" s="54"/>
      <c r="AM59" s="54"/>
      <c r="AN59" s="54"/>
      <c r="AO59" s="57"/>
    </row>
    <row r="60" ht="15.75" customHeight="1">
      <c r="A60" s="69">
        <v>43815.0</v>
      </c>
      <c r="B60" s="70" t="s">
        <v>140</v>
      </c>
      <c r="C60" s="21" t="s">
        <v>202</v>
      </c>
      <c r="D60" s="71" t="s">
        <v>197</v>
      </c>
      <c r="E60" s="32" t="s">
        <v>203</v>
      </c>
      <c r="F60" s="49">
        <v>32.0</v>
      </c>
      <c r="G60" s="48">
        <v>124.0</v>
      </c>
      <c r="H60" s="26">
        <f t="shared" si="19"/>
        <v>3968</v>
      </c>
      <c r="I60" s="61" t="s">
        <v>144</v>
      </c>
      <c r="J60" s="63" t="s">
        <v>199</v>
      </c>
      <c r="K60" s="49" t="s">
        <v>204</v>
      </c>
      <c r="L60" s="49" t="s">
        <v>205</v>
      </c>
      <c r="M60" s="63" t="s">
        <v>90</v>
      </c>
      <c r="N60" s="64" t="s">
        <v>206</v>
      </c>
      <c r="O60" s="34">
        <v>120.0</v>
      </c>
      <c r="P60" s="155">
        <f t="shared" si="14"/>
        <v>4032</v>
      </c>
      <c r="Q60" s="89"/>
      <c r="R60" s="86">
        <f t="shared" si="15"/>
        <v>0</v>
      </c>
      <c r="S60" s="35" t="s">
        <v>94</v>
      </c>
      <c r="T60" s="52"/>
      <c r="U60" s="53"/>
      <c r="V60" s="53"/>
      <c r="W60" s="53"/>
      <c r="X60" s="53"/>
      <c r="Y60" s="53"/>
      <c r="Z60" s="53"/>
      <c r="AA60" s="53"/>
      <c r="AB60" s="53"/>
      <c r="AC60" s="53"/>
      <c r="AD60" s="54"/>
      <c r="AE60" s="54"/>
      <c r="AF60" s="55"/>
      <c r="AG60" s="156" t="s">
        <v>207</v>
      </c>
      <c r="AH60" s="107" t="s">
        <v>147</v>
      </c>
      <c r="AI60" s="107" t="s">
        <v>148</v>
      </c>
      <c r="AJ60" s="54"/>
      <c r="AK60" s="54"/>
      <c r="AL60" s="54"/>
      <c r="AM60" s="54"/>
      <c r="AN60" s="54"/>
      <c r="AO60" s="57"/>
    </row>
    <row r="61" ht="15.75" customHeight="1">
      <c r="A61" s="69">
        <v>43815.0</v>
      </c>
      <c r="B61" s="70" t="s">
        <v>140</v>
      </c>
      <c r="C61" s="66" t="s">
        <v>208</v>
      </c>
      <c r="D61" s="71" t="s">
        <v>209</v>
      </c>
      <c r="E61" s="23" t="s">
        <v>210</v>
      </c>
      <c r="F61" s="130">
        <v>3.0</v>
      </c>
      <c r="G61" s="25">
        <v>127.0</v>
      </c>
      <c r="H61" s="26">
        <f t="shared" si="19"/>
        <v>381</v>
      </c>
      <c r="I61" s="61" t="s">
        <v>144</v>
      </c>
      <c r="J61" s="63" t="s">
        <v>199</v>
      </c>
      <c r="K61" s="44">
        <v>43868.0</v>
      </c>
      <c r="L61" s="44">
        <v>43865.0</v>
      </c>
      <c r="M61" s="63" t="s">
        <v>90</v>
      </c>
      <c r="N61" s="64" t="s">
        <v>200</v>
      </c>
      <c r="O61" s="34">
        <v>118.0</v>
      </c>
      <c r="P61" s="157">
        <f t="shared" si="14"/>
        <v>371.7</v>
      </c>
      <c r="Q61" s="34"/>
      <c r="R61" s="34">
        <f t="shared" si="15"/>
        <v>0</v>
      </c>
      <c r="S61" s="35" t="s">
        <v>94</v>
      </c>
      <c r="T61" s="52"/>
      <c r="U61" s="53"/>
      <c r="V61" s="53"/>
      <c r="W61" s="53"/>
      <c r="X61" s="53"/>
      <c r="Y61" s="53"/>
      <c r="Z61" s="53"/>
      <c r="AA61" s="53"/>
      <c r="AB61" s="53"/>
      <c r="AC61" s="53"/>
      <c r="AD61" s="54"/>
      <c r="AE61" s="54"/>
      <c r="AF61" s="55"/>
      <c r="AG61" s="108">
        <v>43860.0</v>
      </c>
      <c r="AH61" s="107" t="s">
        <v>147</v>
      </c>
      <c r="AI61" s="107" t="s">
        <v>148</v>
      </c>
      <c r="AJ61" s="107" t="s">
        <v>50</v>
      </c>
      <c r="AK61" s="54"/>
      <c r="AL61" s="54"/>
      <c r="AM61" s="54"/>
      <c r="AN61" s="57"/>
      <c r="AO61" s="57"/>
    </row>
    <row r="62" ht="15.75" customHeight="1">
      <c r="A62" s="69">
        <v>43815.0</v>
      </c>
      <c r="B62" s="70" t="s">
        <v>140</v>
      </c>
      <c r="C62" s="66" t="s">
        <v>208</v>
      </c>
      <c r="D62" s="71" t="s">
        <v>209</v>
      </c>
      <c r="E62" s="23" t="s">
        <v>211</v>
      </c>
      <c r="F62" s="130">
        <v>10.0</v>
      </c>
      <c r="G62" s="25">
        <v>102.0</v>
      </c>
      <c r="H62" s="26">
        <f t="shared" si="19"/>
        <v>1020</v>
      </c>
      <c r="I62" s="61" t="s">
        <v>144</v>
      </c>
      <c r="J62" s="63" t="s">
        <v>199</v>
      </c>
      <c r="K62" s="44">
        <v>43893.0</v>
      </c>
      <c r="L62" s="44">
        <v>43887.0</v>
      </c>
      <c r="M62" s="63" t="s">
        <v>90</v>
      </c>
      <c r="N62" s="64" t="s">
        <v>200</v>
      </c>
      <c r="O62" s="34">
        <v>96.0</v>
      </c>
      <c r="P62" s="157">
        <f t="shared" si="14"/>
        <v>1008</v>
      </c>
      <c r="Q62" s="34"/>
      <c r="R62" s="34">
        <f t="shared" si="15"/>
        <v>0</v>
      </c>
      <c r="S62" s="35" t="s">
        <v>94</v>
      </c>
      <c r="T62" s="52"/>
      <c r="U62" s="53"/>
      <c r="V62" s="53"/>
      <c r="W62" s="53"/>
      <c r="X62" s="53"/>
      <c r="Y62" s="53"/>
      <c r="Z62" s="53"/>
      <c r="AA62" s="53"/>
      <c r="AB62" s="53"/>
      <c r="AC62" s="53"/>
      <c r="AD62" s="54"/>
      <c r="AE62" s="54"/>
      <c r="AF62" s="55"/>
      <c r="AG62" s="56">
        <v>43882.0</v>
      </c>
      <c r="AH62" s="55"/>
      <c r="AI62" s="55"/>
      <c r="AJ62" s="54"/>
      <c r="AK62" s="54"/>
      <c r="AL62" s="54"/>
      <c r="AM62" s="54"/>
      <c r="AN62" s="57"/>
      <c r="AO62" s="57"/>
    </row>
    <row r="63" ht="15.75" customHeight="1">
      <c r="A63" s="69">
        <v>43815.0</v>
      </c>
      <c r="B63" s="70" t="s">
        <v>140</v>
      </c>
      <c r="C63" s="66" t="s">
        <v>208</v>
      </c>
      <c r="D63" s="71" t="s">
        <v>209</v>
      </c>
      <c r="E63" s="23" t="s">
        <v>212</v>
      </c>
      <c r="F63" s="130">
        <v>10.0</v>
      </c>
      <c r="G63" s="25">
        <v>29.0</v>
      </c>
      <c r="H63" s="26">
        <f t="shared" si="19"/>
        <v>290</v>
      </c>
      <c r="I63" s="61" t="s">
        <v>144</v>
      </c>
      <c r="J63" s="63" t="s">
        <v>199</v>
      </c>
      <c r="K63" s="44">
        <v>43868.0</v>
      </c>
      <c r="L63" s="44">
        <v>43865.0</v>
      </c>
      <c r="M63" s="63" t="s">
        <v>90</v>
      </c>
      <c r="N63" s="64" t="s">
        <v>200</v>
      </c>
      <c r="O63" s="34">
        <v>27.0</v>
      </c>
      <c r="P63" s="158">
        <f t="shared" si="14"/>
        <v>283.5</v>
      </c>
      <c r="Q63" s="159"/>
      <c r="R63" s="160">
        <f t="shared" si="15"/>
        <v>0</v>
      </c>
      <c r="S63" s="35" t="s">
        <v>94</v>
      </c>
      <c r="T63" s="52"/>
      <c r="U63" s="53"/>
      <c r="V63" s="53"/>
      <c r="W63" s="53"/>
      <c r="X63" s="53"/>
      <c r="Y63" s="53"/>
      <c r="Z63" s="53"/>
      <c r="AA63" s="53"/>
      <c r="AB63" s="53"/>
      <c r="AC63" s="53"/>
      <c r="AD63" s="54"/>
      <c r="AE63" s="54"/>
      <c r="AF63" s="55"/>
      <c r="AG63" s="108">
        <v>43860.0</v>
      </c>
      <c r="AH63" s="107" t="s">
        <v>147</v>
      </c>
      <c r="AI63" s="107" t="s">
        <v>148</v>
      </c>
      <c r="AJ63" s="107" t="s">
        <v>50</v>
      </c>
      <c r="AK63" s="54"/>
      <c r="AL63" s="54"/>
      <c r="AM63" s="54"/>
      <c r="AN63" s="57"/>
      <c r="AO63" s="57"/>
    </row>
    <row r="64" ht="15.75" customHeight="1">
      <c r="A64" s="69">
        <v>43818.0</v>
      </c>
      <c r="B64" s="23" t="s">
        <v>213</v>
      </c>
      <c r="C64" s="21" t="s">
        <v>214</v>
      </c>
      <c r="D64" s="71" t="s">
        <v>215</v>
      </c>
      <c r="E64" s="32" t="s">
        <v>216</v>
      </c>
      <c r="F64" s="130">
        <v>5.0</v>
      </c>
      <c r="G64" s="48">
        <v>109.0</v>
      </c>
      <c r="H64" s="60">
        <f t="shared" si="19"/>
        <v>545</v>
      </c>
      <c r="I64" s="132" t="s">
        <v>144</v>
      </c>
      <c r="J64" s="161" t="s">
        <v>217</v>
      </c>
      <c r="K64" s="44">
        <v>43893.0</v>
      </c>
      <c r="L64" s="44">
        <v>43892.0</v>
      </c>
      <c r="M64" s="63" t="s">
        <v>90</v>
      </c>
      <c r="N64" s="64" t="s">
        <v>218</v>
      </c>
      <c r="O64" s="34">
        <v>96.0</v>
      </c>
      <c r="P64" s="142">
        <f t="shared" si="14"/>
        <v>504</v>
      </c>
      <c r="Q64" s="75"/>
      <c r="R64" s="75">
        <f t="shared" si="15"/>
        <v>0</v>
      </c>
      <c r="S64" s="35" t="s">
        <v>94</v>
      </c>
      <c r="T64" s="52"/>
      <c r="U64" s="53"/>
      <c r="V64" s="53"/>
      <c r="W64" s="53"/>
      <c r="X64" s="53"/>
      <c r="Y64" s="53"/>
      <c r="Z64" s="53"/>
      <c r="AA64" s="53"/>
      <c r="AB64" s="53"/>
      <c r="AC64" s="53"/>
      <c r="AD64" s="54"/>
      <c r="AE64" s="54"/>
      <c r="AF64" s="55"/>
      <c r="AG64" s="56">
        <v>43845.0</v>
      </c>
      <c r="AH64" s="55">
        <f>585*29.852</f>
        <v>17463.42</v>
      </c>
      <c r="AI64" s="55">
        <v>0.0</v>
      </c>
      <c r="AJ64" s="54" t="s">
        <v>50</v>
      </c>
      <c r="AK64" s="54"/>
      <c r="AL64" s="54"/>
      <c r="AM64" s="54"/>
      <c r="AN64" s="57"/>
      <c r="AO64" s="57"/>
    </row>
    <row r="65" ht="15.75" customHeight="1">
      <c r="A65" s="69">
        <v>43818.0</v>
      </c>
      <c r="B65" s="23" t="s">
        <v>213</v>
      </c>
      <c r="C65" s="70" t="s">
        <v>214</v>
      </c>
      <c r="D65" s="71" t="s">
        <v>215</v>
      </c>
      <c r="E65" s="23" t="s">
        <v>219</v>
      </c>
      <c r="F65" s="130">
        <v>1.0</v>
      </c>
      <c r="G65" s="25">
        <v>40.0</v>
      </c>
      <c r="H65" s="60">
        <f t="shared" si="19"/>
        <v>40</v>
      </c>
      <c r="I65" s="132" t="s">
        <v>144</v>
      </c>
      <c r="J65" s="161" t="s">
        <v>217</v>
      </c>
      <c r="K65" s="44">
        <v>43893.0</v>
      </c>
      <c r="L65" s="146"/>
      <c r="M65" s="54" t="s">
        <v>220</v>
      </c>
      <c r="N65" s="64"/>
      <c r="O65" s="34"/>
      <c r="P65" s="142">
        <f t="shared" si="14"/>
        <v>0</v>
      </c>
      <c r="Q65" s="75"/>
      <c r="R65" s="75">
        <f t="shared" si="15"/>
        <v>0</v>
      </c>
      <c r="S65" s="35" t="s">
        <v>94</v>
      </c>
      <c r="T65" s="52"/>
      <c r="U65" s="53"/>
      <c r="V65" s="53"/>
      <c r="W65" s="53"/>
      <c r="X65" s="53"/>
      <c r="Y65" s="53"/>
      <c r="Z65" s="53"/>
      <c r="AA65" s="53"/>
      <c r="AB65" s="53"/>
      <c r="AC65" s="53"/>
      <c r="AD65" s="54"/>
      <c r="AE65" s="54"/>
      <c r="AF65" s="55"/>
      <c r="AG65" s="56">
        <v>43845.0</v>
      </c>
      <c r="AH65" s="55" t="s">
        <v>221</v>
      </c>
      <c r="AI65" s="55" t="s">
        <v>222</v>
      </c>
      <c r="AJ65" s="54" t="s">
        <v>50</v>
      </c>
      <c r="AK65" s="54"/>
      <c r="AL65" s="54"/>
      <c r="AM65" s="54"/>
      <c r="AN65" s="57"/>
      <c r="AO65" s="57"/>
    </row>
    <row r="66" ht="15.75" customHeight="1">
      <c r="A66" s="69">
        <v>43819.0</v>
      </c>
      <c r="B66" s="70" t="s">
        <v>223</v>
      </c>
      <c r="C66" s="70" t="s">
        <v>224</v>
      </c>
      <c r="D66" s="112" t="s">
        <v>225</v>
      </c>
      <c r="E66" s="32" t="s">
        <v>226</v>
      </c>
      <c r="F66" s="130">
        <v>2.0</v>
      </c>
      <c r="G66" s="25">
        <v>90.3</v>
      </c>
      <c r="H66" s="60">
        <f t="shared" si="19"/>
        <v>180.6</v>
      </c>
      <c r="I66" s="132" t="s">
        <v>87</v>
      </c>
      <c r="J66" s="63" t="s">
        <v>227</v>
      </c>
      <c r="K66" s="43">
        <v>43860.0</v>
      </c>
      <c r="L66" s="44">
        <v>43846.0</v>
      </c>
      <c r="M66" s="63" t="s">
        <v>90</v>
      </c>
      <c r="N66" s="64" t="s">
        <v>228</v>
      </c>
      <c r="O66" s="34">
        <v>78.0</v>
      </c>
      <c r="P66" s="158">
        <f t="shared" si="14"/>
        <v>163.8</v>
      </c>
      <c r="Q66" s="159"/>
      <c r="R66" s="160">
        <f t="shared" si="15"/>
        <v>0</v>
      </c>
      <c r="S66" s="35" t="s">
        <v>94</v>
      </c>
      <c r="T66" s="52"/>
      <c r="U66" s="53"/>
      <c r="V66" s="53"/>
      <c r="W66" s="53"/>
      <c r="X66" s="53"/>
      <c r="Y66" s="53"/>
      <c r="Z66" s="53"/>
      <c r="AA66" s="53"/>
      <c r="AB66" s="53"/>
      <c r="AC66" s="53"/>
      <c r="AD66" s="54"/>
      <c r="AE66" s="54"/>
      <c r="AF66" s="55"/>
      <c r="AG66" s="56">
        <v>43871.0</v>
      </c>
      <c r="AH66" s="55">
        <v>5387.0</v>
      </c>
      <c r="AI66" s="55">
        <v>15.0</v>
      </c>
      <c r="AJ66" s="54" t="s">
        <v>50</v>
      </c>
      <c r="AK66" s="54"/>
      <c r="AL66" s="54"/>
      <c r="AM66" s="54"/>
      <c r="AN66" s="57"/>
      <c r="AO66" s="57"/>
    </row>
    <row r="67" ht="15.75" customHeight="1">
      <c r="A67" s="69">
        <v>43823.0</v>
      </c>
      <c r="B67" s="70" t="s">
        <v>229</v>
      </c>
      <c r="C67" s="70" t="s">
        <v>230</v>
      </c>
      <c r="D67" s="71" t="s">
        <v>231</v>
      </c>
      <c r="E67" s="23" t="s">
        <v>232</v>
      </c>
      <c r="F67" s="130">
        <v>30.0</v>
      </c>
      <c r="G67" s="25">
        <v>407.4</v>
      </c>
      <c r="H67" s="162">
        <f t="shared" si="19"/>
        <v>12222</v>
      </c>
      <c r="I67" s="61" t="s">
        <v>171</v>
      </c>
      <c r="J67" s="63" t="s">
        <v>233</v>
      </c>
      <c r="K67" s="163" t="s">
        <v>71</v>
      </c>
      <c r="L67" s="44">
        <v>43923.0</v>
      </c>
      <c r="M67" s="63" t="s">
        <v>90</v>
      </c>
      <c r="N67" s="93" t="s">
        <v>234</v>
      </c>
      <c r="O67" s="34">
        <v>355.0</v>
      </c>
      <c r="P67" s="164">
        <f t="shared" si="14"/>
        <v>11182.5</v>
      </c>
      <c r="Q67" s="159"/>
      <c r="R67" s="160">
        <f t="shared" si="15"/>
        <v>0</v>
      </c>
      <c r="S67" s="35" t="s">
        <v>94</v>
      </c>
      <c r="T67" s="52"/>
      <c r="U67" s="53"/>
      <c r="V67" s="53"/>
      <c r="W67" s="53"/>
      <c r="X67" s="53"/>
      <c r="Y67" s="53"/>
      <c r="Z67" s="53"/>
      <c r="AA67" s="53"/>
      <c r="AB67" s="53"/>
      <c r="AC67" s="53"/>
      <c r="AD67" s="54"/>
      <c r="AE67" s="54"/>
      <c r="AF67" s="55"/>
      <c r="AG67" s="56">
        <v>43837.0</v>
      </c>
      <c r="AH67" s="55">
        <v>21784.0</v>
      </c>
      <c r="AI67" s="55">
        <v>0.0</v>
      </c>
      <c r="AJ67" s="54"/>
      <c r="AK67" s="54"/>
      <c r="AL67" s="54"/>
      <c r="AM67" s="54"/>
      <c r="AN67" s="57"/>
      <c r="AO67" s="57"/>
    </row>
    <row r="68" ht="15.75" customHeight="1">
      <c r="A68" s="69">
        <v>43823.0</v>
      </c>
      <c r="B68" s="70" t="s">
        <v>130</v>
      </c>
      <c r="C68" s="128" t="s">
        <v>235</v>
      </c>
      <c r="D68" s="112" t="s">
        <v>236</v>
      </c>
      <c r="E68" s="23" t="s">
        <v>237</v>
      </c>
      <c r="F68" s="130">
        <v>2.0</v>
      </c>
      <c r="G68" s="25">
        <v>62.0</v>
      </c>
      <c r="H68" s="165">
        <f t="shared" si="19"/>
        <v>124</v>
      </c>
      <c r="I68" s="132" t="s">
        <v>87</v>
      </c>
      <c r="J68" s="63" t="s">
        <v>134</v>
      </c>
      <c r="K68" s="43">
        <v>43879.0</v>
      </c>
      <c r="L68" s="44">
        <v>43874.0</v>
      </c>
      <c r="M68" s="63" t="s">
        <v>90</v>
      </c>
      <c r="N68" s="93" t="s">
        <v>238</v>
      </c>
      <c r="O68" s="34">
        <v>58.0</v>
      </c>
      <c r="P68" s="52">
        <f t="shared" si="14"/>
        <v>121.8</v>
      </c>
      <c r="Q68" s="89"/>
      <c r="R68" s="86">
        <f t="shared" si="15"/>
        <v>0</v>
      </c>
      <c r="S68" s="35" t="s">
        <v>94</v>
      </c>
      <c r="T68" s="52"/>
      <c r="U68" s="53"/>
      <c r="V68" s="53"/>
      <c r="W68" s="53"/>
      <c r="X68" s="53"/>
      <c r="Y68" s="53"/>
      <c r="Z68" s="53"/>
      <c r="AA68" s="53"/>
      <c r="AB68" s="53"/>
      <c r="AC68" s="53"/>
      <c r="AD68" s="54"/>
      <c r="AE68" s="54"/>
      <c r="AF68" s="55"/>
      <c r="AG68" s="56">
        <v>43902.0</v>
      </c>
      <c r="AH68" s="55"/>
      <c r="AI68" s="55"/>
      <c r="AJ68" s="54" t="s">
        <v>50</v>
      </c>
      <c r="AK68" s="54"/>
      <c r="AL68" s="54"/>
      <c r="AM68" s="54"/>
      <c r="AN68" s="57"/>
      <c r="AO68" s="166"/>
    </row>
    <row r="69" ht="15.75" customHeight="1">
      <c r="A69" s="69">
        <v>43823.0</v>
      </c>
      <c r="B69" s="167" t="s">
        <v>130</v>
      </c>
      <c r="C69" s="168" t="s">
        <v>235</v>
      </c>
      <c r="D69" s="169" t="s">
        <v>236</v>
      </c>
      <c r="E69" s="170" t="s">
        <v>239</v>
      </c>
      <c r="F69" s="38">
        <v>5.0</v>
      </c>
      <c r="G69" s="171">
        <v>58.0</v>
      </c>
      <c r="H69" s="172">
        <f t="shared" si="19"/>
        <v>290</v>
      </c>
      <c r="I69" s="173" t="s">
        <v>87</v>
      </c>
      <c r="J69" s="174" t="s">
        <v>134</v>
      </c>
      <c r="K69" s="43">
        <v>43879.0</v>
      </c>
      <c r="L69" s="44">
        <v>43874.0</v>
      </c>
      <c r="M69" s="174" t="s">
        <v>90</v>
      </c>
      <c r="N69" s="175" t="s">
        <v>240</v>
      </c>
      <c r="O69" s="176">
        <v>44.0</v>
      </c>
      <c r="P69" s="177">
        <f t="shared" si="14"/>
        <v>231</v>
      </c>
      <c r="Q69" s="178"/>
      <c r="R69" s="177">
        <f t="shared" si="15"/>
        <v>0</v>
      </c>
      <c r="S69" s="179" t="s">
        <v>94</v>
      </c>
      <c r="T69" s="177"/>
      <c r="U69" s="180"/>
      <c r="V69" s="180"/>
      <c r="W69" s="180"/>
      <c r="X69" s="180"/>
      <c r="Y69" s="180"/>
      <c r="Z69" s="180"/>
      <c r="AA69" s="180"/>
      <c r="AB69" s="180"/>
      <c r="AC69" s="180"/>
      <c r="AD69" s="181"/>
      <c r="AE69" s="181"/>
      <c r="AF69" s="181"/>
      <c r="AG69" s="56">
        <v>43902.0</v>
      </c>
      <c r="AH69" s="55"/>
      <c r="AI69" s="55"/>
      <c r="AJ69" s="54" t="s">
        <v>50</v>
      </c>
      <c r="AK69" s="181"/>
      <c r="AL69" s="181"/>
      <c r="AM69" s="181"/>
      <c r="AN69" s="166"/>
      <c r="AO69" s="57"/>
    </row>
    <row r="70" ht="15.75" customHeight="1">
      <c r="A70" s="69">
        <v>43823.0</v>
      </c>
      <c r="B70" s="70" t="s">
        <v>130</v>
      </c>
      <c r="C70" s="92" t="s">
        <v>235</v>
      </c>
      <c r="D70" s="112" t="s">
        <v>236</v>
      </c>
      <c r="E70" s="23" t="s">
        <v>241</v>
      </c>
      <c r="F70" s="24">
        <v>10.0</v>
      </c>
      <c r="G70" s="48">
        <v>90.0</v>
      </c>
      <c r="H70" s="165">
        <f t="shared" si="19"/>
        <v>900</v>
      </c>
      <c r="I70" s="132" t="s">
        <v>87</v>
      </c>
      <c r="J70" s="63" t="s">
        <v>134</v>
      </c>
      <c r="K70" s="43">
        <v>43879.0</v>
      </c>
      <c r="L70" s="44">
        <v>43874.0</v>
      </c>
      <c r="M70" s="63" t="s">
        <v>90</v>
      </c>
      <c r="N70" s="64" t="s">
        <v>240</v>
      </c>
      <c r="O70" s="34">
        <v>77.0</v>
      </c>
      <c r="P70" s="158">
        <f t="shared" si="14"/>
        <v>808.5</v>
      </c>
      <c r="Q70" s="159"/>
      <c r="R70" s="160">
        <f t="shared" si="15"/>
        <v>0</v>
      </c>
      <c r="S70" s="35" t="s">
        <v>94</v>
      </c>
      <c r="T70" s="52"/>
      <c r="U70" s="53"/>
      <c r="V70" s="53"/>
      <c r="W70" s="53"/>
      <c r="X70" s="53"/>
      <c r="Y70" s="53"/>
      <c r="Z70" s="53"/>
      <c r="AA70" s="53"/>
      <c r="AB70" s="53"/>
      <c r="AC70" s="53"/>
      <c r="AD70" s="54"/>
      <c r="AE70" s="54"/>
      <c r="AF70" s="55"/>
      <c r="AG70" s="56">
        <v>43902.0</v>
      </c>
      <c r="AH70" s="55"/>
      <c r="AI70" s="55"/>
      <c r="AJ70" s="54" t="s">
        <v>50</v>
      </c>
      <c r="AK70" s="54"/>
      <c r="AL70" s="54"/>
      <c r="AM70" s="54"/>
      <c r="AN70" s="57"/>
      <c r="AO70" s="57"/>
    </row>
    <row r="71" ht="15.75" customHeight="1">
      <c r="A71" s="69">
        <v>43823.0</v>
      </c>
      <c r="B71" s="70" t="s">
        <v>130</v>
      </c>
      <c r="C71" s="92" t="s">
        <v>235</v>
      </c>
      <c r="D71" s="112" t="s">
        <v>236</v>
      </c>
      <c r="E71" s="23" t="s">
        <v>242</v>
      </c>
      <c r="F71" s="24">
        <v>2.0</v>
      </c>
      <c r="G71" s="48">
        <v>66.0</v>
      </c>
      <c r="H71" s="165">
        <f t="shared" si="19"/>
        <v>132</v>
      </c>
      <c r="I71" s="132" t="s">
        <v>87</v>
      </c>
      <c r="J71" s="63" t="s">
        <v>134</v>
      </c>
      <c r="K71" s="43">
        <v>43879.0</v>
      </c>
      <c r="L71" s="44">
        <v>43874.0</v>
      </c>
      <c r="M71" s="63" t="s">
        <v>90</v>
      </c>
      <c r="N71" s="93" t="s">
        <v>243</v>
      </c>
      <c r="O71" s="34">
        <v>60.0</v>
      </c>
      <c r="P71" s="142">
        <f t="shared" si="14"/>
        <v>126</v>
      </c>
      <c r="Q71" s="75"/>
      <c r="R71" s="75">
        <f t="shared" si="15"/>
        <v>0</v>
      </c>
      <c r="S71" s="35" t="s">
        <v>94</v>
      </c>
      <c r="T71" s="52"/>
      <c r="U71" s="53"/>
      <c r="V71" s="53"/>
      <c r="W71" s="53"/>
      <c r="X71" s="53"/>
      <c r="Y71" s="53"/>
      <c r="Z71" s="53"/>
      <c r="AA71" s="53"/>
      <c r="AB71" s="53"/>
      <c r="AC71" s="53"/>
      <c r="AD71" s="54"/>
      <c r="AE71" s="54"/>
      <c r="AF71" s="55"/>
      <c r="AG71" s="56">
        <v>43902.0</v>
      </c>
      <c r="AH71" s="55"/>
      <c r="AI71" s="55"/>
      <c r="AJ71" s="54" t="s">
        <v>50</v>
      </c>
      <c r="AK71" s="54"/>
      <c r="AL71" s="54"/>
      <c r="AM71" s="54"/>
      <c r="AN71" s="57"/>
      <c r="AO71" s="57"/>
    </row>
    <row r="72" ht="15.75" customHeight="1">
      <c r="A72" s="69">
        <v>43823.0</v>
      </c>
      <c r="B72" s="21" t="s">
        <v>130</v>
      </c>
      <c r="C72" s="92" t="s">
        <v>235</v>
      </c>
      <c r="D72" s="139" t="s">
        <v>236</v>
      </c>
      <c r="E72" s="32" t="s">
        <v>244</v>
      </c>
      <c r="F72" s="24">
        <v>10.0</v>
      </c>
      <c r="G72" s="48">
        <v>50.0</v>
      </c>
      <c r="H72" s="165">
        <f t="shared" si="19"/>
        <v>500</v>
      </c>
      <c r="I72" s="132" t="s">
        <v>87</v>
      </c>
      <c r="J72" s="63" t="s">
        <v>134</v>
      </c>
      <c r="K72" s="43">
        <v>43879.0</v>
      </c>
      <c r="L72" s="44">
        <v>43874.0</v>
      </c>
      <c r="M72" s="63" t="s">
        <v>90</v>
      </c>
      <c r="N72" s="64" t="s">
        <v>240</v>
      </c>
      <c r="O72" s="34">
        <v>43.0</v>
      </c>
      <c r="P72" s="34">
        <f t="shared" si="14"/>
        <v>451.5</v>
      </c>
      <c r="Q72" s="142"/>
      <c r="R72" s="75">
        <f t="shared" si="15"/>
        <v>0</v>
      </c>
      <c r="S72" s="51" t="s">
        <v>94</v>
      </c>
      <c r="T72" s="52"/>
      <c r="U72" s="53"/>
      <c r="V72" s="53"/>
      <c r="W72" s="53"/>
      <c r="X72" s="53"/>
      <c r="Y72" s="53"/>
      <c r="Z72" s="53"/>
      <c r="AA72" s="53"/>
      <c r="AB72" s="53"/>
      <c r="AC72" s="53"/>
      <c r="AD72" s="54"/>
      <c r="AE72" s="54"/>
      <c r="AF72" s="55"/>
      <c r="AG72" s="56">
        <v>43902.0</v>
      </c>
      <c r="AH72" s="55"/>
      <c r="AI72" s="55"/>
      <c r="AJ72" s="54" t="s">
        <v>50</v>
      </c>
      <c r="AK72" s="54"/>
      <c r="AL72" s="54"/>
      <c r="AM72" s="54"/>
      <c r="AN72" s="54"/>
      <c r="AO72" s="57"/>
    </row>
    <row r="73" ht="15.75" customHeight="1">
      <c r="A73" s="182">
        <v>43826.0</v>
      </c>
      <c r="B73" s="183" t="s">
        <v>140</v>
      </c>
      <c r="C73" s="183" t="s">
        <v>245</v>
      </c>
      <c r="D73" s="184" t="s">
        <v>246</v>
      </c>
      <c r="E73" s="185" t="s">
        <v>247</v>
      </c>
      <c r="F73" s="186">
        <v>20.0</v>
      </c>
      <c r="G73" s="187">
        <v>388.0</v>
      </c>
      <c r="H73" s="188">
        <f t="shared" si="19"/>
        <v>7760</v>
      </c>
      <c r="I73" s="189" t="s">
        <v>248</v>
      </c>
      <c r="J73" s="190" t="s">
        <v>199</v>
      </c>
      <c r="K73" s="191">
        <v>43872.0</v>
      </c>
      <c r="L73" s="192">
        <v>43867.0</v>
      </c>
      <c r="M73" s="190" t="s">
        <v>90</v>
      </c>
      <c r="N73" s="193" t="s">
        <v>249</v>
      </c>
      <c r="O73" s="194"/>
      <c r="P73" s="195">
        <f t="shared" si="14"/>
        <v>0</v>
      </c>
      <c r="Q73" s="196"/>
      <c r="R73" s="197">
        <f t="shared" si="15"/>
        <v>0</v>
      </c>
      <c r="S73" s="198" t="s">
        <v>94</v>
      </c>
      <c r="T73" s="195"/>
      <c r="U73" s="199"/>
      <c r="V73" s="199"/>
      <c r="W73" s="199"/>
      <c r="X73" s="199"/>
      <c r="Y73" s="199"/>
      <c r="Z73" s="199"/>
      <c r="AA73" s="199"/>
      <c r="AB73" s="199"/>
      <c r="AC73" s="199"/>
      <c r="AD73" s="200"/>
      <c r="AE73" s="200"/>
      <c r="AF73" s="201"/>
      <c r="AG73" s="202"/>
      <c r="AH73" s="201"/>
      <c r="AI73" s="201"/>
      <c r="AJ73" s="200"/>
      <c r="AK73" s="200"/>
      <c r="AL73" s="200"/>
      <c r="AM73" s="200"/>
      <c r="AN73" s="203"/>
      <c r="AO73" s="203"/>
    </row>
    <row r="74" ht="15.75" customHeight="1">
      <c r="A74" s="204">
        <v>43826.0</v>
      </c>
      <c r="B74" s="70" t="s">
        <v>250</v>
      </c>
      <c r="C74" s="92" t="s">
        <v>251</v>
      </c>
      <c r="D74" s="71" t="s">
        <v>252</v>
      </c>
      <c r="E74" s="23" t="s">
        <v>253</v>
      </c>
      <c r="F74" s="24">
        <v>1.0</v>
      </c>
      <c r="G74" s="48">
        <v>97.0</v>
      </c>
      <c r="H74" s="81">
        <f t="shared" si="19"/>
        <v>97</v>
      </c>
      <c r="I74" s="132" t="s">
        <v>171</v>
      </c>
      <c r="J74" s="63" t="s">
        <v>254</v>
      </c>
      <c r="K74" s="43">
        <v>43832.0</v>
      </c>
      <c r="L74" s="44">
        <v>43838.0</v>
      </c>
      <c r="M74" s="63" t="s">
        <v>255</v>
      </c>
      <c r="N74" s="64" t="s">
        <v>256</v>
      </c>
      <c r="O74" s="34">
        <v>66.0</v>
      </c>
      <c r="P74" s="158">
        <f t="shared" si="14"/>
        <v>69.3</v>
      </c>
      <c r="Q74" s="134">
        <f>66*30</f>
        <v>1980</v>
      </c>
      <c r="R74" s="160">
        <f t="shared" si="15"/>
        <v>2079</v>
      </c>
      <c r="S74" s="21" t="s">
        <v>257</v>
      </c>
      <c r="T74" s="52"/>
      <c r="U74" s="53"/>
      <c r="V74" s="53"/>
      <c r="W74" s="53"/>
      <c r="X74" s="53"/>
      <c r="Y74" s="53"/>
      <c r="Z74" s="53"/>
      <c r="AA74" s="53"/>
      <c r="AB74" s="53"/>
      <c r="AC74" s="53"/>
      <c r="AD74" s="54"/>
      <c r="AE74" s="54"/>
      <c r="AF74" s="55"/>
      <c r="AG74" s="68"/>
      <c r="AH74" s="55"/>
      <c r="AI74" s="55"/>
      <c r="AJ74" s="54"/>
      <c r="AK74" s="54"/>
      <c r="AL74" s="54"/>
      <c r="AM74" s="54"/>
      <c r="AN74" s="57"/>
      <c r="AO74" s="57"/>
    </row>
    <row r="75" ht="15.75" customHeight="1">
      <c r="A75" s="205">
        <v>43829.0</v>
      </c>
      <c r="B75" s="71" t="s">
        <v>119</v>
      </c>
      <c r="C75" s="71">
        <v>1902019.0</v>
      </c>
      <c r="D75" s="112" t="s">
        <v>258</v>
      </c>
      <c r="E75" s="72" t="s">
        <v>165</v>
      </c>
      <c r="F75" s="114">
        <v>150.0</v>
      </c>
      <c r="G75" s="115">
        <v>105.0</v>
      </c>
      <c r="H75" s="81">
        <f t="shared" si="19"/>
        <v>15750</v>
      </c>
      <c r="I75" s="154" t="s">
        <v>87</v>
      </c>
      <c r="J75" s="206" t="s">
        <v>259</v>
      </c>
      <c r="K75" s="207">
        <v>43864.0</v>
      </c>
      <c r="L75" s="43">
        <v>43864.0</v>
      </c>
      <c r="M75" s="206" t="s">
        <v>90</v>
      </c>
      <c r="N75" s="208" t="s">
        <v>260</v>
      </c>
      <c r="O75" s="120">
        <v>82.0</v>
      </c>
      <c r="P75" s="123">
        <f t="shared" si="14"/>
        <v>12915</v>
      </c>
      <c r="Q75" s="209"/>
      <c r="R75" s="210">
        <f t="shared" si="15"/>
        <v>0</v>
      </c>
      <c r="S75" s="122" t="s">
        <v>94</v>
      </c>
      <c r="T75" s="113"/>
      <c r="U75" s="123"/>
      <c r="V75" s="124"/>
      <c r="W75" s="124"/>
      <c r="X75" s="124"/>
      <c r="Y75" s="124"/>
      <c r="Z75" s="124"/>
      <c r="AA75" s="124"/>
      <c r="AB75" s="124"/>
      <c r="AC75" s="124"/>
      <c r="AD75" s="124"/>
      <c r="AE75" s="125"/>
      <c r="AF75" s="125"/>
      <c r="AG75" s="126"/>
      <c r="AH75" s="211"/>
      <c r="AI75" s="126"/>
      <c r="AJ75" s="126"/>
      <c r="AK75" s="125"/>
      <c r="AL75" s="125"/>
      <c r="AM75" s="125"/>
      <c r="AN75" s="125"/>
      <c r="AO75" s="57"/>
    </row>
    <row r="76" ht="15.75" customHeight="1">
      <c r="A76" s="204">
        <v>43830.0</v>
      </c>
      <c r="B76" s="70" t="s">
        <v>101</v>
      </c>
      <c r="C76" s="128"/>
      <c r="D76" s="70" t="s">
        <v>261</v>
      </c>
      <c r="E76" s="23" t="s">
        <v>262</v>
      </c>
      <c r="F76" s="130">
        <v>1.0</v>
      </c>
      <c r="G76" s="25">
        <v>585.0</v>
      </c>
      <c r="H76" s="212">
        <v>585.0</v>
      </c>
      <c r="I76" s="61" t="s">
        <v>87</v>
      </c>
      <c r="J76" s="79"/>
      <c r="K76" s="213">
        <v>43833.0</v>
      </c>
      <c r="L76" s="213">
        <v>43833.0</v>
      </c>
      <c r="M76" s="79" t="s">
        <v>263</v>
      </c>
      <c r="N76" s="214"/>
      <c r="O76" s="75"/>
      <c r="P76" s="135">
        <f t="shared" si="14"/>
        <v>0</v>
      </c>
      <c r="Q76" s="159"/>
      <c r="R76" s="160">
        <f t="shared" si="15"/>
        <v>0</v>
      </c>
      <c r="S76" s="66"/>
      <c r="T76" s="135"/>
      <c r="U76" s="136"/>
      <c r="V76" s="136"/>
      <c r="W76" s="136"/>
      <c r="X76" s="136"/>
      <c r="Y76" s="136"/>
      <c r="Z76" s="136"/>
      <c r="AA76" s="136"/>
      <c r="AB76" s="136"/>
      <c r="AC76" s="136"/>
      <c r="AD76" s="137"/>
      <c r="AE76" s="137"/>
      <c r="AF76" s="138"/>
      <c r="AG76" s="215"/>
      <c r="AH76" s="138"/>
      <c r="AI76" s="138"/>
      <c r="AJ76" s="137" t="s">
        <v>50</v>
      </c>
      <c r="AK76" s="137"/>
      <c r="AL76" s="137"/>
      <c r="AM76" s="137"/>
      <c r="AN76" s="137"/>
      <c r="AO76" s="57"/>
    </row>
    <row r="77" ht="15.75" customHeight="1">
      <c r="A77" s="204"/>
      <c r="B77" s="70"/>
      <c r="C77" s="92"/>
      <c r="D77" s="71"/>
      <c r="E77" s="32"/>
      <c r="F77" s="24"/>
      <c r="G77" s="48"/>
      <c r="H77" s="216"/>
      <c r="I77" s="132"/>
      <c r="J77" s="63"/>
      <c r="K77" s="43"/>
      <c r="L77" s="146"/>
      <c r="M77" s="63"/>
      <c r="N77" s="64"/>
      <c r="O77" s="34"/>
      <c r="P77" s="217">
        <f t="shared" si="14"/>
        <v>0</v>
      </c>
      <c r="Q77" s="218"/>
      <c r="R77" s="219">
        <f t="shared" si="15"/>
        <v>0</v>
      </c>
      <c r="S77" s="76"/>
      <c r="T77" s="52"/>
      <c r="U77" s="53"/>
      <c r="V77" s="53"/>
      <c r="W77" s="53"/>
      <c r="X77" s="53"/>
      <c r="Y77" s="53"/>
      <c r="Z77" s="53"/>
      <c r="AA77" s="53"/>
      <c r="AB77" s="53"/>
      <c r="AC77" s="53"/>
      <c r="AD77" s="54"/>
      <c r="AE77" s="54"/>
      <c r="AF77" s="55"/>
      <c r="AG77" s="68"/>
      <c r="AH77" s="55"/>
      <c r="AI77" s="55"/>
      <c r="AJ77" s="54"/>
      <c r="AK77" s="54"/>
      <c r="AL77" s="54"/>
      <c r="AM77" s="54"/>
      <c r="AN77" s="57"/>
      <c r="AO77" s="57"/>
    </row>
    <row r="78" ht="15.75" customHeight="1">
      <c r="A78" s="204"/>
      <c r="B78" s="70"/>
      <c r="C78" s="92"/>
      <c r="D78" s="71"/>
      <c r="E78" s="32"/>
      <c r="F78" s="24"/>
      <c r="G78" s="48"/>
      <c r="H78" s="216"/>
      <c r="I78" s="132"/>
      <c r="J78" s="63"/>
      <c r="K78" s="43"/>
      <c r="L78" s="146"/>
      <c r="M78" s="63"/>
      <c r="N78" s="64"/>
      <c r="O78" s="34"/>
      <c r="P78" s="217">
        <f t="shared" si="14"/>
        <v>0</v>
      </c>
      <c r="Q78" s="218"/>
      <c r="R78" s="219">
        <f t="shared" si="15"/>
        <v>0</v>
      </c>
      <c r="S78" s="76"/>
      <c r="T78" s="52"/>
      <c r="U78" s="53"/>
      <c r="V78" s="53"/>
      <c r="W78" s="53"/>
      <c r="X78" s="53"/>
      <c r="Y78" s="53"/>
      <c r="Z78" s="53"/>
      <c r="AA78" s="53"/>
      <c r="AB78" s="53"/>
      <c r="AC78" s="53"/>
      <c r="AD78" s="54"/>
      <c r="AE78" s="54"/>
      <c r="AF78" s="55"/>
      <c r="AG78" s="68"/>
      <c r="AH78" s="55"/>
      <c r="AI78" s="55"/>
      <c r="AJ78" s="54"/>
      <c r="AK78" s="54"/>
      <c r="AL78" s="54"/>
      <c r="AM78" s="54"/>
      <c r="AN78" s="57"/>
      <c r="AO78" s="57"/>
    </row>
    <row r="79" ht="15.75" customHeight="1">
      <c r="A79" s="204"/>
      <c r="B79" s="70"/>
      <c r="C79" s="92"/>
      <c r="D79" s="71"/>
      <c r="E79" s="32"/>
      <c r="F79" s="24"/>
      <c r="G79" s="48"/>
      <c r="H79" s="216"/>
      <c r="I79" s="132"/>
      <c r="J79" s="63"/>
      <c r="K79" s="43"/>
      <c r="L79" s="146"/>
      <c r="M79" s="63"/>
      <c r="N79" s="64"/>
      <c r="O79" s="34"/>
      <c r="P79" s="217">
        <f t="shared" si="14"/>
        <v>0</v>
      </c>
      <c r="Q79" s="218"/>
      <c r="R79" s="219">
        <f t="shared" si="15"/>
        <v>0</v>
      </c>
      <c r="S79" s="76"/>
      <c r="T79" s="52"/>
      <c r="U79" s="53"/>
      <c r="V79" s="53"/>
      <c r="W79" s="53"/>
      <c r="X79" s="53"/>
      <c r="Y79" s="53"/>
      <c r="Z79" s="53"/>
      <c r="AA79" s="53"/>
      <c r="AB79" s="53"/>
      <c r="AC79" s="53"/>
      <c r="AD79" s="54"/>
      <c r="AE79" s="54"/>
      <c r="AF79" s="55"/>
      <c r="AG79" s="68"/>
      <c r="AH79" s="55"/>
      <c r="AI79" s="55"/>
      <c r="AJ79" s="54"/>
      <c r="AK79" s="54"/>
      <c r="AL79" s="54"/>
      <c r="AM79" s="54"/>
      <c r="AN79" s="57"/>
      <c r="AO79" s="57"/>
    </row>
    <row r="80" ht="15.75" customHeight="1">
      <c r="A80" s="204"/>
      <c r="B80" s="70"/>
      <c r="C80" s="92"/>
      <c r="D80" s="21"/>
      <c r="E80" s="32"/>
      <c r="F80" s="24"/>
      <c r="G80" s="48"/>
      <c r="H80" s="216"/>
      <c r="I80" s="132"/>
      <c r="J80" s="63"/>
      <c r="K80" s="43"/>
      <c r="L80" s="146"/>
      <c r="M80" s="63"/>
      <c r="N80" s="64"/>
      <c r="O80" s="34"/>
      <c r="P80" s="217">
        <f t="shared" si="14"/>
        <v>0</v>
      </c>
      <c r="Q80" s="218"/>
      <c r="R80" s="219">
        <f t="shared" si="15"/>
        <v>0</v>
      </c>
      <c r="S80" s="76"/>
      <c r="T80" s="52"/>
      <c r="U80" s="53"/>
      <c r="V80" s="53"/>
      <c r="W80" s="53"/>
      <c r="X80" s="53"/>
      <c r="Y80" s="53"/>
      <c r="Z80" s="53"/>
      <c r="AA80" s="53"/>
      <c r="AB80" s="53"/>
      <c r="AC80" s="53"/>
      <c r="AD80" s="54"/>
      <c r="AE80" s="54"/>
      <c r="AF80" s="55"/>
      <c r="AG80" s="68"/>
      <c r="AH80" s="55"/>
      <c r="AI80" s="55"/>
      <c r="AJ80" s="54"/>
      <c r="AK80" s="54"/>
      <c r="AL80" s="54"/>
      <c r="AM80" s="54"/>
      <c r="AN80" s="57"/>
      <c r="AO80" s="57"/>
    </row>
    <row r="81" ht="15.75" customHeight="1">
      <c r="A81" s="204"/>
      <c r="B81" s="70"/>
      <c r="C81" s="92"/>
      <c r="D81" s="21"/>
      <c r="E81" s="32"/>
      <c r="F81" s="24"/>
      <c r="G81" s="48"/>
      <c r="H81" s="216"/>
      <c r="I81" s="132"/>
      <c r="J81" s="63"/>
      <c r="K81" s="43"/>
      <c r="L81" s="146"/>
      <c r="M81" s="63"/>
      <c r="N81" s="64"/>
      <c r="O81" s="34"/>
      <c r="P81" s="217">
        <f t="shared" si="14"/>
        <v>0</v>
      </c>
      <c r="Q81" s="218"/>
      <c r="R81" s="219">
        <f t="shared" si="15"/>
        <v>0</v>
      </c>
      <c r="S81" s="76"/>
      <c r="T81" s="52"/>
      <c r="U81" s="53"/>
      <c r="V81" s="53"/>
      <c r="W81" s="53"/>
      <c r="X81" s="53"/>
      <c r="Y81" s="53"/>
      <c r="Z81" s="53"/>
      <c r="AA81" s="53"/>
      <c r="AB81" s="53"/>
      <c r="AC81" s="53"/>
      <c r="AD81" s="54"/>
      <c r="AE81" s="54"/>
      <c r="AF81" s="55"/>
      <c r="AG81" s="68"/>
      <c r="AH81" s="55"/>
      <c r="AI81" s="55"/>
      <c r="AJ81" s="54"/>
      <c r="AK81" s="54"/>
      <c r="AL81" s="54"/>
      <c r="AM81" s="54"/>
      <c r="AN81" s="57"/>
      <c r="AO81" s="57"/>
    </row>
    <row r="82" ht="15.75" customHeight="1">
      <c r="A82" s="204"/>
      <c r="B82" s="70"/>
      <c r="C82" s="92"/>
      <c r="D82" s="21"/>
      <c r="E82" s="32"/>
      <c r="F82" s="24"/>
      <c r="G82" s="48"/>
      <c r="H82" s="216"/>
      <c r="I82" s="132"/>
      <c r="J82" s="63"/>
      <c r="K82" s="43"/>
      <c r="L82" s="146"/>
      <c r="M82" s="63"/>
      <c r="N82" s="64"/>
      <c r="O82" s="34"/>
      <c r="P82" s="217">
        <f t="shared" si="14"/>
        <v>0</v>
      </c>
      <c r="Q82" s="218"/>
      <c r="R82" s="219">
        <f t="shared" si="15"/>
        <v>0</v>
      </c>
      <c r="S82" s="76"/>
      <c r="T82" s="52"/>
      <c r="U82" s="53"/>
      <c r="V82" s="53"/>
      <c r="W82" s="53"/>
      <c r="X82" s="53"/>
      <c r="Y82" s="53"/>
      <c r="Z82" s="53"/>
      <c r="AA82" s="53"/>
      <c r="AB82" s="53"/>
      <c r="AC82" s="53"/>
      <c r="AD82" s="54"/>
      <c r="AE82" s="54"/>
      <c r="AF82" s="55"/>
      <c r="AG82" s="68"/>
      <c r="AH82" s="55"/>
      <c r="AI82" s="55"/>
      <c r="AJ82" s="54"/>
      <c r="AK82" s="54"/>
      <c r="AL82" s="54"/>
      <c r="AM82" s="54"/>
      <c r="AN82" s="57"/>
      <c r="AO82" s="57"/>
    </row>
    <row r="83" ht="15.75" customHeight="1">
      <c r="A83" s="204"/>
      <c r="B83" s="70"/>
      <c r="C83" s="92"/>
      <c r="D83" s="21"/>
      <c r="E83" s="32"/>
      <c r="F83" s="24"/>
      <c r="G83" s="48"/>
      <c r="H83" s="216"/>
      <c r="I83" s="132"/>
      <c r="J83" s="63"/>
      <c r="K83" s="43"/>
      <c r="L83" s="146"/>
      <c r="M83" s="63"/>
      <c r="N83" s="64"/>
      <c r="O83" s="34"/>
      <c r="P83" s="34">
        <f t="shared" si="14"/>
        <v>0</v>
      </c>
      <c r="Q83" s="34"/>
      <c r="R83" s="34">
        <f t="shared" si="15"/>
        <v>0</v>
      </c>
      <c r="S83" s="76"/>
      <c r="T83" s="52"/>
      <c r="U83" s="53"/>
      <c r="V83" s="53"/>
      <c r="W83" s="53"/>
      <c r="X83" s="53"/>
      <c r="Y83" s="53"/>
      <c r="Z83" s="53"/>
      <c r="AA83" s="53"/>
      <c r="AB83" s="53"/>
      <c r="AC83" s="53"/>
      <c r="AD83" s="54"/>
      <c r="AE83" s="54"/>
      <c r="AF83" s="55"/>
      <c r="AG83" s="68"/>
      <c r="AH83" s="55"/>
      <c r="AI83" s="55"/>
      <c r="AJ83" s="54"/>
      <c r="AK83" s="54"/>
      <c r="AL83" s="54"/>
      <c r="AM83" s="54"/>
      <c r="AN83" s="57"/>
      <c r="AO83" s="57"/>
    </row>
    <row r="84" ht="15.75" customHeight="1">
      <c r="A84" s="91"/>
      <c r="B84" s="91"/>
      <c r="C84" s="220"/>
      <c r="D84" s="91"/>
      <c r="E84" s="221" t="s">
        <v>0</v>
      </c>
      <c r="F84" s="91"/>
      <c r="G84" s="91"/>
      <c r="H84" s="222">
        <f>SUM(H2:H83)</f>
        <v>332049.6</v>
      </c>
      <c r="I84" s="223"/>
      <c r="J84" s="57"/>
      <c r="K84" s="153"/>
      <c r="L84" s="153"/>
      <c r="M84" s="57"/>
      <c r="N84" s="224"/>
      <c r="O84" s="91"/>
      <c r="P84" s="91"/>
      <c r="Q84" s="91"/>
      <c r="R84" s="91"/>
      <c r="S84" s="91"/>
      <c r="T84" s="225"/>
      <c r="U84" s="226"/>
      <c r="V84" s="226"/>
      <c r="W84" s="226"/>
      <c r="X84" s="226"/>
      <c r="Y84" s="226"/>
      <c r="Z84" s="226"/>
      <c r="AA84" s="226"/>
      <c r="AB84" s="226"/>
      <c r="AC84" s="226"/>
      <c r="AD84" s="57"/>
      <c r="AE84" s="57"/>
      <c r="AF84" s="227"/>
      <c r="AG84" s="228"/>
      <c r="AH84" s="227"/>
      <c r="AI84" s="227"/>
      <c r="AJ84" s="57"/>
      <c r="AK84" s="57"/>
      <c r="AL84" s="57"/>
      <c r="AM84" s="57"/>
      <c r="AN84" s="57"/>
      <c r="AO84" s="57"/>
    </row>
    <row r="85" ht="15.75" customHeight="1">
      <c r="C85" s="229"/>
      <c r="D85" s="230"/>
      <c r="E85" s="229"/>
      <c r="F85" s="231"/>
      <c r="G85" s="231"/>
      <c r="H85" s="232"/>
      <c r="I85" s="229"/>
      <c r="J85" s="229"/>
      <c r="K85" s="233"/>
      <c r="L85" s="234"/>
      <c r="M85" s="234"/>
      <c r="N85" s="235"/>
      <c r="O85" s="236"/>
      <c r="P85" s="236"/>
      <c r="Q85" s="236"/>
      <c r="R85" s="236"/>
      <c r="S85" s="236"/>
      <c r="T85" s="236"/>
      <c r="U85" s="237"/>
      <c r="V85" s="237"/>
      <c r="W85" s="237"/>
      <c r="X85" s="237"/>
      <c r="Y85" s="237"/>
      <c r="Z85" s="237"/>
      <c r="AA85" s="237"/>
      <c r="AB85" s="237"/>
      <c r="AC85" s="237"/>
      <c r="AD85" s="234"/>
      <c r="AE85" s="234"/>
      <c r="AF85" s="238"/>
      <c r="AG85" s="239"/>
      <c r="AH85" s="238"/>
      <c r="AI85" s="238"/>
      <c r="AJ85" s="234"/>
      <c r="AK85" s="234"/>
      <c r="AL85" s="234"/>
      <c r="AM85" s="234"/>
      <c r="AN85" s="234"/>
      <c r="AO85" s="234"/>
    </row>
    <row r="86" ht="15.75" customHeight="1">
      <c r="A86" s="91"/>
      <c r="B86" s="91"/>
      <c r="C86" s="220"/>
      <c r="D86" s="57"/>
      <c r="E86" s="240"/>
      <c r="F86" s="241"/>
      <c r="G86" s="91"/>
      <c r="H86" s="242"/>
      <c r="I86" s="223"/>
      <c r="J86" s="234"/>
      <c r="K86" s="243"/>
      <c r="L86" s="234"/>
      <c r="M86" s="234"/>
      <c r="N86" s="235"/>
      <c r="O86" s="236"/>
      <c r="P86" s="236"/>
      <c r="Q86" s="236"/>
      <c r="R86" s="236"/>
      <c r="S86" s="236"/>
      <c r="T86" s="236"/>
      <c r="U86" s="237"/>
      <c r="V86" s="237"/>
      <c r="W86" s="237"/>
      <c r="X86" s="237"/>
      <c r="Y86" s="237"/>
      <c r="Z86" s="237"/>
      <c r="AA86" s="237"/>
      <c r="AB86" s="237"/>
      <c r="AC86" s="237"/>
      <c r="AD86" s="234"/>
      <c r="AE86" s="234"/>
      <c r="AF86" s="238"/>
      <c r="AG86" s="239"/>
      <c r="AH86" s="238"/>
      <c r="AI86" s="238"/>
      <c r="AJ86" s="234"/>
      <c r="AK86" s="234"/>
      <c r="AL86" s="234"/>
      <c r="AM86" s="234"/>
      <c r="AN86" s="234"/>
      <c r="AO86" s="234"/>
    </row>
    <row r="87" ht="15.75" customHeight="1">
      <c r="A87" s="91"/>
      <c r="B87" s="91"/>
      <c r="C87" s="220"/>
      <c r="D87" s="57"/>
      <c r="E87" s="240" t="s">
        <v>264</v>
      </c>
      <c r="F87" s="241" t="s">
        <v>265</v>
      </c>
      <c r="G87" s="91"/>
      <c r="H87" s="242"/>
      <c r="I87" s="223"/>
      <c r="J87" s="234"/>
      <c r="K87" s="243"/>
      <c r="L87" s="234" t="s">
        <v>266</v>
      </c>
      <c r="M87" s="234"/>
      <c r="N87" s="235"/>
      <c r="O87" s="236"/>
      <c r="P87" s="236"/>
      <c r="Q87" s="236"/>
      <c r="R87" s="236"/>
      <c r="S87" s="236"/>
      <c r="T87" s="236"/>
      <c r="U87" s="237"/>
      <c r="V87" s="237"/>
      <c r="W87" s="237"/>
      <c r="X87" s="237"/>
      <c r="Y87" s="237"/>
      <c r="Z87" s="237"/>
      <c r="AA87" s="237"/>
      <c r="AB87" s="237"/>
      <c r="AC87" s="237"/>
      <c r="AD87" s="234"/>
      <c r="AE87" s="234"/>
      <c r="AF87" s="238"/>
      <c r="AG87" s="239"/>
      <c r="AH87" s="238"/>
      <c r="AI87" s="238"/>
      <c r="AJ87" s="234"/>
      <c r="AK87" s="234"/>
      <c r="AL87" s="234"/>
      <c r="AM87" s="234"/>
      <c r="AN87" s="234"/>
      <c r="AO87" s="234"/>
    </row>
    <row r="88" ht="15.75" customHeight="1">
      <c r="A88" s="91"/>
      <c r="B88" s="91"/>
      <c r="C88" s="220"/>
      <c r="D88" s="54" t="s">
        <v>267</v>
      </c>
      <c r="E88" s="21"/>
      <c r="F88" s="148"/>
      <c r="G88" s="91"/>
      <c r="H88" s="242"/>
      <c r="I88" s="223"/>
      <c r="J88" s="234"/>
      <c r="K88" s="243"/>
      <c r="L88" s="243"/>
      <c r="M88" s="234"/>
      <c r="N88" s="235"/>
      <c r="O88" s="236"/>
      <c r="P88" s="236"/>
      <c r="Q88" s="236"/>
      <c r="R88" s="236"/>
      <c r="S88" s="236"/>
      <c r="T88" s="236"/>
      <c r="U88" s="236"/>
      <c r="V88" s="236"/>
      <c r="W88" s="244"/>
      <c r="X88" s="244"/>
      <c r="Y88" s="237"/>
      <c r="Z88" s="244"/>
      <c r="AA88" s="244"/>
      <c r="AB88" s="244"/>
      <c r="AC88" s="244"/>
      <c r="AD88" s="234"/>
      <c r="AE88" s="234"/>
      <c r="AF88" s="238"/>
      <c r="AG88" s="239"/>
      <c r="AH88" s="238"/>
      <c r="AI88" s="238"/>
      <c r="AJ88" s="234"/>
      <c r="AK88" s="234"/>
      <c r="AL88" s="234"/>
      <c r="AM88" s="234"/>
      <c r="AN88" s="234"/>
      <c r="AO88" s="234"/>
    </row>
    <row r="89" ht="15.75" customHeight="1">
      <c r="A89" s="91"/>
      <c r="B89" s="91"/>
      <c r="C89" s="220"/>
      <c r="D89" s="54" t="s">
        <v>268</v>
      </c>
      <c r="E89" s="21"/>
      <c r="F89" s="148"/>
      <c r="G89" s="91"/>
      <c r="H89" s="242"/>
      <c r="I89" s="223"/>
      <c r="J89" s="234"/>
      <c r="K89" s="243"/>
      <c r="L89" s="243"/>
      <c r="M89" s="234"/>
      <c r="N89" s="235"/>
      <c r="O89" s="236"/>
      <c r="P89" s="236"/>
      <c r="Q89" s="236"/>
      <c r="R89" s="236"/>
      <c r="S89" s="236"/>
      <c r="T89" s="236"/>
      <c r="U89" s="236"/>
      <c r="V89" s="236"/>
      <c r="W89" s="244"/>
      <c r="X89" s="244"/>
      <c r="Y89" s="237"/>
      <c r="Z89" s="244"/>
      <c r="AA89" s="244"/>
      <c r="AB89" s="244"/>
      <c r="AC89" s="244"/>
      <c r="AD89" s="234"/>
      <c r="AE89" s="234"/>
      <c r="AF89" s="238"/>
      <c r="AG89" s="239"/>
      <c r="AH89" s="238"/>
      <c r="AI89" s="238"/>
      <c r="AJ89" s="234"/>
      <c r="AK89" s="234"/>
      <c r="AL89" s="234"/>
      <c r="AM89" s="234"/>
      <c r="AN89" s="234"/>
      <c r="AO89" s="234"/>
    </row>
    <row r="90" ht="15.75" customHeight="1">
      <c r="A90" s="91"/>
      <c r="B90" s="91"/>
      <c r="C90" s="220"/>
      <c r="D90" s="54" t="s">
        <v>269</v>
      </c>
      <c r="E90" s="21"/>
      <c r="F90" s="148"/>
      <c r="G90" s="91"/>
      <c r="H90" s="242"/>
      <c r="I90" s="245"/>
      <c r="J90" s="234"/>
      <c r="K90" s="243"/>
      <c r="L90" s="243"/>
      <c r="M90" s="234"/>
      <c r="N90" s="235"/>
      <c r="O90" s="236"/>
      <c r="P90" s="236"/>
      <c r="Q90" s="236"/>
      <c r="R90" s="236"/>
      <c r="S90" s="236"/>
      <c r="T90" s="236"/>
      <c r="U90" s="236"/>
      <c r="V90" s="236"/>
      <c r="W90" s="244"/>
      <c r="X90" s="244"/>
      <c r="Y90" s="237"/>
      <c r="Z90" s="244"/>
      <c r="AA90" s="244"/>
      <c r="AB90" s="244"/>
      <c r="AC90" s="244"/>
      <c r="AD90" s="234"/>
      <c r="AE90" s="234"/>
      <c r="AF90" s="238"/>
      <c r="AG90" s="239"/>
      <c r="AH90" s="238"/>
      <c r="AI90" s="238"/>
      <c r="AJ90" s="234"/>
      <c r="AK90" s="234"/>
      <c r="AL90" s="234"/>
      <c r="AM90" s="234"/>
      <c r="AN90" s="234"/>
      <c r="AO90" s="234"/>
    </row>
    <row r="91" ht="15.75" customHeight="1">
      <c r="A91" s="91"/>
      <c r="B91" s="91"/>
      <c r="C91" s="220"/>
      <c r="D91" s="54" t="s">
        <v>270</v>
      </c>
      <c r="E91" s="32"/>
      <c r="F91" s="246"/>
      <c r="G91" s="91"/>
      <c r="H91" s="242"/>
      <c r="I91" s="223"/>
      <c r="J91" s="234"/>
      <c r="K91" s="243"/>
      <c r="L91" s="243"/>
      <c r="M91" s="234"/>
      <c r="N91" s="235"/>
      <c r="O91" s="236"/>
      <c r="P91" s="236"/>
      <c r="Q91" s="236"/>
      <c r="R91" s="236"/>
      <c r="S91" s="236"/>
      <c r="T91" s="236"/>
      <c r="U91" s="236"/>
      <c r="V91" s="236"/>
      <c r="W91" s="244"/>
      <c r="X91" s="244"/>
      <c r="Y91" s="237"/>
      <c r="Z91" s="244"/>
      <c r="AA91" s="244"/>
      <c r="AB91" s="244"/>
      <c r="AC91" s="244"/>
      <c r="AD91" s="234"/>
      <c r="AE91" s="234"/>
      <c r="AF91" s="238"/>
      <c r="AG91" s="239"/>
      <c r="AH91" s="238"/>
      <c r="AI91" s="238"/>
      <c r="AJ91" s="234"/>
      <c r="AK91" s="234"/>
      <c r="AL91" s="234"/>
      <c r="AM91" s="234"/>
      <c r="AN91" s="234"/>
      <c r="AO91" s="234"/>
    </row>
    <row r="92" ht="15.75" customHeight="1">
      <c r="A92" s="91"/>
      <c r="B92" s="91"/>
      <c r="C92" s="220"/>
      <c r="D92" s="54" t="s">
        <v>271</v>
      </c>
      <c r="E92" s="32"/>
      <c r="F92" s="148"/>
      <c r="G92" s="91"/>
      <c r="H92" s="242"/>
      <c r="I92" s="223"/>
      <c r="J92" s="234"/>
      <c r="K92" s="243"/>
      <c r="L92" s="243"/>
      <c r="M92" s="234"/>
      <c r="N92" s="235"/>
      <c r="O92" s="236"/>
      <c r="P92" s="236"/>
      <c r="Q92" s="236"/>
      <c r="R92" s="236"/>
      <c r="S92" s="236"/>
      <c r="T92" s="236"/>
      <c r="U92" s="236"/>
      <c r="V92" s="236"/>
      <c r="W92" s="244"/>
      <c r="X92" s="244"/>
      <c r="Y92" s="237"/>
      <c r="Z92" s="244"/>
      <c r="AA92" s="244"/>
      <c r="AB92" s="244"/>
      <c r="AC92" s="244"/>
      <c r="AD92" s="234"/>
      <c r="AE92" s="234"/>
      <c r="AF92" s="238"/>
      <c r="AG92" s="239"/>
      <c r="AH92" s="238"/>
      <c r="AI92" s="238"/>
      <c r="AJ92" s="234"/>
      <c r="AK92" s="234"/>
      <c r="AL92" s="234"/>
      <c r="AM92" s="234"/>
      <c r="AN92" s="234"/>
      <c r="AO92" s="234"/>
    </row>
    <row r="93" ht="15.75" customHeight="1">
      <c r="A93" s="91"/>
      <c r="B93" s="91"/>
      <c r="C93" s="220"/>
      <c r="D93" s="54" t="s">
        <v>272</v>
      </c>
      <c r="E93" s="32"/>
      <c r="F93" s="148"/>
      <c r="G93" s="91"/>
      <c r="H93" s="242"/>
      <c r="I93" s="223"/>
      <c r="J93" s="234"/>
      <c r="K93" s="243"/>
      <c r="L93" s="243"/>
      <c r="M93" s="234"/>
      <c r="N93" s="235"/>
      <c r="O93" s="236"/>
      <c r="P93" s="236"/>
      <c r="Q93" s="236"/>
      <c r="R93" s="236"/>
      <c r="S93" s="236"/>
      <c r="T93" s="236"/>
      <c r="U93" s="236"/>
      <c r="V93" s="236"/>
      <c r="W93" s="244"/>
      <c r="X93" s="244"/>
      <c r="Y93" s="237"/>
      <c r="Z93" s="244"/>
      <c r="AA93" s="244"/>
      <c r="AB93" s="244"/>
      <c r="AC93" s="244"/>
      <c r="AD93" s="234"/>
      <c r="AE93" s="234"/>
      <c r="AF93" s="238"/>
      <c r="AG93" s="239"/>
      <c r="AH93" s="238"/>
      <c r="AI93" s="238"/>
      <c r="AJ93" s="234"/>
      <c r="AK93" s="234"/>
      <c r="AL93" s="234"/>
      <c r="AM93" s="234"/>
      <c r="AN93" s="234"/>
      <c r="AO93" s="234"/>
    </row>
    <row r="94" ht="15.75" customHeight="1">
      <c r="A94" s="91"/>
      <c r="B94" s="91"/>
      <c r="C94" s="220"/>
      <c r="D94" s="54" t="s">
        <v>273</v>
      </c>
      <c r="E94" s="32"/>
      <c r="F94" s="148"/>
      <c r="G94" s="91"/>
      <c r="H94" s="242"/>
      <c r="I94" s="223"/>
      <c r="J94" s="234"/>
      <c r="K94" s="243"/>
      <c r="L94" s="243"/>
      <c r="M94" s="234"/>
      <c r="N94" s="240"/>
      <c r="O94" s="236"/>
      <c r="P94" s="236"/>
      <c r="Q94" s="236"/>
      <c r="R94" s="236"/>
      <c r="S94" s="236"/>
      <c r="T94" s="236"/>
      <c r="U94" s="236"/>
      <c r="V94" s="236"/>
      <c r="W94" s="244"/>
      <c r="X94" s="244"/>
      <c r="Y94" s="237"/>
      <c r="Z94" s="244"/>
      <c r="AA94" s="244"/>
      <c r="AB94" s="244"/>
      <c r="AC94" s="244"/>
      <c r="AD94" s="234"/>
      <c r="AE94" s="234"/>
      <c r="AF94" s="238"/>
      <c r="AG94" s="239"/>
      <c r="AH94" s="238"/>
      <c r="AI94" s="238"/>
      <c r="AJ94" s="234"/>
      <c r="AK94" s="234"/>
      <c r="AL94" s="234"/>
      <c r="AM94" s="234"/>
      <c r="AN94" s="234"/>
      <c r="AO94" s="234"/>
    </row>
    <row r="95" ht="15.75" customHeight="1">
      <c r="A95" s="91"/>
      <c r="B95" s="91"/>
      <c r="C95" s="220"/>
      <c r="D95" s="54" t="s">
        <v>274</v>
      </c>
      <c r="E95" s="32"/>
      <c r="F95" s="148"/>
      <c r="G95" s="91"/>
      <c r="H95" s="242"/>
      <c r="I95" s="223"/>
      <c r="J95" s="234"/>
      <c r="K95" s="243"/>
      <c r="L95" s="243"/>
      <c r="M95" s="247"/>
      <c r="N95" s="235"/>
      <c r="O95" s="236"/>
      <c r="P95" s="236"/>
      <c r="Q95" s="236"/>
      <c r="R95" s="236"/>
      <c r="S95" s="236"/>
      <c r="T95" s="236"/>
      <c r="U95" s="236"/>
      <c r="V95" s="236"/>
      <c r="W95" s="244"/>
      <c r="X95" s="244"/>
      <c r="Y95" s="237"/>
      <c r="Z95" s="244"/>
      <c r="AA95" s="244"/>
      <c r="AB95" s="244"/>
      <c r="AC95" s="244"/>
      <c r="AD95" s="234"/>
      <c r="AE95" s="234"/>
      <c r="AF95" s="238"/>
      <c r="AG95" s="239"/>
      <c r="AH95" s="238"/>
      <c r="AI95" s="238"/>
      <c r="AJ95" s="234"/>
      <c r="AK95" s="234"/>
      <c r="AL95" s="234"/>
      <c r="AM95" s="234"/>
      <c r="AN95" s="234"/>
      <c r="AO95" s="234"/>
    </row>
    <row r="96" ht="15.75" customHeight="1">
      <c r="A96" s="91"/>
      <c r="B96" s="91"/>
      <c r="C96" s="220"/>
      <c r="D96" s="54" t="s">
        <v>275</v>
      </c>
      <c r="E96" s="32"/>
      <c r="F96" s="32"/>
      <c r="G96" s="91"/>
      <c r="H96" s="242"/>
      <c r="I96" s="223"/>
      <c r="J96" s="234"/>
      <c r="K96" s="243"/>
      <c r="L96" s="243"/>
      <c r="M96" s="234"/>
      <c r="N96" s="235"/>
      <c r="O96" s="236"/>
      <c r="P96" s="236"/>
      <c r="Q96" s="236"/>
      <c r="R96" s="236"/>
      <c r="S96" s="236"/>
      <c r="T96" s="236"/>
      <c r="U96" s="236"/>
      <c r="V96" s="236"/>
      <c r="W96" s="244"/>
      <c r="X96" s="244"/>
      <c r="Y96" s="237"/>
      <c r="Z96" s="244"/>
      <c r="AA96" s="244"/>
      <c r="AB96" s="244"/>
      <c r="AC96" s="244"/>
      <c r="AD96" s="234"/>
      <c r="AE96" s="234"/>
      <c r="AF96" s="238"/>
      <c r="AG96" s="239"/>
      <c r="AH96" s="238"/>
      <c r="AI96" s="238"/>
      <c r="AJ96" s="234"/>
      <c r="AK96" s="234"/>
      <c r="AL96" s="234"/>
      <c r="AM96" s="234"/>
      <c r="AN96" s="234"/>
      <c r="AO96" s="234"/>
    </row>
    <row r="97" ht="15.75" customHeight="1">
      <c r="A97" s="91"/>
      <c r="B97" s="91"/>
      <c r="C97" s="220"/>
      <c r="D97" s="54" t="s">
        <v>276</v>
      </c>
      <c r="E97" s="32"/>
      <c r="F97" s="148"/>
      <c r="G97" s="91"/>
      <c r="H97" s="242"/>
      <c r="I97" s="223"/>
      <c r="J97" s="234"/>
      <c r="K97" s="243"/>
      <c r="L97" s="243"/>
      <c r="M97" s="234"/>
      <c r="N97" s="235"/>
      <c r="O97" s="236"/>
      <c r="P97" s="236"/>
      <c r="Q97" s="236"/>
      <c r="R97" s="236"/>
      <c r="S97" s="236"/>
      <c r="T97" s="236"/>
      <c r="U97" s="236"/>
      <c r="V97" s="236"/>
      <c r="W97" s="244"/>
      <c r="X97" s="244"/>
      <c r="Y97" s="237"/>
      <c r="Z97" s="244"/>
      <c r="AA97" s="244"/>
      <c r="AB97" s="244"/>
      <c r="AC97" s="244"/>
      <c r="AD97" s="234"/>
      <c r="AE97" s="234"/>
      <c r="AF97" s="238"/>
      <c r="AG97" s="239"/>
      <c r="AH97" s="238"/>
      <c r="AI97" s="238"/>
      <c r="AJ97" s="234"/>
      <c r="AK97" s="234"/>
      <c r="AL97" s="234"/>
      <c r="AM97" s="234"/>
      <c r="AN97" s="234"/>
      <c r="AO97" s="234"/>
    </row>
    <row r="98" ht="15.75" customHeight="1">
      <c r="A98" s="248"/>
      <c r="B98" s="91"/>
      <c r="C98" s="220"/>
      <c r="D98" s="54" t="s">
        <v>277</v>
      </c>
      <c r="E98" s="32"/>
      <c r="F98" s="246"/>
      <c r="G98" s="91"/>
      <c r="H98" s="242"/>
      <c r="I98" s="223"/>
      <c r="J98" s="234"/>
      <c r="K98" s="243"/>
      <c r="L98" s="243"/>
      <c r="M98" s="234"/>
      <c r="N98" s="235"/>
      <c r="O98" s="236"/>
      <c r="P98" s="236"/>
      <c r="Q98" s="236"/>
      <c r="R98" s="236"/>
      <c r="S98" s="236"/>
      <c r="T98" s="236"/>
      <c r="U98" s="236"/>
      <c r="V98" s="236"/>
      <c r="W98" s="244"/>
      <c r="X98" s="244"/>
      <c r="Y98" s="237"/>
      <c r="Z98" s="244"/>
      <c r="AA98" s="244"/>
      <c r="AB98" s="244"/>
      <c r="AC98" s="244"/>
      <c r="AD98" s="234"/>
      <c r="AE98" s="234"/>
      <c r="AF98" s="238"/>
      <c r="AG98" s="239"/>
      <c r="AH98" s="238"/>
      <c r="AI98" s="238"/>
      <c r="AJ98" s="234"/>
      <c r="AK98" s="234"/>
      <c r="AL98" s="234"/>
      <c r="AM98" s="234"/>
      <c r="AN98" s="234"/>
      <c r="AO98" s="234"/>
    </row>
    <row r="99" ht="15.75" customHeight="1">
      <c r="A99" s="91"/>
      <c r="B99" s="91"/>
      <c r="C99" s="220"/>
      <c r="D99" s="54" t="s">
        <v>278</v>
      </c>
      <c r="E99" s="32"/>
      <c r="F99" s="148"/>
      <c r="G99" s="91"/>
      <c r="H99" s="242"/>
      <c r="I99" s="223"/>
      <c r="J99" s="234"/>
      <c r="K99" s="243"/>
      <c r="L99" s="243"/>
      <c r="M99" s="234"/>
      <c r="N99" s="235"/>
      <c r="O99" s="236"/>
      <c r="Q99" s="236"/>
      <c r="R99" s="236"/>
      <c r="S99" s="236"/>
      <c r="T99" s="236"/>
      <c r="U99" s="236"/>
      <c r="V99" s="236"/>
      <c r="W99" s="244"/>
      <c r="X99" s="244"/>
      <c r="Y99" s="237"/>
      <c r="Z99" s="244"/>
      <c r="AA99" s="244"/>
      <c r="AB99" s="244"/>
      <c r="AC99" s="244"/>
      <c r="AD99" s="234"/>
      <c r="AE99" s="234"/>
      <c r="AF99" s="238"/>
      <c r="AG99" s="239"/>
      <c r="AH99" s="238"/>
      <c r="AI99" s="238"/>
      <c r="AJ99" s="234"/>
      <c r="AK99" s="234"/>
      <c r="AL99" s="234"/>
      <c r="AM99" s="234"/>
      <c r="AN99" s="234"/>
      <c r="AO99" s="234"/>
    </row>
    <row r="100" ht="15.75" customHeight="1">
      <c r="A100" s="91"/>
      <c r="B100" s="91"/>
      <c r="C100" s="220"/>
      <c r="D100" s="91"/>
      <c r="E100" s="221"/>
      <c r="F100" s="91"/>
      <c r="G100" s="91"/>
      <c r="H100" s="242"/>
      <c r="I100" s="223"/>
      <c r="J100" s="234"/>
      <c r="K100" s="243"/>
      <c r="L100" s="243"/>
      <c r="M100" s="234"/>
      <c r="N100" s="235"/>
      <c r="O100" s="236"/>
      <c r="P100" s="236"/>
      <c r="Q100" s="236"/>
      <c r="R100" s="236"/>
      <c r="S100" s="236"/>
      <c r="T100" s="236"/>
      <c r="U100" s="236"/>
      <c r="V100" s="236"/>
      <c r="W100" s="244"/>
      <c r="X100" s="244"/>
      <c r="Y100" s="237"/>
      <c r="Z100" s="244"/>
      <c r="AA100" s="244"/>
      <c r="AB100" s="244"/>
      <c r="AC100" s="244"/>
      <c r="AD100" s="234"/>
      <c r="AE100" s="234"/>
      <c r="AF100" s="238"/>
      <c r="AG100" s="239"/>
      <c r="AH100" s="238"/>
      <c r="AI100" s="238"/>
      <c r="AJ100" s="234"/>
      <c r="AK100" s="234"/>
      <c r="AL100" s="234"/>
      <c r="AM100" s="234"/>
      <c r="AN100" s="234"/>
      <c r="AO100" s="234"/>
    </row>
    <row r="101" ht="15.75" customHeight="1">
      <c r="A101" s="91"/>
      <c r="B101" s="91"/>
      <c r="C101" s="220"/>
      <c r="D101" s="91"/>
      <c r="E101" s="221"/>
      <c r="F101" s="91"/>
      <c r="G101" s="91"/>
      <c r="H101" s="242"/>
      <c r="I101" s="223"/>
      <c r="J101" s="234"/>
      <c r="K101" s="243"/>
      <c r="L101" s="243"/>
      <c r="M101" s="234"/>
      <c r="N101" s="235"/>
      <c r="O101" s="236"/>
      <c r="P101" s="236"/>
      <c r="Q101" s="236"/>
      <c r="R101" s="236"/>
      <c r="S101" s="236"/>
      <c r="T101" s="236"/>
      <c r="U101" s="236"/>
      <c r="V101" s="236"/>
      <c r="W101" s="244"/>
      <c r="X101" s="244"/>
      <c r="Y101" s="237"/>
      <c r="Z101" s="244"/>
      <c r="AA101" s="244"/>
      <c r="AB101" s="244"/>
      <c r="AC101" s="244"/>
      <c r="AD101" s="234"/>
      <c r="AE101" s="234"/>
      <c r="AF101" s="238"/>
      <c r="AG101" s="239"/>
      <c r="AH101" s="238"/>
      <c r="AI101" s="238"/>
      <c r="AJ101" s="234"/>
      <c r="AK101" s="234"/>
      <c r="AL101" s="234"/>
      <c r="AM101" s="234"/>
      <c r="AN101" s="234"/>
      <c r="AO101" s="234"/>
    </row>
    <row r="102" ht="15.75" customHeight="1">
      <c r="A102" s="91"/>
      <c r="B102" s="91"/>
      <c r="C102" s="220"/>
      <c r="D102" s="91"/>
      <c r="E102" s="221"/>
      <c r="F102" s="91"/>
      <c r="G102" s="91"/>
      <c r="H102" s="242"/>
      <c r="I102" s="223"/>
      <c r="J102" s="234"/>
      <c r="K102" s="243"/>
      <c r="L102" s="243"/>
      <c r="M102" s="234"/>
      <c r="N102" s="235"/>
      <c r="O102" s="236"/>
      <c r="P102" s="236"/>
      <c r="Q102" s="236"/>
      <c r="R102" s="236"/>
      <c r="S102" s="236"/>
      <c r="T102" s="236"/>
      <c r="U102" s="236"/>
      <c r="V102" s="236"/>
      <c r="W102" s="244"/>
      <c r="X102" s="244"/>
      <c r="Y102" s="237"/>
      <c r="Z102" s="244"/>
      <c r="AA102" s="244"/>
      <c r="AB102" s="244"/>
      <c r="AC102" s="244"/>
      <c r="AD102" s="234"/>
      <c r="AE102" s="234"/>
      <c r="AF102" s="238"/>
      <c r="AG102" s="239"/>
      <c r="AH102" s="238"/>
      <c r="AI102" s="238"/>
      <c r="AJ102" s="234"/>
      <c r="AK102" s="234"/>
      <c r="AL102" s="234"/>
      <c r="AM102" s="234"/>
      <c r="AN102" s="234"/>
      <c r="AO102" s="234"/>
    </row>
    <row r="103" ht="15.75" customHeight="1">
      <c r="A103" s="91"/>
      <c r="B103" s="91" t="s">
        <v>0</v>
      </c>
      <c r="C103" s="220"/>
      <c r="D103" s="91"/>
      <c r="E103" s="221"/>
      <c r="F103" s="91"/>
      <c r="G103" s="91"/>
      <c r="H103" s="242"/>
      <c r="I103" s="223"/>
      <c r="J103" s="57"/>
      <c r="K103" s="153"/>
      <c r="L103" s="243"/>
      <c r="M103" s="234"/>
      <c r="N103" s="235"/>
      <c r="O103" s="236"/>
      <c r="P103" s="236"/>
      <c r="Q103" s="236"/>
      <c r="R103" s="236"/>
      <c r="S103" s="236"/>
      <c r="T103" s="236"/>
      <c r="U103" s="236"/>
      <c r="V103" s="236"/>
      <c r="W103" s="244"/>
      <c r="X103" s="244"/>
      <c r="Y103" s="237"/>
      <c r="Z103" s="244"/>
      <c r="AA103" s="244"/>
      <c r="AB103" s="244"/>
      <c r="AC103" s="244"/>
      <c r="AD103" s="234"/>
      <c r="AE103" s="234"/>
      <c r="AF103" s="238"/>
      <c r="AG103" s="239"/>
      <c r="AH103" s="238"/>
      <c r="AI103" s="238"/>
      <c r="AJ103" s="234"/>
      <c r="AK103" s="234"/>
      <c r="AL103" s="234"/>
      <c r="AM103" s="234"/>
      <c r="AN103" s="234"/>
      <c r="AO103" s="234"/>
    </row>
    <row r="104" ht="15.75" customHeight="1">
      <c r="A104" s="91"/>
      <c r="B104" s="91"/>
      <c r="C104" s="220"/>
      <c r="D104" s="91"/>
      <c r="E104" s="221"/>
      <c r="F104" s="91"/>
      <c r="G104" s="91"/>
      <c r="H104" s="242"/>
      <c r="I104" s="223"/>
      <c r="J104" s="57"/>
      <c r="K104" s="153"/>
      <c r="L104" s="243"/>
      <c r="M104" s="234"/>
      <c r="N104" s="235"/>
      <c r="O104" s="236"/>
      <c r="P104" s="236"/>
      <c r="Q104" s="236"/>
      <c r="R104" s="236"/>
      <c r="S104" s="236"/>
      <c r="T104" s="236"/>
      <c r="U104" s="236"/>
      <c r="V104" s="236"/>
      <c r="W104" s="244"/>
      <c r="X104" s="244"/>
      <c r="Y104" s="237"/>
      <c r="Z104" s="244"/>
      <c r="AA104" s="244"/>
      <c r="AB104" s="244"/>
      <c r="AC104" s="244"/>
      <c r="AD104" s="234"/>
      <c r="AE104" s="234"/>
      <c r="AF104" s="238"/>
      <c r="AG104" s="239"/>
      <c r="AH104" s="238"/>
      <c r="AI104" s="238"/>
      <c r="AJ104" s="234"/>
      <c r="AK104" s="234"/>
      <c r="AL104" s="234"/>
      <c r="AM104" s="234"/>
      <c r="AN104" s="234"/>
      <c r="AO104" s="234"/>
    </row>
    <row r="105" ht="15.75" customHeight="1">
      <c r="A105" s="91"/>
      <c r="B105" s="91"/>
      <c r="C105" s="220"/>
      <c r="D105" s="91"/>
      <c r="E105" s="249"/>
      <c r="F105" s="91"/>
      <c r="G105" s="91"/>
      <c r="H105" s="242"/>
      <c r="I105" s="223"/>
      <c r="J105" s="57"/>
      <c r="K105" s="153"/>
      <c r="L105" s="243"/>
      <c r="M105" s="234"/>
      <c r="N105" s="235"/>
      <c r="O105" s="236"/>
      <c r="P105" s="236"/>
      <c r="Q105" s="236"/>
      <c r="R105" s="236"/>
      <c r="S105" s="236"/>
      <c r="T105" s="236"/>
      <c r="U105" s="236"/>
      <c r="V105" s="236"/>
      <c r="W105" s="244"/>
      <c r="X105" s="244"/>
      <c r="Y105" s="237"/>
      <c r="Z105" s="244"/>
      <c r="AA105" s="244"/>
      <c r="AB105" s="244"/>
      <c r="AC105" s="244"/>
      <c r="AD105" s="234"/>
      <c r="AE105" s="234"/>
      <c r="AF105" s="238"/>
      <c r="AG105" s="239"/>
      <c r="AH105" s="238"/>
      <c r="AI105" s="238"/>
      <c r="AJ105" s="234"/>
      <c r="AK105" s="234"/>
      <c r="AL105" s="234"/>
      <c r="AM105" s="234"/>
      <c r="AN105" s="234"/>
      <c r="AO105" s="234"/>
    </row>
    <row r="106" ht="15.75" customHeight="1">
      <c r="A106" s="91"/>
      <c r="B106" s="91"/>
      <c r="C106" s="220"/>
      <c r="D106" s="91"/>
      <c r="E106" s="221"/>
      <c r="F106" s="91"/>
      <c r="G106" s="91"/>
      <c r="H106" s="242"/>
      <c r="I106" s="223"/>
      <c r="J106" s="57"/>
      <c r="K106" s="153"/>
      <c r="L106" s="243"/>
      <c r="M106" s="234"/>
      <c r="N106" s="235"/>
      <c r="O106" s="236"/>
      <c r="P106" s="236"/>
      <c r="Q106" s="236"/>
      <c r="R106" s="236"/>
      <c r="S106" s="236"/>
      <c r="T106" s="236"/>
      <c r="U106" s="236"/>
      <c r="V106" s="236"/>
      <c r="W106" s="244"/>
      <c r="X106" s="244"/>
      <c r="Y106" s="237"/>
      <c r="Z106" s="244"/>
      <c r="AA106" s="244"/>
      <c r="AB106" s="244"/>
      <c r="AC106" s="244"/>
      <c r="AD106" s="234"/>
      <c r="AE106" s="234"/>
      <c r="AF106" s="238"/>
      <c r="AG106" s="239"/>
      <c r="AH106" s="238"/>
      <c r="AI106" s="238"/>
      <c r="AJ106" s="234"/>
      <c r="AK106" s="234"/>
      <c r="AL106" s="234"/>
      <c r="AM106" s="234"/>
      <c r="AN106" s="234"/>
      <c r="AO106" s="234"/>
    </row>
    <row r="107" ht="15.75" customHeight="1">
      <c r="A107" s="91"/>
      <c r="B107" s="91"/>
      <c r="C107" s="220"/>
      <c r="D107" s="91"/>
      <c r="E107" s="221"/>
      <c r="F107" s="91"/>
      <c r="G107" s="91"/>
      <c r="H107" s="242"/>
      <c r="I107" s="223"/>
      <c r="J107" s="57"/>
      <c r="K107" s="153"/>
      <c r="L107" s="243"/>
      <c r="M107" s="234"/>
      <c r="N107" s="244"/>
      <c r="O107" s="236"/>
      <c r="P107" s="236"/>
      <c r="Q107" s="236"/>
      <c r="R107" s="236"/>
      <c r="S107" s="236"/>
      <c r="T107" s="236"/>
      <c r="U107" s="236"/>
      <c r="V107" s="236"/>
      <c r="W107" s="244"/>
      <c r="X107" s="244"/>
      <c r="Y107" s="237"/>
      <c r="Z107" s="244"/>
      <c r="AA107" s="244"/>
      <c r="AB107" s="244"/>
      <c r="AC107" s="244"/>
      <c r="AD107" s="234"/>
      <c r="AE107" s="234"/>
      <c r="AF107" s="238"/>
      <c r="AG107" s="239"/>
      <c r="AH107" s="238"/>
      <c r="AI107" s="238"/>
      <c r="AJ107" s="234"/>
      <c r="AK107" s="234"/>
      <c r="AL107" s="234"/>
      <c r="AM107" s="234"/>
      <c r="AN107" s="234"/>
      <c r="AO107" s="234"/>
    </row>
    <row r="108" ht="15.75" customHeight="1">
      <c r="A108" s="91"/>
      <c r="B108" s="91"/>
      <c r="C108" s="220"/>
      <c r="D108" s="91"/>
      <c r="E108" s="221"/>
      <c r="F108" s="91"/>
      <c r="G108" s="91"/>
      <c r="H108" s="242"/>
      <c r="I108" s="223"/>
      <c r="J108" s="57"/>
      <c r="K108" s="153"/>
      <c r="L108" s="243"/>
      <c r="M108" s="234"/>
      <c r="N108" s="235"/>
      <c r="O108" s="236"/>
      <c r="P108" s="236"/>
      <c r="Q108" s="236"/>
      <c r="R108" s="236"/>
      <c r="S108" s="236"/>
      <c r="T108" s="236"/>
      <c r="U108" s="236"/>
      <c r="V108" s="236"/>
      <c r="W108" s="244"/>
      <c r="X108" s="244"/>
      <c r="Y108" s="237"/>
      <c r="Z108" s="244"/>
      <c r="AA108" s="244"/>
      <c r="AB108" s="244"/>
      <c r="AC108" s="244"/>
      <c r="AD108" s="234"/>
      <c r="AE108" s="234"/>
      <c r="AF108" s="238"/>
      <c r="AG108" s="239"/>
      <c r="AH108" s="238"/>
      <c r="AI108" s="238"/>
      <c r="AJ108" s="234"/>
      <c r="AK108" s="234"/>
      <c r="AL108" s="234"/>
      <c r="AM108" s="234"/>
      <c r="AN108" s="234"/>
      <c r="AO108" s="234"/>
    </row>
    <row r="109" ht="15.75" customHeight="1">
      <c r="A109" s="91"/>
      <c r="B109" s="91"/>
      <c r="C109" s="220"/>
      <c r="D109" s="91"/>
      <c r="E109" s="221"/>
      <c r="F109" s="91"/>
      <c r="G109" s="91"/>
      <c r="H109" s="242"/>
      <c r="I109" s="223"/>
      <c r="J109" s="57"/>
      <c r="K109" s="153"/>
      <c r="L109" s="243"/>
      <c r="M109" s="234"/>
      <c r="N109" s="235"/>
      <c r="O109" s="236"/>
      <c r="P109" s="236"/>
      <c r="Q109" s="236"/>
      <c r="R109" s="236"/>
      <c r="S109" s="236"/>
      <c r="T109" s="236"/>
      <c r="U109" s="236"/>
      <c r="V109" s="236"/>
      <c r="W109" s="244"/>
      <c r="X109" s="244"/>
      <c r="Y109" s="237"/>
      <c r="Z109" s="244"/>
      <c r="AA109" s="244"/>
      <c r="AB109" s="244"/>
      <c r="AC109" s="244"/>
      <c r="AD109" s="234"/>
      <c r="AE109" s="234"/>
      <c r="AF109" s="238"/>
      <c r="AG109" s="239"/>
      <c r="AH109" s="238"/>
      <c r="AI109" s="238"/>
      <c r="AJ109" s="234"/>
      <c r="AK109" s="234"/>
      <c r="AL109" s="234"/>
      <c r="AM109" s="234"/>
      <c r="AN109" s="234"/>
      <c r="AO109" s="234"/>
    </row>
    <row r="110" ht="15.75" customHeight="1">
      <c r="A110" s="91"/>
      <c r="B110" s="91"/>
      <c r="C110" s="220"/>
      <c r="D110" s="91"/>
      <c r="E110" s="221"/>
      <c r="F110" s="91"/>
      <c r="G110" s="91"/>
      <c r="H110" s="242"/>
      <c r="I110" s="223"/>
      <c r="J110" s="57"/>
      <c r="K110" s="153"/>
      <c r="L110" s="243"/>
      <c r="M110" s="234"/>
      <c r="N110" s="235"/>
      <c r="O110" s="236"/>
      <c r="P110" s="236"/>
      <c r="Q110" s="236"/>
      <c r="R110" s="236"/>
      <c r="S110" s="236"/>
      <c r="T110" s="236"/>
      <c r="U110" s="236"/>
      <c r="V110" s="236"/>
      <c r="W110" s="244"/>
      <c r="X110" s="244"/>
      <c r="Y110" s="237"/>
      <c r="Z110" s="244"/>
      <c r="AA110" s="244"/>
      <c r="AB110" s="244"/>
      <c r="AC110" s="244"/>
      <c r="AD110" s="234"/>
      <c r="AE110" s="234"/>
      <c r="AF110" s="238"/>
      <c r="AG110" s="239"/>
      <c r="AH110" s="238"/>
      <c r="AI110" s="238"/>
      <c r="AJ110" s="234"/>
      <c r="AK110" s="234"/>
      <c r="AL110" s="234"/>
      <c r="AM110" s="234"/>
      <c r="AN110" s="234"/>
      <c r="AO110" s="234"/>
    </row>
    <row r="111" ht="15.75" customHeight="1">
      <c r="A111" s="91"/>
      <c r="B111" s="91"/>
      <c r="C111" s="220"/>
      <c r="D111" s="91"/>
      <c r="E111" s="221"/>
      <c r="F111" s="91"/>
      <c r="G111" s="91"/>
      <c r="H111" s="242"/>
      <c r="I111" s="223"/>
      <c r="J111" s="57"/>
      <c r="K111" s="153"/>
      <c r="L111" s="243"/>
      <c r="M111" s="234"/>
      <c r="N111" s="235"/>
      <c r="O111" s="236"/>
      <c r="P111" s="236"/>
      <c r="Q111" s="236"/>
      <c r="R111" s="236"/>
      <c r="S111" s="236"/>
      <c r="T111" s="236"/>
      <c r="U111" s="236"/>
      <c r="V111" s="236"/>
      <c r="W111" s="244"/>
      <c r="X111" s="244"/>
      <c r="Y111" s="237"/>
      <c r="Z111" s="244"/>
      <c r="AA111" s="244"/>
      <c r="AB111" s="244"/>
      <c r="AC111" s="244"/>
      <c r="AD111" s="234"/>
      <c r="AE111" s="234"/>
      <c r="AF111" s="238"/>
      <c r="AG111" s="239"/>
      <c r="AH111" s="238"/>
      <c r="AI111" s="238"/>
      <c r="AJ111" s="234"/>
      <c r="AK111" s="234"/>
      <c r="AL111" s="234"/>
      <c r="AM111" s="234"/>
      <c r="AN111" s="234"/>
      <c r="AO111" s="234"/>
    </row>
    <row r="112" ht="15.75" customHeight="1">
      <c r="A112" s="91"/>
      <c r="B112" s="91"/>
      <c r="C112" s="220"/>
      <c r="D112" s="91"/>
      <c r="E112" s="221"/>
      <c r="F112" s="91"/>
      <c r="G112" s="91"/>
      <c r="H112" s="242"/>
      <c r="I112" s="223"/>
      <c r="J112" s="57"/>
      <c r="K112" s="153"/>
      <c r="L112" s="243"/>
      <c r="M112" s="234"/>
      <c r="N112" s="235"/>
      <c r="O112" s="236"/>
      <c r="P112" s="236"/>
      <c r="Q112" s="236"/>
      <c r="R112" s="236"/>
      <c r="S112" s="236"/>
      <c r="T112" s="236"/>
      <c r="U112" s="236"/>
      <c r="V112" s="236"/>
      <c r="W112" s="244"/>
      <c r="X112" s="244"/>
      <c r="Y112" s="237"/>
      <c r="Z112" s="244"/>
      <c r="AA112" s="244"/>
      <c r="AB112" s="244"/>
      <c r="AC112" s="244"/>
      <c r="AD112" s="234"/>
      <c r="AE112" s="234"/>
      <c r="AF112" s="238"/>
      <c r="AG112" s="239"/>
      <c r="AH112" s="238"/>
      <c r="AI112" s="238"/>
      <c r="AJ112" s="234"/>
      <c r="AK112" s="234"/>
      <c r="AL112" s="234"/>
      <c r="AM112" s="234"/>
      <c r="AN112" s="234"/>
      <c r="AO112" s="234"/>
    </row>
    <row r="113" ht="15.75" customHeight="1">
      <c r="A113" s="91"/>
      <c r="B113" s="91"/>
      <c r="C113" s="220"/>
      <c r="D113" s="91"/>
      <c r="E113" s="221"/>
      <c r="F113" s="91"/>
      <c r="G113" s="91"/>
      <c r="H113" s="242"/>
      <c r="I113" s="223"/>
      <c r="J113" s="57"/>
      <c r="K113" s="153"/>
      <c r="L113" s="243"/>
      <c r="M113" s="234"/>
      <c r="N113" s="235"/>
      <c r="O113" s="229"/>
      <c r="P113" s="236"/>
      <c r="Q113" s="236"/>
      <c r="R113" s="236"/>
      <c r="S113" s="236"/>
      <c r="T113" s="236"/>
      <c r="U113" s="236"/>
      <c r="V113" s="236"/>
      <c r="W113" s="244"/>
      <c r="X113" s="244"/>
      <c r="Y113" s="237"/>
      <c r="Z113" s="244"/>
      <c r="AA113" s="244"/>
      <c r="AB113" s="244"/>
      <c r="AC113" s="244"/>
      <c r="AD113" s="234"/>
      <c r="AE113" s="234"/>
      <c r="AF113" s="238"/>
      <c r="AG113" s="239"/>
      <c r="AH113" s="238"/>
      <c r="AI113" s="238"/>
      <c r="AJ113" s="234"/>
      <c r="AK113" s="234"/>
      <c r="AL113" s="234"/>
      <c r="AM113" s="234"/>
      <c r="AN113" s="234"/>
      <c r="AO113" s="234"/>
    </row>
    <row r="114" ht="15.75" customHeight="1">
      <c r="A114" s="91"/>
      <c r="B114" s="91"/>
      <c r="C114" s="220"/>
      <c r="D114" s="91"/>
      <c r="E114" s="221"/>
      <c r="F114" s="91"/>
      <c r="G114" s="91"/>
      <c r="H114" s="242"/>
      <c r="I114" s="223"/>
      <c r="J114" s="57"/>
      <c r="K114" s="153"/>
      <c r="L114" s="243"/>
      <c r="M114" s="234"/>
      <c r="N114" s="235"/>
      <c r="O114" s="236"/>
      <c r="P114" s="236"/>
      <c r="Q114" s="236"/>
      <c r="R114" s="236"/>
      <c r="S114" s="236"/>
      <c r="T114" s="236"/>
      <c r="U114" s="236"/>
      <c r="V114" s="236"/>
      <c r="W114" s="244"/>
      <c r="X114" s="244"/>
      <c r="Y114" s="237"/>
      <c r="Z114" s="244"/>
      <c r="AA114" s="244"/>
      <c r="AB114" s="244"/>
      <c r="AC114" s="244"/>
      <c r="AD114" s="234"/>
      <c r="AE114" s="234"/>
      <c r="AF114" s="238"/>
      <c r="AG114" s="239"/>
      <c r="AH114" s="238"/>
      <c r="AI114" s="238"/>
      <c r="AJ114" s="234"/>
      <c r="AK114" s="234"/>
      <c r="AL114" s="234"/>
      <c r="AM114" s="234"/>
      <c r="AN114" s="234"/>
      <c r="AO114" s="234"/>
    </row>
    <row r="115" ht="15.75" customHeight="1">
      <c r="A115" s="91"/>
      <c r="B115" s="91"/>
      <c r="C115" s="220"/>
      <c r="D115" s="91"/>
      <c r="E115" s="221"/>
      <c r="F115" s="91"/>
      <c r="G115" s="91"/>
      <c r="H115" s="242"/>
      <c r="I115" s="223"/>
      <c r="J115" s="57"/>
      <c r="K115" s="153"/>
      <c r="L115" s="243"/>
      <c r="M115" s="234"/>
      <c r="N115" s="235"/>
      <c r="O115" s="236"/>
      <c r="P115" s="236"/>
      <c r="Q115" s="236"/>
      <c r="R115" s="236"/>
      <c r="S115" s="236"/>
      <c r="T115" s="236"/>
      <c r="U115" s="236"/>
      <c r="V115" s="236"/>
      <c r="W115" s="244"/>
      <c r="X115" s="244"/>
      <c r="Y115" s="237"/>
      <c r="Z115" s="244"/>
      <c r="AA115" s="244"/>
      <c r="AB115" s="244"/>
      <c r="AC115" s="244"/>
      <c r="AD115" s="234"/>
      <c r="AE115" s="234"/>
      <c r="AF115" s="238"/>
      <c r="AG115" s="239"/>
      <c r="AH115" s="238"/>
      <c r="AI115" s="238"/>
      <c r="AJ115" s="234"/>
      <c r="AK115" s="234"/>
      <c r="AL115" s="234"/>
      <c r="AM115" s="234"/>
      <c r="AN115" s="234"/>
      <c r="AO115" s="234"/>
    </row>
    <row r="116" ht="15.75" customHeight="1">
      <c r="A116" s="91"/>
      <c r="B116" s="91"/>
      <c r="C116" s="220"/>
      <c r="D116" s="91"/>
      <c r="E116" s="221"/>
      <c r="F116" s="91"/>
      <c r="G116" s="91"/>
      <c r="H116" s="242"/>
      <c r="I116" s="223"/>
      <c r="J116" s="57"/>
      <c r="K116" s="153"/>
      <c r="L116" s="243"/>
      <c r="M116" s="234"/>
      <c r="N116" s="235"/>
      <c r="O116" s="236"/>
      <c r="P116" s="236"/>
      <c r="Q116" s="236"/>
      <c r="R116" s="236"/>
      <c r="S116" s="236"/>
      <c r="T116" s="236"/>
      <c r="U116" s="236"/>
      <c r="V116" s="236"/>
      <c r="W116" s="244"/>
      <c r="X116" s="244"/>
      <c r="Y116" s="237"/>
      <c r="Z116" s="244"/>
      <c r="AA116" s="244"/>
      <c r="AB116" s="244"/>
      <c r="AC116" s="244"/>
      <c r="AD116" s="234"/>
      <c r="AE116" s="234"/>
      <c r="AF116" s="238"/>
      <c r="AG116" s="239"/>
      <c r="AH116" s="238"/>
      <c r="AI116" s="238"/>
      <c r="AJ116" s="234"/>
      <c r="AK116" s="234"/>
      <c r="AL116" s="234"/>
      <c r="AM116" s="234"/>
      <c r="AN116" s="234"/>
      <c r="AO116" s="234"/>
    </row>
    <row r="117" ht="15.75" customHeight="1">
      <c r="A117" s="91"/>
      <c r="B117" s="91"/>
      <c r="C117" s="220"/>
      <c r="D117" s="91"/>
      <c r="E117" s="221"/>
      <c r="F117" s="91"/>
      <c r="G117" s="91"/>
      <c r="H117" s="242"/>
      <c r="I117" s="223"/>
      <c r="J117" s="57"/>
      <c r="K117" s="153"/>
      <c r="L117" s="243"/>
      <c r="M117" s="234"/>
      <c r="N117" s="235"/>
      <c r="O117" s="236"/>
      <c r="P117" s="236"/>
      <c r="Q117" s="236"/>
      <c r="R117" s="236"/>
      <c r="S117" s="236"/>
      <c r="T117" s="236"/>
      <c r="U117" s="236"/>
      <c r="V117" s="236"/>
      <c r="W117" s="244"/>
      <c r="X117" s="244"/>
      <c r="Y117" s="237"/>
      <c r="Z117" s="244"/>
      <c r="AA117" s="244"/>
      <c r="AB117" s="244"/>
      <c r="AC117" s="244"/>
      <c r="AD117" s="234"/>
      <c r="AE117" s="234"/>
      <c r="AF117" s="238"/>
      <c r="AG117" s="239"/>
      <c r="AH117" s="238"/>
      <c r="AI117" s="238"/>
      <c r="AJ117" s="234"/>
      <c r="AK117" s="234"/>
      <c r="AL117" s="234"/>
      <c r="AM117" s="234"/>
      <c r="AN117" s="234"/>
      <c r="AO117" s="234"/>
    </row>
    <row r="118" ht="15.75" customHeight="1">
      <c r="A118" s="91"/>
      <c r="B118" s="91"/>
      <c r="C118" s="220"/>
      <c r="D118" s="91"/>
      <c r="E118" s="221"/>
      <c r="F118" s="91"/>
      <c r="G118" s="91"/>
      <c r="H118" s="242"/>
      <c r="I118" s="223"/>
      <c r="J118" s="57"/>
      <c r="K118" s="153"/>
      <c r="L118" s="243"/>
      <c r="M118" s="234"/>
      <c r="N118" s="235"/>
      <c r="O118" s="236"/>
      <c r="P118" s="236"/>
      <c r="Q118" s="236"/>
      <c r="R118" s="236"/>
      <c r="S118" s="236"/>
      <c r="T118" s="236"/>
      <c r="U118" s="236"/>
      <c r="V118" s="236"/>
      <c r="W118" s="244"/>
      <c r="X118" s="244"/>
      <c r="Y118" s="237"/>
      <c r="Z118" s="244"/>
      <c r="AA118" s="244"/>
      <c r="AB118" s="244"/>
      <c r="AC118" s="244"/>
      <c r="AD118" s="234"/>
      <c r="AE118" s="234"/>
      <c r="AF118" s="238"/>
      <c r="AG118" s="239"/>
      <c r="AH118" s="238"/>
      <c r="AI118" s="238"/>
      <c r="AJ118" s="234"/>
      <c r="AK118" s="234"/>
      <c r="AL118" s="234"/>
      <c r="AM118" s="234"/>
      <c r="AN118" s="234"/>
      <c r="AO118" s="234"/>
    </row>
    <row r="119" ht="15.75" customHeight="1">
      <c r="A119" s="91"/>
      <c r="B119" s="91"/>
      <c r="C119" s="220"/>
      <c r="D119" s="91"/>
      <c r="E119" s="221"/>
      <c r="F119" s="91"/>
      <c r="G119" s="91"/>
      <c r="H119" s="242"/>
      <c r="I119" s="223"/>
      <c r="J119" s="57"/>
      <c r="K119" s="153"/>
      <c r="L119" s="243"/>
      <c r="M119" s="234"/>
      <c r="N119" s="235"/>
      <c r="O119" s="236"/>
      <c r="P119" s="236"/>
      <c r="Q119" s="236"/>
      <c r="R119" s="236"/>
      <c r="S119" s="236"/>
      <c r="T119" s="236"/>
      <c r="U119" s="236"/>
      <c r="V119" s="236"/>
      <c r="W119" s="244"/>
      <c r="X119" s="244"/>
      <c r="Y119" s="237"/>
      <c r="Z119" s="244"/>
      <c r="AA119" s="244"/>
      <c r="AB119" s="244"/>
      <c r="AC119" s="244"/>
      <c r="AD119" s="234"/>
      <c r="AE119" s="234"/>
      <c r="AF119" s="238"/>
      <c r="AG119" s="239"/>
      <c r="AH119" s="238"/>
      <c r="AI119" s="238"/>
      <c r="AJ119" s="234"/>
      <c r="AK119" s="234"/>
      <c r="AL119" s="234"/>
      <c r="AM119" s="234"/>
      <c r="AN119" s="234"/>
      <c r="AO119" s="234"/>
    </row>
    <row r="120" ht="15.75" customHeight="1">
      <c r="A120" s="91"/>
      <c r="B120" s="91"/>
      <c r="C120" s="220"/>
      <c r="D120" s="91"/>
      <c r="E120" s="221"/>
      <c r="F120" s="91"/>
      <c r="G120" s="91"/>
      <c r="H120" s="242"/>
      <c r="I120" s="223"/>
      <c r="J120" s="57"/>
      <c r="K120" s="153"/>
      <c r="L120" s="243"/>
      <c r="M120" s="234"/>
      <c r="N120" s="235"/>
      <c r="O120" s="236"/>
      <c r="P120" s="236"/>
      <c r="Q120" s="236"/>
      <c r="R120" s="236"/>
      <c r="S120" s="236"/>
      <c r="T120" s="236"/>
      <c r="U120" s="236"/>
      <c r="V120" s="236"/>
      <c r="W120" s="244"/>
      <c r="X120" s="244"/>
      <c r="Y120" s="237"/>
      <c r="Z120" s="244"/>
      <c r="AA120" s="244"/>
      <c r="AB120" s="244"/>
      <c r="AC120" s="244"/>
      <c r="AD120" s="234"/>
      <c r="AE120" s="234"/>
      <c r="AF120" s="238"/>
      <c r="AG120" s="239"/>
      <c r="AH120" s="238"/>
      <c r="AI120" s="238"/>
      <c r="AJ120" s="234"/>
      <c r="AK120" s="234"/>
      <c r="AL120" s="234"/>
      <c r="AM120" s="234"/>
      <c r="AN120" s="234"/>
      <c r="AO120" s="234"/>
    </row>
    <row r="121" ht="15.75" customHeight="1">
      <c r="A121" s="91"/>
      <c r="B121" s="91"/>
      <c r="C121" s="220"/>
      <c r="D121" s="91"/>
      <c r="E121" s="221"/>
      <c r="F121" s="91"/>
      <c r="G121" s="91"/>
      <c r="H121" s="242"/>
      <c r="I121" s="223"/>
      <c r="J121" s="57"/>
      <c r="K121" s="153"/>
      <c r="L121" s="243"/>
      <c r="M121" s="234"/>
      <c r="N121" s="235"/>
      <c r="O121" s="236"/>
      <c r="P121" s="236"/>
      <c r="Q121" s="236"/>
      <c r="R121" s="236"/>
      <c r="S121" s="236"/>
      <c r="T121" s="236"/>
      <c r="U121" s="236"/>
      <c r="V121" s="236"/>
      <c r="W121" s="244"/>
      <c r="X121" s="244"/>
      <c r="Y121" s="237"/>
      <c r="Z121" s="244"/>
      <c r="AA121" s="244"/>
      <c r="AB121" s="244"/>
      <c r="AC121" s="244"/>
      <c r="AD121" s="234"/>
      <c r="AE121" s="234"/>
      <c r="AF121" s="238"/>
      <c r="AG121" s="239"/>
      <c r="AH121" s="238"/>
      <c r="AI121" s="238"/>
      <c r="AJ121" s="234"/>
      <c r="AK121" s="234"/>
      <c r="AL121" s="234"/>
      <c r="AM121" s="234"/>
      <c r="AN121" s="234"/>
      <c r="AO121" s="234"/>
    </row>
    <row r="122" ht="15.75" customHeight="1">
      <c r="A122" s="91"/>
      <c r="B122" s="91"/>
      <c r="C122" s="220"/>
      <c r="D122" s="91"/>
      <c r="E122" s="221"/>
      <c r="F122" s="91"/>
      <c r="G122" s="91"/>
      <c r="H122" s="242"/>
      <c r="I122" s="223"/>
      <c r="J122" s="57"/>
      <c r="K122" s="153"/>
      <c r="L122" s="243"/>
      <c r="M122" s="234"/>
      <c r="N122" s="235"/>
      <c r="O122" s="236"/>
      <c r="P122" s="236"/>
      <c r="Q122" s="236"/>
      <c r="R122" s="236"/>
      <c r="S122" s="236"/>
      <c r="T122" s="236"/>
      <c r="U122" s="236"/>
      <c r="V122" s="236"/>
      <c r="W122" s="244"/>
      <c r="X122" s="244"/>
      <c r="Y122" s="237"/>
      <c r="Z122" s="244"/>
      <c r="AA122" s="244"/>
      <c r="AB122" s="244"/>
      <c r="AC122" s="244"/>
      <c r="AD122" s="234"/>
      <c r="AE122" s="234"/>
      <c r="AF122" s="238"/>
      <c r="AG122" s="239"/>
      <c r="AH122" s="238"/>
      <c r="AI122" s="238"/>
      <c r="AJ122" s="234"/>
      <c r="AK122" s="234"/>
      <c r="AL122" s="234"/>
      <c r="AM122" s="234"/>
      <c r="AN122" s="234"/>
      <c r="AO122" s="234"/>
    </row>
    <row r="123" ht="15.75" customHeight="1">
      <c r="A123" s="91"/>
      <c r="B123" s="91"/>
      <c r="C123" s="220"/>
      <c r="D123" s="91"/>
      <c r="E123" s="221"/>
      <c r="F123" s="91"/>
      <c r="G123" s="91"/>
      <c r="H123" s="242"/>
      <c r="I123" s="223"/>
      <c r="J123" s="57"/>
      <c r="K123" s="153"/>
      <c r="L123" s="243"/>
      <c r="M123" s="234"/>
      <c r="N123" s="235"/>
      <c r="O123" s="236"/>
      <c r="P123" s="236"/>
      <c r="Q123" s="236"/>
      <c r="R123" s="236"/>
      <c r="S123" s="236"/>
      <c r="T123" s="236"/>
      <c r="U123" s="236"/>
      <c r="V123" s="236"/>
      <c r="W123" s="244"/>
      <c r="X123" s="244"/>
      <c r="Y123" s="237"/>
      <c r="Z123" s="244"/>
      <c r="AA123" s="244"/>
      <c r="AB123" s="244"/>
      <c r="AC123" s="244"/>
      <c r="AD123" s="234"/>
      <c r="AE123" s="234"/>
      <c r="AF123" s="238"/>
      <c r="AG123" s="239"/>
      <c r="AH123" s="238"/>
      <c r="AI123" s="238"/>
      <c r="AJ123" s="234"/>
      <c r="AK123" s="234"/>
      <c r="AL123" s="234"/>
      <c r="AM123" s="234"/>
      <c r="AN123" s="234"/>
      <c r="AO123" s="234"/>
    </row>
    <row r="124" ht="15.75" customHeight="1">
      <c r="A124" s="91"/>
      <c r="B124" s="91"/>
      <c r="C124" s="220"/>
      <c r="D124" s="91"/>
      <c r="E124" s="221"/>
      <c r="F124" s="91"/>
      <c r="G124" s="91"/>
      <c r="H124" s="242"/>
      <c r="I124" s="223"/>
      <c r="J124" s="57"/>
      <c r="K124" s="153"/>
      <c r="L124" s="243"/>
      <c r="M124" s="234"/>
      <c r="N124" s="235"/>
      <c r="O124" s="236"/>
      <c r="P124" s="236"/>
      <c r="Q124" s="236"/>
      <c r="R124" s="236"/>
      <c r="S124" s="236"/>
      <c r="T124" s="236"/>
      <c r="U124" s="236"/>
      <c r="V124" s="236"/>
      <c r="W124" s="244"/>
      <c r="X124" s="244"/>
      <c r="Y124" s="237"/>
      <c r="Z124" s="244"/>
      <c r="AA124" s="244"/>
      <c r="AB124" s="244"/>
      <c r="AC124" s="244"/>
      <c r="AD124" s="234"/>
      <c r="AE124" s="234"/>
      <c r="AF124" s="238"/>
      <c r="AG124" s="239"/>
      <c r="AH124" s="238"/>
      <c r="AI124" s="238"/>
      <c r="AJ124" s="234"/>
      <c r="AK124" s="234"/>
      <c r="AL124" s="234"/>
      <c r="AM124" s="234"/>
      <c r="AN124" s="234"/>
      <c r="AO124" s="234"/>
    </row>
    <row r="125" ht="15.75" customHeight="1">
      <c r="A125" s="91"/>
      <c r="B125" s="91"/>
      <c r="C125" s="220"/>
      <c r="D125" s="91"/>
      <c r="E125" s="221"/>
      <c r="F125" s="91"/>
      <c r="G125" s="91"/>
      <c r="H125" s="242"/>
      <c r="I125" s="223"/>
      <c r="J125" s="57"/>
      <c r="K125" s="153"/>
      <c r="L125" s="243"/>
      <c r="M125" s="234"/>
      <c r="N125" s="235"/>
      <c r="O125" s="236"/>
      <c r="P125" s="236"/>
      <c r="Q125" s="236"/>
      <c r="R125" s="236"/>
      <c r="S125" s="236"/>
      <c r="T125" s="236"/>
      <c r="U125" s="236"/>
      <c r="V125" s="236"/>
      <c r="W125" s="244"/>
      <c r="X125" s="244"/>
      <c r="Y125" s="237"/>
      <c r="Z125" s="244"/>
      <c r="AA125" s="244"/>
      <c r="AB125" s="244"/>
      <c r="AC125" s="244"/>
      <c r="AD125" s="234"/>
      <c r="AE125" s="234"/>
      <c r="AF125" s="238"/>
      <c r="AG125" s="239"/>
      <c r="AH125" s="238"/>
      <c r="AI125" s="238"/>
      <c r="AJ125" s="234"/>
      <c r="AK125" s="234"/>
      <c r="AL125" s="234"/>
      <c r="AM125" s="234"/>
      <c r="AN125" s="234"/>
      <c r="AO125" s="234"/>
    </row>
    <row r="126" ht="15.75" customHeight="1">
      <c r="A126" s="91"/>
      <c r="B126" s="91"/>
      <c r="C126" s="220"/>
      <c r="D126" s="91"/>
      <c r="E126" s="221"/>
      <c r="F126" s="91"/>
      <c r="G126" s="91"/>
      <c r="H126" s="242"/>
      <c r="I126" s="223"/>
      <c r="J126" s="57"/>
      <c r="K126" s="153"/>
      <c r="L126" s="243"/>
      <c r="M126" s="234"/>
      <c r="N126" s="235"/>
      <c r="O126" s="236"/>
      <c r="P126" s="236"/>
      <c r="Q126" s="236"/>
      <c r="R126" s="236"/>
      <c r="S126" s="236"/>
      <c r="T126" s="236"/>
      <c r="U126" s="236"/>
      <c r="V126" s="236"/>
      <c r="W126" s="244"/>
      <c r="X126" s="244"/>
      <c r="Y126" s="237"/>
      <c r="Z126" s="244"/>
      <c r="AA126" s="244"/>
      <c r="AB126" s="244"/>
      <c r="AC126" s="244"/>
      <c r="AD126" s="234"/>
      <c r="AE126" s="234"/>
      <c r="AF126" s="238"/>
      <c r="AG126" s="239"/>
      <c r="AH126" s="238"/>
      <c r="AI126" s="238"/>
      <c r="AJ126" s="234"/>
      <c r="AK126" s="234"/>
      <c r="AL126" s="234"/>
      <c r="AM126" s="234"/>
      <c r="AN126" s="234"/>
      <c r="AO126" s="234"/>
    </row>
    <row r="127" ht="15.75" customHeight="1">
      <c r="A127" s="91"/>
      <c r="B127" s="91"/>
      <c r="C127" s="220"/>
      <c r="D127" s="91"/>
      <c r="E127" s="221"/>
      <c r="F127" s="91"/>
      <c r="G127" s="91"/>
      <c r="H127" s="242"/>
      <c r="I127" s="223"/>
      <c r="J127" s="57"/>
      <c r="K127" s="153"/>
      <c r="L127" s="243"/>
      <c r="M127" s="234"/>
      <c r="N127" s="235"/>
      <c r="O127" s="236"/>
      <c r="P127" s="236"/>
      <c r="Q127" s="236"/>
      <c r="R127" s="236"/>
      <c r="S127" s="236"/>
      <c r="T127" s="236"/>
      <c r="U127" s="236"/>
      <c r="V127" s="236"/>
      <c r="W127" s="244"/>
      <c r="X127" s="244"/>
      <c r="Y127" s="237"/>
      <c r="Z127" s="244"/>
      <c r="AA127" s="244"/>
      <c r="AB127" s="244"/>
      <c r="AC127" s="244"/>
      <c r="AD127" s="234"/>
      <c r="AE127" s="234"/>
      <c r="AF127" s="238"/>
      <c r="AG127" s="239"/>
      <c r="AH127" s="238"/>
      <c r="AI127" s="238"/>
      <c r="AJ127" s="234"/>
      <c r="AK127" s="234"/>
      <c r="AL127" s="234"/>
      <c r="AM127" s="234"/>
      <c r="AN127" s="234"/>
      <c r="AO127" s="234"/>
    </row>
    <row r="128" ht="15.75" customHeight="1">
      <c r="A128" s="91"/>
      <c r="B128" s="91"/>
      <c r="C128" s="220"/>
      <c r="D128" s="91"/>
      <c r="E128" s="221"/>
      <c r="F128" s="91"/>
      <c r="G128" s="91"/>
      <c r="H128" s="242"/>
      <c r="I128" s="223"/>
      <c r="J128" s="57"/>
      <c r="K128" s="153"/>
      <c r="L128" s="243"/>
      <c r="M128" s="234"/>
      <c r="N128" s="235"/>
      <c r="O128" s="236"/>
      <c r="P128" s="236"/>
      <c r="Q128" s="236"/>
      <c r="R128" s="236"/>
      <c r="S128" s="236"/>
      <c r="T128" s="236"/>
      <c r="U128" s="236"/>
      <c r="V128" s="236"/>
      <c r="W128" s="244"/>
      <c r="X128" s="244"/>
      <c r="Y128" s="237"/>
      <c r="Z128" s="244"/>
      <c r="AA128" s="244"/>
      <c r="AB128" s="244"/>
      <c r="AC128" s="244"/>
      <c r="AD128" s="234"/>
      <c r="AE128" s="234"/>
      <c r="AF128" s="238"/>
      <c r="AG128" s="239"/>
      <c r="AH128" s="238"/>
      <c r="AI128" s="238"/>
      <c r="AJ128" s="234"/>
      <c r="AK128" s="234"/>
      <c r="AL128" s="234"/>
      <c r="AM128" s="234"/>
      <c r="AN128" s="234"/>
      <c r="AO128" s="234"/>
    </row>
    <row r="129" ht="15.75" customHeight="1">
      <c r="A129" s="91"/>
      <c r="B129" s="91"/>
      <c r="C129" s="220"/>
      <c r="D129" s="91"/>
      <c r="E129" s="221"/>
      <c r="F129" s="91"/>
      <c r="G129" s="91"/>
      <c r="H129" s="242"/>
      <c r="I129" s="223"/>
      <c r="J129" s="57"/>
      <c r="K129" s="153"/>
      <c r="L129" s="243"/>
      <c r="M129" s="234"/>
      <c r="N129" s="235"/>
      <c r="O129" s="236"/>
      <c r="P129" s="236"/>
      <c r="Q129" s="236"/>
      <c r="R129" s="236"/>
      <c r="S129" s="236"/>
      <c r="T129" s="236"/>
      <c r="U129" s="236"/>
      <c r="V129" s="236"/>
      <c r="W129" s="244"/>
      <c r="X129" s="244"/>
      <c r="Y129" s="237"/>
      <c r="Z129" s="244"/>
      <c r="AA129" s="244"/>
      <c r="AB129" s="244"/>
      <c r="AC129" s="244"/>
      <c r="AD129" s="234"/>
      <c r="AE129" s="234"/>
      <c r="AF129" s="238"/>
      <c r="AG129" s="239"/>
      <c r="AH129" s="238"/>
      <c r="AI129" s="238"/>
      <c r="AJ129" s="234"/>
      <c r="AK129" s="234"/>
      <c r="AL129" s="234"/>
      <c r="AM129" s="234"/>
      <c r="AN129" s="234"/>
      <c r="AO129" s="234"/>
    </row>
    <row r="130" ht="15.75" customHeight="1">
      <c r="A130" s="91"/>
      <c r="B130" s="91"/>
      <c r="C130" s="220"/>
      <c r="D130" s="91"/>
      <c r="E130" s="221"/>
      <c r="F130" s="91"/>
      <c r="G130" s="91"/>
      <c r="H130" s="242"/>
      <c r="I130" s="223"/>
      <c r="J130" s="57"/>
      <c r="K130" s="153"/>
      <c r="L130" s="243"/>
      <c r="M130" s="234"/>
      <c r="N130" s="235"/>
      <c r="O130" s="236"/>
      <c r="P130" s="236"/>
      <c r="Q130" s="236"/>
      <c r="R130" s="236"/>
      <c r="S130" s="236"/>
      <c r="T130" s="236"/>
      <c r="U130" s="236"/>
      <c r="V130" s="236"/>
      <c r="W130" s="244"/>
      <c r="X130" s="244"/>
      <c r="Y130" s="237"/>
      <c r="Z130" s="244"/>
      <c r="AA130" s="244"/>
      <c r="AB130" s="244"/>
      <c r="AC130" s="244"/>
      <c r="AD130" s="234"/>
      <c r="AE130" s="234"/>
      <c r="AF130" s="238"/>
      <c r="AG130" s="239"/>
      <c r="AH130" s="238"/>
      <c r="AI130" s="238"/>
      <c r="AJ130" s="234"/>
      <c r="AK130" s="234"/>
      <c r="AL130" s="234"/>
      <c r="AM130" s="234"/>
      <c r="AN130" s="234"/>
      <c r="AO130" s="234"/>
    </row>
    <row r="131" ht="15.75" customHeight="1">
      <c r="A131" s="91"/>
      <c r="B131" s="91"/>
      <c r="C131" s="220"/>
      <c r="D131" s="91"/>
      <c r="E131" s="221"/>
      <c r="F131" s="91"/>
      <c r="G131" s="91"/>
      <c r="H131" s="242"/>
      <c r="I131" s="223"/>
      <c r="J131" s="57"/>
      <c r="K131" s="153"/>
      <c r="L131" s="243"/>
      <c r="M131" s="234"/>
      <c r="N131" s="235"/>
      <c r="O131" s="236"/>
      <c r="P131" s="236"/>
      <c r="Q131" s="236"/>
      <c r="R131" s="236"/>
      <c r="S131" s="236"/>
      <c r="T131" s="236"/>
      <c r="U131" s="236"/>
      <c r="V131" s="236"/>
      <c r="W131" s="244"/>
      <c r="X131" s="244"/>
      <c r="Y131" s="237"/>
      <c r="Z131" s="244"/>
      <c r="AA131" s="244"/>
      <c r="AB131" s="244"/>
      <c r="AC131" s="244"/>
      <c r="AD131" s="234"/>
      <c r="AE131" s="234"/>
      <c r="AF131" s="238"/>
      <c r="AG131" s="239"/>
      <c r="AH131" s="238"/>
      <c r="AI131" s="238"/>
      <c r="AJ131" s="234"/>
      <c r="AK131" s="234"/>
      <c r="AL131" s="234"/>
      <c r="AM131" s="234"/>
      <c r="AN131" s="234"/>
      <c r="AO131" s="234"/>
    </row>
    <row r="132" ht="15.75" customHeight="1">
      <c r="A132" s="91"/>
      <c r="B132" s="91"/>
      <c r="C132" s="220"/>
      <c r="D132" s="91"/>
      <c r="E132" s="221"/>
      <c r="F132" s="91"/>
      <c r="G132" s="91"/>
      <c r="H132" s="242"/>
      <c r="I132" s="223"/>
      <c r="J132" s="57"/>
      <c r="K132" s="153"/>
      <c r="L132" s="243"/>
      <c r="M132" s="234"/>
      <c r="N132" s="235"/>
      <c r="O132" s="236"/>
      <c r="P132" s="236"/>
      <c r="Q132" s="236"/>
      <c r="R132" s="236"/>
      <c r="S132" s="236"/>
      <c r="T132" s="236"/>
      <c r="U132" s="236"/>
      <c r="V132" s="236"/>
      <c r="W132" s="244"/>
      <c r="X132" s="244"/>
      <c r="Y132" s="237"/>
      <c r="Z132" s="244"/>
      <c r="AA132" s="244"/>
      <c r="AB132" s="244"/>
      <c r="AC132" s="244"/>
      <c r="AD132" s="234"/>
      <c r="AE132" s="234"/>
      <c r="AF132" s="238"/>
      <c r="AG132" s="239"/>
      <c r="AH132" s="238"/>
      <c r="AI132" s="238"/>
      <c r="AJ132" s="234"/>
      <c r="AK132" s="234"/>
      <c r="AL132" s="234"/>
      <c r="AM132" s="234"/>
      <c r="AN132" s="234"/>
      <c r="AO132" s="234"/>
    </row>
    <row r="133" ht="15.75" customHeight="1">
      <c r="A133" s="91"/>
      <c r="B133" s="91"/>
      <c r="C133" s="220"/>
      <c r="D133" s="91"/>
      <c r="E133" s="221"/>
      <c r="F133" s="91"/>
      <c r="G133" s="91"/>
      <c r="H133" s="242"/>
      <c r="I133" s="223"/>
      <c r="J133" s="57"/>
      <c r="K133" s="153"/>
      <c r="L133" s="243"/>
      <c r="M133" s="234"/>
      <c r="N133" s="235"/>
      <c r="O133" s="236"/>
      <c r="P133" s="236"/>
      <c r="Q133" s="236"/>
      <c r="R133" s="236"/>
      <c r="S133" s="236"/>
      <c r="T133" s="236"/>
      <c r="U133" s="236"/>
      <c r="V133" s="236"/>
      <c r="W133" s="244"/>
      <c r="X133" s="244"/>
      <c r="Y133" s="237"/>
      <c r="Z133" s="244"/>
      <c r="AA133" s="244"/>
      <c r="AB133" s="244"/>
      <c r="AC133" s="244"/>
      <c r="AD133" s="234"/>
      <c r="AE133" s="234"/>
      <c r="AF133" s="238"/>
      <c r="AG133" s="239"/>
      <c r="AH133" s="238"/>
      <c r="AI133" s="238"/>
      <c r="AJ133" s="234"/>
      <c r="AK133" s="234"/>
      <c r="AL133" s="234"/>
      <c r="AM133" s="234"/>
      <c r="AN133" s="234"/>
      <c r="AO133" s="234"/>
    </row>
    <row r="134" ht="15.75" customHeight="1">
      <c r="A134" s="91"/>
      <c r="B134" s="91"/>
      <c r="C134" s="220"/>
      <c r="D134" s="91"/>
      <c r="E134" s="221"/>
      <c r="F134" s="91"/>
      <c r="G134" s="91"/>
      <c r="H134" s="242"/>
      <c r="I134" s="223"/>
      <c r="J134" s="57"/>
      <c r="K134" s="153"/>
      <c r="L134" s="243"/>
      <c r="M134" s="234"/>
      <c r="N134" s="235"/>
      <c r="O134" s="236"/>
      <c r="P134" s="236"/>
      <c r="Q134" s="236"/>
      <c r="R134" s="236"/>
      <c r="S134" s="236"/>
      <c r="T134" s="236"/>
      <c r="U134" s="236"/>
      <c r="V134" s="236"/>
      <c r="W134" s="244"/>
      <c r="X134" s="244"/>
      <c r="Y134" s="237"/>
      <c r="Z134" s="244"/>
      <c r="AA134" s="244"/>
      <c r="AB134" s="244"/>
      <c r="AC134" s="244"/>
      <c r="AD134" s="234"/>
      <c r="AE134" s="234"/>
      <c r="AF134" s="238"/>
      <c r="AG134" s="239"/>
      <c r="AH134" s="238"/>
      <c r="AI134" s="238"/>
      <c r="AJ134" s="234"/>
      <c r="AK134" s="234"/>
      <c r="AL134" s="234"/>
      <c r="AM134" s="234"/>
      <c r="AN134" s="234"/>
      <c r="AO134" s="234"/>
    </row>
    <row r="135" ht="15.75" customHeight="1">
      <c r="A135" s="91"/>
      <c r="B135" s="91"/>
      <c r="C135" s="220"/>
      <c r="D135" s="91"/>
      <c r="E135" s="221"/>
      <c r="F135" s="91"/>
      <c r="G135" s="91"/>
      <c r="H135" s="242"/>
      <c r="I135" s="223"/>
      <c r="J135" s="57"/>
      <c r="K135" s="153"/>
      <c r="L135" s="243"/>
      <c r="M135" s="234"/>
      <c r="N135" s="235"/>
      <c r="O135" s="236"/>
      <c r="P135" s="236"/>
      <c r="Q135" s="236"/>
      <c r="R135" s="236"/>
      <c r="S135" s="236"/>
      <c r="T135" s="236"/>
      <c r="U135" s="236"/>
      <c r="V135" s="236"/>
      <c r="W135" s="244"/>
      <c r="X135" s="244"/>
      <c r="Y135" s="237"/>
      <c r="Z135" s="244"/>
      <c r="AA135" s="244"/>
      <c r="AB135" s="244"/>
      <c r="AC135" s="244"/>
      <c r="AD135" s="234"/>
      <c r="AE135" s="234"/>
      <c r="AF135" s="238"/>
      <c r="AG135" s="239"/>
      <c r="AH135" s="238"/>
      <c r="AI135" s="238"/>
      <c r="AJ135" s="234"/>
      <c r="AK135" s="234"/>
      <c r="AL135" s="234"/>
      <c r="AM135" s="234"/>
      <c r="AN135" s="234"/>
      <c r="AO135" s="234"/>
    </row>
    <row r="136" ht="15.75" customHeight="1">
      <c r="A136" s="91"/>
      <c r="B136" s="91"/>
      <c r="C136" s="220"/>
      <c r="D136" s="91"/>
      <c r="E136" s="221"/>
      <c r="F136" s="91"/>
      <c r="G136" s="91"/>
      <c r="H136" s="242"/>
      <c r="I136" s="223"/>
      <c r="J136" s="57"/>
      <c r="K136" s="153"/>
      <c r="L136" s="243"/>
      <c r="M136" s="234"/>
      <c r="N136" s="235"/>
      <c r="O136" s="236"/>
      <c r="P136" s="236"/>
      <c r="Q136" s="236"/>
      <c r="R136" s="236"/>
      <c r="S136" s="236"/>
      <c r="T136" s="236"/>
      <c r="U136" s="236"/>
      <c r="V136" s="236"/>
      <c r="W136" s="244"/>
      <c r="X136" s="244"/>
      <c r="Y136" s="237"/>
      <c r="Z136" s="244"/>
      <c r="AA136" s="244"/>
      <c r="AB136" s="244"/>
      <c r="AC136" s="244"/>
      <c r="AD136" s="234"/>
      <c r="AE136" s="234"/>
      <c r="AF136" s="238"/>
      <c r="AG136" s="239"/>
      <c r="AH136" s="238"/>
      <c r="AI136" s="238"/>
      <c r="AJ136" s="234"/>
      <c r="AK136" s="234"/>
      <c r="AL136" s="234"/>
      <c r="AM136" s="234"/>
      <c r="AN136" s="234"/>
      <c r="AO136" s="234"/>
    </row>
    <row r="137" ht="15.75" customHeight="1">
      <c r="A137" s="91"/>
      <c r="B137" s="91"/>
      <c r="C137" s="220"/>
      <c r="D137" s="91"/>
      <c r="E137" s="221"/>
      <c r="F137" s="91"/>
      <c r="G137" s="91"/>
      <c r="H137" s="242"/>
      <c r="I137" s="223"/>
      <c r="J137" s="57"/>
      <c r="K137" s="153"/>
      <c r="L137" s="243"/>
      <c r="M137" s="234"/>
      <c r="N137" s="235"/>
      <c r="O137" s="236"/>
      <c r="P137" s="236"/>
      <c r="Q137" s="236"/>
      <c r="R137" s="236"/>
      <c r="S137" s="236"/>
      <c r="T137" s="236"/>
      <c r="U137" s="236"/>
      <c r="V137" s="236"/>
      <c r="W137" s="244"/>
      <c r="X137" s="244"/>
      <c r="Y137" s="237"/>
      <c r="Z137" s="244"/>
      <c r="AA137" s="244"/>
      <c r="AB137" s="244"/>
      <c r="AC137" s="244"/>
      <c r="AD137" s="234"/>
      <c r="AE137" s="234"/>
      <c r="AF137" s="238"/>
      <c r="AG137" s="239"/>
      <c r="AH137" s="238"/>
      <c r="AI137" s="238"/>
      <c r="AJ137" s="234"/>
      <c r="AK137" s="234"/>
      <c r="AL137" s="234"/>
      <c r="AM137" s="234"/>
      <c r="AN137" s="234"/>
      <c r="AO137" s="234"/>
    </row>
    <row r="138" ht="15.75" customHeight="1">
      <c r="A138" s="91"/>
      <c r="B138" s="91"/>
      <c r="C138" s="220"/>
      <c r="D138" s="91"/>
      <c r="E138" s="221"/>
      <c r="F138" s="91"/>
      <c r="G138" s="91"/>
      <c r="H138" s="242"/>
      <c r="I138" s="223"/>
      <c r="J138" s="57"/>
      <c r="K138" s="153"/>
      <c r="L138" s="243"/>
      <c r="M138" s="234"/>
      <c r="N138" s="235"/>
      <c r="O138" s="236"/>
      <c r="P138" s="236"/>
      <c r="Q138" s="236"/>
      <c r="R138" s="236"/>
      <c r="S138" s="236"/>
      <c r="T138" s="236"/>
      <c r="U138" s="236"/>
      <c r="V138" s="236"/>
      <c r="W138" s="244"/>
      <c r="X138" s="244"/>
      <c r="Y138" s="237"/>
      <c r="Z138" s="244"/>
      <c r="AA138" s="244"/>
      <c r="AB138" s="244"/>
      <c r="AC138" s="244"/>
      <c r="AD138" s="234"/>
      <c r="AE138" s="234"/>
      <c r="AF138" s="238"/>
      <c r="AG138" s="239"/>
      <c r="AH138" s="238"/>
      <c r="AI138" s="238"/>
      <c r="AJ138" s="234"/>
      <c r="AK138" s="234"/>
      <c r="AL138" s="234"/>
      <c r="AM138" s="234"/>
      <c r="AN138" s="234"/>
      <c r="AO138" s="234"/>
    </row>
    <row r="139" ht="15.75" customHeight="1">
      <c r="A139" s="91"/>
      <c r="B139" s="91"/>
      <c r="C139" s="220"/>
      <c r="D139" s="91"/>
      <c r="E139" s="221"/>
      <c r="F139" s="91"/>
      <c r="G139" s="91"/>
      <c r="H139" s="242"/>
      <c r="I139" s="223"/>
      <c r="J139" s="57"/>
      <c r="K139" s="153"/>
      <c r="L139" s="243"/>
      <c r="M139" s="234"/>
      <c r="N139" s="235"/>
      <c r="O139" s="236"/>
      <c r="P139" s="236"/>
      <c r="Q139" s="236"/>
      <c r="R139" s="236"/>
      <c r="S139" s="236"/>
      <c r="T139" s="236"/>
      <c r="U139" s="236"/>
      <c r="V139" s="236"/>
      <c r="W139" s="244"/>
      <c r="X139" s="244"/>
      <c r="Y139" s="237"/>
      <c r="Z139" s="244"/>
      <c r="AA139" s="244"/>
      <c r="AB139" s="244"/>
      <c r="AC139" s="244"/>
      <c r="AD139" s="234"/>
      <c r="AE139" s="234"/>
      <c r="AF139" s="238"/>
      <c r="AG139" s="239"/>
      <c r="AH139" s="238"/>
      <c r="AI139" s="238"/>
      <c r="AJ139" s="234"/>
      <c r="AK139" s="234"/>
      <c r="AL139" s="234"/>
      <c r="AM139" s="234"/>
      <c r="AN139" s="234"/>
      <c r="AO139" s="234"/>
    </row>
    <row r="140" ht="15.75" customHeight="1">
      <c r="A140" s="91"/>
      <c r="B140" s="91"/>
      <c r="C140" s="220"/>
      <c r="D140" s="91"/>
      <c r="E140" s="221"/>
      <c r="F140" s="91"/>
      <c r="G140" s="91"/>
      <c r="H140" s="242"/>
      <c r="I140" s="223"/>
      <c r="J140" s="57"/>
      <c r="K140" s="153"/>
      <c r="L140" s="243"/>
      <c r="M140" s="234"/>
      <c r="N140" s="235"/>
      <c r="O140" s="236"/>
      <c r="P140" s="236"/>
      <c r="Q140" s="236"/>
      <c r="R140" s="236"/>
      <c r="S140" s="236"/>
      <c r="T140" s="236"/>
      <c r="U140" s="236"/>
      <c r="V140" s="236"/>
      <c r="W140" s="244"/>
      <c r="X140" s="244"/>
      <c r="Y140" s="237"/>
      <c r="Z140" s="244"/>
      <c r="AA140" s="244"/>
      <c r="AB140" s="244"/>
      <c r="AC140" s="244"/>
      <c r="AD140" s="234"/>
      <c r="AE140" s="234"/>
      <c r="AF140" s="238"/>
      <c r="AG140" s="239"/>
      <c r="AH140" s="238"/>
      <c r="AI140" s="238"/>
      <c r="AJ140" s="234"/>
      <c r="AK140" s="234"/>
      <c r="AL140" s="234"/>
      <c r="AM140" s="234"/>
      <c r="AN140" s="234"/>
      <c r="AO140" s="234"/>
    </row>
    <row r="141" ht="15.75" customHeight="1">
      <c r="A141" s="91"/>
      <c r="B141" s="91"/>
      <c r="C141" s="220"/>
      <c r="D141" s="91"/>
      <c r="E141" s="221"/>
      <c r="F141" s="91"/>
      <c r="G141" s="91"/>
      <c r="H141" s="242"/>
      <c r="I141" s="223"/>
      <c r="J141" s="57"/>
      <c r="K141" s="153"/>
      <c r="L141" s="243"/>
      <c r="M141" s="234"/>
      <c r="N141" s="235"/>
      <c r="O141" s="236"/>
      <c r="P141" s="236"/>
      <c r="Q141" s="236"/>
      <c r="R141" s="236"/>
      <c r="S141" s="236"/>
      <c r="T141" s="236"/>
      <c r="U141" s="236"/>
      <c r="V141" s="236"/>
      <c r="W141" s="244"/>
      <c r="X141" s="244"/>
      <c r="Y141" s="237"/>
      <c r="Z141" s="244"/>
      <c r="AA141" s="244"/>
      <c r="AB141" s="244"/>
      <c r="AC141" s="244"/>
      <c r="AD141" s="234"/>
      <c r="AE141" s="234"/>
      <c r="AF141" s="238"/>
      <c r="AG141" s="239"/>
      <c r="AH141" s="238"/>
      <c r="AI141" s="238"/>
      <c r="AJ141" s="234"/>
      <c r="AK141" s="234"/>
      <c r="AL141" s="234"/>
      <c r="AM141" s="234"/>
      <c r="AN141" s="234"/>
      <c r="AO141" s="234"/>
    </row>
    <row r="142" ht="15.75" customHeight="1">
      <c r="A142" s="91"/>
      <c r="B142" s="91"/>
      <c r="C142" s="220"/>
      <c r="D142" s="91"/>
      <c r="E142" s="221"/>
      <c r="F142" s="91"/>
      <c r="G142" s="91"/>
      <c r="H142" s="242"/>
      <c r="I142" s="223"/>
      <c r="J142" s="57"/>
      <c r="K142" s="153"/>
      <c r="L142" s="243"/>
      <c r="M142" s="234"/>
      <c r="N142" s="235"/>
      <c r="O142" s="236"/>
      <c r="P142" s="236"/>
      <c r="Q142" s="236"/>
      <c r="R142" s="236"/>
      <c r="S142" s="236"/>
      <c r="T142" s="236"/>
      <c r="U142" s="236"/>
      <c r="V142" s="236"/>
      <c r="W142" s="244"/>
      <c r="X142" s="244"/>
      <c r="Y142" s="237"/>
      <c r="Z142" s="244"/>
      <c r="AA142" s="244"/>
      <c r="AB142" s="244"/>
      <c r="AC142" s="244"/>
      <c r="AD142" s="234"/>
      <c r="AE142" s="234"/>
      <c r="AF142" s="238"/>
      <c r="AG142" s="239"/>
      <c r="AH142" s="238"/>
      <c r="AI142" s="238"/>
      <c r="AJ142" s="234"/>
      <c r="AK142" s="234"/>
      <c r="AL142" s="234"/>
      <c r="AM142" s="234"/>
      <c r="AN142" s="234"/>
      <c r="AO142" s="234"/>
    </row>
    <row r="143" ht="15.75" customHeight="1">
      <c r="A143" s="91"/>
      <c r="B143" s="91"/>
      <c r="C143" s="220"/>
      <c r="D143" s="91"/>
      <c r="E143" s="221"/>
      <c r="F143" s="91"/>
      <c r="G143" s="91"/>
      <c r="H143" s="242"/>
      <c r="I143" s="223"/>
      <c r="J143" s="57"/>
      <c r="K143" s="153"/>
      <c r="L143" s="243"/>
      <c r="M143" s="234"/>
      <c r="N143" s="235"/>
      <c r="O143" s="236"/>
      <c r="P143" s="236"/>
      <c r="Q143" s="236"/>
      <c r="R143" s="236"/>
      <c r="S143" s="236"/>
      <c r="T143" s="236"/>
      <c r="U143" s="236"/>
      <c r="V143" s="236"/>
      <c r="W143" s="244"/>
      <c r="X143" s="244"/>
      <c r="Y143" s="237"/>
      <c r="Z143" s="244"/>
      <c r="AA143" s="244"/>
      <c r="AB143" s="244"/>
      <c r="AC143" s="244"/>
      <c r="AD143" s="234"/>
      <c r="AE143" s="234"/>
      <c r="AF143" s="238"/>
      <c r="AG143" s="239"/>
      <c r="AH143" s="238"/>
      <c r="AI143" s="238"/>
      <c r="AJ143" s="234"/>
      <c r="AK143" s="234"/>
      <c r="AL143" s="234"/>
      <c r="AM143" s="234"/>
      <c r="AN143" s="234"/>
      <c r="AO143" s="234"/>
    </row>
    <row r="144" ht="15.75" customHeight="1">
      <c r="A144" s="91"/>
      <c r="B144" s="91"/>
      <c r="C144" s="220"/>
      <c r="D144" s="91"/>
      <c r="E144" s="221"/>
      <c r="F144" s="91"/>
      <c r="G144" s="91"/>
      <c r="H144" s="242"/>
      <c r="I144" s="223"/>
      <c r="J144" s="57"/>
      <c r="K144" s="153"/>
      <c r="L144" s="243"/>
      <c r="M144" s="234"/>
      <c r="N144" s="235"/>
      <c r="O144" s="236"/>
      <c r="P144" s="236"/>
      <c r="Q144" s="236"/>
      <c r="R144" s="236"/>
      <c r="S144" s="236"/>
      <c r="T144" s="236"/>
      <c r="U144" s="236"/>
      <c r="V144" s="236"/>
      <c r="W144" s="244"/>
      <c r="X144" s="244"/>
      <c r="Y144" s="237"/>
      <c r="Z144" s="244"/>
      <c r="AA144" s="244"/>
      <c r="AB144" s="244"/>
      <c r="AC144" s="244"/>
      <c r="AD144" s="234"/>
      <c r="AE144" s="234"/>
      <c r="AF144" s="238"/>
      <c r="AG144" s="239"/>
      <c r="AH144" s="238"/>
      <c r="AI144" s="238"/>
      <c r="AJ144" s="234"/>
      <c r="AK144" s="234"/>
      <c r="AL144" s="234"/>
      <c r="AM144" s="234"/>
      <c r="AN144" s="234"/>
      <c r="AO144" s="234"/>
    </row>
    <row r="145" ht="15.75" customHeight="1">
      <c r="A145" s="91"/>
      <c r="B145" s="91"/>
      <c r="C145" s="220"/>
      <c r="D145" s="91"/>
      <c r="E145" s="221"/>
      <c r="F145" s="91"/>
      <c r="G145" s="91"/>
      <c r="H145" s="242"/>
      <c r="I145" s="223"/>
      <c r="J145" s="57"/>
      <c r="K145" s="153"/>
      <c r="L145" s="243"/>
      <c r="M145" s="234"/>
      <c r="N145" s="235"/>
      <c r="O145" s="236"/>
      <c r="P145" s="236"/>
      <c r="Q145" s="236"/>
      <c r="R145" s="236"/>
      <c r="S145" s="236"/>
      <c r="T145" s="236"/>
      <c r="U145" s="236"/>
      <c r="V145" s="236"/>
      <c r="W145" s="244"/>
      <c r="X145" s="244"/>
      <c r="Y145" s="237"/>
      <c r="Z145" s="244"/>
      <c r="AA145" s="244"/>
      <c r="AB145" s="244"/>
      <c r="AC145" s="244"/>
      <c r="AD145" s="234"/>
      <c r="AE145" s="234"/>
      <c r="AF145" s="238"/>
      <c r="AG145" s="239"/>
      <c r="AH145" s="238"/>
      <c r="AI145" s="238"/>
      <c r="AJ145" s="234"/>
      <c r="AK145" s="234"/>
      <c r="AL145" s="234"/>
      <c r="AM145" s="234"/>
      <c r="AN145" s="234"/>
      <c r="AO145" s="234"/>
    </row>
    <row r="146" ht="15.75" customHeight="1">
      <c r="A146" s="91"/>
      <c r="B146" s="91"/>
      <c r="C146" s="220"/>
      <c r="D146" s="91"/>
      <c r="E146" s="221"/>
      <c r="F146" s="91"/>
      <c r="G146" s="91"/>
      <c r="H146" s="242"/>
      <c r="I146" s="223"/>
      <c r="J146" s="57"/>
      <c r="K146" s="153"/>
      <c r="L146" s="243"/>
      <c r="M146" s="234"/>
      <c r="N146" s="235"/>
      <c r="O146" s="236"/>
      <c r="P146" s="236"/>
      <c r="Q146" s="236"/>
      <c r="R146" s="236"/>
      <c r="S146" s="236"/>
      <c r="T146" s="236"/>
      <c r="U146" s="236"/>
      <c r="V146" s="236"/>
      <c r="W146" s="244"/>
      <c r="X146" s="244"/>
      <c r="Y146" s="237"/>
      <c r="Z146" s="244"/>
      <c r="AA146" s="244"/>
      <c r="AB146" s="244"/>
      <c r="AC146" s="244"/>
      <c r="AD146" s="234"/>
      <c r="AE146" s="234"/>
      <c r="AF146" s="238"/>
      <c r="AG146" s="239"/>
      <c r="AH146" s="238"/>
      <c r="AI146" s="238"/>
      <c r="AJ146" s="234"/>
      <c r="AK146" s="234"/>
      <c r="AL146" s="234"/>
      <c r="AM146" s="234"/>
      <c r="AN146" s="234"/>
      <c r="AO146" s="234"/>
    </row>
    <row r="147" ht="15.75" customHeight="1">
      <c r="A147" s="91"/>
      <c r="B147" s="91"/>
      <c r="C147" s="220"/>
      <c r="D147" s="91"/>
      <c r="E147" s="221"/>
      <c r="F147" s="91"/>
      <c r="G147" s="91"/>
      <c r="H147" s="242"/>
      <c r="I147" s="223"/>
      <c r="J147" s="57"/>
      <c r="K147" s="153"/>
      <c r="L147" s="243"/>
      <c r="M147" s="234"/>
      <c r="N147" s="235"/>
      <c r="O147" s="236"/>
      <c r="P147" s="236"/>
      <c r="Q147" s="236"/>
      <c r="R147" s="236"/>
      <c r="S147" s="236"/>
      <c r="T147" s="236"/>
      <c r="U147" s="236"/>
      <c r="V147" s="236"/>
      <c r="W147" s="244"/>
      <c r="X147" s="244"/>
      <c r="Y147" s="237"/>
      <c r="Z147" s="244"/>
      <c r="AA147" s="244"/>
      <c r="AB147" s="244"/>
      <c r="AC147" s="244"/>
      <c r="AD147" s="234"/>
      <c r="AE147" s="234"/>
      <c r="AF147" s="238"/>
      <c r="AG147" s="239"/>
      <c r="AH147" s="238"/>
      <c r="AI147" s="238"/>
      <c r="AJ147" s="234"/>
      <c r="AK147" s="234"/>
      <c r="AL147" s="234"/>
      <c r="AM147" s="234"/>
      <c r="AN147" s="234"/>
      <c r="AO147" s="234"/>
    </row>
    <row r="148" ht="15.75" customHeight="1">
      <c r="A148" s="91"/>
      <c r="B148" s="91"/>
      <c r="C148" s="220"/>
      <c r="D148" s="91"/>
      <c r="E148" s="221"/>
      <c r="F148" s="91"/>
      <c r="G148" s="91"/>
      <c r="H148" s="242"/>
      <c r="I148" s="223"/>
      <c r="J148" s="57"/>
      <c r="K148" s="153"/>
      <c r="L148" s="243"/>
      <c r="M148" s="234"/>
      <c r="N148" s="235"/>
      <c r="O148" s="236"/>
      <c r="P148" s="236"/>
      <c r="Q148" s="236"/>
      <c r="R148" s="236"/>
      <c r="S148" s="236"/>
      <c r="T148" s="236"/>
      <c r="U148" s="236"/>
      <c r="V148" s="236"/>
      <c r="W148" s="244"/>
      <c r="X148" s="244"/>
      <c r="Y148" s="237"/>
      <c r="Z148" s="244"/>
      <c r="AA148" s="244"/>
      <c r="AB148" s="244"/>
      <c r="AC148" s="244"/>
      <c r="AD148" s="234"/>
      <c r="AE148" s="234"/>
      <c r="AF148" s="238"/>
      <c r="AG148" s="239"/>
      <c r="AH148" s="238"/>
      <c r="AI148" s="238"/>
      <c r="AJ148" s="234"/>
      <c r="AK148" s="234"/>
      <c r="AL148" s="234"/>
      <c r="AM148" s="234"/>
      <c r="AN148" s="234"/>
      <c r="AO148" s="234"/>
    </row>
    <row r="149" ht="15.75" customHeight="1">
      <c r="A149" s="91"/>
      <c r="B149" s="91"/>
      <c r="C149" s="220"/>
      <c r="D149" s="91"/>
      <c r="E149" s="221"/>
      <c r="F149" s="91"/>
      <c r="G149" s="91"/>
      <c r="H149" s="242"/>
      <c r="I149" s="223"/>
      <c r="J149" s="57"/>
      <c r="K149" s="153"/>
      <c r="L149" s="243"/>
      <c r="M149" s="234"/>
      <c r="N149" s="235"/>
      <c r="O149" s="236"/>
      <c r="P149" s="236"/>
      <c r="Q149" s="236"/>
      <c r="R149" s="236"/>
      <c r="S149" s="236"/>
      <c r="T149" s="236"/>
      <c r="U149" s="236"/>
      <c r="V149" s="236"/>
      <c r="W149" s="244"/>
      <c r="X149" s="244"/>
      <c r="Y149" s="237"/>
      <c r="Z149" s="244"/>
      <c r="AA149" s="244"/>
      <c r="AB149" s="244"/>
      <c r="AC149" s="244"/>
      <c r="AD149" s="234"/>
      <c r="AE149" s="234"/>
      <c r="AF149" s="238"/>
      <c r="AG149" s="239"/>
      <c r="AH149" s="238"/>
      <c r="AI149" s="238"/>
      <c r="AJ149" s="234"/>
      <c r="AK149" s="234"/>
      <c r="AL149" s="234"/>
      <c r="AM149" s="234"/>
      <c r="AN149" s="234"/>
      <c r="AO149" s="234"/>
    </row>
    <row r="150" ht="15.75" customHeight="1">
      <c r="A150" s="91"/>
      <c r="B150" s="91"/>
      <c r="C150" s="220"/>
      <c r="D150" s="91"/>
      <c r="E150" s="221"/>
      <c r="F150" s="91"/>
      <c r="G150" s="91"/>
      <c r="H150" s="242"/>
      <c r="I150" s="223"/>
      <c r="J150" s="57"/>
      <c r="K150" s="153"/>
      <c r="L150" s="243"/>
      <c r="M150" s="234"/>
      <c r="N150" s="235"/>
      <c r="O150" s="236"/>
      <c r="P150" s="236"/>
      <c r="Q150" s="236"/>
      <c r="R150" s="236"/>
      <c r="S150" s="236"/>
      <c r="T150" s="236"/>
      <c r="U150" s="236"/>
      <c r="V150" s="236"/>
      <c r="W150" s="244"/>
      <c r="X150" s="244"/>
      <c r="Y150" s="237"/>
      <c r="Z150" s="244"/>
      <c r="AA150" s="244"/>
      <c r="AB150" s="244"/>
      <c r="AC150" s="244"/>
      <c r="AD150" s="234"/>
      <c r="AE150" s="234"/>
      <c r="AF150" s="238"/>
      <c r="AG150" s="239"/>
      <c r="AH150" s="238"/>
      <c r="AI150" s="238"/>
      <c r="AJ150" s="234"/>
      <c r="AK150" s="234"/>
      <c r="AL150" s="234"/>
      <c r="AM150" s="234"/>
      <c r="AN150" s="234"/>
      <c r="AO150" s="234"/>
    </row>
    <row r="151" ht="15.75" customHeight="1">
      <c r="A151" s="91"/>
      <c r="B151" s="91"/>
      <c r="C151" s="220"/>
      <c r="D151" s="91"/>
      <c r="E151" s="221"/>
      <c r="F151" s="91"/>
      <c r="G151" s="91"/>
      <c r="H151" s="242"/>
      <c r="I151" s="223"/>
      <c r="J151" s="57"/>
      <c r="K151" s="153"/>
      <c r="L151" s="243"/>
      <c r="M151" s="234"/>
      <c r="N151" s="235"/>
      <c r="O151" s="236"/>
      <c r="P151" s="236"/>
      <c r="Q151" s="236"/>
      <c r="R151" s="236"/>
      <c r="S151" s="236"/>
      <c r="T151" s="236"/>
      <c r="U151" s="236"/>
      <c r="V151" s="236"/>
      <c r="W151" s="244"/>
      <c r="X151" s="244"/>
      <c r="Y151" s="237"/>
      <c r="Z151" s="244"/>
      <c r="AA151" s="244"/>
      <c r="AB151" s="244"/>
      <c r="AC151" s="244"/>
      <c r="AD151" s="234"/>
      <c r="AE151" s="234"/>
      <c r="AF151" s="238"/>
      <c r="AG151" s="239"/>
      <c r="AH151" s="238"/>
      <c r="AI151" s="238"/>
      <c r="AJ151" s="234"/>
      <c r="AK151" s="234"/>
      <c r="AL151" s="234"/>
      <c r="AM151" s="234"/>
      <c r="AN151" s="234"/>
      <c r="AO151" s="234"/>
    </row>
    <row r="152" ht="15.75" customHeight="1">
      <c r="A152" s="91"/>
      <c r="B152" s="91"/>
      <c r="C152" s="220"/>
      <c r="D152" s="91"/>
      <c r="E152" s="221"/>
      <c r="F152" s="91"/>
      <c r="G152" s="91"/>
      <c r="H152" s="242"/>
      <c r="I152" s="223"/>
      <c r="J152" s="57"/>
      <c r="K152" s="153"/>
      <c r="L152" s="243"/>
      <c r="M152" s="234"/>
      <c r="N152" s="235"/>
      <c r="O152" s="236"/>
      <c r="P152" s="236"/>
      <c r="Q152" s="236"/>
      <c r="R152" s="236"/>
      <c r="S152" s="236"/>
      <c r="T152" s="236"/>
      <c r="U152" s="236"/>
      <c r="V152" s="236"/>
      <c r="W152" s="244"/>
      <c r="X152" s="244"/>
      <c r="Y152" s="237"/>
      <c r="Z152" s="244"/>
      <c r="AA152" s="244"/>
      <c r="AB152" s="244"/>
      <c r="AC152" s="244"/>
      <c r="AD152" s="234"/>
      <c r="AE152" s="234"/>
      <c r="AF152" s="238"/>
      <c r="AG152" s="239"/>
      <c r="AH152" s="238"/>
      <c r="AI152" s="238"/>
      <c r="AJ152" s="234"/>
      <c r="AK152" s="234"/>
      <c r="AL152" s="234"/>
      <c r="AM152" s="234"/>
      <c r="AN152" s="234"/>
      <c r="AO152" s="234"/>
    </row>
    <row r="153" ht="15.75" customHeight="1">
      <c r="A153" s="91"/>
      <c r="B153" s="91"/>
      <c r="C153" s="220"/>
      <c r="D153" s="91"/>
      <c r="E153" s="221"/>
      <c r="F153" s="91"/>
      <c r="G153" s="91"/>
      <c r="H153" s="242"/>
      <c r="I153" s="223"/>
      <c r="J153" s="57"/>
      <c r="K153" s="153"/>
      <c r="L153" s="243"/>
      <c r="M153" s="234"/>
      <c r="N153" s="235"/>
      <c r="O153" s="236"/>
      <c r="P153" s="236"/>
      <c r="Q153" s="236"/>
      <c r="R153" s="236"/>
      <c r="S153" s="236"/>
      <c r="T153" s="236"/>
      <c r="U153" s="236"/>
      <c r="V153" s="236"/>
      <c r="W153" s="244"/>
      <c r="X153" s="244"/>
      <c r="Y153" s="237"/>
      <c r="Z153" s="244"/>
      <c r="AA153" s="244"/>
      <c r="AB153" s="244"/>
      <c r="AC153" s="244"/>
      <c r="AD153" s="234"/>
      <c r="AE153" s="234"/>
      <c r="AF153" s="238"/>
      <c r="AG153" s="239"/>
      <c r="AH153" s="238"/>
      <c r="AI153" s="238"/>
      <c r="AJ153" s="234"/>
      <c r="AK153" s="234"/>
      <c r="AL153" s="234"/>
      <c r="AM153" s="234"/>
      <c r="AN153" s="234"/>
      <c r="AO153" s="234"/>
    </row>
    <row r="154" ht="15.75" customHeight="1">
      <c r="A154" s="91"/>
      <c r="B154" s="91"/>
      <c r="C154" s="220"/>
      <c r="D154" s="91"/>
      <c r="E154" s="221"/>
      <c r="F154" s="91"/>
      <c r="G154" s="91"/>
      <c r="H154" s="242"/>
      <c r="I154" s="223"/>
      <c r="J154" s="57"/>
      <c r="K154" s="153"/>
      <c r="L154" s="243"/>
      <c r="M154" s="234"/>
      <c r="N154" s="235"/>
      <c r="O154" s="236"/>
      <c r="P154" s="236"/>
      <c r="Q154" s="236"/>
      <c r="R154" s="236"/>
      <c r="S154" s="236"/>
      <c r="T154" s="236"/>
      <c r="U154" s="236"/>
      <c r="V154" s="236"/>
      <c r="W154" s="244"/>
      <c r="X154" s="244"/>
      <c r="Y154" s="237"/>
      <c r="Z154" s="244"/>
      <c r="AA154" s="244"/>
      <c r="AB154" s="244"/>
      <c r="AC154" s="244"/>
      <c r="AD154" s="234"/>
      <c r="AE154" s="234"/>
      <c r="AF154" s="238"/>
      <c r="AG154" s="239"/>
      <c r="AH154" s="238"/>
      <c r="AI154" s="238"/>
      <c r="AJ154" s="234"/>
      <c r="AK154" s="234"/>
      <c r="AL154" s="234"/>
      <c r="AM154" s="234"/>
      <c r="AN154" s="234"/>
      <c r="AO154" s="234"/>
    </row>
    <row r="155" ht="15.75" customHeight="1">
      <c r="A155" s="91"/>
      <c r="B155" s="91"/>
      <c r="C155" s="220"/>
      <c r="D155" s="91"/>
      <c r="E155" s="221"/>
      <c r="F155" s="91"/>
      <c r="G155" s="91"/>
      <c r="H155" s="242"/>
      <c r="I155" s="223"/>
      <c r="J155" s="57"/>
      <c r="K155" s="153"/>
      <c r="L155" s="243"/>
      <c r="M155" s="234"/>
      <c r="N155" s="235"/>
      <c r="O155" s="236"/>
      <c r="P155" s="236"/>
      <c r="Q155" s="236"/>
      <c r="R155" s="236"/>
      <c r="S155" s="236"/>
      <c r="T155" s="236"/>
      <c r="U155" s="236"/>
      <c r="V155" s="236"/>
      <c r="W155" s="244"/>
      <c r="X155" s="244"/>
      <c r="Y155" s="237"/>
      <c r="Z155" s="244"/>
      <c r="AA155" s="244"/>
      <c r="AB155" s="244"/>
      <c r="AC155" s="244"/>
      <c r="AD155" s="234"/>
      <c r="AE155" s="234"/>
      <c r="AF155" s="238"/>
      <c r="AG155" s="239"/>
      <c r="AH155" s="238"/>
      <c r="AI155" s="238"/>
      <c r="AJ155" s="234"/>
      <c r="AK155" s="234"/>
      <c r="AL155" s="234"/>
      <c r="AM155" s="234"/>
      <c r="AN155" s="234"/>
      <c r="AO155" s="234"/>
    </row>
    <row r="156" ht="15.75" customHeight="1">
      <c r="A156" s="91"/>
      <c r="B156" s="91"/>
      <c r="C156" s="220"/>
      <c r="D156" s="91"/>
      <c r="E156" s="221"/>
      <c r="F156" s="91"/>
      <c r="G156" s="91"/>
      <c r="H156" s="242"/>
      <c r="I156" s="223"/>
      <c r="J156" s="57"/>
      <c r="K156" s="153"/>
      <c r="L156" s="243"/>
      <c r="M156" s="234"/>
      <c r="N156" s="235"/>
      <c r="O156" s="236"/>
      <c r="P156" s="236"/>
      <c r="Q156" s="236"/>
      <c r="R156" s="236"/>
      <c r="S156" s="236"/>
      <c r="T156" s="236"/>
      <c r="U156" s="236"/>
      <c r="V156" s="236"/>
      <c r="W156" s="244"/>
      <c r="X156" s="244"/>
      <c r="Y156" s="237"/>
      <c r="Z156" s="244"/>
      <c r="AA156" s="244"/>
      <c r="AB156" s="244"/>
      <c r="AC156" s="244"/>
      <c r="AD156" s="234"/>
      <c r="AE156" s="234"/>
      <c r="AF156" s="238"/>
      <c r="AG156" s="239"/>
      <c r="AH156" s="238"/>
      <c r="AI156" s="238"/>
      <c r="AJ156" s="234"/>
      <c r="AK156" s="234"/>
      <c r="AL156" s="234"/>
      <c r="AM156" s="234"/>
      <c r="AN156" s="234"/>
      <c r="AO156" s="234"/>
    </row>
    <row r="157" ht="15.75" customHeight="1">
      <c r="A157" s="91"/>
      <c r="B157" s="91"/>
      <c r="C157" s="220"/>
      <c r="D157" s="91"/>
      <c r="E157" s="221"/>
      <c r="F157" s="91"/>
      <c r="G157" s="91"/>
      <c r="H157" s="242"/>
      <c r="I157" s="223"/>
      <c r="J157" s="57"/>
      <c r="K157" s="153"/>
      <c r="L157" s="243"/>
      <c r="M157" s="234"/>
      <c r="N157" s="235"/>
      <c r="O157" s="236"/>
      <c r="P157" s="236"/>
      <c r="Q157" s="236"/>
      <c r="R157" s="236"/>
      <c r="S157" s="236"/>
      <c r="T157" s="236"/>
      <c r="U157" s="236"/>
      <c r="V157" s="236"/>
      <c r="W157" s="244"/>
      <c r="X157" s="244"/>
      <c r="Y157" s="237"/>
      <c r="Z157" s="244"/>
      <c r="AA157" s="244"/>
      <c r="AB157" s="244"/>
      <c r="AC157" s="244"/>
      <c r="AD157" s="234"/>
      <c r="AE157" s="234"/>
      <c r="AF157" s="238"/>
      <c r="AG157" s="239"/>
      <c r="AH157" s="238"/>
      <c r="AI157" s="238"/>
      <c r="AJ157" s="234"/>
      <c r="AK157" s="234"/>
      <c r="AL157" s="234"/>
      <c r="AM157" s="234"/>
      <c r="AN157" s="234"/>
      <c r="AO157" s="234"/>
    </row>
    <row r="158" ht="15.75" customHeight="1">
      <c r="A158" s="91"/>
      <c r="B158" s="91"/>
      <c r="C158" s="220"/>
      <c r="D158" s="91"/>
      <c r="E158" s="221"/>
      <c r="F158" s="91"/>
      <c r="G158" s="91"/>
      <c r="H158" s="242"/>
      <c r="I158" s="223"/>
      <c r="J158" s="57"/>
      <c r="K158" s="153"/>
      <c r="L158" s="243"/>
      <c r="M158" s="234"/>
      <c r="N158" s="235"/>
      <c r="O158" s="236"/>
      <c r="P158" s="236"/>
      <c r="Q158" s="236"/>
      <c r="R158" s="236"/>
      <c r="S158" s="236"/>
      <c r="T158" s="236"/>
      <c r="U158" s="236"/>
      <c r="V158" s="236"/>
      <c r="W158" s="244"/>
      <c r="X158" s="244"/>
      <c r="Y158" s="237"/>
      <c r="Z158" s="244"/>
      <c r="AA158" s="244"/>
      <c r="AB158" s="244"/>
      <c r="AC158" s="244"/>
      <c r="AD158" s="234"/>
      <c r="AE158" s="234"/>
      <c r="AF158" s="238"/>
      <c r="AG158" s="239"/>
      <c r="AH158" s="238"/>
      <c r="AI158" s="238"/>
      <c r="AJ158" s="234"/>
      <c r="AK158" s="234"/>
      <c r="AL158" s="234"/>
      <c r="AM158" s="234"/>
      <c r="AN158" s="234"/>
      <c r="AO158" s="234"/>
    </row>
    <row r="159" ht="15.75" customHeight="1">
      <c r="A159" s="91"/>
      <c r="B159" s="91"/>
      <c r="C159" s="220"/>
      <c r="D159" s="91"/>
      <c r="E159" s="221"/>
      <c r="F159" s="91"/>
      <c r="G159" s="91"/>
      <c r="H159" s="242"/>
      <c r="I159" s="223"/>
      <c r="J159" s="57"/>
      <c r="K159" s="153"/>
      <c r="L159" s="243"/>
      <c r="M159" s="234"/>
      <c r="N159" s="235"/>
      <c r="O159" s="236"/>
      <c r="P159" s="236"/>
      <c r="Q159" s="236"/>
      <c r="R159" s="236"/>
      <c r="S159" s="236"/>
      <c r="T159" s="236"/>
      <c r="U159" s="236"/>
      <c r="V159" s="236"/>
      <c r="W159" s="244"/>
      <c r="X159" s="244"/>
      <c r="Y159" s="237"/>
      <c r="Z159" s="244"/>
      <c r="AA159" s="244"/>
      <c r="AB159" s="244"/>
      <c r="AC159" s="244"/>
      <c r="AD159" s="234"/>
      <c r="AE159" s="234"/>
      <c r="AF159" s="238"/>
      <c r="AG159" s="239"/>
      <c r="AH159" s="238"/>
      <c r="AI159" s="238"/>
      <c r="AJ159" s="234"/>
      <c r="AK159" s="234"/>
      <c r="AL159" s="234"/>
      <c r="AM159" s="234"/>
      <c r="AN159" s="234"/>
      <c r="AO159" s="234"/>
    </row>
    <row r="160" ht="15.75" customHeight="1">
      <c r="A160" s="91"/>
      <c r="B160" s="91"/>
      <c r="C160" s="220"/>
      <c r="D160" s="91"/>
      <c r="E160" s="221"/>
      <c r="F160" s="91"/>
      <c r="G160" s="91"/>
      <c r="H160" s="242"/>
      <c r="I160" s="223"/>
      <c r="J160" s="57"/>
      <c r="K160" s="153"/>
      <c r="L160" s="243"/>
      <c r="M160" s="234"/>
      <c r="N160" s="235"/>
      <c r="O160" s="236"/>
      <c r="P160" s="236"/>
      <c r="Q160" s="236"/>
      <c r="R160" s="236"/>
      <c r="S160" s="236"/>
      <c r="T160" s="236"/>
      <c r="U160" s="236"/>
      <c r="V160" s="236"/>
      <c r="W160" s="244"/>
      <c r="X160" s="244"/>
      <c r="Y160" s="237"/>
      <c r="Z160" s="244"/>
      <c r="AA160" s="244"/>
      <c r="AB160" s="244"/>
      <c r="AC160" s="244"/>
      <c r="AD160" s="234"/>
      <c r="AE160" s="234"/>
      <c r="AF160" s="238"/>
      <c r="AG160" s="239"/>
      <c r="AH160" s="238"/>
      <c r="AI160" s="238"/>
      <c r="AJ160" s="234"/>
      <c r="AK160" s="234"/>
      <c r="AL160" s="234"/>
      <c r="AM160" s="234"/>
      <c r="AN160" s="234"/>
      <c r="AO160" s="234"/>
    </row>
    <row r="161" ht="15.75" customHeight="1">
      <c r="A161" s="91"/>
      <c r="B161" s="91"/>
      <c r="C161" s="220"/>
      <c r="D161" s="91"/>
      <c r="E161" s="221"/>
      <c r="F161" s="91"/>
      <c r="G161" s="91"/>
      <c r="H161" s="242"/>
      <c r="I161" s="223"/>
      <c r="J161" s="57"/>
      <c r="K161" s="153"/>
      <c r="L161" s="243"/>
      <c r="M161" s="234"/>
      <c r="N161" s="235"/>
      <c r="O161" s="236"/>
      <c r="P161" s="236"/>
      <c r="Q161" s="236"/>
      <c r="R161" s="236"/>
      <c r="S161" s="236"/>
      <c r="T161" s="236"/>
      <c r="U161" s="236"/>
      <c r="V161" s="236"/>
      <c r="W161" s="244"/>
      <c r="X161" s="244"/>
      <c r="Y161" s="237"/>
      <c r="Z161" s="244"/>
      <c r="AA161" s="244"/>
      <c r="AB161" s="244"/>
      <c r="AC161" s="244"/>
      <c r="AD161" s="234"/>
      <c r="AE161" s="234"/>
      <c r="AF161" s="238"/>
      <c r="AG161" s="239"/>
      <c r="AH161" s="238"/>
      <c r="AI161" s="238"/>
      <c r="AJ161" s="234"/>
      <c r="AK161" s="234"/>
      <c r="AL161" s="234"/>
      <c r="AM161" s="234"/>
      <c r="AN161" s="234"/>
      <c r="AO161" s="234"/>
    </row>
    <row r="162" ht="15.75" customHeight="1">
      <c r="A162" s="91"/>
      <c r="B162" s="91"/>
      <c r="C162" s="220"/>
      <c r="D162" s="91"/>
      <c r="E162" s="221"/>
      <c r="F162" s="91"/>
      <c r="G162" s="91"/>
      <c r="H162" s="242"/>
      <c r="I162" s="223"/>
      <c r="J162" s="57"/>
      <c r="K162" s="153"/>
      <c r="L162" s="243"/>
      <c r="M162" s="234"/>
      <c r="N162" s="235"/>
      <c r="O162" s="236"/>
      <c r="P162" s="236"/>
      <c r="Q162" s="236"/>
      <c r="R162" s="236"/>
      <c r="S162" s="236"/>
      <c r="T162" s="236"/>
      <c r="U162" s="236"/>
      <c r="V162" s="236"/>
      <c r="W162" s="244"/>
      <c r="X162" s="244"/>
      <c r="Y162" s="237"/>
      <c r="Z162" s="244"/>
      <c r="AA162" s="244"/>
      <c r="AB162" s="244"/>
      <c r="AC162" s="244"/>
      <c r="AD162" s="234"/>
      <c r="AE162" s="234"/>
      <c r="AF162" s="238"/>
      <c r="AG162" s="239"/>
      <c r="AH162" s="238"/>
      <c r="AI162" s="238"/>
      <c r="AJ162" s="234"/>
      <c r="AK162" s="234"/>
      <c r="AL162" s="234"/>
      <c r="AM162" s="234"/>
      <c r="AN162" s="234"/>
      <c r="AO162" s="234"/>
    </row>
    <row r="163" ht="15.75" customHeight="1">
      <c r="A163" s="91"/>
      <c r="B163" s="91"/>
      <c r="C163" s="220"/>
      <c r="D163" s="91"/>
      <c r="E163" s="221"/>
      <c r="F163" s="91"/>
      <c r="G163" s="91"/>
      <c r="H163" s="242"/>
      <c r="I163" s="223"/>
      <c r="J163" s="57"/>
      <c r="K163" s="153"/>
      <c r="L163" s="243"/>
      <c r="M163" s="234"/>
      <c r="N163" s="235"/>
      <c r="O163" s="236"/>
      <c r="P163" s="236"/>
      <c r="Q163" s="236"/>
      <c r="R163" s="236"/>
      <c r="S163" s="236"/>
      <c r="T163" s="236"/>
      <c r="U163" s="236"/>
      <c r="V163" s="236"/>
      <c r="W163" s="244"/>
      <c r="X163" s="244"/>
      <c r="Y163" s="237"/>
      <c r="Z163" s="244"/>
      <c r="AA163" s="244"/>
      <c r="AB163" s="244"/>
      <c r="AC163" s="244"/>
      <c r="AD163" s="234"/>
      <c r="AE163" s="234"/>
      <c r="AF163" s="238"/>
      <c r="AG163" s="239"/>
      <c r="AH163" s="238"/>
      <c r="AI163" s="238"/>
      <c r="AJ163" s="234"/>
      <c r="AK163" s="234"/>
      <c r="AL163" s="234"/>
      <c r="AM163" s="234"/>
      <c r="AN163" s="234"/>
      <c r="AO163" s="234"/>
    </row>
    <row r="164" ht="15.75" customHeight="1">
      <c r="A164" s="91"/>
      <c r="B164" s="91"/>
      <c r="C164" s="220"/>
      <c r="D164" s="91"/>
      <c r="E164" s="221"/>
      <c r="F164" s="91"/>
      <c r="G164" s="91"/>
      <c r="H164" s="242"/>
      <c r="I164" s="223"/>
      <c r="J164" s="57"/>
      <c r="K164" s="153"/>
      <c r="L164" s="243"/>
      <c r="M164" s="234"/>
      <c r="N164" s="235"/>
      <c r="O164" s="236"/>
      <c r="P164" s="236"/>
      <c r="Q164" s="236"/>
      <c r="R164" s="236"/>
      <c r="S164" s="236"/>
      <c r="T164" s="236"/>
      <c r="U164" s="236"/>
      <c r="V164" s="236"/>
      <c r="W164" s="244"/>
      <c r="X164" s="244"/>
      <c r="Y164" s="237"/>
      <c r="Z164" s="244"/>
      <c r="AA164" s="244"/>
      <c r="AB164" s="244"/>
      <c r="AC164" s="244"/>
      <c r="AD164" s="234"/>
      <c r="AE164" s="234"/>
      <c r="AF164" s="238"/>
      <c r="AG164" s="239"/>
      <c r="AH164" s="238"/>
      <c r="AI164" s="238"/>
      <c r="AJ164" s="234"/>
      <c r="AK164" s="234"/>
      <c r="AL164" s="234"/>
      <c r="AM164" s="234"/>
      <c r="AN164" s="234"/>
      <c r="AO164" s="234"/>
    </row>
    <row r="165" ht="15.75" customHeight="1">
      <c r="A165" s="91"/>
      <c r="B165" s="91"/>
      <c r="C165" s="220"/>
      <c r="D165" s="91"/>
      <c r="E165" s="221"/>
      <c r="F165" s="91"/>
      <c r="G165" s="91"/>
      <c r="H165" s="242"/>
      <c r="I165" s="223"/>
      <c r="J165" s="57"/>
      <c r="K165" s="153"/>
      <c r="L165" s="243"/>
      <c r="M165" s="234"/>
      <c r="N165" s="235"/>
      <c r="O165" s="236"/>
      <c r="P165" s="236"/>
      <c r="Q165" s="236"/>
      <c r="R165" s="236"/>
      <c r="S165" s="236"/>
      <c r="T165" s="236"/>
      <c r="U165" s="236"/>
      <c r="V165" s="236"/>
      <c r="W165" s="244"/>
      <c r="X165" s="244"/>
      <c r="Y165" s="237"/>
      <c r="Z165" s="244"/>
      <c r="AA165" s="244"/>
      <c r="AB165" s="244"/>
      <c r="AC165" s="244"/>
      <c r="AD165" s="234"/>
      <c r="AE165" s="234"/>
      <c r="AF165" s="238"/>
      <c r="AG165" s="239"/>
      <c r="AH165" s="238"/>
      <c r="AI165" s="238"/>
      <c r="AJ165" s="234"/>
      <c r="AK165" s="234"/>
      <c r="AL165" s="234"/>
      <c r="AM165" s="234"/>
      <c r="AN165" s="234"/>
      <c r="AO165" s="234"/>
    </row>
    <row r="166" ht="15.75" customHeight="1">
      <c r="A166" s="91"/>
      <c r="B166" s="91"/>
      <c r="C166" s="220"/>
      <c r="D166" s="91"/>
      <c r="E166" s="221"/>
      <c r="F166" s="91"/>
      <c r="G166" s="91"/>
      <c r="H166" s="242"/>
      <c r="I166" s="223"/>
      <c r="J166" s="57"/>
      <c r="K166" s="153"/>
      <c r="L166" s="243"/>
      <c r="M166" s="234"/>
      <c r="N166" s="235"/>
      <c r="O166" s="236"/>
      <c r="P166" s="236"/>
      <c r="Q166" s="236"/>
      <c r="R166" s="236"/>
      <c r="S166" s="236"/>
      <c r="T166" s="236"/>
      <c r="U166" s="236"/>
      <c r="V166" s="236"/>
      <c r="W166" s="244"/>
      <c r="X166" s="244"/>
      <c r="Y166" s="237"/>
      <c r="Z166" s="244"/>
      <c r="AA166" s="244"/>
      <c r="AB166" s="244"/>
      <c r="AC166" s="244"/>
      <c r="AD166" s="234"/>
      <c r="AE166" s="234"/>
      <c r="AF166" s="238"/>
      <c r="AG166" s="239"/>
      <c r="AH166" s="238"/>
      <c r="AI166" s="238"/>
      <c r="AJ166" s="234"/>
      <c r="AK166" s="234"/>
      <c r="AL166" s="234"/>
      <c r="AM166" s="234"/>
      <c r="AN166" s="234"/>
      <c r="AO166" s="234"/>
    </row>
    <row r="167" ht="15.75" customHeight="1">
      <c r="A167" s="91"/>
      <c r="B167" s="91"/>
      <c r="C167" s="220"/>
      <c r="D167" s="91"/>
      <c r="E167" s="221"/>
      <c r="F167" s="91"/>
      <c r="G167" s="91"/>
      <c r="H167" s="242"/>
      <c r="I167" s="223"/>
      <c r="J167" s="57"/>
      <c r="K167" s="153"/>
      <c r="L167" s="243"/>
      <c r="M167" s="234"/>
      <c r="N167" s="235"/>
      <c r="O167" s="236"/>
      <c r="P167" s="236"/>
      <c r="Q167" s="236"/>
      <c r="R167" s="236"/>
      <c r="S167" s="236"/>
      <c r="T167" s="236"/>
      <c r="U167" s="236"/>
      <c r="V167" s="236"/>
      <c r="W167" s="244"/>
      <c r="X167" s="244"/>
      <c r="Y167" s="237"/>
      <c r="Z167" s="244"/>
      <c r="AA167" s="244"/>
      <c r="AB167" s="244"/>
      <c r="AC167" s="244"/>
      <c r="AD167" s="234"/>
      <c r="AE167" s="234"/>
      <c r="AF167" s="238"/>
      <c r="AG167" s="239"/>
      <c r="AH167" s="238"/>
      <c r="AI167" s="238"/>
      <c r="AJ167" s="234"/>
      <c r="AK167" s="234"/>
      <c r="AL167" s="234"/>
      <c r="AM167" s="234"/>
      <c r="AN167" s="234"/>
      <c r="AO167" s="234"/>
    </row>
    <row r="168" ht="15.75" customHeight="1">
      <c r="A168" s="91"/>
      <c r="B168" s="91"/>
      <c r="C168" s="220"/>
      <c r="D168" s="91"/>
      <c r="E168" s="221"/>
      <c r="F168" s="91"/>
      <c r="G168" s="91"/>
      <c r="H168" s="242"/>
      <c r="I168" s="223"/>
      <c r="J168" s="57"/>
      <c r="K168" s="153"/>
      <c r="L168" s="243"/>
      <c r="M168" s="234"/>
      <c r="N168" s="235"/>
      <c r="O168" s="236"/>
      <c r="P168" s="236"/>
      <c r="Q168" s="236"/>
      <c r="R168" s="236"/>
      <c r="S168" s="236"/>
      <c r="T168" s="236"/>
      <c r="U168" s="236"/>
      <c r="V168" s="236"/>
      <c r="W168" s="244"/>
      <c r="X168" s="244"/>
      <c r="Y168" s="237"/>
      <c r="Z168" s="244"/>
      <c r="AA168" s="244"/>
      <c r="AB168" s="244"/>
      <c r="AC168" s="244"/>
      <c r="AD168" s="234"/>
      <c r="AE168" s="234"/>
      <c r="AF168" s="238"/>
      <c r="AG168" s="239"/>
      <c r="AH168" s="238"/>
      <c r="AI168" s="238"/>
      <c r="AJ168" s="234"/>
      <c r="AK168" s="234"/>
      <c r="AL168" s="234"/>
      <c r="AM168" s="234"/>
      <c r="AN168" s="234"/>
      <c r="AO168" s="234"/>
    </row>
    <row r="169" ht="15.75" customHeight="1">
      <c r="A169" s="91"/>
      <c r="B169" s="91"/>
      <c r="C169" s="220"/>
      <c r="D169" s="91"/>
      <c r="E169" s="221"/>
      <c r="F169" s="91"/>
      <c r="G169" s="91"/>
      <c r="H169" s="242"/>
      <c r="I169" s="223"/>
      <c r="J169" s="57"/>
      <c r="K169" s="153"/>
      <c r="L169" s="243"/>
      <c r="M169" s="234"/>
      <c r="N169" s="235"/>
      <c r="O169" s="236"/>
      <c r="P169" s="236"/>
      <c r="Q169" s="236"/>
      <c r="R169" s="236"/>
      <c r="S169" s="236"/>
      <c r="T169" s="236"/>
      <c r="U169" s="236"/>
      <c r="V169" s="236"/>
      <c r="W169" s="244"/>
      <c r="X169" s="244"/>
      <c r="Y169" s="237"/>
      <c r="Z169" s="244"/>
      <c r="AA169" s="244"/>
      <c r="AB169" s="244"/>
      <c r="AC169" s="244"/>
      <c r="AD169" s="234"/>
      <c r="AE169" s="234"/>
      <c r="AF169" s="238"/>
      <c r="AG169" s="239"/>
      <c r="AH169" s="238"/>
      <c r="AI169" s="238"/>
      <c r="AJ169" s="234"/>
      <c r="AK169" s="234"/>
      <c r="AL169" s="234"/>
      <c r="AM169" s="234"/>
      <c r="AN169" s="234"/>
      <c r="AO169" s="234"/>
    </row>
    <row r="170" ht="15.75" customHeight="1">
      <c r="A170" s="91"/>
      <c r="B170" s="91"/>
      <c r="C170" s="220"/>
      <c r="D170" s="91"/>
      <c r="E170" s="221"/>
      <c r="F170" s="91"/>
      <c r="G170" s="91"/>
      <c r="H170" s="242"/>
      <c r="I170" s="223"/>
      <c r="J170" s="57"/>
      <c r="K170" s="153"/>
      <c r="L170" s="243"/>
      <c r="M170" s="234"/>
      <c r="N170" s="235"/>
      <c r="O170" s="236"/>
      <c r="P170" s="236"/>
      <c r="Q170" s="236"/>
      <c r="R170" s="236"/>
      <c r="S170" s="236"/>
      <c r="T170" s="236"/>
      <c r="U170" s="236"/>
      <c r="V170" s="236"/>
      <c r="W170" s="244"/>
      <c r="X170" s="244"/>
      <c r="Y170" s="237"/>
      <c r="Z170" s="244"/>
      <c r="AA170" s="244"/>
      <c r="AB170" s="244"/>
      <c r="AC170" s="244"/>
      <c r="AD170" s="234"/>
      <c r="AE170" s="234"/>
      <c r="AF170" s="238"/>
      <c r="AG170" s="239"/>
      <c r="AH170" s="238"/>
      <c r="AI170" s="238"/>
      <c r="AJ170" s="234"/>
      <c r="AK170" s="234"/>
      <c r="AL170" s="234"/>
      <c r="AM170" s="234"/>
      <c r="AN170" s="234"/>
      <c r="AO170" s="234"/>
    </row>
    <row r="171" ht="15.75" customHeight="1">
      <c r="A171" s="91"/>
      <c r="B171" s="91"/>
      <c r="C171" s="220"/>
      <c r="D171" s="91"/>
      <c r="E171" s="221"/>
      <c r="F171" s="91"/>
      <c r="G171" s="91"/>
      <c r="H171" s="242"/>
      <c r="I171" s="223"/>
      <c r="J171" s="57"/>
      <c r="K171" s="153"/>
      <c r="L171" s="243"/>
      <c r="M171" s="234"/>
      <c r="N171" s="235"/>
      <c r="O171" s="236"/>
      <c r="P171" s="236"/>
      <c r="Q171" s="236"/>
      <c r="R171" s="236"/>
      <c r="S171" s="236"/>
      <c r="T171" s="236"/>
      <c r="U171" s="236"/>
      <c r="V171" s="236"/>
      <c r="W171" s="244"/>
      <c r="X171" s="244"/>
      <c r="Y171" s="237"/>
      <c r="Z171" s="244"/>
      <c r="AA171" s="244"/>
      <c r="AB171" s="244"/>
      <c r="AC171" s="244"/>
      <c r="AD171" s="234"/>
      <c r="AE171" s="234"/>
      <c r="AF171" s="238"/>
      <c r="AG171" s="239"/>
      <c r="AH171" s="238"/>
      <c r="AI171" s="238"/>
      <c r="AJ171" s="234"/>
      <c r="AK171" s="234"/>
      <c r="AL171" s="234"/>
      <c r="AM171" s="234"/>
      <c r="AN171" s="234"/>
      <c r="AO171" s="234"/>
    </row>
    <row r="172" ht="15.75" customHeight="1">
      <c r="A172" s="91"/>
      <c r="B172" s="91"/>
      <c r="C172" s="220"/>
      <c r="D172" s="91"/>
      <c r="E172" s="221"/>
      <c r="F172" s="91"/>
      <c r="G172" s="91"/>
      <c r="H172" s="242"/>
      <c r="I172" s="223"/>
      <c r="J172" s="57"/>
      <c r="K172" s="153"/>
      <c r="L172" s="243"/>
      <c r="M172" s="234"/>
      <c r="N172" s="235"/>
      <c r="O172" s="236"/>
      <c r="P172" s="236"/>
      <c r="Q172" s="236"/>
      <c r="R172" s="236"/>
      <c r="S172" s="236"/>
      <c r="T172" s="236"/>
      <c r="U172" s="236"/>
      <c r="V172" s="236"/>
      <c r="W172" s="244"/>
      <c r="X172" s="244"/>
      <c r="Y172" s="237"/>
      <c r="Z172" s="244"/>
      <c r="AA172" s="244"/>
      <c r="AB172" s="244"/>
      <c r="AC172" s="244"/>
      <c r="AD172" s="234"/>
      <c r="AE172" s="234"/>
      <c r="AF172" s="238"/>
      <c r="AG172" s="239"/>
      <c r="AH172" s="238"/>
      <c r="AI172" s="238"/>
      <c r="AJ172" s="234"/>
      <c r="AK172" s="234"/>
      <c r="AL172" s="234"/>
      <c r="AM172" s="234"/>
      <c r="AN172" s="234"/>
      <c r="AO172" s="234"/>
    </row>
    <row r="173" ht="15.75" customHeight="1">
      <c r="A173" s="91"/>
      <c r="B173" s="91"/>
      <c r="C173" s="220"/>
      <c r="D173" s="91"/>
      <c r="E173" s="221"/>
      <c r="F173" s="91"/>
      <c r="G173" s="91"/>
      <c r="H173" s="242"/>
      <c r="I173" s="223"/>
      <c r="J173" s="57"/>
      <c r="K173" s="153"/>
      <c r="L173" s="243"/>
      <c r="M173" s="234"/>
      <c r="N173" s="235"/>
      <c r="O173" s="236"/>
      <c r="P173" s="236"/>
      <c r="Q173" s="236"/>
      <c r="R173" s="236"/>
      <c r="S173" s="236"/>
      <c r="T173" s="236"/>
      <c r="U173" s="236"/>
      <c r="V173" s="236"/>
      <c r="W173" s="244"/>
      <c r="X173" s="244"/>
      <c r="Y173" s="237"/>
      <c r="Z173" s="244"/>
      <c r="AA173" s="244"/>
      <c r="AB173" s="244"/>
      <c r="AC173" s="244"/>
      <c r="AD173" s="234"/>
      <c r="AE173" s="234"/>
      <c r="AF173" s="238"/>
      <c r="AG173" s="239"/>
      <c r="AH173" s="238"/>
      <c r="AI173" s="238"/>
      <c r="AJ173" s="234"/>
      <c r="AK173" s="234"/>
      <c r="AL173" s="234"/>
      <c r="AM173" s="234"/>
      <c r="AN173" s="234"/>
      <c r="AO173" s="234"/>
    </row>
    <row r="174" ht="15.75" customHeight="1">
      <c r="A174" s="91"/>
      <c r="B174" s="91"/>
      <c r="C174" s="220"/>
      <c r="D174" s="91"/>
      <c r="E174" s="221"/>
      <c r="F174" s="91"/>
      <c r="G174" s="91"/>
      <c r="H174" s="242"/>
      <c r="I174" s="223"/>
      <c r="J174" s="57"/>
      <c r="K174" s="153"/>
      <c r="L174" s="243"/>
      <c r="M174" s="234"/>
      <c r="N174" s="235"/>
      <c r="O174" s="236"/>
      <c r="P174" s="236"/>
      <c r="Q174" s="236"/>
      <c r="R174" s="236"/>
      <c r="S174" s="236"/>
      <c r="T174" s="236"/>
      <c r="U174" s="236"/>
      <c r="V174" s="236"/>
      <c r="W174" s="244"/>
      <c r="X174" s="244"/>
      <c r="Y174" s="237"/>
      <c r="Z174" s="244"/>
      <c r="AA174" s="244"/>
      <c r="AB174" s="244"/>
      <c r="AC174" s="244"/>
      <c r="AD174" s="234"/>
      <c r="AE174" s="234"/>
      <c r="AF174" s="238"/>
      <c r="AG174" s="239"/>
      <c r="AH174" s="238"/>
      <c r="AI174" s="238"/>
      <c r="AJ174" s="234"/>
      <c r="AK174" s="234"/>
      <c r="AL174" s="234"/>
      <c r="AM174" s="234"/>
      <c r="AN174" s="234"/>
      <c r="AO174" s="234"/>
    </row>
    <row r="175" ht="15.75" customHeight="1">
      <c r="A175" s="91"/>
      <c r="B175" s="91"/>
      <c r="C175" s="220"/>
      <c r="D175" s="91"/>
      <c r="E175" s="221"/>
      <c r="F175" s="91"/>
      <c r="G175" s="91"/>
      <c r="H175" s="242"/>
      <c r="I175" s="223"/>
      <c r="J175" s="57"/>
      <c r="K175" s="153"/>
      <c r="L175" s="243"/>
      <c r="M175" s="234"/>
      <c r="N175" s="235"/>
      <c r="O175" s="236"/>
      <c r="P175" s="236"/>
      <c r="Q175" s="236"/>
      <c r="R175" s="236"/>
      <c r="S175" s="236"/>
      <c r="T175" s="236"/>
      <c r="U175" s="236"/>
      <c r="V175" s="236"/>
      <c r="W175" s="244"/>
      <c r="X175" s="244"/>
      <c r="Y175" s="237"/>
      <c r="Z175" s="244"/>
      <c r="AA175" s="244"/>
      <c r="AB175" s="244"/>
      <c r="AC175" s="244"/>
      <c r="AD175" s="234"/>
      <c r="AE175" s="234"/>
      <c r="AF175" s="238"/>
      <c r="AG175" s="239"/>
      <c r="AH175" s="238"/>
      <c r="AI175" s="238"/>
      <c r="AJ175" s="234"/>
      <c r="AK175" s="234"/>
      <c r="AL175" s="234"/>
      <c r="AM175" s="234"/>
      <c r="AN175" s="234"/>
      <c r="AO175" s="234"/>
    </row>
    <row r="176" ht="15.75" customHeight="1">
      <c r="A176" s="91"/>
      <c r="B176" s="91"/>
      <c r="C176" s="220"/>
      <c r="D176" s="91"/>
      <c r="E176" s="221"/>
      <c r="F176" s="91"/>
      <c r="G176" s="91"/>
      <c r="H176" s="242"/>
      <c r="I176" s="223"/>
      <c r="J176" s="57"/>
      <c r="K176" s="153"/>
      <c r="L176" s="243"/>
      <c r="M176" s="234"/>
      <c r="N176" s="235"/>
      <c r="O176" s="236"/>
      <c r="P176" s="236"/>
      <c r="Q176" s="236"/>
      <c r="R176" s="236"/>
      <c r="S176" s="236"/>
      <c r="T176" s="236"/>
      <c r="U176" s="236"/>
      <c r="V176" s="236"/>
      <c r="W176" s="244"/>
      <c r="X176" s="244"/>
      <c r="Y176" s="237"/>
      <c r="Z176" s="244"/>
      <c r="AA176" s="244"/>
      <c r="AB176" s="244"/>
      <c r="AC176" s="244"/>
      <c r="AD176" s="234"/>
      <c r="AE176" s="234"/>
      <c r="AF176" s="238"/>
      <c r="AG176" s="239"/>
      <c r="AH176" s="238"/>
      <c r="AI176" s="238"/>
      <c r="AJ176" s="234"/>
      <c r="AK176" s="234"/>
      <c r="AL176" s="234"/>
      <c r="AM176" s="234"/>
      <c r="AN176" s="234"/>
      <c r="AO176" s="234"/>
    </row>
    <row r="177" ht="15.75" customHeight="1">
      <c r="A177" s="91"/>
      <c r="B177" s="91"/>
      <c r="C177" s="220"/>
      <c r="D177" s="91"/>
      <c r="E177" s="221"/>
      <c r="F177" s="91"/>
      <c r="G177" s="91"/>
      <c r="H177" s="242"/>
      <c r="I177" s="223"/>
      <c r="J177" s="57"/>
      <c r="K177" s="153"/>
      <c r="L177" s="243"/>
      <c r="M177" s="234"/>
      <c r="N177" s="235"/>
      <c r="O177" s="236"/>
      <c r="P177" s="236"/>
      <c r="Q177" s="236"/>
      <c r="R177" s="236"/>
      <c r="S177" s="236"/>
      <c r="T177" s="236"/>
      <c r="U177" s="236"/>
      <c r="V177" s="236"/>
      <c r="W177" s="244"/>
      <c r="X177" s="244"/>
      <c r="Y177" s="237"/>
      <c r="Z177" s="244"/>
      <c r="AA177" s="244"/>
      <c r="AB177" s="244"/>
      <c r="AC177" s="244"/>
      <c r="AD177" s="234"/>
      <c r="AE177" s="234"/>
      <c r="AF177" s="238"/>
      <c r="AG177" s="239"/>
      <c r="AH177" s="238"/>
      <c r="AI177" s="238"/>
      <c r="AJ177" s="234"/>
      <c r="AK177" s="234"/>
      <c r="AL177" s="234"/>
      <c r="AM177" s="234"/>
      <c r="AN177" s="234"/>
      <c r="AO177" s="234"/>
    </row>
    <row r="178" ht="15.75" customHeight="1">
      <c r="A178" s="91"/>
      <c r="B178" s="91"/>
      <c r="C178" s="220"/>
      <c r="D178" s="91"/>
      <c r="E178" s="221"/>
      <c r="F178" s="91"/>
      <c r="G178" s="91"/>
      <c r="H178" s="242"/>
      <c r="I178" s="223"/>
      <c r="J178" s="57"/>
      <c r="K178" s="153"/>
      <c r="L178" s="243"/>
      <c r="M178" s="234"/>
      <c r="N178" s="235"/>
      <c r="O178" s="236"/>
      <c r="P178" s="236"/>
      <c r="Q178" s="236"/>
      <c r="R178" s="236"/>
      <c r="S178" s="236"/>
      <c r="T178" s="236"/>
      <c r="U178" s="236"/>
      <c r="V178" s="236"/>
      <c r="W178" s="244"/>
      <c r="X178" s="244"/>
      <c r="Y178" s="237"/>
      <c r="Z178" s="244"/>
      <c r="AA178" s="244"/>
      <c r="AB178" s="244"/>
      <c r="AC178" s="244"/>
      <c r="AD178" s="234"/>
      <c r="AE178" s="234"/>
      <c r="AF178" s="238"/>
      <c r="AG178" s="239"/>
      <c r="AH178" s="238"/>
      <c r="AI178" s="238"/>
      <c r="AJ178" s="234"/>
      <c r="AK178" s="234"/>
      <c r="AL178" s="234"/>
      <c r="AM178" s="234"/>
      <c r="AN178" s="234"/>
      <c r="AO178" s="234"/>
    </row>
    <row r="179" ht="15.75" customHeight="1">
      <c r="A179" s="91"/>
      <c r="B179" s="91"/>
      <c r="C179" s="220"/>
      <c r="D179" s="91"/>
      <c r="E179" s="221"/>
      <c r="F179" s="91"/>
      <c r="G179" s="91"/>
      <c r="H179" s="242"/>
      <c r="I179" s="223"/>
      <c r="J179" s="57"/>
      <c r="K179" s="153"/>
      <c r="L179" s="243"/>
      <c r="M179" s="234"/>
      <c r="N179" s="235"/>
      <c r="O179" s="236"/>
      <c r="P179" s="236"/>
      <c r="Q179" s="236"/>
      <c r="R179" s="236"/>
      <c r="S179" s="236"/>
      <c r="T179" s="236"/>
      <c r="U179" s="236"/>
      <c r="V179" s="236"/>
      <c r="W179" s="244"/>
      <c r="X179" s="244"/>
      <c r="Y179" s="237"/>
      <c r="Z179" s="244"/>
      <c r="AA179" s="244"/>
      <c r="AB179" s="244"/>
      <c r="AC179" s="244"/>
      <c r="AD179" s="234"/>
      <c r="AE179" s="234"/>
      <c r="AF179" s="238"/>
      <c r="AG179" s="239"/>
      <c r="AH179" s="238"/>
      <c r="AI179" s="238"/>
      <c r="AJ179" s="234"/>
      <c r="AK179" s="234"/>
      <c r="AL179" s="234"/>
      <c r="AM179" s="234"/>
      <c r="AN179" s="234"/>
      <c r="AO179" s="234"/>
    </row>
    <row r="180" ht="15.75" customHeight="1">
      <c r="A180" s="91"/>
      <c r="B180" s="91"/>
      <c r="C180" s="220"/>
      <c r="D180" s="91"/>
      <c r="E180" s="221"/>
      <c r="F180" s="91"/>
      <c r="G180" s="91"/>
      <c r="H180" s="242"/>
      <c r="I180" s="223"/>
      <c r="J180" s="57"/>
      <c r="K180" s="153"/>
      <c r="L180" s="243"/>
      <c r="M180" s="234"/>
      <c r="N180" s="235"/>
      <c r="O180" s="236"/>
      <c r="P180" s="236"/>
      <c r="Q180" s="236"/>
      <c r="R180" s="236"/>
      <c r="S180" s="236"/>
      <c r="T180" s="236"/>
      <c r="U180" s="236"/>
      <c r="V180" s="236"/>
      <c r="W180" s="244"/>
      <c r="X180" s="244"/>
      <c r="Y180" s="237"/>
      <c r="Z180" s="244"/>
      <c r="AA180" s="244"/>
      <c r="AB180" s="244"/>
      <c r="AC180" s="244"/>
      <c r="AD180" s="234"/>
      <c r="AE180" s="234"/>
      <c r="AF180" s="238"/>
      <c r="AG180" s="239"/>
      <c r="AH180" s="238"/>
      <c r="AI180" s="238"/>
      <c r="AJ180" s="234"/>
      <c r="AK180" s="234"/>
      <c r="AL180" s="234"/>
      <c r="AM180" s="234"/>
      <c r="AN180" s="234"/>
      <c r="AO180" s="234"/>
    </row>
    <row r="181" ht="15.75" customHeight="1">
      <c r="A181" s="91"/>
      <c r="B181" s="91"/>
      <c r="C181" s="220"/>
      <c r="D181" s="91"/>
      <c r="E181" s="221"/>
      <c r="F181" s="91"/>
      <c r="G181" s="91"/>
      <c r="H181" s="242"/>
      <c r="I181" s="223"/>
      <c r="J181" s="57"/>
      <c r="K181" s="153"/>
      <c r="L181" s="243"/>
      <c r="M181" s="234"/>
      <c r="N181" s="235"/>
      <c r="O181" s="236"/>
      <c r="P181" s="236"/>
      <c r="Q181" s="236"/>
      <c r="R181" s="236"/>
      <c r="S181" s="236"/>
      <c r="T181" s="236"/>
      <c r="U181" s="236"/>
      <c r="V181" s="236"/>
      <c r="W181" s="244"/>
      <c r="X181" s="244"/>
      <c r="Y181" s="237"/>
      <c r="Z181" s="244"/>
      <c r="AA181" s="244"/>
      <c r="AB181" s="244"/>
      <c r="AC181" s="244"/>
      <c r="AD181" s="234"/>
      <c r="AE181" s="234"/>
      <c r="AF181" s="238"/>
      <c r="AG181" s="239"/>
      <c r="AH181" s="238"/>
      <c r="AI181" s="238"/>
      <c r="AJ181" s="234"/>
      <c r="AK181" s="234"/>
      <c r="AL181" s="234"/>
      <c r="AM181" s="234"/>
      <c r="AN181" s="234"/>
      <c r="AO181" s="234"/>
    </row>
    <row r="182" ht="15.75" customHeight="1">
      <c r="A182" s="91"/>
      <c r="B182" s="91"/>
      <c r="C182" s="220"/>
      <c r="D182" s="91"/>
      <c r="E182" s="221"/>
      <c r="F182" s="91"/>
      <c r="G182" s="91"/>
      <c r="H182" s="242"/>
      <c r="I182" s="223"/>
      <c r="J182" s="57"/>
      <c r="K182" s="153"/>
      <c r="L182" s="243"/>
      <c r="M182" s="234"/>
      <c r="N182" s="235"/>
      <c r="O182" s="236"/>
      <c r="P182" s="236"/>
      <c r="Q182" s="236"/>
      <c r="R182" s="236"/>
      <c r="S182" s="236"/>
      <c r="T182" s="236"/>
      <c r="U182" s="236"/>
      <c r="V182" s="236"/>
      <c r="W182" s="244"/>
      <c r="X182" s="244"/>
      <c r="Y182" s="237"/>
      <c r="Z182" s="244"/>
      <c r="AA182" s="244"/>
      <c r="AB182" s="244"/>
      <c r="AC182" s="244"/>
      <c r="AD182" s="234"/>
      <c r="AE182" s="234"/>
      <c r="AF182" s="238"/>
      <c r="AG182" s="239"/>
      <c r="AH182" s="238"/>
      <c r="AI182" s="238"/>
      <c r="AJ182" s="234"/>
      <c r="AK182" s="234"/>
      <c r="AL182" s="234"/>
      <c r="AM182" s="234"/>
      <c r="AN182" s="234"/>
      <c r="AO182" s="234"/>
    </row>
    <row r="183" ht="15.75" customHeight="1">
      <c r="A183" s="91"/>
      <c r="B183" s="91"/>
      <c r="C183" s="220"/>
      <c r="D183" s="91"/>
      <c r="E183" s="221"/>
      <c r="F183" s="91"/>
      <c r="G183" s="91"/>
      <c r="H183" s="242"/>
      <c r="I183" s="223"/>
      <c r="J183" s="57"/>
      <c r="K183" s="153"/>
      <c r="L183" s="243"/>
      <c r="M183" s="234"/>
      <c r="N183" s="235"/>
      <c r="O183" s="236"/>
      <c r="P183" s="236"/>
      <c r="Q183" s="236"/>
      <c r="R183" s="236"/>
      <c r="S183" s="236"/>
      <c r="T183" s="236"/>
      <c r="U183" s="236"/>
      <c r="V183" s="236"/>
      <c r="W183" s="244"/>
      <c r="X183" s="244"/>
      <c r="Y183" s="237"/>
      <c r="Z183" s="244"/>
      <c r="AA183" s="244"/>
      <c r="AB183" s="244"/>
      <c r="AC183" s="244"/>
      <c r="AD183" s="234"/>
      <c r="AE183" s="234"/>
      <c r="AF183" s="238"/>
      <c r="AG183" s="239"/>
      <c r="AH183" s="238"/>
      <c r="AI183" s="238"/>
      <c r="AJ183" s="234"/>
      <c r="AK183" s="234"/>
      <c r="AL183" s="234"/>
      <c r="AM183" s="234"/>
      <c r="AN183" s="234"/>
      <c r="AO183" s="234"/>
    </row>
    <row r="184" ht="15.75" customHeight="1">
      <c r="A184" s="91"/>
      <c r="B184" s="91"/>
      <c r="C184" s="220"/>
      <c r="D184" s="91"/>
      <c r="E184" s="221"/>
      <c r="F184" s="91"/>
      <c r="G184" s="91"/>
      <c r="H184" s="242"/>
      <c r="I184" s="223"/>
      <c r="J184" s="57"/>
      <c r="K184" s="153"/>
      <c r="L184" s="243"/>
      <c r="M184" s="234"/>
      <c r="N184" s="235"/>
      <c r="O184" s="236"/>
      <c r="P184" s="236"/>
      <c r="Q184" s="236"/>
      <c r="R184" s="236"/>
      <c r="S184" s="236"/>
      <c r="T184" s="236"/>
      <c r="U184" s="236"/>
      <c r="V184" s="236"/>
      <c r="W184" s="244"/>
      <c r="X184" s="244"/>
      <c r="Y184" s="237"/>
      <c r="Z184" s="244"/>
      <c r="AA184" s="244"/>
      <c r="AB184" s="244"/>
      <c r="AC184" s="244"/>
      <c r="AD184" s="234"/>
      <c r="AE184" s="234"/>
      <c r="AF184" s="238"/>
      <c r="AG184" s="239"/>
      <c r="AH184" s="238"/>
      <c r="AI184" s="238"/>
      <c r="AJ184" s="234"/>
      <c r="AK184" s="234"/>
      <c r="AL184" s="234"/>
      <c r="AM184" s="234"/>
      <c r="AN184" s="234"/>
      <c r="AO184" s="234"/>
    </row>
    <row r="185" ht="15.75" customHeight="1">
      <c r="A185" s="91"/>
      <c r="B185" s="91"/>
      <c r="C185" s="220"/>
      <c r="D185" s="91"/>
      <c r="E185" s="221"/>
      <c r="F185" s="91"/>
      <c r="G185" s="91"/>
      <c r="H185" s="242"/>
      <c r="I185" s="223"/>
      <c r="J185" s="57"/>
      <c r="K185" s="153"/>
      <c r="L185" s="243"/>
      <c r="M185" s="234"/>
      <c r="N185" s="235"/>
      <c r="O185" s="236"/>
      <c r="P185" s="236"/>
      <c r="Q185" s="236"/>
      <c r="R185" s="236"/>
      <c r="S185" s="236"/>
      <c r="T185" s="236"/>
      <c r="U185" s="236"/>
      <c r="V185" s="236"/>
      <c r="W185" s="244"/>
      <c r="X185" s="244"/>
      <c r="Y185" s="237"/>
      <c r="Z185" s="244"/>
      <c r="AA185" s="244"/>
      <c r="AB185" s="244"/>
      <c r="AC185" s="244"/>
      <c r="AD185" s="234"/>
      <c r="AE185" s="234"/>
      <c r="AF185" s="238"/>
      <c r="AG185" s="239"/>
      <c r="AH185" s="238"/>
      <c r="AI185" s="238"/>
      <c r="AJ185" s="234"/>
      <c r="AK185" s="234"/>
      <c r="AL185" s="234"/>
      <c r="AM185" s="234"/>
      <c r="AN185" s="234"/>
      <c r="AO185" s="234"/>
    </row>
    <row r="186" ht="15.75" customHeight="1">
      <c r="A186" s="91"/>
      <c r="B186" s="91"/>
      <c r="C186" s="220"/>
      <c r="D186" s="91"/>
      <c r="E186" s="221"/>
      <c r="F186" s="91"/>
      <c r="G186" s="91"/>
      <c r="H186" s="242"/>
      <c r="I186" s="223"/>
      <c r="J186" s="57"/>
      <c r="K186" s="153"/>
      <c r="L186" s="243"/>
      <c r="M186" s="234"/>
      <c r="N186" s="235"/>
      <c r="O186" s="236"/>
      <c r="P186" s="236"/>
      <c r="Q186" s="236"/>
      <c r="R186" s="236"/>
      <c r="S186" s="236"/>
      <c r="T186" s="236"/>
      <c r="U186" s="236"/>
      <c r="V186" s="236"/>
      <c r="W186" s="244"/>
      <c r="X186" s="244"/>
      <c r="Y186" s="237"/>
      <c r="Z186" s="244"/>
      <c r="AA186" s="244"/>
      <c r="AB186" s="244"/>
      <c r="AC186" s="244"/>
      <c r="AD186" s="234"/>
      <c r="AE186" s="234"/>
      <c r="AF186" s="238"/>
      <c r="AG186" s="239"/>
      <c r="AH186" s="238"/>
      <c r="AI186" s="238"/>
      <c r="AJ186" s="234"/>
      <c r="AK186" s="234"/>
      <c r="AL186" s="234"/>
      <c r="AM186" s="234"/>
      <c r="AN186" s="234"/>
      <c r="AO186" s="234"/>
    </row>
    <row r="187" ht="15.75" customHeight="1">
      <c r="A187" s="91"/>
      <c r="B187" s="91"/>
      <c r="C187" s="220"/>
      <c r="D187" s="91"/>
      <c r="E187" s="221"/>
      <c r="F187" s="91"/>
      <c r="G187" s="91"/>
      <c r="H187" s="242"/>
      <c r="I187" s="223"/>
      <c r="J187" s="57"/>
      <c r="K187" s="153"/>
      <c r="L187" s="243"/>
      <c r="M187" s="234"/>
      <c r="N187" s="235"/>
      <c r="O187" s="236"/>
      <c r="P187" s="236"/>
      <c r="Q187" s="236"/>
      <c r="R187" s="236"/>
      <c r="S187" s="236"/>
      <c r="T187" s="236"/>
      <c r="U187" s="236"/>
      <c r="V187" s="236"/>
      <c r="W187" s="244"/>
      <c r="X187" s="244"/>
      <c r="Y187" s="237"/>
      <c r="Z187" s="244"/>
      <c r="AA187" s="244"/>
      <c r="AB187" s="244"/>
      <c r="AC187" s="244"/>
      <c r="AD187" s="234"/>
      <c r="AE187" s="234"/>
      <c r="AF187" s="238"/>
      <c r="AG187" s="239"/>
      <c r="AH187" s="238"/>
      <c r="AI187" s="238"/>
      <c r="AJ187" s="234"/>
      <c r="AK187" s="234"/>
      <c r="AL187" s="234"/>
      <c r="AM187" s="234"/>
      <c r="AN187" s="234"/>
      <c r="AO187" s="234"/>
    </row>
    <row r="188" ht="15.75" customHeight="1">
      <c r="A188" s="91"/>
      <c r="B188" s="91"/>
      <c r="C188" s="220"/>
      <c r="D188" s="91"/>
      <c r="E188" s="221"/>
      <c r="F188" s="91"/>
      <c r="G188" s="91"/>
      <c r="H188" s="242"/>
      <c r="I188" s="223"/>
      <c r="J188" s="57"/>
      <c r="K188" s="153"/>
      <c r="L188" s="243"/>
      <c r="M188" s="234"/>
      <c r="N188" s="235"/>
      <c r="O188" s="236"/>
      <c r="P188" s="236"/>
      <c r="Q188" s="236"/>
      <c r="R188" s="236"/>
      <c r="S188" s="236"/>
      <c r="T188" s="236"/>
      <c r="U188" s="236"/>
      <c r="V188" s="236"/>
      <c r="W188" s="244"/>
      <c r="X188" s="244"/>
      <c r="Y188" s="237"/>
      <c r="Z188" s="244"/>
      <c r="AA188" s="244"/>
      <c r="AB188" s="244"/>
      <c r="AC188" s="244"/>
      <c r="AD188" s="234"/>
      <c r="AE188" s="234"/>
      <c r="AF188" s="238"/>
      <c r="AG188" s="239"/>
      <c r="AH188" s="238"/>
      <c r="AI188" s="238"/>
      <c r="AJ188" s="234"/>
      <c r="AK188" s="234"/>
      <c r="AL188" s="234"/>
      <c r="AM188" s="234"/>
      <c r="AN188" s="234"/>
      <c r="AO188" s="234"/>
    </row>
    <row r="189" ht="15.75" customHeight="1">
      <c r="A189" s="91"/>
      <c r="B189" s="91"/>
      <c r="C189" s="220"/>
      <c r="D189" s="91"/>
      <c r="E189" s="221"/>
      <c r="F189" s="91"/>
      <c r="G189" s="91"/>
      <c r="H189" s="242"/>
      <c r="I189" s="223"/>
      <c r="J189" s="57"/>
      <c r="K189" s="153"/>
      <c r="L189" s="243"/>
      <c r="M189" s="234"/>
      <c r="N189" s="235"/>
      <c r="O189" s="236"/>
      <c r="P189" s="236"/>
      <c r="Q189" s="236"/>
      <c r="R189" s="236"/>
      <c r="S189" s="236"/>
      <c r="T189" s="236"/>
      <c r="U189" s="236"/>
      <c r="V189" s="236"/>
      <c r="W189" s="244"/>
      <c r="X189" s="244"/>
      <c r="Y189" s="237"/>
      <c r="Z189" s="244"/>
      <c r="AA189" s="244"/>
      <c r="AB189" s="244"/>
      <c r="AC189" s="244"/>
      <c r="AD189" s="234"/>
      <c r="AE189" s="234"/>
      <c r="AF189" s="238"/>
      <c r="AG189" s="239"/>
      <c r="AH189" s="238"/>
      <c r="AI189" s="238"/>
      <c r="AJ189" s="234"/>
      <c r="AK189" s="234"/>
      <c r="AL189" s="234"/>
      <c r="AM189" s="234"/>
      <c r="AN189" s="234"/>
      <c r="AO189" s="234"/>
    </row>
    <row r="190" ht="15.75" customHeight="1">
      <c r="A190" s="91"/>
      <c r="B190" s="91"/>
      <c r="C190" s="220"/>
      <c r="D190" s="91"/>
      <c r="E190" s="221"/>
      <c r="F190" s="91"/>
      <c r="G190" s="91"/>
      <c r="H190" s="242"/>
      <c r="I190" s="223"/>
      <c r="J190" s="57"/>
      <c r="K190" s="153"/>
      <c r="L190" s="243"/>
      <c r="M190" s="234"/>
      <c r="N190" s="235"/>
      <c r="O190" s="236"/>
      <c r="P190" s="236"/>
      <c r="Q190" s="236"/>
      <c r="R190" s="236"/>
      <c r="S190" s="236"/>
      <c r="T190" s="236"/>
      <c r="U190" s="236"/>
      <c r="V190" s="236"/>
      <c r="W190" s="244"/>
      <c r="X190" s="244"/>
      <c r="Y190" s="237"/>
      <c r="Z190" s="244"/>
      <c r="AA190" s="244"/>
      <c r="AB190" s="244"/>
      <c r="AC190" s="244"/>
      <c r="AD190" s="234"/>
      <c r="AE190" s="234"/>
      <c r="AF190" s="238"/>
      <c r="AG190" s="239"/>
      <c r="AH190" s="238"/>
      <c r="AI190" s="238"/>
      <c r="AJ190" s="234"/>
      <c r="AK190" s="234"/>
      <c r="AL190" s="234"/>
      <c r="AM190" s="234"/>
      <c r="AN190" s="234"/>
      <c r="AO190" s="234"/>
    </row>
    <row r="191" ht="15.75" customHeight="1">
      <c r="A191" s="91"/>
      <c r="B191" s="91"/>
      <c r="C191" s="220"/>
      <c r="D191" s="91"/>
      <c r="E191" s="221"/>
      <c r="F191" s="91"/>
      <c r="G191" s="91"/>
      <c r="H191" s="242"/>
      <c r="I191" s="223"/>
      <c r="J191" s="57"/>
      <c r="K191" s="153"/>
      <c r="L191" s="243"/>
      <c r="M191" s="234"/>
      <c r="N191" s="235"/>
      <c r="O191" s="236"/>
      <c r="P191" s="236"/>
      <c r="Q191" s="236"/>
      <c r="R191" s="236"/>
      <c r="S191" s="236"/>
      <c r="T191" s="236"/>
      <c r="U191" s="236"/>
      <c r="V191" s="236"/>
      <c r="W191" s="244"/>
      <c r="X191" s="244"/>
      <c r="Y191" s="237"/>
      <c r="Z191" s="244"/>
      <c r="AA191" s="244"/>
      <c r="AB191" s="244"/>
      <c r="AC191" s="244"/>
      <c r="AD191" s="234"/>
      <c r="AE191" s="234"/>
      <c r="AF191" s="238"/>
      <c r="AG191" s="239"/>
      <c r="AH191" s="238"/>
      <c r="AI191" s="238"/>
      <c r="AJ191" s="234"/>
      <c r="AK191" s="234"/>
      <c r="AL191" s="234"/>
      <c r="AM191" s="234"/>
      <c r="AN191" s="234"/>
      <c r="AO191" s="234"/>
    </row>
    <row r="192" ht="15.75" customHeight="1">
      <c r="A192" s="91"/>
      <c r="B192" s="91"/>
      <c r="C192" s="220"/>
      <c r="D192" s="91"/>
      <c r="E192" s="221"/>
      <c r="F192" s="91"/>
      <c r="G192" s="91"/>
      <c r="H192" s="242"/>
      <c r="I192" s="223"/>
      <c r="J192" s="57"/>
      <c r="K192" s="153"/>
      <c r="L192" s="243"/>
      <c r="M192" s="234"/>
      <c r="N192" s="235"/>
      <c r="O192" s="236"/>
      <c r="P192" s="236"/>
      <c r="Q192" s="236"/>
      <c r="R192" s="236"/>
      <c r="S192" s="236"/>
      <c r="T192" s="236"/>
      <c r="U192" s="236"/>
      <c r="V192" s="236"/>
      <c r="W192" s="244"/>
      <c r="X192" s="244"/>
      <c r="Y192" s="237"/>
      <c r="Z192" s="244"/>
      <c r="AA192" s="244"/>
      <c r="AB192" s="244"/>
      <c r="AC192" s="244"/>
      <c r="AD192" s="234"/>
      <c r="AE192" s="234"/>
      <c r="AF192" s="238"/>
      <c r="AG192" s="239"/>
      <c r="AH192" s="238"/>
      <c r="AI192" s="238"/>
      <c r="AJ192" s="234"/>
      <c r="AK192" s="234"/>
      <c r="AL192" s="234"/>
      <c r="AM192" s="234"/>
      <c r="AN192" s="234"/>
      <c r="AO192" s="234"/>
    </row>
    <row r="193" ht="15.75" customHeight="1">
      <c r="A193" s="91"/>
      <c r="B193" s="91"/>
      <c r="C193" s="220"/>
      <c r="D193" s="91"/>
      <c r="E193" s="221"/>
      <c r="F193" s="91"/>
      <c r="G193" s="91"/>
      <c r="H193" s="242"/>
      <c r="I193" s="223"/>
      <c r="J193" s="57"/>
      <c r="K193" s="153"/>
      <c r="L193" s="243"/>
      <c r="M193" s="234"/>
      <c r="N193" s="235"/>
      <c r="O193" s="236"/>
      <c r="P193" s="236"/>
      <c r="Q193" s="236"/>
      <c r="R193" s="236"/>
      <c r="S193" s="236"/>
      <c r="T193" s="236"/>
      <c r="U193" s="236"/>
      <c r="V193" s="236"/>
      <c r="W193" s="244"/>
      <c r="X193" s="244"/>
      <c r="Y193" s="237"/>
      <c r="Z193" s="244"/>
      <c r="AA193" s="244"/>
      <c r="AB193" s="244"/>
      <c r="AC193" s="244"/>
      <c r="AD193" s="234"/>
      <c r="AE193" s="234"/>
      <c r="AF193" s="238"/>
      <c r="AG193" s="239"/>
      <c r="AH193" s="238"/>
      <c r="AI193" s="238"/>
      <c r="AJ193" s="234"/>
      <c r="AK193" s="234"/>
      <c r="AL193" s="234"/>
      <c r="AM193" s="234"/>
      <c r="AN193" s="234"/>
      <c r="AO193" s="234"/>
    </row>
    <row r="194" ht="15.75" customHeight="1">
      <c r="A194" s="91"/>
      <c r="B194" s="91"/>
      <c r="C194" s="220"/>
      <c r="D194" s="91"/>
      <c r="E194" s="221"/>
      <c r="F194" s="91"/>
      <c r="G194" s="91"/>
      <c r="H194" s="242"/>
      <c r="I194" s="223"/>
      <c r="J194" s="57"/>
      <c r="K194" s="153"/>
      <c r="L194" s="243"/>
      <c r="M194" s="234"/>
      <c r="N194" s="235"/>
      <c r="O194" s="236"/>
      <c r="P194" s="236"/>
      <c r="Q194" s="236"/>
      <c r="R194" s="236"/>
      <c r="S194" s="236"/>
      <c r="T194" s="236"/>
      <c r="U194" s="236"/>
      <c r="V194" s="236"/>
      <c r="W194" s="244"/>
      <c r="X194" s="244"/>
      <c r="Y194" s="237"/>
      <c r="Z194" s="244"/>
      <c r="AA194" s="244"/>
      <c r="AB194" s="244"/>
      <c r="AC194" s="244"/>
      <c r="AD194" s="234"/>
      <c r="AE194" s="234"/>
      <c r="AF194" s="238"/>
      <c r="AG194" s="239"/>
      <c r="AH194" s="238"/>
      <c r="AI194" s="238"/>
      <c r="AJ194" s="234"/>
      <c r="AK194" s="234"/>
      <c r="AL194" s="234"/>
      <c r="AM194" s="234"/>
      <c r="AN194" s="234"/>
      <c r="AO194" s="234"/>
    </row>
    <row r="195" ht="15.75" customHeight="1">
      <c r="A195" s="91"/>
      <c r="B195" s="91"/>
      <c r="C195" s="220"/>
      <c r="D195" s="91"/>
      <c r="E195" s="221"/>
      <c r="F195" s="91"/>
      <c r="G195" s="91"/>
      <c r="H195" s="242"/>
      <c r="I195" s="223"/>
      <c r="J195" s="57"/>
      <c r="K195" s="153"/>
      <c r="L195" s="243"/>
      <c r="M195" s="234"/>
      <c r="N195" s="235"/>
      <c r="O195" s="236"/>
      <c r="P195" s="236"/>
      <c r="Q195" s="236"/>
      <c r="R195" s="236"/>
      <c r="S195" s="236"/>
      <c r="T195" s="236"/>
      <c r="U195" s="236"/>
      <c r="V195" s="236"/>
      <c r="W195" s="244"/>
      <c r="X195" s="244"/>
      <c r="Y195" s="237"/>
      <c r="Z195" s="244"/>
      <c r="AA195" s="244"/>
      <c r="AB195" s="244"/>
      <c r="AC195" s="244"/>
      <c r="AD195" s="234"/>
      <c r="AE195" s="234"/>
      <c r="AF195" s="238"/>
      <c r="AG195" s="239"/>
      <c r="AH195" s="238"/>
      <c r="AI195" s="238"/>
      <c r="AJ195" s="234"/>
      <c r="AK195" s="234"/>
      <c r="AL195" s="234"/>
      <c r="AM195" s="234"/>
      <c r="AN195" s="234"/>
      <c r="AO195" s="234"/>
    </row>
    <row r="196" ht="15.75" customHeight="1">
      <c r="A196" s="91"/>
      <c r="B196" s="91"/>
      <c r="C196" s="220"/>
      <c r="D196" s="91"/>
      <c r="E196" s="221"/>
      <c r="F196" s="91"/>
      <c r="G196" s="91"/>
      <c r="H196" s="242"/>
      <c r="I196" s="223"/>
      <c r="J196" s="57"/>
      <c r="K196" s="153"/>
      <c r="L196" s="243"/>
      <c r="M196" s="234"/>
      <c r="N196" s="235"/>
      <c r="O196" s="236"/>
      <c r="P196" s="236"/>
      <c r="Q196" s="236"/>
      <c r="R196" s="236"/>
      <c r="S196" s="236"/>
      <c r="T196" s="236"/>
      <c r="U196" s="236"/>
      <c r="V196" s="236"/>
      <c r="W196" s="244"/>
      <c r="X196" s="244"/>
      <c r="Y196" s="237"/>
      <c r="Z196" s="244"/>
      <c r="AA196" s="244"/>
      <c r="AB196" s="244"/>
      <c r="AC196" s="244"/>
      <c r="AD196" s="234"/>
      <c r="AE196" s="234"/>
      <c r="AF196" s="238"/>
      <c r="AG196" s="239"/>
      <c r="AH196" s="238"/>
      <c r="AI196" s="238"/>
      <c r="AJ196" s="234"/>
      <c r="AK196" s="234"/>
      <c r="AL196" s="234"/>
      <c r="AM196" s="234"/>
      <c r="AN196" s="234"/>
      <c r="AO196" s="234"/>
    </row>
    <row r="197" ht="15.75" customHeight="1">
      <c r="A197" s="91"/>
      <c r="B197" s="91"/>
      <c r="C197" s="220"/>
      <c r="D197" s="91"/>
      <c r="E197" s="221"/>
      <c r="F197" s="91"/>
      <c r="G197" s="91"/>
      <c r="H197" s="242"/>
      <c r="I197" s="223"/>
      <c r="J197" s="57"/>
      <c r="K197" s="153"/>
      <c r="L197" s="243"/>
      <c r="M197" s="234"/>
      <c r="N197" s="235"/>
      <c r="O197" s="236"/>
      <c r="P197" s="236"/>
      <c r="Q197" s="236"/>
      <c r="R197" s="236"/>
      <c r="S197" s="236"/>
      <c r="T197" s="236"/>
      <c r="U197" s="236"/>
      <c r="V197" s="236"/>
      <c r="W197" s="244"/>
      <c r="X197" s="244"/>
      <c r="Y197" s="237"/>
      <c r="Z197" s="244"/>
      <c r="AA197" s="244"/>
      <c r="AB197" s="244"/>
      <c r="AC197" s="244"/>
      <c r="AD197" s="234"/>
      <c r="AE197" s="234"/>
      <c r="AF197" s="238"/>
      <c r="AG197" s="239"/>
      <c r="AH197" s="238"/>
      <c r="AI197" s="238"/>
      <c r="AJ197" s="234"/>
      <c r="AK197" s="234"/>
      <c r="AL197" s="234"/>
      <c r="AM197" s="234"/>
      <c r="AN197" s="234"/>
      <c r="AO197" s="234"/>
    </row>
    <row r="198" ht="15.75" customHeight="1">
      <c r="A198" s="91"/>
      <c r="B198" s="91"/>
      <c r="C198" s="220"/>
      <c r="D198" s="91"/>
      <c r="E198" s="221"/>
      <c r="F198" s="91"/>
      <c r="G198" s="91"/>
      <c r="H198" s="242"/>
      <c r="I198" s="223"/>
      <c r="J198" s="57"/>
      <c r="K198" s="153"/>
      <c r="L198" s="243"/>
      <c r="M198" s="234"/>
      <c r="N198" s="235"/>
      <c r="O198" s="236"/>
      <c r="P198" s="236"/>
      <c r="Q198" s="236"/>
      <c r="R198" s="236"/>
      <c r="S198" s="236"/>
      <c r="T198" s="236"/>
      <c r="U198" s="236"/>
      <c r="V198" s="236"/>
      <c r="W198" s="244"/>
      <c r="X198" s="244"/>
      <c r="Y198" s="237"/>
      <c r="Z198" s="244"/>
      <c r="AA198" s="244"/>
      <c r="AB198" s="244"/>
      <c r="AC198" s="244"/>
      <c r="AD198" s="234"/>
      <c r="AE198" s="234"/>
      <c r="AF198" s="238"/>
      <c r="AG198" s="239"/>
      <c r="AH198" s="238"/>
      <c r="AI198" s="238"/>
      <c r="AJ198" s="234"/>
      <c r="AK198" s="234"/>
      <c r="AL198" s="234"/>
      <c r="AM198" s="234"/>
      <c r="AN198" s="234"/>
      <c r="AO198" s="234"/>
    </row>
    <row r="199" ht="15.75" customHeight="1">
      <c r="A199" s="91"/>
      <c r="B199" s="91"/>
      <c r="C199" s="220"/>
      <c r="D199" s="91"/>
      <c r="E199" s="221"/>
      <c r="F199" s="91"/>
      <c r="G199" s="91"/>
      <c r="H199" s="242"/>
      <c r="I199" s="223"/>
      <c r="J199" s="57"/>
      <c r="K199" s="153"/>
      <c r="L199" s="243"/>
      <c r="M199" s="234"/>
      <c r="N199" s="235"/>
      <c r="O199" s="236"/>
      <c r="P199" s="236"/>
      <c r="Q199" s="236"/>
      <c r="R199" s="236"/>
      <c r="S199" s="236"/>
      <c r="T199" s="236"/>
      <c r="U199" s="236"/>
      <c r="V199" s="236"/>
      <c r="W199" s="244"/>
      <c r="X199" s="244"/>
      <c r="Y199" s="237"/>
      <c r="Z199" s="244"/>
      <c r="AA199" s="244"/>
      <c r="AB199" s="244"/>
      <c r="AC199" s="244"/>
      <c r="AD199" s="234"/>
      <c r="AE199" s="234"/>
      <c r="AF199" s="238"/>
      <c r="AG199" s="239"/>
      <c r="AH199" s="238"/>
      <c r="AI199" s="238"/>
      <c r="AJ199" s="234"/>
      <c r="AK199" s="234"/>
      <c r="AL199" s="234"/>
      <c r="AM199" s="234"/>
      <c r="AN199" s="234"/>
      <c r="AO199" s="234"/>
    </row>
    <row r="200" ht="15.75" customHeight="1">
      <c r="A200" s="91"/>
      <c r="B200" s="91"/>
      <c r="C200" s="220"/>
      <c r="D200" s="91"/>
      <c r="E200" s="221"/>
      <c r="F200" s="91"/>
      <c r="G200" s="91"/>
      <c r="H200" s="242"/>
      <c r="I200" s="223"/>
      <c r="J200" s="57"/>
      <c r="K200" s="153"/>
      <c r="L200" s="243"/>
      <c r="M200" s="234"/>
      <c r="N200" s="235"/>
      <c r="O200" s="236"/>
      <c r="P200" s="236"/>
      <c r="Q200" s="236"/>
      <c r="R200" s="236"/>
      <c r="S200" s="236"/>
      <c r="T200" s="236"/>
      <c r="U200" s="236"/>
      <c r="V200" s="236"/>
      <c r="W200" s="244"/>
      <c r="X200" s="244"/>
      <c r="Y200" s="237"/>
      <c r="Z200" s="244"/>
      <c r="AA200" s="244"/>
      <c r="AB200" s="244"/>
      <c r="AC200" s="244"/>
      <c r="AD200" s="234"/>
      <c r="AE200" s="234"/>
      <c r="AF200" s="238"/>
      <c r="AG200" s="239"/>
      <c r="AH200" s="238"/>
      <c r="AI200" s="238"/>
      <c r="AJ200" s="234"/>
      <c r="AK200" s="234"/>
      <c r="AL200" s="234"/>
      <c r="AM200" s="234"/>
      <c r="AN200" s="234"/>
      <c r="AO200" s="234"/>
    </row>
    <row r="201" ht="15.75" customHeight="1">
      <c r="A201" s="91"/>
      <c r="B201" s="91"/>
      <c r="C201" s="220"/>
      <c r="D201" s="91"/>
      <c r="E201" s="221"/>
      <c r="F201" s="91"/>
      <c r="G201" s="91"/>
      <c r="H201" s="242"/>
      <c r="I201" s="223"/>
      <c r="J201" s="57"/>
      <c r="K201" s="153"/>
      <c r="L201" s="243"/>
      <c r="M201" s="234"/>
      <c r="N201" s="235"/>
      <c r="O201" s="236"/>
      <c r="P201" s="236"/>
      <c r="Q201" s="236"/>
      <c r="R201" s="236"/>
      <c r="S201" s="236"/>
      <c r="T201" s="236"/>
      <c r="U201" s="236"/>
      <c r="V201" s="236"/>
      <c r="W201" s="244"/>
      <c r="X201" s="244"/>
      <c r="Y201" s="237"/>
      <c r="Z201" s="244"/>
      <c r="AA201" s="244"/>
      <c r="AB201" s="244"/>
      <c r="AC201" s="244"/>
      <c r="AD201" s="234"/>
      <c r="AE201" s="234"/>
      <c r="AF201" s="238"/>
      <c r="AG201" s="239"/>
      <c r="AH201" s="238"/>
      <c r="AI201" s="238"/>
      <c r="AJ201" s="234"/>
      <c r="AK201" s="234"/>
      <c r="AL201" s="234"/>
      <c r="AM201" s="234"/>
      <c r="AN201" s="234"/>
      <c r="AO201" s="234"/>
    </row>
    <row r="202" ht="15.75" customHeight="1">
      <c r="A202" s="91"/>
      <c r="B202" s="91"/>
      <c r="C202" s="220"/>
      <c r="D202" s="91"/>
      <c r="E202" s="221"/>
      <c r="F202" s="91"/>
      <c r="G202" s="91"/>
      <c r="H202" s="242"/>
      <c r="I202" s="223"/>
      <c r="J202" s="57"/>
      <c r="K202" s="153"/>
      <c r="L202" s="243"/>
      <c r="M202" s="234"/>
      <c r="N202" s="235"/>
      <c r="O202" s="236"/>
      <c r="P202" s="236"/>
      <c r="Q202" s="236"/>
      <c r="R202" s="236"/>
      <c r="S202" s="236"/>
      <c r="T202" s="236"/>
      <c r="U202" s="236"/>
      <c r="V202" s="236"/>
      <c r="W202" s="244"/>
      <c r="X202" s="244"/>
      <c r="Y202" s="237"/>
      <c r="Z202" s="244"/>
      <c r="AA202" s="244"/>
      <c r="AB202" s="244"/>
      <c r="AC202" s="244"/>
      <c r="AD202" s="234"/>
      <c r="AE202" s="234"/>
      <c r="AF202" s="238"/>
      <c r="AG202" s="239"/>
      <c r="AH202" s="238"/>
      <c r="AI202" s="238"/>
      <c r="AJ202" s="234"/>
      <c r="AK202" s="234"/>
      <c r="AL202" s="234"/>
      <c r="AM202" s="234"/>
      <c r="AN202" s="234"/>
      <c r="AO202" s="234"/>
    </row>
    <row r="203" ht="15.75" customHeight="1">
      <c r="A203" s="91"/>
      <c r="B203" s="91"/>
      <c r="C203" s="220"/>
      <c r="D203" s="91"/>
      <c r="E203" s="221"/>
      <c r="F203" s="91"/>
      <c r="G203" s="91"/>
      <c r="H203" s="242"/>
      <c r="I203" s="223"/>
      <c r="J203" s="57"/>
      <c r="K203" s="153"/>
      <c r="L203" s="243"/>
      <c r="M203" s="234"/>
      <c r="N203" s="235"/>
      <c r="O203" s="236"/>
      <c r="P203" s="236"/>
      <c r="Q203" s="236"/>
      <c r="R203" s="236"/>
      <c r="S203" s="236"/>
      <c r="T203" s="236"/>
      <c r="U203" s="236"/>
      <c r="V203" s="236"/>
      <c r="W203" s="244"/>
      <c r="X203" s="244"/>
      <c r="Y203" s="237"/>
      <c r="Z203" s="244"/>
      <c r="AA203" s="244"/>
      <c r="AB203" s="244"/>
      <c r="AC203" s="244"/>
      <c r="AD203" s="234"/>
      <c r="AE203" s="234"/>
      <c r="AF203" s="238"/>
      <c r="AG203" s="239"/>
      <c r="AH203" s="238"/>
      <c r="AI203" s="238"/>
      <c r="AJ203" s="234"/>
      <c r="AK203" s="234"/>
      <c r="AL203" s="234"/>
      <c r="AM203" s="234"/>
      <c r="AN203" s="234"/>
      <c r="AO203" s="234"/>
    </row>
    <row r="204" ht="15.75" customHeight="1">
      <c r="A204" s="91"/>
      <c r="B204" s="91"/>
      <c r="C204" s="220"/>
      <c r="D204" s="91"/>
      <c r="E204" s="221"/>
      <c r="F204" s="91"/>
      <c r="G204" s="91"/>
      <c r="H204" s="242"/>
      <c r="I204" s="223"/>
      <c r="J204" s="57"/>
      <c r="K204" s="153"/>
      <c r="L204" s="243"/>
      <c r="M204" s="234"/>
      <c r="N204" s="235"/>
      <c r="O204" s="236"/>
      <c r="P204" s="236"/>
      <c r="Q204" s="236"/>
      <c r="R204" s="236"/>
      <c r="S204" s="236"/>
      <c r="T204" s="236"/>
      <c r="U204" s="236"/>
      <c r="V204" s="236"/>
      <c r="W204" s="244"/>
      <c r="X204" s="244"/>
      <c r="Y204" s="237"/>
      <c r="Z204" s="244"/>
      <c r="AA204" s="244"/>
      <c r="AB204" s="244"/>
      <c r="AC204" s="244"/>
      <c r="AD204" s="234"/>
      <c r="AE204" s="234"/>
      <c r="AF204" s="238"/>
      <c r="AG204" s="239"/>
      <c r="AH204" s="238"/>
      <c r="AI204" s="238"/>
      <c r="AJ204" s="234"/>
      <c r="AK204" s="234"/>
      <c r="AL204" s="234"/>
      <c r="AM204" s="234"/>
      <c r="AN204" s="234"/>
      <c r="AO204" s="234"/>
    </row>
    <row r="205" ht="15.75" customHeight="1">
      <c r="A205" s="91"/>
      <c r="B205" s="91"/>
      <c r="C205" s="220"/>
      <c r="D205" s="91"/>
      <c r="E205" s="221"/>
      <c r="F205" s="91"/>
      <c r="G205" s="91"/>
      <c r="H205" s="242"/>
      <c r="I205" s="223"/>
      <c r="J205" s="57"/>
      <c r="K205" s="153"/>
      <c r="L205" s="243"/>
      <c r="M205" s="234"/>
      <c r="N205" s="235"/>
      <c r="O205" s="236"/>
      <c r="P205" s="236"/>
      <c r="Q205" s="236"/>
      <c r="R205" s="236"/>
      <c r="S205" s="236"/>
      <c r="T205" s="236"/>
      <c r="U205" s="236"/>
      <c r="V205" s="236"/>
      <c r="W205" s="244"/>
      <c r="X205" s="244"/>
      <c r="Y205" s="237"/>
      <c r="Z205" s="244"/>
      <c r="AA205" s="244"/>
      <c r="AB205" s="244"/>
      <c r="AC205" s="244"/>
      <c r="AD205" s="234"/>
      <c r="AE205" s="234"/>
      <c r="AF205" s="238"/>
      <c r="AG205" s="239"/>
      <c r="AH205" s="238"/>
      <c r="AI205" s="238"/>
      <c r="AJ205" s="234"/>
      <c r="AK205" s="234"/>
      <c r="AL205" s="234"/>
      <c r="AM205" s="234"/>
      <c r="AN205" s="234"/>
      <c r="AO205" s="234"/>
    </row>
    <row r="206" ht="15.75" customHeight="1">
      <c r="A206" s="91"/>
      <c r="B206" s="91"/>
      <c r="C206" s="220"/>
      <c r="D206" s="91"/>
      <c r="E206" s="221"/>
      <c r="F206" s="91"/>
      <c r="G206" s="91"/>
      <c r="H206" s="242"/>
      <c r="I206" s="223"/>
      <c r="J206" s="57"/>
      <c r="K206" s="153"/>
      <c r="L206" s="243"/>
      <c r="M206" s="234"/>
      <c r="N206" s="235"/>
      <c r="O206" s="236"/>
      <c r="P206" s="236"/>
      <c r="Q206" s="236"/>
      <c r="R206" s="236"/>
      <c r="S206" s="236"/>
      <c r="T206" s="236"/>
      <c r="U206" s="236"/>
      <c r="V206" s="236"/>
      <c r="W206" s="244"/>
      <c r="X206" s="244"/>
      <c r="Y206" s="237"/>
      <c r="Z206" s="244"/>
      <c r="AA206" s="244"/>
      <c r="AB206" s="244"/>
      <c r="AC206" s="244"/>
      <c r="AD206" s="234"/>
      <c r="AE206" s="234"/>
      <c r="AF206" s="238"/>
      <c r="AG206" s="239"/>
      <c r="AH206" s="238"/>
      <c r="AI206" s="238"/>
      <c r="AJ206" s="234"/>
      <c r="AK206" s="234"/>
      <c r="AL206" s="234"/>
      <c r="AM206" s="234"/>
      <c r="AN206" s="234"/>
      <c r="AO206" s="234"/>
    </row>
    <row r="207" ht="15.75" customHeight="1">
      <c r="A207" s="91"/>
      <c r="B207" s="91"/>
      <c r="C207" s="220"/>
      <c r="D207" s="91"/>
      <c r="E207" s="221"/>
      <c r="F207" s="91"/>
      <c r="G207" s="91"/>
      <c r="H207" s="242"/>
      <c r="I207" s="223"/>
      <c r="J207" s="57"/>
      <c r="K207" s="153"/>
      <c r="L207" s="243"/>
      <c r="M207" s="234"/>
      <c r="N207" s="235"/>
      <c r="O207" s="236"/>
      <c r="P207" s="236"/>
      <c r="Q207" s="236"/>
      <c r="R207" s="236"/>
      <c r="S207" s="236"/>
      <c r="T207" s="236"/>
      <c r="U207" s="236"/>
      <c r="V207" s="236"/>
      <c r="W207" s="244"/>
      <c r="X207" s="244"/>
      <c r="Y207" s="237"/>
      <c r="Z207" s="244"/>
      <c r="AA207" s="244"/>
      <c r="AB207" s="244"/>
      <c r="AC207" s="244"/>
      <c r="AD207" s="234"/>
      <c r="AE207" s="234"/>
      <c r="AF207" s="238"/>
      <c r="AG207" s="239"/>
      <c r="AH207" s="238"/>
      <c r="AI207" s="238"/>
      <c r="AJ207" s="234"/>
      <c r="AK207" s="234"/>
      <c r="AL207" s="234"/>
      <c r="AM207" s="234"/>
      <c r="AN207" s="234"/>
      <c r="AO207" s="234"/>
    </row>
    <row r="208" ht="15.75" customHeight="1">
      <c r="A208" s="91"/>
      <c r="B208" s="91"/>
      <c r="C208" s="220"/>
      <c r="D208" s="91"/>
      <c r="E208" s="221"/>
      <c r="F208" s="91"/>
      <c r="G208" s="91"/>
      <c r="H208" s="242"/>
      <c r="I208" s="223"/>
      <c r="J208" s="57"/>
      <c r="K208" s="153"/>
      <c r="L208" s="243"/>
      <c r="M208" s="234"/>
      <c r="N208" s="235"/>
      <c r="O208" s="236"/>
      <c r="P208" s="236"/>
      <c r="Q208" s="236"/>
      <c r="R208" s="236"/>
      <c r="S208" s="236"/>
      <c r="T208" s="236"/>
      <c r="U208" s="236"/>
      <c r="V208" s="236"/>
      <c r="W208" s="244"/>
      <c r="X208" s="244"/>
      <c r="Y208" s="237"/>
      <c r="Z208" s="244"/>
      <c r="AA208" s="244"/>
      <c r="AB208" s="244"/>
      <c r="AC208" s="244"/>
      <c r="AD208" s="234"/>
      <c r="AE208" s="234"/>
      <c r="AF208" s="238"/>
      <c r="AG208" s="239"/>
      <c r="AH208" s="238"/>
      <c r="AI208" s="238"/>
      <c r="AJ208" s="234"/>
      <c r="AK208" s="234"/>
      <c r="AL208" s="234"/>
      <c r="AM208" s="234"/>
      <c r="AN208" s="234"/>
      <c r="AO208" s="234"/>
    </row>
    <row r="209" ht="15.75" customHeight="1">
      <c r="A209" s="91"/>
      <c r="B209" s="91"/>
      <c r="C209" s="220"/>
      <c r="D209" s="91"/>
      <c r="E209" s="221"/>
      <c r="F209" s="91"/>
      <c r="G209" s="91"/>
      <c r="H209" s="242"/>
      <c r="I209" s="223"/>
      <c r="J209" s="57"/>
      <c r="K209" s="153"/>
      <c r="L209" s="243"/>
      <c r="M209" s="234"/>
      <c r="N209" s="235"/>
      <c r="O209" s="236"/>
      <c r="P209" s="236"/>
      <c r="Q209" s="236"/>
      <c r="R209" s="236"/>
      <c r="S209" s="236"/>
      <c r="T209" s="236"/>
      <c r="U209" s="236"/>
      <c r="V209" s="236"/>
      <c r="W209" s="244"/>
      <c r="X209" s="244"/>
      <c r="Y209" s="237"/>
      <c r="Z209" s="244"/>
      <c r="AA209" s="244"/>
      <c r="AB209" s="244"/>
      <c r="AC209" s="244"/>
      <c r="AD209" s="234"/>
      <c r="AE209" s="234"/>
      <c r="AF209" s="238"/>
      <c r="AG209" s="239"/>
      <c r="AH209" s="238"/>
      <c r="AI209" s="238"/>
      <c r="AJ209" s="234"/>
      <c r="AK209" s="234"/>
      <c r="AL209" s="234"/>
      <c r="AM209" s="234"/>
      <c r="AN209" s="234"/>
      <c r="AO209" s="234"/>
    </row>
    <row r="210" ht="15.75" customHeight="1">
      <c r="A210" s="91"/>
      <c r="B210" s="91"/>
      <c r="C210" s="220"/>
      <c r="D210" s="91"/>
      <c r="E210" s="221"/>
      <c r="F210" s="91"/>
      <c r="G210" s="91"/>
      <c r="H210" s="242"/>
      <c r="I210" s="223"/>
      <c r="J210" s="57"/>
      <c r="K210" s="153"/>
      <c r="L210" s="243"/>
      <c r="M210" s="234"/>
      <c r="N210" s="235"/>
      <c r="O210" s="236"/>
      <c r="P210" s="236"/>
      <c r="Q210" s="236"/>
      <c r="R210" s="236"/>
      <c r="S210" s="236"/>
      <c r="T210" s="236"/>
      <c r="U210" s="236"/>
      <c r="V210" s="236"/>
      <c r="W210" s="244"/>
      <c r="X210" s="244"/>
      <c r="Y210" s="237"/>
      <c r="Z210" s="244"/>
      <c r="AA210" s="244"/>
      <c r="AB210" s="244"/>
      <c r="AC210" s="244"/>
      <c r="AD210" s="234"/>
      <c r="AE210" s="234"/>
      <c r="AF210" s="238"/>
      <c r="AG210" s="239"/>
      <c r="AH210" s="238"/>
      <c r="AI210" s="238"/>
      <c r="AJ210" s="234"/>
      <c r="AK210" s="234"/>
      <c r="AL210" s="234"/>
      <c r="AM210" s="234"/>
      <c r="AN210" s="234"/>
      <c r="AO210" s="234"/>
    </row>
    <row r="211" ht="15.75" customHeight="1">
      <c r="A211" s="91"/>
      <c r="B211" s="91"/>
      <c r="C211" s="220"/>
      <c r="D211" s="91"/>
      <c r="E211" s="221"/>
      <c r="F211" s="91"/>
      <c r="G211" s="91"/>
      <c r="H211" s="242"/>
      <c r="I211" s="223"/>
      <c r="J211" s="57"/>
      <c r="K211" s="153"/>
      <c r="L211" s="243"/>
      <c r="M211" s="234"/>
      <c r="N211" s="235"/>
      <c r="O211" s="236"/>
      <c r="P211" s="236"/>
      <c r="Q211" s="236"/>
      <c r="R211" s="236"/>
      <c r="S211" s="236"/>
      <c r="T211" s="236"/>
      <c r="U211" s="236"/>
      <c r="V211" s="236"/>
      <c r="W211" s="244"/>
      <c r="X211" s="244"/>
      <c r="Y211" s="237"/>
      <c r="Z211" s="244"/>
      <c r="AA211" s="244"/>
      <c r="AB211" s="244"/>
      <c r="AC211" s="244"/>
      <c r="AD211" s="234"/>
      <c r="AE211" s="234"/>
      <c r="AF211" s="238"/>
      <c r="AG211" s="239"/>
      <c r="AH211" s="238"/>
      <c r="AI211" s="238"/>
      <c r="AJ211" s="234"/>
      <c r="AK211" s="234"/>
      <c r="AL211" s="234"/>
      <c r="AM211" s="234"/>
      <c r="AN211" s="234"/>
      <c r="AO211" s="234"/>
    </row>
    <row r="212" ht="15.75" customHeight="1">
      <c r="A212" s="91"/>
      <c r="B212" s="91"/>
      <c r="C212" s="220"/>
      <c r="D212" s="91"/>
      <c r="E212" s="221"/>
      <c r="F212" s="91"/>
      <c r="G212" s="91"/>
      <c r="H212" s="242"/>
      <c r="I212" s="223"/>
      <c r="J212" s="57"/>
      <c r="K212" s="153"/>
      <c r="L212" s="243"/>
      <c r="M212" s="234"/>
      <c r="N212" s="235"/>
      <c r="O212" s="236"/>
      <c r="P212" s="236"/>
      <c r="Q212" s="236"/>
      <c r="R212" s="236"/>
      <c r="S212" s="236"/>
      <c r="T212" s="236"/>
      <c r="U212" s="236"/>
      <c r="V212" s="236"/>
      <c r="W212" s="244"/>
      <c r="X212" s="244"/>
      <c r="Y212" s="237"/>
      <c r="Z212" s="244"/>
      <c r="AA212" s="244"/>
      <c r="AB212" s="244"/>
      <c r="AC212" s="244"/>
      <c r="AD212" s="234"/>
      <c r="AE212" s="234"/>
      <c r="AF212" s="238"/>
      <c r="AG212" s="239"/>
      <c r="AH212" s="238"/>
      <c r="AI212" s="238"/>
      <c r="AJ212" s="234"/>
      <c r="AK212" s="234"/>
      <c r="AL212" s="234"/>
      <c r="AM212" s="234"/>
      <c r="AN212" s="234"/>
      <c r="AO212" s="234"/>
    </row>
    <row r="213" ht="15.75" customHeight="1">
      <c r="A213" s="91"/>
      <c r="B213" s="91"/>
      <c r="C213" s="220"/>
      <c r="D213" s="91"/>
      <c r="E213" s="221"/>
      <c r="F213" s="91"/>
      <c r="G213" s="91"/>
      <c r="H213" s="242"/>
      <c r="I213" s="223"/>
      <c r="J213" s="57"/>
      <c r="K213" s="153"/>
      <c r="L213" s="243"/>
      <c r="M213" s="234"/>
      <c r="N213" s="235"/>
      <c r="O213" s="236"/>
      <c r="P213" s="236"/>
      <c r="Q213" s="236"/>
      <c r="R213" s="236"/>
      <c r="S213" s="236"/>
      <c r="T213" s="236"/>
      <c r="U213" s="236"/>
      <c r="V213" s="236"/>
      <c r="W213" s="244"/>
      <c r="X213" s="244"/>
      <c r="Y213" s="237"/>
      <c r="Z213" s="244"/>
      <c r="AA213" s="244"/>
      <c r="AB213" s="244"/>
      <c r="AC213" s="244"/>
      <c r="AD213" s="234"/>
      <c r="AE213" s="234"/>
      <c r="AF213" s="238"/>
      <c r="AG213" s="239"/>
      <c r="AH213" s="238"/>
      <c r="AI213" s="238"/>
      <c r="AJ213" s="234"/>
      <c r="AK213" s="234"/>
      <c r="AL213" s="234"/>
      <c r="AM213" s="234"/>
      <c r="AN213" s="234"/>
      <c r="AO213" s="234"/>
    </row>
    <row r="214" ht="15.75" customHeight="1">
      <c r="A214" s="91"/>
      <c r="B214" s="91"/>
      <c r="C214" s="220"/>
      <c r="D214" s="91"/>
      <c r="E214" s="221"/>
      <c r="F214" s="91"/>
      <c r="G214" s="91"/>
      <c r="H214" s="242"/>
      <c r="I214" s="223"/>
      <c r="J214" s="57"/>
      <c r="K214" s="153"/>
      <c r="L214" s="243"/>
      <c r="M214" s="234"/>
      <c r="N214" s="235"/>
      <c r="O214" s="236"/>
      <c r="P214" s="236"/>
      <c r="Q214" s="236"/>
      <c r="R214" s="236"/>
      <c r="S214" s="236"/>
      <c r="T214" s="236"/>
      <c r="U214" s="236"/>
      <c r="V214" s="236"/>
      <c r="W214" s="244"/>
      <c r="X214" s="244"/>
      <c r="Y214" s="237"/>
      <c r="Z214" s="244"/>
      <c r="AA214" s="244"/>
      <c r="AB214" s="244"/>
      <c r="AC214" s="244"/>
      <c r="AD214" s="234"/>
      <c r="AE214" s="234"/>
      <c r="AF214" s="238"/>
      <c r="AG214" s="239"/>
      <c r="AH214" s="238"/>
      <c r="AI214" s="238"/>
      <c r="AJ214" s="234"/>
      <c r="AK214" s="234"/>
      <c r="AL214" s="234"/>
      <c r="AM214" s="234"/>
      <c r="AN214" s="234"/>
      <c r="AO214" s="234"/>
    </row>
    <row r="215" ht="15.75" customHeight="1">
      <c r="A215" s="91"/>
      <c r="B215" s="91"/>
      <c r="C215" s="220"/>
      <c r="D215" s="91"/>
      <c r="E215" s="221"/>
      <c r="F215" s="91"/>
      <c r="G215" s="91"/>
      <c r="H215" s="242"/>
      <c r="I215" s="223"/>
      <c r="J215" s="57"/>
      <c r="K215" s="153"/>
      <c r="L215" s="243"/>
      <c r="M215" s="234"/>
      <c r="N215" s="235"/>
      <c r="O215" s="236"/>
      <c r="P215" s="236"/>
      <c r="Q215" s="236"/>
      <c r="R215" s="236"/>
      <c r="S215" s="236"/>
      <c r="T215" s="236"/>
      <c r="U215" s="236"/>
      <c r="V215" s="236"/>
      <c r="W215" s="244"/>
      <c r="X215" s="244"/>
      <c r="Y215" s="237"/>
      <c r="Z215" s="244"/>
      <c r="AA215" s="244"/>
      <c r="AB215" s="244"/>
      <c r="AC215" s="244"/>
      <c r="AD215" s="234"/>
      <c r="AE215" s="234"/>
      <c r="AF215" s="238"/>
      <c r="AG215" s="239"/>
      <c r="AH215" s="238"/>
      <c r="AI215" s="238"/>
      <c r="AJ215" s="234"/>
      <c r="AK215" s="234"/>
      <c r="AL215" s="234"/>
      <c r="AM215" s="234"/>
      <c r="AN215" s="234"/>
      <c r="AO215" s="234"/>
    </row>
    <row r="216" ht="15.75" customHeight="1">
      <c r="A216" s="91"/>
      <c r="B216" s="91"/>
      <c r="C216" s="220"/>
      <c r="D216" s="91"/>
      <c r="E216" s="221"/>
      <c r="F216" s="91"/>
      <c r="G216" s="91"/>
      <c r="H216" s="242"/>
      <c r="I216" s="223"/>
      <c r="J216" s="57"/>
      <c r="K216" s="153"/>
      <c r="L216" s="243"/>
      <c r="M216" s="234"/>
      <c r="N216" s="235"/>
      <c r="O216" s="236"/>
      <c r="P216" s="236"/>
      <c r="Q216" s="236"/>
      <c r="R216" s="236"/>
      <c r="S216" s="236"/>
      <c r="T216" s="236"/>
      <c r="U216" s="236"/>
      <c r="V216" s="236"/>
      <c r="W216" s="244"/>
      <c r="X216" s="244"/>
      <c r="Y216" s="237"/>
      <c r="Z216" s="244"/>
      <c r="AA216" s="244"/>
      <c r="AB216" s="244"/>
      <c r="AC216" s="244"/>
      <c r="AD216" s="234"/>
      <c r="AE216" s="234"/>
      <c r="AF216" s="238"/>
      <c r="AG216" s="239"/>
      <c r="AH216" s="238"/>
      <c r="AI216" s="238"/>
      <c r="AJ216" s="234"/>
      <c r="AK216" s="234"/>
      <c r="AL216" s="234"/>
      <c r="AM216" s="234"/>
      <c r="AN216" s="234"/>
      <c r="AO216" s="234"/>
    </row>
    <row r="217" ht="15.75" customHeight="1">
      <c r="A217" s="91"/>
      <c r="B217" s="91"/>
      <c r="C217" s="220"/>
      <c r="D217" s="91"/>
      <c r="E217" s="221"/>
      <c r="F217" s="91"/>
      <c r="G217" s="91"/>
      <c r="H217" s="242"/>
      <c r="I217" s="223"/>
      <c r="J217" s="57"/>
      <c r="K217" s="153"/>
      <c r="L217" s="243"/>
      <c r="M217" s="234"/>
      <c r="N217" s="235"/>
      <c r="O217" s="236"/>
      <c r="P217" s="236"/>
      <c r="Q217" s="236"/>
      <c r="R217" s="236"/>
      <c r="S217" s="236"/>
      <c r="T217" s="236"/>
      <c r="U217" s="236"/>
      <c r="V217" s="236"/>
      <c r="W217" s="244"/>
      <c r="X217" s="244"/>
      <c r="Y217" s="237"/>
      <c r="Z217" s="244"/>
      <c r="AA217" s="244"/>
      <c r="AB217" s="244"/>
      <c r="AC217" s="244"/>
      <c r="AD217" s="234"/>
      <c r="AE217" s="234"/>
      <c r="AF217" s="238"/>
      <c r="AG217" s="239"/>
      <c r="AH217" s="238"/>
      <c r="AI217" s="238"/>
      <c r="AJ217" s="234"/>
      <c r="AK217" s="234"/>
      <c r="AL217" s="234"/>
      <c r="AM217" s="234"/>
      <c r="AN217" s="234"/>
      <c r="AO217" s="234"/>
    </row>
    <row r="218" ht="15.75" customHeight="1">
      <c r="A218" s="91"/>
      <c r="B218" s="91"/>
      <c r="C218" s="220"/>
      <c r="D218" s="91"/>
      <c r="E218" s="221"/>
      <c r="F218" s="91"/>
      <c r="G218" s="91"/>
      <c r="H218" s="242"/>
      <c r="I218" s="223"/>
      <c r="J218" s="57"/>
      <c r="K218" s="153"/>
      <c r="L218" s="243"/>
      <c r="M218" s="234"/>
      <c r="N218" s="235"/>
      <c r="O218" s="236"/>
      <c r="P218" s="236"/>
      <c r="Q218" s="236"/>
      <c r="R218" s="236"/>
      <c r="S218" s="236"/>
      <c r="T218" s="236"/>
      <c r="U218" s="236"/>
      <c r="V218" s="236"/>
      <c r="W218" s="244"/>
      <c r="X218" s="244"/>
      <c r="Y218" s="237"/>
      <c r="Z218" s="244"/>
      <c r="AA218" s="244"/>
      <c r="AB218" s="244"/>
      <c r="AC218" s="244"/>
      <c r="AD218" s="234"/>
      <c r="AE218" s="234"/>
      <c r="AF218" s="238"/>
      <c r="AG218" s="239"/>
      <c r="AH218" s="238"/>
      <c r="AI218" s="238"/>
      <c r="AJ218" s="234"/>
      <c r="AK218" s="234"/>
      <c r="AL218" s="234"/>
      <c r="AM218" s="234"/>
      <c r="AN218" s="234"/>
      <c r="AO218" s="234"/>
    </row>
    <row r="219" ht="15.75" customHeight="1">
      <c r="A219" s="91"/>
      <c r="B219" s="91"/>
      <c r="C219" s="220"/>
      <c r="D219" s="91"/>
      <c r="E219" s="221"/>
      <c r="F219" s="91"/>
      <c r="G219" s="91"/>
      <c r="H219" s="242"/>
      <c r="I219" s="223"/>
      <c r="J219" s="57"/>
      <c r="K219" s="153"/>
      <c r="L219" s="243"/>
      <c r="M219" s="234"/>
      <c r="N219" s="235"/>
      <c r="O219" s="236"/>
      <c r="P219" s="236"/>
      <c r="Q219" s="236"/>
      <c r="R219" s="236"/>
      <c r="S219" s="236"/>
      <c r="T219" s="236"/>
      <c r="U219" s="236"/>
      <c r="V219" s="236"/>
      <c r="W219" s="244"/>
      <c r="X219" s="244"/>
      <c r="Y219" s="237"/>
      <c r="Z219" s="244"/>
      <c r="AA219" s="244"/>
      <c r="AB219" s="244"/>
      <c r="AC219" s="244"/>
      <c r="AD219" s="234"/>
      <c r="AE219" s="234"/>
      <c r="AF219" s="238"/>
      <c r="AG219" s="239"/>
      <c r="AH219" s="238"/>
      <c r="AI219" s="238"/>
      <c r="AJ219" s="234"/>
      <c r="AK219" s="234"/>
      <c r="AL219" s="234"/>
      <c r="AM219" s="234"/>
      <c r="AN219" s="234"/>
      <c r="AO219" s="234"/>
    </row>
    <row r="220" ht="15.75" customHeight="1">
      <c r="A220" s="91"/>
      <c r="C220" s="220"/>
      <c r="D220" s="91"/>
      <c r="E220" s="221"/>
      <c r="F220" s="91"/>
      <c r="G220" s="91"/>
      <c r="H220" s="242"/>
      <c r="I220" s="223"/>
      <c r="J220" s="57"/>
      <c r="K220" s="153"/>
      <c r="L220" s="243"/>
      <c r="M220" s="234"/>
      <c r="N220" s="235"/>
      <c r="O220" s="236"/>
      <c r="P220" s="236"/>
      <c r="Q220" s="236"/>
      <c r="R220" s="236"/>
      <c r="S220" s="236"/>
      <c r="T220" s="236"/>
      <c r="U220" s="236"/>
      <c r="V220" s="236"/>
      <c r="W220" s="244"/>
      <c r="X220" s="244"/>
      <c r="Y220" s="237"/>
      <c r="Z220" s="244"/>
      <c r="AA220" s="244"/>
      <c r="AB220" s="244"/>
      <c r="AC220" s="244"/>
      <c r="AD220" s="234"/>
      <c r="AE220" s="234"/>
      <c r="AF220" s="238"/>
      <c r="AG220" s="239"/>
      <c r="AH220" s="238"/>
      <c r="AI220" s="238"/>
      <c r="AJ220" s="234"/>
      <c r="AK220" s="234"/>
      <c r="AL220" s="234"/>
      <c r="AM220" s="234"/>
      <c r="AN220" s="234"/>
      <c r="AO220" s="234"/>
    </row>
    <row r="221" ht="15.75" customHeight="1">
      <c r="A221" s="91"/>
      <c r="B221" s="91"/>
      <c r="C221" s="220"/>
      <c r="D221" s="91"/>
      <c r="E221" s="221"/>
      <c r="F221" s="91"/>
      <c r="G221" s="91"/>
      <c r="H221" s="242"/>
      <c r="I221" s="223"/>
      <c r="J221" s="57"/>
      <c r="K221" s="153"/>
      <c r="L221" s="243"/>
      <c r="M221" s="234"/>
      <c r="N221" s="235"/>
      <c r="O221" s="236"/>
      <c r="P221" s="236"/>
      <c r="Q221" s="236"/>
      <c r="R221" s="236"/>
      <c r="S221" s="236"/>
      <c r="T221" s="236"/>
      <c r="U221" s="236"/>
      <c r="V221" s="236"/>
      <c r="W221" s="244"/>
      <c r="X221" s="244"/>
      <c r="Y221" s="237"/>
      <c r="Z221" s="244"/>
      <c r="AA221" s="244"/>
      <c r="AB221" s="244"/>
      <c r="AC221" s="244"/>
      <c r="AD221" s="234"/>
      <c r="AE221" s="234"/>
      <c r="AF221" s="238"/>
      <c r="AG221" s="239"/>
      <c r="AH221" s="238"/>
      <c r="AI221" s="238"/>
      <c r="AJ221" s="234"/>
      <c r="AK221" s="234"/>
      <c r="AL221" s="234"/>
      <c r="AM221" s="234"/>
      <c r="AN221" s="234"/>
      <c r="AO221" s="234"/>
    </row>
    <row r="222" ht="15.75" customHeight="1">
      <c r="A222" s="91"/>
      <c r="B222" s="91"/>
      <c r="C222" s="220"/>
      <c r="D222" s="91"/>
      <c r="E222" s="221"/>
      <c r="F222" s="91"/>
      <c r="G222" s="91"/>
      <c r="H222" s="242"/>
      <c r="I222" s="223"/>
      <c r="J222" s="57"/>
      <c r="K222" s="153"/>
      <c r="L222" s="243"/>
      <c r="M222" s="234"/>
      <c r="N222" s="235"/>
      <c r="O222" s="236"/>
      <c r="P222" s="236"/>
      <c r="Q222" s="236"/>
      <c r="R222" s="236"/>
      <c r="S222" s="236"/>
      <c r="T222" s="236"/>
      <c r="U222" s="236"/>
      <c r="V222" s="236"/>
      <c r="W222" s="244"/>
      <c r="X222" s="244"/>
      <c r="Y222" s="237"/>
      <c r="Z222" s="244"/>
      <c r="AA222" s="244"/>
      <c r="AB222" s="244"/>
      <c r="AC222" s="244"/>
      <c r="AD222" s="234"/>
      <c r="AE222" s="234"/>
      <c r="AF222" s="238"/>
      <c r="AG222" s="239"/>
      <c r="AH222" s="238"/>
      <c r="AI222" s="238"/>
      <c r="AJ222" s="234"/>
      <c r="AK222" s="234"/>
      <c r="AL222" s="234"/>
      <c r="AM222" s="234"/>
      <c r="AN222" s="234"/>
      <c r="AO222" s="234"/>
    </row>
    <row r="223" ht="15.75" customHeight="1">
      <c r="A223" s="91"/>
      <c r="B223" s="91"/>
      <c r="C223" s="220"/>
      <c r="D223" s="91"/>
      <c r="E223" s="221"/>
      <c r="F223" s="91"/>
      <c r="G223" s="91"/>
      <c r="H223" s="242"/>
      <c r="I223" s="223"/>
      <c r="J223" s="57"/>
      <c r="K223" s="153"/>
      <c r="L223" s="243"/>
      <c r="M223" s="234"/>
      <c r="N223" s="235"/>
      <c r="O223" s="236"/>
      <c r="P223" s="236"/>
      <c r="Q223" s="236"/>
      <c r="R223" s="236"/>
      <c r="S223" s="236"/>
      <c r="T223" s="236"/>
      <c r="U223" s="236"/>
      <c r="V223" s="236"/>
      <c r="W223" s="244"/>
      <c r="X223" s="244"/>
      <c r="Y223" s="237"/>
      <c r="Z223" s="244"/>
      <c r="AA223" s="244"/>
      <c r="AB223" s="244"/>
      <c r="AC223" s="244"/>
      <c r="AD223" s="234"/>
      <c r="AE223" s="234"/>
      <c r="AF223" s="238"/>
      <c r="AG223" s="239"/>
      <c r="AH223" s="238"/>
      <c r="AI223" s="238"/>
      <c r="AJ223" s="234"/>
      <c r="AK223" s="234"/>
      <c r="AL223" s="234"/>
      <c r="AM223" s="234"/>
      <c r="AN223" s="234"/>
      <c r="AO223" s="234"/>
    </row>
    <row r="224" ht="15.75" customHeight="1">
      <c r="A224" s="91"/>
      <c r="B224" s="91"/>
      <c r="C224" s="220"/>
      <c r="D224" s="91"/>
      <c r="E224" s="221"/>
      <c r="F224" s="91"/>
      <c r="G224" s="91"/>
      <c r="H224" s="242"/>
      <c r="I224" s="223"/>
      <c r="J224" s="57"/>
      <c r="K224" s="153"/>
      <c r="L224" s="243"/>
      <c r="M224" s="234"/>
      <c r="N224" s="235"/>
      <c r="O224" s="236"/>
      <c r="P224" s="236"/>
      <c r="Q224" s="236"/>
      <c r="R224" s="236"/>
      <c r="S224" s="236"/>
      <c r="T224" s="236"/>
      <c r="U224" s="236"/>
      <c r="V224" s="236"/>
      <c r="W224" s="244"/>
      <c r="X224" s="244"/>
      <c r="Y224" s="237"/>
      <c r="Z224" s="244"/>
      <c r="AA224" s="244"/>
      <c r="AB224" s="244"/>
      <c r="AC224" s="244"/>
      <c r="AD224" s="234"/>
      <c r="AE224" s="234"/>
      <c r="AF224" s="238"/>
      <c r="AG224" s="239"/>
      <c r="AH224" s="238"/>
      <c r="AI224" s="238"/>
      <c r="AJ224" s="234"/>
      <c r="AK224" s="234"/>
      <c r="AL224" s="234"/>
      <c r="AM224" s="234"/>
      <c r="AN224" s="234"/>
      <c r="AO224" s="234"/>
    </row>
    <row r="225" ht="15.75" customHeight="1">
      <c r="A225" s="91"/>
      <c r="B225" s="91"/>
      <c r="C225" s="220"/>
      <c r="D225" s="91"/>
      <c r="E225" s="221"/>
      <c r="F225" s="91"/>
      <c r="G225" s="91"/>
      <c r="H225" s="242"/>
      <c r="I225" s="223"/>
      <c r="J225" s="57"/>
      <c r="K225" s="153"/>
      <c r="L225" s="243"/>
      <c r="M225" s="234"/>
      <c r="N225" s="235"/>
      <c r="O225" s="236"/>
      <c r="P225" s="236"/>
      <c r="Q225" s="236"/>
      <c r="R225" s="236"/>
      <c r="S225" s="236"/>
      <c r="T225" s="236"/>
      <c r="U225" s="236"/>
      <c r="V225" s="236"/>
      <c r="W225" s="244"/>
      <c r="X225" s="244"/>
      <c r="Y225" s="237"/>
      <c r="Z225" s="244"/>
      <c r="AA225" s="244"/>
      <c r="AB225" s="244"/>
      <c r="AC225" s="244"/>
      <c r="AD225" s="234"/>
      <c r="AE225" s="234"/>
      <c r="AF225" s="238"/>
      <c r="AG225" s="239"/>
      <c r="AH225" s="238"/>
      <c r="AI225" s="238"/>
      <c r="AJ225" s="234"/>
      <c r="AK225" s="234"/>
      <c r="AL225" s="234"/>
      <c r="AM225" s="234"/>
      <c r="AN225" s="234"/>
      <c r="AO225" s="234"/>
    </row>
    <row r="226" ht="15.75" customHeight="1">
      <c r="A226" s="91"/>
      <c r="B226" s="91"/>
      <c r="C226" s="220"/>
      <c r="D226" s="91"/>
      <c r="E226" s="221"/>
      <c r="F226" s="91"/>
      <c r="G226" s="91"/>
      <c r="H226" s="242"/>
      <c r="I226" s="223"/>
      <c r="J226" s="57"/>
      <c r="K226" s="153"/>
      <c r="L226" s="243"/>
      <c r="M226" s="234"/>
      <c r="N226" s="235"/>
      <c r="O226" s="236"/>
      <c r="P226" s="236"/>
      <c r="Q226" s="236"/>
      <c r="R226" s="236"/>
      <c r="S226" s="236"/>
      <c r="T226" s="236"/>
      <c r="U226" s="236"/>
      <c r="V226" s="236"/>
      <c r="W226" s="244"/>
      <c r="X226" s="244"/>
      <c r="Y226" s="237"/>
      <c r="Z226" s="244"/>
      <c r="AA226" s="244"/>
      <c r="AB226" s="244"/>
      <c r="AC226" s="244"/>
      <c r="AD226" s="234"/>
      <c r="AE226" s="234"/>
      <c r="AF226" s="238"/>
      <c r="AG226" s="239"/>
      <c r="AH226" s="238"/>
      <c r="AI226" s="238"/>
      <c r="AJ226" s="234"/>
      <c r="AK226" s="234"/>
      <c r="AL226" s="234"/>
      <c r="AM226" s="234"/>
      <c r="AN226" s="234"/>
      <c r="AO226" s="234"/>
    </row>
    <row r="227" ht="15.75" customHeight="1">
      <c r="A227" s="91"/>
      <c r="B227" s="91"/>
      <c r="C227" s="220"/>
      <c r="D227" s="91"/>
      <c r="E227" s="221"/>
      <c r="F227" s="91"/>
      <c r="G227" s="91"/>
      <c r="H227" s="242"/>
      <c r="I227" s="223"/>
      <c r="J227" s="57"/>
      <c r="K227" s="153"/>
      <c r="L227" s="243"/>
      <c r="M227" s="234"/>
      <c r="N227" s="235"/>
      <c r="O227" s="236"/>
      <c r="P227" s="236"/>
      <c r="Q227" s="236"/>
      <c r="R227" s="236"/>
      <c r="S227" s="236"/>
      <c r="T227" s="236"/>
      <c r="U227" s="236"/>
      <c r="V227" s="236"/>
      <c r="W227" s="244"/>
      <c r="X227" s="244"/>
      <c r="Y227" s="237"/>
      <c r="Z227" s="244"/>
      <c r="AA227" s="244"/>
      <c r="AB227" s="244"/>
      <c r="AC227" s="244"/>
      <c r="AD227" s="234"/>
      <c r="AE227" s="234"/>
      <c r="AF227" s="238"/>
      <c r="AG227" s="239"/>
      <c r="AH227" s="238"/>
      <c r="AI227" s="238"/>
      <c r="AJ227" s="234"/>
      <c r="AK227" s="234"/>
      <c r="AL227" s="234"/>
      <c r="AM227" s="234"/>
      <c r="AN227" s="234"/>
      <c r="AO227" s="234"/>
    </row>
    <row r="228" ht="15.75" customHeight="1">
      <c r="A228" s="91"/>
      <c r="B228" s="91"/>
      <c r="C228" s="220"/>
      <c r="D228" s="91"/>
      <c r="E228" s="221"/>
      <c r="F228" s="91"/>
      <c r="G228" s="91"/>
      <c r="H228" s="242"/>
      <c r="I228" s="223"/>
      <c r="J228" s="57"/>
      <c r="K228" s="153"/>
      <c r="L228" s="243"/>
      <c r="M228" s="234"/>
      <c r="N228" s="235"/>
      <c r="O228" s="236"/>
      <c r="P228" s="236"/>
      <c r="Q228" s="236"/>
      <c r="R228" s="236"/>
      <c r="S228" s="236"/>
      <c r="T228" s="236"/>
      <c r="U228" s="236"/>
      <c r="V228" s="236"/>
      <c r="W228" s="244"/>
      <c r="X228" s="244"/>
      <c r="Y228" s="237"/>
      <c r="Z228" s="244"/>
      <c r="AA228" s="244"/>
      <c r="AB228" s="244"/>
      <c r="AC228" s="244"/>
      <c r="AD228" s="234"/>
      <c r="AE228" s="234"/>
      <c r="AF228" s="238"/>
      <c r="AG228" s="239"/>
      <c r="AH228" s="238"/>
      <c r="AI228" s="238"/>
      <c r="AJ228" s="234"/>
      <c r="AK228" s="234"/>
      <c r="AL228" s="234"/>
      <c r="AM228" s="234"/>
      <c r="AN228" s="234"/>
      <c r="AO228" s="234"/>
    </row>
    <row r="229" ht="15.75" customHeight="1">
      <c r="A229" s="91"/>
      <c r="B229" s="91"/>
      <c r="C229" s="220"/>
      <c r="D229" s="91"/>
      <c r="E229" s="221"/>
      <c r="F229" s="91"/>
      <c r="G229" s="91"/>
      <c r="H229" s="242"/>
      <c r="I229" s="223"/>
      <c r="J229" s="57"/>
      <c r="K229" s="153"/>
      <c r="L229" s="243"/>
      <c r="M229" s="234"/>
      <c r="N229" s="235"/>
      <c r="O229" s="236"/>
      <c r="P229" s="236"/>
      <c r="Q229" s="236"/>
      <c r="R229" s="236"/>
      <c r="S229" s="236"/>
      <c r="T229" s="236"/>
      <c r="U229" s="236"/>
      <c r="V229" s="236"/>
      <c r="W229" s="244"/>
      <c r="X229" s="244"/>
      <c r="Y229" s="237"/>
      <c r="Z229" s="244"/>
      <c r="AA229" s="244"/>
      <c r="AB229" s="244"/>
      <c r="AC229" s="244"/>
      <c r="AD229" s="234"/>
      <c r="AE229" s="234"/>
      <c r="AF229" s="238"/>
      <c r="AG229" s="239"/>
      <c r="AH229" s="238"/>
      <c r="AI229" s="238"/>
      <c r="AJ229" s="234"/>
      <c r="AK229" s="234"/>
      <c r="AL229" s="234"/>
      <c r="AM229" s="234"/>
      <c r="AN229" s="234"/>
      <c r="AO229" s="234"/>
    </row>
    <row r="230" ht="15.75" customHeight="1">
      <c r="A230" s="91"/>
      <c r="B230" s="91"/>
      <c r="C230" s="220"/>
      <c r="D230" s="91"/>
      <c r="E230" s="221"/>
      <c r="F230" s="91"/>
      <c r="G230" s="91"/>
      <c r="H230" s="242"/>
      <c r="I230" s="223"/>
      <c r="J230" s="57"/>
      <c r="K230" s="153"/>
      <c r="L230" s="243"/>
      <c r="M230" s="234"/>
      <c r="N230" s="235"/>
      <c r="O230" s="236"/>
      <c r="P230" s="236"/>
      <c r="Q230" s="236"/>
      <c r="R230" s="236"/>
      <c r="S230" s="236"/>
      <c r="T230" s="236"/>
      <c r="U230" s="236"/>
      <c r="V230" s="236"/>
      <c r="W230" s="244"/>
      <c r="X230" s="244"/>
      <c r="Y230" s="237"/>
      <c r="Z230" s="244"/>
      <c r="AA230" s="244"/>
      <c r="AB230" s="244"/>
      <c r="AC230" s="244"/>
      <c r="AD230" s="234"/>
      <c r="AE230" s="234"/>
      <c r="AF230" s="238"/>
      <c r="AG230" s="239"/>
      <c r="AH230" s="238"/>
      <c r="AI230" s="238"/>
      <c r="AJ230" s="234"/>
      <c r="AK230" s="234"/>
      <c r="AL230" s="234"/>
      <c r="AM230" s="234"/>
      <c r="AN230" s="234"/>
      <c r="AO230" s="234"/>
    </row>
    <row r="231" ht="15.75" customHeight="1">
      <c r="A231" s="91"/>
      <c r="B231" s="91"/>
      <c r="C231" s="220"/>
      <c r="D231" s="91"/>
      <c r="E231" s="221"/>
      <c r="F231" s="91"/>
      <c r="G231" s="91"/>
      <c r="H231" s="242"/>
      <c r="I231" s="223"/>
      <c r="J231" s="57"/>
      <c r="K231" s="153"/>
      <c r="L231" s="243"/>
      <c r="M231" s="234"/>
      <c r="N231" s="235"/>
      <c r="O231" s="236"/>
      <c r="P231" s="236"/>
      <c r="Q231" s="236"/>
      <c r="R231" s="236"/>
      <c r="S231" s="236"/>
      <c r="T231" s="236"/>
      <c r="U231" s="236"/>
      <c r="V231" s="236"/>
      <c r="W231" s="244"/>
      <c r="X231" s="244"/>
      <c r="Y231" s="237"/>
      <c r="Z231" s="244"/>
      <c r="AA231" s="244"/>
      <c r="AB231" s="244"/>
      <c r="AC231" s="244"/>
      <c r="AD231" s="234"/>
      <c r="AE231" s="234"/>
      <c r="AF231" s="238"/>
      <c r="AG231" s="239"/>
      <c r="AH231" s="238"/>
      <c r="AI231" s="238"/>
      <c r="AJ231" s="234"/>
      <c r="AK231" s="234"/>
      <c r="AL231" s="234"/>
      <c r="AM231" s="234"/>
      <c r="AN231" s="234"/>
      <c r="AO231" s="234"/>
    </row>
    <row r="232" ht="15.75" customHeight="1">
      <c r="A232" s="91"/>
      <c r="B232" s="91"/>
      <c r="C232" s="220"/>
      <c r="D232" s="91"/>
      <c r="E232" s="221"/>
      <c r="F232" s="91"/>
      <c r="G232" s="91"/>
      <c r="H232" s="242"/>
      <c r="I232" s="223"/>
      <c r="J232" s="57"/>
      <c r="K232" s="153"/>
      <c r="L232" s="243"/>
      <c r="M232" s="234"/>
      <c r="N232" s="235"/>
      <c r="O232" s="236"/>
      <c r="P232" s="236"/>
      <c r="Q232" s="236"/>
      <c r="R232" s="236"/>
      <c r="S232" s="236"/>
      <c r="T232" s="236"/>
      <c r="U232" s="236"/>
      <c r="V232" s="236"/>
      <c r="W232" s="244"/>
      <c r="X232" s="244"/>
      <c r="Y232" s="237"/>
      <c r="Z232" s="244"/>
      <c r="AA232" s="244"/>
      <c r="AB232" s="244"/>
      <c r="AC232" s="244"/>
      <c r="AD232" s="234"/>
      <c r="AE232" s="234"/>
      <c r="AF232" s="238"/>
      <c r="AG232" s="239"/>
      <c r="AH232" s="238"/>
      <c r="AI232" s="238"/>
      <c r="AJ232" s="234"/>
      <c r="AK232" s="234"/>
      <c r="AL232" s="234"/>
      <c r="AM232" s="234"/>
      <c r="AN232" s="234"/>
      <c r="AO232" s="234"/>
    </row>
    <row r="233" ht="15.75" customHeight="1">
      <c r="A233" s="91"/>
      <c r="B233" s="91"/>
      <c r="C233" s="220"/>
      <c r="D233" s="91"/>
      <c r="E233" s="221"/>
      <c r="F233" s="91"/>
      <c r="G233" s="91"/>
      <c r="H233" s="242"/>
      <c r="I233" s="223"/>
      <c r="J233" s="57"/>
      <c r="K233" s="153"/>
      <c r="L233" s="243"/>
      <c r="M233" s="234"/>
      <c r="N233" s="235"/>
      <c r="O233" s="236"/>
      <c r="P233" s="236"/>
      <c r="Q233" s="236"/>
      <c r="R233" s="236"/>
      <c r="S233" s="236"/>
      <c r="T233" s="236"/>
      <c r="U233" s="236"/>
      <c r="V233" s="236"/>
      <c r="W233" s="244"/>
      <c r="X233" s="244"/>
      <c r="Y233" s="237"/>
      <c r="Z233" s="244"/>
      <c r="AA233" s="244"/>
      <c r="AB233" s="244"/>
      <c r="AC233" s="244"/>
      <c r="AD233" s="234"/>
      <c r="AE233" s="234"/>
      <c r="AF233" s="238"/>
      <c r="AG233" s="239"/>
      <c r="AH233" s="238"/>
      <c r="AI233" s="238"/>
      <c r="AJ233" s="234"/>
      <c r="AK233" s="234"/>
      <c r="AL233" s="234"/>
      <c r="AM233" s="234"/>
      <c r="AN233" s="234"/>
      <c r="AO233" s="234"/>
    </row>
    <row r="234" ht="15.75" customHeight="1">
      <c r="A234" s="91"/>
      <c r="B234" s="91"/>
      <c r="C234" s="220"/>
      <c r="D234" s="91"/>
      <c r="E234" s="221"/>
      <c r="F234" s="91"/>
      <c r="G234" s="91"/>
      <c r="H234" s="242"/>
      <c r="I234" s="223"/>
      <c r="J234" s="57"/>
      <c r="K234" s="153"/>
      <c r="L234" s="243"/>
      <c r="M234" s="234"/>
      <c r="N234" s="235"/>
      <c r="O234" s="236"/>
      <c r="P234" s="236"/>
      <c r="Q234" s="236"/>
      <c r="R234" s="236"/>
      <c r="S234" s="236"/>
      <c r="T234" s="236"/>
      <c r="U234" s="236"/>
      <c r="V234" s="236"/>
      <c r="W234" s="244"/>
      <c r="X234" s="244"/>
      <c r="Y234" s="237"/>
      <c r="Z234" s="244"/>
      <c r="AA234" s="244"/>
      <c r="AB234" s="244"/>
      <c r="AC234" s="244"/>
      <c r="AD234" s="234"/>
      <c r="AE234" s="234"/>
      <c r="AF234" s="238"/>
      <c r="AG234" s="239"/>
      <c r="AH234" s="238"/>
      <c r="AI234" s="238"/>
      <c r="AJ234" s="234"/>
      <c r="AK234" s="234"/>
      <c r="AL234" s="234"/>
      <c r="AM234" s="234"/>
      <c r="AN234" s="234"/>
      <c r="AO234" s="234"/>
    </row>
    <row r="235" ht="15.75" customHeight="1">
      <c r="A235" s="91"/>
      <c r="B235" s="91"/>
      <c r="C235" s="220"/>
      <c r="D235" s="91"/>
      <c r="E235" s="221"/>
      <c r="F235" s="91"/>
      <c r="G235" s="91"/>
      <c r="H235" s="242"/>
      <c r="I235" s="223"/>
      <c r="J235" s="57"/>
      <c r="K235" s="153"/>
      <c r="L235" s="243"/>
      <c r="M235" s="234"/>
      <c r="N235" s="235"/>
      <c r="O235" s="236"/>
      <c r="P235" s="236"/>
      <c r="Q235" s="236"/>
      <c r="R235" s="236"/>
      <c r="S235" s="236"/>
      <c r="T235" s="236"/>
      <c r="U235" s="236"/>
      <c r="V235" s="236"/>
      <c r="W235" s="244"/>
      <c r="X235" s="244"/>
      <c r="Y235" s="237"/>
      <c r="Z235" s="244"/>
      <c r="AA235" s="244"/>
      <c r="AB235" s="244"/>
      <c r="AC235" s="244"/>
      <c r="AD235" s="234"/>
      <c r="AE235" s="234"/>
      <c r="AF235" s="238"/>
      <c r="AG235" s="239"/>
      <c r="AH235" s="238"/>
      <c r="AI235" s="238"/>
      <c r="AJ235" s="234"/>
      <c r="AK235" s="234"/>
      <c r="AL235" s="234"/>
      <c r="AM235" s="234"/>
      <c r="AN235" s="234"/>
      <c r="AO235" s="234"/>
    </row>
    <row r="236" ht="15.75" customHeight="1">
      <c r="A236" s="91"/>
      <c r="B236" s="91"/>
      <c r="C236" s="220"/>
      <c r="D236" s="91"/>
      <c r="E236" s="221"/>
      <c r="F236" s="91"/>
      <c r="G236" s="91"/>
      <c r="H236" s="242"/>
      <c r="I236" s="223"/>
      <c r="J236" s="57"/>
      <c r="K236" s="153"/>
      <c r="L236" s="243"/>
      <c r="M236" s="234"/>
      <c r="N236" s="235"/>
      <c r="O236" s="236"/>
      <c r="P236" s="236"/>
      <c r="Q236" s="236"/>
      <c r="R236" s="236"/>
      <c r="S236" s="236"/>
      <c r="T236" s="236"/>
      <c r="U236" s="236"/>
      <c r="V236" s="236"/>
      <c r="W236" s="244"/>
      <c r="X236" s="244"/>
      <c r="Y236" s="237"/>
      <c r="Z236" s="244"/>
      <c r="AA236" s="244"/>
      <c r="AB236" s="244"/>
      <c r="AC236" s="244"/>
      <c r="AD236" s="234"/>
      <c r="AE236" s="234"/>
      <c r="AF236" s="238"/>
      <c r="AG236" s="239"/>
      <c r="AH236" s="238"/>
      <c r="AI236" s="238"/>
      <c r="AJ236" s="234"/>
      <c r="AK236" s="234"/>
      <c r="AL236" s="234"/>
      <c r="AM236" s="234"/>
      <c r="AN236" s="234"/>
      <c r="AO236" s="234"/>
    </row>
    <row r="237" ht="15.75" customHeight="1">
      <c r="A237" s="91"/>
      <c r="B237" s="91"/>
      <c r="C237" s="220"/>
      <c r="D237" s="91"/>
      <c r="E237" s="221"/>
      <c r="F237" s="91"/>
      <c r="G237" s="91"/>
      <c r="H237" s="242"/>
      <c r="I237" s="223"/>
      <c r="J237" s="57"/>
      <c r="K237" s="153"/>
      <c r="L237" s="243"/>
      <c r="M237" s="234"/>
      <c r="N237" s="235"/>
      <c r="O237" s="236"/>
      <c r="P237" s="236"/>
      <c r="Q237" s="236"/>
      <c r="R237" s="236"/>
      <c r="S237" s="236"/>
      <c r="T237" s="236"/>
      <c r="U237" s="236"/>
      <c r="V237" s="236"/>
      <c r="W237" s="244"/>
      <c r="X237" s="244"/>
      <c r="Y237" s="237"/>
      <c r="Z237" s="244"/>
      <c r="AA237" s="244"/>
      <c r="AB237" s="244"/>
      <c r="AC237" s="244"/>
      <c r="AD237" s="234"/>
      <c r="AE237" s="234"/>
      <c r="AF237" s="238"/>
      <c r="AG237" s="239"/>
      <c r="AH237" s="238"/>
      <c r="AI237" s="238"/>
      <c r="AJ237" s="234"/>
      <c r="AK237" s="234"/>
      <c r="AL237" s="234"/>
      <c r="AM237" s="234"/>
      <c r="AN237" s="234"/>
      <c r="AO237" s="234"/>
    </row>
    <row r="238" ht="15.75" customHeight="1">
      <c r="A238" s="91"/>
      <c r="B238" s="91"/>
      <c r="C238" s="220"/>
      <c r="D238" s="91"/>
      <c r="E238" s="221"/>
      <c r="F238" s="91"/>
      <c r="G238" s="91"/>
      <c r="H238" s="242"/>
      <c r="I238" s="223"/>
      <c r="J238" s="57"/>
      <c r="K238" s="153"/>
      <c r="L238" s="243"/>
      <c r="M238" s="234"/>
      <c r="N238" s="235"/>
      <c r="O238" s="236"/>
      <c r="P238" s="236"/>
      <c r="Q238" s="236"/>
      <c r="R238" s="236"/>
      <c r="S238" s="236"/>
      <c r="T238" s="236"/>
      <c r="U238" s="236"/>
      <c r="V238" s="236"/>
      <c r="W238" s="244"/>
      <c r="X238" s="244"/>
      <c r="Y238" s="237"/>
      <c r="Z238" s="244"/>
      <c r="AA238" s="244"/>
      <c r="AB238" s="244"/>
      <c r="AC238" s="244"/>
      <c r="AD238" s="234"/>
      <c r="AE238" s="234"/>
      <c r="AF238" s="238"/>
      <c r="AG238" s="239"/>
      <c r="AH238" s="238"/>
      <c r="AI238" s="238"/>
      <c r="AJ238" s="234"/>
      <c r="AK238" s="234"/>
      <c r="AL238" s="234"/>
      <c r="AM238" s="234"/>
      <c r="AN238" s="234"/>
      <c r="AO238" s="234"/>
    </row>
    <row r="239" ht="15.75" customHeight="1">
      <c r="A239" s="91"/>
      <c r="B239" s="91"/>
      <c r="C239" s="220"/>
      <c r="D239" s="91"/>
      <c r="E239" s="221"/>
      <c r="F239" s="91"/>
      <c r="G239" s="91"/>
      <c r="H239" s="242"/>
      <c r="I239" s="223"/>
      <c r="J239" s="57"/>
      <c r="K239" s="153"/>
      <c r="L239" s="243"/>
      <c r="M239" s="234"/>
      <c r="N239" s="235"/>
      <c r="O239" s="236"/>
      <c r="P239" s="236"/>
      <c r="Q239" s="236"/>
      <c r="R239" s="236"/>
      <c r="S239" s="236"/>
      <c r="T239" s="236"/>
      <c r="U239" s="236"/>
      <c r="V239" s="236"/>
      <c r="W239" s="244"/>
      <c r="X239" s="244"/>
      <c r="Y239" s="237"/>
      <c r="Z239" s="244"/>
      <c r="AA239" s="244"/>
      <c r="AB239" s="244"/>
      <c r="AC239" s="244"/>
      <c r="AD239" s="234"/>
      <c r="AE239" s="234"/>
      <c r="AF239" s="238"/>
      <c r="AG239" s="239"/>
      <c r="AH239" s="238"/>
      <c r="AI239" s="238"/>
      <c r="AJ239" s="234"/>
      <c r="AK239" s="234"/>
      <c r="AL239" s="234"/>
      <c r="AM239" s="234"/>
      <c r="AN239" s="234"/>
      <c r="AO239" s="234"/>
    </row>
    <row r="240" ht="15.75" customHeight="1">
      <c r="A240" s="91"/>
      <c r="B240" s="91"/>
      <c r="C240" s="220"/>
      <c r="D240" s="91"/>
      <c r="E240" s="221"/>
      <c r="F240" s="91"/>
      <c r="G240" s="91"/>
      <c r="H240" s="242"/>
      <c r="I240" s="223"/>
      <c r="J240" s="57"/>
      <c r="K240" s="153"/>
      <c r="L240" s="243"/>
      <c r="M240" s="234"/>
      <c r="N240" s="235"/>
      <c r="O240" s="236"/>
      <c r="P240" s="236"/>
      <c r="Q240" s="236"/>
      <c r="R240" s="236"/>
      <c r="S240" s="236"/>
      <c r="T240" s="236"/>
      <c r="U240" s="236"/>
      <c r="V240" s="236"/>
      <c r="W240" s="244"/>
      <c r="X240" s="244"/>
      <c r="Y240" s="237"/>
      <c r="Z240" s="244"/>
      <c r="AA240" s="244"/>
      <c r="AB240" s="244"/>
      <c r="AC240" s="244"/>
      <c r="AD240" s="234"/>
      <c r="AE240" s="234"/>
      <c r="AF240" s="238"/>
      <c r="AG240" s="239"/>
      <c r="AH240" s="238"/>
      <c r="AI240" s="238"/>
      <c r="AJ240" s="234"/>
      <c r="AK240" s="234"/>
      <c r="AL240" s="234"/>
      <c r="AM240" s="234"/>
      <c r="AN240" s="234"/>
      <c r="AO240" s="234"/>
    </row>
    <row r="241" ht="15.75" customHeight="1">
      <c r="A241" s="91"/>
      <c r="B241" s="91"/>
      <c r="C241" s="220"/>
      <c r="D241" s="91"/>
      <c r="E241" s="221"/>
      <c r="F241" s="91"/>
      <c r="G241" s="91"/>
      <c r="H241" s="242"/>
      <c r="I241" s="223"/>
      <c r="J241" s="57"/>
      <c r="K241" s="153"/>
      <c r="L241" s="243"/>
      <c r="M241" s="234"/>
      <c r="N241" s="235"/>
      <c r="O241" s="236"/>
      <c r="P241" s="236"/>
      <c r="Q241" s="236"/>
      <c r="R241" s="236"/>
      <c r="S241" s="236"/>
      <c r="T241" s="236"/>
      <c r="U241" s="236"/>
      <c r="V241" s="236"/>
      <c r="W241" s="244"/>
      <c r="X241" s="244"/>
      <c r="Y241" s="237"/>
      <c r="Z241" s="244"/>
      <c r="AA241" s="244"/>
      <c r="AB241" s="244"/>
      <c r="AC241" s="244"/>
      <c r="AD241" s="234"/>
      <c r="AE241" s="234"/>
      <c r="AF241" s="238"/>
      <c r="AG241" s="239"/>
      <c r="AH241" s="238"/>
      <c r="AI241" s="238"/>
      <c r="AJ241" s="234"/>
      <c r="AK241" s="234"/>
      <c r="AL241" s="234"/>
      <c r="AM241" s="234"/>
      <c r="AN241" s="234"/>
      <c r="AO241" s="234"/>
    </row>
    <row r="242" ht="15.75" customHeight="1">
      <c r="A242" s="91"/>
      <c r="B242" s="91"/>
      <c r="C242" s="220"/>
      <c r="D242" s="91"/>
      <c r="E242" s="221"/>
      <c r="F242" s="91"/>
      <c r="G242" s="91"/>
      <c r="H242" s="242"/>
      <c r="I242" s="223"/>
      <c r="J242" s="57"/>
      <c r="K242" s="153"/>
      <c r="L242" s="243"/>
      <c r="M242" s="234"/>
      <c r="N242" s="235"/>
      <c r="O242" s="236"/>
      <c r="P242" s="236"/>
      <c r="Q242" s="236"/>
      <c r="R242" s="236"/>
      <c r="S242" s="236"/>
      <c r="T242" s="236"/>
      <c r="U242" s="236"/>
      <c r="V242" s="236"/>
      <c r="W242" s="244"/>
      <c r="X242" s="244"/>
      <c r="Y242" s="237"/>
      <c r="Z242" s="244"/>
      <c r="AA242" s="244"/>
      <c r="AB242" s="244"/>
      <c r="AC242" s="244"/>
      <c r="AD242" s="234"/>
      <c r="AE242" s="234"/>
      <c r="AF242" s="238"/>
      <c r="AG242" s="239"/>
      <c r="AH242" s="238"/>
      <c r="AI242" s="238"/>
      <c r="AJ242" s="234"/>
      <c r="AK242" s="234"/>
      <c r="AL242" s="234"/>
      <c r="AM242" s="234"/>
      <c r="AN242" s="234"/>
      <c r="AO242" s="234"/>
    </row>
    <row r="243" ht="15.75" customHeight="1">
      <c r="A243" s="91"/>
      <c r="B243" s="91"/>
      <c r="C243" s="220"/>
      <c r="D243" s="91"/>
      <c r="E243" s="221"/>
      <c r="F243" s="91"/>
      <c r="G243" s="91"/>
      <c r="H243" s="242"/>
      <c r="I243" s="223"/>
      <c r="J243" s="57"/>
      <c r="K243" s="153"/>
      <c r="L243" s="243"/>
      <c r="M243" s="234"/>
      <c r="N243" s="235"/>
      <c r="O243" s="236"/>
      <c r="P243" s="236"/>
      <c r="Q243" s="236"/>
      <c r="R243" s="236"/>
      <c r="S243" s="236"/>
      <c r="T243" s="236"/>
      <c r="U243" s="236"/>
      <c r="V243" s="236"/>
      <c r="W243" s="244"/>
      <c r="X243" s="244"/>
      <c r="Y243" s="237"/>
      <c r="Z243" s="244"/>
      <c r="AA243" s="244"/>
      <c r="AB243" s="244"/>
      <c r="AC243" s="244"/>
      <c r="AD243" s="234"/>
      <c r="AE243" s="234"/>
      <c r="AF243" s="238"/>
      <c r="AG243" s="239"/>
      <c r="AH243" s="238"/>
      <c r="AI243" s="238"/>
      <c r="AJ243" s="234"/>
      <c r="AK243" s="234"/>
      <c r="AL243" s="234"/>
      <c r="AM243" s="234"/>
      <c r="AN243" s="234"/>
      <c r="AO243" s="234"/>
    </row>
    <row r="244" ht="15.75" customHeight="1">
      <c r="A244" s="91"/>
      <c r="B244" s="91"/>
      <c r="C244" s="220"/>
      <c r="D244" s="91"/>
      <c r="E244" s="221"/>
      <c r="F244" s="91"/>
      <c r="G244" s="91"/>
      <c r="H244" s="242"/>
      <c r="I244" s="223"/>
      <c r="J244" s="57"/>
      <c r="K244" s="153"/>
      <c r="L244" s="243"/>
      <c r="M244" s="234"/>
      <c r="N244" s="235"/>
      <c r="O244" s="236"/>
      <c r="P244" s="236"/>
      <c r="Q244" s="236"/>
      <c r="R244" s="236"/>
      <c r="S244" s="236"/>
      <c r="T244" s="236"/>
      <c r="U244" s="236"/>
      <c r="V244" s="236"/>
      <c r="W244" s="244"/>
      <c r="X244" s="244"/>
      <c r="Y244" s="237"/>
      <c r="Z244" s="244"/>
      <c r="AA244" s="244"/>
      <c r="AB244" s="244"/>
      <c r="AC244" s="244"/>
      <c r="AD244" s="234"/>
      <c r="AE244" s="234"/>
      <c r="AF244" s="238"/>
      <c r="AG244" s="239"/>
      <c r="AH244" s="238"/>
      <c r="AI244" s="238"/>
      <c r="AJ244" s="234"/>
      <c r="AK244" s="234"/>
      <c r="AL244" s="234"/>
      <c r="AM244" s="234"/>
      <c r="AN244" s="234"/>
      <c r="AO244" s="234"/>
    </row>
    <row r="245" ht="15.75" customHeight="1">
      <c r="A245" s="91"/>
      <c r="B245" s="91"/>
      <c r="C245" s="220"/>
      <c r="D245" s="91"/>
      <c r="E245" s="221"/>
      <c r="F245" s="91"/>
      <c r="G245" s="91"/>
      <c r="H245" s="242"/>
      <c r="I245" s="223"/>
      <c r="J245" s="57"/>
      <c r="K245" s="153"/>
      <c r="L245" s="243"/>
      <c r="M245" s="234"/>
      <c r="N245" s="235"/>
      <c r="O245" s="236"/>
      <c r="P245" s="236"/>
      <c r="Q245" s="236"/>
      <c r="R245" s="236"/>
      <c r="S245" s="236"/>
      <c r="T245" s="236"/>
      <c r="U245" s="236"/>
      <c r="V245" s="236"/>
      <c r="W245" s="244"/>
      <c r="X245" s="244"/>
      <c r="Y245" s="237"/>
      <c r="Z245" s="244"/>
      <c r="AA245" s="244"/>
      <c r="AB245" s="244"/>
      <c r="AC245" s="244"/>
      <c r="AD245" s="234"/>
      <c r="AE245" s="234"/>
      <c r="AF245" s="238"/>
      <c r="AG245" s="239"/>
      <c r="AH245" s="238"/>
      <c r="AI245" s="238"/>
      <c r="AJ245" s="234"/>
      <c r="AK245" s="234"/>
      <c r="AL245" s="234"/>
      <c r="AM245" s="234"/>
      <c r="AN245" s="234"/>
      <c r="AO245" s="234"/>
    </row>
    <row r="246" ht="15.75" customHeight="1">
      <c r="A246" s="91"/>
      <c r="B246" s="91"/>
      <c r="C246" s="220"/>
      <c r="D246" s="91"/>
      <c r="E246" s="221"/>
      <c r="F246" s="91"/>
      <c r="G246" s="91"/>
      <c r="H246" s="242"/>
      <c r="I246" s="223"/>
      <c r="J246" s="57"/>
      <c r="K246" s="153"/>
      <c r="L246" s="243"/>
      <c r="M246" s="234"/>
      <c r="N246" s="235"/>
      <c r="O246" s="236"/>
      <c r="P246" s="236"/>
      <c r="Q246" s="236"/>
      <c r="R246" s="236"/>
      <c r="S246" s="236"/>
      <c r="T246" s="236"/>
      <c r="U246" s="236"/>
      <c r="V246" s="236"/>
      <c r="W246" s="244"/>
      <c r="X246" s="244"/>
      <c r="Y246" s="237"/>
      <c r="Z246" s="244"/>
      <c r="AA246" s="244"/>
      <c r="AB246" s="244"/>
      <c r="AC246" s="244"/>
      <c r="AD246" s="234"/>
      <c r="AE246" s="234"/>
      <c r="AF246" s="238"/>
      <c r="AG246" s="239"/>
      <c r="AH246" s="238"/>
      <c r="AI246" s="238"/>
      <c r="AJ246" s="234"/>
      <c r="AK246" s="234"/>
      <c r="AL246" s="234"/>
      <c r="AM246" s="234"/>
      <c r="AN246" s="234"/>
      <c r="AO246" s="234"/>
    </row>
    <row r="247" ht="15.75" customHeight="1">
      <c r="A247" s="91"/>
      <c r="B247" s="91"/>
      <c r="C247" s="220"/>
      <c r="D247" s="91"/>
      <c r="E247" s="221"/>
      <c r="F247" s="91"/>
      <c r="G247" s="91"/>
      <c r="H247" s="242"/>
      <c r="I247" s="223"/>
      <c r="J247" s="57"/>
      <c r="K247" s="153"/>
      <c r="L247" s="243"/>
      <c r="M247" s="234"/>
      <c r="N247" s="235"/>
      <c r="O247" s="236"/>
      <c r="P247" s="236"/>
      <c r="Q247" s="236"/>
      <c r="R247" s="236"/>
      <c r="S247" s="236"/>
      <c r="T247" s="236"/>
      <c r="U247" s="236"/>
      <c r="V247" s="236"/>
      <c r="W247" s="244"/>
      <c r="X247" s="244"/>
      <c r="Y247" s="237"/>
      <c r="Z247" s="244"/>
      <c r="AA247" s="244"/>
      <c r="AB247" s="244"/>
      <c r="AC247" s="244"/>
      <c r="AD247" s="234"/>
      <c r="AE247" s="234"/>
      <c r="AF247" s="238"/>
      <c r="AG247" s="239"/>
      <c r="AH247" s="238"/>
      <c r="AI247" s="238"/>
      <c r="AJ247" s="234"/>
      <c r="AK247" s="234"/>
      <c r="AL247" s="234"/>
      <c r="AM247" s="234"/>
      <c r="AN247" s="234"/>
      <c r="AO247" s="234"/>
    </row>
    <row r="248" ht="15.75" customHeight="1">
      <c r="A248" s="91"/>
      <c r="B248" s="91"/>
      <c r="C248" s="220"/>
      <c r="D248" s="91"/>
      <c r="E248" s="221"/>
      <c r="F248" s="91"/>
      <c r="G248" s="91"/>
      <c r="H248" s="242"/>
      <c r="I248" s="223"/>
      <c r="J248" s="57"/>
      <c r="K248" s="153"/>
      <c r="L248" s="243"/>
      <c r="M248" s="234"/>
      <c r="N248" s="235"/>
      <c r="O248" s="236"/>
      <c r="P248" s="236"/>
      <c r="Q248" s="236"/>
      <c r="R248" s="236"/>
      <c r="S248" s="236"/>
      <c r="T248" s="236"/>
      <c r="U248" s="236"/>
      <c r="V248" s="236"/>
      <c r="W248" s="244"/>
      <c r="X248" s="244"/>
      <c r="Y248" s="237"/>
      <c r="Z248" s="244"/>
      <c r="AA248" s="244"/>
      <c r="AB248" s="244"/>
      <c r="AC248" s="244"/>
      <c r="AD248" s="234"/>
      <c r="AE248" s="234"/>
      <c r="AF248" s="238"/>
      <c r="AG248" s="239"/>
      <c r="AH248" s="238"/>
      <c r="AI248" s="238"/>
      <c r="AJ248" s="234"/>
      <c r="AK248" s="234"/>
      <c r="AL248" s="234"/>
      <c r="AM248" s="234"/>
      <c r="AN248" s="234"/>
      <c r="AO248" s="234"/>
    </row>
    <row r="249" ht="15.75" customHeight="1">
      <c r="A249" s="91"/>
      <c r="B249" s="91"/>
      <c r="C249" s="220"/>
      <c r="D249" s="91"/>
      <c r="E249" s="221"/>
      <c r="F249" s="91"/>
      <c r="G249" s="91"/>
      <c r="H249" s="242"/>
      <c r="I249" s="223"/>
      <c r="J249" s="57"/>
      <c r="K249" s="153"/>
      <c r="L249" s="243"/>
      <c r="M249" s="234"/>
      <c r="N249" s="235"/>
      <c r="O249" s="236"/>
      <c r="P249" s="236"/>
      <c r="Q249" s="236"/>
      <c r="R249" s="236"/>
      <c r="S249" s="236"/>
      <c r="T249" s="236"/>
      <c r="U249" s="236"/>
      <c r="V249" s="236"/>
      <c r="W249" s="244"/>
      <c r="X249" s="244"/>
      <c r="Y249" s="237"/>
      <c r="Z249" s="244"/>
      <c r="AA249" s="244"/>
      <c r="AB249" s="244"/>
      <c r="AC249" s="244"/>
      <c r="AD249" s="234"/>
      <c r="AE249" s="234"/>
      <c r="AF249" s="238"/>
      <c r="AG249" s="239"/>
      <c r="AH249" s="238"/>
      <c r="AI249" s="238"/>
      <c r="AJ249" s="234"/>
      <c r="AK249" s="234"/>
      <c r="AL249" s="234"/>
      <c r="AM249" s="234"/>
      <c r="AN249" s="234"/>
      <c r="AO249" s="234"/>
    </row>
    <row r="250" ht="15.75" customHeight="1">
      <c r="A250" s="91"/>
      <c r="B250" s="91"/>
      <c r="C250" s="220"/>
      <c r="D250" s="91"/>
      <c r="E250" s="221"/>
      <c r="F250" s="91"/>
      <c r="G250" s="91"/>
      <c r="H250" s="242"/>
      <c r="I250" s="223"/>
      <c r="J250" s="57"/>
      <c r="K250" s="153"/>
      <c r="L250" s="243"/>
      <c r="M250" s="234"/>
      <c r="N250" s="235"/>
      <c r="O250" s="236"/>
      <c r="P250" s="236"/>
      <c r="Q250" s="236"/>
      <c r="R250" s="236"/>
      <c r="S250" s="236"/>
      <c r="T250" s="236"/>
      <c r="U250" s="236"/>
      <c r="V250" s="236"/>
      <c r="W250" s="244"/>
      <c r="X250" s="244"/>
      <c r="Y250" s="237"/>
      <c r="Z250" s="244"/>
      <c r="AA250" s="244"/>
      <c r="AB250" s="244"/>
      <c r="AC250" s="244"/>
      <c r="AD250" s="234"/>
      <c r="AE250" s="234"/>
      <c r="AF250" s="238"/>
      <c r="AG250" s="239"/>
      <c r="AH250" s="238"/>
      <c r="AI250" s="238"/>
      <c r="AJ250" s="234"/>
      <c r="AK250" s="234"/>
      <c r="AL250" s="234"/>
      <c r="AM250" s="234"/>
      <c r="AN250" s="234"/>
      <c r="AO250" s="234"/>
    </row>
    <row r="251" ht="15.75" customHeight="1">
      <c r="A251" s="91"/>
      <c r="B251" s="91"/>
      <c r="C251" s="220"/>
      <c r="D251" s="91"/>
      <c r="E251" s="221"/>
      <c r="F251" s="91"/>
      <c r="G251" s="91"/>
      <c r="H251" s="242"/>
      <c r="I251" s="223"/>
      <c r="J251" s="57"/>
      <c r="K251" s="153"/>
      <c r="L251" s="243"/>
      <c r="M251" s="234"/>
      <c r="N251" s="235"/>
      <c r="O251" s="236"/>
      <c r="P251" s="236"/>
      <c r="Q251" s="236"/>
      <c r="R251" s="236"/>
      <c r="S251" s="236"/>
      <c r="T251" s="236"/>
      <c r="U251" s="236"/>
      <c r="V251" s="236"/>
      <c r="W251" s="244"/>
      <c r="X251" s="244"/>
      <c r="Y251" s="237"/>
      <c r="Z251" s="244"/>
      <c r="AA251" s="244"/>
      <c r="AB251" s="244"/>
      <c r="AC251" s="244"/>
      <c r="AD251" s="234"/>
      <c r="AE251" s="234"/>
      <c r="AF251" s="238"/>
      <c r="AG251" s="239"/>
      <c r="AH251" s="238"/>
      <c r="AI251" s="238"/>
      <c r="AJ251" s="234"/>
      <c r="AK251" s="234"/>
      <c r="AL251" s="234"/>
      <c r="AM251" s="234"/>
      <c r="AN251" s="234"/>
      <c r="AO251" s="234"/>
    </row>
    <row r="252" ht="15.75" customHeight="1">
      <c r="A252" s="91"/>
      <c r="B252" s="91"/>
      <c r="C252" s="220"/>
      <c r="D252" s="91"/>
      <c r="E252" s="221"/>
      <c r="F252" s="91"/>
      <c r="G252" s="91"/>
      <c r="H252" s="242"/>
      <c r="I252" s="223"/>
      <c r="J252" s="57"/>
      <c r="K252" s="153"/>
      <c r="L252" s="243"/>
      <c r="M252" s="234"/>
      <c r="N252" s="235"/>
      <c r="O252" s="236"/>
      <c r="P252" s="236"/>
      <c r="Q252" s="236"/>
      <c r="R252" s="236"/>
      <c r="S252" s="236"/>
      <c r="T252" s="236"/>
      <c r="U252" s="236"/>
      <c r="V252" s="236"/>
      <c r="W252" s="244"/>
      <c r="X252" s="244"/>
      <c r="Y252" s="237"/>
      <c r="Z252" s="244"/>
      <c r="AA252" s="244"/>
      <c r="AB252" s="244"/>
      <c r="AC252" s="244"/>
      <c r="AD252" s="234"/>
      <c r="AE252" s="234"/>
      <c r="AF252" s="238"/>
      <c r="AG252" s="239"/>
      <c r="AH252" s="238"/>
      <c r="AI252" s="238"/>
      <c r="AJ252" s="234"/>
      <c r="AK252" s="234"/>
      <c r="AL252" s="234"/>
      <c r="AM252" s="234"/>
      <c r="AN252" s="234"/>
      <c r="AO252" s="234"/>
    </row>
    <row r="253" ht="15.75" customHeight="1">
      <c r="A253" s="91"/>
      <c r="B253" s="91"/>
      <c r="C253" s="220"/>
      <c r="D253" s="91"/>
      <c r="E253" s="221"/>
      <c r="F253" s="91"/>
      <c r="G253" s="91"/>
      <c r="H253" s="242"/>
      <c r="I253" s="223"/>
      <c r="J253" s="57"/>
      <c r="K253" s="153"/>
      <c r="L253" s="243"/>
      <c r="M253" s="234"/>
      <c r="N253" s="235"/>
      <c r="O253" s="236"/>
      <c r="P253" s="236"/>
      <c r="Q253" s="236"/>
      <c r="R253" s="236"/>
      <c r="S253" s="236"/>
      <c r="T253" s="236"/>
      <c r="U253" s="236"/>
      <c r="V253" s="236"/>
      <c r="W253" s="244"/>
      <c r="X253" s="244"/>
      <c r="Y253" s="237"/>
      <c r="Z253" s="244"/>
      <c r="AA253" s="244"/>
      <c r="AB253" s="244"/>
      <c r="AC253" s="244"/>
      <c r="AD253" s="234"/>
      <c r="AE253" s="234"/>
      <c r="AF253" s="238"/>
      <c r="AG253" s="239"/>
      <c r="AH253" s="238"/>
      <c r="AI253" s="238"/>
      <c r="AJ253" s="234"/>
      <c r="AK253" s="234"/>
      <c r="AL253" s="234"/>
      <c r="AM253" s="234"/>
      <c r="AN253" s="234"/>
      <c r="AO253" s="234"/>
    </row>
    <row r="254" ht="15.75" customHeight="1">
      <c r="A254" s="91"/>
      <c r="B254" s="91"/>
      <c r="C254" s="220"/>
      <c r="D254" s="91"/>
      <c r="E254" s="221"/>
      <c r="F254" s="91"/>
      <c r="G254" s="91"/>
      <c r="H254" s="242"/>
      <c r="I254" s="223"/>
      <c r="J254" s="57"/>
      <c r="K254" s="153"/>
      <c r="L254" s="243"/>
      <c r="M254" s="234"/>
      <c r="N254" s="235"/>
      <c r="O254" s="236"/>
      <c r="P254" s="236"/>
      <c r="Q254" s="236"/>
      <c r="R254" s="236"/>
      <c r="S254" s="236"/>
      <c r="T254" s="236"/>
      <c r="U254" s="236"/>
      <c r="V254" s="236"/>
      <c r="W254" s="244"/>
      <c r="X254" s="244"/>
      <c r="Y254" s="237"/>
      <c r="Z254" s="244"/>
      <c r="AA254" s="244"/>
      <c r="AB254" s="244"/>
      <c r="AC254" s="244"/>
      <c r="AD254" s="234"/>
      <c r="AE254" s="234"/>
      <c r="AF254" s="238"/>
      <c r="AG254" s="239"/>
      <c r="AH254" s="238"/>
      <c r="AI254" s="238"/>
      <c r="AJ254" s="234"/>
      <c r="AK254" s="234"/>
      <c r="AL254" s="234"/>
      <c r="AM254" s="234"/>
      <c r="AN254" s="234"/>
      <c r="AO254" s="234"/>
    </row>
    <row r="255" ht="15.75" customHeight="1">
      <c r="A255" s="91"/>
      <c r="B255" s="91"/>
      <c r="C255" s="220"/>
      <c r="D255" s="91"/>
      <c r="E255" s="221"/>
      <c r="F255" s="91"/>
      <c r="G255" s="91"/>
      <c r="H255" s="242"/>
      <c r="I255" s="223"/>
      <c r="J255" s="57"/>
      <c r="K255" s="153"/>
      <c r="L255" s="243"/>
      <c r="M255" s="234"/>
      <c r="N255" s="235"/>
      <c r="O255" s="236"/>
      <c r="P255" s="236"/>
      <c r="Q255" s="236"/>
      <c r="R255" s="236"/>
      <c r="S255" s="236"/>
      <c r="T255" s="236"/>
      <c r="U255" s="236"/>
      <c r="V255" s="236"/>
      <c r="W255" s="244"/>
      <c r="X255" s="244"/>
      <c r="Y255" s="237"/>
      <c r="Z255" s="244"/>
      <c r="AA255" s="244"/>
      <c r="AB255" s="244"/>
      <c r="AC255" s="244"/>
      <c r="AD255" s="234"/>
      <c r="AE255" s="234"/>
      <c r="AF255" s="238"/>
      <c r="AG255" s="239"/>
      <c r="AH255" s="238"/>
      <c r="AI255" s="238"/>
      <c r="AJ255" s="234"/>
      <c r="AK255" s="234"/>
      <c r="AL255" s="234"/>
      <c r="AM255" s="234"/>
      <c r="AN255" s="234"/>
      <c r="AO255" s="234"/>
    </row>
    <row r="256" ht="15.75" customHeight="1">
      <c r="A256" s="91"/>
      <c r="B256" s="91"/>
      <c r="C256" s="220"/>
      <c r="D256" s="91"/>
      <c r="E256" s="221"/>
      <c r="F256" s="91"/>
      <c r="G256" s="91"/>
      <c r="H256" s="242"/>
      <c r="I256" s="223"/>
      <c r="J256" s="57"/>
      <c r="K256" s="153"/>
      <c r="L256" s="243"/>
      <c r="M256" s="234"/>
      <c r="N256" s="235"/>
      <c r="O256" s="236"/>
      <c r="P256" s="236"/>
      <c r="Q256" s="236"/>
      <c r="R256" s="236"/>
      <c r="S256" s="236"/>
      <c r="T256" s="236"/>
      <c r="U256" s="236"/>
      <c r="V256" s="236"/>
      <c r="W256" s="244"/>
      <c r="X256" s="244"/>
      <c r="Y256" s="237"/>
      <c r="Z256" s="244"/>
      <c r="AA256" s="244"/>
      <c r="AB256" s="244"/>
      <c r="AC256" s="244"/>
      <c r="AD256" s="234"/>
      <c r="AE256" s="234"/>
      <c r="AF256" s="238"/>
      <c r="AG256" s="239"/>
      <c r="AH256" s="238"/>
      <c r="AI256" s="238"/>
      <c r="AJ256" s="234"/>
      <c r="AK256" s="234"/>
      <c r="AL256" s="234"/>
      <c r="AM256" s="234"/>
      <c r="AN256" s="234"/>
      <c r="AO256" s="234"/>
    </row>
    <row r="257" ht="15.75" customHeight="1">
      <c r="A257" s="91"/>
      <c r="B257" s="91"/>
      <c r="C257" s="220"/>
      <c r="D257" s="91"/>
      <c r="E257" s="221"/>
      <c r="F257" s="91"/>
      <c r="G257" s="91"/>
      <c r="H257" s="242"/>
      <c r="I257" s="223"/>
      <c r="J257" s="57"/>
      <c r="K257" s="153"/>
      <c r="L257" s="243"/>
      <c r="M257" s="234"/>
      <c r="N257" s="235"/>
      <c r="O257" s="236"/>
      <c r="P257" s="236"/>
      <c r="Q257" s="236"/>
      <c r="R257" s="236"/>
      <c r="S257" s="236"/>
      <c r="T257" s="236"/>
      <c r="U257" s="236"/>
      <c r="V257" s="236"/>
      <c r="W257" s="244"/>
      <c r="X257" s="244"/>
      <c r="Y257" s="237"/>
      <c r="Z257" s="244"/>
      <c r="AA257" s="244"/>
      <c r="AB257" s="244"/>
      <c r="AC257" s="244"/>
      <c r="AD257" s="234"/>
      <c r="AE257" s="234"/>
      <c r="AF257" s="238"/>
      <c r="AG257" s="239"/>
      <c r="AH257" s="238"/>
      <c r="AI257" s="238"/>
      <c r="AJ257" s="234"/>
      <c r="AK257" s="234"/>
      <c r="AL257" s="234"/>
      <c r="AM257" s="234"/>
      <c r="AN257" s="234"/>
      <c r="AO257" s="234"/>
    </row>
    <row r="258" ht="15.75" customHeight="1">
      <c r="A258" s="91"/>
      <c r="B258" s="91"/>
      <c r="C258" s="220"/>
      <c r="D258" s="91"/>
      <c r="E258" s="221"/>
      <c r="F258" s="91"/>
      <c r="G258" s="91"/>
      <c r="H258" s="242"/>
      <c r="I258" s="223"/>
      <c r="J258" s="57"/>
      <c r="K258" s="153"/>
      <c r="L258" s="243"/>
      <c r="M258" s="234"/>
      <c r="N258" s="235"/>
      <c r="O258" s="236"/>
      <c r="P258" s="236"/>
      <c r="Q258" s="236"/>
      <c r="R258" s="236"/>
      <c r="S258" s="236"/>
      <c r="T258" s="236"/>
      <c r="U258" s="236"/>
      <c r="V258" s="236"/>
      <c r="W258" s="244"/>
      <c r="X258" s="244"/>
      <c r="Y258" s="237"/>
      <c r="Z258" s="244"/>
      <c r="AA258" s="244"/>
      <c r="AB258" s="244"/>
      <c r="AC258" s="244"/>
      <c r="AD258" s="234"/>
      <c r="AE258" s="234"/>
      <c r="AF258" s="238"/>
      <c r="AG258" s="239"/>
      <c r="AH258" s="238"/>
      <c r="AI258" s="238"/>
      <c r="AJ258" s="234"/>
      <c r="AK258" s="234"/>
      <c r="AL258" s="234"/>
      <c r="AM258" s="234"/>
      <c r="AN258" s="234"/>
      <c r="AO258" s="234"/>
    </row>
    <row r="259" ht="15.75" customHeight="1">
      <c r="A259" s="91"/>
      <c r="B259" s="91"/>
      <c r="C259" s="220"/>
      <c r="D259" s="91"/>
      <c r="E259" s="221"/>
      <c r="F259" s="91"/>
      <c r="G259" s="91"/>
      <c r="H259" s="242"/>
      <c r="I259" s="223"/>
      <c r="J259" s="57"/>
      <c r="K259" s="153"/>
      <c r="L259" s="243"/>
      <c r="M259" s="234"/>
      <c r="N259" s="235"/>
      <c r="O259" s="236"/>
      <c r="P259" s="236"/>
      <c r="Q259" s="236"/>
      <c r="R259" s="236"/>
      <c r="S259" s="236"/>
      <c r="T259" s="236"/>
      <c r="U259" s="236"/>
      <c r="V259" s="236"/>
      <c r="W259" s="244"/>
      <c r="X259" s="244"/>
      <c r="Y259" s="237"/>
      <c r="Z259" s="244"/>
      <c r="AA259" s="244"/>
      <c r="AB259" s="244"/>
      <c r="AC259" s="244"/>
      <c r="AD259" s="234"/>
      <c r="AE259" s="234"/>
      <c r="AF259" s="238"/>
      <c r="AG259" s="239"/>
      <c r="AH259" s="238"/>
      <c r="AI259" s="238"/>
      <c r="AJ259" s="234"/>
      <c r="AK259" s="234"/>
      <c r="AL259" s="234"/>
      <c r="AM259" s="234"/>
      <c r="AN259" s="234"/>
      <c r="AO259" s="234"/>
    </row>
    <row r="260" ht="15.75" customHeight="1">
      <c r="A260" s="91"/>
      <c r="B260" s="91"/>
      <c r="C260" s="220"/>
      <c r="D260" s="91"/>
      <c r="E260" s="221"/>
      <c r="F260" s="91"/>
      <c r="G260" s="91"/>
      <c r="H260" s="242"/>
      <c r="I260" s="223"/>
      <c r="J260" s="57"/>
      <c r="K260" s="153"/>
      <c r="L260" s="243"/>
      <c r="M260" s="234"/>
      <c r="N260" s="235"/>
      <c r="O260" s="236"/>
      <c r="P260" s="236"/>
      <c r="Q260" s="236"/>
      <c r="R260" s="236"/>
      <c r="S260" s="236"/>
      <c r="T260" s="236"/>
      <c r="U260" s="236"/>
      <c r="V260" s="236"/>
      <c r="W260" s="244"/>
      <c r="X260" s="244"/>
      <c r="Y260" s="237"/>
      <c r="Z260" s="244"/>
      <c r="AA260" s="244"/>
      <c r="AB260" s="244"/>
      <c r="AC260" s="244"/>
      <c r="AD260" s="234"/>
      <c r="AE260" s="234"/>
      <c r="AF260" s="238"/>
      <c r="AG260" s="239"/>
      <c r="AH260" s="238"/>
      <c r="AI260" s="238"/>
      <c r="AJ260" s="234"/>
      <c r="AK260" s="234"/>
      <c r="AL260" s="234"/>
      <c r="AM260" s="234"/>
      <c r="AN260" s="234"/>
      <c r="AO260" s="234"/>
    </row>
    <row r="261" ht="15.75" customHeight="1">
      <c r="A261" s="91"/>
      <c r="B261" s="91"/>
      <c r="C261" s="220"/>
      <c r="D261" s="91"/>
      <c r="E261" s="221"/>
      <c r="F261" s="91"/>
      <c r="G261" s="91"/>
      <c r="H261" s="242"/>
      <c r="I261" s="223"/>
      <c r="J261" s="57"/>
      <c r="K261" s="153"/>
      <c r="L261" s="243"/>
      <c r="M261" s="234"/>
      <c r="N261" s="235"/>
      <c r="O261" s="236"/>
      <c r="P261" s="236"/>
      <c r="Q261" s="236"/>
      <c r="R261" s="236"/>
      <c r="S261" s="236"/>
      <c r="T261" s="236"/>
      <c r="U261" s="236"/>
      <c r="V261" s="236"/>
      <c r="W261" s="244"/>
      <c r="X261" s="244"/>
      <c r="Y261" s="237"/>
      <c r="Z261" s="244"/>
      <c r="AA261" s="244"/>
      <c r="AB261" s="244"/>
      <c r="AC261" s="244"/>
      <c r="AD261" s="234"/>
      <c r="AE261" s="234"/>
      <c r="AF261" s="238"/>
      <c r="AG261" s="239"/>
      <c r="AH261" s="238"/>
      <c r="AI261" s="238"/>
      <c r="AJ261" s="234"/>
      <c r="AK261" s="234"/>
      <c r="AL261" s="234"/>
      <c r="AM261" s="234"/>
      <c r="AN261" s="234"/>
      <c r="AO261" s="234"/>
    </row>
    <row r="262" ht="15.75" customHeight="1">
      <c r="A262" s="91"/>
      <c r="B262" s="91"/>
      <c r="C262" s="220"/>
      <c r="D262" s="91"/>
      <c r="E262" s="221"/>
      <c r="F262" s="91"/>
      <c r="G262" s="91"/>
      <c r="H262" s="242"/>
      <c r="I262" s="223"/>
      <c r="J262" s="57"/>
      <c r="K262" s="153"/>
      <c r="L262" s="243"/>
      <c r="M262" s="234"/>
      <c r="N262" s="235"/>
      <c r="O262" s="236"/>
      <c r="P262" s="236"/>
      <c r="Q262" s="236"/>
      <c r="R262" s="236"/>
      <c r="S262" s="236"/>
      <c r="T262" s="236"/>
      <c r="U262" s="236"/>
      <c r="V262" s="236"/>
      <c r="W262" s="244"/>
      <c r="X262" s="244"/>
      <c r="Y262" s="237"/>
      <c r="Z262" s="244"/>
      <c r="AA262" s="244"/>
      <c r="AB262" s="244"/>
      <c r="AC262" s="244"/>
      <c r="AD262" s="234"/>
      <c r="AE262" s="234"/>
      <c r="AF262" s="238"/>
      <c r="AG262" s="239"/>
      <c r="AH262" s="238"/>
      <c r="AI262" s="238"/>
      <c r="AJ262" s="234"/>
      <c r="AK262" s="234"/>
      <c r="AL262" s="234"/>
      <c r="AM262" s="234"/>
      <c r="AN262" s="234"/>
      <c r="AO262" s="234"/>
    </row>
    <row r="263" ht="15.75" customHeight="1">
      <c r="A263" s="91"/>
      <c r="B263" s="91"/>
      <c r="C263" s="220"/>
      <c r="D263" s="91"/>
      <c r="E263" s="221"/>
      <c r="F263" s="91"/>
      <c r="G263" s="91"/>
      <c r="H263" s="242"/>
      <c r="I263" s="223"/>
      <c r="J263" s="57"/>
      <c r="K263" s="153"/>
      <c r="L263" s="243"/>
      <c r="M263" s="234"/>
      <c r="N263" s="235"/>
      <c r="O263" s="236"/>
      <c r="P263" s="236"/>
      <c r="Q263" s="236"/>
      <c r="R263" s="236"/>
      <c r="S263" s="236"/>
      <c r="T263" s="236"/>
      <c r="U263" s="236"/>
      <c r="V263" s="236"/>
      <c r="W263" s="244"/>
      <c r="X263" s="244"/>
      <c r="Y263" s="237"/>
      <c r="Z263" s="244"/>
      <c r="AA263" s="244"/>
      <c r="AB263" s="244"/>
      <c r="AC263" s="244"/>
      <c r="AD263" s="234"/>
      <c r="AE263" s="234"/>
      <c r="AF263" s="238"/>
      <c r="AG263" s="239"/>
      <c r="AH263" s="238"/>
      <c r="AI263" s="238"/>
      <c r="AJ263" s="234"/>
      <c r="AK263" s="234"/>
      <c r="AL263" s="234"/>
      <c r="AM263" s="234"/>
      <c r="AN263" s="234"/>
      <c r="AO263" s="234"/>
    </row>
    <row r="264" ht="15.75" customHeight="1">
      <c r="A264" s="91"/>
      <c r="B264" s="91"/>
      <c r="C264" s="220"/>
      <c r="D264" s="91"/>
      <c r="E264" s="221"/>
      <c r="F264" s="91"/>
      <c r="G264" s="91"/>
      <c r="H264" s="242"/>
      <c r="I264" s="223"/>
      <c r="J264" s="57"/>
      <c r="K264" s="153"/>
      <c r="L264" s="243"/>
      <c r="M264" s="234"/>
      <c r="N264" s="235"/>
      <c r="O264" s="236"/>
      <c r="P264" s="236"/>
      <c r="Q264" s="236"/>
      <c r="R264" s="236"/>
      <c r="S264" s="236"/>
      <c r="T264" s="236"/>
      <c r="U264" s="236"/>
      <c r="V264" s="236"/>
      <c r="W264" s="244"/>
      <c r="X264" s="244"/>
      <c r="Y264" s="237"/>
      <c r="Z264" s="244"/>
      <c r="AA264" s="244"/>
      <c r="AB264" s="244"/>
      <c r="AC264" s="244"/>
      <c r="AD264" s="234"/>
      <c r="AE264" s="234"/>
      <c r="AF264" s="238"/>
      <c r="AG264" s="239"/>
      <c r="AH264" s="238"/>
      <c r="AI264" s="238"/>
      <c r="AJ264" s="234"/>
      <c r="AK264" s="234"/>
      <c r="AL264" s="234"/>
      <c r="AM264" s="234"/>
      <c r="AN264" s="234"/>
      <c r="AO264" s="234"/>
    </row>
    <row r="265" ht="15.75" customHeight="1">
      <c r="A265" s="91"/>
      <c r="B265" s="91"/>
      <c r="C265" s="220"/>
      <c r="D265" s="91"/>
      <c r="E265" s="221"/>
      <c r="F265" s="91"/>
      <c r="G265" s="91"/>
      <c r="H265" s="242"/>
      <c r="I265" s="223"/>
      <c r="J265" s="57"/>
      <c r="K265" s="153"/>
      <c r="L265" s="243"/>
      <c r="M265" s="234"/>
      <c r="N265" s="235"/>
      <c r="O265" s="236"/>
      <c r="P265" s="236"/>
      <c r="Q265" s="236"/>
      <c r="R265" s="236"/>
      <c r="S265" s="236"/>
      <c r="T265" s="236"/>
      <c r="U265" s="236"/>
      <c r="V265" s="236"/>
      <c r="W265" s="244"/>
      <c r="X265" s="244"/>
      <c r="Y265" s="237"/>
      <c r="Z265" s="244"/>
      <c r="AA265" s="244"/>
      <c r="AB265" s="244"/>
      <c r="AC265" s="244"/>
      <c r="AD265" s="234"/>
      <c r="AE265" s="234"/>
      <c r="AF265" s="238"/>
      <c r="AG265" s="239"/>
      <c r="AH265" s="238"/>
      <c r="AI265" s="238"/>
      <c r="AJ265" s="234"/>
      <c r="AK265" s="234"/>
      <c r="AL265" s="234"/>
      <c r="AM265" s="234"/>
      <c r="AN265" s="234"/>
      <c r="AO265" s="234"/>
    </row>
    <row r="266" ht="15.75" customHeight="1">
      <c r="A266" s="91"/>
      <c r="B266" s="91"/>
      <c r="C266" s="220"/>
      <c r="D266" s="91"/>
      <c r="E266" s="221"/>
      <c r="F266" s="91"/>
      <c r="G266" s="91"/>
      <c r="H266" s="242"/>
      <c r="I266" s="223"/>
      <c r="J266" s="57"/>
      <c r="K266" s="153"/>
      <c r="L266" s="243"/>
      <c r="M266" s="234"/>
      <c r="N266" s="235"/>
      <c r="O266" s="236"/>
      <c r="P266" s="236"/>
      <c r="Q266" s="236"/>
      <c r="R266" s="236"/>
      <c r="S266" s="236"/>
      <c r="T266" s="236"/>
      <c r="U266" s="236"/>
      <c r="V266" s="236"/>
      <c r="W266" s="244"/>
      <c r="X266" s="244"/>
      <c r="Y266" s="237"/>
      <c r="Z266" s="244"/>
      <c r="AA266" s="244"/>
      <c r="AB266" s="244"/>
      <c r="AC266" s="244"/>
      <c r="AD266" s="234"/>
      <c r="AE266" s="234"/>
      <c r="AF266" s="238"/>
      <c r="AG266" s="239"/>
      <c r="AH266" s="238"/>
      <c r="AI266" s="238"/>
      <c r="AJ266" s="234"/>
      <c r="AK266" s="234"/>
      <c r="AL266" s="234"/>
      <c r="AM266" s="234"/>
      <c r="AN266" s="234"/>
      <c r="AO266" s="234"/>
    </row>
    <row r="267" ht="15.75" customHeight="1">
      <c r="A267" s="91"/>
      <c r="B267" s="91"/>
      <c r="C267" s="220"/>
      <c r="D267" s="91"/>
      <c r="E267" s="221"/>
      <c r="F267" s="91"/>
      <c r="G267" s="91"/>
      <c r="H267" s="242"/>
      <c r="I267" s="223"/>
      <c r="J267" s="57"/>
      <c r="K267" s="153"/>
      <c r="L267" s="243"/>
      <c r="M267" s="234"/>
      <c r="N267" s="235"/>
      <c r="O267" s="236"/>
      <c r="P267" s="236"/>
      <c r="Q267" s="236"/>
      <c r="R267" s="236"/>
      <c r="S267" s="236"/>
      <c r="T267" s="236"/>
      <c r="U267" s="236"/>
      <c r="V267" s="236"/>
      <c r="W267" s="244"/>
      <c r="X267" s="244"/>
      <c r="Y267" s="237"/>
      <c r="Z267" s="244"/>
      <c r="AA267" s="244"/>
      <c r="AB267" s="244"/>
      <c r="AC267" s="244"/>
      <c r="AD267" s="234"/>
      <c r="AE267" s="234"/>
      <c r="AF267" s="238"/>
      <c r="AG267" s="239"/>
      <c r="AH267" s="238"/>
      <c r="AI267" s="238"/>
      <c r="AJ267" s="234"/>
      <c r="AK267" s="234"/>
      <c r="AL267" s="234"/>
      <c r="AM267" s="234"/>
      <c r="AN267" s="234"/>
      <c r="AO267" s="234"/>
    </row>
    <row r="268" ht="15.75" customHeight="1">
      <c r="A268" s="91"/>
      <c r="B268" s="91"/>
      <c r="C268" s="220"/>
      <c r="D268" s="91"/>
      <c r="E268" s="221"/>
      <c r="F268" s="91"/>
      <c r="G268" s="91"/>
      <c r="H268" s="242"/>
      <c r="I268" s="223"/>
      <c r="J268" s="57"/>
      <c r="K268" s="153"/>
      <c r="L268" s="243"/>
      <c r="M268" s="234"/>
      <c r="N268" s="235"/>
      <c r="O268" s="236"/>
      <c r="P268" s="236"/>
      <c r="Q268" s="236"/>
      <c r="R268" s="236"/>
      <c r="S268" s="236"/>
      <c r="T268" s="236"/>
      <c r="U268" s="236"/>
      <c r="V268" s="236"/>
      <c r="W268" s="244"/>
      <c r="X268" s="244"/>
      <c r="Y268" s="237"/>
      <c r="Z268" s="244"/>
      <c r="AA268" s="244"/>
      <c r="AB268" s="244"/>
      <c r="AC268" s="244"/>
      <c r="AD268" s="234"/>
      <c r="AE268" s="234"/>
      <c r="AF268" s="238"/>
      <c r="AG268" s="239"/>
      <c r="AH268" s="238"/>
      <c r="AI268" s="238"/>
      <c r="AJ268" s="234"/>
      <c r="AK268" s="234"/>
      <c r="AL268" s="234"/>
      <c r="AM268" s="234"/>
      <c r="AN268" s="234"/>
      <c r="AO268" s="234"/>
    </row>
    <row r="269" ht="15.75" customHeight="1">
      <c r="A269" s="91"/>
      <c r="B269" s="91"/>
      <c r="C269" s="220"/>
      <c r="D269" s="91"/>
      <c r="E269" s="221"/>
      <c r="F269" s="91"/>
      <c r="G269" s="91"/>
      <c r="H269" s="242"/>
      <c r="I269" s="223"/>
      <c r="J269" s="57"/>
      <c r="K269" s="153"/>
      <c r="L269" s="243"/>
      <c r="M269" s="234"/>
      <c r="N269" s="235"/>
      <c r="O269" s="236"/>
      <c r="P269" s="236"/>
      <c r="Q269" s="236"/>
      <c r="R269" s="236"/>
      <c r="S269" s="236"/>
      <c r="T269" s="236"/>
      <c r="U269" s="236"/>
      <c r="V269" s="236"/>
      <c r="W269" s="244"/>
      <c r="X269" s="244"/>
      <c r="Y269" s="237"/>
      <c r="Z269" s="244"/>
      <c r="AA269" s="244"/>
      <c r="AB269" s="244"/>
      <c r="AC269" s="244"/>
      <c r="AD269" s="234"/>
      <c r="AE269" s="234"/>
      <c r="AF269" s="238"/>
      <c r="AG269" s="239"/>
      <c r="AH269" s="238"/>
      <c r="AI269" s="238"/>
      <c r="AJ269" s="234"/>
      <c r="AK269" s="234"/>
      <c r="AL269" s="234"/>
      <c r="AM269" s="234"/>
      <c r="AN269" s="234"/>
      <c r="AO269" s="234"/>
    </row>
    <row r="270" ht="15.75" customHeight="1">
      <c r="A270" s="91"/>
      <c r="B270" s="91"/>
      <c r="C270" s="220"/>
      <c r="D270" s="91"/>
      <c r="E270" s="221"/>
      <c r="F270" s="91"/>
      <c r="G270" s="91"/>
      <c r="H270" s="242"/>
      <c r="I270" s="223"/>
      <c r="J270" s="57"/>
      <c r="K270" s="153"/>
      <c r="L270" s="243"/>
      <c r="M270" s="234"/>
      <c r="N270" s="235"/>
      <c r="O270" s="236"/>
      <c r="P270" s="236"/>
      <c r="Q270" s="236"/>
      <c r="R270" s="236"/>
      <c r="S270" s="236"/>
      <c r="T270" s="236"/>
      <c r="U270" s="236"/>
      <c r="V270" s="236"/>
      <c r="W270" s="244"/>
      <c r="X270" s="244"/>
      <c r="Y270" s="237"/>
      <c r="Z270" s="244"/>
      <c r="AA270" s="244"/>
      <c r="AB270" s="244"/>
      <c r="AC270" s="244"/>
      <c r="AD270" s="234"/>
      <c r="AE270" s="234"/>
      <c r="AF270" s="238"/>
      <c r="AG270" s="239"/>
      <c r="AH270" s="238"/>
      <c r="AI270" s="238"/>
      <c r="AJ270" s="234"/>
      <c r="AK270" s="234"/>
      <c r="AL270" s="234"/>
      <c r="AM270" s="234"/>
      <c r="AN270" s="234"/>
      <c r="AO270" s="234"/>
    </row>
    <row r="271" ht="15.75" customHeight="1">
      <c r="A271" s="91"/>
      <c r="B271" s="91"/>
      <c r="C271" s="220"/>
      <c r="D271" s="91"/>
      <c r="E271" s="221"/>
      <c r="F271" s="91"/>
      <c r="G271" s="91"/>
      <c r="H271" s="242"/>
      <c r="I271" s="223"/>
      <c r="J271" s="57"/>
      <c r="K271" s="153"/>
      <c r="L271" s="243"/>
      <c r="M271" s="234"/>
      <c r="N271" s="235"/>
      <c r="O271" s="236"/>
      <c r="P271" s="236"/>
      <c r="Q271" s="236"/>
      <c r="R271" s="236"/>
      <c r="S271" s="236"/>
      <c r="T271" s="236"/>
      <c r="U271" s="236"/>
      <c r="V271" s="236"/>
      <c r="W271" s="244"/>
      <c r="X271" s="244"/>
      <c r="Y271" s="237"/>
      <c r="Z271" s="244"/>
      <c r="AA271" s="244"/>
      <c r="AB271" s="244"/>
      <c r="AC271" s="244"/>
      <c r="AD271" s="234"/>
      <c r="AE271" s="234"/>
      <c r="AF271" s="238"/>
      <c r="AG271" s="239"/>
      <c r="AH271" s="238"/>
      <c r="AI271" s="238"/>
      <c r="AJ271" s="234"/>
      <c r="AK271" s="234"/>
      <c r="AL271" s="234"/>
      <c r="AM271" s="234"/>
      <c r="AN271" s="234"/>
      <c r="AO271" s="234"/>
    </row>
    <row r="272" ht="15.75" customHeight="1">
      <c r="A272" s="91"/>
      <c r="B272" s="91"/>
      <c r="C272" s="220"/>
      <c r="D272" s="91"/>
      <c r="E272" s="221"/>
      <c r="F272" s="91"/>
      <c r="G272" s="91"/>
      <c r="H272" s="242"/>
      <c r="I272" s="223"/>
      <c r="J272" s="57"/>
      <c r="K272" s="153"/>
      <c r="L272" s="243"/>
      <c r="M272" s="234"/>
      <c r="N272" s="235"/>
      <c r="O272" s="236"/>
      <c r="P272" s="236"/>
      <c r="Q272" s="236"/>
      <c r="R272" s="236"/>
      <c r="S272" s="236"/>
      <c r="T272" s="236"/>
      <c r="U272" s="236"/>
      <c r="V272" s="236"/>
      <c r="W272" s="244"/>
      <c r="X272" s="244"/>
      <c r="Y272" s="237"/>
      <c r="Z272" s="244"/>
      <c r="AA272" s="244"/>
      <c r="AB272" s="244"/>
      <c r="AC272" s="244"/>
      <c r="AD272" s="234"/>
      <c r="AE272" s="234"/>
      <c r="AF272" s="238"/>
      <c r="AG272" s="239"/>
      <c r="AH272" s="238"/>
      <c r="AI272" s="238"/>
      <c r="AJ272" s="234"/>
      <c r="AK272" s="234"/>
      <c r="AL272" s="234"/>
      <c r="AM272" s="234"/>
      <c r="AN272" s="234"/>
      <c r="AO272" s="234"/>
    </row>
    <row r="273" ht="15.75" customHeight="1">
      <c r="A273" s="91"/>
      <c r="B273" s="91"/>
      <c r="C273" s="220"/>
      <c r="D273" s="91"/>
      <c r="E273" s="221"/>
      <c r="F273" s="91"/>
      <c r="G273" s="91"/>
      <c r="H273" s="242"/>
      <c r="I273" s="223"/>
      <c r="J273" s="57"/>
      <c r="K273" s="153"/>
      <c r="L273" s="243"/>
      <c r="M273" s="234"/>
      <c r="N273" s="235"/>
      <c r="O273" s="236"/>
      <c r="P273" s="236"/>
      <c r="Q273" s="236"/>
      <c r="R273" s="236"/>
      <c r="S273" s="236"/>
      <c r="T273" s="236"/>
      <c r="U273" s="236"/>
      <c r="V273" s="236"/>
      <c r="W273" s="244"/>
      <c r="X273" s="244"/>
      <c r="Y273" s="237"/>
      <c r="Z273" s="244"/>
      <c r="AA273" s="244"/>
      <c r="AB273" s="244"/>
      <c r="AC273" s="244"/>
      <c r="AD273" s="234"/>
      <c r="AE273" s="234"/>
      <c r="AF273" s="238"/>
      <c r="AG273" s="239"/>
      <c r="AH273" s="238"/>
      <c r="AI273" s="238"/>
      <c r="AJ273" s="234"/>
      <c r="AK273" s="234"/>
      <c r="AL273" s="234"/>
      <c r="AM273" s="234"/>
      <c r="AN273" s="234"/>
      <c r="AO273" s="234"/>
    </row>
    <row r="274" ht="15.75" customHeight="1">
      <c r="A274" s="91"/>
      <c r="B274" s="91"/>
      <c r="C274" s="220"/>
      <c r="D274" s="91"/>
      <c r="E274" s="221"/>
      <c r="F274" s="91"/>
      <c r="G274" s="91"/>
      <c r="H274" s="242"/>
      <c r="I274" s="223"/>
      <c r="J274" s="57"/>
      <c r="K274" s="153"/>
      <c r="L274" s="243"/>
      <c r="M274" s="234"/>
      <c r="N274" s="235"/>
      <c r="O274" s="236"/>
      <c r="P274" s="236"/>
      <c r="Q274" s="236"/>
      <c r="R274" s="236"/>
      <c r="S274" s="236"/>
      <c r="T274" s="236"/>
      <c r="U274" s="236"/>
      <c r="V274" s="236"/>
      <c r="W274" s="244"/>
      <c r="X274" s="244"/>
      <c r="Y274" s="237"/>
      <c r="Z274" s="244"/>
      <c r="AA274" s="244"/>
      <c r="AB274" s="244"/>
      <c r="AC274" s="244"/>
      <c r="AD274" s="234"/>
      <c r="AE274" s="234"/>
      <c r="AF274" s="238"/>
      <c r="AG274" s="239"/>
      <c r="AH274" s="238"/>
      <c r="AI274" s="238"/>
      <c r="AJ274" s="234"/>
      <c r="AK274" s="234"/>
      <c r="AL274" s="234"/>
      <c r="AM274" s="234"/>
      <c r="AN274" s="234"/>
      <c r="AO274" s="234"/>
    </row>
    <row r="275" ht="15.75" customHeight="1">
      <c r="A275" s="91"/>
      <c r="B275" s="91"/>
      <c r="C275" s="220"/>
      <c r="D275" s="91"/>
      <c r="E275" s="221"/>
      <c r="F275" s="91"/>
      <c r="G275" s="91"/>
      <c r="H275" s="242"/>
      <c r="I275" s="223"/>
      <c r="J275" s="57"/>
      <c r="K275" s="153"/>
      <c r="L275" s="243"/>
      <c r="M275" s="234"/>
      <c r="N275" s="235"/>
      <c r="O275" s="236"/>
      <c r="P275" s="236"/>
      <c r="Q275" s="236"/>
      <c r="R275" s="236"/>
      <c r="S275" s="236"/>
      <c r="T275" s="236"/>
      <c r="U275" s="236"/>
      <c r="V275" s="236"/>
      <c r="W275" s="244"/>
      <c r="X275" s="244"/>
      <c r="Y275" s="237"/>
      <c r="Z275" s="244"/>
      <c r="AA275" s="244"/>
      <c r="AB275" s="244"/>
      <c r="AC275" s="244"/>
      <c r="AD275" s="234"/>
      <c r="AE275" s="234"/>
      <c r="AF275" s="238"/>
      <c r="AG275" s="239"/>
      <c r="AH275" s="238"/>
      <c r="AI275" s="238"/>
      <c r="AJ275" s="234"/>
      <c r="AK275" s="234"/>
      <c r="AL275" s="234"/>
      <c r="AM275" s="234"/>
      <c r="AN275" s="234"/>
      <c r="AO275" s="234"/>
    </row>
    <row r="276" ht="15.75" customHeight="1">
      <c r="A276" s="91"/>
      <c r="B276" s="91"/>
      <c r="C276" s="220"/>
      <c r="D276" s="91"/>
      <c r="E276" s="221"/>
      <c r="F276" s="91"/>
      <c r="G276" s="91"/>
      <c r="H276" s="242"/>
      <c r="I276" s="223"/>
      <c r="J276" s="57"/>
      <c r="K276" s="153"/>
      <c r="L276" s="243"/>
      <c r="M276" s="234"/>
      <c r="N276" s="235"/>
      <c r="O276" s="236"/>
      <c r="P276" s="236"/>
      <c r="Q276" s="236"/>
      <c r="R276" s="236"/>
      <c r="S276" s="236"/>
      <c r="T276" s="236"/>
      <c r="U276" s="236"/>
      <c r="V276" s="236"/>
      <c r="W276" s="244"/>
      <c r="X276" s="244"/>
      <c r="Y276" s="237"/>
      <c r="Z276" s="244"/>
      <c r="AA276" s="244"/>
      <c r="AB276" s="244"/>
      <c r="AC276" s="244"/>
      <c r="AD276" s="234"/>
      <c r="AE276" s="234"/>
      <c r="AF276" s="238"/>
      <c r="AG276" s="239"/>
      <c r="AH276" s="238"/>
      <c r="AI276" s="238"/>
      <c r="AJ276" s="234"/>
      <c r="AK276" s="234"/>
      <c r="AL276" s="234"/>
      <c r="AM276" s="234"/>
      <c r="AN276" s="234"/>
      <c r="AO276" s="234"/>
    </row>
    <row r="277" ht="15.75" customHeight="1">
      <c r="A277" s="91"/>
      <c r="B277" s="91"/>
      <c r="C277" s="220"/>
      <c r="D277" s="91"/>
      <c r="E277" s="221"/>
      <c r="F277" s="91"/>
      <c r="G277" s="91"/>
      <c r="H277" s="242"/>
      <c r="I277" s="223"/>
      <c r="J277" s="57"/>
      <c r="K277" s="153"/>
      <c r="L277" s="243"/>
      <c r="M277" s="234"/>
      <c r="N277" s="235"/>
      <c r="O277" s="236"/>
      <c r="P277" s="236"/>
      <c r="Q277" s="236"/>
      <c r="R277" s="236"/>
      <c r="S277" s="236"/>
      <c r="T277" s="236"/>
      <c r="U277" s="236"/>
      <c r="V277" s="236"/>
      <c r="W277" s="244"/>
      <c r="X277" s="244"/>
      <c r="Y277" s="237"/>
      <c r="Z277" s="244"/>
      <c r="AA277" s="244"/>
      <c r="AB277" s="244"/>
      <c r="AC277" s="244"/>
      <c r="AD277" s="234"/>
      <c r="AE277" s="234"/>
      <c r="AF277" s="238"/>
      <c r="AG277" s="239"/>
      <c r="AH277" s="238"/>
      <c r="AI277" s="238"/>
      <c r="AJ277" s="234"/>
      <c r="AK277" s="234"/>
      <c r="AL277" s="234"/>
      <c r="AM277" s="234"/>
      <c r="AN277" s="234"/>
      <c r="AO277" s="234"/>
    </row>
    <row r="278" ht="15.75" customHeight="1">
      <c r="A278" s="91"/>
      <c r="B278" s="91"/>
      <c r="C278" s="220"/>
      <c r="D278" s="91"/>
      <c r="E278" s="221"/>
      <c r="F278" s="91"/>
      <c r="G278" s="91"/>
      <c r="H278" s="242"/>
      <c r="I278" s="223"/>
      <c r="J278" s="57"/>
      <c r="K278" s="153"/>
      <c r="L278" s="243"/>
      <c r="M278" s="234"/>
      <c r="N278" s="235"/>
      <c r="O278" s="236"/>
      <c r="P278" s="236"/>
      <c r="Q278" s="236"/>
      <c r="R278" s="236"/>
      <c r="S278" s="236"/>
      <c r="T278" s="236"/>
      <c r="U278" s="236"/>
      <c r="V278" s="236"/>
      <c r="W278" s="244"/>
      <c r="X278" s="244"/>
      <c r="Y278" s="237"/>
      <c r="Z278" s="244"/>
      <c r="AA278" s="244"/>
      <c r="AB278" s="244"/>
      <c r="AC278" s="244"/>
      <c r="AD278" s="234"/>
      <c r="AE278" s="234"/>
      <c r="AF278" s="238"/>
      <c r="AG278" s="239"/>
      <c r="AH278" s="238"/>
      <c r="AI278" s="238"/>
      <c r="AJ278" s="234"/>
      <c r="AK278" s="234"/>
      <c r="AL278" s="234"/>
      <c r="AM278" s="234"/>
      <c r="AN278" s="234"/>
      <c r="AO278" s="234"/>
    </row>
    <row r="279" ht="15.75" customHeight="1">
      <c r="A279" s="91"/>
      <c r="B279" s="91"/>
      <c r="C279" s="220"/>
      <c r="D279" s="91"/>
      <c r="E279" s="221"/>
      <c r="F279" s="91"/>
      <c r="G279" s="91"/>
      <c r="H279" s="242"/>
      <c r="I279" s="223"/>
      <c r="J279" s="57"/>
      <c r="K279" s="153"/>
      <c r="L279" s="243"/>
      <c r="M279" s="234"/>
      <c r="N279" s="235"/>
      <c r="O279" s="236"/>
      <c r="P279" s="236"/>
      <c r="Q279" s="236"/>
      <c r="R279" s="236"/>
      <c r="S279" s="236"/>
      <c r="T279" s="236"/>
      <c r="U279" s="236"/>
      <c r="V279" s="236"/>
      <c r="W279" s="244"/>
      <c r="X279" s="244"/>
      <c r="Y279" s="237"/>
      <c r="Z279" s="244"/>
      <c r="AA279" s="244"/>
      <c r="AB279" s="244"/>
      <c r="AC279" s="244"/>
      <c r="AD279" s="234"/>
      <c r="AE279" s="234"/>
      <c r="AF279" s="238"/>
      <c r="AG279" s="239"/>
      <c r="AH279" s="238"/>
      <c r="AI279" s="238"/>
      <c r="AJ279" s="234"/>
      <c r="AK279" s="234"/>
      <c r="AL279" s="234"/>
      <c r="AM279" s="234"/>
      <c r="AN279" s="234"/>
      <c r="AO279" s="234"/>
    </row>
    <row r="280" ht="15.75" customHeight="1">
      <c r="A280" s="91"/>
      <c r="B280" s="91"/>
      <c r="C280" s="220"/>
      <c r="D280" s="91"/>
      <c r="E280" s="221"/>
      <c r="F280" s="91"/>
      <c r="G280" s="91"/>
      <c r="H280" s="242"/>
      <c r="I280" s="223"/>
      <c r="J280" s="57"/>
      <c r="K280" s="153"/>
      <c r="L280" s="243"/>
      <c r="M280" s="234"/>
      <c r="N280" s="235"/>
      <c r="O280" s="236"/>
      <c r="P280" s="236"/>
      <c r="Q280" s="236"/>
      <c r="R280" s="236"/>
      <c r="S280" s="236"/>
      <c r="T280" s="236"/>
      <c r="U280" s="236"/>
      <c r="V280" s="236"/>
      <c r="W280" s="244"/>
      <c r="X280" s="244"/>
      <c r="Y280" s="237"/>
      <c r="Z280" s="244"/>
      <c r="AA280" s="244"/>
      <c r="AB280" s="244"/>
      <c r="AC280" s="244"/>
      <c r="AD280" s="234"/>
      <c r="AE280" s="234"/>
      <c r="AF280" s="238"/>
      <c r="AG280" s="239"/>
      <c r="AH280" s="238"/>
      <c r="AI280" s="238"/>
      <c r="AJ280" s="234"/>
      <c r="AK280" s="234"/>
      <c r="AL280" s="234"/>
      <c r="AM280" s="234"/>
      <c r="AN280" s="234"/>
      <c r="AO280" s="234"/>
    </row>
    <row r="281" ht="15.75" customHeight="1">
      <c r="A281" s="91"/>
      <c r="B281" s="91"/>
      <c r="C281" s="220"/>
      <c r="D281" s="91"/>
      <c r="E281" s="221"/>
      <c r="F281" s="91"/>
      <c r="G281" s="91"/>
      <c r="H281" s="242"/>
      <c r="I281" s="223"/>
      <c r="J281" s="57"/>
      <c r="K281" s="153"/>
      <c r="L281" s="243"/>
      <c r="M281" s="234"/>
      <c r="N281" s="235"/>
      <c r="O281" s="236"/>
      <c r="P281" s="236"/>
      <c r="Q281" s="236"/>
      <c r="R281" s="236"/>
      <c r="S281" s="236"/>
      <c r="T281" s="236"/>
      <c r="U281" s="236"/>
      <c r="V281" s="236"/>
      <c r="W281" s="244"/>
      <c r="X281" s="244"/>
      <c r="Y281" s="237"/>
      <c r="Z281" s="244"/>
      <c r="AA281" s="244"/>
      <c r="AB281" s="244"/>
      <c r="AC281" s="244"/>
      <c r="AD281" s="234"/>
      <c r="AE281" s="234"/>
      <c r="AF281" s="238"/>
      <c r="AG281" s="239"/>
      <c r="AH281" s="238"/>
      <c r="AI281" s="238"/>
      <c r="AJ281" s="234"/>
      <c r="AK281" s="234"/>
      <c r="AL281" s="234"/>
      <c r="AM281" s="234"/>
      <c r="AN281" s="234"/>
      <c r="AO281" s="234"/>
    </row>
    <row r="282" ht="15.75" customHeight="1">
      <c r="A282" s="91"/>
      <c r="B282" s="91"/>
      <c r="C282" s="220"/>
      <c r="D282" s="91"/>
      <c r="E282" s="221"/>
      <c r="F282" s="91"/>
      <c r="G282" s="91"/>
      <c r="H282" s="242"/>
      <c r="I282" s="223"/>
      <c r="J282" s="57"/>
      <c r="K282" s="153"/>
      <c r="L282" s="243"/>
      <c r="M282" s="234"/>
      <c r="N282" s="235"/>
      <c r="O282" s="236"/>
      <c r="P282" s="236"/>
      <c r="Q282" s="236"/>
      <c r="R282" s="236"/>
      <c r="S282" s="236"/>
      <c r="T282" s="236"/>
      <c r="U282" s="236"/>
      <c r="V282" s="236"/>
      <c r="W282" s="244"/>
      <c r="X282" s="244"/>
      <c r="Y282" s="237"/>
      <c r="Z282" s="244"/>
      <c r="AA282" s="244"/>
      <c r="AB282" s="244"/>
      <c r="AC282" s="244"/>
      <c r="AD282" s="234"/>
      <c r="AE282" s="234"/>
      <c r="AF282" s="238"/>
      <c r="AG282" s="239"/>
      <c r="AH282" s="238"/>
      <c r="AI282" s="238"/>
      <c r="AJ282" s="234"/>
      <c r="AK282" s="234"/>
      <c r="AL282" s="234"/>
      <c r="AM282" s="234"/>
      <c r="AN282" s="234"/>
      <c r="AO282" s="234"/>
    </row>
    <row r="283" ht="15.75" customHeight="1">
      <c r="A283" s="91"/>
      <c r="B283" s="91"/>
      <c r="C283" s="220"/>
      <c r="D283" s="91"/>
      <c r="E283" s="221"/>
      <c r="F283" s="91"/>
      <c r="G283" s="91"/>
      <c r="H283" s="242"/>
      <c r="I283" s="223"/>
      <c r="J283" s="57"/>
      <c r="K283" s="153"/>
      <c r="L283" s="243"/>
      <c r="M283" s="234"/>
      <c r="N283" s="235"/>
      <c r="O283" s="236"/>
      <c r="P283" s="236"/>
      <c r="Q283" s="236"/>
      <c r="R283" s="236"/>
      <c r="S283" s="236"/>
      <c r="T283" s="236"/>
      <c r="U283" s="236"/>
      <c r="V283" s="236"/>
      <c r="W283" s="244"/>
      <c r="X283" s="244"/>
      <c r="Y283" s="237"/>
      <c r="Z283" s="244"/>
      <c r="AA283" s="244"/>
      <c r="AB283" s="244"/>
      <c r="AC283" s="244"/>
      <c r="AD283" s="234"/>
      <c r="AE283" s="234"/>
      <c r="AF283" s="238"/>
      <c r="AG283" s="239"/>
      <c r="AH283" s="238"/>
      <c r="AI283" s="238"/>
      <c r="AJ283" s="234"/>
      <c r="AK283" s="234"/>
      <c r="AL283" s="234"/>
      <c r="AM283" s="234"/>
      <c r="AN283" s="234"/>
      <c r="AO283" s="234"/>
    </row>
    <row r="284" ht="15.75" customHeight="1">
      <c r="A284" s="91"/>
      <c r="B284" s="91"/>
      <c r="C284" s="220"/>
      <c r="D284" s="91"/>
      <c r="E284" s="221"/>
      <c r="F284" s="91"/>
      <c r="G284" s="91"/>
      <c r="H284" s="242"/>
      <c r="I284" s="223"/>
      <c r="J284" s="57"/>
      <c r="K284" s="153"/>
      <c r="L284" s="243"/>
      <c r="M284" s="234"/>
      <c r="N284" s="235"/>
      <c r="O284" s="236"/>
      <c r="P284" s="236"/>
      <c r="Q284" s="236"/>
      <c r="R284" s="236"/>
      <c r="S284" s="236"/>
      <c r="T284" s="236"/>
      <c r="U284" s="236"/>
      <c r="V284" s="236"/>
      <c r="W284" s="244"/>
      <c r="X284" s="244"/>
      <c r="Y284" s="237"/>
      <c r="Z284" s="244"/>
      <c r="AA284" s="244"/>
      <c r="AB284" s="244"/>
      <c r="AC284" s="244"/>
      <c r="AD284" s="234"/>
      <c r="AE284" s="234"/>
      <c r="AF284" s="238"/>
      <c r="AG284" s="239"/>
      <c r="AH284" s="238"/>
      <c r="AI284" s="238"/>
      <c r="AJ284" s="234"/>
      <c r="AK284" s="234"/>
      <c r="AL284" s="234"/>
      <c r="AM284" s="234"/>
      <c r="AN284" s="234"/>
      <c r="AO284" s="234"/>
    </row>
    <row r="285" ht="15.75" customHeight="1">
      <c r="A285" s="91"/>
      <c r="B285" s="91"/>
      <c r="C285" s="220"/>
      <c r="D285" s="91"/>
      <c r="E285" s="221"/>
      <c r="F285" s="91"/>
      <c r="G285" s="91"/>
      <c r="H285" s="242"/>
      <c r="I285" s="223"/>
      <c r="J285" s="57"/>
      <c r="K285" s="153"/>
      <c r="L285" s="243"/>
      <c r="M285" s="234"/>
      <c r="N285" s="235"/>
      <c r="O285" s="236"/>
      <c r="P285" s="236"/>
      <c r="Q285" s="236"/>
      <c r="R285" s="236"/>
      <c r="S285" s="236"/>
      <c r="T285" s="236"/>
      <c r="U285" s="236"/>
      <c r="V285" s="236"/>
      <c r="W285" s="244"/>
      <c r="X285" s="244"/>
      <c r="Y285" s="237"/>
      <c r="Z285" s="244"/>
      <c r="AA285" s="244"/>
      <c r="AB285" s="244"/>
      <c r="AC285" s="244"/>
      <c r="AD285" s="234"/>
      <c r="AE285" s="234"/>
      <c r="AF285" s="238"/>
      <c r="AG285" s="239"/>
      <c r="AH285" s="238"/>
      <c r="AI285" s="238"/>
      <c r="AJ285" s="234"/>
      <c r="AK285" s="234"/>
      <c r="AL285" s="234"/>
      <c r="AM285" s="234"/>
      <c r="AN285" s="234"/>
      <c r="AO285" s="234"/>
    </row>
    <row r="286" ht="15.75" customHeight="1">
      <c r="A286" s="91"/>
      <c r="B286" s="91"/>
      <c r="C286" s="220"/>
      <c r="D286" s="91"/>
      <c r="E286" s="221"/>
      <c r="F286" s="91"/>
      <c r="G286" s="91"/>
      <c r="H286" s="242"/>
      <c r="I286" s="223"/>
      <c r="J286" s="57"/>
      <c r="K286" s="153"/>
      <c r="L286" s="243"/>
      <c r="M286" s="234"/>
      <c r="N286" s="235"/>
      <c r="O286" s="236"/>
      <c r="P286" s="236"/>
      <c r="Q286" s="236"/>
      <c r="R286" s="236"/>
      <c r="S286" s="236"/>
      <c r="T286" s="236"/>
      <c r="U286" s="236"/>
      <c r="V286" s="236"/>
      <c r="W286" s="244"/>
      <c r="X286" s="244"/>
      <c r="Y286" s="237"/>
      <c r="Z286" s="244"/>
      <c r="AA286" s="244"/>
      <c r="AB286" s="244"/>
      <c r="AC286" s="244"/>
      <c r="AD286" s="234"/>
      <c r="AE286" s="234"/>
      <c r="AF286" s="238"/>
      <c r="AG286" s="239"/>
      <c r="AH286" s="238"/>
      <c r="AI286" s="238"/>
      <c r="AJ286" s="234"/>
      <c r="AK286" s="234"/>
      <c r="AL286" s="234"/>
      <c r="AM286" s="234"/>
      <c r="AN286" s="234"/>
      <c r="AO286" s="234"/>
    </row>
    <row r="287" ht="15.75" customHeight="1">
      <c r="A287" s="91"/>
      <c r="B287" s="91"/>
      <c r="C287" s="220"/>
      <c r="D287" s="91"/>
      <c r="E287" s="221"/>
      <c r="F287" s="91"/>
      <c r="G287" s="91"/>
      <c r="H287" s="242"/>
      <c r="I287" s="223"/>
      <c r="J287" s="57"/>
      <c r="K287" s="153"/>
      <c r="L287" s="243"/>
      <c r="M287" s="234"/>
      <c r="N287" s="235"/>
      <c r="O287" s="236"/>
      <c r="P287" s="236"/>
      <c r="Q287" s="236"/>
      <c r="R287" s="236"/>
      <c r="S287" s="236"/>
      <c r="T287" s="236"/>
      <c r="U287" s="236"/>
      <c r="V287" s="236"/>
      <c r="W287" s="244"/>
      <c r="X287" s="244"/>
      <c r="Y287" s="237"/>
      <c r="Z287" s="244"/>
      <c r="AA287" s="244"/>
      <c r="AB287" s="244"/>
      <c r="AC287" s="244"/>
      <c r="AD287" s="234"/>
      <c r="AE287" s="234"/>
      <c r="AF287" s="238"/>
      <c r="AG287" s="239"/>
      <c r="AH287" s="238"/>
      <c r="AI287" s="238"/>
      <c r="AJ287" s="234"/>
      <c r="AK287" s="234"/>
      <c r="AL287" s="234"/>
      <c r="AM287" s="234"/>
      <c r="AN287" s="234"/>
      <c r="AO287" s="234"/>
    </row>
    <row r="288" ht="15.75" customHeight="1">
      <c r="A288" s="91"/>
      <c r="B288" s="91"/>
      <c r="C288" s="220"/>
      <c r="D288" s="91"/>
      <c r="E288" s="221"/>
      <c r="F288" s="91"/>
      <c r="G288" s="91"/>
      <c r="H288" s="242"/>
      <c r="I288" s="223"/>
      <c r="J288" s="57"/>
      <c r="K288" s="153"/>
      <c r="L288" s="243"/>
      <c r="M288" s="234"/>
      <c r="N288" s="235"/>
      <c r="O288" s="236"/>
      <c r="P288" s="236"/>
      <c r="Q288" s="236"/>
      <c r="R288" s="236"/>
      <c r="S288" s="236"/>
      <c r="T288" s="236"/>
      <c r="U288" s="236"/>
      <c r="V288" s="236"/>
      <c r="W288" s="244"/>
      <c r="X288" s="244"/>
      <c r="Y288" s="237"/>
      <c r="Z288" s="244"/>
      <c r="AA288" s="244"/>
      <c r="AB288" s="244"/>
      <c r="AC288" s="244"/>
      <c r="AD288" s="234"/>
      <c r="AE288" s="234"/>
      <c r="AF288" s="238"/>
      <c r="AG288" s="239"/>
      <c r="AH288" s="238"/>
      <c r="AI288" s="238"/>
      <c r="AJ288" s="234"/>
      <c r="AK288" s="234"/>
      <c r="AL288" s="234"/>
      <c r="AM288" s="234"/>
      <c r="AN288" s="234"/>
      <c r="AO288" s="234"/>
    </row>
    <row r="289" ht="15.75" customHeight="1">
      <c r="A289" s="91"/>
      <c r="B289" s="91"/>
      <c r="C289" s="220"/>
      <c r="D289" s="91"/>
      <c r="E289" s="221"/>
      <c r="F289" s="91"/>
      <c r="G289" s="91"/>
      <c r="H289" s="242"/>
      <c r="I289" s="223"/>
      <c r="J289" s="57"/>
      <c r="K289" s="153"/>
      <c r="L289" s="243"/>
      <c r="M289" s="234"/>
      <c r="N289" s="235"/>
      <c r="O289" s="236"/>
      <c r="P289" s="236"/>
      <c r="Q289" s="236"/>
      <c r="R289" s="236"/>
      <c r="S289" s="236"/>
      <c r="T289" s="236"/>
      <c r="U289" s="236"/>
      <c r="V289" s="236"/>
      <c r="W289" s="244"/>
      <c r="X289" s="244"/>
      <c r="Y289" s="237"/>
      <c r="Z289" s="244"/>
      <c r="AA289" s="244"/>
      <c r="AB289" s="244"/>
      <c r="AC289" s="244"/>
      <c r="AD289" s="234"/>
      <c r="AE289" s="234"/>
      <c r="AF289" s="238"/>
      <c r="AG289" s="239"/>
      <c r="AH289" s="238"/>
      <c r="AI289" s="238"/>
      <c r="AJ289" s="234"/>
      <c r="AK289" s="234"/>
      <c r="AL289" s="234"/>
      <c r="AM289" s="234"/>
      <c r="AN289" s="234"/>
      <c r="AO289" s="234"/>
    </row>
    <row r="290" ht="15.75" customHeight="1">
      <c r="A290" s="91"/>
      <c r="B290" s="91"/>
      <c r="C290" s="220"/>
      <c r="D290" s="91"/>
      <c r="E290" s="221"/>
      <c r="F290" s="91"/>
      <c r="G290" s="91"/>
      <c r="H290" s="242"/>
      <c r="I290" s="223"/>
      <c r="J290" s="57"/>
      <c r="K290" s="153"/>
      <c r="L290" s="243"/>
      <c r="M290" s="234"/>
      <c r="N290" s="235"/>
      <c r="O290" s="236"/>
      <c r="P290" s="236"/>
      <c r="Q290" s="236"/>
      <c r="R290" s="236"/>
      <c r="S290" s="236"/>
      <c r="T290" s="236"/>
      <c r="U290" s="236"/>
      <c r="V290" s="236"/>
      <c r="W290" s="244"/>
      <c r="X290" s="244"/>
      <c r="Y290" s="237"/>
      <c r="Z290" s="244"/>
      <c r="AA290" s="244"/>
      <c r="AB290" s="244"/>
      <c r="AC290" s="244"/>
      <c r="AD290" s="234"/>
      <c r="AE290" s="234"/>
      <c r="AF290" s="238"/>
      <c r="AG290" s="239"/>
      <c r="AH290" s="238"/>
      <c r="AI290" s="238"/>
      <c r="AJ290" s="234"/>
      <c r="AK290" s="234"/>
      <c r="AL290" s="234"/>
      <c r="AM290" s="234"/>
      <c r="AN290" s="234"/>
      <c r="AO290" s="234"/>
    </row>
    <row r="291" ht="15.75" customHeight="1">
      <c r="A291" s="91"/>
      <c r="B291" s="91"/>
      <c r="C291" s="220"/>
      <c r="D291" s="91"/>
      <c r="E291" s="221"/>
      <c r="F291" s="91"/>
      <c r="G291" s="91"/>
      <c r="H291" s="242"/>
      <c r="I291" s="223"/>
      <c r="J291" s="57"/>
      <c r="K291" s="153"/>
      <c r="L291" s="243"/>
      <c r="M291" s="234"/>
      <c r="N291" s="235"/>
      <c r="O291" s="236"/>
      <c r="P291" s="236"/>
      <c r="Q291" s="236"/>
      <c r="R291" s="236"/>
      <c r="S291" s="236"/>
      <c r="T291" s="236"/>
      <c r="U291" s="236"/>
      <c r="V291" s="236"/>
      <c r="W291" s="244"/>
      <c r="X291" s="244"/>
      <c r="Y291" s="237"/>
      <c r="Z291" s="244"/>
      <c r="AA291" s="244"/>
      <c r="AB291" s="244"/>
      <c r="AC291" s="244"/>
      <c r="AD291" s="234"/>
      <c r="AE291" s="234"/>
      <c r="AF291" s="238"/>
      <c r="AG291" s="239"/>
      <c r="AH291" s="238"/>
      <c r="AI291" s="238"/>
      <c r="AJ291" s="234"/>
      <c r="AK291" s="234"/>
      <c r="AL291" s="234"/>
      <c r="AM291" s="234"/>
      <c r="AN291" s="234"/>
      <c r="AO291" s="234"/>
    </row>
    <row r="292" ht="15.75" customHeight="1">
      <c r="A292" s="91"/>
      <c r="B292" s="91"/>
      <c r="C292" s="220"/>
      <c r="D292" s="91"/>
      <c r="E292" s="221"/>
      <c r="F292" s="91"/>
      <c r="G292" s="91"/>
      <c r="H292" s="242"/>
      <c r="I292" s="223"/>
      <c r="J292" s="57"/>
      <c r="K292" s="153"/>
      <c r="L292" s="243"/>
      <c r="M292" s="234"/>
      <c r="N292" s="235"/>
      <c r="O292" s="236"/>
      <c r="P292" s="236"/>
      <c r="Q292" s="236"/>
      <c r="R292" s="236"/>
      <c r="S292" s="236"/>
      <c r="T292" s="236"/>
      <c r="U292" s="236"/>
      <c r="V292" s="236"/>
      <c r="W292" s="244"/>
      <c r="X292" s="244"/>
      <c r="Y292" s="237"/>
      <c r="Z292" s="244"/>
      <c r="AA292" s="244"/>
      <c r="AB292" s="244"/>
      <c r="AC292" s="244"/>
      <c r="AD292" s="234"/>
      <c r="AE292" s="234"/>
      <c r="AF292" s="238"/>
      <c r="AG292" s="239"/>
      <c r="AH292" s="238"/>
      <c r="AI292" s="238"/>
      <c r="AJ292" s="234"/>
      <c r="AK292" s="234"/>
      <c r="AL292" s="234"/>
      <c r="AM292" s="234"/>
      <c r="AN292" s="234"/>
      <c r="AO292" s="234"/>
    </row>
    <row r="293" ht="15.75" customHeight="1">
      <c r="A293" s="91"/>
      <c r="B293" s="91"/>
      <c r="C293" s="220"/>
      <c r="D293" s="91"/>
      <c r="E293" s="221"/>
      <c r="F293" s="91"/>
      <c r="G293" s="91"/>
      <c r="H293" s="242"/>
      <c r="I293" s="223"/>
      <c r="J293" s="57"/>
      <c r="K293" s="153"/>
      <c r="L293" s="243"/>
      <c r="M293" s="234"/>
      <c r="N293" s="235"/>
      <c r="O293" s="236"/>
      <c r="P293" s="236"/>
      <c r="Q293" s="236"/>
      <c r="R293" s="236"/>
      <c r="S293" s="236"/>
      <c r="T293" s="236"/>
      <c r="U293" s="236"/>
      <c r="V293" s="236"/>
      <c r="W293" s="244"/>
      <c r="X293" s="244"/>
      <c r="Y293" s="237"/>
      <c r="Z293" s="244"/>
      <c r="AA293" s="244"/>
      <c r="AB293" s="244"/>
      <c r="AC293" s="244"/>
      <c r="AD293" s="234"/>
      <c r="AE293" s="234"/>
      <c r="AF293" s="238"/>
      <c r="AG293" s="239"/>
      <c r="AH293" s="238"/>
      <c r="AI293" s="238"/>
      <c r="AJ293" s="234"/>
      <c r="AK293" s="234"/>
      <c r="AL293" s="234"/>
      <c r="AM293" s="234"/>
      <c r="AN293" s="234"/>
      <c r="AO293" s="234"/>
    </row>
    <row r="294" ht="15.75" customHeight="1">
      <c r="A294" s="91"/>
      <c r="B294" s="91"/>
      <c r="C294" s="220"/>
      <c r="D294" s="91"/>
      <c r="E294" s="221"/>
      <c r="F294" s="91"/>
      <c r="G294" s="91"/>
      <c r="H294" s="242"/>
      <c r="I294" s="223"/>
      <c r="J294" s="57"/>
      <c r="K294" s="153"/>
      <c r="L294" s="243"/>
      <c r="M294" s="234"/>
      <c r="N294" s="235"/>
      <c r="O294" s="236"/>
      <c r="P294" s="236"/>
      <c r="Q294" s="236"/>
      <c r="R294" s="236"/>
      <c r="S294" s="236"/>
      <c r="T294" s="236"/>
      <c r="U294" s="236"/>
      <c r="V294" s="236"/>
      <c r="W294" s="244"/>
      <c r="X294" s="244"/>
      <c r="Y294" s="237"/>
      <c r="Z294" s="244"/>
      <c r="AA294" s="244"/>
      <c r="AB294" s="244"/>
      <c r="AC294" s="244"/>
      <c r="AD294" s="234"/>
      <c r="AE294" s="234"/>
      <c r="AF294" s="238"/>
      <c r="AG294" s="239"/>
      <c r="AH294" s="238"/>
      <c r="AI294" s="238"/>
      <c r="AJ294" s="234"/>
      <c r="AK294" s="234"/>
      <c r="AL294" s="234"/>
      <c r="AM294" s="234"/>
      <c r="AN294" s="234"/>
      <c r="AO294" s="234"/>
    </row>
    <row r="295" ht="15.75" customHeight="1">
      <c r="A295" s="91"/>
      <c r="B295" s="91"/>
      <c r="C295" s="220"/>
      <c r="D295" s="91"/>
      <c r="E295" s="221"/>
      <c r="F295" s="91"/>
      <c r="G295" s="91"/>
      <c r="H295" s="242"/>
      <c r="I295" s="223"/>
      <c r="J295" s="57"/>
      <c r="K295" s="153"/>
      <c r="L295" s="243"/>
      <c r="M295" s="234"/>
      <c r="N295" s="235"/>
      <c r="O295" s="236"/>
      <c r="P295" s="236"/>
      <c r="Q295" s="236"/>
      <c r="R295" s="236"/>
      <c r="S295" s="236"/>
      <c r="T295" s="236"/>
      <c r="U295" s="236"/>
      <c r="V295" s="236"/>
      <c r="W295" s="244"/>
      <c r="X295" s="244"/>
      <c r="Y295" s="237"/>
      <c r="Z295" s="244"/>
      <c r="AA295" s="244"/>
      <c r="AB295" s="244"/>
      <c r="AC295" s="244"/>
      <c r="AD295" s="234"/>
      <c r="AE295" s="234"/>
      <c r="AF295" s="238"/>
      <c r="AG295" s="239"/>
      <c r="AH295" s="238"/>
      <c r="AI295" s="238"/>
      <c r="AJ295" s="234"/>
      <c r="AK295" s="234"/>
      <c r="AL295" s="234"/>
      <c r="AM295" s="234"/>
      <c r="AN295" s="234"/>
      <c r="AO295" s="234"/>
    </row>
    <row r="296" ht="15.75" customHeight="1">
      <c r="A296" s="91"/>
      <c r="B296" s="91"/>
      <c r="C296" s="220"/>
      <c r="D296" s="91"/>
      <c r="E296" s="221"/>
      <c r="F296" s="91"/>
      <c r="G296" s="91"/>
      <c r="H296" s="242"/>
      <c r="I296" s="223"/>
      <c r="J296" s="57"/>
      <c r="K296" s="153"/>
      <c r="L296" s="243"/>
      <c r="M296" s="234"/>
      <c r="N296" s="235"/>
      <c r="O296" s="236"/>
      <c r="P296" s="236"/>
      <c r="Q296" s="236"/>
      <c r="R296" s="236"/>
      <c r="S296" s="236"/>
      <c r="T296" s="236"/>
      <c r="U296" s="236"/>
      <c r="V296" s="236"/>
      <c r="W296" s="244"/>
      <c r="X296" s="244"/>
      <c r="Y296" s="237"/>
      <c r="Z296" s="244"/>
      <c r="AA296" s="244"/>
      <c r="AB296" s="244"/>
      <c r="AC296" s="244"/>
      <c r="AD296" s="234"/>
      <c r="AE296" s="234"/>
      <c r="AF296" s="238"/>
      <c r="AG296" s="239"/>
      <c r="AH296" s="238"/>
      <c r="AI296" s="238"/>
      <c r="AJ296" s="234"/>
      <c r="AK296" s="234"/>
      <c r="AL296" s="234"/>
      <c r="AM296" s="234"/>
      <c r="AN296" s="234"/>
      <c r="AO296" s="234"/>
    </row>
    <row r="297" ht="15.75" customHeight="1">
      <c r="A297" s="91"/>
      <c r="B297" s="91"/>
      <c r="C297" s="220"/>
      <c r="D297" s="91"/>
      <c r="E297" s="221"/>
      <c r="F297" s="91"/>
      <c r="G297" s="91"/>
      <c r="H297" s="242"/>
      <c r="I297" s="223"/>
      <c r="J297" s="57"/>
      <c r="K297" s="153"/>
      <c r="L297" s="243"/>
      <c r="M297" s="234"/>
      <c r="N297" s="235"/>
      <c r="O297" s="236"/>
      <c r="P297" s="236"/>
      <c r="Q297" s="236"/>
      <c r="R297" s="236"/>
      <c r="S297" s="236"/>
      <c r="T297" s="236"/>
      <c r="U297" s="236"/>
      <c r="V297" s="236"/>
      <c r="W297" s="244"/>
      <c r="X297" s="244"/>
      <c r="Y297" s="237"/>
      <c r="Z297" s="244"/>
      <c r="AA297" s="244"/>
      <c r="AB297" s="244"/>
      <c r="AC297" s="244"/>
      <c r="AD297" s="234"/>
      <c r="AE297" s="234"/>
      <c r="AF297" s="238"/>
      <c r="AG297" s="239"/>
      <c r="AH297" s="238"/>
      <c r="AI297" s="238"/>
      <c r="AJ297" s="234"/>
      <c r="AK297" s="234"/>
      <c r="AL297" s="234"/>
      <c r="AM297" s="234"/>
      <c r="AN297" s="234"/>
      <c r="AO297" s="234"/>
    </row>
    <row r="298" ht="15.75" customHeight="1">
      <c r="A298" s="91"/>
      <c r="B298" s="91"/>
      <c r="C298" s="220"/>
      <c r="D298" s="91"/>
      <c r="E298" s="221"/>
      <c r="F298" s="91"/>
      <c r="G298" s="91"/>
      <c r="H298" s="242"/>
      <c r="I298" s="223"/>
      <c r="J298" s="57"/>
      <c r="K298" s="153"/>
      <c r="L298" s="243"/>
      <c r="M298" s="234"/>
      <c r="N298" s="235"/>
      <c r="O298" s="236"/>
      <c r="P298" s="236"/>
      <c r="Q298" s="236"/>
      <c r="R298" s="236"/>
      <c r="S298" s="236"/>
      <c r="T298" s="236"/>
      <c r="U298" s="236"/>
      <c r="V298" s="236"/>
      <c r="W298" s="244"/>
      <c r="X298" s="244"/>
      <c r="Y298" s="237"/>
      <c r="Z298" s="244"/>
      <c r="AA298" s="244"/>
      <c r="AB298" s="244"/>
      <c r="AC298" s="244"/>
      <c r="AD298" s="234"/>
      <c r="AE298" s="234"/>
      <c r="AF298" s="238"/>
      <c r="AG298" s="239"/>
      <c r="AH298" s="238"/>
      <c r="AI298" s="238"/>
      <c r="AJ298" s="234"/>
      <c r="AK298" s="234"/>
      <c r="AL298" s="234"/>
      <c r="AM298" s="234"/>
      <c r="AN298" s="234"/>
      <c r="AO298" s="234"/>
    </row>
    <row r="299" ht="15.75" customHeight="1">
      <c r="A299" s="91"/>
      <c r="B299" s="91"/>
      <c r="C299" s="220"/>
      <c r="D299" s="91"/>
      <c r="E299" s="221"/>
      <c r="F299" s="91"/>
      <c r="G299" s="91"/>
      <c r="H299" s="242"/>
      <c r="I299" s="223"/>
      <c r="J299" s="57"/>
      <c r="K299" s="153"/>
      <c r="L299" s="243"/>
      <c r="M299" s="234"/>
      <c r="N299" s="235"/>
      <c r="O299" s="236"/>
      <c r="P299" s="236"/>
      <c r="Q299" s="236"/>
      <c r="R299" s="236"/>
      <c r="S299" s="236"/>
      <c r="T299" s="236"/>
      <c r="U299" s="236"/>
      <c r="V299" s="236"/>
      <c r="W299" s="244"/>
      <c r="X299" s="244"/>
      <c r="Y299" s="237"/>
      <c r="Z299" s="244"/>
      <c r="AA299" s="244"/>
      <c r="AB299" s="244"/>
      <c r="AC299" s="244"/>
      <c r="AD299" s="234"/>
      <c r="AE299" s="234"/>
      <c r="AF299" s="238"/>
      <c r="AG299" s="239"/>
      <c r="AH299" s="238"/>
      <c r="AI299" s="238"/>
      <c r="AJ299" s="234"/>
      <c r="AK299" s="234"/>
      <c r="AL299" s="234"/>
      <c r="AM299" s="234"/>
      <c r="AN299" s="234"/>
      <c r="AO299" s="234"/>
    </row>
    <row r="300" ht="15.75" customHeight="1">
      <c r="A300" s="91"/>
      <c r="B300" s="91"/>
      <c r="C300" s="220"/>
      <c r="D300" s="91"/>
      <c r="E300" s="221"/>
      <c r="F300" s="91"/>
      <c r="G300" s="91"/>
      <c r="H300" s="242"/>
      <c r="I300" s="223"/>
      <c r="J300" s="57"/>
      <c r="K300" s="153"/>
      <c r="L300" s="243"/>
      <c r="M300" s="234"/>
      <c r="N300" s="235"/>
      <c r="O300" s="236"/>
      <c r="P300" s="236"/>
      <c r="Q300" s="236"/>
      <c r="R300" s="236"/>
      <c r="S300" s="236"/>
      <c r="T300" s="236"/>
      <c r="U300" s="236"/>
      <c r="V300" s="236"/>
      <c r="W300" s="244"/>
      <c r="X300" s="244"/>
      <c r="Y300" s="237"/>
      <c r="Z300" s="244"/>
      <c r="AA300" s="244"/>
      <c r="AB300" s="244"/>
      <c r="AC300" s="244"/>
      <c r="AD300" s="234"/>
      <c r="AE300" s="234"/>
      <c r="AF300" s="238"/>
      <c r="AG300" s="239"/>
      <c r="AH300" s="238"/>
      <c r="AI300" s="238"/>
      <c r="AJ300" s="234"/>
      <c r="AK300" s="234"/>
      <c r="AL300" s="234"/>
      <c r="AM300" s="234"/>
      <c r="AN300" s="234"/>
      <c r="AO300" s="234"/>
    </row>
    <row r="301" ht="15.75" customHeight="1">
      <c r="A301" s="91"/>
      <c r="B301" s="91"/>
      <c r="C301" s="220"/>
      <c r="D301" s="91"/>
      <c r="E301" s="221"/>
      <c r="F301" s="91"/>
      <c r="G301" s="91"/>
      <c r="H301" s="242"/>
      <c r="I301" s="223"/>
      <c r="J301" s="57"/>
      <c r="K301" s="153"/>
      <c r="L301" s="243"/>
      <c r="M301" s="234"/>
      <c r="N301" s="235"/>
      <c r="O301" s="236"/>
      <c r="P301" s="236"/>
      <c r="Q301" s="236"/>
      <c r="R301" s="236"/>
      <c r="S301" s="236"/>
      <c r="T301" s="236"/>
      <c r="U301" s="236"/>
      <c r="V301" s="236"/>
      <c r="W301" s="244"/>
      <c r="X301" s="244"/>
      <c r="Y301" s="237"/>
      <c r="Z301" s="244"/>
      <c r="AA301" s="244"/>
      <c r="AB301" s="244"/>
      <c r="AC301" s="244"/>
      <c r="AD301" s="234"/>
      <c r="AE301" s="234"/>
      <c r="AF301" s="238"/>
      <c r="AG301" s="239"/>
      <c r="AH301" s="238"/>
      <c r="AI301" s="238"/>
      <c r="AJ301" s="234"/>
      <c r="AK301" s="234"/>
      <c r="AL301" s="234"/>
      <c r="AM301" s="234"/>
      <c r="AN301" s="234"/>
      <c r="AO301" s="234"/>
    </row>
    <row r="302" ht="15.75" customHeight="1">
      <c r="A302" s="91"/>
      <c r="B302" s="91"/>
      <c r="C302" s="220"/>
      <c r="D302" s="91"/>
      <c r="E302" s="221"/>
      <c r="F302" s="91"/>
      <c r="G302" s="91"/>
      <c r="H302" s="242"/>
      <c r="I302" s="223"/>
      <c r="J302" s="57"/>
      <c r="K302" s="153"/>
      <c r="L302" s="243"/>
      <c r="M302" s="234"/>
      <c r="N302" s="235"/>
      <c r="O302" s="236"/>
      <c r="P302" s="236"/>
      <c r="Q302" s="236"/>
      <c r="R302" s="236"/>
      <c r="S302" s="236"/>
      <c r="T302" s="236"/>
      <c r="U302" s="236"/>
      <c r="V302" s="236"/>
      <c r="W302" s="244"/>
      <c r="X302" s="244"/>
      <c r="Y302" s="237"/>
      <c r="Z302" s="244"/>
      <c r="AA302" s="244"/>
      <c r="AB302" s="244"/>
      <c r="AC302" s="244"/>
      <c r="AD302" s="234"/>
      <c r="AE302" s="234"/>
      <c r="AF302" s="238"/>
      <c r="AG302" s="239"/>
      <c r="AH302" s="238"/>
      <c r="AI302" s="238"/>
      <c r="AJ302" s="234"/>
      <c r="AK302" s="234"/>
      <c r="AL302" s="234"/>
      <c r="AM302" s="234"/>
      <c r="AN302" s="234"/>
      <c r="AO302" s="234"/>
    </row>
    <row r="303" ht="15.75" customHeight="1">
      <c r="A303" s="91"/>
      <c r="B303" s="91"/>
      <c r="C303" s="220"/>
      <c r="D303" s="91"/>
      <c r="E303" s="221"/>
      <c r="F303" s="91"/>
      <c r="G303" s="91"/>
      <c r="H303" s="242"/>
      <c r="I303" s="223"/>
      <c r="J303" s="57"/>
      <c r="K303" s="153"/>
      <c r="L303" s="243"/>
      <c r="M303" s="234"/>
      <c r="N303" s="235"/>
      <c r="O303" s="236"/>
      <c r="P303" s="236"/>
      <c r="Q303" s="236"/>
      <c r="R303" s="236"/>
      <c r="S303" s="236"/>
      <c r="T303" s="236"/>
      <c r="U303" s="236"/>
      <c r="V303" s="236"/>
      <c r="W303" s="244"/>
      <c r="X303" s="244"/>
      <c r="Y303" s="237"/>
      <c r="Z303" s="244"/>
      <c r="AA303" s="244"/>
      <c r="AB303" s="244"/>
      <c r="AC303" s="244"/>
      <c r="AD303" s="234"/>
      <c r="AE303" s="234"/>
      <c r="AF303" s="238"/>
      <c r="AG303" s="239"/>
      <c r="AH303" s="238"/>
      <c r="AI303" s="238"/>
      <c r="AJ303" s="234"/>
      <c r="AK303" s="234"/>
      <c r="AL303" s="234"/>
      <c r="AM303" s="234"/>
      <c r="AN303" s="234"/>
      <c r="AO303" s="234"/>
    </row>
    <row r="304" ht="15.75" customHeight="1">
      <c r="A304" s="91"/>
      <c r="B304" s="91"/>
      <c r="C304" s="220"/>
      <c r="D304" s="91"/>
      <c r="E304" s="221"/>
      <c r="F304" s="91"/>
      <c r="G304" s="91"/>
      <c r="H304" s="242"/>
      <c r="I304" s="223"/>
      <c r="J304" s="57"/>
      <c r="K304" s="153"/>
      <c r="L304" s="243"/>
      <c r="M304" s="234"/>
      <c r="N304" s="235"/>
      <c r="O304" s="236"/>
      <c r="P304" s="236"/>
      <c r="Q304" s="236"/>
      <c r="R304" s="236"/>
      <c r="S304" s="236"/>
      <c r="T304" s="236"/>
      <c r="U304" s="236"/>
      <c r="V304" s="236"/>
      <c r="W304" s="244"/>
      <c r="X304" s="244"/>
      <c r="Y304" s="237"/>
      <c r="Z304" s="244"/>
      <c r="AA304" s="244"/>
      <c r="AB304" s="244"/>
      <c r="AC304" s="244"/>
      <c r="AD304" s="234"/>
      <c r="AE304" s="234"/>
      <c r="AF304" s="238"/>
      <c r="AG304" s="239"/>
      <c r="AH304" s="238"/>
      <c r="AI304" s="238"/>
      <c r="AJ304" s="234"/>
      <c r="AK304" s="234"/>
      <c r="AL304" s="234"/>
      <c r="AM304" s="234"/>
      <c r="AN304" s="234"/>
      <c r="AO304" s="234"/>
    </row>
    <row r="305" ht="15.75" customHeight="1">
      <c r="A305" s="91"/>
      <c r="B305" s="91"/>
      <c r="C305" s="220"/>
      <c r="D305" s="91"/>
      <c r="E305" s="221"/>
      <c r="F305" s="91"/>
      <c r="G305" s="91"/>
      <c r="H305" s="242"/>
      <c r="I305" s="223"/>
      <c r="J305" s="57"/>
      <c r="K305" s="153"/>
      <c r="L305" s="243"/>
      <c r="M305" s="234"/>
      <c r="N305" s="235"/>
      <c r="O305" s="236"/>
      <c r="P305" s="236"/>
      <c r="Q305" s="236"/>
      <c r="R305" s="236"/>
      <c r="S305" s="236"/>
      <c r="T305" s="236"/>
      <c r="U305" s="236"/>
      <c r="V305" s="236"/>
      <c r="W305" s="244"/>
      <c r="X305" s="244"/>
      <c r="Y305" s="237"/>
      <c r="Z305" s="244"/>
      <c r="AA305" s="244"/>
      <c r="AB305" s="244"/>
      <c r="AC305" s="244"/>
      <c r="AD305" s="234"/>
      <c r="AE305" s="234"/>
      <c r="AF305" s="238"/>
      <c r="AG305" s="239"/>
      <c r="AH305" s="238"/>
      <c r="AI305" s="238"/>
      <c r="AJ305" s="234"/>
      <c r="AK305" s="234"/>
      <c r="AL305" s="234"/>
      <c r="AM305" s="234"/>
      <c r="AN305" s="234"/>
      <c r="AO305" s="234"/>
    </row>
    <row r="306" ht="15.75" customHeight="1">
      <c r="A306" s="91"/>
      <c r="B306" s="91"/>
      <c r="C306" s="220"/>
      <c r="D306" s="91"/>
      <c r="E306" s="221"/>
      <c r="F306" s="91"/>
      <c r="G306" s="91"/>
      <c r="H306" s="242"/>
      <c r="I306" s="223"/>
      <c r="J306" s="57"/>
      <c r="K306" s="153"/>
      <c r="L306" s="243"/>
      <c r="M306" s="234"/>
      <c r="N306" s="235"/>
      <c r="O306" s="236"/>
      <c r="P306" s="236"/>
      <c r="Q306" s="236"/>
      <c r="R306" s="236"/>
      <c r="S306" s="236"/>
      <c r="T306" s="236"/>
      <c r="U306" s="236"/>
      <c r="V306" s="236"/>
      <c r="W306" s="244"/>
      <c r="X306" s="244"/>
      <c r="Y306" s="237"/>
      <c r="Z306" s="244"/>
      <c r="AA306" s="244"/>
      <c r="AB306" s="244"/>
      <c r="AC306" s="244"/>
      <c r="AD306" s="234"/>
      <c r="AE306" s="234"/>
      <c r="AF306" s="238"/>
      <c r="AG306" s="239"/>
      <c r="AH306" s="238"/>
      <c r="AI306" s="238"/>
      <c r="AJ306" s="234"/>
      <c r="AK306" s="234"/>
      <c r="AL306" s="234"/>
      <c r="AM306" s="234"/>
      <c r="AN306" s="234"/>
      <c r="AO306" s="234"/>
    </row>
    <row r="307" ht="15.75" customHeight="1">
      <c r="A307" s="91"/>
      <c r="B307" s="91"/>
      <c r="C307" s="220"/>
      <c r="D307" s="91"/>
      <c r="E307" s="221"/>
      <c r="F307" s="91"/>
      <c r="G307" s="91"/>
      <c r="H307" s="242"/>
      <c r="I307" s="223"/>
      <c r="J307" s="57"/>
      <c r="K307" s="153"/>
      <c r="L307" s="243"/>
      <c r="M307" s="234"/>
      <c r="N307" s="235"/>
      <c r="O307" s="236"/>
      <c r="P307" s="236"/>
      <c r="Q307" s="236"/>
      <c r="R307" s="236"/>
      <c r="S307" s="236"/>
      <c r="T307" s="236"/>
      <c r="U307" s="236"/>
      <c r="V307" s="236"/>
      <c r="W307" s="244"/>
      <c r="X307" s="244"/>
      <c r="Y307" s="237"/>
      <c r="Z307" s="244"/>
      <c r="AA307" s="244"/>
      <c r="AB307" s="244"/>
      <c r="AC307" s="244"/>
      <c r="AD307" s="234"/>
      <c r="AE307" s="234"/>
      <c r="AF307" s="238"/>
      <c r="AG307" s="239"/>
      <c r="AH307" s="238"/>
      <c r="AI307" s="238"/>
      <c r="AJ307" s="234"/>
      <c r="AK307" s="234"/>
      <c r="AL307" s="234"/>
      <c r="AM307" s="234"/>
      <c r="AN307" s="234"/>
      <c r="AO307" s="234"/>
    </row>
    <row r="308" ht="15.75" customHeight="1">
      <c r="A308" s="91"/>
      <c r="B308" s="91"/>
      <c r="C308" s="220"/>
      <c r="D308" s="91"/>
      <c r="E308" s="221"/>
      <c r="F308" s="91"/>
      <c r="G308" s="91"/>
      <c r="H308" s="242"/>
      <c r="I308" s="223"/>
      <c r="J308" s="57"/>
      <c r="K308" s="153"/>
      <c r="L308" s="243"/>
      <c r="M308" s="234"/>
      <c r="N308" s="235"/>
      <c r="O308" s="236"/>
      <c r="P308" s="236"/>
      <c r="Q308" s="236"/>
      <c r="R308" s="236"/>
      <c r="S308" s="236"/>
      <c r="T308" s="236"/>
      <c r="U308" s="236"/>
      <c r="V308" s="236"/>
      <c r="W308" s="244"/>
      <c r="X308" s="244"/>
      <c r="Y308" s="237"/>
      <c r="Z308" s="244"/>
      <c r="AA308" s="244"/>
      <c r="AB308" s="244"/>
      <c r="AC308" s="244"/>
      <c r="AD308" s="234"/>
      <c r="AE308" s="234"/>
      <c r="AF308" s="238"/>
      <c r="AG308" s="239"/>
      <c r="AH308" s="238"/>
      <c r="AI308" s="238"/>
      <c r="AJ308" s="234"/>
      <c r="AK308" s="234"/>
      <c r="AL308" s="234"/>
      <c r="AM308" s="234"/>
      <c r="AN308" s="234"/>
      <c r="AO308" s="234"/>
    </row>
    <row r="309" ht="15.75" customHeight="1">
      <c r="A309" s="91"/>
      <c r="B309" s="91"/>
      <c r="C309" s="220"/>
      <c r="D309" s="91"/>
      <c r="E309" s="221"/>
      <c r="F309" s="91"/>
      <c r="G309" s="91"/>
      <c r="H309" s="242"/>
      <c r="I309" s="223"/>
      <c r="J309" s="57"/>
      <c r="K309" s="153"/>
      <c r="L309" s="243"/>
      <c r="M309" s="234"/>
      <c r="N309" s="235"/>
      <c r="O309" s="236"/>
      <c r="P309" s="236"/>
      <c r="Q309" s="236"/>
      <c r="R309" s="236"/>
      <c r="S309" s="236"/>
      <c r="T309" s="236"/>
      <c r="U309" s="236"/>
      <c r="V309" s="236"/>
      <c r="W309" s="244"/>
      <c r="X309" s="244"/>
      <c r="Y309" s="237"/>
      <c r="Z309" s="244"/>
      <c r="AA309" s="244"/>
      <c r="AB309" s="244"/>
      <c r="AC309" s="244"/>
      <c r="AD309" s="234"/>
      <c r="AE309" s="234"/>
      <c r="AF309" s="238"/>
      <c r="AG309" s="239"/>
      <c r="AH309" s="238"/>
      <c r="AI309" s="238"/>
      <c r="AJ309" s="234"/>
      <c r="AK309" s="234"/>
      <c r="AL309" s="234"/>
      <c r="AM309" s="234"/>
      <c r="AN309" s="234"/>
      <c r="AO309" s="234"/>
    </row>
    <row r="310" ht="15.75" customHeight="1">
      <c r="A310" s="91"/>
      <c r="B310" s="91"/>
      <c r="C310" s="220"/>
      <c r="D310" s="91"/>
      <c r="E310" s="221"/>
      <c r="F310" s="91"/>
      <c r="G310" s="91"/>
      <c r="H310" s="242"/>
      <c r="I310" s="223"/>
      <c r="J310" s="57"/>
      <c r="K310" s="153"/>
      <c r="L310" s="243"/>
      <c r="M310" s="234"/>
      <c r="N310" s="235"/>
      <c r="O310" s="236"/>
      <c r="P310" s="236"/>
      <c r="Q310" s="236"/>
      <c r="R310" s="236"/>
      <c r="S310" s="236"/>
      <c r="T310" s="236"/>
      <c r="U310" s="236"/>
      <c r="V310" s="236"/>
      <c r="W310" s="244"/>
      <c r="X310" s="244"/>
      <c r="Y310" s="237"/>
      <c r="Z310" s="244"/>
      <c r="AA310" s="244"/>
      <c r="AB310" s="244"/>
      <c r="AC310" s="244"/>
      <c r="AD310" s="234"/>
      <c r="AE310" s="234"/>
      <c r="AF310" s="238"/>
      <c r="AG310" s="239"/>
      <c r="AH310" s="238"/>
      <c r="AI310" s="238"/>
      <c r="AJ310" s="234"/>
      <c r="AK310" s="234"/>
      <c r="AL310" s="234"/>
      <c r="AM310" s="234"/>
      <c r="AN310" s="234"/>
      <c r="AO310" s="234"/>
    </row>
    <row r="311" ht="15.75" customHeight="1">
      <c r="A311" s="91"/>
      <c r="B311" s="91"/>
      <c r="C311" s="220"/>
      <c r="D311" s="91"/>
      <c r="E311" s="221"/>
      <c r="F311" s="91"/>
      <c r="G311" s="91"/>
      <c r="H311" s="242"/>
      <c r="I311" s="223"/>
      <c r="J311" s="57"/>
      <c r="K311" s="153"/>
      <c r="L311" s="243"/>
      <c r="M311" s="234"/>
      <c r="N311" s="235"/>
      <c r="O311" s="236"/>
      <c r="P311" s="236"/>
      <c r="Q311" s="236"/>
      <c r="R311" s="236"/>
      <c r="S311" s="236"/>
      <c r="T311" s="236"/>
      <c r="U311" s="236"/>
      <c r="V311" s="236"/>
      <c r="W311" s="244"/>
      <c r="X311" s="244"/>
      <c r="Y311" s="237"/>
      <c r="Z311" s="244"/>
      <c r="AA311" s="244"/>
      <c r="AB311" s="244"/>
      <c r="AC311" s="244"/>
      <c r="AD311" s="234"/>
      <c r="AE311" s="234"/>
      <c r="AF311" s="238"/>
      <c r="AG311" s="239"/>
      <c r="AH311" s="238"/>
      <c r="AI311" s="238"/>
      <c r="AJ311" s="234"/>
      <c r="AK311" s="234"/>
      <c r="AL311" s="234"/>
      <c r="AM311" s="234"/>
      <c r="AN311" s="234"/>
      <c r="AO311" s="234"/>
    </row>
    <row r="312" ht="15.75" customHeight="1">
      <c r="A312" s="91"/>
      <c r="B312" s="91"/>
      <c r="C312" s="220"/>
      <c r="D312" s="91"/>
      <c r="E312" s="221"/>
      <c r="F312" s="91"/>
      <c r="G312" s="91"/>
      <c r="H312" s="242"/>
      <c r="I312" s="223"/>
      <c r="J312" s="57"/>
      <c r="K312" s="153"/>
      <c r="L312" s="243"/>
      <c r="M312" s="234"/>
      <c r="N312" s="235"/>
      <c r="O312" s="236"/>
      <c r="P312" s="236"/>
      <c r="Q312" s="236"/>
      <c r="R312" s="236"/>
      <c r="S312" s="236"/>
      <c r="T312" s="236"/>
      <c r="U312" s="236"/>
      <c r="V312" s="236"/>
      <c r="W312" s="244"/>
      <c r="X312" s="244"/>
      <c r="Y312" s="237"/>
      <c r="Z312" s="244"/>
      <c r="AA312" s="244"/>
      <c r="AB312" s="244"/>
      <c r="AC312" s="244"/>
      <c r="AD312" s="234"/>
      <c r="AE312" s="234"/>
      <c r="AF312" s="238"/>
      <c r="AG312" s="239"/>
      <c r="AH312" s="238"/>
      <c r="AI312" s="238"/>
      <c r="AJ312" s="234"/>
      <c r="AK312" s="234"/>
      <c r="AL312" s="234"/>
      <c r="AM312" s="234"/>
      <c r="AN312" s="234"/>
      <c r="AO312" s="234"/>
    </row>
    <row r="313" ht="15.75" customHeight="1">
      <c r="A313" s="91"/>
      <c r="B313" s="91"/>
      <c r="C313" s="220"/>
      <c r="D313" s="91"/>
      <c r="E313" s="221"/>
      <c r="F313" s="91"/>
      <c r="G313" s="91"/>
      <c r="H313" s="242"/>
      <c r="I313" s="223"/>
      <c r="J313" s="57"/>
      <c r="K313" s="153"/>
      <c r="L313" s="243"/>
      <c r="M313" s="234"/>
      <c r="N313" s="235"/>
      <c r="O313" s="236"/>
      <c r="P313" s="236"/>
      <c r="Q313" s="236"/>
      <c r="R313" s="236"/>
      <c r="S313" s="236"/>
      <c r="T313" s="236"/>
      <c r="U313" s="236"/>
      <c r="V313" s="236"/>
      <c r="W313" s="244"/>
      <c r="X313" s="244"/>
      <c r="Y313" s="237"/>
      <c r="Z313" s="244"/>
      <c r="AA313" s="244"/>
      <c r="AB313" s="244"/>
      <c r="AC313" s="244"/>
      <c r="AD313" s="234"/>
      <c r="AE313" s="234"/>
      <c r="AF313" s="238"/>
      <c r="AG313" s="239"/>
      <c r="AH313" s="238"/>
      <c r="AI313" s="238"/>
      <c r="AJ313" s="234"/>
      <c r="AK313" s="234"/>
      <c r="AL313" s="234"/>
      <c r="AM313" s="234"/>
      <c r="AN313" s="234"/>
      <c r="AO313" s="234"/>
    </row>
    <row r="314" ht="15.75" customHeight="1">
      <c r="A314" s="91"/>
      <c r="B314" s="91"/>
      <c r="C314" s="220"/>
      <c r="D314" s="91"/>
      <c r="E314" s="221"/>
      <c r="F314" s="91"/>
      <c r="G314" s="91"/>
      <c r="H314" s="242"/>
      <c r="I314" s="223"/>
      <c r="J314" s="57"/>
      <c r="K314" s="153"/>
      <c r="L314" s="243"/>
      <c r="M314" s="234"/>
      <c r="N314" s="235"/>
      <c r="O314" s="236"/>
      <c r="P314" s="236"/>
      <c r="Q314" s="236"/>
      <c r="R314" s="236"/>
      <c r="S314" s="236"/>
      <c r="T314" s="236"/>
      <c r="U314" s="236"/>
      <c r="V314" s="236"/>
      <c r="W314" s="244"/>
      <c r="X314" s="244"/>
      <c r="Y314" s="237"/>
      <c r="Z314" s="244"/>
      <c r="AA314" s="244"/>
      <c r="AB314" s="244"/>
      <c r="AC314" s="244"/>
      <c r="AD314" s="234"/>
      <c r="AE314" s="234"/>
      <c r="AF314" s="238"/>
      <c r="AG314" s="239"/>
      <c r="AH314" s="238"/>
      <c r="AI314" s="238"/>
      <c r="AJ314" s="234"/>
      <c r="AK314" s="234"/>
      <c r="AL314" s="234"/>
      <c r="AM314" s="234"/>
      <c r="AN314" s="234"/>
      <c r="AO314" s="234"/>
    </row>
    <row r="315" ht="15.75" customHeight="1">
      <c r="A315" s="91"/>
      <c r="B315" s="91"/>
      <c r="C315" s="220"/>
      <c r="D315" s="91"/>
      <c r="E315" s="221"/>
      <c r="F315" s="91"/>
      <c r="G315" s="91"/>
      <c r="H315" s="242"/>
      <c r="I315" s="223"/>
      <c r="J315" s="57"/>
      <c r="K315" s="153"/>
      <c r="L315" s="243"/>
      <c r="M315" s="234"/>
      <c r="N315" s="235"/>
      <c r="O315" s="236"/>
      <c r="P315" s="236"/>
      <c r="Q315" s="236"/>
      <c r="R315" s="236"/>
      <c r="S315" s="236"/>
      <c r="T315" s="236"/>
      <c r="U315" s="236"/>
      <c r="V315" s="236"/>
      <c r="W315" s="244"/>
      <c r="X315" s="244"/>
      <c r="Y315" s="237"/>
      <c r="Z315" s="244"/>
      <c r="AA315" s="244"/>
      <c r="AB315" s="244"/>
      <c r="AC315" s="244"/>
      <c r="AD315" s="234"/>
      <c r="AE315" s="234"/>
      <c r="AF315" s="238"/>
      <c r="AG315" s="239"/>
      <c r="AH315" s="238"/>
      <c r="AI315" s="238"/>
      <c r="AJ315" s="234"/>
      <c r="AK315" s="234"/>
      <c r="AL315" s="234"/>
      <c r="AM315" s="234"/>
      <c r="AN315" s="234"/>
      <c r="AO315" s="234"/>
    </row>
    <row r="316" ht="15.75" customHeight="1">
      <c r="A316" s="91"/>
      <c r="B316" s="91"/>
      <c r="C316" s="220"/>
      <c r="D316" s="91"/>
      <c r="E316" s="221"/>
      <c r="F316" s="91"/>
      <c r="G316" s="91"/>
      <c r="H316" s="242"/>
      <c r="I316" s="223"/>
      <c r="J316" s="57"/>
      <c r="K316" s="153"/>
      <c r="L316" s="243"/>
      <c r="M316" s="234"/>
      <c r="N316" s="235"/>
      <c r="O316" s="236"/>
      <c r="P316" s="236"/>
      <c r="Q316" s="236"/>
      <c r="R316" s="236"/>
      <c r="S316" s="236"/>
      <c r="T316" s="236"/>
      <c r="U316" s="236"/>
      <c r="V316" s="236"/>
      <c r="W316" s="244"/>
      <c r="X316" s="244"/>
      <c r="Y316" s="237"/>
      <c r="Z316" s="244"/>
      <c r="AA316" s="244"/>
      <c r="AB316" s="244"/>
      <c r="AC316" s="244"/>
      <c r="AD316" s="234"/>
      <c r="AE316" s="234"/>
      <c r="AF316" s="238"/>
      <c r="AG316" s="239"/>
      <c r="AH316" s="238"/>
      <c r="AI316" s="238"/>
      <c r="AJ316" s="234"/>
      <c r="AK316" s="234"/>
      <c r="AL316" s="234"/>
      <c r="AM316" s="234"/>
      <c r="AN316" s="234"/>
      <c r="AO316" s="234"/>
    </row>
    <row r="317" ht="15.75" customHeight="1">
      <c r="A317" s="91"/>
      <c r="B317" s="91"/>
      <c r="C317" s="220"/>
      <c r="D317" s="91"/>
      <c r="E317" s="221"/>
      <c r="F317" s="91"/>
      <c r="G317" s="91"/>
      <c r="H317" s="242"/>
      <c r="I317" s="223"/>
      <c r="J317" s="57"/>
      <c r="K317" s="153"/>
      <c r="L317" s="243"/>
      <c r="M317" s="234"/>
      <c r="N317" s="235"/>
      <c r="O317" s="236"/>
      <c r="P317" s="236"/>
      <c r="Q317" s="236"/>
      <c r="R317" s="236"/>
      <c r="S317" s="236"/>
      <c r="T317" s="236"/>
      <c r="U317" s="236"/>
      <c r="V317" s="236"/>
      <c r="W317" s="244"/>
      <c r="X317" s="244"/>
      <c r="Y317" s="237"/>
      <c r="Z317" s="244"/>
      <c r="AA317" s="244"/>
      <c r="AB317" s="244"/>
      <c r="AC317" s="244"/>
      <c r="AD317" s="234"/>
      <c r="AE317" s="234"/>
      <c r="AF317" s="238"/>
      <c r="AG317" s="239"/>
      <c r="AH317" s="238"/>
      <c r="AI317" s="238"/>
      <c r="AJ317" s="234"/>
      <c r="AK317" s="234"/>
      <c r="AL317" s="234"/>
      <c r="AM317" s="234"/>
      <c r="AN317" s="234"/>
      <c r="AO317" s="234"/>
    </row>
    <row r="318" ht="15.75" customHeight="1">
      <c r="A318" s="91"/>
      <c r="B318" s="91"/>
      <c r="C318" s="220"/>
      <c r="D318" s="91"/>
      <c r="E318" s="221"/>
      <c r="F318" s="91"/>
      <c r="G318" s="91"/>
      <c r="H318" s="242"/>
      <c r="I318" s="223"/>
      <c r="J318" s="57"/>
      <c r="K318" s="153"/>
      <c r="L318" s="243"/>
      <c r="M318" s="234"/>
      <c r="N318" s="235"/>
      <c r="O318" s="236"/>
      <c r="P318" s="236"/>
      <c r="Q318" s="236"/>
      <c r="R318" s="236"/>
      <c r="S318" s="236"/>
      <c r="T318" s="236"/>
      <c r="U318" s="236"/>
      <c r="V318" s="236"/>
      <c r="W318" s="244"/>
      <c r="X318" s="244"/>
      <c r="Y318" s="237"/>
      <c r="Z318" s="244"/>
      <c r="AA318" s="244"/>
      <c r="AB318" s="244"/>
      <c r="AC318" s="244"/>
      <c r="AD318" s="234"/>
      <c r="AE318" s="234"/>
      <c r="AF318" s="238"/>
      <c r="AG318" s="239"/>
      <c r="AH318" s="238"/>
      <c r="AI318" s="238"/>
      <c r="AJ318" s="234"/>
      <c r="AK318" s="234"/>
      <c r="AL318" s="234"/>
      <c r="AM318" s="234"/>
      <c r="AN318" s="234"/>
      <c r="AO318" s="234"/>
    </row>
    <row r="319" ht="15.75" customHeight="1">
      <c r="A319" s="91"/>
      <c r="B319" s="91"/>
      <c r="C319" s="220"/>
      <c r="D319" s="91"/>
      <c r="E319" s="221"/>
      <c r="F319" s="91"/>
      <c r="G319" s="91"/>
      <c r="H319" s="242"/>
      <c r="I319" s="223"/>
      <c r="J319" s="57"/>
      <c r="K319" s="153"/>
      <c r="L319" s="243"/>
      <c r="M319" s="234"/>
      <c r="N319" s="235"/>
      <c r="O319" s="236"/>
      <c r="P319" s="236"/>
      <c r="Q319" s="236"/>
      <c r="R319" s="236"/>
      <c r="S319" s="236"/>
      <c r="T319" s="236"/>
      <c r="U319" s="236"/>
      <c r="V319" s="236"/>
      <c r="W319" s="244"/>
      <c r="X319" s="244"/>
      <c r="Y319" s="237"/>
      <c r="Z319" s="244"/>
      <c r="AA319" s="244"/>
      <c r="AB319" s="244"/>
      <c r="AC319" s="244"/>
      <c r="AD319" s="234"/>
      <c r="AE319" s="234"/>
      <c r="AF319" s="238"/>
      <c r="AG319" s="239"/>
      <c r="AH319" s="238"/>
      <c r="AI319" s="238"/>
      <c r="AJ319" s="234"/>
      <c r="AK319" s="234"/>
      <c r="AL319" s="234"/>
      <c r="AM319" s="234"/>
      <c r="AN319" s="234"/>
      <c r="AO319" s="234"/>
    </row>
    <row r="320" ht="15.75" customHeight="1">
      <c r="A320" s="91"/>
      <c r="B320" s="91"/>
      <c r="C320" s="220"/>
      <c r="D320" s="91"/>
      <c r="E320" s="221"/>
      <c r="F320" s="91"/>
      <c r="G320" s="91"/>
      <c r="H320" s="242"/>
      <c r="I320" s="223"/>
      <c r="J320" s="57"/>
      <c r="K320" s="153"/>
      <c r="L320" s="243"/>
      <c r="M320" s="234"/>
      <c r="N320" s="235"/>
      <c r="O320" s="236"/>
      <c r="P320" s="236"/>
      <c r="Q320" s="236"/>
      <c r="R320" s="236"/>
      <c r="S320" s="236"/>
      <c r="T320" s="236"/>
      <c r="U320" s="236"/>
      <c r="V320" s="236"/>
      <c r="W320" s="244"/>
      <c r="X320" s="244"/>
      <c r="Y320" s="237"/>
      <c r="Z320" s="244"/>
      <c r="AA320" s="244"/>
      <c r="AB320" s="244"/>
      <c r="AC320" s="244"/>
      <c r="AD320" s="234"/>
      <c r="AE320" s="234"/>
      <c r="AF320" s="238"/>
      <c r="AG320" s="239"/>
      <c r="AH320" s="238"/>
      <c r="AI320" s="238"/>
      <c r="AJ320" s="234"/>
      <c r="AK320" s="234"/>
      <c r="AL320" s="234"/>
      <c r="AM320" s="234"/>
      <c r="AN320" s="234"/>
      <c r="AO320" s="234"/>
    </row>
    <row r="321" ht="15.75" customHeight="1">
      <c r="A321" s="91"/>
      <c r="B321" s="91"/>
      <c r="C321" s="220"/>
      <c r="D321" s="91"/>
      <c r="E321" s="221"/>
      <c r="F321" s="91"/>
      <c r="G321" s="91"/>
      <c r="H321" s="242"/>
      <c r="I321" s="223"/>
      <c r="J321" s="57"/>
      <c r="K321" s="153"/>
      <c r="L321" s="243"/>
      <c r="M321" s="234"/>
      <c r="N321" s="235"/>
      <c r="O321" s="236"/>
      <c r="P321" s="236"/>
      <c r="Q321" s="236"/>
      <c r="R321" s="236"/>
      <c r="S321" s="236"/>
      <c r="T321" s="236"/>
      <c r="U321" s="236"/>
      <c r="V321" s="236"/>
      <c r="W321" s="244"/>
      <c r="X321" s="244"/>
      <c r="Y321" s="237"/>
      <c r="Z321" s="244"/>
      <c r="AA321" s="244"/>
      <c r="AB321" s="244"/>
      <c r="AC321" s="244"/>
      <c r="AD321" s="234"/>
      <c r="AE321" s="234"/>
      <c r="AF321" s="238"/>
      <c r="AG321" s="239"/>
      <c r="AH321" s="238"/>
      <c r="AI321" s="238"/>
      <c r="AJ321" s="234"/>
      <c r="AK321" s="234"/>
      <c r="AL321" s="234"/>
      <c r="AM321" s="234"/>
      <c r="AN321" s="234"/>
      <c r="AO321" s="234"/>
    </row>
    <row r="322" ht="15.75" customHeight="1">
      <c r="A322" s="91"/>
      <c r="B322" s="91"/>
      <c r="C322" s="220"/>
      <c r="D322" s="91"/>
      <c r="E322" s="221"/>
      <c r="F322" s="91"/>
      <c r="G322" s="91"/>
      <c r="H322" s="242"/>
      <c r="I322" s="223"/>
      <c r="J322" s="57"/>
      <c r="K322" s="153"/>
      <c r="L322" s="243"/>
      <c r="M322" s="234"/>
      <c r="N322" s="235"/>
      <c r="O322" s="236"/>
      <c r="P322" s="236"/>
      <c r="Q322" s="236"/>
      <c r="R322" s="236"/>
      <c r="S322" s="236"/>
      <c r="T322" s="236"/>
      <c r="U322" s="236"/>
      <c r="V322" s="236"/>
      <c r="W322" s="244"/>
      <c r="X322" s="244"/>
      <c r="Y322" s="237"/>
      <c r="Z322" s="244"/>
      <c r="AA322" s="244"/>
      <c r="AB322" s="244"/>
      <c r="AC322" s="244"/>
      <c r="AD322" s="234"/>
      <c r="AE322" s="234"/>
      <c r="AF322" s="238"/>
      <c r="AG322" s="239"/>
      <c r="AH322" s="238"/>
      <c r="AI322" s="238"/>
      <c r="AJ322" s="234"/>
      <c r="AK322" s="234"/>
      <c r="AL322" s="234"/>
      <c r="AM322" s="234"/>
      <c r="AN322" s="234"/>
      <c r="AO322" s="234"/>
    </row>
    <row r="323" ht="15.75" customHeight="1">
      <c r="A323" s="91"/>
      <c r="B323" s="91"/>
      <c r="C323" s="220"/>
      <c r="D323" s="91"/>
      <c r="E323" s="221"/>
      <c r="F323" s="91"/>
      <c r="G323" s="91"/>
      <c r="H323" s="242"/>
      <c r="I323" s="223"/>
      <c r="J323" s="57"/>
      <c r="K323" s="153"/>
      <c r="L323" s="243"/>
      <c r="M323" s="234"/>
      <c r="N323" s="235"/>
      <c r="O323" s="236"/>
      <c r="P323" s="236"/>
      <c r="Q323" s="236"/>
      <c r="R323" s="236"/>
      <c r="S323" s="236"/>
      <c r="T323" s="236"/>
      <c r="U323" s="236"/>
      <c r="V323" s="236"/>
      <c r="W323" s="244"/>
      <c r="X323" s="244"/>
      <c r="Y323" s="237"/>
      <c r="Z323" s="244"/>
      <c r="AA323" s="244"/>
      <c r="AB323" s="244"/>
      <c r="AC323" s="244"/>
      <c r="AD323" s="234"/>
      <c r="AE323" s="234"/>
      <c r="AF323" s="238"/>
      <c r="AG323" s="239"/>
      <c r="AH323" s="238"/>
      <c r="AI323" s="238"/>
      <c r="AJ323" s="234"/>
      <c r="AK323" s="234"/>
      <c r="AL323" s="234"/>
      <c r="AM323" s="234"/>
      <c r="AN323" s="234"/>
      <c r="AO323" s="234"/>
    </row>
    <row r="324" ht="15.75" customHeight="1">
      <c r="A324" s="91"/>
      <c r="B324" s="91"/>
      <c r="C324" s="220"/>
      <c r="D324" s="91"/>
      <c r="E324" s="221"/>
      <c r="F324" s="91"/>
      <c r="G324" s="91"/>
      <c r="H324" s="242"/>
      <c r="I324" s="223"/>
      <c r="J324" s="57"/>
      <c r="K324" s="153"/>
      <c r="L324" s="243"/>
      <c r="M324" s="234"/>
      <c r="N324" s="235"/>
      <c r="O324" s="236"/>
      <c r="P324" s="236"/>
      <c r="Q324" s="236"/>
      <c r="R324" s="236"/>
      <c r="S324" s="236"/>
      <c r="T324" s="236"/>
      <c r="U324" s="236"/>
      <c r="V324" s="236"/>
      <c r="W324" s="244"/>
      <c r="X324" s="244"/>
      <c r="Y324" s="237"/>
      <c r="Z324" s="244"/>
      <c r="AA324" s="244"/>
      <c r="AB324" s="244"/>
      <c r="AC324" s="244"/>
      <c r="AD324" s="234"/>
      <c r="AE324" s="234"/>
      <c r="AF324" s="238"/>
      <c r="AG324" s="239"/>
      <c r="AH324" s="238"/>
      <c r="AI324" s="238"/>
      <c r="AJ324" s="234"/>
      <c r="AK324" s="234"/>
      <c r="AL324" s="234"/>
      <c r="AM324" s="234"/>
      <c r="AN324" s="234"/>
      <c r="AO324" s="234"/>
    </row>
    <row r="325" ht="15.75" customHeight="1">
      <c r="A325" s="91"/>
      <c r="B325" s="91"/>
      <c r="C325" s="220"/>
      <c r="D325" s="91"/>
      <c r="E325" s="221"/>
      <c r="F325" s="91"/>
      <c r="G325" s="91"/>
      <c r="H325" s="242"/>
      <c r="I325" s="223"/>
      <c r="J325" s="57"/>
      <c r="K325" s="153"/>
      <c r="L325" s="243"/>
      <c r="M325" s="234"/>
      <c r="N325" s="235"/>
      <c r="O325" s="236"/>
      <c r="P325" s="236"/>
      <c r="Q325" s="236"/>
      <c r="R325" s="236"/>
      <c r="S325" s="236"/>
      <c r="T325" s="236"/>
      <c r="U325" s="236"/>
      <c r="V325" s="236"/>
      <c r="W325" s="244"/>
      <c r="X325" s="244"/>
      <c r="Y325" s="237"/>
      <c r="Z325" s="244"/>
      <c r="AA325" s="244"/>
      <c r="AB325" s="244"/>
      <c r="AC325" s="244"/>
      <c r="AD325" s="234"/>
      <c r="AE325" s="234"/>
      <c r="AF325" s="238"/>
      <c r="AG325" s="239"/>
      <c r="AH325" s="238"/>
      <c r="AI325" s="238"/>
      <c r="AJ325" s="234"/>
      <c r="AK325" s="234"/>
      <c r="AL325" s="234"/>
      <c r="AM325" s="234"/>
      <c r="AN325" s="234"/>
      <c r="AO325" s="234"/>
    </row>
    <row r="326" ht="15.75" customHeight="1">
      <c r="A326" s="91"/>
      <c r="B326" s="91"/>
      <c r="C326" s="220"/>
      <c r="D326" s="91"/>
      <c r="E326" s="221"/>
      <c r="F326" s="91"/>
      <c r="G326" s="91"/>
      <c r="H326" s="242"/>
      <c r="I326" s="223"/>
      <c r="J326" s="57"/>
      <c r="K326" s="153"/>
      <c r="L326" s="243"/>
      <c r="M326" s="234"/>
      <c r="N326" s="235"/>
      <c r="O326" s="236"/>
      <c r="P326" s="236"/>
      <c r="Q326" s="236"/>
      <c r="R326" s="236"/>
      <c r="S326" s="236"/>
      <c r="T326" s="236"/>
      <c r="U326" s="236"/>
      <c r="V326" s="236"/>
      <c r="W326" s="244"/>
      <c r="X326" s="244"/>
      <c r="Y326" s="237"/>
      <c r="Z326" s="244"/>
      <c r="AA326" s="244"/>
      <c r="AB326" s="244"/>
      <c r="AC326" s="244"/>
      <c r="AD326" s="234"/>
      <c r="AE326" s="234"/>
      <c r="AF326" s="238"/>
      <c r="AG326" s="239"/>
      <c r="AH326" s="238"/>
      <c r="AI326" s="238"/>
      <c r="AJ326" s="234"/>
      <c r="AK326" s="234"/>
      <c r="AL326" s="234"/>
      <c r="AM326" s="234"/>
      <c r="AN326" s="234"/>
      <c r="AO326" s="234"/>
    </row>
    <row r="327" ht="15.75" customHeight="1">
      <c r="A327" s="91"/>
      <c r="B327" s="91"/>
      <c r="C327" s="220"/>
      <c r="D327" s="91"/>
      <c r="E327" s="221"/>
      <c r="F327" s="91"/>
      <c r="G327" s="91"/>
      <c r="H327" s="242"/>
      <c r="I327" s="223"/>
      <c r="J327" s="57"/>
      <c r="K327" s="153"/>
      <c r="L327" s="243"/>
      <c r="M327" s="234"/>
      <c r="N327" s="235"/>
      <c r="O327" s="236"/>
      <c r="P327" s="236"/>
      <c r="Q327" s="236"/>
      <c r="R327" s="236"/>
      <c r="S327" s="236"/>
      <c r="T327" s="236"/>
      <c r="U327" s="236"/>
      <c r="V327" s="236"/>
      <c r="W327" s="244"/>
      <c r="X327" s="244"/>
      <c r="Y327" s="237"/>
      <c r="Z327" s="244"/>
      <c r="AA327" s="244"/>
      <c r="AB327" s="244"/>
      <c r="AC327" s="244"/>
      <c r="AD327" s="234"/>
      <c r="AE327" s="234"/>
      <c r="AF327" s="238"/>
      <c r="AG327" s="239"/>
      <c r="AH327" s="238"/>
      <c r="AI327" s="238"/>
      <c r="AJ327" s="234"/>
      <c r="AK327" s="234"/>
      <c r="AL327" s="234"/>
      <c r="AM327" s="234"/>
      <c r="AN327" s="234"/>
      <c r="AO327" s="234"/>
    </row>
    <row r="328" ht="15.75" customHeight="1">
      <c r="A328" s="91"/>
      <c r="B328" s="91"/>
      <c r="C328" s="220"/>
      <c r="D328" s="91"/>
      <c r="E328" s="221"/>
      <c r="F328" s="91"/>
      <c r="G328" s="91"/>
      <c r="H328" s="242"/>
      <c r="I328" s="223"/>
      <c r="J328" s="57"/>
      <c r="K328" s="153"/>
      <c r="L328" s="243"/>
      <c r="M328" s="234"/>
      <c r="N328" s="235"/>
      <c r="O328" s="236"/>
      <c r="P328" s="236"/>
      <c r="Q328" s="236"/>
      <c r="R328" s="236"/>
      <c r="S328" s="236"/>
      <c r="T328" s="236"/>
      <c r="U328" s="236"/>
      <c r="V328" s="236"/>
      <c r="W328" s="244"/>
      <c r="X328" s="244"/>
      <c r="Y328" s="237"/>
      <c r="Z328" s="244"/>
      <c r="AA328" s="244"/>
      <c r="AB328" s="244"/>
      <c r="AC328" s="244"/>
      <c r="AD328" s="234"/>
      <c r="AE328" s="234"/>
      <c r="AF328" s="238"/>
      <c r="AG328" s="239"/>
      <c r="AH328" s="238"/>
      <c r="AI328" s="238"/>
      <c r="AJ328" s="234"/>
      <c r="AK328" s="234"/>
      <c r="AL328" s="234"/>
      <c r="AM328" s="234"/>
      <c r="AN328" s="234"/>
      <c r="AO328" s="234"/>
    </row>
    <row r="329" ht="15.75" customHeight="1">
      <c r="A329" s="91"/>
      <c r="B329" s="91"/>
      <c r="C329" s="220"/>
      <c r="D329" s="91"/>
      <c r="E329" s="221"/>
      <c r="F329" s="91"/>
      <c r="G329" s="91"/>
      <c r="H329" s="242"/>
      <c r="I329" s="223"/>
      <c r="J329" s="57"/>
      <c r="K329" s="153"/>
      <c r="L329" s="243"/>
      <c r="M329" s="234"/>
      <c r="N329" s="235"/>
      <c r="O329" s="236"/>
      <c r="P329" s="236"/>
      <c r="Q329" s="236"/>
      <c r="R329" s="236"/>
      <c r="S329" s="236"/>
      <c r="T329" s="236"/>
      <c r="U329" s="236"/>
      <c r="V329" s="236"/>
      <c r="W329" s="244"/>
      <c r="X329" s="244"/>
      <c r="Y329" s="237"/>
      <c r="Z329" s="244"/>
      <c r="AA329" s="244"/>
      <c r="AB329" s="244"/>
      <c r="AC329" s="244"/>
      <c r="AD329" s="234"/>
      <c r="AE329" s="234"/>
      <c r="AF329" s="238"/>
      <c r="AG329" s="239"/>
      <c r="AH329" s="238"/>
      <c r="AI329" s="238"/>
      <c r="AJ329" s="234"/>
      <c r="AK329" s="234"/>
      <c r="AL329" s="234"/>
      <c r="AM329" s="234"/>
      <c r="AN329" s="234"/>
      <c r="AO329" s="234"/>
    </row>
    <row r="330" ht="15.75" customHeight="1">
      <c r="A330" s="91"/>
      <c r="B330" s="91"/>
      <c r="C330" s="220"/>
      <c r="D330" s="91"/>
      <c r="E330" s="221"/>
      <c r="F330" s="91"/>
      <c r="G330" s="91"/>
      <c r="H330" s="242"/>
      <c r="I330" s="223"/>
      <c r="J330" s="57"/>
      <c r="K330" s="153"/>
      <c r="L330" s="243"/>
      <c r="M330" s="234"/>
      <c r="N330" s="235"/>
      <c r="O330" s="236"/>
      <c r="P330" s="236"/>
      <c r="Q330" s="236"/>
      <c r="R330" s="236"/>
      <c r="S330" s="236"/>
      <c r="T330" s="236"/>
      <c r="U330" s="236"/>
      <c r="V330" s="236"/>
      <c r="W330" s="244"/>
      <c r="X330" s="244"/>
      <c r="Y330" s="237"/>
      <c r="Z330" s="244"/>
      <c r="AA330" s="244"/>
      <c r="AB330" s="244"/>
      <c r="AC330" s="244"/>
      <c r="AD330" s="234"/>
      <c r="AE330" s="234"/>
      <c r="AF330" s="238"/>
      <c r="AG330" s="239"/>
      <c r="AH330" s="238"/>
      <c r="AI330" s="238"/>
      <c r="AJ330" s="234"/>
      <c r="AK330" s="234"/>
      <c r="AL330" s="234"/>
      <c r="AM330" s="234"/>
      <c r="AN330" s="234"/>
      <c r="AO330" s="234"/>
    </row>
    <row r="331" ht="15.75" customHeight="1">
      <c r="A331" s="91"/>
      <c r="B331" s="91"/>
      <c r="C331" s="220"/>
      <c r="D331" s="91"/>
      <c r="E331" s="221"/>
      <c r="F331" s="91"/>
      <c r="G331" s="91"/>
      <c r="H331" s="242"/>
      <c r="I331" s="223"/>
      <c r="J331" s="57"/>
      <c r="K331" s="153"/>
      <c r="L331" s="243"/>
      <c r="M331" s="234"/>
      <c r="N331" s="235"/>
      <c r="O331" s="236"/>
      <c r="P331" s="236"/>
      <c r="Q331" s="236"/>
      <c r="R331" s="236"/>
      <c r="S331" s="236"/>
      <c r="T331" s="236"/>
      <c r="U331" s="236"/>
      <c r="V331" s="236"/>
      <c r="W331" s="244"/>
      <c r="X331" s="244"/>
      <c r="Y331" s="237"/>
      <c r="Z331" s="244"/>
      <c r="AA331" s="244"/>
      <c r="AB331" s="244"/>
      <c r="AC331" s="244"/>
      <c r="AD331" s="234"/>
      <c r="AE331" s="234"/>
      <c r="AF331" s="238"/>
      <c r="AG331" s="239"/>
      <c r="AH331" s="238"/>
      <c r="AI331" s="238"/>
      <c r="AJ331" s="234"/>
      <c r="AK331" s="234"/>
      <c r="AL331" s="234"/>
      <c r="AM331" s="234"/>
      <c r="AN331" s="234"/>
      <c r="AO331" s="234"/>
    </row>
    <row r="332" ht="15.75" customHeight="1">
      <c r="A332" s="91"/>
      <c r="B332" s="91"/>
      <c r="C332" s="220"/>
      <c r="D332" s="91"/>
      <c r="E332" s="221"/>
      <c r="F332" s="91"/>
      <c r="G332" s="91"/>
      <c r="H332" s="242"/>
      <c r="I332" s="223"/>
      <c r="J332" s="57"/>
      <c r="K332" s="153"/>
      <c r="L332" s="243"/>
      <c r="M332" s="234"/>
      <c r="N332" s="235"/>
      <c r="O332" s="236"/>
      <c r="P332" s="236"/>
      <c r="Q332" s="236"/>
      <c r="R332" s="236"/>
      <c r="S332" s="236"/>
      <c r="T332" s="236"/>
      <c r="U332" s="236"/>
      <c r="V332" s="236"/>
      <c r="W332" s="244"/>
      <c r="X332" s="244"/>
      <c r="Y332" s="237"/>
      <c r="Z332" s="244"/>
      <c r="AA332" s="244"/>
      <c r="AB332" s="244"/>
      <c r="AC332" s="244"/>
      <c r="AD332" s="234"/>
      <c r="AE332" s="234"/>
      <c r="AF332" s="238"/>
      <c r="AG332" s="239"/>
      <c r="AH332" s="238"/>
      <c r="AI332" s="238"/>
      <c r="AJ332" s="234"/>
      <c r="AK332" s="234"/>
      <c r="AL332" s="234"/>
      <c r="AM332" s="234"/>
      <c r="AN332" s="234"/>
      <c r="AO332" s="234"/>
    </row>
    <row r="333" ht="15.75" customHeight="1">
      <c r="A333" s="91"/>
      <c r="B333" s="91"/>
      <c r="C333" s="220"/>
      <c r="D333" s="91"/>
      <c r="E333" s="221"/>
      <c r="F333" s="91"/>
      <c r="G333" s="91"/>
      <c r="H333" s="242"/>
      <c r="I333" s="223"/>
      <c r="J333" s="57"/>
      <c r="K333" s="153"/>
      <c r="L333" s="243"/>
      <c r="M333" s="234"/>
      <c r="N333" s="235"/>
      <c r="O333" s="236"/>
      <c r="P333" s="236"/>
      <c r="Q333" s="236"/>
      <c r="R333" s="236"/>
      <c r="S333" s="236"/>
      <c r="T333" s="236"/>
      <c r="U333" s="236"/>
      <c r="V333" s="236"/>
      <c r="W333" s="244"/>
      <c r="X333" s="244"/>
      <c r="Y333" s="237"/>
      <c r="Z333" s="244"/>
      <c r="AA333" s="244"/>
      <c r="AB333" s="244"/>
      <c r="AC333" s="244"/>
      <c r="AD333" s="234"/>
      <c r="AE333" s="234"/>
      <c r="AF333" s="238"/>
      <c r="AG333" s="239"/>
      <c r="AH333" s="238"/>
      <c r="AI333" s="238"/>
      <c r="AJ333" s="234"/>
      <c r="AK333" s="234"/>
      <c r="AL333" s="234"/>
      <c r="AM333" s="234"/>
      <c r="AN333" s="234"/>
      <c r="AO333" s="234"/>
    </row>
    <row r="334" ht="15.75" customHeight="1">
      <c r="A334" s="91"/>
      <c r="B334" s="91"/>
      <c r="C334" s="220"/>
      <c r="D334" s="91"/>
      <c r="E334" s="221"/>
      <c r="F334" s="91"/>
      <c r="G334" s="91"/>
      <c r="H334" s="242"/>
      <c r="I334" s="223"/>
      <c r="J334" s="57"/>
      <c r="K334" s="153"/>
      <c r="L334" s="243"/>
      <c r="M334" s="234"/>
      <c r="N334" s="235"/>
      <c r="O334" s="236"/>
      <c r="P334" s="236"/>
      <c r="Q334" s="236"/>
      <c r="R334" s="236"/>
      <c r="S334" s="236"/>
      <c r="T334" s="236"/>
      <c r="U334" s="236"/>
      <c r="V334" s="236"/>
      <c r="W334" s="244"/>
      <c r="X334" s="244"/>
      <c r="Y334" s="237"/>
      <c r="Z334" s="244"/>
      <c r="AA334" s="244"/>
      <c r="AB334" s="244"/>
      <c r="AC334" s="244"/>
      <c r="AD334" s="234"/>
      <c r="AE334" s="234"/>
      <c r="AF334" s="238"/>
      <c r="AG334" s="239"/>
      <c r="AH334" s="238"/>
      <c r="AI334" s="238"/>
      <c r="AJ334" s="234"/>
      <c r="AK334" s="234"/>
      <c r="AL334" s="234"/>
      <c r="AM334" s="234"/>
      <c r="AN334" s="234"/>
      <c r="AO334" s="234"/>
    </row>
    <row r="335" ht="15.75" customHeight="1">
      <c r="A335" s="91"/>
      <c r="B335" s="91"/>
      <c r="C335" s="220"/>
      <c r="D335" s="91"/>
      <c r="E335" s="221"/>
      <c r="F335" s="91"/>
      <c r="G335" s="91"/>
      <c r="H335" s="242"/>
      <c r="I335" s="223"/>
      <c r="J335" s="57"/>
      <c r="K335" s="153"/>
      <c r="L335" s="243"/>
      <c r="M335" s="234"/>
      <c r="N335" s="235"/>
      <c r="O335" s="236"/>
      <c r="P335" s="236"/>
      <c r="Q335" s="236"/>
      <c r="R335" s="236"/>
      <c r="S335" s="236"/>
      <c r="T335" s="236"/>
      <c r="U335" s="236"/>
      <c r="V335" s="236"/>
      <c r="W335" s="244"/>
      <c r="X335" s="244"/>
      <c r="Y335" s="237"/>
      <c r="Z335" s="244"/>
      <c r="AA335" s="244"/>
      <c r="AB335" s="244"/>
      <c r="AC335" s="244"/>
      <c r="AD335" s="234"/>
      <c r="AE335" s="234"/>
      <c r="AF335" s="238"/>
      <c r="AG335" s="239"/>
      <c r="AH335" s="238"/>
      <c r="AI335" s="238"/>
      <c r="AJ335" s="234"/>
      <c r="AK335" s="234"/>
      <c r="AL335" s="234"/>
      <c r="AM335" s="234"/>
      <c r="AN335" s="234"/>
      <c r="AO335" s="234"/>
    </row>
    <row r="336" ht="15.75" customHeight="1">
      <c r="A336" s="91"/>
      <c r="B336" s="91"/>
      <c r="C336" s="220"/>
      <c r="D336" s="91"/>
      <c r="E336" s="221"/>
      <c r="F336" s="91"/>
      <c r="G336" s="91"/>
      <c r="H336" s="242"/>
      <c r="I336" s="223"/>
      <c r="J336" s="57"/>
      <c r="K336" s="153"/>
      <c r="L336" s="243"/>
      <c r="M336" s="234"/>
      <c r="N336" s="235"/>
      <c r="O336" s="236"/>
      <c r="P336" s="236"/>
      <c r="Q336" s="236"/>
      <c r="R336" s="236"/>
      <c r="S336" s="236"/>
      <c r="T336" s="236"/>
      <c r="U336" s="236"/>
      <c r="V336" s="236"/>
      <c r="W336" s="244"/>
      <c r="X336" s="244"/>
      <c r="Y336" s="237"/>
      <c r="Z336" s="244"/>
      <c r="AA336" s="244"/>
      <c r="AB336" s="244"/>
      <c r="AC336" s="244"/>
      <c r="AD336" s="234"/>
      <c r="AE336" s="234"/>
      <c r="AF336" s="238"/>
      <c r="AG336" s="239"/>
      <c r="AH336" s="238"/>
      <c r="AI336" s="238"/>
      <c r="AJ336" s="234"/>
      <c r="AK336" s="234"/>
      <c r="AL336" s="234"/>
      <c r="AM336" s="234"/>
      <c r="AN336" s="234"/>
      <c r="AO336" s="234"/>
    </row>
    <row r="337" ht="15.75" customHeight="1">
      <c r="A337" s="91"/>
      <c r="B337" s="91"/>
      <c r="C337" s="220"/>
      <c r="D337" s="91"/>
      <c r="E337" s="221"/>
      <c r="F337" s="91"/>
      <c r="G337" s="91"/>
      <c r="H337" s="242"/>
      <c r="I337" s="223"/>
      <c r="J337" s="57"/>
      <c r="K337" s="153"/>
      <c r="L337" s="243"/>
      <c r="M337" s="234"/>
      <c r="N337" s="235"/>
      <c r="O337" s="236"/>
      <c r="P337" s="236"/>
      <c r="Q337" s="236"/>
      <c r="R337" s="236"/>
      <c r="S337" s="236"/>
      <c r="T337" s="236"/>
      <c r="U337" s="236"/>
      <c r="V337" s="236"/>
      <c r="W337" s="244"/>
      <c r="X337" s="244"/>
      <c r="Y337" s="237"/>
      <c r="Z337" s="244"/>
      <c r="AA337" s="244"/>
      <c r="AB337" s="244"/>
      <c r="AC337" s="244"/>
      <c r="AD337" s="234"/>
      <c r="AE337" s="234"/>
      <c r="AF337" s="238"/>
      <c r="AG337" s="239"/>
      <c r="AH337" s="238"/>
      <c r="AI337" s="238"/>
      <c r="AJ337" s="234"/>
      <c r="AK337" s="234"/>
      <c r="AL337" s="234"/>
      <c r="AM337" s="234"/>
      <c r="AN337" s="234"/>
      <c r="AO337" s="234"/>
    </row>
    <row r="338" ht="15.75" customHeight="1">
      <c r="A338" s="91"/>
      <c r="B338" s="91"/>
      <c r="C338" s="220"/>
      <c r="D338" s="91"/>
      <c r="E338" s="221"/>
      <c r="F338" s="91"/>
      <c r="G338" s="91"/>
      <c r="H338" s="242"/>
      <c r="I338" s="223"/>
      <c r="J338" s="57"/>
      <c r="K338" s="153"/>
      <c r="L338" s="243"/>
      <c r="M338" s="234"/>
      <c r="N338" s="235"/>
      <c r="O338" s="236"/>
      <c r="P338" s="236"/>
      <c r="Q338" s="236"/>
      <c r="R338" s="236"/>
      <c r="S338" s="236"/>
      <c r="T338" s="236"/>
      <c r="U338" s="236"/>
      <c r="V338" s="236"/>
      <c r="W338" s="244"/>
      <c r="X338" s="244"/>
      <c r="Y338" s="237"/>
      <c r="Z338" s="244"/>
      <c r="AA338" s="244"/>
      <c r="AB338" s="244"/>
      <c r="AC338" s="244"/>
      <c r="AD338" s="234"/>
      <c r="AE338" s="234"/>
      <c r="AF338" s="238"/>
      <c r="AG338" s="239"/>
      <c r="AH338" s="238"/>
      <c r="AI338" s="238"/>
      <c r="AJ338" s="234"/>
      <c r="AK338" s="234"/>
      <c r="AL338" s="234"/>
      <c r="AM338" s="234"/>
      <c r="AN338" s="234"/>
      <c r="AO338" s="234"/>
    </row>
    <row r="339" ht="15.75" customHeight="1">
      <c r="A339" s="91"/>
      <c r="B339" s="91"/>
      <c r="C339" s="220"/>
      <c r="D339" s="91"/>
      <c r="E339" s="221"/>
      <c r="F339" s="91"/>
      <c r="G339" s="91"/>
      <c r="H339" s="242"/>
      <c r="I339" s="223"/>
      <c r="J339" s="57"/>
      <c r="K339" s="153"/>
      <c r="L339" s="243"/>
      <c r="M339" s="234"/>
      <c r="N339" s="235"/>
      <c r="O339" s="236"/>
      <c r="P339" s="236"/>
      <c r="Q339" s="236"/>
      <c r="R339" s="236"/>
      <c r="S339" s="236"/>
      <c r="T339" s="236"/>
      <c r="U339" s="236"/>
      <c r="V339" s="236"/>
      <c r="W339" s="244"/>
      <c r="X339" s="244"/>
      <c r="Y339" s="237"/>
      <c r="Z339" s="244"/>
      <c r="AA339" s="244"/>
      <c r="AB339" s="244"/>
      <c r="AC339" s="244"/>
      <c r="AD339" s="234"/>
      <c r="AE339" s="234"/>
      <c r="AF339" s="238"/>
      <c r="AG339" s="239"/>
      <c r="AH339" s="238"/>
      <c r="AI339" s="238"/>
      <c r="AJ339" s="234"/>
      <c r="AK339" s="234"/>
      <c r="AL339" s="234"/>
      <c r="AM339" s="234"/>
      <c r="AN339" s="234"/>
      <c r="AO339" s="234"/>
    </row>
    <row r="340" ht="15.75" customHeight="1">
      <c r="A340" s="91"/>
      <c r="B340" s="91"/>
      <c r="C340" s="220"/>
      <c r="D340" s="91"/>
      <c r="E340" s="221"/>
      <c r="F340" s="91"/>
      <c r="G340" s="91"/>
      <c r="H340" s="242"/>
      <c r="I340" s="223"/>
      <c r="J340" s="57"/>
      <c r="K340" s="153"/>
      <c r="L340" s="243"/>
      <c r="M340" s="234"/>
      <c r="N340" s="235"/>
      <c r="O340" s="236"/>
      <c r="P340" s="236"/>
      <c r="Q340" s="236"/>
      <c r="R340" s="236"/>
      <c r="S340" s="236"/>
      <c r="T340" s="236"/>
      <c r="U340" s="236"/>
      <c r="V340" s="236"/>
      <c r="W340" s="244"/>
      <c r="X340" s="244"/>
      <c r="Y340" s="237"/>
      <c r="Z340" s="244"/>
      <c r="AA340" s="244"/>
      <c r="AB340" s="244"/>
      <c r="AC340" s="244"/>
      <c r="AD340" s="234"/>
      <c r="AE340" s="234"/>
      <c r="AF340" s="238"/>
      <c r="AG340" s="239"/>
      <c r="AH340" s="238"/>
      <c r="AI340" s="238"/>
      <c r="AJ340" s="234"/>
      <c r="AK340" s="234"/>
      <c r="AL340" s="234"/>
      <c r="AM340" s="234"/>
      <c r="AN340" s="234"/>
      <c r="AO340" s="234"/>
    </row>
    <row r="341" ht="15.75" customHeight="1">
      <c r="A341" s="91"/>
      <c r="B341" s="91"/>
      <c r="C341" s="220"/>
      <c r="D341" s="91"/>
      <c r="E341" s="221"/>
      <c r="F341" s="91"/>
      <c r="G341" s="91"/>
      <c r="H341" s="242"/>
      <c r="I341" s="223"/>
      <c r="J341" s="57"/>
      <c r="K341" s="153"/>
      <c r="L341" s="243"/>
      <c r="M341" s="234"/>
      <c r="N341" s="235"/>
      <c r="O341" s="236"/>
      <c r="P341" s="236"/>
      <c r="Q341" s="236"/>
      <c r="R341" s="236"/>
      <c r="S341" s="236"/>
      <c r="T341" s="236"/>
      <c r="U341" s="236"/>
      <c r="V341" s="236"/>
      <c r="W341" s="244"/>
      <c r="X341" s="244"/>
      <c r="Y341" s="237"/>
      <c r="Z341" s="244"/>
      <c r="AA341" s="244"/>
      <c r="AB341" s="244"/>
      <c r="AC341" s="244"/>
      <c r="AD341" s="234"/>
      <c r="AE341" s="234"/>
      <c r="AF341" s="238"/>
      <c r="AG341" s="239"/>
      <c r="AH341" s="238"/>
      <c r="AI341" s="238"/>
      <c r="AJ341" s="234"/>
      <c r="AK341" s="234"/>
      <c r="AL341" s="234"/>
      <c r="AM341" s="234"/>
      <c r="AN341" s="234"/>
      <c r="AO341" s="234"/>
    </row>
    <row r="342" ht="15.75" customHeight="1">
      <c r="A342" s="91"/>
      <c r="B342" s="91"/>
      <c r="C342" s="220"/>
      <c r="D342" s="91"/>
      <c r="E342" s="221"/>
      <c r="F342" s="91"/>
      <c r="G342" s="91"/>
      <c r="H342" s="242"/>
      <c r="I342" s="223"/>
      <c r="J342" s="57"/>
      <c r="K342" s="153"/>
      <c r="L342" s="243"/>
      <c r="M342" s="234"/>
      <c r="N342" s="235"/>
      <c r="O342" s="236"/>
      <c r="P342" s="236"/>
      <c r="Q342" s="236"/>
      <c r="R342" s="236"/>
      <c r="S342" s="236"/>
      <c r="T342" s="236"/>
      <c r="U342" s="236"/>
      <c r="V342" s="236"/>
      <c r="W342" s="244"/>
      <c r="X342" s="244"/>
      <c r="Y342" s="237"/>
      <c r="Z342" s="244"/>
      <c r="AA342" s="244"/>
      <c r="AB342" s="244"/>
      <c r="AC342" s="244"/>
      <c r="AD342" s="234"/>
      <c r="AE342" s="234"/>
      <c r="AF342" s="238"/>
      <c r="AG342" s="239"/>
      <c r="AH342" s="238"/>
      <c r="AI342" s="238"/>
      <c r="AJ342" s="234"/>
      <c r="AK342" s="234"/>
      <c r="AL342" s="234"/>
      <c r="AM342" s="234"/>
      <c r="AN342" s="234"/>
      <c r="AO342" s="234"/>
    </row>
    <row r="343" ht="15.75" customHeight="1">
      <c r="A343" s="91"/>
      <c r="B343" s="91"/>
      <c r="C343" s="220"/>
      <c r="D343" s="91"/>
      <c r="E343" s="221"/>
      <c r="F343" s="91"/>
      <c r="G343" s="91"/>
      <c r="H343" s="242"/>
      <c r="I343" s="223"/>
      <c r="J343" s="57"/>
      <c r="K343" s="153"/>
      <c r="L343" s="243"/>
      <c r="M343" s="234"/>
      <c r="N343" s="235"/>
      <c r="O343" s="236"/>
      <c r="P343" s="236"/>
      <c r="Q343" s="236"/>
      <c r="R343" s="236"/>
      <c r="S343" s="236"/>
      <c r="T343" s="236"/>
      <c r="U343" s="236"/>
      <c r="V343" s="236"/>
      <c r="W343" s="244"/>
      <c r="X343" s="244"/>
      <c r="Y343" s="237"/>
      <c r="Z343" s="244"/>
      <c r="AA343" s="244"/>
      <c r="AB343" s="244"/>
      <c r="AC343" s="244"/>
      <c r="AD343" s="234"/>
      <c r="AE343" s="234"/>
      <c r="AF343" s="238"/>
      <c r="AG343" s="239"/>
      <c r="AH343" s="238"/>
      <c r="AI343" s="238"/>
      <c r="AJ343" s="234"/>
      <c r="AK343" s="234"/>
      <c r="AL343" s="234"/>
      <c r="AM343" s="234"/>
      <c r="AN343" s="234"/>
      <c r="AO343" s="234"/>
    </row>
    <row r="344" ht="15.75" customHeight="1">
      <c r="A344" s="91"/>
      <c r="B344" s="91"/>
      <c r="C344" s="220"/>
      <c r="D344" s="91"/>
      <c r="E344" s="221"/>
      <c r="F344" s="91"/>
      <c r="G344" s="91"/>
      <c r="H344" s="242"/>
      <c r="I344" s="223"/>
      <c r="J344" s="57"/>
      <c r="K344" s="153"/>
      <c r="L344" s="243"/>
      <c r="M344" s="234"/>
      <c r="N344" s="235"/>
      <c r="O344" s="236"/>
      <c r="P344" s="236"/>
      <c r="Q344" s="236"/>
      <c r="R344" s="236"/>
      <c r="S344" s="236"/>
      <c r="T344" s="236"/>
      <c r="U344" s="236"/>
      <c r="V344" s="236"/>
      <c r="W344" s="244"/>
      <c r="X344" s="244"/>
      <c r="Y344" s="237"/>
      <c r="Z344" s="244"/>
      <c r="AA344" s="244"/>
      <c r="AB344" s="244"/>
      <c r="AC344" s="244"/>
      <c r="AD344" s="234"/>
      <c r="AE344" s="234"/>
      <c r="AF344" s="238"/>
      <c r="AG344" s="239"/>
      <c r="AH344" s="238"/>
      <c r="AI344" s="238"/>
      <c r="AJ344" s="234"/>
      <c r="AK344" s="234"/>
      <c r="AL344" s="234"/>
      <c r="AM344" s="234"/>
      <c r="AN344" s="234"/>
      <c r="AO344" s="234"/>
    </row>
    <row r="345" ht="15.75" customHeight="1">
      <c r="A345" s="91"/>
      <c r="B345" s="91"/>
      <c r="C345" s="220"/>
      <c r="D345" s="91"/>
      <c r="E345" s="221"/>
      <c r="F345" s="91"/>
      <c r="G345" s="91"/>
      <c r="H345" s="242"/>
      <c r="I345" s="223"/>
      <c r="J345" s="57"/>
      <c r="K345" s="153"/>
      <c r="L345" s="243"/>
      <c r="M345" s="234"/>
      <c r="N345" s="235"/>
      <c r="O345" s="236"/>
      <c r="P345" s="236"/>
      <c r="Q345" s="236"/>
      <c r="R345" s="236"/>
      <c r="S345" s="236"/>
      <c r="T345" s="236"/>
      <c r="U345" s="236"/>
      <c r="V345" s="236"/>
      <c r="W345" s="244"/>
      <c r="X345" s="244"/>
      <c r="Y345" s="237"/>
      <c r="Z345" s="244"/>
      <c r="AA345" s="244"/>
      <c r="AB345" s="244"/>
      <c r="AC345" s="244"/>
      <c r="AD345" s="234"/>
      <c r="AE345" s="234"/>
      <c r="AF345" s="238"/>
      <c r="AG345" s="239"/>
      <c r="AH345" s="238"/>
      <c r="AI345" s="238"/>
      <c r="AJ345" s="234"/>
      <c r="AK345" s="234"/>
      <c r="AL345" s="234"/>
      <c r="AM345" s="234"/>
      <c r="AN345" s="234"/>
      <c r="AO345" s="234"/>
    </row>
    <row r="346" ht="15.75" customHeight="1">
      <c r="A346" s="91"/>
      <c r="B346" s="91"/>
      <c r="C346" s="220"/>
      <c r="D346" s="91"/>
      <c r="E346" s="221"/>
      <c r="F346" s="91"/>
      <c r="G346" s="91"/>
      <c r="H346" s="242"/>
      <c r="I346" s="223"/>
      <c r="J346" s="57"/>
      <c r="K346" s="153"/>
      <c r="L346" s="243"/>
      <c r="M346" s="234"/>
      <c r="N346" s="235"/>
      <c r="O346" s="236"/>
      <c r="P346" s="236"/>
      <c r="Q346" s="236"/>
      <c r="R346" s="236"/>
      <c r="S346" s="236"/>
      <c r="T346" s="236"/>
      <c r="U346" s="236"/>
      <c r="V346" s="236"/>
      <c r="W346" s="244"/>
      <c r="X346" s="244"/>
      <c r="Y346" s="237"/>
      <c r="Z346" s="244"/>
      <c r="AA346" s="244"/>
      <c r="AB346" s="244"/>
      <c r="AC346" s="244"/>
      <c r="AD346" s="234"/>
      <c r="AE346" s="234"/>
      <c r="AF346" s="238"/>
      <c r="AG346" s="239"/>
      <c r="AH346" s="238"/>
      <c r="AI346" s="238"/>
      <c r="AJ346" s="234"/>
      <c r="AK346" s="234"/>
      <c r="AL346" s="234"/>
      <c r="AM346" s="234"/>
      <c r="AN346" s="234"/>
      <c r="AO346" s="234"/>
    </row>
    <row r="347" ht="15.75" customHeight="1">
      <c r="A347" s="91"/>
      <c r="B347" s="91"/>
      <c r="C347" s="220"/>
      <c r="D347" s="91"/>
      <c r="E347" s="221"/>
      <c r="F347" s="91"/>
      <c r="G347" s="91"/>
      <c r="H347" s="242"/>
      <c r="I347" s="223"/>
      <c r="J347" s="57"/>
      <c r="K347" s="153"/>
      <c r="L347" s="243"/>
      <c r="M347" s="234"/>
      <c r="N347" s="235"/>
      <c r="O347" s="236"/>
      <c r="P347" s="236"/>
      <c r="Q347" s="236"/>
      <c r="R347" s="236"/>
      <c r="S347" s="236"/>
      <c r="T347" s="236"/>
      <c r="U347" s="236"/>
      <c r="V347" s="236"/>
      <c r="W347" s="244"/>
      <c r="X347" s="244"/>
      <c r="Y347" s="237"/>
      <c r="Z347" s="244"/>
      <c r="AA347" s="244"/>
      <c r="AB347" s="244"/>
      <c r="AC347" s="244"/>
      <c r="AD347" s="234"/>
      <c r="AE347" s="234"/>
      <c r="AF347" s="238"/>
      <c r="AG347" s="239"/>
      <c r="AH347" s="238"/>
      <c r="AI347" s="238"/>
      <c r="AJ347" s="234"/>
      <c r="AK347" s="234"/>
      <c r="AL347" s="234"/>
      <c r="AM347" s="234"/>
      <c r="AN347" s="234"/>
      <c r="AO347" s="234"/>
    </row>
    <row r="348" ht="15.75" customHeight="1">
      <c r="A348" s="91"/>
      <c r="B348" s="91"/>
      <c r="C348" s="220"/>
      <c r="D348" s="91"/>
      <c r="E348" s="221"/>
      <c r="F348" s="91"/>
      <c r="G348" s="91"/>
      <c r="H348" s="242"/>
      <c r="I348" s="223"/>
      <c r="J348" s="57"/>
      <c r="K348" s="153"/>
      <c r="L348" s="243"/>
      <c r="M348" s="234"/>
      <c r="N348" s="235"/>
      <c r="O348" s="236"/>
      <c r="P348" s="236"/>
      <c r="Q348" s="236"/>
      <c r="R348" s="236"/>
      <c r="S348" s="236"/>
      <c r="T348" s="236"/>
      <c r="U348" s="236"/>
      <c r="V348" s="236"/>
      <c r="W348" s="244"/>
      <c r="X348" s="244"/>
      <c r="Y348" s="237"/>
      <c r="Z348" s="244"/>
      <c r="AA348" s="244"/>
      <c r="AB348" s="244"/>
      <c r="AC348" s="244"/>
      <c r="AD348" s="234"/>
      <c r="AE348" s="234"/>
      <c r="AF348" s="238"/>
      <c r="AG348" s="239"/>
      <c r="AH348" s="238"/>
      <c r="AI348" s="238"/>
      <c r="AJ348" s="234"/>
      <c r="AK348" s="234"/>
      <c r="AL348" s="234"/>
      <c r="AM348" s="234"/>
      <c r="AN348" s="234"/>
      <c r="AO348" s="234"/>
    </row>
    <row r="349" ht="15.75" customHeight="1">
      <c r="A349" s="91"/>
      <c r="B349" s="91"/>
      <c r="C349" s="220"/>
      <c r="D349" s="91"/>
      <c r="E349" s="221"/>
      <c r="F349" s="91"/>
      <c r="G349" s="91"/>
      <c r="H349" s="242"/>
      <c r="I349" s="223"/>
      <c r="J349" s="57"/>
      <c r="K349" s="153"/>
      <c r="L349" s="243"/>
      <c r="M349" s="234"/>
      <c r="N349" s="235"/>
      <c r="O349" s="236"/>
      <c r="P349" s="236"/>
      <c r="Q349" s="236"/>
      <c r="R349" s="236"/>
      <c r="S349" s="236"/>
      <c r="T349" s="236"/>
      <c r="U349" s="236"/>
      <c r="V349" s="236"/>
      <c r="W349" s="244"/>
      <c r="X349" s="244"/>
      <c r="Y349" s="237"/>
      <c r="Z349" s="244"/>
      <c r="AA349" s="244"/>
      <c r="AB349" s="244"/>
      <c r="AC349" s="244"/>
      <c r="AD349" s="234"/>
      <c r="AE349" s="234"/>
      <c r="AF349" s="238"/>
      <c r="AG349" s="239"/>
      <c r="AH349" s="238"/>
      <c r="AI349" s="238"/>
      <c r="AJ349" s="234"/>
      <c r="AK349" s="234"/>
      <c r="AL349" s="234"/>
      <c r="AM349" s="234"/>
      <c r="AN349" s="234"/>
      <c r="AO349" s="234"/>
    </row>
    <row r="350" ht="15.75" customHeight="1">
      <c r="A350" s="91"/>
      <c r="B350" s="91"/>
      <c r="C350" s="220"/>
      <c r="D350" s="91"/>
      <c r="E350" s="221"/>
      <c r="F350" s="91"/>
      <c r="G350" s="91"/>
      <c r="H350" s="242"/>
      <c r="I350" s="223"/>
      <c r="J350" s="57"/>
      <c r="K350" s="153"/>
      <c r="L350" s="243"/>
      <c r="M350" s="234"/>
      <c r="N350" s="235"/>
      <c r="O350" s="236"/>
      <c r="P350" s="236"/>
      <c r="Q350" s="236"/>
      <c r="R350" s="236"/>
      <c r="S350" s="236"/>
      <c r="T350" s="236"/>
      <c r="U350" s="236"/>
      <c r="V350" s="236"/>
      <c r="W350" s="244"/>
      <c r="X350" s="244"/>
      <c r="Y350" s="237"/>
      <c r="Z350" s="244"/>
      <c r="AA350" s="244"/>
      <c r="AB350" s="244"/>
      <c r="AC350" s="244"/>
      <c r="AD350" s="234"/>
      <c r="AE350" s="234"/>
      <c r="AF350" s="238"/>
      <c r="AG350" s="239"/>
      <c r="AH350" s="238"/>
      <c r="AI350" s="238"/>
      <c r="AJ350" s="234"/>
      <c r="AK350" s="234"/>
      <c r="AL350" s="234"/>
      <c r="AM350" s="234"/>
      <c r="AN350" s="234"/>
      <c r="AO350" s="234"/>
    </row>
    <row r="351" ht="15.75" customHeight="1">
      <c r="A351" s="91"/>
      <c r="B351" s="91"/>
      <c r="C351" s="220"/>
      <c r="D351" s="91"/>
      <c r="E351" s="221"/>
      <c r="F351" s="91"/>
      <c r="G351" s="91"/>
      <c r="H351" s="242"/>
      <c r="I351" s="223"/>
      <c r="J351" s="57"/>
      <c r="K351" s="153"/>
      <c r="L351" s="243"/>
      <c r="M351" s="234"/>
      <c r="N351" s="235"/>
      <c r="O351" s="236"/>
      <c r="P351" s="236"/>
      <c r="Q351" s="236"/>
      <c r="R351" s="236"/>
      <c r="S351" s="236"/>
      <c r="T351" s="236"/>
      <c r="U351" s="236"/>
      <c r="V351" s="236"/>
      <c r="W351" s="244"/>
      <c r="X351" s="244"/>
      <c r="Y351" s="237"/>
      <c r="Z351" s="244"/>
      <c r="AA351" s="244"/>
      <c r="AB351" s="244"/>
      <c r="AC351" s="244"/>
      <c r="AD351" s="234"/>
      <c r="AE351" s="234"/>
      <c r="AF351" s="238"/>
      <c r="AG351" s="239"/>
      <c r="AH351" s="238"/>
      <c r="AI351" s="238"/>
      <c r="AJ351" s="234"/>
      <c r="AK351" s="234"/>
      <c r="AL351" s="234"/>
      <c r="AM351" s="234"/>
      <c r="AN351" s="234"/>
      <c r="AO351" s="234"/>
    </row>
    <row r="352" ht="15.75" customHeight="1">
      <c r="A352" s="91"/>
      <c r="B352" s="91"/>
      <c r="C352" s="220"/>
      <c r="D352" s="91"/>
      <c r="E352" s="221"/>
      <c r="F352" s="91"/>
      <c r="G352" s="91"/>
      <c r="H352" s="242"/>
      <c r="I352" s="223"/>
      <c r="J352" s="57"/>
      <c r="K352" s="153"/>
      <c r="L352" s="243"/>
      <c r="M352" s="234"/>
      <c r="N352" s="235"/>
      <c r="O352" s="236"/>
      <c r="P352" s="236"/>
      <c r="Q352" s="236"/>
      <c r="R352" s="236"/>
      <c r="S352" s="236"/>
      <c r="T352" s="236"/>
      <c r="U352" s="236"/>
      <c r="V352" s="236"/>
      <c r="W352" s="244"/>
      <c r="X352" s="244"/>
      <c r="Y352" s="237"/>
      <c r="Z352" s="244"/>
      <c r="AA352" s="244"/>
      <c r="AB352" s="244"/>
      <c r="AC352" s="244"/>
      <c r="AD352" s="234"/>
      <c r="AE352" s="234"/>
      <c r="AF352" s="238"/>
      <c r="AG352" s="239"/>
      <c r="AH352" s="238"/>
      <c r="AI352" s="238"/>
      <c r="AJ352" s="234"/>
      <c r="AK352" s="234"/>
      <c r="AL352" s="234"/>
      <c r="AM352" s="234"/>
      <c r="AN352" s="234"/>
      <c r="AO352" s="234"/>
    </row>
    <row r="353" ht="15.75" customHeight="1">
      <c r="A353" s="91"/>
      <c r="B353" s="91"/>
      <c r="C353" s="220"/>
      <c r="D353" s="91"/>
      <c r="E353" s="221"/>
      <c r="F353" s="91"/>
      <c r="G353" s="91"/>
      <c r="H353" s="242"/>
      <c r="I353" s="223"/>
      <c r="J353" s="57"/>
      <c r="K353" s="153"/>
      <c r="L353" s="243"/>
      <c r="M353" s="234"/>
      <c r="N353" s="235"/>
      <c r="O353" s="236"/>
      <c r="P353" s="236"/>
      <c r="Q353" s="236"/>
      <c r="R353" s="236"/>
      <c r="S353" s="236"/>
      <c r="T353" s="236"/>
      <c r="U353" s="236"/>
      <c r="V353" s="236"/>
      <c r="W353" s="244"/>
      <c r="X353" s="244"/>
      <c r="Y353" s="237"/>
      <c r="Z353" s="244"/>
      <c r="AA353" s="244"/>
      <c r="AB353" s="244"/>
      <c r="AC353" s="244"/>
      <c r="AD353" s="234"/>
      <c r="AE353" s="234"/>
      <c r="AF353" s="238"/>
      <c r="AG353" s="239"/>
      <c r="AH353" s="238"/>
      <c r="AI353" s="238"/>
      <c r="AJ353" s="234"/>
      <c r="AK353" s="234"/>
      <c r="AL353" s="234"/>
      <c r="AM353" s="234"/>
      <c r="AN353" s="234"/>
      <c r="AO353" s="234"/>
    </row>
    <row r="354" ht="15.75" customHeight="1">
      <c r="A354" s="91"/>
      <c r="B354" s="91"/>
      <c r="C354" s="220"/>
      <c r="D354" s="91"/>
      <c r="E354" s="221"/>
      <c r="F354" s="91"/>
      <c r="G354" s="91"/>
      <c r="H354" s="242"/>
      <c r="I354" s="223"/>
      <c r="J354" s="57"/>
      <c r="K354" s="153"/>
      <c r="L354" s="243"/>
      <c r="M354" s="234"/>
      <c r="N354" s="235"/>
      <c r="O354" s="236"/>
      <c r="P354" s="236"/>
      <c r="Q354" s="236"/>
      <c r="R354" s="236"/>
      <c r="S354" s="236"/>
      <c r="T354" s="236"/>
      <c r="U354" s="236"/>
      <c r="V354" s="236"/>
      <c r="W354" s="244"/>
      <c r="X354" s="244"/>
      <c r="Y354" s="237"/>
      <c r="Z354" s="244"/>
      <c r="AA354" s="244"/>
      <c r="AB354" s="244"/>
      <c r="AC354" s="244"/>
      <c r="AD354" s="234"/>
      <c r="AE354" s="234"/>
      <c r="AF354" s="238"/>
      <c r="AG354" s="239"/>
      <c r="AH354" s="238"/>
      <c r="AI354" s="238"/>
      <c r="AJ354" s="234"/>
      <c r="AK354" s="234"/>
      <c r="AL354" s="234"/>
      <c r="AM354" s="234"/>
      <c r="AN354" s="234"/>
      <c r="AO354" s="234"/>
    </row>
    <row r="355" ht="15.75" customHeight="1">
      <c r="A355" s="91"/>
      <c r="B355" s="91"/>
      <c r="C355" s="220"/>
      <c r="D355" s="91"/>
      <c r="E355" s="221"/>
      <c r="F355" s="91"/>
      <c r="G355" s="91"/>
      <c r="H355" s="242"/>
      <c r="I355" s="223"/>
      <c r="J355" s="57"/>
      <c r="K355" s="153"/>
      <c r="L355" s="243"/>
      <c r="M355" s="234"/>
      <c r="N355" s="235"/>
      <c r="O355" s="236"/>
      <c r="P355" s="236"/>
      <c r="Q355" s="236"/>
      <c r="R355" s="236"/>
      <c r="S355" s="236"/>
      <c r="T355" s="236"/>
      <c r="U355" s="236"/>
      <c r="V355" s="236"/>
      <c r="W355" s="244"/>
      <c r="X355" s="244"/>
      <c r="Y355" s="237"/>
      <c r="Z355" s="244"/>
      <c r="AA355" s="244"/>
      <c r="AB355" s="244"/>
      <c r="AC355" s="244"/>
      <c r="AD355" s="234"/>
      <c r="AE355" s="234"/>
      <c r="AF355" s="238"/>
      <c r="AG355" s="239"/>
      <c r="AH355" s="238"/>
      <c r="AI355" s="238"/>
      <c r="AJ355" s="234"/>
      <c r="AK355" s="234"/>
      <c r="AL355" s="234"/>
      <c r="AM355" s="234"/>
      <c r="AN355" s="234"/>
      <c r="AO355" s="234"/>
    </row>
    <row r="356" ht="15.75" customHeight="1">
      <c r="A356" s="91"/>
      <c r="B356" s="91"/>
      <c r="C356" s="220"/>
      <c r="D356" s="91"/>
      <c r="E356" s="221"/>
      <c r="F356" s="91"/>
      <c r="G356" s="91"/>
      <c r="H356" s="242"/>
      <c r="I356" s="223"/>
      <c r="J356" s="57"/>
      <c r="K356" s="153"/>
      <c r="L356" s="243"/>
      <c r="M356" s="234"/>
      <c r="N356" s="235"/>
      <c r="O356" s="236"/>
      <c r="P356" s="236"/>
      <c r="Q356" s="236"/>
      <c r="R356" s="236"/>
      <c r="S356" s="236"/>
      <c r="T356" s="236"/>
      <c r="U356" s="236"/>
      <c r="V356" s="236"/>
      <c r="W356" s="244"/>
      <c r="X356" s="244"/>
      <c r="Y356" s="237"/>
      <c r="Z356" s="244"/>
      <c r="AA356" s="244"/>
      <c r="AB356" s="244"/>
      <c r="AC356" s="244"/>
      <c r="AD356" s="234"/>
      <c r="AE356" s="234"/>
      <c r="AF356" s="238"/>
      <c r="AG356" s="239"/>
      <c r="AH356" s="238"/>
      <c r="AI356" s="238"/>
      <c r="AJ356" s="234"/>
      <c r="AK356" s="234"/>
      <c r="AL356" s="234"/>
      <c r="AM356" s="234"/>
      <c r="AN356" s="234"/>
      <c r="AO356" s="234"/>
    </row>
    <row r="357" ht="15.75" customHeight="1">
      <c r="A357" s="91"/>
      <c r="B357" s="91"/>
      <c r="C357" s="220"/>
      <c r="D357" s="91"/>
      <c r="E357" s="221"/>
      <c r="F357" s="91"/>
      <c r="G357" s="91"/>
      <c r="H357" s="242"/>
      <c r="I357" s="223"/>
      <c r="J357" s="57"/>
      <c r="K357" s="153"/>
      <c r="L357" s="243"/>
      <c r="M357" s="234"/>
      <c r="N357" s="235"/>
      <c r="O357" s="236"/>
      <c r="P357" s="236"/>
      <c r="Q357" s="236"/>
      <c r="R357" s="236"/>
      <c r="S357" s="236"/>
      <c r="T357" s="236"/>
      <c r="U357" s="236"/>
      <c r="V357" s="236"/>
      <c r="W357" s="244"/>
      <c r="X357" s="244"/>
      <c r="Y357" s="237"/>
      <c r="Z357" s="244"/>
      <c r="AA357" s="244"/>
      <c r="AB357" s="244"/>
      <c r="AC357" s="244"/>
      <c r="AD357" s="234"/>
      <c r="AE357" s="234"/>
      <c r="AF357" s="238"/>
      <c r="AG357" s="239"/>
      <c r="AH357" s="238"/>
      <c r="AI357" s="238"/>
      <c r="AJ357" s="234"/>
      <c r="AK357" s="234"/>
      <c r="AL357" s="234"/>
      <c r="AM357" s="234"/>
      <c r="AN357" s="234"/>
      <c r="AO357" s="234"/>
    </row>
    <row r="358" ht="15.75" customHeight="1">
      <c r="A358" s="91"/>
      <c r="B358" s="91"/>
      <c r="C358" s="220"/>
      <c r="D358" s="91"/>
      <c r="E358" s="221"/>
      <c r="F358" s="91"/>
      <c r="G358" s="91"/>
      <c r="H358" s="242"/>
      <c r="I358" s="223"/>
      <c r="J358" s="57"/>
      <c r="K358" s="153"/>
      <c r="L358" s="243"/>
      <c r="M358" s="234"/>
      <c r="N358" s="235"/>
      <c r="O358" s="236"/>
      <c r="P358" s="236"/>
      <c r="Q358" s="236"/>
      <c r="R358" s="236"/>
      <c r="S358" s="236"/>
      <c r="T358" s="236"/>
      <c r="U358" s="236"/>
      <c r="V358" s="236"/>
      <c r="W358" s="244"/>
      <c r="X358" s="244"/>
      <c r="Y358" s="237"/>
      <c r="Z358" s="244"/>
      <c r="AA358" s="244"/>
      <c r="AB358" s="244"/>
      <c r="AC358" s="244"/>
      <c r="AD358" s="234"/>
      <c r="AE358" s="234"/>
      <c r="AF358" s="238"/>
      <c r="AG358" s="239"/>
      <c r="AH358" s="238"/>
      <c r="AI358" s="238"/>
      <c r="AJ358" s="234"/>
      <c r="AK358" s="234"/>
      <c r="AL358" s="234"/>
      <c r="AM358" s="234"/>
      <c r="AN358" s="234"/>
      <c r="AO358" s="234"/>
    </row>
    <row r="359" ht="15.75" customHeight="1">
      <c r="A359" s="91"/>
      <c r="B359" s="91"/>
      <c r="C359" s="220"/>
      <c r="D359" s="91"/>
      <c r="E359" s="221"/>
      <c r="F359" s="91"/>
      <c r="G359" s="91"/>
      <c r="H359" s="242"/>
      <c r="I359" s="223"/>
      <c r="J359" s="57"/>
      <c r="K359" s="153"/>
      <c r="L359" s="243"/>
      <c r="M359" s="234"/>
      <c r="N359" s="235"/>
      <c r="O359" s="236"/>
      <c r="P359" s="236"/>
      <c r="Q359" s="236"/>
      <c r="R359" s="236"/>
      <c r="S359" s="236"/>
      <c r="T359" s="236"/>
      <c r="U359" s="236"/>
      <c r="V359" s="236"/>
      <c r="W359" s="244"/>
      <c r="X359" s="244"/>
      <c r="Y359" s="237"/>
      <c r="Z359" s="244"/>
      <c r="AA359" s="244"/>
      <c r="AB359" s="244"/>
      <c r="AC359" s="244"/>
      <c r="AD359" s="234"/>
      <c r="AE359" s="234"/>
      <c r="AF359" s="238"/>
      <c r="AG359" s="239"/>
      <c r="AH359" s="238"/>
      <c r="AI359" s="238"/>
      <c r="AJ359" s="234"/>
      <c r="AK359" s="234"/>
      <c r="AL359" s="234"/>
      <c r="AM359" s="234"/>
      <c r="AN359" s="234"/>
      <c r="AO359" s="234"/>
    </row>
    <row r="360" ht="15.75" customHeight="1">
      <c r="A360" s="91"/>
      <c r="B360" s="91"/>
      <c r="C360" s="220"/>
      <c r="D360" s="91"/>
      <c r="E360" s="221"/>
      <c r="F360" s="91"/>
      <c r="G360" s="91"/>
      <c r="H360" s="242"/>
      <c r="I360" s="223"/>
      <c r="J360" s="57"/>
      <c r="K360" s="153"/>
      <c r="L360" s="243"/>
      <c r="M360" s="234"/>
      <c r="N360" s="235"/>
      <c r="O360" s="236"/>
      <c r="P360" s="236"/>
      <c r="Q360" s="236"/>
      <c r="R360" s="236"/>
      <c r="S360" s="236"/>
      <c r="T360" s="236"/>
      <c r="U360" s="236"/>
      <c r="V360" s="236"/>
      <c r="W360" s="244"/>
      <c r="X360" s="244"/>
      <c r="Y360" s="237"/>
      <c r="Z360" s="244"/>
      <c r="AA360" s="244"/>
      <c r="AB360" s="244"/>
      <c r="AC360" s="244"/>
      <c r="AD360" s="234"/>
      <c r="AE360" s="234"/>
      <c r="AF360" s="238"/>
      <c r="AG360" s="239"/>
      <c r="AH360" s="238"/>
      <c r="AI360" s="238"/>
      <c r="AJ360" s="234"/>
      <c r="AK360" s="234"/>
      <c r="AL360" s="234"/>
      <c r="AM360" s="234"/>
      <c r="AN360" s="234"/>
      <c r="AO360" s="234"/>
    </row>
    <row r="361" ht="15.75" customHeight="1">
      <c r="A361" s="91"/>
      <c r="B361" s="91"/>
      <c r="C361" s="220"/>
      <c r="D361" s="91"/>
      <c r="E361" s="221"/>
      <c r="F361" s="91"/>
      <c r="G361" s="91"/>
      <c r="H361" s="242"/>
      <c r="I361" s="223"/>
      <c r="J361" s="57"/>
      <c r="K361" s="153"/>
      <c r="L361" s="243"/>
      <c r="M361" s="234"/>
      <c r="N361" s="235"/>
      <c r="O361" s="236"/>
      <c r="P361" s="236"/>
      <c r="Q361" s="236"/>
      <c r="R361" s="236"/>
      <c r="S361" s="236"/>
      <c r="T361" s="236"/>
      <c r="U361" s="236"/>
      <c r="V361" s="236"/>
      <c r="W361" s="244"/>
      <c r="X361" s="244"/>
      <c r="Y361" s="237"/>
      <c r="Z361" s="244"/>
      <c r="AA361" s="244"/>
      <c r="AB361" s="244"/>
      <c r="AC361" s="244"/>
      <c r="AD361" s="234"/>
      <c r="AE361" s="234"/>
      <c r="AF361" s="238"/>
      <c r="AG361" s="239"/>
      <c r="AH361" s="238"/>
      <c r="AI361" s="238"/>
      <c r="AJ361" s="234"/>
      <c r="AK361" s="234"/>
      <c r="AL361" s="234"/>
      <c r="AM361" s="234"/>
      <c r="AN361" s="234"/>
      <c r="AO361" s="234"/>
    </row>
    <row r="362" ht="15.75" customHeight="1">
      <c r="A362" s="91"/>
      <c r="B362" s="91"/>
      <c r="C362" s="220"/>
      <c r="D362" s="91"/>
      <c r="E362" s="221"/>
      <c r="F362" s="91"/>
      <c r="G362" s="91"/>
      <c r="H362" s="242"/>
      <c r="I362" s="223"/>
      <c r="J362" s="57"/>
      <c r="K362" s="153"/>
      <c r="L362" s="243"/>
      <c r="M362" s="234"/>
      <c r="N362" s="235"/>
      <c r="O362" s="236"/>
      <c r="P362" s="236"/>
      <c r="Q362" s="236"/>
      <c r="R362" s="236"/>
      <c r="S362" s="236"/>
      <c r="T362" s="236"/>
      <c r="U362" s="236"/>
      <c r="V362" s="236"/>
      <c r="W362" s="244"/>
      <c r="X362" s="244"/>
      <c r="Y362" s="237"/>
      <c r="Z362" s="244"/>
      <c r="AA362" s="244"/>
      <c r="AB362" s="244"/>
      <c r="AC362" s="244"/>
      <c r="AD362" s="234"/>
      <c r="AE362" s="234"/>
      <c r="AF362" s="238"/>
      <c r="AG362" s="239"/>
      <c r="AH362" s="238"/>
      <c r="AI362" s="238"/>
      <c r="AJ362" s="234"/>
      <c r="AK362" s="234"/>
      <c r="AL362" s="234"/>
      <c r="AM362" s="234"/>
      <c r="AN362" s="234"/>
      <c r="AO362" s="234"/>
    </row>
    <row r="363" ht="15.75" customHeight="1">
      <c r="A363" s="91"/>
      <c r="B363" s="91"/>
      <c r="C363" s="220"/>
      <c r="D363" s="91"/>
      <c r="E363" s="221"/>
      <c r="F363" s="91"/>
      <c r="G363" s="91"/>
      <c r="H363" s="242"/>
      <c r="I363" s="223"/>
      <c r="J363" s="57"/>
      <c r="K363" s="153"/>
      <c r="L363" s="243"/>
      <c r="M363" s="234"/>
      <c r="N363" s="235"/>
      <c r="O363" s="236"/>
      <c r="P363" s="236"/>
      <c r="Q363" s="236"/>
      <c r="R363" s="236"/>
      <c r="S363" s="236"/>
      <c r="T363" s="236"/>
      <c r="U363" s="236"/>
      <c r="V363" s="236"/>
      <c r="W363" s="244"/>
      <c r="X363" s="244"/>
      <c r="Y363" s="237"/>
      <c r="Z363" s="244"/>
      <c r="AA363" s="244"/>
      <c r="AB363" s="244"/>
      <c r="AC363" s="244"/>
      <c r="AD363" s="234"/>
      <c r="AE363" s="234"/>
      <c r="AF363" s="238"/>
      <c r="AG363" s="239"/>
      <c r="AH363" s="238"/>
      <c r="AI363" s="238"/>
      <c r="AJ363" s="234"/>
      <c r="AK363" s="234"/>
      <c r="AL363" s="234"/>
      <c r="AM363" s="234"/>
      <c r="AN363" s="234"/>
      <c r="AO363" s="234"/>
    </row>
    <row r="364" ht="15.75" customHeight="1">
      <c r="A364" s="91"/>
      <c r="B364" s="91"/>
      <c r="C364" s="220"/>
      <c r="D364" s="91"/>
      <c r="E364" s="221"/>
      <c r="F364" s="91"/>
      <c r="G364" s="91"/>
      <c r="H364" s="242"/>
      <c r="I364" s="223"/>
      <c r="J364" s="57"/>
      <c r="K364" s="153"/>
      <c r="L364" s="243"/>
      <c r="M364" s="234"/>
      <c r="N364" s="235"/>
      <c r="O364" s="236"/>
      <c r="P364" s="236"/>
      <c r="Q364" s="236"/>
      <c r="R364" s="236"/>
      <c r="S364" s="236"/>
      <c r="T364" s="236"/>
      <c r="U364" s="236"/>
      <c r="V364" s="236"/>
      <c r="W364" s="244"/>
      <c r="X364" s="244"/>
      <c r="Y364" s="237"/>
      <c r="Z364" s="244"/>
      <c r="AA364" s="244"/>
      <c r="AB364" s="244"/>
      <c r="AC364" s="244"/>
      <c r="AD364" s="234"/>
      <c r="AE364" s="234"/>
      <c r="AF364" s="238"/>
      <c r="AG364" s="239"/>
      <c r="AH364" s="238"/>
      <c r="AI364" s="238"/>
      <c r="AJ364" s="234"/>
      <c r="AK364" s="234"/>
      <c r="AL364" s="234"/>
      <c r="AM364" s="234"/>
      <c r="AN364" s="234"/>
      <c r="AO364" s="234"/>
    </row>
    <row r="365" ht="15.75" customHeight="1">
      <c r="A365" s="91"/>
      <c r="B365" s="91"/>
      <c r="C365" s="220"/>
      <c r="D365" s="91"/>
      <c r="E365" s="221"/>
      <c r="F365" s="91"/>
      <c r="G365" s="91"/>
      <c r="H365" s="242"/>
      <c r="I365" s="223"/>
      <c r="J365" s="57"/>
      <c r="K365" s="153"/>
      <c r="L365" s="243"/>
      <c r="M365" s="234"/>
      <c r="N365" s="235"/>
      <c r="O365" s="236"/>
      <c r="P365" s="236"/>
      <c r="Q365" s="236"/>
      <c r="R365" s="236"/>
      <c r="S365" s="236"/>
      <c r="T365" s="236"/>
      <c r="U365" s="236"/>
      <c r="V365" s="236"/>
      <c r="W365" s="244"/>
      <c r="X365" s="244"/>
      <c r="Y365" s="237"/>
      <c r="Z365" s="244"/>
      <c r="AA365" s="244"/>
      <c r="AB365" s="244"/>
      <c r="AC365" s="244"/>
      <c r="AD365" s="234"/>
      <c r="AE365" s="234"/>
      <c r="AF365" s="238"/>
      <c r="AG365" s="239"/>
      <c r="AH365" s="238"/>
      <c r="AI365" s="238"/>
      <c r="AJ365" s="234"/>
      <c r="AK365" s="234"/>
      <c r="AL365" s="234"/>
      <c r="AM365" s="234"/>
      <c r="AN365" s="234"/>
      <c r="AO365" s="234"/>
    </row>
    <row r="366" ht="15.75" customHeight="1">
      <c r="A366" s="91"/>
      <c r="B366" s="91"/>
      <c r="C366" s="220"/>
      <c r="D366" s="91"/>
      <c r="E366" s="221"/>
      <c r="F366" s="91"/>
      <c r="G366" s="91"/>
      <c r="H366" s="242"/>
      <c r="I366" s="223"/>
      <c r="J366" s="57"/>
      <c r="K366" s="153"/>
      <c r="L366" s="243"/>
      <c r="M366" s="234"/>
      <c r="N366" s="235"/>
      <c r="O366" s="236"/>
      <c r="P366" s="236"/>
      <c r="Q366" s="236"/>
      <c r="R366" s="236"/>
      <c r="S366" s="236"/>
      <c r="T366" s="236"/>
      <c r="U366" s="236"/>
      <c r="V366" s="236"/>
      <c r="W366" s="244"/>
      <c r="X366" s="244"/>
      <c r="Y366" s="237"/>
      <c r="Z366" s="244"/>
      <c r="AA366" s="244"/>
      <c r="AB366" s="244"/>
      <c r="AC366" s="244"/>
      <c r="AD366" s="234"/>
      <c r="AE366" s="234"/>
      <c r="AF366" s="238"/>
      <c r="AG366" s="239"/>
      <c r="AH366" s="238"/>
      <c r="AI366" s="238"/>
      <c r="AJ366" s="234"/>
      <c r="AK366" s="234"/>
      <c r="AL366" s="234"/>
      <c r="AM366" s="234"/>
      <c r="AN366" s="234"/>
      <c r="AO366" s="234"/>
    </row>
    <row r="367" ht="15.75" customHeight="1">
      <c r="A367" s="91"/>
      <c r="B367" s="91"/>
      <c r="C367" s="220"/>
      <c r="D367" s="91"/>
      <c r="E367" s="221"/>
      <c r="F367" s="91"/>
      <c r="G367" s="91"/>
      <c r="H367" s="242"/>
      <c r="I367" s="223"/>
      <c r="J367" s="57"/>
      <c r="K367" s="153"/>
      <c r="L367" s="243"/>
      <c r="M367" s="234"/>
      <c r="N367" s="235"/>
      <c r="O367" s="236"/>
      <c r="P367" s="236"/>
      <c r="Q367" s="236"/>
      <c r="R367" s="236"/>
      <c r="S367" s="236"/>
      <c r="T367" s="236"/>
      <c r="U367" s="236"/>
      <c r="V367" s="236"/>
      <c r="W367" s="244"/>
      <c r="X367" s="244"/>
      <c r="Y367" s="237"/>
      <c r="Z367" s="244"/>
      <c r="AA367" s="244"/>
      <c r="AB367" s="244"/>
      <c r="AC367" s="244"/>
      <c r="AD367" s="234"/>
      <c r="AE367" s="234"/>
      <c r="AF367" s="238"/>
      <c r="AG367" s="239"/>
      <c r="AH367" s="238"/>
      <c r="AI367" s="238"/>
      <c r="AJ367" s="234"/>
      <c r="AK367" s="234"/>
      <c r="AL367" s="234"/>
      <c r="AM367" s="234"/>
      <c r="AN367" s="234"/>
      <c r="AO367" s="234"/>
    </row>
    <row r="368" ht="15.75" customHeight="1">
      <c r="A368" s="91"/>
      <c r="B368" s="91"/>
      <c r="C368" s="220"/>
      <c r="D368" s="91"/>
      <c r="E368" s="221"/>
      <c r="F368" s="91"/>
      <c r="G368" s="91"/>
      <c r="H368" s="242"/>
      <c r="I368" s="223"/>
      <c r="J368" s="57"/>
      <c r="K368" s="153"/>
      <c r="L368" s="243"/>
      <c r="M368" s="234"/>
      <c r="N368" s="235"/>
      <c r="O368" s="236"/>
      <c r="P368" s="236"/>
      <c r="Q368" s="236"/>
      <c r="R368" s="236"/>
      <c r="S368" s="236"/>
      <c r="T368" s="236"/>
      <c r="U368" s="236"/>
      <c r="V368" s="236"/>
      <c r="W368" s="244"/>
      <c r="X368" s="244"/>
      <c r="Y368" s="237"/>
      <c r="Z368" s="244"/>
      <c r="AA368" s="244"/>
      <c r="AB368" s="244"/>
      <c r="AC368" s="244"/>
      <c r="AD368" s="234"/>
      <c r="AE368" s="234"/>
      <c r="AF368" s="238"/>
      <c r="AG368" s="239"/>
      <c r="AH368" s="238"/>
      <c r="AI368" s="238"/>
      <c r="AJ368" s="234"/>
      <c r="AK368" s="234"/>
      <c r="AL368" s="234"/>
      <c r="AM368" s="234"/>
      <c r="AN368" s="234"/>
      <c r="AO368" s="234"/>
    </row>
    <row r="369" ht="15.75" customHeight="1">
      <c r="A369" s="91"/>
      <c r="B369" s="91"/>
      <c r="C369" s="220"/>
      <c r="D369" s="91"/>
      <c r="E369" s="221"/>
      <c r="F369" s="91"/>
      <c r="G369" s="91"/>
      <c r="H369" s="242"/>
      <c r="I369" s="223"/>
      <c r="J369" s="57"/>
      <c r="K369" s="153"/>
      <c r="L369" s="243"/>
      <c r="M369" s="234"/>
      <c r="N369" s="235"/>
      <c r="O369" s="236"/>
      <c r="P369" s="236"/>
      <c r="Q369" s="236"/>
      <c r="R369" s="236"/>
      <c r="S369" s="236"/>
      <c r="T369" s="236"/>
      <c r="U369" s="236"/>
      <c r="V369" s="236"/>
      <c r="W369" s="244"/>
      <c r="X369" s="244"/>
      <c r="Y369" s="237"/>
      <c r="Z369" s="244"/>
      <c r="AA369" s="244"/>
      <c r="AB369" s="244"/>
      <c r="AC369" s="244"/>
      <c r="AD369" s="234"/>
      <c r="AE369" s="234"/>
      <c r="AF369" s="238"/>
      <c r="AG369" s="239"/>
      <c r="AH369" s="238"/>
      <c r="AI369" s="238"/>
      <c r="AJ369" s="234"/>
      <c r="AK369" s="234"/>
      <c r="AL369" s="234"/>
      <c r="AM369" s="234"/>
      <c r="AN369" s="234"/>
      <c r="AO369" s="234"/>
    </row>
    <row r="370" ht="15.75" customHeight="1">
      <c r="A370" s="91"/>
      <c r="B370" s="91"/>
      <c r="C370" s="220"/>
      <c r="D370" s="91"/>
      <c r="E370" s="221"/>
      <c r="F370" s="91"/>
      <c r="G370" s="91"/>
      <c r="H370" s="242"/>
      <c r="I370" s="223"/>
      <c r="J370" s="57"/>
      <c r="K370" s="153"/>
      <c r="L370" s="243"/>
      <c r="M370" s="234"/>
      <c r="N370" s="235"/>
      <c r="O370" s="236"/>
      <c r="P370" s="236"/>
      <c r="Q370" s="236"/>
      <c r="R370" s="236"/>
      <c r="S370" s="236"/>
      <c r="T370" s="236"/>
      <c r="U370" s="236"/>
      <c r="V370" s="236"/>
      <c r="W370" s="244"/>
      <c r="X370" s="244"/>
      <c r="Y370" s="237"/>
      <c r="Z370" s="244"/>
      <c r="AA370" s="244"/>
      <c r="AB370" s="244"/>
      <c r="AC370" s="244"/>
      <c r="AD370" s="234"/>
      <c r="AE370" s="234"/>
      <c r="AF370" s="238"/>
      <c r="AG370" s="239"/>
      <c r="AH370" s="238"/>
      <c r="AI370" s="238"/>
      <c r="AJ370" s="234"/>
      <c r="AK370" s="234"/>
      <c r="AL370" s="234"/>
      <c r="AM370" s="234"/>
      <c r="AN370" s="234"/>
      <c r="AO370" s="234"/>
    </row>
    <row r="371" ht="15.75" customHeight="1">
      <c r="A371" s="91"/>
      <c r="B371" s="91"/>
      <c r="C371" s="220"/>
      <c r="D371" s="91"/>
      <c r="E371" s="221"/>
      <c r="F371" s="91"/>
      <c r="G371" s="91"/>
      <c r="H371" s="242"/>
      <c r="I371" s="223"/>
      <c r="J371" s="57"/>
      <c r="K371" s="153"/>
      <c r="L371" s="243"/>
      <c r="M371" s="234"/>
      <c r="N371" s="235"/>
      <c r="O371" s="236"/>
      <c r="P371" s="236"/>
      <c r="Q371" s="236"/>
      <c r="R371" s="236"/>
      <c r="S371" s="236"/>
      <c r="T371" s="236"/>
      <c r="U371" s="236"/>
      <c r="V371" s="236"/>
      <c r="W371" s="244"/>
      <c r="X371" s="244"/>
      <c r="Y371" s="237"/>
      <c r="Z371" s="244"/>
      <c r="AA371" s="244"/>
      <c r="AB371" s="244"/>
      <c r="AC371" s="244"/>
      <c r="AD371" s="234"/>
      <c r="AE371" s="234"/>
      <c r="AF371" s="238"/>
      <c r="AG371" s="239"/>
      <c r="AH371" s="238"/>
      <c r="AI371" s="238"/>
      <c r="AJ371" s="234"/>
      <c r="AK371" s="234"/>
      <c r="AL371" s="234"/>
      <c r="AM371" s="234"/>
      <c r="AN371" s="234"/>
      <c r="AO371" s="234"/>
    </row>
    <row r="372" ht="15.75" customHeight="1">
      <c r="A372" s="91"/>
      <c r="B372" s="91"/>
      <c r="C372" s="220"/>
      <c r="D372" s="91"/>
      <c r="E372" s="221"/>
      <c r="F372" s="91"/>
      <c r="G372" s="91"/>
      <c r="H372" s="242"/>
      <c r="I372" s="223"/>
      <c r="J372" s="57"/>
      <c r="K372" s="153"/>
      <c r="L372" s="243"/>
      <c r="M372" s="234"/>
      <c r="N372" s="235"/>
      <c r="O372" s="236"/>
      <c r="P372" s="236"/>
      <c r="Q372" s="236"/>
      <c r="R372" s="236"/>
      <c r="S372" s="236"/>
      <c r="T372" s="236"/>
      <c r="U372" s="236"/>
      <c r="V372" s="236"/>
      <c r="W372" s="244"/>
      <c r="X372" s="244"/>
      <c r="Y372" s="237"/>
      <c r="Z372" s="244"/>
      <c r="AA372" s="244"/>
      <c r="AB372" s="244"/>
      <c r="AC372" s="244"/>
      <c r="AD372" s="234"/>
      <c r="AE372" s="234"/>
      <c r="AF372" s="238"/>
      <c r="AG372" s="239"/>
      <c r="AH372" s="238"/>
      <c r="AI372" s="238"/>
      <c r="AJ372" s="234"/>
      <c r="AK372" s="234"/>
      <c r="AL372" s="234"/>
      <c r="AM372" s="234"/>
      <c r="AN372" s="234"/>
      <c r="AO372" s="234"/>
    </row>
    <row r="373" ht="15.75" customHeight="1">
      <c r="A373" s="91"/>
      <c r="B373" s="91"/>
      <c r="C373" s="220"/>
      <c r="D373" s="91"/>
      <c r="E373" s="221"/>
      <c r="F373" s="91"/>
      <c r="G373" s="91"/>
      <c r="H373" s="242"/>
      <c r="I373" s="223"/>
      <c r="J373" s="57"/>
      <c r="K373" s="153"/>
      <c r="L373" s="243"/>
      <c r="M373" s="234"/>
      <c r="N373" s="235"/>
      <c r="O373" s="236"/>
      <c r="P373" s="236"/>
      <c r="Q373" s="236"/>
      <c r="R373" s="236"/>
      <c r="S373" s="236"/>
      <c r="T373" s="236"/>
      <c r="U373" s="236"/>
      <c r="V373" s="236"/>
      <c r="W373" s="244"/>
      <c r="X373" s="244"/>
      <c r="Y373" s="237"/>
      <c r="Z373" s="244"/>
      <c r="AA373" s="244"/>
      <c r="AB373" s="244"/>
      <c r="AC373" s="244"/>
      <c r="AD373" s="234"/>
      <c r="AE373" s="234"/>
      <c r="AF373" s="238"/>
      <c r="AG373" s="239"/>
      <c r="AH373" s="238"/>
      <c r="AI373" s="238"/>
      <c r="AJ373" s="234"/>
      <c r="AK373" s="234"/>
      <c r="AL373" s="234"/>
      <c r="AM373" s="234"/>
      <c r="AN373" s="234"/>
      <c r="AO373" s="234"/>
    </row>
    <row r="374" ht="15.75" customHeight="1">
      <c r="A374" s="91"/>
      <c r="B374" s="91"/>
      <c r="C374" s="220"/>
      <c r="D374" s="91"/>
      <c r="E374" s="221"/>
      <c r="F374" s="91"/>
      <c r="G374" s="91"/>
      <c r="H374" s="242"/>
      <c r="I374" s="223"/>
      <c r="J374" s="57"/>
      <c r="K374" s="153"/>
      <c r="L374" s="243"/>
      <c r="M374" s="234"/>
      <c r="N374" s="235"/>
      <c r="O374" s="236"/>
      <c r="P374" s="236"/>
      <c r="Q374" s="236"/>
      <c r="R374" s="236"/>
      <c r="S374" s="236"/>
      <c r="T374" s="236"/>
      <c r="U374" s="236"/>
      <c r="V374" s="236"/>
      <c r="W374" s="244"/>
      <c r="X374" s="244"/>
      <c r="Y374" s="237"/>
      <c r="Z374" s="244"/>
      <c r="AA374" s="244"/>
      <c r="AB374" s="244"/>
      <c r="AC374" s="244"/>
      <c r="AD374" s="234"/>
      <c r="AE374" s="234"/>
      <c r="AF374" s="238"/>
      <c r="AG374" s="239"/>
      <c r="AH374" s="238"/>
      <c r="AI374" s="238"/>
      <c r="AJ374" s="234"/>
      <c r="AK374" s="234"/>
      <c r="AL374" s="234"/>
      <c r="AM374" s="234"/>
      <c r="AN374" s="234"/>
      <c r="AO374" s="234"/>
    </row>
    <row r="375" ht="15.75" customHeight="1">
      <c r="A375" s="91"/>
      <c r="B375" s="91"/>
      <c r="C375" s="220"/>
      <c r="D375" s="91"/>
      <c r="E375" s="221"/>
      <c r="F375" s="91"/>
      <c r="G375" s="91"/>
      <c r="H375" s="242"/>
      <c r="I375" s="223"/>
      <c r="J375" s="57"/>
      <c r="K375" s="153"/>
      <c r="L375" s="243"/>
      <c r="M375" s="234"/>
      <c r="N375" s="235"/>
      <c r="O375" s="236"/>
      <c r="P375" s="236"/>
      <c r="Q375" s="236"/>
      <c r="R375" s="236"/>
      <c r="S375" s="236"/>
      <c r="T375" s="236"/>
      <c r="U375" s="236"/>
      <c r="V375" s="236"/>
      <c r="W375" s="244"/>
      <c r="X375" s="244"/>
      <c r="Y375" s="237"/>
      <c r="Z375" s="244"/>
      <c r="AA375" s="244"/>
      <c r="AB375" s="244"/>
      <c r="AC375" s="244"/>
      <c r="AD375" s="234"/>
      <c r="AE375" s="234"/>
      <c r="AF375" s="238"/>
      <c r="AG375" s="239"/>
      <c r="AH375" s="238"/>
      <c r="AI375" s="238"/>
      <c r="AJ375" s="234"/>
      <c r="AK375" s="234"/>
      <c r="AL375" s="234"/>
      <c r="AM375" s="234"/>
      <c r="AN375" s="234"/>
      <c r="AO375" s="234"/>
    </row>
    <row r="376" ht="15.75" customHeight="1">
      <c r="A376" s="91"/>
      <c r="B376" s="91"/>
      <c r="C376" s="220"/>
      <c r="D376" s="91"/>
      <c r="E376" s="221"/>
      <c r="F376" s="91"/>
      <c r="G376" s="91"/>
      <c r="H376" s="242"/>
      <c r="I376" s="223"/>
      <c r="J376" s="57"/>
      <c r="K376" s="153"/>
      <c r="L376" s="243"/>
      <c r="M376" s="234"/>
      <c r="N376" s="235"/>
      <c r="O376" s="236"/>
      <c r="P376" s="236"/>
      <c r="Q376" s="236"/>
      <c r="R376" s="236"/>
      <c r="S376" s="236"/>
      <c r="T376" s="236"/>
      <c r="U376" s="236"/>
      <c r="V376" s="236"/>
      <c r="W376" s="244"/>
      <c r="X376" s="244"/>
      <c r="Y376" s="237"/>
      <c r="Z376" s="244"/>
      <c r="AA376" s="244"/>
      <c r="AB376" s="244"/>
      <c r="AC376" s="244"/>
      <c r="AD376" s="234"/>
      <c r="AE376" s="234"/>
      <c r="AF376" s="238"/>
      <c r="AG376" s="239"/>
      <c r="AH376" s="238"/>
      <c r="AI376" s="238"/>
      <c r="AJ376" s="234"/>
      <c r="AK376" s="234"/>
      <c r="AL376" s="234"/>
      <c r="AM376" s="234"/>
      <c r="AN376" s="234"/>
      <c r="AO376" s="234"/>
    </row>
    <row r="377" ht="15.75" customHeight="1">
      <c r="A377" s="91"/>
      <c r="B377" s="91"/>
      <c r="C377" s="220"/>
      <c r="D377" s="91"/>
      <c r="E377" s="221"/>
      <c r="F377" s="91"/>
      <c r="G377" s="91"/>
      <c r="H377" s="242"/>
      <c r="I377" s="223"/>
      <c r="J377" s="57"/>
      <c r="K377" s="153"/>
      <c r="L377" s="243"/>
      <c r="M377" s="234"/>
      <c r="N377" s="235"/>
      <c r="O377" s="236"/>
      <c r="P377" s="236"/>
      <c r="Q377" s="236"/>
      <c r="R377" s="236"/>
      <c r="S377" s="236"/>
      <c r="T377" s="236"/>
      <c r="U377" s="236"/>
      <c r="V377" s="236"/>
      <c r="W377" s="244"/>
      <c r="X377" s="244"/>
      <c r="Y377" s="237"/>
      <c r="Z377" s="244"/>
      <c r="AA377" s="244"/>
      <c r="AB377" s="244"/>
      <c r="AC377" s="244"/>
      <c r="AD377" s="234"/>
      <c r="AE377" s="234"/>
      <c r="AF377" s="238"/>
      <c r="AG377" s="239"/>
      <c r="AH377" s="238"/>
      <c r="AI377" s="238"/>
      <c r="AJ377" s="234"/>
      <c r="AK377" s="234"/>
      <c r="AL377" s="234"/>
      <c r="AM377" s="234"/>
      <c r="AN377" s="234"/>
      <c r="AO377" s="234"/>
    </row>
    <row r="378" ht="15.75" customHeight="1">
      <c r="A378" s="91"/>
      <c r="B378" s="91"/>
      <c r="C378" s="220"/>
      <c r="D378" s="91"/>
      <c r="E378" s="221"/>
      <c r="F378" s="91"/>
      <c r="G378" s="91"/>
      <c r="H378" s="242"/>
      <c r="I378" s="223"/>
      <c r="J378" s="57"/>
      <c r="K378" s="153"/>
      <c r="L378" s="243"/>
      <c r="M378" s="234"/>
      <c r="N378" s="235"/>
      <c r="O378" s="236"/>
      <c r="P378" s="236"/>
      <c r="Q378" s="236"/>
      <c r="R378" s="236"/>
      <c r="S378" s="236"/>
      <c r="T378" s="236"/>
      <c r="U378" s="236"/>
      <c r="V378" s="236"/>
      <c r="W378" s="244"/>
      <c r="X378" s="244"/>
      <c r="Y378" s="237"/>
      <c r="Z378" s="244"/>
      <c r="AA378" s="244"/>
      <c r="AB378" s="244"/>
      <c r="AC378" s="244"/>
      <c r="AD378" s="234"/>
      <c r="AE378" s="234"/>
      <c r="AF378" s="238"/>
      <c r="AG378" s="239"/>
      <c r="AH378" s="238"/>
      <c r="AI378" s="238"/>
      <c r="AJ378" s="234"/>
      <c r="AK378" s="234"/>
      <c r="AL378" s="234"/>
      <c r="AM378" s="234"/>
      <c r="AN378" s="234"/>
      <c r="AO378" s="234"/>
    </row>
    <row r="379" ht="15.75" customHeight="1">
      <c r="A379" s="91"/>
      <c r="B379" s="91"/>
      <c r="C379" s="220"/>
      <c r="D379" s="91"/>
      <c r="E379" s="221"/>
      <c r="F379" s="91"/>
      <c r="G379" s="91"/>
      <c r="H379" s="242"/>
      <c r="I379" s="223"/>
      <c r="J379" s="57"/>
      <c r="K379" s="153"/>
      <c r="L379" s="243"/>
      <c r="M379" s="234"/>
      <c r="N379" s="235"/>
      <c r="O379" s="236"/>
      <c r="P379" s="236"/>
      <c r="Q379" s="236"/>
      <c r="R379" s="236"/>
      <c r="S379" s="236"/>
      <c r="T379" s="236"/>
      <c r="U379" s="236"/>
      <c r="V379" s="236"/>
      <c r="W379" s="244"/>
      <c r="X379" s="244"/>
      <c r="Y379" s="237"/>
      <c r="Z379" s="244"/>
      <c r="AA379" s="244"/>
      <c r="AB379" s="244"/>
      <c r="AC379" s="244"/>
      <c r="AD379" s="234"/>
      <c r="AE379" s="234"/>
      <c r="AF379" s="238"/>
      <c r="AG379" s="239"/>
      <c r="AH379" s="238"/>
      <c r="AI379" s="238"/>
      <c r="AJ379" s="234"/>
      <c r="AK379" s="234"/>
      <c r="AL379" s="234"/>
      <c r="AM379" s="234"/>
      <c r="AN379" s="234"/>
      <c r="AO379" s="234"/>
    </row>
    <row r="380" ht="15.75" customHeight="1">
      <c r="A380" s="91"/>
      <c r="B380" s="91"/>
      <c r="C380" s="220"/>
      <c r="D380" s="91"/>
      <c r="E380" s="221"/>
      <c r="F380" s="91"/>
      <c r="G380" s="91"/>
      <c r="H380" s="242"/>
      <c r="I380" s="223"/>
      <c r="J380" s="57"/>
      <c r="K380" s="153"/>
      <c r="L380" s="243"/>
      <c r="M380" s="234"/>
      <c r="N380" s="235"/>
      <c r="O380" s="236"/>
      <c r="P380" s="236"/>
      <c r="Q380" s="236"/>
      <c r="R380" s="236"/>
      <c r="S380" s="236"/>
      <c r="T380" s="236"/>
      <c r="U380" s="236"/>
      <c r="V380" s="236"/>
      <c r="W380" s="244"/>
      <c r="X380" s="244"/>
      <c r="Y380" s="237"/>
      <c r="Z380" s="244"/>
      <c r="AA380" s="244"/>
      <c r="AB380" s="244"/>
      <c r="AC380" s="244"/>
      <c r="AD380" s="234"/>
      <c r="AE380" s="234"/>
      <c r="AF380" s="238"/>
      <c r="AG380" s="239"/>
      <c r="AH380" s="238"/>
      <c r="AI380" s="238"/>
      <c r="AJ380" s="234"/>
      <c r="AK380" s="234"/>
      <c r="AL380" s="234"/>
      <c r="AM380" s="234"/>
      <c r="AN380" s="234"/>
      <c r="AO380" s="234"/>
    </row>
    <row r="381" ht="15.75" customHeight="1">
      <c r="A381" s="91"/>
      <c r="B381" s="91"/>
      <c r="C381" s="220"/>
      <c r="D381" s="91"/>
      <c r="E381" s="221"/>
      <c r="F381" s="91"/>
      <c r="G381" s="91"/>
      <c r="H381" s="242"/>
      <c r="I381" s="223"/>
      <c r="J381" s="57"/>
      <c r="K381" s="153"/>
      <c r="L381" s="243"/>
      <c r="M381" s="234"/>
      <c r="N381" s="235"/>
      <c r="O381" s="236"/>
      <c r="P381" s="236"/>
      <c r="Q381" s="236"/>
      <c r="R381" s="236"/>
      <c r="S381" s="236"/>
      <c r="T381" s="236"/>
      <c r="U381" s="236"/>
      <c r="V381" s="236"/>
      <c r="W381" s="244"/>
      <c r="X381" s="244"/>
      <c r="Y381" s="237"/>
      <c r="Z381" s="244"/>
      <c r="AA381" s="244"/>
      <c r="AB381" s="244"/>
      <c r="AC381" s="244"/>
      <c r="AD381" s="234"/>
      <c r="AE381" s="234"/>
      <c r="AF381" s="238"/>
      <c r="AG381" s="239"/>
      <c r="AH381" s="238"/>
      <c r="AI381" s="238"/>
      <c r="AJ381" s="234"/>
      <c r="AK381" s="234"/>
      <c r="AL381" s="234"/>
      <c r="AM381" s="234"/>
      <c r="AN381" s="234"/>
      <c r="AO381" s="234"/>
    </row>
    <row r="382" ht="15.75" customHeight="1">
      <c r="A382" s="91"/>
      <c r="B382" s="91"/>
      <c r="C382" s="220"/>
      <c r="D382" s="91"/>
      <c r="E382" s="221"/>
      <c r="F382" s="91"/>
      <c r="G382" s="91"/>
      <c r="H382" s="242"/>
      <c r="I382" s="223"/>
      <c r="J382" s="57"/>
      <c r="K382" s="153"/>
      <c r="L382" s="243"/>
      <c r="M382" s="234"/>
      <c r="N382" s="235"/>
      <c r="O382" s="236"/>
      <c r="P382" s="236"/>
      <c r="Q382" s="236"/>
      <c r="R382" s="236"/>
      <c r="S382" s="236"/>
      <c r="T382" s="236"/>
      <c r="U382" s="236"/>
      <c r="V382" s="236"/>
      <c r="W382" s="244"/>
      <c r="X382" s="244"/>
      <c r="Y382" s="237"/>
      <c r="Z382" s="244"/>
      <c r="AA382" s="244"/>
      <c r="AB382" s="244"/>
      <c r="AC382" s="244"/>
      <c r="AD382" s="234"/>
      <c r="AE382" s="234"/>
      <c r="AF382" s="238"/>
      <c r="AG382" s="239"/>
      <c r="AH382" s="238"/>
      <c r="AI382" s="238"/>
      <c r="AJ382" s="234"/>
      <c r="AK382" s="234"/>
      <c r="AL382" s="234"/>
      <c r="AM382" s="234"/>
      <c r="AN382" s="234"/>
      <c r="AO382" s="234"/>
    </row>
    <row r="383" ht="15.75" customHeight="1">
      <c r="A383" s="91"/>
      <c r="B383" s="91"/>
      <c r="C383" s="220"/>
      <c r="D383" s="91"/>
      <c r="E383" s="221"/>
      <c r="F383" s="91"/>
      <c r="G383" s="91"/>
      <c r="H383" s="242"/>
      <c r="I383" s="223"/>
      <c r="J383" s="57"/>
      <c r="K383" s="153"/>
      <c r="L383" s="243"/>
      <c r="M383" s="234"/>
      <c r="N383" s="235"/>
      <c r="O383" s="236"/>
      <c r="P383" s="236"/>
      <c r="Q383" s="236"/>
      <c r="R383" s="236"/>
      <c r="S383" s="236"/>
      <c r="T383" s="236"/>
      <c r="U383" s="236"/>
      <c r="V383" s="236"/>
      <c r="W383" s="244"/>
      <c r="X383" s="244"/>
      <c r="Y383" s="237"/>
      <c r="Z383" s="244"/>
      <c r="AA383" s="244"/>
      <c r="AB383" s="244"/>
      <c r="AC383" s="244"/>
      <c r="AD383" s="234"/>
      <c r="AE383" s="234"/>
      <c r="AF383" s="238"/>
      <c r="AG383" s="239"/>
      <c r="AH383" s="238"/>
      <c r="AI383" s="238"/>
      <c r="AJ383" s="234"/>
      <c r="AK383" s="234"/>
      <c r="AL383" s="234"/>
      <c r="AM383" s="234"/>
      <c r="AN383" s="234"/>
      <c r="AO383" s="234"/>
    </row>
    <row r="384" ht="15.75" customHeight="1">
      <c r="A384" s="91"/>
      <c r="B384" s="91"/>
      <c r="C384" s="220"/>
      <c r="D384" s="91"/>
      <c r="E384" s="221"/>
      <c r="F384" s="91"/>
      <c r="G384" s="91"/>
      <c r="H384" s="242"/>
      <c r="I384" s="223"/>
      <c r="J384" s="57"/>
      <c r="K384" s="153"/>
      <c r="L384" s="243"/>
      <c r="M384" s="234"/>
      <c r="N384" s="235"/>
      <c r="O384" s="236"/>
      <c r="P384" s="236"/>
      <c r="Q384" s="236"/>
      <c r="R384" s="236"/>
      <c r="S384" s="236"/>
      <c r="T384" s="236"/>
      <c r="U384" s="236"/>
      <c r="V384" s="236"/>
      <c r="W384" s="244"/>
      <c r="X384" s="244"/>
      <c r="Y384" s="237"/>
      <c r="Z384" s="244"/>
      <c r="AA384" s="244"/>
      <c r="AB384" s="244"/>
      <c r="AC384" s="244"/>
      <c r="AD384" s="234"/>
      <c r="AE384" s="234"/>
      <c r="AF384" s="238"/>
      <c r="AG384" s="239"/>
      <c r="AH384" s="238"/>
      <c r="AI384" s="238"/>
      <c r="AJ384" s="234"/>
      <c r="AK384" s="234"/>
      <c r="AL384" s="234"/>
      <c r="AM384" s="234"/>
      <c r="AN384" s="234"/>
      <c r="AO384" s="234"/>
    </row>
    <row r="385" ht="15.75" customHeight="1">
      <c r="A385" s="91"/>
      <c r="B385" s="91"/>
      <c r="C385" s="220"/>
      <c r="D385" s="91"/>
      <c r="E385" s="221"/>
      <c r="F385" s="91"/>
      <c r="G385" s="91"/>
      <c r="H385" s="242"/>
      <c r="I385" s="223"/>
      <c r="J385" s="57"/>
      <c r="K385" s="153"/>
      <c r="L385" s="243"/>
      <c r="M385" s="234"/>
      <c r="N385" s="235"/>
      <c r="O385" s="236"/>
      <c r="P385" s="236"/>
      <c r="Q385" s="236"/>
      <c r="R385" s="236"/>
      <c r="S385" s="236"/>
      <c r="T385" s="236"/>
      <c r="U385" s="236"/>
      <c r="V385" s="236"/>
      <c r="W385" s="244"/>
      <c r="X385" s="244"/>
      <c r="Y385" s="237"/>
      <c r="Z385" s="244"/>
      <c r="AA385" s="244"/>
      <c r="AB385" s="244"/>
      <c r="AC385" s="244"/>
      <c r="AD385" s="234"/>
      <c r="AE385" s="234"/>
      <c r="AF385" s="238"/>
      <c r="AG385" s="239"/>
      <c r="AH385" s="238"/>
      <c r="AI385" s="238"/>
      <c r="AJ385" s="234"/>
      <c r="AK385" s="234"/>
      <c r="AL385" s="234"/>
      <c r="AM385" s="234"/>
      <c r="AN385" s="234"/>
      <c r="AO385" s="234"/>
    </row>
    <row r="386" ht="15.75" customHeight="1">
      <c r="A386" s="91"/>
      <c r="B386" s="91"/>
      <c r="C386" s="220"/>
      <c r="D386" s="91"/>
      <c r="E386" s="221"/>
      <c r="F386" s="91"/>
      <c r="G386" s="91"/>
      <c r="H386" s="242"/>
      <c r="I386" s="223"/>
      <c r="J386" s="57"/>
      <c r="K386" s="153"/>
      <c r="L386" s="243"/>
      <c r="M386" s="234"/>
      <c r="N386" s="235"/>
      <c r="O386" s="236"/>
      <c r="P386" s="236"/>
      <c r="Q386" s="236"/>
      <c r="R386" s="236"/>
      <c r="S386" s="236"/>
      <c r="T386" s="236"/>
      <c r="U386" s="236"/>
      <c r="V386" s="236"/>
      <c r="W386" s="244"/>
      <c r="X386" s="244"/>
      <c r="Y386" s="237"/>
      <c r="Z386" s="244"/>
      <c r="AA386" s="244"/>
      <c r="AB386" s="244"/>
      <c r="AC386" s="244"/>
      <c r="AD386" s="234"/>
      <c r="AE386" s="234"/>
      <c r="AF386" s="238"/>
      <c r="AG386" s="239"/>
      <c r="AH386" s="238"/>
      <c r="AI386" s="238"/>
      <c r="AJ386" s="234"/>
      <c r="AK386" s="234"/>
      <c r="AL386" s="234"/>
      <c r="AM386" s="234"/>
      <c r="AN386" s="234"/>
      <c r="AO386" s="234"/>
    </row>
    <row r="387" ht="15.75" customHeight="1">
      <c r="A387" s="91"/>
      <c r="B387" s="91"/>
      <c r="C387" s="220"/>
      <c r="D387" s="91"/>
      <c r="E387" s="221"/>
      <c r="F387" s="91"/>
      <c r="G387" s="91"/>
      <c r="H387" s="242"/>
      <c r="I387" s="223"/>
      <c r="J387" s="57"/>
      <c r="K387" s="153"/>
      <c r="L387" s="243"/>
      <c r="M387" s="234"/>
      <c r="N387" s="235"/>
      <c r="O387" s="236"/>
      <c r="P387" s="236"/>
      <c r="Q387" s="236"/>
      <c r="R387" s="236"/>
      <c r="S387" s="236"/>
      <c r="T387" s="236"/>
      <c r="U387" s="236"/>
      <c r="V387" s="236"/>
      <c r="W387" s="244"/>
      <c r="X387" s="244"/>
      <c r="Y387" s="237"/>
      <c r="Z387" s="244"/>
      <c r="AA387" s="244"/>
      <c r="AB387" s="244"/>
      <c r="AC387" s="244"/>
      <c r="AD387" s="234"/>
      <c r="AE387" s="234"/>
      <c r="AF387" s="238"/>
      <c r="AG387" s="239"/>
      <c r="AH387" s="238"/>
      <c r="AI387" s="238"/>
      <c r="AJ387" s="234"/>
      <c r="AK387" s="234"/>
      <c r="AL387" s="234"/>
      <c r="AM387" s="234"/>
      <c r="AN387" s="234"/>
      <c r="AO387" s="234"/>
    </row>
    <row r="388" ht="15.75" customHeight="1">
      <c r="A388" s="91"/>
      <c r="B388" s="91"/>
      <c r="C388" s="220"/>
      <c r="D388" s="91"/>
      <c r="E388" s="221"/>
      <c r="F388" s="91"/>
      <c r="G388" s="91"/>
      <c r="H388" s="242"/>
      <c r="I388" s="223"/>
      <c r="J388" s="57"/>
      <c r="K388" s="153"/>
      <c r="L388" s="243"/>
      <c r="M388" s="234"/>
      <c r="N388" s="235"/>
      <c r="O388" s="236"/>
      <c r="P388" s="236"/>
      <c r="Q388" s="236"/>
      <c r="R388" s="236"/>
      <c r="S388" s="236"/>
      <c r="T388" s="236"/>
      <c r="U388" s="236"/>
      <c r="V388" s="236"/>
      <c r="W388" s="244"/>
      <c r="X388" s="244"/>
      <c r="Y388" s="237"/>
      <c r="Z388" s="244"/>
      <c r="AA388" s="244"/>
      <c r="AB388" s="244"/>
      <c r="AC388" s="244"/>
      <c r="AD388" s="234"/>
      <c r="AE388" s="234"/>
      <c r="AF388" s="238"/>
      <c r="AG388" s="239"/>
      <c r="AH388" s="238"/>
      <c r="AI388" s="238"/>
      <c r="AJ388" s="234"/>
      <c r="AK388" s="234"/>
      <c r="AL388" s="234"/>
      <c r="AM388" s="234"/>
      <c r="AN388" s="234"/>
      <c r="AO388" s="234"/>
    </row>
    <row r="389" ht="15.75" customHeight="1">
      <c r="A389" s="91"/>
      <c r="B389" s="91"/>
      <c r="C389" s="220"/>
      <c r="D389" s="91"/>
      <c r="E389" s="221"/>
      <c r="F389" s="91"/>
      <c r="G389" s="91"/>
      <c r="H389" s="242"/>
      <c r="I389" s="223"/>
      <c r="J389" s="57"/>
      <c r="K389" s="153"/>
      <c r="L389" s="243"/>
      <c r="M389" s="234"/>
      <c r="N389" s="235"/>
      <c r="O389" s="236"/>
      <c r="P389" s="236"/>
      <c r="Q389" s="236"/>
      <c r="R389" s="236"/>
      <c r="S389" s="236"/>
      <c r="T389" s="236"/>
      <c r="U389" s="236"/>
      <c r="V389" s="236"/>
      <c r="W389" s="244"/>
      <c r="X389" s="244"/>
      <c r="Y389" s="237"/>
      <c r="Z389" s="244"/>
      <c r="AA389" s="244"/>
      <c r="AB389" s="244"/>
      <c r="AC389" s="244"/>
      <c r="AD389" s="234"/>
      <c r="AE389" s="234"/>
      <c r="AF389" s="238"/>
      <c r="AG389" s="239"/>
      <c r="AH389" s="238"/>
      <c r="AI389" s="238"/>
      <c r="AJ389" s="234"/>
      <c r="AK389" s="234"/>
      <c r="AL389" s="234"/>
      <c r="AM389" s="234"/>
      <c r="AN389" s="234"/>
      <c r="AO389" s="234"/>
    </row>
    <row r="390" ht="15.75" customHeight="1">
      <c r="A390" s="91"/>
      <c r="B390" s="91"/>
      <c r="C390" s="220"/>
      <c r="D390" s="91"/>
      <c r="E390" s="221"/>
      <c r="F390" s="91"/>
      <c r="G390" s="91"/>
      <c r="H390" s="242"/>
      <c r="I390" s="223"/>
      <c r="J390" s="57"/>
      <c r="K390" s="153"/>
      <c r="L390" s="243"/>
      <c r="M390" s="234"/>
      <c r="N390" s="235"/>
      <c r="O390" s="236"/>
      <c r="P390" s="236"/>
      <c r="Q390" s="236"/>
      <c r="R390" s="236"/>
      <c r="S390" s="236"/>
      <c r="T390" s="236"/>
      <c r="U390" s="236"/>
      <c r="V390" s="236"/>
      <c r="W390" s="244"/>
      <c r="X390" s="244"/>
      <c r="Y390" s="237"/>
      <c r="Z390" s="244"/>
      <c r="AA390" s="244"/>
      <c r="AB390" s="244"/>
      <c r="AC390" s="244"/>
      <c r="AD390" s="234"/>
      <c r="AE390" s="234"/>
      <c r="AF390" s="238"/>
      <c r="AG390" s="239"/>
      <c r="AH390" s="238"/>
      <c r="AI390" s="238"/>
      <c r="AJ390" s="234"/>
      <c r="AK390" s="234"/>
      <c r="AL390" s="234"/>
      <c r="AM390" s="234"/>
      <c r="AN390" s="234"/>
      <c r="AO390" s="234"/>
    </row>
    <row r="391" ht="15.75" customHeight="1">
      <c r="A391" s="91"/>
      <c r="B391" s="91"/>
      <c r="C391" s="220"/>
      <c r="D391" s="91"/>
      <c r="E391" s="221"/>
      <c r="F391" s="91"/>
      <c r="G391" s="91"/>
      <c r="H391" s="242"/>
      <c r="I391" s="223"/>
      <c r="J391" s="57"/>
      <c r="K391" s="153"/>
      <c r="L391" s="243"/>
      <c r="M391" s="234"/>
      <c r="N391" s="235"/>
      <c r="O391" s="236"/>
      <c r="P391" s="236"/>
      <c r="Q391" s="236"/>
      <c r="R391" s="236"/>
      <c r="S391" s="236"/>
      <c r="T391" s="236"/>
      <c r="U391" s="236"/>
      <c r="V391" s="236"/>
      <c r="W391" s="244"/>
      <c r="X391" s="244"/>
      <c r="Y391" s="237"/>
      <c r="Z391" s="244"/>
      <c r="AA391" s="244"/>
      <c r="AB391" s="244"/>
      <c r="AC391" s="244"/>
      <c r="AD391" s="234"/>
      <c r="AE391" s="234"/>
      <c r="AF391" s="238"/>
      <c r="AG391" s="239"/>
      <c r="AH391" s="238"/>
      <c r="AI391" s="238"/>
      <c r="AJ391" s="234"/>
      <c r="AK391" s="234"/>
      <c r="AL391" s="234"/>
      <c r="AM391" s="234"/>
      <c r="AN391" s="234"/>
      <c r="AO391" s="234"/>
    </row>
    <row r="392" ht="15.75" customHeight="1">
      <c r="A392" s="91"/>
      <c r="B392" s="91"/>
      <c r="C392" s="220"/>
      <c r="D392" s="91"/>
      <c r="E392" s="221"/>
      <c r="F392" s="91"/>
      <c r="G392" s="91"/>
      <c r="H392" s="242"/>
      <c r="I392" s="223"/>
      <c r="J392" s="57"/>
      <c r="K392" s="153"/>
      <c r="L392" s="243"/>
      <c r="M392" s="234"/>
      <c r="N392" s="235"/>
      <c r="O392" s="236"/>
      <c r="P392" s="236"/>
      <c r="Q392" s="236"/>
      <c r="R392" s="236"/>
      <c r="S392" s="236"/>
      <c r="T392" s="236"/>
      <c r="U392" s="236"/>
      <c r="V392" s="236"/>
      <c r="W392" s="244"/>
      <c r="X392" s="244"/>
      <c r="Y392" s="237"/>
      <c r="Z392" s="244"/>
      <c r="AA392" s="244"/>
      <c r="AB392" s="244"/>
      <c r="AC392" s="244"/>
      <c r="AD392" s="234"/>
      <c r="AE392" s="234"/>
      <c r="AF392" s="238"/>
      <c r="AG392" s="239"/>
      <c r="AH392" s="238"/>
      <c r="AI392" s="238"/>
      <c r="AJ392" s="234"/>
      <c r="AK392" s="234"/>
      <c r="AL392" s="234"/>
      <c r="AM392" s="234"/>
      <c r="AN392" s="234"/>
      <c r="AO392" s="234"/>
    </row>
    <row r="393" ht="15.75" customHeight="1">
      <c r="A393" s="91"/>
      <c r="B393" s="91"/>
      <c r="C393" s="220"/>
      <c r="D393" s="91"/>
      <c r="E393" s="221"/>
      <c r="F393" s="91"/>
      <c r="G393" s="91"/>
      <c r="H393" s="242"/>
      <c r="I393" s="223"/>
      <c r="J393" s="57"/>
      <c r="K393" s="153"/>
      <c r="L393" s="243"/>
      <c r="M393" s="234"/>
      <c r="N393" s="235"/>
      <c r="O393" s="236"/>
      <c r="P393" s="236"/>
      <c r="Q393" s="236"/>
      <c r="R393" s="236"/>
      <c r="S393" s="236"/>
      <c r="T393" s="236"/>
      <c r="U393" s="236"/>
      <c r="V393" s="236"/>
      <c r="W393" s="244"/>
      <c r="X393" s="244"/>
      <c r="Y393" s="237"/>
      <c r="Z393" s="244"/>
      <c r="AA393" s="244"/>
      <c r="AB393" s="244"/>
      <c r="AC393" s="244"/>
      <c r="AD393" s="234"/>
      <c r="AE393" s="234"/>
      <c r="AF393" s="238"/>
      <c r="AG393" s="239"/>
      <c r="AH393" s="238"/>
      <c r="AI393" s="238"/>
      <c r="AJ393" s="234"/>
      <c r="AK393" s="234"/>
      <c r="AL393" s="234"/>
      <c r="AM393" s="234"/>
      <c r="AN393" s="234"/>
      <c r="AO393" s="234"/>
    </row>
    <row r="394" ht="15.75" customHeight="1">
      <c r="A394" s="91"/>
      <c r="B394" s="91"/>
      <c r="C394" s="220"/>
      <c r="D394" s="91"/>
      <c r="E394" s="221"/>
      <c r="F394" s="91"/>
      <c r="G394" s="91"/>
      <c r="H394" s="242"/>
      <c r="I394" s="223"/>
      <c r="J394" s="57"/>
      <c r="K394" s="153"/>
      <c r="L394" s="243"/>
      <c r="M394" s="234"/>
      <c r="N394" s="235"/>
      <c r="O394" s="236"/>
      <c r="P394" s="236"/>
      <c r="Q394" s="236"/>
      <c r="R394" s="236"/>
      <c r="S394" s="236"/>
      <c r="T394" s="236"/>
      <c r="U394" s="236"/>
      <c r="V394" s="236"/>
      <c r="W394" s="244"/>
      <c r="X394" s="244"/>
      <c r="Y394" s="237"/>
      <c r="Z394" s="244"/>
      <c r="AA394" s="244"/>
      <c r="AB394" s="244"/>
      <c r="AC394" s="244"/>
      <c r="AD394" s="234"/>
      <c r="AE394" s="234"/>
      <c r="AF394" s="238"/>
      <c r="AG394" s="239"/>
      <c r="AH394" s="238"/>
      <c r="AI394" s="238"/>
      <c r="AJ394" s="234"/>
      <c r="AK394" s="234"/>
      <c r="AL394" s="234"/>
      <c r="AM394" s="234"/>
      <c r="AN394" s="234"/>
      <c r="AO394" s="234"/>
    </row>
    <row r="395" ht="15.75" customHeight="1">
      <c r="A395" s="91"/>
      <c r="B395" s="91"/>
      <c r="C395" s="220"/>
      <c r="D395" s="91"/>
      <c r="E395" s="221"/>
      <c r="F395" s="91"/>
      <c r="G395" s="91"/>
      <c r="H395" s="242"/>
      <c r="I395" s="223"/>
      <c r="J395" s="57"/>
      <c r="K395" s="153"/>
      <c r="L395" s="243"/>
      <c r="M395" s="234"/>
      <c r="N395" s="235"/>
      <c r="O395" s="236"/>
      <c r="P395" s="236"/>
      <c r="Q395" s="236"/>
      <c r="R395" s="236"/>
      <c r="S395" s="236"/>
      <c r="T395" s="236"/>
      <c r="U395" s="236"/>
      <c r="V395" s="236"/>
      <c r="W395" s="244"/>
      <c r="X395" s="244"/>
      <c r="Y395" s="237"/>
      <c r="Z395" s="244"/>
      <c r="AA395" s="244"/>
      <c r="AB395" s="244"/>
      <c r="AC395" s="244"/>
      <c r="AD395" s="234"/>
      <c r="AE395" s="234"/>
      <c r="AF395" s="238"/>
      <c r="AG395" s="239"/>
      <c r="AH395" s="238"/>
      <c r="AI395" s="238"/>
      <c r="AJ395" s="234"/>
      <c r="AK395" s="234"/>
      <c r="AL395" s="234"/>
      <c r="AM395" s="234"/>
      <c r="AN395" s="234"/>
      <c r="AO395" s="234"/>
    </row>
    <row r="396" ht="15.75" customHeight="1">
      <c r="A396" s="91"/>
      <c r="B396" s="91"/>
      <c r="C396" s="220"/>
      <c r="D396" s="91"/>
      <c r="E396" s="221"/>
      <c r="F396" s="91"/>
      <c r="G396" s="91"/>
      <c r="H396" s="242"/>
      <c r="I396" s="223"/>
      <c r="J396" s="57"/>
      <c r="K396" s="153"/>
      <c r="L396" s="243"/>
      <c r="M396" s="234"/>
      <c r="N396" s="235"/>
      <c r="O396" s="236"/>
      <c r="P396" s="236"/>
      <c r="Q396" s="236"/>
      <c r="R396" s="236"/>
      <c r="S396" s="236"/>
      <c r="T396" s="236"/>
      <c r="U396" s="236"/>
      <c r="V396" s="236"/>
      <c r="W396" s="244"/>
      <c r="X396" s="244"/>
      <c r="Y396" s="237"/>
      <c r="Z396" s="244"/>
      <c r="AA396" s="244"/>
      <c r="AB396" s="244"/>
      <c r="AC396" s="244"/>
      <c r="AD396" s="234"/>
      <c r="AE396" s="234"/>
      <c r="AF396" s="238"/>
      <c r="AG396" s="239"/>
      <c r="AH396" s="238"/>
      <c r="AI396" s="238"/>
      <c r="AJ396" s="234"/>
      <c r="AK396" s="234"/>
      <c r="AL396" s="234"/>
      <c r="AM396" s="234"/>
      <c r="AN396" s="234"/>
      <c r="AO396" s="234"/>
    </row>
    <row r="397" ht="15.75" customHeight="1">
      <c r="A397" s="91"/>
      <c r="B397" s="91"/>
      <c r="C397" s="220"/>
      <c r="D397" s="91"/>
      <c r="E397" s="221"/>
      <c r="F397" s="91"/>
      <c r="G397" s="91"/>
      <c r="H397" s="242"/>
      <c r="I397" s="223"/>
      <c r="J397" s="57"/>
      <c r="K397" s="153"/>
      <c r="L397" s="243"/>
      <c r="M397" s="234"/>
      <c r="N397" s="235"/>
      <c r="O397" s="236"/>
      <c r="P397" s="236"/>
      <c r="Q397" s="236"/>
      <c r="R397" s="236"/>
      <c r="S397" s="236"/>
      <c r="T397" s="236"/>
      <c r="U397" s="236"/>
      <c r="V397" s="236"/>
      <c r="W397" s="244"/>
      <c r="X397" s="244"/>
      <c r="Y397" s="237"/>
      <c r="Z397" s="244"/>
      <c r="AA397" s="244"/>
      <c r="AB397" s="244"/>
      <c r="AC397" s="244"/>
      <c r="AD397" s="234"/>
      <c r="AE397" s="234"/>
      <c r="AF397" s="238"/>
      <c r="AG397" s="239"/>
      <c r="AH397" s="238"/>
      <c r="AI397" s="238"/>
      <c r="AJ397" s="234"/>
      <c r="AK397" s="234"/>
      <c r="AL397" s="234"/>
      <c r="AM397" s="234"/>
      <c r="AN397" s="234"/>
      <c r="AO397" s="234"/>
    </row>
    <row r="398" ht="15.75" customHeight="1">
      <c r="A398" s="91"/>
      <c r="B398" s="91"/>
      <c r="C398" s="220"/>
      <c r="D398" s="91"/>
      <c r="E398" s="221"/>
      <c r="F398" s="91"/>
      <c r="G398" s="91"/>
      <c r="H398" s="242"/>
      <c r="I398" s="223"/>
      <c r="J398" s="57"/>
      <c r="K398" s="153"/>
      <c r="L398" s="243"/>
      <c r="M398" s="234"/>
      <c r="N398" s="235"/>
      <c r="O398" s="236"/>
      <c r="P398" s="236"/>
      <c r="Q398" s="236"/>
      <c r="R398" s="236"/>
      <c r="S398" s="236"/>
      <c r="T398" s="236"/>
      <c r="U398" s="236"/>
      <c r="V398" s="236"/>
      <c r="W398" s="244"/>
      <c r="X398" s="244"/>
      <c r="Y398" s="237"/>
      <c r="Z398" s="244"/>
      <c r="AA398" s="244"/>
      <c r="AB398" s="244"/>
      <c r="AC398" s="244"/>
      <c r="AD398" s="234"/>
      <c r="AE398" s="234"/>
      <c r="AF398" s="238"/>
      <c r="AG398" s="239"/>
      <c r="AH398" s="238"/>
      <c r="AI398" s="238"/>
      <c r="AJ398" s="234"/>
      <c r="AK398" s="234"/>
      <c r="AL398" s="234"/>
      <c r="AM398" s="234"/>
      <c r="AN398" s="234"/>
      <c r="AO398" s="234"/>
    </row>
    <row r="399" ht="15.75" customHeight="1">
      <c r="A399" s="91"/>
      <c r="B399" s="91"/>
      <c r="C399" s="220"/>
      <c r="D399" s="91"/>
      <c r="E399" s="221"/>
      <c r="F399" s="91"/>
      <c r="G399" s="91"/>
      <c r="H399" s="242"/>
      <c r="I399" s="223"/>
      <c r="J399" s="57"/>
      <c r="K399" s="153"/>
      <c r="L399" s="243"/>
      <c r="M399" s="234"/>
      <c r="N399" s="235"/>
      <c r="O399" s="236"/>
      <c r="P399" s="236"/>
      <c r="Q399" s="236"/>
      <c r="R399" s="236"/>
      <c r="S399" s="236"/>
      <c r="T399" s="236"/>
      <c r="U399" s="236"/>
      <c r="V399" s="236"/>
      <c r="W399" s="244"/>
      <c r="X399" s="244"/>
      <c r="Y399" s="237"/>
      <c r="Z399" s="244"/>
      <c r="AA399" s="244"/>
      <c r="AB399" s="244"/>
      <c r="AC399" s="244"/>
      <c r="AD399" s="234"/>
      <c r="AE399" s="234"/>
      <c r="AF399" s="238"/>
      <c r="AG399" s="239"/>
      <c r="AH399" s="238"/>
      <c r="AI399" s="238"/>
      <c r="AJ399" s="234"/>
      <c r="AK399" s="234"/>
      <c r="AL399" s="234"/>
      <c r="AM399" s="234"/>
      <c r="AN399" s="234"/>
      <c r="AO399" s="234"/>
    </row>
    <row r="400" ht="15.75" customHeight="1">
      <c r="A400" s="91"/>
      <c r="B400" s="91"/>
      <c r="C400" s="220"/>
      <c r="D400" s="91"/>
      <c r="E400" s="221"/>
      <c r="F400" s="91"/>
      <c r="G400" s="91"/>
      <c r="H400" s="242"/>
      <c r="I400" s="223"/>
      <c r="J400" s="57"/>
      <c r="K400" s="153"/>
      <c r="L400" s="243"/>
      <c r="M400" s="234"/>
      <c r="N400" s="235"/>
      <c r="O400" s="236"/>
      <c r="P400" s="236"/>
      <c r="Q400" s="236"/>
      <c r="R400" s="236"/>
      <c r="S400" s="236"/>
      <c r="T400" s="236"/>
      <c r="U400" s="236"/>
      <c r="V400" s="236"/>
      <c r="W400" s="244"/>
      <c r="X400" s="244"/>
      <c r="Y400" s="237"/>
      <c r="Z400" s="244"/>
      <c r="AA400" s="244"/>
      <c r="AB400" s="244"/>
      <c r="AC400" s="244"/>
      <c r="AD400" s="234"/>
      <c r="AE400" s="234"/>
      <c r="AF400" s="238"/>
      <c r="AG400" s="239"/>
      <c r="AH400" s="238"/>
      <c r="AI400" s="238"/>
      <c r="AJ400" s="234"/>
      <c r="AK400" s="234"/>
      <c r="AL400" s="234"/>
      <c r="AM400" s="234"/>
      <c r="AN400" s="234"/>
      <c r="AO400" s="234"/>
    </row>
    <row r="401" ht="15.75" customHeight="1">
      <c r="A401" s="91"/>
      <c r="B401" s="91"/>
      <c r="C401" s="220"/>
      <c r="D401" s="91"/>
      <c r="E401" s="221"/>
      <c r="F401" s="91"/>
      <c r="G401" s="91"/>
      <c r="H401" s="242"/>
      <c r="I401" s="223"/>
      <c r="J401" s="57"/>
      <c r="K401" s="153"/>
      <c r="L401" s="243"/>
      <c r="M401" s="234"/>
      <c r="N401" s="235"/>
      <c r="O401" s="236"/>
      <c r="P401" s="236"/>
      <c r="Q401" s="236"/>
      <c r="R401" s="236"/>
      <c r="S401" s="236"/>
      <c r="T401" s="236"/>
      <c r="U401" s="236"/>
      <c r="V401" s="236"/>
      <c r="W401" s="244"/>
      <c r="X401" s="244"/>
      <c r="Y401" s="237"/>
      <c r="Z401" s="244"/>
      <c r="AA401" s="244"/>
      <c r="AB401" s="244"/>
      <c r="AC401" s="244"/>
      <c r="AD401" s="234"/>
      <c r="AE401" s="234"/>
      <c r="AF401" s="238"/>
      <c r="AG401" s="239"/>
      <c r="AH401" s="238"/>
      <c r="AI401" s="238"/>
      <c r="AJ401" s="234"/>
      <c r="AK401" s="234"/>
      <c r="AL401" s="234"/>
      <c r="AM401" s="234"/>
      <c r="AN401" s="234"/>
      <c r="AO401" s="234"/>
    </row>
    <row r="402" ht="15.75" customHeight="1">
      <c r="A402" s="91"/>
      <c r="B402" s="91"/>
      <c r="C402" s="220"/>
      <c r="D402" s="91"/>
      <c r="E402" s="221"/>
      <c r="F402" s="91"/>
      <c r="G402" s="91"/>
      <c r="H402" s="242"/>
      <c r="I402" s="223"/>
      <c r="J402" s="57"/>
      <c r="K402" s="153"/>
      <c r="L402" s="243"/>
      <c r="M402" s="234"/>
      <c r="N402" s="235"/>
      <c r="O402" s="236"/>
      <c r="P402" s="236"/>
      <c r="Q402" s="236"/>
      <c r="R402" s="236"/>
      <c r="S402" s="236"/>
      <c r="T402" s="236"/>
      <c r="U402" s="236"/>
      <c r="V402" s="236"/>
      <c r="W402" s="244"/>
      <c r="X402" s="244"/>
      <c r="Y402" s="237"/>
      <c r="Z402" s="244"/>
      <c r="AA402" s="244"/>
      <c r="AB402" s="244"/>
      <c r="AC402" s="244"/>
      <c r="AD402" s="234"/>
      <c r="AE402" s="234"/>
      <c r="AF402" s="238"/>
      <c r="AG402" s="239"/>
      <c r="AH402" s="238"/>
      <c r="AI402" s="238"/>
      <c r="AJ402" s="234"/>
      <c r="AK402" s="234"/>
      <c r="AL402" s="234"/>
      <c r="AM402" s="234"/>
      <c r="AN402" s="234"/>
      <c r="AO402" s="234"/>
    </row>
    <row r="403" ht="15.75" customHeight="1">
      <c r="A403" s="91"/>
      <c r="B403" s="91"/>
      <c r="C403" s="220"/>
      <c r="D403" s="91"/>
      <c r="E403" s="221"/>
      <c r="F403" s="91"/>
      <c r="G403" s="91"/>
      <c r="H403" s="242"/>
      <c r="I403" s="223"/>
      <c r="J403" s="57"/>
      <c r="K403" s="153"/>
      <c r="L403" s="243"/>
      <c r="M403" s="234"/>
      <c r="N403" s="235"/>
      <c r="O403" s="236"/>
      <c r="P403" s="236"/>
      <c r="Q403" s="236"/>
      <c r="R403" s="236"/>
      <c r="S403" s="236"/>
      <c r="T403" s="236"/>
      <c r="U403" s="236"/>
      <c r="V403" s="236"/>
      <c r="W403" s="244"/>
      <c r="X403" s="244"/>
      <c r="Y403" s="237"/>
      <c r="Z403" s="244"/>
      <c r="AA403" s="244"/>
      <c r="AB403" s="244"/>
      <c r="AC403" s="244"/>
      <c r="AD403" s="234"/>
      <c r="AE403" s="234"/>
      <c r="AF403" s="238"/>
      <c r="AG403" s="239"/>
      <c r="AH403" s="238"/>
      <c r="AI403" s="238"/>
      <c r="AJ403" s="234"/>
      <c r="AK403" s="234"/>
      <c r="AL403" s="234"/>
      <c r="AM403" s="234"/>
      <c r="AN403" s="234"/>
      <c r="AO403" s="234"/>
    </row>
    <row r="404" ht="15.75" customHeight="1">
      <c r="A404" s="91"/>
      <c r="B404" s="91"/>
      <c r="C404" s="220"/>
      <c r="D404" s="91"/>
      <c r="E404" s="221"/>
      <c r="F404" s="91"/>
      <c r="G404" s="91"/>
      <c r="H404" s="242"/>
      <c r="I404" s="223"/>
      <c r="J404" s="57"/>
      <c r="K404" s="153"/>
      <c r="L404" s="243"/>
      <c r="M404" s="234"/>
      <c r="N404" s="235"/>
      <c r="O404" s="236"/>
      <c r="P404" s="236"/>
      <c r="Q404" s="236"/>
      <c r="R404" s="236"/>
      <c r="S404" s="236"/>
      <c r="T404" s="236"/>
      <c r="U404" s="236"/>
      <c r="V404" s="236"/>
      <c r="W404" s="244"/>
      <c r="X404" s="244"/>
      <c r="Y404" s="237"/>
      <c r="Z404" s="244"/>
      <c r="AA404" s="244"/>
      <c r="AB404" s="244"/>
      <c r="AC404" s="244"/>
      <c r="AD404" s="234"/>
      <c r="AE404" s="234"/>
      <c r="AF404" s="238"/>
      <c r="AG404" s="239"/>
      <c r="AH404" s="238"/>
      <c r="AI404" s="238"/>
      <c r="AJ404" s="234"/>
      <c r="AK404" s="234"/>
      <c r="AL404" s="234"/>
      <c r="AM404" s="234"/>
      <c r="AN404" s="234"/>
      <c r="AO404" s="234"/>
    </row>
    <row r="405" ht="15.75" customHeight="1">
      <c r="A405" s="91"/>
      <c r="B405" s="91"/>
      <c r="C405" s="220"/>
      <c r="D405" s="91"/>
      <c r="E405" s="221"/>
      <c r="F405" s="91"/>
      <c r="G405" s="91"/>
      <c r="H405" s="242"/>
      <c r="I405" s="223"/>
      <c r="J405" s="57"/>
      <c r="K405" s="153"/>
      <c r="L405" s="243"/>
      <c r="M405" s="234"/>
      <c r="N405" s="235"/>
      <c r="O405" s="236"/>
      <c r="P405" s="236"/>
      <c r="Q405" s="236"/>
      <c r="R405" s="236"/>
      <c r="S405" s="236"/>
      <c r="T405" s="236"/>
      <c r="U405" s="236"/>
      <c r="V405" s="236"/>
      <c r="W405" s="244"/>
      <c r="X405" s="244"/>
      <c r="Y405" s="237"/>
      <c r="Z405" s="244"/>
      <c r="AA405" s="244"/>
      <c r="AB405" s="244"/>
      <c r="AC405" s="244"/>
      <c r="AD405" s="234"/>
      <c r="AE405" s="234"/>
      <c r="AF405" s="238"/>
      <c r="AG405" s="239"/>
      <c r="AH405" s="238"/>
      <c r="AI405" s="238"/>
      <c r="AJ405" s="234"/>
      <c r="AK405" s="234"/>
      <c r="AL405" s="234"/>
      <c r="AM405" s="234"/>
      <c r="AN405" s="234"/>
      <c r="AO405" s="234"/>
    </row>
    <row r="406" ht="15.75" customHeight="1">
      <c r="A406" s="91"/>
      <c r="B406" s="91"/>
      <c r="C406" s="220"/>
      <c r="D406" s="91"/>
      <c r="E406" s="221"/>
      <c r="F406" s="91"/>
      <c r="G406" s="91"/>
      <c r="H406" s="242"/>
      <c r="I406" s="223"/>
      <c r="J406" s="57"/>
      <c r="K406" s="153"/>
      <c r="L406" s="243"/>
      <c r="M406" s="234"/>
      <c r="N406" s="235"/>
      <c r="O406" s="236"/>
      <c r="P406" s="236"/>
      <c r="Q406" s="236"/>
      <c r="R406" s="236"/>
      <c r="S406" s="236"/>
      <c r="T406" s="236"/>
      <c r="U406" s="236"/>
      <c r="V406" s="236"/>
      <c r="W406" s="244"/>
      <c r="X406" s="244"/>
      <c r="Y406" s="237"/>
      <c r="Z406" s="244"/>
      <c r="AA406" s="244"/>
      <c r="AB406" s="244"/>
      <c r="AC406" s="244"/>
      <c r="AD406" s="234"/>
      <c r="AE406" s="234"/>
      <c r="AF406" s="238"/>
      <c r="AG406" s="239"/>
      <c r="AH406" s="238"/>
      <c r="AI406" s="238"/>
      <c r="AJ406" s="234"/>
      <c r="AK406" s="234"/>
      <c r="AL406" s="234"/>
      <c r="AM406" s="234"/>
      <c r="AN406" s="234"/>
      <c r="AO406" s="234"/>
    </row>
    <row r="407" ht="15.75" customHeight="1">
      <c r="A407" s="91"/>
      <c r="B407" s="91"/>
      <c r="C407" s="220"/>
      <c r="D407" s="91"/>
      <c r="E407" s="221"/>
      <c r="F407" s="91"/>
      <c r="G407" s="91"/>
      <c r="H407" s="242"/>
      <c r="I407" s="223"/>
      <c r="J407" s="57"/>
      <c r="K407" s="153"/>
      <c r="L407" s="243"/>
      <c r="M407" s="234"/>
      <c r="N407" s="235"/>
      <c r="O407" s="236"/>
      <c r="P407" s="236"/>
      <c r="Q407" s="236"/>
      <c r="R407" s="236"/>
      <c r="S407" s="236"/>
      <c r="T407" s="236"/>
      <c r="U407" s="236"/>
      <c r="V407" s="236"/>
      <c r="W407" s="244"/>
      <c r="X407" s="244"/>
      <c r="Y407" s="237"/>
      <c r="Z407" s="244"/>
      <c r="AA407" s="244"/>
      <c r="AB407" s="244"/>
      <c r="AC407" s="244"/>
      <c r="AD407" s="234"/>
      <c r="AE407" s="234"/>
      <c r="AF407" s="238"/>
      <c r="AG407" s="239"/>
      <c r="AH407" s="238"/>
      <c r="AI407" s="238"/>
      <c r="AJ407" s="234"/>
      <c r="AK407" s="234"/>
      <c r="AL407" s="234"/>
      <c r="AM407" s="234"/>
      <c r="AN407" s="234"/>
      <c r="AO407" s="234"/>
    </row>
    <row r="408" ht="15.75" customHeight="1">
      <c r="A408" s="91"/>
      <c r="B408" s="91"/>
      <c r="C408" s="220"/>
      <c r="D408" s="91"/>
      <c r="E408" s="221"/>
      <c r="F408" s="91"/>
      <c r="G408" s="91"/>
      <c r="H408" s="242"/>
      <c r="I408" s="223"/>
      <c r="J408" s="57"/>
      <c r="K408" s="153"/>
      <c r="L408" s="243"/>
      <c r="M408" s="234"/>
      <c r="N408" s="235"/>
      <c r="O408" s="236"/>
      <c r="P408" s="236"/>
      <c r="Q408" s="236"/>
      <c r="R408" s="236"/>
      <c r="S408" s="236"/>
      <c r="T408" s="236"/>
      <c r="U408" s="236"/>
      <c r="V408" s="236"/>
      <c r="W408" s="244"/>
      <c r="X408" s="244"/>
      <c r="Y408" s="237"/>
      <c r="Z408" s="244"/>
      <c r="AA408" s="244"/>
      <c r="AB408" s="244"/>
      <c r="AC408" s="244"/>
      <c r="AD408" s="234"/>
      <c r="AE408" s="234"/>
      <c r="AF408" s="238"/>
      <c r="AG408" s="239"/>
      <c r="AH408" s="238"/>
      <c r="AI408" s="238"/>
      <c r="AJ408" s="234"/>
      <c r="AK408" s="234"/>
      <c r="AL408" s="234"/>
      <c r="AM408" s="234"/>
      <c r="AN408" s="234"/>
      <c r="AO408" s="234"/>
    </row>
    <row r="409" ht="15.75" customHeight="1">
      <c r="A409" s="91"/>
      <c r="B409" s="91"/>
      <c r="C409" s="220"/>
      <c r="D409" s="91"/>
      <c r="E409" s="221"/>
      <c r="F409" s="91"/>
      <c r="G409" s="91"/>
      <c r="H409" s="242"/>
      <c r="I409" s="223"/>
      <c r="J409" s="57"/>
      <c r="K409" s="153"/>
      <c r="L409" s="243"/>
      <c r="M409" s="234"/>
      <c r="N409" s="235"/>
      <c r="O409" s="236"/>
      <c r="P409" s="236"/>
      <c r="Q409" s="236"/>
      <c r="R409" s="236"/>
      <c r="S409" s="236"/>
      <c r="T409" s="236"/>
      <c r="U409" s="236"/>
      <c r="V409" s="236"/>
      <c r="W409" s="244"/>
      <c r="X409" s="244"/>
      <c r="Y409" s="237"/>
      <c r="Z409" s="244"/>
      <c r="AA409" s="244"/>
      <c r="AB409" s="244"/>
      <c r="AC409" s="244"/>
      <c r="AD409" s="234"/>
      <c r="AE409" s="234"/>
      <c r="AF409" s="238"/>
      <c r="AG409" s="239"/>
      <c r="AH409" s="238"/>
      <c r="AI409" s="238"/>
      <c r="AJ409" s="234"/>
      <c r="AK409" s="234"/>
      <c r="AL409" s="234"/>
      <c r="AM409" s="234"/>
      <c r="AN409" s="234"/>
      <c r="AO409" s="234"/>
    </row>
    <row r="410" ht="15.75" customHeight="1">
      <c r="A410" s="91"/>
      <c r="B410" s="91"/>
      <c r="C410" s="220"/>
      <c r="D410" s="91"/>
      <c r="E410" s="221"/>
      <c r="F410" s="91"/>
      <c r="G410" s="91"/>
      <c r="H410" s="242"/>
      <c r="I410" s="223"/>
      <c r="J410" s="57"/>
      <c r="K410" s="153"/>
      <c r="L410" s="243"/>
      <c r="M410" s="234"/>
      <c r="N410" s="235"/>
      <c r="O410" s="236"/>
      <c r="P410" s="236"/>
      <c r="Q410" s="236"/>
      <c r="R410" s="236"/>
      <c r="S410" s="236"/>
      <c r="T410" s="236"/>
      <c r="U410" s="236"/>
      <c r="V410" s="236"/>
      <c r="W410" s="244"/>
      <c r="X410" s="244"/>
      <c r="Y410" s="237"/>
      <c r="Z410" s="244"/>
      <c r="AA410" s="244"/>
      <c r="AB410" s="244"/>
      <c r="AC410" s="244"/>
      <c r="AD410" s="234"/>
      <c r="AE410" s="234"/>
      <c r="AF410" s="238"/>
      <c r="AG410" s="239"/>
      <c r="AH410" s="238"/>
      <c r="AI410" s="238"/>
      <c r="AJ410" s="234"/>
      <c r="AK410" s="234"/>
      <c r="AL410" s="234"/>
      <c r="AM410" s="234"/>
      <c r="AN410" s="234"/>
      <c r="AO410" s="234"/>
    </row>
    <row r="411" ht="15.75" customHeight="1">
      <c r="A411" s="91"/>
      <c r="B411" s="91"/>
      <c r="C411" s="220"/>
      <c r="D411" s="91"/>
      <c r="E411" s="221"/>
      <c r="F411" s="91"/>
      <c r="G411" s="91"/>
      <c r="H411" s="242"/>
      <c r="I411" s="223"/>
      <c r="J411" s="57"/>
      <c r="K411" s="153"/>
      <c r="L411" s="243"/>
      <c r="M411" s="234"/>
      <c r="N411" s="235"/>
      <c r="O411" s="236"/>
      <c r="P411" s="236"/>
      <c r="Q411" s="236"/>
      <c r="R411" s="236"/>
      <c r="S411" s="236"/>
      <c r="T411" s="236"/>
      <c r="U411" s="236"/>
      <c r="V411" s="236"/>
      <c r="W411" s="244"/>
      <c r="X411" s="244"/>
      <c r="Y411" s="237"/>
      <c r="Z411" s="244"/>
      <c r="AA411" s="244"/>
      <c r="AB411" s="244"/>
      <c r="AC411" s="244"/>
      <c r="AD411" s="234"/>
      <c r="AE411" s="234"/>
      <c r="AF411" s="238"/>
      <c r="AG411" s="239"/>
      <c r="AH411" s="238"/>
      <c r="AI411" s="238"/>
      <c r="AJ411" s="234"/>
      <c r="AK411" s="234"/>
      <c r="AL411" s="234"/>
      <c r="AM411" s="234"/>
      <c r="AN411" s="234"/>
      <c r="AO411" s="234"/>
    </row>
    <row r="412" ht="15.75" customHeight="1">
      <c r="A412" s="91"/>
      <c r="B412" s="91"/>
      <c r="C412" s="220"/>
      <c r="D412" s="91"/>
      <c r="E412" s="221"/>
      <c r="F412" s="91"/>
      <c r="G412" s="91"/>
      <c r="H412" s="242"/>
      <c r="I412" s="223"/>
      <c r="J412" s="57"/>
      <c r="K412" s="153"/>
      <c r="L412" s="243"/>
      <c r="M412" s="234"/>
      <c r="N412" s="235"/>
      <c r="O412" s="236"/>
      <c r="P412" s="236"/>
      <c r="Q412" s="236"/>
      <c r="R412" s="236"/>
      <c r="S412" s="236"/>
      <c r="T412" s="236"/>
      <c r="U412" s="236"/>
      <c r="V412" s="236"/>
      <c r="W412" s="244"/>
      <c r="X412" s="244"/>
      <c r="Y412" s="237"/>
      <c r="Z412" s="244"/>
      <c r="AA412" s="244"/>
      <c r="AB412" s="244"/>
      <c r="AC412" s="244"/>
      <c r="AD412" s="234"/>
      <c r="AE412" s="234"/>
      <c r="AF412" s="238"/>
      <c r="AG412" s="239"/>
      <c r="AH412" s="238"/>
      <c r="AI412" s="238"/>
      <c r="AJ412" s="234"/>
      <c r="AK412" s="234"/>
      <c r="AL412" s="234"/>
      <c r="AM412" s="234"/>
      <c r="AN412" s="234"/>
      <c r="AO412" s="234"/>
    </row>
    <row r="413" ht="15.75" customHeight="1">
      <c r="A413" s="91"/>
      <c r="B413" s="91"/>
      <c r="C413" s="220"/>
      <c r="D413" s="91"/>
      <c r="E413" s="221"/>
      <c r="F413" s="91"/>
      <c r="G413" s="91"/>
      <c r="H413" s="242"/>
      <c r="I413" s="223"/>
      <c r="J413" s="57"/>
      <c r="K413" s="153"/>
      <c r="L413" s="243"/>
      <c r="M413" s="234"/>
      <c r="N413" s="235"/>
      <c r="O413" s="236"/>
      <c r="P413" s="236"/>
      <c r="Q413" s="236"/>
      <c r="R413" s="236"/>
      <c r="S413" s="236"/>
      <c r="T413" s="236"/>
      <c r="U413" s="236"/>
      <c r="V413" s="236"/>
      <c r="W413" s="244"/>
      <c r="X413" s="244"/>
      <c r="Y413" s="237"/>
      <c r="Z413" s="244"/>
      <c r="AA413" s="244"/>
      <c r="AB413" s="244"/>
      <c r="AC413" s="244"/>
      <c r="AD413" s="234"/>
      <c r="AE413" s="234"/>
      <c r="AF413" s="238"/>
      <c r="AG413" s="239"/>
      <c r="AH413" s="238"/>
      <c r="AI413" s="238"/>
      <c r="AJ413" s="234"/>
      <c r="AK413" s="234"/>
      <c r="AL413" s="234"/>
      <c r="AM413" s="234"/>
      <c r="AN413" s="234"/>
      <c r="AO413" s="234"/>
    </row>
    <row r="414" ht="15.75" customHeight="1">
      <c r="A414" s="91"/>
      <c r="B414" s="91"/>
      <c r="C414" s="220"/>
      <c r="D414" s="91"/>
      <c r="E414" s="221"/>
      <c r="F414" s="91"/>
      <c r="G414" s="91"/>
      <c r="H414" s="242"/>
      <c r="I414" s="223"/>
      <c r="J414" s="57"/>
      <c r="K414" s="153"/>
      <c r="L414" s="243"/>
      <c r="M414" s="234"/>
      <c r="N414" s="235"/>
      <c r="O414" s="236"/>
      <c r="P414" s="236"/>
      <c r="Q414" s="236"/>
      <c r="R414" s="236"/>
      <c r="S414" s="236"/>
      <c r="T414" s="236"/>
      <c r="U414" s="236"/>
      <c r="V414" s="236"/>
      <c r="W414" s="244"/>
      <c r="X414" s="244"/>
      <c r="Y414" s="237"/>
      <c r="Z414" s="244"/>
      <c r="AA414" s="244"/>
      <c r="AB414" s="244"/>
      <c r="AC414" s="244"/>
      <c r="AD414" s="234"/>
      <c r="AE414" s="234"/>
      <c r="AF414" s="238"/>
      <c r="AG414" s="239"/>
      <c r="AH414" s="238"/>
      <c r="AI414" s="238"/>
      <c r="AJ414" s="234"/>
      <c r="AK414" s="234"/>
      <c r="AL414" s="234"/>
      <c r="AM414" s="234"/>
      <c r="AN414" s="234"/>
      <c r="AO414" s="234"/>
    </row>
    <row r="415" ht="15.75" customHeight="1">
      <c r="A415" s="91"/>
      <c r="B415" s="91"/>
      <c r="C415" s="220"/>
      <c r="D415" s="91"/>
      <c r="E415" s="221"/>
      <c r="F415" s="91"/>
      <c r="G415" s="91"/>
      <c r="H415" s="242"/>
      <c r="I415" s="223"/>
      <c r="J415" s="57"/>
      <c r="K415" s="153"/>
      <c r="L415" s="243"/>
      <c r="M415" s="234"/>
      <c r="N415" s="235"/>
      <c r="O415" s="236"/>
      <c r="P415" s="236"/>
      <c r="Q415" s="236"/>
      <c r="R415" s="236"/>
      <c r="S415" s="236"/>
      <c r="T415" s="236"/>
      <c r="U415" s="236"/>
      <c r="V415" s="236"/>
      <c r="W415" s="244"/>
      <c r="X415" s="244"/>
      <c r="Y415" s="237"/>
      <c r="Z415" s="244"/>
      <c r="AA415" s="244"/>
      <c r="AB415" s="244"/>
      <c r="AC415" s="244"/>
      <c r="AD415" s="234"/>
      <c r="AE415" s="234"/>
      <c r="AF415" s="238"/>
      <c r="AG415" s="239"/>
      <c r="AH415" s="238"/>
      <c r="AI415" s="238"/>
      <c r="AJ415" s="234"/>
      <c r="AK415" s="234"/>
      <c r="AL415" s="234"/>
      <c r="AM415" s="234"/>
      <c r="AN415" s="234"/>
      <c r="AO415" s="234"/>
    </row>
    <row r="416" ht="15.75" customHeight="1">
      <c r="A416" s="91"/>
      <c r="B416" s="91"/>
      <c r="C416" s="220"/>
      <c r="D416" s="91"/>
      <c r="E416" s="221"/>
      <c r="F416" s="91"/>
      <c r="G416" s="91"/>
      <c r="H416" s="242"/>
      <c r="I416" s="223"/>
      <c r="J416" s="57"/>
      <c r="K416" s="153"/>
      <c r="L416" s="243"/>
      <c r="M416" s="234"/>
      <c r="N416" s="235"/>
      <c r="O416" s="236"/>
      <c r="P416" s="236"/>
      <c r="Q416" s="236"/>
      <c r="R416" s="236"/>
      <c r="S416" s="236"/>
      <c r="T416" s="236"/>
      <c r="U416" s="236"/>
      <c r="V416" s="236"/>
      <c r="W416" s="244"/>
      <c r="X416" s="244"/>
      <c r="Y416" s="237"/>
      <c r="Z416" s="244"/>
      <c r="AA416" s="244"/>
      <c r="AB416" s="244"/>
      <c r="AC416" s="244"/>
      <c r="AD416" s="234"/>
      <c r="AE416" s="234"/>
      <c r="AF416" s="238"/>
      <c r="AG416" s="239"/>
      <c r="AH416" s="238"/>
      <c r="AI416" s="238"/>
      <c r="AJ416" s="234"/>
      <c r="AK416" s="234"/>
      <c r="AL416" s="234"/>
      <c r="AM416" s="234"/>
      <c r="AN416" s="234"/>
      <c r="AO416" s="234"/>
    </row>
    <row r="417" ht="15.75" customHeight="1">
      <c r="A417" s="91"/>
      <c r="B417" s="91"/>
      <c r="C417" s="220"/>
      <c r="D417" s="91"/>
      <c r="E417" s="221"/>
      <c r="F417" s="91"/>
      <c r="G417" s="91"/>
      <c r="H417" s="242"/>
      <c r="I417" s="223"/>
      <c r="J417" s="57"/>
      <c r="K417" s="153"/>
      <c r="L417" s="243"/>
      <c r="M417" s="234"/>
      <c r="N417" s="235"/>
      <c r="O417" s="236"/>
      <c r="P417" s="236"/>
      <c r="Q417" s="236"/>
      <c r="R417" s="236"/>
      <c r="S417" s="236"/>
      <c r="T417" s="236"/>
      <c r="U417" s="236"/>
      <c r="V417" s="236"/>
      <c r="W417" s="244"/>
      <c r="X417" s="244"/>
      <c r="Y417" s="237"/>
      <c r="Z417" s="244"/>
      <c r="AA417" s="244"/>
      <c r="AB417" s="244"/>
      <c r="AC417" s="244"/>
      <c r="AD417" s="234"/>
      <c r="AE417" s="234"/>
      <c r="AF417" s="238"/>
      <c r="AG417" s="239"/>
      <c r="AH417" s="238"/>
      <c r="AI417" s="238"/>
      <c r="AJ417" s="234"/>
      <c r="AK417" s="234"/>
      <c r="AL417" s="234"/>
      <c r="AM417" s="234"/>
      <c r="AN417" s="234"/>
      <c r="AO417" s="234"/>
    </row>
    <row r="418" ht="15.75" customHeight="1">
      <c r="A418" s="91"/>
      <c r="B418" s="91"/>
      <c r="C418" s="220"/>
      <c r="D418" s="91"/>
      <c r="E418" s="221"/>
      <c r="F418" s="91"/>
      <c r="G418" s="91"/>
      <c r="H418" s="242"/>
      <c r="I418" s="223"/>
      <c r="J418" s="57"/>
      <c r="K418" s="153"/>
      <c r="L418" s="243"/>
      <c r="M418" s="234"/>
      <c r="N418" s="235"/>
      <c r="O418" s="236"/>
      <c r="P418" s="236"/>
      <c r="Q418" s="236"/>
      <c r="R418" s="236"/>
      <c r="S418" s="236"/>
      <c r="T418" s="236"/>
      <c r="U418" s="236"/>
      <c r="V418" s="236"/>
      <c r="W418" s="244"/>
      <c r="X418" s="244"/>
      <c r="Y418" s="237"/>
      <c r="Z418" s="244"/>
      <c r="AA418" s="244"/>
      <c r="AB418" s="244"/>
      <c r="AC418" s="244"/>
      <c r="AD418" s="234"/>
      <c r="AE418" s="234"/>
      <c r="AF418" s="238"/>
      <c r="AG418" s="239"/>
      <c r="AH418" s="238"/>
      <c r="AI418" s="238"/>
      <c r="AJ418" s="234"/>
      <c r="AK418" s="234"/>
      <c r="AL418" s="234"/>
      <c r="AM418" s="234"/>
      <c r="AN418" s="234"/>
      <c r="AO418" s="234"/>
    </row>
    <row r="419" ht="15.75" customHeight="1">
      <c r="A419" s="91"/>
      <c r="B419" s="91"/>
      <c r="C419" s="220"/>
      <c r="D419" s="91"/>
      <c r="E419" s="221"/>
      <c r="F419" s="91"/>
      <c r="G419" s="91"/>
      <c r="H419" s="242"/>
      <c r="I419" s="223"/>
      <c r="J419" s="57"/>
      <c r="K419" s="153"/>
      <c r="L419" s="243"/>
      <c r="M419" s="234"/>
      <c r="N419" s="235"/>
      <c r="O419" s="236"/>
      <c r="P419" s="236"/>
      <c r="Q419" s="236"/>
      <c r="R419" s="236"/>
      <c r="S419" s="236"/>
      <c r="T419" s="236"/>
      <c r="U419" s="236"/>
      <c r="V419" s="236"/>
      <c r="W419" s="244"/>
      <c r="X419" s="244"/>
      <c r="Y419" s="237"/>
      <c r="Z419" s="244"/>
      <c r="AA419" s="244"/>
      <c r="AB419" s="244"/>
      <c r="AC419" s="244"/>
      <c r="AD419" s="234"/>
      <c r="AE419" s="234"/>
      <c r="AF419" s="238"/>
      <c r="AG419" s="239"/>
      <c r="AH419" s="238"/>
      <c r="AI419" s="238"/>
      <c r="AJ419" s="234"/>
      <c r="AK419" s="234"/>
      <c r="AL419" s="234"/>
      <c r="AM419" s="234"/>
      <c r="AN419" s="234"/>
      <c r="AO419" s="234"/>
    </row>
    <row r="420" ht="15.75" customHeight="1">
      <c r="A420" s="91"/>
      <c r="B420" s="91"/>
      <c r="C420" s="220"/>
      <c r="D420" s="91"/>
      <c r="E420" s="221"/>
      <c r="F420" s="91"/>
      <c r="G420" s="91"/>
      <c r="H420" s="242"/>
      <c r="I420" s="223"/>
      <c r="J420" s="57"/>
      <c r="K420" s="153"/>
      <c r="L420" s="243"/>
      <c r="M420" s="234"/>
      <c r="N420" s="235"/>
      <c r="O420" s="236"/>
      <c r="P420" s="236"/>
      <c r="Q420" s="236"/>
      <c r="R420" s="236"/>
      <c r="S420" s="236"/>
      <c r="T420" s="236"/>
      <c r="U420" s="236"/>
      <c r="V420" s="236"/>
      <c r="W420" s="244"/>
      <c r="X420" s="244"/>
      <c r="Y420" s="237"/>
      <c r="Z420" s="244"/>
      <c r="AA420" s="244"/>
      <c r="AB420" s="244"/>
      <c r="AC420" s="244"/>
      <c r="AD420" s="234"/>
      <c r="AE420" s="234"/>
      <c r="AF420" s="238"/>
      <c r="AG420" s="239"/>
      <c r="AH420" s="238"/>
      <c r="AI420" s="238"/>
      <c r="AJ420" s="234"/>
      <c r="AK420" s="234"/>
      <c r="AL420" s="234"/>
      <c r="AM420" s="234"/>
      <c r="AN420" s="234"/>
      <c r="AO420" s="234"/>
    </row>
    <row r="421" ht="15.75" customHeight="1">
      <c r="A421" s="91"/>
      <c r="B421" s="91"/>
      <c r="C421" s="220"/>
      <c r="D421" s="91"/>
      <c r="E421" s="221"/>
      <c r="F421" s="91"/>
      <c r="G421" s="91"/>
      <c r="H421" s="242"/>
      <c r="I421" s="223"/>
      <c r="J421" s="57"/>
      <c r="K421" s="153"/>
      <c r="L421" s="243"/>
      <c r="M421" s="234"/>
      <c r="N421" s="235"/>
      <c r="O421" s="236"/>
      <c r="P421" s="236"/>
      <c r="Q421" s="236"/>
      <c r="R421" s="236"/>
      <c r="S421" s="236"/>
      <c r="T421" s="236"/>
      <c r="U421" s="236"/>
      <c r="V421" s="236"/>
      <c r="W421" s="244"/>
      <c r="X421" s="244"/>
      <c r="Y421" s="237"/>
      <c r="Z421" s="244"/>
      <c r="AA421" s="244"/>
      <c r="AB421" s="244"/>
      <c r="AC421" s="244"/>
      <c r="AD421" s="234"/>
      <c r="AE421" s="234"/>
      <c r="AF421" s="238"/>
      <c r="AG421" s="239"/>
      <c r="AH421" s="238"/>
      <c r="AI421" s="238"/>
      <c r="AJ421" s="234"/>
      <c r="AK421" s="234"/>
      <c r="AL421" s="234"/>
      <c r="AM421" s="234"/>
      <c r="AN421" s="234"/>
      <c r="AO421" s="234"/>
    </row>
    <row r="422" ht="15.75" customHeight="1">
      <c r="A422" s="91"/>
      <c r="B422" s="91"/>
      <c r="C422" s="220"/>
      <c r="D422" s="91"/>
      <c r="E422" s="221"/>
      <c r="F422" s="91"/>
      <c r="G422" s="91"/>
      <c r="H422" s="242"/>
      <c r="I422" s="223"/>
      <c r="J422" s="57"/>
      <c r="K422" s="153"/>
      <c r="L422" s="243"/>
      <c r="M422" s="234"/>
      <c r="N422" s="235"/>
      <c r="O422" s="236"/>
      <c r="P422" s="236"/>
      <c r="Q422" s="236"/>
      <c r="R422" s="236"/>
      <c r="S422" s="236"/>
      <c r="T422" s="236"/>
      <c r="U422" s="236"/>
      <c r="V422" s="236"/>
      <c r="W422" s="244"/>
      <c r="X422" s="244"/>
      <c r="Y422" s="237"/>
      <c r="Z422" s="244"/>
      <c r="AA422" s="244"/>
      <c r="AB422" s="244"/>
      <c r="AC422" s="244"/>
      <c r="AD422" s="234"/>
      <c r="AE422" s="234"/>
      <c r="AF422" s="238"/>
      <c r="AG422" s="239"/>
      <c r="AH422" s="238"/>
      <c r="AI422" s="238"/>
      <c r="AJ422" s="234"/>
      <c r="AK422" s="234"/>
      <c r="AL422" s="234"/>
      <c r="AM422" s="234"/>
      <c r="AN422" s="234"/>
      <c r="AO422" s="234"/>
    </row>
    <row r="423" ht="15.75" customHeight="1">
      <c r="A423" s="91"/>
      <c r="B423" s="91"/>
      <c r="C423" s="220"/>
      <c r="D423" s="91"/>
      <c r="E423" s="221"/>
      <c r="F423" s="91"/>
      <c r="G423" s="91"/>
      <c r="H423" s="242"/>
      <c r="I423" s="223"/>
      <c r="J423" s="57"/>
      <c r="K423" s="153"/>
      <c r="L423" s="243"/>
      <c r="M423" s="234"/>
      <c r="N423" s="235"/>
      <c r="O423" s="236"/>
      <c r="P423" s="236"/>
      <c r="Q423" s="236"/>
      <c r="R423" s="236"/>
      <c r="S423" s="236"/>
      <c r="T423" s="236"/>
      <c r="U423" s="236"/>
      <c r="V423" s="236"/>
      <c r="W423" s="244"/>
      <c r="X423" s="244"/>
      <c r="Y423" s="237"/>
      <c r="Z423" s="244"/>
      <c r="AA423" s="244"/>
      <c r="AB423" s="244"/>
      <c r="AC423" s="244"/>
      <c r="AD423" s="234"/>
      <c r="AE423" s="234"/>
      <c r="AF423" s="238"/>
      <c r="AG423" s="239"/>
      <c r="AH423" s="238"/>
      <c r="AI423" s="238"/>
      <c r="AJ423" s="234"/>
      <c r="AK423" s="234"/>
      <c r="AL423" s="234"/>
      <c r="AM423" s="234"/>
      <c r="AN423" s="234"/>
      <c r="AO423" s="234"/>
    </row>
    <row r="424" ht="15.75" customHeight="1">
      <c r="A424" s="91"/>
      <c r="B424" s="91"/>
      <c r="C424" s="220"/>
      <c r="D424" s="91"/>
      <c r="E424" s="221"/>
      <c r="F424" s="91"/>
      <c r="G424" s="91"/>
      <c r="H424" s="242"/>
      <c r="I424" s="223"/>
      <c r="J424" s="57"/>
      <c r="K424" s="153"/>
      <c r="L424" s="243"/>
      <c r="M424" s="234"/>
      <c r="N424" s="235"/>
      <c r="O424" s="236"/>
      <c r="P424" s="236"/>
      <c r="Q424" s="236"/>
      <c r="R424" s="236"/>
      <c r="S424" s="236"/>
      <c r="T424" s="236"/>
      <c r="U424" s="236"/>
      <c r="V424" s="236"/>
      <c r="W424" s="244"/>
      <c r="X424" s="244"/>
      <c r="Y424" s="237"/>
      <c r="Z424" s="244"/>
      <c r="AA424" s="244"/>
      <c r="AB424" s="244"/>
      <c r="AC424" s="244"/>
      <c r="AD424" s="234"/>
      <c r="AE424" s="234"/>
      <c r="AF424" s="238"/>
      <c r="AG424" s="239"/>
      <c r="AH424" s="238"/>
      <c r="AI424" s="238"/>
      <c r="AJ424" s="234"/>
      <c r="AK424" s="234"/>
      <c r="AL424" s="234"/>
      <c r="AM424" s="234"/>
      <c r="AN424" s="234"/>
      <c r="AO424" s="234"/>
    </row>
    <row r="425" ht="15.75" customHeight="1">
      <c r="A425" s="91"/>
      <c r="B425" s="91"/>
      <c r="C425" s="220"/>
      <c r="D425" s="91"/>
      <c r="E425" s="221"/>
      <c r="F425" s="91"/>
      <c r="G425" s="91"/>
      <c r="H425" s="242"/>
      <c r="I425" s="223"/>
      <c r="J425" s="57"/>
      <c r="K425" s="153"/>
      <c r="L425" s="243"/>
      <c r="M425" s="234"/>
      <c r="N425" s="235"/>
      <c r="O425" s="236"/>
      <c r="P425" s="236"/>
      <c r="Q425" s="236"/>
      <c r="R425" s="236"/>
      <c r="S425" s="236"/>
      <c r="T425" s="236"/>
      <c r="U425" s="236"/>
      <c r="V425" s="236"/>
      <c r="W425" s="244"/>
      <c r="X425" s="244"/>
      <c r="Y425" s="237"/>
      <c r="Z425" s="244"/>
      <c r="AA425" s="244"/>
      <c r="AB425" s="244"/>
      <c r="AC425" s="244"/>
      <c r="AD425" s="234"/>
      <c r="AE425" s="234"/>
      <c r="AF425" s="238"/>
      <c r="AG425" s="239"/>
      <c r="AH425" s="238"/>
      <c r="AI425" s="238"/>
      <c r="AJ425" s="234"/>
      <c r="AK425" s="234"/>
      <c r="AL425" s="234"/>
      <c r="AM425" s="234"/>
      <c r="AN425" s="234"/>
      <c r="AO425" s="234"/>
    </row>
    <row r="426" ht="15.75" customHeight="1">
      <c r="A426" s="91"/>
      <c r="B426" s="91"/>
      <c r="C426" s="220"/>
      <c r="D426" s="91"/>
      <c r="E426" s="221"/>
      <c r="F426" s="91"/>
      <c r="G426" s="91"/>
      <c r="H426" s="242"/>
      <c r="I426" s="223"/>
      <c r="J426" s="57"/>
      <c r="K426" s="153"/>
      <c r="L426" s="243"/>
      <c r="M426" s="234"/>
      <c r="N426" s="235"/>
      <c r="O426" s="236"/>
      <c r="P426" s="236"/>
      <c r="Q426" s="236"/>
      <c r="R426" s="236"/>
      <c r="S426" s="236"/>
      <c r="T426" s="236"/>
      <c r="U426" s="236"/>
      <c r="V426" s="236"/>
      <c r="W426" s="244"/>
      <c r="X426" s="244"/>
      <c r="Y426" s="237"/>
      <c r="Z426" s="244"/>
      <c r="AA426" s="244"/>
      <c r="AB426" s="244"/>
      <c r="AC426" s="244"/>
      <c r="AD426" s="234"/>
      <c r="AE426" s="234"/>
      <c r="AF426" s="238"/>
      <c r="AG426" s="239"/>
      <c r="AH426" s="238"/>
      <c r="AI426" s="238"/>
      <c r="AJ426" s="234"/>
      <c r="AK426" s="234"/>
      <c r="AL426" s="234"/>
      <c r="AM426" s="234"/>
      <c r="AN426" s="234"/>
      <c r="AO426" s="234"/>
    </row>
    <row r="427" ht="15.75" customHeight="1">
      <c r="A427" s="91"/>
      <c r="B427" s="91"/>
      <c r="C427" s="220"/>
      <c r="D427" s="91"/>
      <c r="E427" s="221"/>
      <c r="F427" s="91"/>
      <c r="G427" s="91"/>
      <c r="H427" s="242"/>
      <c r="I427" s="223"/>
      <c r="J427" s="57"/>
      <c r="K427" s="153"/>
      <c r="L427" s="243"/>
      <c r="M427" s="234"/>
      <c r="N427" s="235"/>
      <c r="O427" s="236"/>
      <c r="P427" s="236"/>
      <c r="Q427" s="236"/>
      <c r="R427" s="236"/>
      <c r="S427" s="236"/>
      <c r="T427" s="236"/>
      <c r="U427" s="236"/>
      <c r="V427" s="236"/>
      <c r="W427" s="244"/>
      <c r="X427" s="244"/>
      <c r="Y427" s="237"/>
      <c r="Z427" s="244"/>
      <c r="AA427" s="244"/>
      <c r="AB427" s="244"/>
      <c r="AC427" s="244"/>
      <c r="AD427" s="234"/>
      <c r="AE427" s="234"/>
      <c r="AF427" s="238"/>
      <c r="AG427" s="239"/>
      <c r="AH427" s="238"/>
      <c r="AI427" s="238"/>
      <c r="AJ427" s="234"/>
      <c r="AK427" s="234"/>
      <c r="AL427" s="234"/>
      <c r="AM427" s="234"/>
      <c r="AN427" s="234"/>
      <c r="AO427" s="234"/>
    </row>
    <row r="428" ht="15.75" customHeight="1">
      <c r="A428" s="91"/>
      <c r="B428" s="91"/>
      <c r="C428" s="220"/>
      <c r="D428" s="91"/>
      <c r="E428" s="221"/>
      <c r="F428" s="91"/>
      <c r="G428" s="91"/>
      <c r="H428" s="242"/>
      <c r="I428" s="223"/>
      <c r="J428" s="57"/>
      <c r="K428" s="153"/>
      <c r="L428" s="243"/>
      <c r="M428" s="234"/>
      <c r="N428" s="235"/>
      <c r="O428" s="236"/>
      <c r="P428" s="236"/>
      <c r="Q428" s="236"/>
      <c r="R428" s="236"/>
      <c r="S428" s="236"/>
      <c r="T428" s="236"/>
      <c r="U428" s="236"/>
      <c r="V428" s="236"/>
      <c r="W428" s="244"/>
      <c r="X428" s="244"/>
      <c r="Y428" s="237"/>
      <c r="Z428" s="244"/>
      <c r="AA428" s="244"/>
      <c r="AB428" s="244"/>
      <c r="AC428" s="244"/>
      <c r="AD428" s="234"/>
      <c r="AE428" s="234"/>
      <c r="AF428" s="238"/>
      <c r="AG428" s="239"/>
      <c r="AH428" s="238"/>
      <c r="AI428" s="238"/>
      <c r="AJ428" s="234"/>
      <c r="AK428" s="234"/>
      <c r="AL428" s="234"/>
      <c r="AM428" s="234"/>
      <c r="AN428" s="234"/>
      <c r="AO428" s="234"/>
    </row>
    <row r="429" ht="15.75" customHeight="1">
      <c r="A429" s="91"/>
      <c r="B429" s="91"/>
      <c r="C429" s="220"/>
      <c r="D429" s="91"/>
      <c r="E429" s="221"/>
      <c r="F429" s="91"/>
      <c r="G429" s="91"/>
      <c r="H429" s="242"/>
      <c r="I429" s="223"/>
      <c r="J429" s="57"/>
      <c r="K429" s="153"/>
      <c r="L429" s="243"/>
      <c r="M429" s="234"/>
      <c r="N429" s="235"/>
      <c r="O429" s="236"/>
      <c r="P429" s="236"/>
      <c r="Q429" s="236"/>
      <c r="R429" s="236"/>
      <c r="S429" s="236"/>
      <c r="T429" s="236"/>
      <c r="U429" s="236"/>
      <c r="V429" s="236"/>
      <c r="W429" s="244"/>
      <c r="X429" s="244"/>
      <c r="Y429" s="237"/>
      <c r="Z429" s="244"/>
      <c r="AA429" s="244"/>
      <c r="AB429" s="244"/>
      <c r="AC429" s="244"/>
      <c r="AD429" s="234"/>
      <c r="AE429" s="234"/>
      <c r="AF429" s="238"/>
      <c r="AG429" s="239"/>
      <c r="AH429" s="238"/>
      <c r="AI429" s="238"/>
      <c r="AJ429" s="234"/>
      <c r="AK429" s="234"/>
      <c r="AL429" s="234"/>
      <c r="AM429" s="234"/>
      <c r="AN429" s="234"/>
      <c r="AO429" s="234"/>
    </row>
    <row r="430" ht="15.75" customHeight="1">
      <c r="A430" s="91"/>
      <c r="B430" s="91"/>
      <c r="C430" s="220"/>
      <c r="D430" s="91"/>
      <c r="E430" s="221"/>
      <c r="F430" s="91"/>
      <c r="G430" s="91"/>
      <c r="H430" s="242"/>
      <c r="I430" s="223"/>
      <c r="J430" s="57"/>
      <c r="K430" s="153"/>
      <c r="L430" s="243"/>
      <c r="M430" s="234"/>
      <c r="N430" s="235"/>
      <c r="O430" s="236"/>
      <c r="P430" s="236"/>
      <c r="Q430" s="236"/>
      <c r="R430" s="236"/>
      <c r="S430" s="236"/>
      <c r="T430" s="236"/>
      <c r="U430" s="236"/>
      <c r="V430" s="236"/>
      <c r="W430" s="244"/>
      <c r="X430" s="244"/>
      <c r="Y430" s="237"/>
      <c r="Z430" s="244"/>
      <c r="AA430" s="244"/>
      <c r="AB430" s="244"/>
      <c r="AC430" s="244"/>
      <c r="AD430" s="234"/>
      <c r="AE430" s="234"/>
      <c r="AF430" s="238"/>
      <c r="AG430" s="239"/>
      <c r="AH430" s="238"/>
      <c r="AI430" s="238"/>
      <c r="AJ430" s="234"/>
      <c r="AK430" s="234"/>
      <c r="AL430" s="234"/>
      <c r="AM430" s="234"/>
      <c r="AN430" s="234"/>
      <c r="AO430" s="234"/>
    </row>
    <row r="431" ht="15.75" customHeight="1">
      <c r="A431" s="91"/>
      <c r="B431" s="91"/>
      <c r="C431" s="220"/>
      <c r="D431" s="91"/>
      <c r="E431" s="221"/>
      <c r="F431" s="91"/>
      <c r="G431" s="91"/>
      <c r="H431" s="242"/>
      <c r="I431" s="223"/>
      <c r="J431" s="57"/>
      <c r="K431" s="153"/>
      <c r="L431" s="243"/>
      <c r="M431" s="234"/>
      <c r="N431" s="235"/>
      <c r="O431" s="236"/>
      <c r="P431" s="236"/>
      <c r="Q431" s="236"/>
      <c r="R431" s="236"/>
      <c r="S431" s="236"/>
      <c r="T431" s="236"/>
      <c r="U431" s="236"/>
      <c r="V431" s="236"/>
      <c r="W431" s="244"/>
      <c r="X431" s="244"/>
      <c r="Y431" s="237"/>
      <c r="Z431" s="244"/>
      <c r="AA431" s="244"/>
      <c r="AB431" s="244"/>
      <c r="AC431" s="244"/>
      <c r="AD431" s="234"/>
      <c r="AE431" s="234"/>
      <c r="AF431" s="238"/>
      <c r="AG431" s="239"/>
      <c r="AH431" s="238"/>
      <c r="AI431" s="238"/>
      <c r="AJ431" s="234"/>
      <c r="AK431" s="234"/>
      <c r="AL431" s="234"/>
      <c r="AM431" s="234"/>
      <c r="AN431" s="234"/>
      <c r="AO431" s="234"/>
    </row>
    <row r="432" ht="15.75" customHeight="1">
      <c r="A432" s="91"/>
      <c r="B432" s="91"/>
      <c r="C432" s="220"/>
      <c r="D432" s="91"/>
      <c r="E432" s="221"/>
      <c r="F432" s="91"/>
      <c r="G432" s="91"/>
      <c r="H432" s="242"/>
      <c r="I432" s="223"/>
      <c r="J432" s="57"/>
      <c r="K432" s="153"/>
      <c r="L432" s="243"/>
      <c r="M432" s="234"/>
      <c r="N432" s="235"/>
      <c r="O432" s="236"/>
      <c r="P432" s="236"/>
      <c r="Q432" s="236"/>
      <c r="R432" s="236"/>
      <c r="S432" s="236"/>
      <c r="T432" s="236"/>
      <c r="U432" s="236"/>
      <c r="V432" s="236"/>
      <c r="W432" s="244"/>
      <c r="X432" s="244"/>
      <c r="Y432" s="237"/>
      <c r="Z432" s="244"/>
      <c r="AA432" s="244"/>
      <c r="AB432" s="244"/>
      <c r="AC432" s="244"/>
      <c r="AD432" s="234"/>
      <c r="AE432" s="234"/>
      <c r="AF432" s="238"/>
      <c r="AG432" s="239"/>
      <c r="AH432" s="238"/>
      <c r="AI432" s="238"/>
      <c r="AJ432" s="234"/>
      <c r="AK432" s="234"/>
      <c r="AL432" s="234"/>
      <c r="AM432" s="234"/>
      <c r="AN432" s="234"/>
      <c r="AO432" s="234"/>
    </row>
    <row r="433" ht="15.75" customHeight="1">
      <c r="A433" s="91"/>
      <c r="B433" s="91"/>
      <c r="C433" s="220"/>
      <c r="D433" s="91"/>
      <c r="E433" s="221"/>
      <c r="F433" s="91"/>
      <c r="G433" s="91"/>
      <c r="H433" s="242"/>
      <c r="I433" s="223"/>
      <c r="J433" s="57"/>
      <c r="K433" s="153"/>
      <c r="L433" s="243"/>
      <c r="M433" s="234"/>
      <c r="N433" s="235"/>
      <c r="O433" s="236"/>
      <c r="P433" s="236"/>
      <c r="Q433" s="236"/>
      <c r="R433" s="236"/>
      <c r="S433" s="236"/>
      <c r="T433" s="236"/>
      <c r="U433" s="236"/>
      <c r="V433" s="236"/>
      <c r="W433" s="244"/>
      <c r="X433" s="244"/>
      <c r="Y433" s="237"/>
      <c r="Z433" s="244"/>
      <c r="AA433" s="244"/>
      <c r="AB433" s="244"/>
      <c r="AC433" s="244"/>
      <c r="AD433" s="234"/>
      <c r="AE433" s="234"/>
      <c r="AF433" s="238"/>
      <c r="AG433" s="239"/>
      <c r="AH433" s="238"/>
      <c r="AI433" s="238"/>
      <c r="AJ433" s="234"/>
      <c r="AK433" s="234"/>
      <c r="AL433" s="234"/>
      <c r="AM433" s="234"/>
      <c r="AN433" s="234"/>
      <c r="AO433" s="234"/>
    </row>
    <row r="434" ht="15.75" customHeight="1">
      <c r="A434" s="91"/>
      <c r="B434" s="91"/>
      <c r="C434" s="220"/>
      <c r="D434" s="91"/>
      <c r="E434" s="221"/>
      <c r="F434" s="91"/>
      <c r="G434" s="91"/>
      <c r="H434" s="242"/>
      <c r="I434" s="223"/>
      <c r="J434" s="57"/>
      <c r="K434" s="153"/>
      <c r="L434" s="243"/>
      <c r="M434" s="234"/>
      <c r="N434" s="235"/>
      <c r="O434" s="236"/>
      <c r="P434" s="236"/>
      <c r="Q434" s="236"/>
      <c r="R434" s="236"/>
      <c r="S434" s="236"/>
      <c r="T434" s="236"/>
      <c r="U434" s="236"/>
      <c r="V434" s="236"/>
      <c r="W434" s="244"/>
      <c r="X434" s="244"/>
      <c r="Y434" s="237"/>
      <c r="Z434" s="244"/>
      <c r="AA434" s="244"/>
      <c r="AB434" s="244"/>
      <c r="AC434" s="244"/>
      <c r="AD434" s="234"/>
      <c r="AE434" s="234"/>
      <c r="AF434" s="238"/>
      <c r="AG434" s="239"/>
      <c r="AH434" s="238"/>
      <c r="AI434" s="238"/>
      <c r="AJ434" s="234"/>
      <c r="AK434" s="234"/>
      <c r="AL434" s="234"/>
      <c r="AM434" s="234"/>
      <c r="AN434" s="234"/>
      <c r="AO434" s="234"/>
    </row>
    <row r="435" ht="15.75" customHeight="1">
      <c r="A435" s="91"/>
      <c r="B435" s="91"/>
      <c r="C435" s="220"/>
      <c r="D435" s="91"/>
      <c r="E435" s="221"/>
      <c r="F435" s="91"/>
      <c r="G435" s="91"/>
      <c r="H435" s="242"/>
      <c r="I435" s="223"/>
      <c r="J435" s="57"/>
      <c r="K435" s="153"/>
      <c r="L435" s="243"/>
      <c r="M435" s="234"/>
      <c r="N435" s="235"/>
      <c r="O435" s="236"/>
      <c r="P435" s="236"/>
      <c r="Q435" s="236"/>
      <c r="R435" s="236"/>
      <c r="S435" s="236"/>
      <c r="T435" s="236"/>
      <c r="U435" s="236"/>
      <c r="V435" s="236"/>
      <c r="W435" s="244"/>
      <c r="X435" s="244"/>
      <c r="Y435" s="237"/>
      <c r="Z435" s="244"/>
      <c r="AA435" s="244"/>
      <c r="AB435" s="244"/>
      <c r="AC435" s="244"/>
      <c r="AD435" s="234"/>
      <c r="AE435" s="234"/>
      <c r="AF435" s="238"/>
      <c r="AG435" s="239"/>
      <c r="AH435" s="238"/>
      <c r="AI435" s="238"/>
      <c r="AJ435" s="234"/>
      <c r="AK435" s="234"/>
      <c r="AL435" s="234"/>
      <c r="AM435" s="234"/>
      <c r="AN435" s="234"/>
      <c r="AO435" s="234"/>
    </row>
    <row r="436" ht="15.75" customHeight="1">
      <c r="A436" s="91"/>
      <c r="B436" s="91"/>
      <c r="C436" s="220"/>
      <c r="D436" s="91"/>
      <c r="E436" s="221"/>
      <c r="F436" s="91"/>
      <c r="G436" s="91"/>
      <c r="H436" s="242"/>
      <c r="I436" s="223"/>
      <c r="J436" s="57"/>
      <c r="K436" s="153"/>
      <c r="L436" s="243"/>
      <c r="M436" s="234"/>
      <c r="N436" s="235"/>
      <c r="O436" s="236"/>
      <c r="P436" s="236"/>
      <c r="Q436" s="236"/>
      <c r="R436" s="236"/>
      <c r="S436" s="236"/>
      <c r="T436" s="236"/>
      <c r="U436" s="236"/>
      <c r="V436" s="236"/>
      <c r="W436" s="244"/>
      <c r="X436" s="244"/>
      <c r="Y436" s="237"/>
      <c r="Z436" s="244"/>
      <c r="AA436" s="244"/>
      <c r="AB436" s="244"/>
      <c r="AC436" s="244"/>
      <c r="AD436" s="234"/>
      <c r="AE436" s="234"/>
      <c r="AF436" s="238"/>
      <c r="AG436" s="239"/>
      <c r="AH436" s="238"/>
      <c r="AI436" s="238"/>
      <c r="AJ436" s="234"/>
      <c r="AK436" s="234"/>
      <c r="AL436" s="234"/>
      <c r="AM436" s="234"/>
      <c r="AN436" s="234"/>
      <c r="AO436" s="234"/>
    </row>
    <row r="437" ht="15.75" customHeight="1">
      <c r="A437" s="91"/>
      <c r="B437" s="91"/>
      <c r="C437" s="220"/>
      <c r="D437" s="91"/>
      <c r="E437" s="221"/>
      <c r="F437" s="91"/>
      <c r="G437" s="91"/>
      <c r="H437" s="242"/>
      <c r="I437" s="223"/>
      <c r="J437" s="57"/>
      <c r="K437" s="153"/>
      <c r="L437" s="243"/>
      <c r="M437" s="234"/>
      <c r="N437" s="235"/>
      <c r="O437" s="236"/>
      <c r="P437" s="236"/>
      <c r="Q437" s="236"/>
      <c r="R437" s="236"/>
      <c r="S437" s="236"/>
      <c r="T437" s="236"/>
      <c r="U437" s="236"/>
      <c r="V437" s="236"/>
      <c r="W437" s="244"/>
      <c r="X437" s="244"/>
      <c r="Y437" s="237"/>
      <c r="Z437" s="244"/>
      <c r="AA437" s="244"/>
      <c r="AB437" s="244"/>
      <c r="AC437" s="244"/>
      <c r="AD437" s="234"/>
      <c r="AE437" s="234"/>
      <c r="AF437" s="238"/>
      <c r="AG437" s="239"/>
      <c r="AH437" s="238"/>
      <c r="AI437" s="238"/>
      <c r="AJ437" s="234"/>
      <c r="AK437" s="234"/>
      <c r="AL437" s="234"/>
      <c r="AM437" s="234"/>
      <c r="AN437" s="234"/>
      <c r="AO437" s="234"/>
    </row>
    <row r="438" ht="15.75" customHeight="1">
      <c r="A438" s="91"/>
      <c r="B438" s="91"/>
      <c r="C438" s="220"/>
      <c r="D438" s="91"/>
      <c r="E438" s="221"/>
      <c r="F438" s="91"/>
      <c r="G438" s="91"/>
      <c r="H438" s="242"/>
      <c r="I438" s="223"/>
      <c r="J438" s="57"/>
      <c r="K438" s="153"/>
      <c r="L438" s="243"/>
      <c r="M438" s="234"/>
      <c r="N438" s="235"/>
      <c r="O438" s="236"/>
      <c r="P438" s="236"/>
      <c r="Q438" s="236"/>
      <c r="R438" s="236"/>
      <c r="S438" s="236"/>
      <c r="T438" s="236"/>
      <c r="U438" s="236"/>
      <c r="V438" s="236"/>
      <c r="W438" s="244"/>
      <c r="X438" s="244"/>
      <c r="Y438" s="237"/>
      <c r="Z438" s="244"/>
      <c r="AA438" s="244"/>
      <c r="AB438" s="244"/>
      <c r="AC438" s="244"/>
      <c r="AD438" s="234"/>
      <c r="AE438" s="234"/>
      <c r="AF438" s="238"/>
      <c r="AG438" s="239"/>
      <c r="AH438" s="238"/>
      <c r="AI438" s="238"/>
      <c r="AJ438" s="234"/>
      <c r="AK438" s="234"/>
      <c r="AL438" s="234"/>
      <c r="AM438" s="234"/>
      <c r="AN438" s="234"/>
      <c r="AO438" s="234"/>
    </row>
    <row r="439" ht="15.75" customHeight="1">
      <c r="A439" s="91"/>
      <c r="B439" s="91"/>
      <c r="C439" s="220"/>
      <c r="D439" s="91"/>
      <c r="E439" s="221"/>
      <c r="F439" s="91"/>
      <c r="G439" s="91"/>
      <c r="H439" s="242"/>
      <c r="I439" s="223"/>
      <c r="J439" s="57"/>
      <c r="K439" s="153"/>
      <c r="L439" s="243"/>
      <c r="M439" s="234"/>
      <c r="N439" s="235"/>
      <c r="O439" s="236"/>
      <c r="P439" s="236"/>
      <c r="Q439" s="236"/>
      <c r="R439" s="236"/>
      <c r="S439" s="236"/>
      <c r="T439" s="236"/>
      <c r="U439" s="236"/>
      <c r="V439" s="236"/>
      <c r="W439" s="244"/>
      <c r="X439" s="244"/>
      <c r="Y439" s="237"/>
      <c r="Z439" s="244"/>
      <c r="AA439" s="244"/>
      <c r="AB439" s="244"/>
      <c r="AC439" s="244"/>
      <c r="AD439" s="234"/>
      <c r="AE439" s="234"/>
      <c r="AF439" s="238"/>
      <c r="AG439" s="239"/>
      <c r="AH439" s="238"/>
      <c r="AI439" s="238"/>
      <c r="AJ439" s="234"/>
      <c r="AK439" s="234"/>
      <c r="AL439" s="234"/>
      <c r="AM439" s="234"/>
      <c r="AN439" s="234"/>
      <c r="AO439" s="234"/>
    </row>
    <row r="440" ht="15.75" customHeight="1">
      <c r="A440" s="91"/>
      <c r="B440" s="91"/>
      <c r="C440" s="220"/>
      <c r="D440" s="91"/>
      <c r="E440" s="221"/>
      <c r="F440" s="91"/>
      <c r="G440" s="91"/>
      <c r="H440" s="242"/>
      <c r="I440" s="223"/>
      <c r="J440" s="57"/>
      <c r="K440" s="153"/>
      <c r="L440" s="243"/>
      <c r="M440" s="234"/>
      <c r="N440" s="235"/>
      <c r="O440" s="236"/>
      <c r="P440" s="236"/>
      <c r="Q440" s="236"/>
      <c r="R440" s="236"/>
      <c r="S440" s="236"/>
      <c r="T440" s="236"/>
      <c r="U440" s="236"/>
      <c r="V440" s="236"/>
      <c r="W440" s="244"/>
      <c r="X440" s="244"/>
      <c r="Y440" s="237"/>
      <c r="Z440" s="244"/>
      <c r="AA440" s="244"/>
      <c r="AB440" s="244"/>
      <c r="AC440" s="244"/>
      <c r="AD440" s="234"/>
      <c r="AE440" s="234"/>
      <c r="AF440" s="238"/>
      <c r="AG440" s="239"/>
      <c r="AH440" s="238"/>
      <c r="AI440" s="238"/>
      <c r="AJ440" s="234"/>
      <c r="AK440" s="234"/>
      <c r="AL440" s="234"/>
      <c r="AM440" s="234"/>
      <c r="AN440" s="234"/>
      <c r="AO440" s="234"/>
    </row>
    <row r="441" ht="15.75" customHeight="1">
      <c r="A441" s="91"/>
      <c r="B441" s="91"/>
      <c r="C441" s="220"/>
      <c r="D441" s="91"/>
      <c r="E441" s="221"/>
      <c r="F441" s="91"/>
      <c r="G441" s="91"/>
      <c r="H441" s="242"/>
      <c r="I441" s="223"/>
      <c r="J441" s="57"/>
      <c r="K441" s="153"/>
      <c r="L441" s="243"/>
      <c r="M441" s="234"/>
      <c r="N441" s="235"/>
      <c r="O441" s="236"/>
      <c r="P441" s="236"/>
      <c r="Q441" s="236"/>
      <c r="R441" s="236"/>
      <c r="S441" s="236"/>
      <c r="T441" s="236"/>
      <c r="U441" s="236"/>
      <c r="V441" s="236"/>
      <c r="W441" s="244"/>
      <c r="X441" s="244"/>
      <c r="Y441" s="237"/>
      <c r="Z441" s="244"/>
      <c r="AA441" s="244"/>
      <c r="AB441" s="244"/>
      <c r="AC441" s="244"/>
      <c r="AD441" s="234"/>
      <c r="AE441" s="234"/>
      <c r="AF441" s="238"/>
      <c r="AG441" s="239"/>
      <c r="AH441" s="238"/>
      <c r="AI441" s="238"/>
      <c r="AJ441" s="234"/>
      <c r="AK441" s="234"/>
      <c r="AL441" s="234"/>
      <c r="AM441" s="234"/>
      <c r="AN441" s="234"/>
      <c r="AO441" s="234"/>
    </row>
    <row r="442" ht="15.75" customHeight="1">
      <c r="A442" s="91"/>
      <c r="B442" s="91"/>
      <c r="C442" s="220"/>
      <c r="D442" s="91"/>
      <c r="E442" s="221"/>
      <c r="F442" s="91"/>
      <c r="G442" s="91"/>
      <c r="H442" s="242"/>
      <c r="I442" s="223"/>
      <c r="J442" s="57"/>
      <c r="K442" s="153"/>
      <c r="L442" s="243"/>
      <c r="M442" s="234"/>
      <c r="N442" s="235"/>
      <c r="O442" s="236"/>
      <c r="P442" s="236"/>
      <c r="Q442" s="236"/>
      <c r="R442" s="236"/>
      <c r="S442" s="236"/>
      <c r="T442" s="236"/>
      <c r="U442" s="236"/>
      <c r="V442" s="236"/>
      <c r="W442" s="244"/>
      <c r="X442" s="244"/>
      <c r="Y442" s="237"/>
      <c r="Z442" s="244"/>
      <c r="AA442" s="244"/>
      <c r="AB442" s="244"/>
      <c r="AC442" s="244"/>
      <c r="AD442" s="234"/>
      <c r="AE442" s="234"/>
      <c r="AF442" s="238"/>
      <c r="AG442" s="239"/>
      <c r="AH442" s="238"/>
      <c r="AI442" s="238"/>
      <c r="AJ442" s="234"/>
      <c r="AK442" s="234"/>
      <c r="AL442" s="234"/>
      <c r="AM442" s="234"/>
      <c r="AN442" s="234"/>
      <c r="AO442" s="234"/>
    </row>
    <row r="443" ht="15.75" customHeight="1">
      <c r="A443" s="91"/>
      <c r="B443" s="91"/>
      <c r="C443" s="220"/>
      <c r="D443" s="91"/>
      <c r="E443" s="221"/>
      <c r="F443" s="91"/>
      <c r="G443" s="91"/>
      <c r="H443" s="242"/>
      <c r="I443" s="223"/>
      <c r="J443" s="57"/>
      <c r="K443" s="153"/>
      <c r="L443" s="243"/>
      <c r="M443" s="234"/>
      <c r="N443" s="235"/>
      <c r="O443" s="236"/>
      <c r="P443" s="236"/>
      <c r="Q443" s="236"/>
      <c r="R443" s="236"/>
      <c r="S443" s="236"/>
      <c r="T443" s="236"/>
      <c r="U443" s="236"/>
      <c r="V443" s="236"/>
      <c r="W443" s="244"/>
      <c r="X443" s="244"/>
      <c r="Y443" s="237"/>
      <c r="Z443" s="244"/>
      <c r="AA443" s="244"/>
      <c r="AB443" s="244"/>
      <c r="AC443" s="244"/>
      <c r="AD443" s="234"/>
      <c r="AE443" s="234"/>
      <c r="AF443" s="238"/>
      <c r="AG443" s="239"/>
      <c r="AH443" s="238"/>
      <c r="AI443" s="238"/>
      <c r="AJ443" s="234"/>
      <c r="AK443" s="234"/>
      <c r="AL443" s="234"/>
      <c r="AM443" s="234"/>
      <c r="AN443" s="234"/>
      <c r="AO443" s="234"/>
    </row>
    <row r="444" ht="15.75" customHeight="1">
      <c r="A444" s="91"/>
      <c r="B444" s="91"/>
      <c r="C444" s="220"/>
      <c r="D444" s="91"/>
      <c r="E444" s="221"/>
      <c r="F444" s="91"/>
      <c r="G444" s="91"/>
      <c r="H444" s="242"/>
      <c r="I444" s="223"/>
      <c r="J444" s="57"/>
      <c r="K444" s="153"/>
      <c r="L444" s="243"/>
      <c r="M444" s="234"/>
      <c r="N444" s="235"/>
      <c r="O444" s="236"/>
      <c r="P444" s="236"/>
      <c r="Q444" s="236"/>
      <c r="R444" s="236"/>
      <c r="S444" s="236"/>
      <c r="T444" s="236"/>
      <c r="U444" s="236"/>
      <c r="V444" s="236"/>
      <c r="W444" s="244"/>
      <c r="X444" s="244"/>
      <c r="Y444" s="237"/>
      <c r="Z444" s="244"/>
      <c r="AA444" s="244"/>
      <c r="AB444" s="244"/>
      <c r="AC444" s="244"/>
      <c r="AD444" s="234"/>
      <c r="AE444" s="234"/>
      <c r="AF444" s="238"/>
      <c r="AG444" s="239"/>
      <c r="AH444" s="238"/>
      <c r="AI444" s="238"/>
      <c r="AJ444" s="234"/>
      <c r="AK444" s="234"/>
      <c r="AL444" s="234"/>
      <c r="AM444" s="234"/>
      <c r="AN444" s="234"/>
      <c r="AO444" s="234"/>
    </row>
    <row r="445" ht="15.75" customHeight="1">
      <c r="A445" s="91"/>
      <c r="B445" s="91"/>
      <c r="C445" s="220"/>
      <c r="D445" s="91"/>
      <c r="E445" s="221"/>
      <c r="F445" s="91"/>
      <c r="G445" s="91"/>
      <c r="H445" s="242"/>
      <c r="I445" s="223"/>
      <c r="J445" s="57"/>
      <c r="K445" s="153"/>
      <c r="L445" s="243"/>
      <c r="M445" s="234"/>
      <c r="N445" s="235"/>
      <c r="O445" s="236"/>
      <c r="P445" s="236"/>
      <c r="Q445" s="236"/>
      <c r="R445" s="236"/>
      <c r="S445" s="236"/>
      <c r="T445" s="236"/>
      <c r="U445" s="236"/>
      <c r="V445" s="236"/>
      <c r="W445" s="244"/>
      <c r="X445" s="244"/>
      <c r="Y445" s="237"/>
      <c r="Z445" s="244"/>
      <c r="AA445" s="244"/>
      <c r="AB445" s="244"/>
      <c r="AC445" s="244"/>
      <c r="AD445" s="234"/>
      <c r="AE445" s="234"/>
      <c r="AF445" s="238"/>
      <c r="AG445" s="239"/>
      <c r="AH445" s="238"/>
      <c r="AI445" s="238"/>
      <c r="AJ445" s="234"/>
      <c r="AK445" s="234"/>
      <c r="AL445" s="234"/>
      <c r="AM445" s="234"/>
      <c r="AN445" s="234"/>
      <c r="AO445" s="234"/>
    </row>
    <row r="446" ht="15.75" customHeight="1">
      <c r="A446" s="91"/>
      <c r="B446" s="91"/>
      <c r="C446" s="220"/>
      <c r="D446" s="91"/>
      <c r="E446" s="221"/>
      <c r="F446" s="91"/>
      <c r="G446" s="91"/>
      <c r="H446" s="242"/>
      <c r="I446" s="223"/>
      <c r="J446" s="57"/>
      <c r="K446" s="153"/>
      <c r="L446" s="243"/>
      <c r="M446" s="234"/>
      <c r="N446" s="235"/>
      <c r="O446" s="236"/>
      <c r="P446" s="236"/>
      <c r="Q446" s="236"/>
      <c r="R446" s="236"/>
      <c r="S446" s="236"/>
      <c r="T446" s="236"/>
      <c r="U446" s="236"/>
      <c r="V446" s="236"/>
      <c r="W446" s="244"/>
      <c r="X446" s="244"/>
      <c r="Y446" s="237"/>
      <c r="Z446" s="244"/>
      <c r="AA446" s="244"/>
      <c r="AB446" s="244"/>
      <c r="AC446" s="244"/>
      <c r="AD446" s="234"/>
      <c r="AE446" s="234"/>
      <c r="AF446" s="238"/>
      <c r="AG446" s="239"/>
      <c r="AH446" s="238"/>
      <c r="AI446" s="238"/>
      <c r="AJ446" s="234"/>
      <c r="AK446" s="234"/>
      <c r="AL446" s="234"/>
      <c r="AM446" s="234"/>
      <c r="AN446" s="234"/>
      <c r="AO446" s="234"/>
    </row>
    <row r="447" ht="15.75" customHeight="1">
      <c r="A447" s="91"/>
      <c r="B447" s="91"/>
      <c r="C447" s="220"/>
      <c r="D447" s="91"/>
      <c r="E447" s="221"/>
      <c r="F447" s="91"/>
      <c r="G447" s="91"/>
      <c r="H447" s="242"/>
      <c r="I447" s="223"/>
      <c r="J447" s="57"/>
      <c r="K447" s="153"/>
      <c r="L447" s="243"/>
      <c r="M447" s="234"/>
      <c r="N447" s="235"/>
      <c r="O447" s="236"/>
      <c r="P447" s="236"/>
      <c r="Q447" s="236"/>
      <c r="R447" s="236"/>
      <c r="S447" s="236"/>
      <c r="T447" s="236"/>
      <c r="U447" s="236"/>
      <c r="V447" s="236"/>
      <c r="W447" s="244"/>
      <c r="X447" s="244"/>
      <c r="Y447" s="237"/>
      <c r="Z447" s="244"/>
      <c r="AA447" s="244"/>
      <c r="AB447" s="244"/>
      <c r="AC447" s="244"/>
      <c r="AD447" s="234"/>
      <c r="AE447" s="234"/>
      <c r="AF447" s="238"/>
      <c r="AG447" s="239"/>
      <c r="AH447" s="238"/>
      <c r="AI447" s="238"/>
      <c r="AJ447" s="234"/>
      <c r="AK447" s="234"/>
      <c r="AL447" s="234"/>
      <c r="AM447" s="234"/>
      <c r="AN447" s="234"/>
      <c r="AO447" s="234"/>
    </row>
    <row r="448" ht="15.75" customHeight="1">
      <c r="A448" s="91"/>
      <c r="B448" s="91"/>
      <c r="C448" s="220"/>
      <c r="D448" s="91"/>
      <c r="E448" s="221"/>
      <c r="F448" s="91"/>
      <c r="G448" s="91"/>
      <c r="H448" s="242"/>
      <c r="I448" s="223"/>
      <c r="J448" s="57"/>
      <c r="K448" s="153"/>
      <c r="L448" s="243"/>
      <c r="M448" s="234"/>
      <c r="N448" s="235"/>
      <c r="O448" s="236"/>
      <c r="P448" s="236"/>
      <c r="Q448" s="236"/>
      <c r="R448" s="236"/>
      <c r="S448" s="236"/>
      <c r="T448" s="236"/>
      <c r="U448" s="236"/>
      <c r="V448" s="236"/>
      <c r="W448" s="244"/>
      <c r="X448" s="244"/>
      <c r="Y448" s="237"/>
      <c r="Z448" s="244"/>
      <c r="AA448" s="244"/>
      <c r="AB448" s="244"/>
      <c r="AC448" s="244"/>
      <c r="AD448" s="234"/>
      <c r="AE448" s="234"/>
      <c r="AF448" s="238"/>
      <c r="AG448" s="239"/>
      <c r="AH448" s="238"/>
      <c r="AI448" s="238"/>
      <c r="AJ448" s="234"/>
      <c r="AK448" s="234"/>
      <c r="AL448" s="234"/>
      <c r="AM448" s="234"/>
      <c r="AN448" s="234"/>
      <c r="AO448" s="234"/>
    </row>
    <row r="449" ht="15.75" customHeight="1">
      <c r="A449" s="91"/>
      <c r="B449" s="91"/>
      <c r="C449" s="220"/>
      <c r="D449" s="91"/>
      <c r="E449" s="221"/>
      <c r="F449" s="91"/>
      <c r="G449" s="91"/>
      <c r="H449" s="242"/>
      <c r="I449" s="223"/>
      <c r="J449" s="57"/>
      <c r="K449" s="153"/>
      <c r="L449" s="243"/>
      <c r="M449" s="234"/>
      <c r="N449" s="235"/>
      <c r="O449" s="236"/>
      <c r="P449" s="236"/>
      <c r="Q449" s="236"/>
      <c r="R449" s="236"/>
      <c r="S449" s="236"/>
      <c r="T449" s="236"/>
      <c r="U449" s="236"/>
      <c r="V449" s="236"/>
      <c r="W449" s="244"/>
      <c r="X449" s="244"/>
      <c r="Y449" s="237"/>
      <c r="Z449" s="244"/>
      <c r="AA449" s="244"/>
      <c r="AB449" s="244"/>
      <c r="AC449" s="244"/>
      <c r="AD449" s="234"/>
      <c r="AE449" s="234"/>
      <c r="AF449" s="238"/>
      <c r="AG449" s="239"/>
      <c r="AH449" s="238"/>
      <c r="AI449" s="238"/>
      <c r="AJ449" s="234"/>
      <c r="AK449" s="234"/>
      <c r="AL449" s="234"/>
      <c r="AM449" s="234"/>
      <c r="AN449" s="234"/>
      <c r="AO449" s="234"/>
    </row>
    <row r="450" ht="15.75" customHeight="1">
      <c r="A450" s="91"/>
      <c r="B450" s="91"/>
      <c r="C450" s="220"/>
      <c r="D450" s="91"/>
      <c r="E450" s="221"/>
      <c r="F450" s="91"/>
      <c r="G450" s="91"/>
      <c r="H450" s="242"/>
      <c r="I450" s="223"/>
      <c r="J450" s="57"/>
      <c r="K450" s="153"/>
      <c r="L450" s="243"/>
      <c r="M450" s="234"/>
      <c r="N450" s="235"/>
      <c r="O450" s="236"/>
      <c r="P450" s="236"/>
      <c r="Q450" s="236"/>
      <c r="R450" s="236"/>
      <c r="S450" s="236"/>
      <c r="T450" s="236"/>
      <c r="U450" s="236"/>
      <c r="V450" s="236"/>
      <c r="W450" s="244"/>
      <c r="X450" s="244"/>
      <c r="Y450" s="237"/>
      <c r="Z450" s="244"/>
      <c r="AA450" s="244"/>
      <c r="AB450" s="244"/>
      <c r="AC450" s="244"/>
      <c r="AD450" s="234"/>
      <c r="AE450" s="234"/>
      <c r="AF450" s="238"/>
      <c r="AG450" s="239"/>
      <c r="AH450" s="238"/>
      <c r="AI450" s="238"/>
      <c r="AJ450" s="234"/>
      <c r="AK450" s="234"/>
      <c r="AL450" s="234"/>
      <c r="AM450" s="234"/>
      <c r="AN450" s="234"/>
      <c r="AO450" s="234"/>
    </row>
    <row r="451" ht="15.75" customHeight="1">
      <c r="A451" s="91"/>
      <c r="B451" s="91"/>
      <c r="C451" s="220"/>
      <c r="D451" s="91"/>
      <c r="E451" s="221"/>
      <c r="F451" s="91"/>
      <c r="G451" s="91"/>
      <c r="H451" s="242"/>
      <c r="I451" s="223"/>
      <c r="J451" s="57"/>
      <c r="K451" s="153"/>
      <c r="L451" s="243"/>
      <c r="M451" s="234"/>
      <c r="N451" s="235"/>
      <c r="O451" s="236"/>
      <c r="P451" s="236"/>
      <c r="Q451" s="236"/>
      <c r="R451" s="236"/>
      <c r="S451" s="236"/>
      <c r="T451" s="236"/>
      <c r="U451" s="236"/>
      <c r="V451" s="236"/>
      <c r="W451" s="244"/>
      <c r="X451" s="244"/>
      <c r="Y451" s="237"/>
      <c r="Z451" s="244"/>
      <c r="AA451" s="244"/>
      <c r="AB451" s="244"/>
      <c r="AC451" s="244"/>
      <c r="AD451" s="234"/>
      <c r="AE451" s="234"/>
      <c r="AF451" s="238"/>
      <c r="AG451" s="239"/>
      <c r="AH451" s="238"/>
      <c r="AI451" s="238"/>
      <c r="AJ451" s="234"/>
      <c r="AK451" s="234"/>
      <c r="AL451" s="234"/>
      <c r="AM451" s="234"/>
      <c r="AN451" s="234"/>
      <c r="AO451" s="234"/>
    </row>
    <row r="452" ht="15.75" customHeight="1">
      <c r="A452" s="91"/>
      <c r="B452" s="91"/>
      <c r="C452" s="220"/>
      <c r="D452" s="91"/>
      <c r="E452" s="221"/>
      <c r="F452" s="91"/>
      <c r="G452" s="91"/>
      <c r="H452" s="242"/>
      <c r="I452" s="223"/>
      <c r="J452" s="57"/>
      <c r="K452" s="153"/>
      <c r="L452" s="243"/>
      <c r="M452" s="234"/>
      <c r="N452" s="235"/>
      <c r="O452" s="236"/>
      <c r="P452" s="236"/>
      <c r="Q452" s="236"/>
      <c r="R452" s="236"/>
      <c r="S452" s="236"/>
      <c r="T452" s="236"/>
      <c r="U452" s="236"/>
      <c r="V452" s="236"/>
      <c r="W452" s="244"/>
      <c r="X452" s="244"/>
      <c r="Y452" s="237"/>
      <c r="Z452" s="244"/>
      <c r="AA452" s="244"/>
      <c r="AB452" s="244"/>
      <c r="AC452" s="244"/>
      <c r="AD452" s="234"/>
      <c r="AE452" s="234"/>
      <c r="AF452" s="238"/>
      <c r="AG452" s="239"/>
      <c r="AH452" s="238"/>
      <c r="AI452" s="238"/>
      <c r="AJ452" s="234"/>
      <c r="AK452" s="234"/>
      <c r="AL452" s="234"/>
      <c r="AM452" s="234"/>
      <c r="AN452" s="234"/>
      <c r="AO452" s="234"/>
    </row>
    <row r="453" ht="15.75" customHeight="1">
      <c r="A453" s="91"/>
      <c r="B453" s="91"/>
      <c r="C453" s="220"/>
      <c r="D453" s="91"/>
      <c r="E453" s="221"/>
      <c r="F453" s="91"/>
      <c r="G453" s="91"/>
      <c r="H453" s="242"/>
      <c r="I453" s="223"/>
      <c r="J453" s="57"/>
      <c r="K453" s="153"/>
      <c r="L453" s="243"/>
      <c r="M453" s="234"/>
      <c r="N453" s="235"/>
      <c r="O453" s="236"/>
      <c r="P453" s="236"/>
      <c r="Q453" s="236"/>
      <c r="R453" s="236"/>
      <c r="S453" s="236"/>
      <c r="T453" s="236"/>
      <c r="U453" s="236"/>
      <c r="V453" s="236"/>
      <c r="W453" s="244"/>
      <c r="X453" s="244"/>
      <c r="Y453" s="237"/>
      <c r="Z453" s="244"/>
      <c r="AA453" s="244"/>
      <c r="AB453" s="244"/>
      <c r="AC453" s="244"/>
      <c r="AD453" s="234"/>
      <c r="AE453" s="234"/>
      <c r="AF453" s="238"/>
      <c r="AG453" s="239"/>
      <c r="AH453" s="238"/>
      <c r="AI453" s="238"/>
      <c r="AJ453" s="234"/>
      <c r="AK453" s="234"/>
      <c r="AL453" s="234"/>
      <c r="AM453" s="234"/>
      <c r="AN453" s="234"/>
      <c r="AO453" s="234"/>
    </row>
    <row r="454" ht="15.75" customHeight="1">
      <c r="A454" s="91"/>
      <c r="B454" s="91"/>
      <c r="C454" s="220"/>
      <c r="D454" s="91"/>
      <c r="E454" s="221"/>
      <c r="F454" s="91"/>
      <c r="G454" s="91"/>
      <c r="H454" s="242"/>
      <c r="I454" s="223"/>
      <c r="J454" s="57"/>
      <c r="K454" s="153"/>
      <c r="L454" s="243"/>
      <c r="M454" s="234"/>
      <c r="N454" s="235"/>
      <c r="O454" s="236"/>
      <c r="P454" s="236"/>
      <c r="Q454" s="236"/>
      <c r="R454" s="236"/>
      <c r="S454" s="236"/>
      <c r="T454" s="236"/>
      <c r="U454" s="236"/>
      <c r="V454" s="236"/>
      <c r="W454" s="244"/>
      <c r="X454" s="244"/>
      <c r="Y454" s="237"/>
      <c r="Z454" s="244"/>
      <c r="AA454" s="244"/>
      <c r="AB454" s="244"/>
      <c r="AC454" s="244"/>
      <c r="AD454" s="234"/>
      <c r="AE454" s="234"/>
      <c r="AF454" s="238"/>
      <c r="AG454" s="239"/>
      <c r="AH454" s="238"/>
      <c r="AI454" s="238"/>
      <c r="AJ454" s="234"/>
      <c r="AK454" s="234"/>
      <c r="AL454" s="234"/>
      <c r="AM454" s="234"/>
      <c r="AN454" s="234"/>
      <c r="AO454" s="234"/>
    </row>
    <row r="455" ht="15.75" customHeight="1">
      <c r="A455" s="91"/>
      <c r="B455" s="91"/>
      <c r="C455" s="220"/>
      <c r="D455" s="91"/>
      <c r="E455" s="221"/>
      <c r="F455" s="91"/>
      <c r="G455" s="91"/>
      <c r="H455" s="242"/>
      <c r="I455" s="223"/>
      <c r="J455" s="57"/>
      <c r="K455" s="153"/>
      <c r="L455" s="243"/>
      <c r="M455" s="234"/>
      <c r="N455" s="235"/>
      <c r="O455" s="236"/>
      <c r="P455" s="236"/>
      <c r="Q455" s="236"/>
      <c r="R455" s="236"/>
      <c r="S455" s="236"/>
      <c r="T455" s="236"/>
      <c r="U455" s="236"/>
      <c r="V455" s="236"/>
      <c r="W455" s="244"/>
      <c r="X455" s="244"/>
      <c r="Y455" s="237"/>
      <c r="Z455" s="244"/>
      <c r="AA455" s="244"/>
      <c r="AB455" s="244"/>
      <c r="AC455" s="244"/>
      <c r="AD455" s="234"/>
      <c r="AE455" s="234"/>
      <c r="AF455" s="238"/>
      <c r="AG455" s="239"/>
      <c r="AH455" s="238"/>
      <c r="AI455" s="238"/>
      <c r="AJ455" s="234"/>
      <c r="AK455" s="234"/>
      <c r="AL455" s="234"/>
      <c r="AM455" s="234"/>
      <c r="AN455" s="234"/>
      <c r="AO455" s="234"/>
    </row>
    <row r="456" ht="15.75" customHeight="1">
      <c r="A456" s="91"/>
      <c r="B456" s="91"/>
      <c r="C456" s="220"/>
      <c r="D456" s="91"/>
      <c r="E456" s="221"/>
      <c r="F456" s="91"/>
      <c r="G456" s="91"/>
      <c r="H456" s="242"/>
      <c r="I456" s="223"/>
      <c r="J456" s="57"/>
      <c r="K456" s="153"/>
      <c r="L456" s="243"/>
      <c r="M456" s="234"/>
      <c r="N456" s="235"/>
      <c r="O456" s="236"/>
      <c r="P456" s="236"/>
      <c r="Q456" s="236"/>
      <c r="R456" s="236"/>
      <c r="S456" s="236"/>
      <c r="T456" s="236"/>
      <c r="U456" s="236"/>
      <c r="V456" s="236"/>
      <c r="W456" s="244"/>
      <c r="X456" s="244"/>
      <c r="Y456" s="237"/>
      <c r="Z456" s="244"/>
      <c r="AA456" s="244"/>
      <c r="AB456" s="244"/>
      <c r="AC456" s="244"/>
      <c r="AD456" s="234"/>
      <c r="AE456" s="234"/>
      <c r="AF456" s="238"/>
      <c r="AG456" s="239"/>
      <c r="AH456" s="238"/>
      <c r="AI456" s="238"/>
      <c r="AJ456" s="234"/>
      <c r="AK456" s="234"/>
      <c r="AL456" s="234"/>
      <c r="AM456" s="234"/>
      <c r="AN456" s="234"/>
      <c r="AO456" s="234"/>
    </row>
    <row r="457" ht="15.75" customHeight="1">
      <c r="A457" s="91"/>
      <c r="B457" s="91"/>
      <c r="C457" s="220"/>
      <c r="D457" s="91"/>
      <c r="E457" s="221"/>
      <c r="F457" s="91"/>
      <c r="G457" s="91"/>
      <c r="H457" s="242"/>
      <c r="I457" s="223"/>
      <c r="J457" s="57"/>
      <c r="K457" s="153"/>
      <c r="L457" s="243"/>
      <c r="M457" s="234"/>
      <c r="N457" s="235"/>
      <c r="O457" s="236"/>
      <c r="P457" s="236"/>
      <c r="Q457" s="236"/>
      <c r="R457" s="236"/>
      <c r="S457" s="236"/>
      <c r="T457" s="236"/>
      <c r="U457" s="236"/>
      <c r="V457" s="236"/>
      <c r="W457" s="244"/>
      <c r="X457" s="244"/>
      <c r="Y457" s="237"/>
      <c r="Z457" s="244"/>
      <c r="AA457" s="244"/>
      <c r="AB457" s="244"/>
      <c r="AC457" s="244"/>
      <c r="AD457" s="234"/>
      <c r="AE457" s="234"/>
      <c r="AF457" s="238"/>
      <c r="AG457" s="239"/>
      <c r="AH457" s="238"/>
      <c r="AI457" s="238"/>
      <c r="AJ457" s="234"/>
      <c r="AK457" s="234"/>
      <c r="AL457" s="234"/>
      <c r="AM457" s="234"/>
      <c r="AN457" s="234"/>
      <c r="AO457" s="234"/>
    </row>
    <row r="458" ht="15.75" customHeight="1">
      <c r="A458" s="91"/>
      <c r="B458" s="91"/>
      <c r="C458" s="220"/>
      <c r="D458" s="91"/>
      <c r="E458" s="221"/>
      <c r="F458" s="91"/>
      <c r="G458" s="91"/>
      <c r="H458" s="242"/>
      <c r="I458" s="223"/>
      <c r="J458" s="57"/>
      <c r="K458" s="153"/>
      <c r="L458" s="243"/>
      <c r="M458" s="234"/>
      <c r="N458" s="235"/>
      <c r="O458" s="236"/>
      <c r="P458" s="236"/>
      <c r="Q458" s="236"/>
      <c r="R458" s="236"/>
      <c r="S458" s="236"/>
      <c r="T458" s="236"/>
      <c r="U458" s="236"/>
      <c r="V458" s="236"/>
      <c r="W458" s="244"/>
      <c r="X458" s="244"/>
      <c r="Y458" s="237"/>
      <c r="Z458" s="244"/>
      <c r="AA458" s="244"/>
      <c r="AB458" s="244"/>
      <c r="AC458" s="244"/>
      <c r="AD458" s="234"/>
      <c r="AE458" s="234"/>
      <c r="AF458" s="238"/>
      <c r="AG458" s="239"/>
      <c r="AH458" s="238"/>
      <c r="AI458" s="238"/>
      <c r="AJ458" s="234"/>
      <c r="AK458" s="234"/>
      <c r="AL458" s="234"/>
      <c r="AM458" s="234"/>
      <c r="AN458" s="234"/>
      <c r="AO458" s="234"/>
    </row>
    <row r="459" ht="15.75" customHeight="1">
      <c r="A459" s="91"/>
      <c r="B459" s="91"/>
      <c r="C459" s="220"/>
      <c r="D459" s="91"/>
      <c r="E459" s="221"/>
      <c r="F459" s="91"/>
      <c r="G459" s="91"/>
      <c r="H459" s="242"/>
      <c r="I459" s="223"/>
      <c r="J459" s="57"/>
      <c r="K459" s="153"/>
      <c r="L459" s="243"/>
      <c r="M459" s="234"/>
      <c r="N459" s="235"/>
      <c r="O459" s="236"/>
      <c r="P459" s="236"/>
      <c r="Q459" s="236"/>
      <c r="R459" s="236"/>
      <c r="S459" s="236"/>
      <c r="T459" s="236"/>
      <c r="U459" s="236"/>
      <c r="V459" s="236"/>
      <c r="W459" s="244"/>
      <c r="X459" s="244"/>
      <c r="Y459" s="237"/>
      <c r="Z459" s="244"/>
      <c r="AA459" s="244"/>
      <c r="AB459" s="244"/>
      <c r="AC459" s="244"/>
      <c r="AD459" s="234"/>
      <c r="AE459" s="234"/>
      <c r="AF459" s="238"/>
      <c r="AG459" s="239"/>
      <c r="AH459" s="238"/>
      <c r="AI459" s="238"/>
      <c r="AJ459" s="234"/>
      <c r="AK459" s="234"/>
      <c r="AL459" s="234"/>
      <c r="AM459" s="234"/>
      <c r="AN459" s="234"/>
      <c r="AO459" s="234"/>
    </row>
    <row r="460" ht="15.75" customHeight="1">
      <c r="A460" s="91"/>
      <c r="B460" s="91"/>
      <c r="C460" s="220"/>
      <c r="D460" s="91"/>
      <c r="E460" s="221"/>
      <c r="F460" s="91"/>
      <c r="G460" s="91"/>
      <c r="H460" s="242"/>
      <c r="I460" s="223"/>
      <c r="J460" s="57"/>
      <c r="K460" s="153"/>
      <c r="L460" s="243"/>
      <c r="M460" s="234"/>
      <c r="N460" s="235"/>
      <c r="O460" s="236"/>
      <c r="P460" s="236"/>
      <c r="Q460" s="236"/>
      <c r="R460" s="236"/>
      <c r="S460" s="236"/>
      <c r="T460" s="236"/>
      <c r="U460" s="236"/>
      <c r="V460" s="236"/>
      <c r="W460" s="244"/>
      <c r="X460" s="244"/>
      <c r="Y460" s="237"/>
      <c r="Z460" s="244"/>
      <c r="AA460" s="244"/>
      <c r="AB460" s="244"/>
      <c r="AC460" s="244"/>
      <c r="AD460" s="234"/>
      <c r="AE460" s="234"/>
      <c r="AF460" s="238"/>
      <c r="AG460" s="239"/>
      <c r="AH460" s="238"/>
      <c r="AI460" s="238"/>
      <c r="AJ460" s="234"/>
      <c r="AK460" s="234"/>
      <c r="AL460" s="234"/>
      <c r="AM460" s="234"/>
      <c r="AN460" s="234"/>
      <c r="AO460" s="234"/>
    </row>
    <row r="461" ht="15.75" customHeight="1">
      <c r="A461" s="91"/>
      <c r="B461" s="91"/>
      <c r="C461" s="220"/>
      <c r="D461" s="91"/>
      <c r="E461" s="221"/>
      <c r="F461" s="91"/>
      <c r="G461" s="91"/>
      <c r="H461" s="242"/>
      <c r="I461" s="223"/>
      <c r="J461" s="57"/>
      <c r="K461" s="153"/>
      <c r="L461" s="243"/>
      <c r="M461" s="234"/>
      <c r="N461" s="235"/>
      <c r="O461" s="236"/>
      <c r="P461" s="236"/>
      <c r="Q461" s="236"/>
      <c r="R461" s="236"/>
      <c r="S461" s="236"/>
      <c r="T461" s="236"/>
      <c r="U461" s="236"/>
      <c r="V461" s="236"/>
      <c r="W461" s="244"/>
      <c r="X461" s="244"/>
      <c r="Y461" s="237"/>
      <c r="Z461" s="244"/>
      <c r="AA461" s="244"/>
      <c r="AB461" s="244"/>
      <c r="AC461" s="244"/>
      <c r="AD461" s="234"/>
      <c r="AE461" s="234"/>
      <c r="AF461" s="238"/>
      <c r="AG461" s="239"/>
      <c r="AH461" s="238"/>
      <c r="AI461" s="238"/>
      <c r="AJ461" s="234"/>
      <c r="AK461" s="234"/>
      <c r="AL461" s="234"/>
      <c r="AM461" s="234"/>
      <c r="AN461" s="234"/>
      <c r="AO461" s="234"/>
    </row>
    <row r="462" ht="15.75" customHeight="1">
      <c r="A462" s="91"/>
      <c r="B462" s="91"/>
      <c r="C462" s="220"/>
      <c r="D462" s="91"/>
      <c r="E462" s="221"/>
      <c r="F462" s="91"/>
      <c r="G462" s="91"/>
      <c r="H462" s="242"/>
      <c r="I462" s="223"/>
      <c r="J462" s="57"/>
      <c r="K462" s="153"/>
      <c r="L462" s="243"/>
      <c r="M462" s="234"/>
      <c r="N462" s="235"/>
      <c r="O462" s="236"/>
      <c r="P462" s="236"/>
      <c r="Q462" s="236"/>
      <c r="R462" s="236"/>
      <c r="S462" s="236"/>
      <c r="T462" s="236"/>
      <c r="U462" s="236"/>
      <c r="V462" s="236"/>
      <c r="W462" s="244"/>
      <c r="X462" s="244"/>
      <c r="Y462" s="237"/>
      <c r="Z462" s="244"/>
      <c r="AA462" s="244"/>
      <c r="AB462" s="244"/>
      <c r="AC462" s="244"/>
      <c r="AD462" s="234"/>
      <c r="AE462" s="234"/>
      <c r="AF462" s="238"/>
      <c r="AG462" s="239"/>
      <c r="AH462" s="238"/>
      <c r="AI462" s="238"/>
      <c r="AJ462" s="234"/>
      <c r="AK462" s="234"/>
      <c r="AL462" s="234"/>
      <c r="AM462" s="234"/>
      <c r="AN462" s="234"/>
      <c r="AO462" s="234"/>
    </row>
    <row r="463" ht="15.75" customHeight="1">
      <c r="A463" s="91"/>
      <c r="B463" s="91"/>
      <c r="C463" s="220"/>
      <c r="D463" s="91"/>
      <c r="E463" s="221"/>
      <c r="F463" s="91"/>
      <c r="G463" s="91"/>
      <c r="H463" s="242"/>
      <c r="I463" s="223"/>
      <c r="J463" s="57"/>
      <c r="K463" s="153"/>
      <c r="L463" s="243"/>
      <c r="M463" s="234"/>
      <c r="N463" s="235"/>
      <c r="O463" s="236"/>
      <c r="P463" s="236"/>
      <c r="Q463" s="236"/>
      <c r="R463" s="236"/>
      <c r="S463" s="236"/>
      <c r="T463" s="236"/>
      <c r="U463" s="236"/>
      <c r="V463" s="236"/>
      <c r="W463" s="244"/>
      <c r="X463" s="244"/>
      <c r="Y463" s="237"/>
      <c r="Z463" s="244"/>
      <c r="AA463" s="244"/>
      <c r="AB463" s="244"/>
      <c r="AC463" s="244"/>
      <c r="AD463" s="234"/>
      <c r="AE463" s="234"/>
      <c r="AF463" s="238"/>
      <c r="AG463" s="239"/>
      <c r="AH463" s="238"/>
      <c r="AI463" s="238"/>
      <c r="AJ463" s="234"/>
      <c r="AK463" s="234"/>
      <c r="AL463" s="234"/>
      <c r="AM463" s="234"/>
      <c r="AN463" s="234"/>
      <c r="AO463" s="234"/>
    </row>
    <row r="464" ht="15.75" customHeight="1">
      <c r="A464" s="91"/>
      <c r="B464" s="91"/>
      <c r="C464" s="220"/>
      <c r="D464" s="91"/>
      <c r="E464" s="221"/>
      <c r="F464" s="91"/>
      <c r="G464" s="91"/>
      <c r="H464" s="242"/>
      <c r="I464" s="223"/>
      <c r="J464" s="57"/>
      <c r="K464" s="153"/>
      <c r="L464" s="243"/>
      <c r="M464" s="234"/>
      <c r="N464" s="235"/>
      <c r="O464" s="236"/>
      <c r="P464" s="236"/>
      <c r="Q464" s="236"/>
      <c r="R464" s="236"/>
      <c r="S464" s="236"/>
      <c r="T464" s="236"/>
      <c r="U464" s="236"/>
      <c r="V464" s="236"/>
      <c r="W464" s="244"/>
      <c r="X464" s="244"/>
      <c r="Y464" s="237"/>
      <c r="Z464" s="244"/>
      <c r="AA464" s="244"/>
      <c r="AB464" s="244"/>
      <c r="AC464" s="244"/>
      <c r="AD464" s="234"/>
      <c r="AE464" s="234"/>
      <c r="AF464" s="238"/>
      <c r="AG464" s="239"/>
      <c r="AH464" s="238"/>
      <c r="AI464" s="238"/>
      <c r="AJ464" s="234"/>
      <c r="AK464" s="234"/>
      <c r="AL464" s="234"/>
      <c r="AM464" s="234"/>
      <c r="AN464" s="234"/>
      <c r="AO464" s="234"/>
    </row>
    <row r="465" ht="15.75" customHeight="1">
      <c r="A465" s="91"/>
      <c r="B465" s="91"/>
      <c r="C465" s="220"/>
      <c r="D465" s="91"/>
      <c r="E465" s="221"/>
      <c r="F465" s="91"/>
      <c r="G465" s="91"/>
      <c r="H465" s="242"/>
      <c r="I465" s="223"/>
      <c r="J465" s="57"/>
      <c r="K465" s="153"/>
      <c r="L465" s="243"/>
      <c r="M465" s="234"/>
      <c r="N465" s="235"/>
      <c r="O465" s="236"/>
      <c r="P465" s="236"/>
      <c r="Q465" s="236"/>
      <c r="R465" s="236"/>
      <c r="S465" s="236"/>
      <c r="T465" s="236"/>
      <c r="U465" s="236"/>
      <c r="V465" s="236"/>
      <c r="W465" s="244"/>
      <c r="X465" s="244"/>
      <c r="Y465" s="237"/>
      <c r="Z465" s="244"/>
      <c r="AA465" s="244"/>
      <c r="AB465" s="244"/>
      <c r="AC465" s="244"/>
      <c r="AD465" s="234"/>
      <c r="AE465" s="234"/>
      <c r="AF465" s="238"/>
      <c r="AG465" s="239"/>
      <c r="AH465" s="238"/>
      <c r="AI465" s="238"/>
      <c r="AJ465" s="234"/>
      <c r="AK465" s="234"/>
      <c r="AL465" s="234"/>
      <c r="AM465" s="234"/>
      <c r="AN465" s="234"/>
      <c r="AO465" s="234"/>
    </row>
    <row r="466" ht="15.75" customHeight="1">
      <c r="A466" s="91"/>
      <c r="B466" s="91"/>
      <c r="C466" s="220"/>
      <c r="D466" s="91"/>
      <c r="E466" s="221"/>
      <c r="F466" s="91"/>
      <c r="G466" s="91"/>
      <c r="H466" s="242"/>
      <c r="I466" s="223"/>
      <c r="J466" s="57"/>
      <c r="K466" s="153"/>
      <c r="L466" s="243"/>
      <c r="M466" s="234"/>
      <c r="N466" s="235"/>
      <c r="O466" s="236"/>
      <c r="P466" s="236"/>
      <c r="Q466" s="236"/>
      <c r="R466" s="236"/>
      <c r="S466" s="236"/>
      <c r="T466" s="236"/>
      <c r="U466" s="236"/>
      <c r="V466" s="236"/>
      <c r="W466" s="244"/>
      <c r="X466" s="244"/>
      <c r="Y466" s="237"/>
      <c r="Z466" s="244"/>
      <c r="AA466" s="244"/>
      <c r="AB466" s="244"/>
      <c r="AC466" s="244"/>
      <c r="AD466" s="234"/>
      <c r="AE466" s="234"/>
      <c r="AF466" s="238"/>
      <c r="AG466" s="239"/>
      <c r="AH466" s="238"/>
      <c r="AI466" s="238"/>
      <c r="AJ466" s="234"/>
      <c r="AK466" s="234"/>
      <c r="AL466" s="234"/>
      <c r="AM466" s="234"/>
      <c r="AN466" s="234"/>
      <c r="AO466" s="234"/>
    </row>
    <row r="467" ht="15.75" customHeight="1">
      <c r="A467" s="91"/>
      <c r="B467" s="91"/>
      <c r="C467" s="220"/>
      <c r="D467" s="91"/>
      <c r="E467" s="221"/>
      <c r="F467" s="91"/>
      <c r="G467" s="91"/>
      <c r="H467" s="242"/>
      <c r="I467" s="223"/>
      <c r="J467" s="57"/>
      <c r="K467" s="153"/>
      <c r="L467" s="243"/>
      <c r="M467" s="234"/>
      <c r="N467" s="235"/>
      <c r="O467" s="236"/>
      <c r="P467" s="236"/>
      <c r="Q467" s="236"/>
      <c r="R467" s="236"/>
      <c r="S467" s="236"/>
      <c r="T467" s="236"/>
      <c r="U467" s="236"/>
      <c r="V467" s="236"/>
      <c r="W467" s="244"/>
      <c r="X467" s="244"/>
      <c r="Y467" s="237"/>
      <c r="Z467" s="244"/>
      <c r="AA467" s="244"/>
      <c r="AB467" s="244"/>
      <c r="AC467" s="244"/>
      <c r="AD467" s="234"/>
      <c r="AE467" s="234"/>
      <c r="AF467" s="238"/>
      <c r="AG467" s="239"/>
      <c r="AH467" s="238"/>
      <c r="AI467" s="238"/>
      <c r="AJ467" s="234"/>
      <c r="AK467" s="234"/>
      <c r="AL467" s="234"/>
      <c r="AM467" s="234"/>
      <c r="AN467" s="234"/>
      <c r="AO467" s="234"/>
    </row>
    <row r="468" ht="15.75" customHeight="1">
      <c r="A468" s="91"/>
      <c r="B468" s="91"/>
      <c r="C468" s="220"/>
      <c r="D468" s="91"/>
      <c r="E468" s="221"/>
      <c r="F468" s="91"/>
      <c r="G468" s="91"/>
      <c r="H468" s="242"/>
      <c r="I468" s="223"/>
      <c r="J468" s="57"/>
      <c r="K468" s="153"/>
      <c r="L468" s="243"/>
      <c r="M468" s="234"/>
      <c r="N468" s="235"/>
      <c r="O468" s="236"/>
      <c r="P468" s="236"/>
      <c r="Q468" s="236"/>
      <c r="R468" s="236"/>
      <c r="S468" s="236"/>
      <c r="T468" s="236"/>
      <c r="U468" s="236"/>
      <c r="V468" s="236"/>
      <c r="W468" s="244"/>
      <c r="X468" s="244"/>
      <c r="Y468" s="237"/>
      <c r="Z468" s="244"/>
      <c r="AA468" s="244"/>
      <c r="AB468" s="244"/>
      <c r="AC468" s="244"/>
      <c r="AD468" s="234"/>
      <c r="AE468" s="234"/>
      <c r="AF468" s="238"/>
      <c r="AG468" s="239"/>
      <c r="AH468" s="238"/>
      <c r="AI468" s="238"/>
      <c r="AJ468" s="234"/>
      <c r="AK468" s="234"/>
      <c r="AL468" s="234"/>
      <c r="AM468" s="234"/>
      <c r="AN468" s="234"/>
      <c r="AO468" s="234"/>
    </row>
    <row r="469" ht="15.75" customHeight="1">
      <c r="A469" s="91"/>
      <c r="B469" s="91"/>
      <c r="C469" s="220"/>
      <c r="D469" s="91"/>
      <c r="E469" s="221"/>
      <c r="F469" s="91"/>
      <c r="G469" s="91"/>
      <c r="H469" s="242"/>
      <c r="I469" s="223"/>
      <c r="J469" s="57"/>
      <c r="K469" s="153"/>
      <c r="L469" s="243"/>
      <c r="M469" s="234"/>
      <c r="N469" s="235"/>
      <c r="O469" s="236"/>
      <c r="P469" s="236"/>
      <c r="Q469" s="236"/>
      <c r="R469" s="236"/>
      <c r="S469" s="236"/>
      <c r="T469" s="236"/>
      <c r="U469" s="236"/>
      <c r="V469" s="236"/>
      <c r="W469" s="244"/>
      <c r="X469" s="244"/>
      <c r="Y469" s="237"/>
      <c r="Z469" s="244"/>
      <c r="AA469" s="244"/>
      <c r="AB469" s="244"/>
      <c r="AC469" s="244"/>
      <c r="AD469" s="234"/>
      <c r="AE469" s="234"/>
      <c r="AF469" s="238"/>
      <c r="AG469" s="239"/>
      <c r="AH469" s="238"/>
      <c r="AI469" s="238"/>
      <c r="AJ469" s="234"/>
      <c r="AK469" s="234"/>
      <c r="AL469" s="234"/>
      <c r="AM469" s="234"/>
      <c r="AN469" s="234"/>
      <c r="AO469" s="234"/>
    </row>
    <row r="470" ht="15.75" customHeight="1">
      <c r="A470" s="91"/>
      <c r="B470" s="91"/>
      <c r="C470" s="220"/>
      <c r="D470" s="91"/>
      <c r="E470" s="221"/>
      <c r="F470" s="91"/>
      <c r="G470" s="91"/>
      <c r="H470" s="242"/>
      <c r="I470" s="223"/>
      <c r="J470" s="57"/>
      <c r="K470" s="153"/>
      <c r="L470" s="243"/>
      <c r="M470" s="234"/>
      <c r="N470" s="235"/>
      <c r="O470" s="236"/>
      <c r="P470" s="236"/>
      <c r="Q470" s="236"/>
      <c r="R470" s="236"/>
      <c r="S470" s="236"/>
      <c r="T470" s="236"/>
      <c r="U470" s="236"/>
      <c r="V470" s="236"/>
      <c r="W470" s="244"/>
      <c r="X470" s="244"/>
      <c r="Y470" s="237"/>
      <c r="Z470" s="244"/>
      <c r="AA470" s="244"/>
      <c r="AB470" s="244"/>
      <c r="AC470" s="244"/>
      <c r="AD470" s="234"/>
      <c r="AE470" s="234"/>
      <c r="AF470" s="238"/>
      <c r="AG470" s="239"/>
      <c r="AH470" s="238"/>
      <c r="AI470" s="238"/>
      <c r="AJ470" s="234"/>
      <c r="AK470" s="234"/>
      <c r="AL470" s="234"/>
      <c r="AM470" s="234"/>
      <c r="AN470" s="234"/>
      <c r="AO470" s="234"/>
    </row>
    <row r="471" ht="15.75" customHeight="1">
      <c r="A471" s="91"/>
      <c r="B471" s="91"/>
      <c r="C471" s="220"/>
      <c r="D471" s="91"/>
      <c r="E471" s="221"/>
      <c r="F471" s="91"/>
      <c r="G471" s="91"/>
      <c r="H471" s="242"/>
      <c r="I471" s="223"/>
      <c r="J471" s="57"/>
      <c r="K471" s="153"/>
      <c r="L471" s="243"/>
      <c r="M471" s="234"/>
      <c r="N471" s="235"/>
      <c r="O471" s="236"/>
      <c r="P471" s="236"/>
      <c r="Q471" s="236"/>
      <c r="R471" s="236"/>
      <c r="S471" s="236"/>
      <c r="T471" s="236"/>
      <c r="U471" s="236"/>
      <c r="V471" s="236"/>
      <c r="W471" s="244"/>
      <c r="X471" s="244"/>
      <c r="Y471" s="237"/>
      <c r="Z471" s="244"/>
      <c r="AA471" s="244"/>
      <c r="AB471" s="244"/>
      <c r="AC471" s="244"/>
      <c r="AD471" s="234"/>
      <c r="AE471" s="234"/>
      <c r="AF471" s="238"/>
      <c r="AG471" s="239"/>
      <c r="AH471" s="238"/>
      <c r="AI471" s="238"/>
      <c r="AJ471" s="234"/>
      <c r="AK471" s="234"/>
      <c r="AL471" s="234"/>
      <c r="AM471" s="234"/>
      <c r="AN471" s="234"/>
      <c r="AO471" s="234"/>
    </row>
    <row r="472" ht="15.75" customHeight="1">
      <c r="A472" s="91"/>
      <c r="B472" s="91"/>
      <c r="C472" s="220"/>
      <c r="D472" s="91"/>
      <c r="E472" s="221"/>
      <c r="F472" s="91"/>
      <c r="G472" s="91"/>
      <c r="H472" s="242"/>
      <c r="I472" s="223"/>
      <c r="J472" s="57"/>
      <c r="K472" s="153"/>
      <c r="L472" s="243"/>
      <c r="M472" s="234"/>
      <c r="N472" s="235"/>
      <c r="O472" s="236"/>
      <c r="P472" s="236"/>
      <c r="Q472" s="236"/>
      <c r="R472" s="236"/>
      <c r="S472" s="236"/>
      <c r="T472" s="236"/>
      <c r="U472" s="236"/>
      <c r="V472" s="236"/>
      <c r="W472" s="244"/>
      <c r="X472" s="244"/>
      <c r="Y472" s="237"/>
      <c r="Z472" s="244"/>
      <c r="AA472" s="244"/>
      <c r="AB472" s="244"/>
      <c r="AC472" s="244"/>
      <c r="AD472" s="234"/>
      <c r="AE472" s="234"/>
      <c r="AF472" s="238"/>
      <c r="AG472" s="239"/>
      <c r="AH472" s="238"/>
      <c r="AI472" s="238"/>
      <c r="AJ472" s="234"/>
      <c r="AK472" s="234"/>
      <c r="AL472" s="234"/>
      <c r="AM472" s="234"/>
      <c r="AN472" s="234"/>
      <c r="AO472" s="234"/>
    </row>
    <row r="473" ht="15.75" customHeight="1">
      <c r="A473" s="91"/>
      <c r="B473" s="91"/>
      <c r="C473" s="220"/>
      <c r="D473" s="91"/>
      <c r="E473" s="221"/>
      <c r="F473" s="91"/>
      <c r="G473" s="91"/>
      <c r="H473" s="242"/>
      <c r="I473" s="223"/>
      <c r="J473" s="57"/>
      <c r="K473" s="153"/>
      <c r="L473" s="243"/>
      <c r="M473" s="234"/>
      <c r="N473" s="235"/>
      <c r="O473" s="236"/>
      <c r="P473" s="236"/>
      <c r="Q473" s="236"/>
      <c r="R473" s="236"/>
      <c r="S473" s="236"/>
      <c r="T473" s="236"/>
      <c r="U473" s="236"/>
      <c r="V473" s="236"/>
      <c r="W473" s="244"/>
      <c r="X473" s="244"/>
      <c r="Y473" s="237"/>
      <c r="Z473" s="244"/>
      <c r="AA473" s="244"/>
      <c r="AB473" s="244"/>
      <c r="AC473" s="244"/>
      <c r="AD473" s="234"/>
      <c r="AE473" s="234"/>
      <c r="AF473" s="238"/>
      <c r="AG473" s="239"/>
      <c r="AH473" s="238"/>
      <c r="AI473" s="238"/>
      <c r="AJ473" s="234"/>
      <c r="AK473" s="234"/>
      <c r="AL473" s="234"/>
      <c r="AM473" s="234"/>
      <c r="AN473" s="234"/>
      <c r="AO473" s="234"/>
    </row>
    <row r="474" ht="15.75" customHeight="1">
      <c r="A474" s="91"/>
      <c r="B474" s="91"/>
      <c r="C474" s="220"/>
      <c r="D474" s="91"/>
      <c r="E474" s="221"/>
      <c r="F474" s="91"/>
      <c r="G474" s="91"/>
      <c r="H474" s="242"/>
      <c r="I474" s="223"/>
      <c r="J474" s="57"/>
      <c r="K474" s="153"/>
      <c r="L474" s="243"/>
      <c r="M474" s="234"/>
      <c r="N474" s="235"/>
      <c r="O474" s="236"/>
      <c r="P474" s="236"/>
      <c r="Q474" s="236"/>
      <c r="R474" s="236"/>
      <c r="S474" s="236"/>
      <c r="T474" s="236"/>
      <c r="U474" s="236"/>
      <c r="V474" s="236"/>
      <c r="W474" s="244"/>
      <c r="X474" s="244"/>
      <c r="Y474" s="237"/>
      <c r="Z474" s="244"/>
      <c r="AA474" s="244"/>
      <c r="AB474" s="244"/>
      <c r="AC474" s="244"/>
      <c r="AD474" s="234"/>
      <c r="AE474" s="234"/>
      <c r="AF474" s="238"/>
      <c r="AG474" s="239"/>
      <c r="AH474" s="238"/>
      <c r="AI474" s="238"/>
      <c r="AJ474" s="234"/>
      <c r="AK474" s="234"/>
      <c r="AL474" s="234"/>
      <c r="AM474" s="234"/>
      <c r="AN474" s="234"/>
      <c r="AO474" s="234"/>
    </row>
    <row r="475" ht="15.75" customHeight="1">
      <c r="A475" s="91"/>
      <c r="B475" s="91"/>
      <c r="C475" s="220"/>
      <c r="D475" s="91"/>
      <c r="E475" s="221"/>
      <c r="F475" s="91"/>
      <c r="G475" s="91"/>
      <c r="H475" s="242"/>
      <c r="I475" s="223"/>
      <c r="J475" s="57"/>
      <c r="K475" s="153"/>
      <c r="L475" s="243"/>
      <c r="M475" s="234"/>
      <c r="N475" s="235"/>
      <c r="O475" s="236"/>
      <c r="P475" s="236"/>
      <c r="Q475" s="236"/>
      <c r="R475" s="236"/>
      <c r="S475" s="236"/>
      <c r="T475" s="236"/>
      <c r="U475" s="236"/>
      <c r="V475" s="236"/>
      <c r="W475" s="244"/>
      <c r="X475" s="244"/>
      <c r="Y475" s="237"/>
      <c r="Z475" s="244"/>
      <c r="AA475" s="244"/>
      <c r="AB475" s="244"/>
      <c r="AC475" s="244"/>
      <c r="AD475" s="234"/>
      <c r="AE475" s="234"/>
      <c r="AF475" s="238"/>
      <c r="AG475" s="239"/>
      <c r="AH475" s="238"/>
      <c r="AI475" s="238"/>
      <c r="AJ475" s="234"/>
      <c r="AK475" s="234"/>
      <c r="AL475" s="234"/>
      <c r="AM475" s="234"/>
      <c r="AN475" s="234"/>
      <c r="AO475" s="234"/>
    </row>
    <row r="476" ht="15.75" customHeight="1">
      <c r="A476" s="91"/>
      <c r="B476" s="91"/>
      <c r="C476" s="220"/>
      <c r="D476" s="91"/>
      <c r="E476" s="221"/>
      <c r="F476" s="91"/>
      <c r="G476" s="91"/>
      <c r="H476" s="242"/>
      <c r="I476" s="223"/>
      <c r="J476" s="57"/>
      <c r="K476" s="153"/>
      <c r="L476" s="243"/>
      <c r="M476" s="234"/>
      <c r="N476" s="235"/>
      <c r="O476" s="236"/>
      <c r="P476" s="236"/>
      <c r="Q476" s="236"/>
      <c r="R476" s="236"/>
      <c r="S476" s="236"/>
      <c r="T476" s="236"/>
      <c r="U476" s="236"/>
      <c r="V476" s="236"/>
      <c r="W476" s="244"/>
      <c r="X476" s="244"/>
      <c r="Y476" s="237"/>
      <c r="Z476" s="244"/>
      <c r="AA476" s="244"/>
      <c r="AB476" s="244"/>
      <c r="AC476" s="244"/>
      <c r="AD476" s="234"/>
      <c r="AE476" s="234"/>
      <c r="AF476" s="238"/>
      <c r="AG476" s="239"/>
      <c r="AH476" s="238"/>
      <c r="AI476" s="238"/>
      <c r="AJ476" s="234"/>
      <c r="AK476" s="234"/>
      <c r="AL476" s="234"/>
      <c r="AM476" s="234"/>
      <c r="AN476" s="234"/>
      <c r="AO476" s="234"/>
    </row>
    <row r="477" ht="15.75" customHeight="1">
      <c r="A477" s="91"/>
      <c r="B477" s="91"/>
      <c r="C477" s="220"/>
      <c r="D477" s="91"/>
      <c r="E477" s="221"/>
      <c r="F477" s="91"/>
      <c r="G477" s="91"/>
      <c r="H477" s="242"/>
      <c r="I477" s="223"/>
      <c r="J477" s="57"/>
      <c r="K477" s="153"/>
      <c r="L477" s="243"/>
      <c r="M477" s="234"/>
      <c r="N477" s="235"/>
      <c r="O477" s="236"/>
      <c r="P477" s="236"/>
      <c r="Q477" s="236"/>
      <c r="R477" s="236"/>
      <c r="S477" s="236"/>
      <c r="T477" s="236"/>
      <c r="U477" s="236"/>
      <c r="V477" s="236"/>
      <c r="W477" s="244"/>
      <c r="X477" s="244"/>
      <c r="Y477" s="237"/>
      <c r="Z477" s="244"/>
      <c r="AA477" s="244"/>
      <c r="AB477" s="244"/>
      <c r="AC477" s="244"/>
      <c r="AD477" s="234"/>
      <c r="AE477" s="234"/>
      <c r="AF477" s="238"/>
      <c r="AG477" s="239"/>
      <c r="AH477" s="238"/>
      <c r="AI477" s="238"/>
      <c r="AJ477" s="234"/>
      <c r="AK477" s="234"/>
      <c r="AL477" s="234"/>
      <c r="AM477" s="234"/>
      <c r="AN477" s="234"/>
      <c r="AO477" s="234"/>
    </row>
    <row r="478" ht="15.75" customHeight="1">
      <c r="A478" s="91"/>
      <c r="B478" s="91"/>
      <c r="C478" s="220"/>
      <c r="D478" s="91"/>
      <c r="E478" s="221"/>
      <c r="F478" s="91"/>
      <c r="G478" s="91"/>
      <c r="H478" s="242"/>
      <c r="I478" s="223"/>
      <c r="J478" s="57"/>
      <c r="K478" s="153"/>
      <c r="L478" s="243"/>
      <c r="M478" s="234"/>
      <c r="N478" s="235"/>
      <c r="O478" s="236"/>
      <c r="P478" s="236"/>
      <c r="Q478" s="236"/>
      <c r="R478" s="236"/>
      <c r="S478" s="236"/>
      <c r="T478" s="236"/>
      <c r="U478" s="236"/>
      <c r="V478" s="236"/>
      <c r="W478" s="244"/>
      <c r="X478" s="244"/>
      <c r="Y478" s="237"/>
      <c r="Z478" s="244"/>
      <c r="AA478" s="244"/>
      <c r="AB478" s="244"/>
      <c r="AC478" s="244"/>
      <c r="AD478" s="234"/>
      <c r="AE478" s="234"/>
      <c r="AF478" s="238"/>
      <c r="AG478" s="239"/>
      <c r="AH478" s="238"/>
      <c r="AI478" s="238"/>
      <c r="AJ478" s="234"/>
      <c r="AK478" s="234"/>
      <c r="AL478" s="234"/>
      <c r="AM478" s="234"/>
      <c r="AN478" s="234"/>
      <c r="AO478" s="234"/>
    </row>
    <row r="479" ht="15.75" customHeight="1">
      <c r="A479" s="91"/>
      <c r="B479" s="91"/>
      <c r="C479" s="220"/>
      <c r="D479" s="91"/>
      <c r="E479" s="221"/>
      <c r="F479" s="91"/>
      <c r="G479" s="91"/>
      <c r="H479" s="242"/>
      <c r="I479" s="223"/>
      <c r="J479" s="57"/>
      <c r="K479" s="153"/>
      <c r="L479" s="243"/>
      <c r="M479" s="234"/>
      <c r="N479" s="235"/>
      <c r="O479" s="236"/>
      <c r="P479" s="236"/>
      <c r="Q479" s="236"/>
      <c r="R479" s="236"/>
      <c r="S479" s="236"/>
      <c r="T479" s="236"/>
      <c r="U479" s="236"/>
      <c r="V479" s="236"/>
      <c r="W479" s="244"/>
      <c r="X479" s="244"/>
      <c r="Y479" s="237"/>
      <c r="Z479" s="244"/>
      <c r="AA479" s="244"/>
      <c r="AB479" s="244"/>
      <c r="AC479" s="244"/>
      <c r="AD479" s="234"/>
      <c r="AE479" s="234"/>
      <c r="AF479" s="238"/>
      <c r="AG479" s="239"/>
      <c r="AH479" s="238"/>
      <c r="AI479" s="238"/>
      <c r="AJ479" s="234"/>
      <c r="AK479" s="234"/>
      <c r="AL479" s="234"/>
      <c r="AM479" s="234"/>
      <c r="AN479" s="234"/>
      <c r="AO479" s="234"/>
    </row>
    <row r="480" ht="15.75" customHeight="1">
      <c r="A480" s="91"/>
      <c r="B480" s="91"/>
      <c r="C480" s="220"/>
      <c r="D480" s="91"/>
      <c r="E480" s="221"/>
      <c r="F480" s="91"/>
      <c r="G480" s="91"/>
      <c r="H480" s="242"/>
      <c r="I480" s="223"/>
      <c r="J480" s="57"/>
      <c r="K480" s="153"/>
      <c r="L480" s="243"/>
      <c r="M480" s="234"/>
      <c r="N480" s="235"/>
      <c r="O480" s="236"/>
      <c r="P480" s="236"/>
      <c r="Q480" s="236"/>
      <c r="R480" s="236"/>
      <c r="S480" s="236"/>
      <c r="T480" s="236"/>
      <c r="U480" s="236"/>
      <c r="V480" s="236"/>
      <c r="W480" s="244"/>
      <c r="X480" s="244"/>
      <c r="Y480" s="237"/>
      <c r="Z480" s="244"/>
      <c r="AA480" s="244"/>
      <c r="AB480" s="244"/>
      <c r="AC480" s="244"/>
      <c r="AD480" s="234"/>
      <c r="AE480" s="234"/>
      <c r="AF480" s="238"/>
      <c r="AG480" s="239"/>
      <c r="AH480" s="238"/>
      <c r="AI480" s="238"/>
      <c r="AJ480" s="234"/>
      <c r="AK480" s="234"/>
      <c r="AL480" s="234"/>
      <c r="AM480" s="234"/>
      <c r="AN480" s="234"/>
      <c r="AO480" s="234"/>
    </row>
    <row r="481" ht="15.75" customHeight="1">
      <c r="A481" s="91"/>
      <c r="B481" s="91"/>
      <c r="C481" s="220"/>
      <c r="D481" s="91"/>
      <c r="E481" s="221"/>
      <c r="F481" s="91"/>
      <c r="G481" s="91"/>
      <c r="H481" s="242"/>
      <c r="I481" s="223"/>
      <c r="J481" s="57"/>
      <c r="K481" s="153"/>
      <c r="L481" s="243"/>
      <c r="M481" s="234"/>
      <c r="N481" s="235"/>
      <c r="O481" s="236"/>
      <c r="P481" s="236"/>
      <c r="Q481" s="236"/>
      <c r="R481" s="236"/>
      <c r="S481" s="236"/>
      <c r="T481" s="236"/>
      <c r="U481" s="236"/>
      <c r="V481" s="236"/>
      <c r="W481" s="244"/>
      <c r="X481" s="244"/>
      <c r="Y481" s="237"/>
      <c r="Z481" s="244"/>
      <c r="AA481" s="244"/>
      <c r="AB481" s="244"/>
      <c r="AC481" s="244"/>
      <c r="AD481" s="234"/>
      <c r="AE481" s="234"/>
      <c r="AF481" s="238"/>
      <c r="AG481" s="239"/>
      <c r="AH481" s="238"/>
      <c r="AI481" s="238"/>
      <c r="AJ481" s="234"/>
      <c r="AK481" s="234"/>
      <c r="AL481" s="234"/>
      <c r="AM481" s="234"/>
      <c r="AN481" s="234"/>
      <c r="AO481" s="234"/>
    </row>
    <row r="482" ht="15.75" customHeight="1">
      <c r="A482" s="91"/>
      <c r="B482" s="91"/>
      <c r="C482" s="220"/>
      <c r="D482" s="91"/>
      <c r="E482" s="221"/>
      <c r="F482" s="91"/>
      <c r="G482" s="91"/>
      <c r="H482" s="242"/>
      <c r="I482" s="223"/>
      <c r="J482" s="57"/>
      <c r="K482" s="153"/>
      <c r="L482" s="243"/>
      <c r="M482" s="234"/>
      <c r="N482" s="235"/>
      <c r="O482" s="236"/>
      <c r="P482" s="236"/>
      <c r="Q482" s="236"/>
      <c r="R482" s="236"/>
      <c r="S482" s="236"/>
      <c r="T482" s="236"/>
      <c r="U482" s="236"/>
      <c r="V482" s="236"/>
      <c r="W482" s="244"/>
      <c r="X482" s="244"/>
      <c r="Y482" s="237"/>
      <c r="Z482" s="244"/>
      <c r="AA482" s="244"/>
      <c r="AB482" s="244"/>
      <c r="AC482" s="244"/>
      <c r="AD482" s="234"/>
      <c r="AE482" s="234"/>
      <c r="AF482" s="238"/>
      <c r="AG482" s="239"/>
      <c r="AH482" s="238"/>
      <c r="AI482" s="238"/>
      <c r="AJ482" s="234"/>
      <c r="AK482" s="234"/>
      <c r="AL482" s="234"/>
      <c r="AM482" s="234"/>
      <c r="AN482" s="234"/>
      <c r="AO482" s="234"/>
    </row>
    <row r="483" ht="15.75" customHeight="1">
      <c r="A483" s="91"/>
      <c r="B483" s="91"/>
      <c r="C483" s="220"/>
      <c r="D483" s="91"/>
      <c r="E483" s="221"/>
      <c r="F483" s="91"/>
      <c r="G483" s="91"/>
      <c r="H483" s="242"/>
      <c r="I483" s="223"/>
      <c r="J483" s="57"/>
      <c r="K483" s="153"/>
      <c r="L483" s="243"/>
      <c r="M483" s="234"/>
      <c r="N483" s="235"/>
      <c r="O483" s="236"/>
      <c r="P483" s="236"/>
      <c r="Q483" s="236"/>
      <c r="R483" s="236"/>
      <c r="S483" s="236"/>
      <c r="T483" s="236"/>
      <c r="U483" s="236"/>
      <c r="V483" s="236"/>
      <c r="W483" s="244"/>
      <c r="X483" s="244"/>
      <c r="Y483" s="237"/>
      <c r="Z483" s="244"/>
      <c r="AA483" s="244"/>
      <c r="AB483" s="244"/>
      <c r="AC483" s="244"/>
      <c r="AD483" s="234"/>
      <c r="AE483" s="234"/>
      <c r="AF483" s="238"/>
      <c r="AG483" s="239"/>
      <c r="AH483" s="238"/>
      <c r="AI483" s="238"/>
      <c r="AJ483" s="234"/>
      <c r="AK483" s="234"/>
      <c r="AL483" s="234"/>
      <c r="AM483" s="234"/>
      <c r="AN483" s="234"/>
      <c r="AO483" s="234"/>
    </row>
    <row r="484" ht="15.75" customHeight="1">
      <c r="A484" s="91"/>
      <c r="B484" s="91"/>
      <c r="C484" s="220"/>
      <c r="D484" s="91"/>
      <c r="E484" s="221"/>
      <c r="F484" s="91"/>
      <c r="G484" s="91"/>
      <c r="H484" s="242"/>
      <c r="I484" s="223"/>
      <c r="J484" s="57"/>
      <c r="K484" s="153"/>
      <c r="L484" s="243"/>
      <c r="M484" s="234"/>
      <c r="N484" s="235"/>
      <c r="O484" s="236"/>
      <c r="P484" s="236"/>
      <c r="Q484" s="236"/>
      <c r="R484" s="236"/>
      <c r="S484" s="236"/>
      <c r="T484" s="236"/>
      <c r="U484" s="236"/>
      <c r="V484" s="236"/>
      <c r="W484" s="244"/>
      <c r="X484" s="244"/>
      <c r="Y484" s="237"/>
      <c r="Z484" s="244"/>
      <c r="AA484" s="244"/>
      <c r="AB484" s="244"/>
      <c r="AC484" s="244"/>
      <c r="AD484" s="234"/>
      <c r="AE484" s="234"/>
      <c r="AF484" s="238"/>
      <c r="AG484" s="239"/>
      <c r="AH484" s="238"/>
      <c r="AI484" s="238"/>
      <c r="AJ484" s="234"/>
      <c r="AK484" s="234"/>
      <c r="AL484" s="234"/>
      <c r="AM484" s="234"/>
      <c r="AN484" s="234"/>
      <c r="AO484" s="234"/>
    </row>
    <row r="485" ht="15.75" customHeight="1">
      <c r="A485" s="91"/>
      <c r="B485" s="91"/>
      <c r="C485" s="220"/>
      <c r="D485" s="91"/>
      <c r="E485" s="221"/>
      <c r="F485" s="91"/>
      <c r="G485" s="91"/>
      <c r="H485" s="242"/>
      <c r="I485" s="223"/>
      <c r="J485" s="57"/>
      <c r="K485" s="153"/>
      <c r="L485" s="243"/>
      <c r="M485" s="234"/>
      <c r="N485" s="235"/>
      <c r="O485" s="236"/>
      <c r="P485" s="236"/>
      <c r="Q485" s="236"/>
      <c r="R485" s="236"/>
      <c r="S485" s="236"/>
      <c r="T485" s="236"/>
      <c r="U485" s="236"/>
      <c r="V485" s="236"/>
      <c r="W485" s="244"/>
      <c r="X485" s="244"/>
      <c r="Y485" s="237"/>
      <c r="Z485" s="244"/>
      <c r="AA485" s="244"/>
      <c r="AB485" s="244"/>
      <c r="AC485" s="244"/>
      <c r="AD485" s="234"/>
      <c r="AE485" s="234"/>
      <c r="AF485" s="238"/>
      <c r="AG485" s="239"/>
      <c r="AH485" s="238"/>
      <c r="AI485" s="238"/>
      <c r="AJ485" s="234"/>
      <c r="AK485" s="234"/>
      <c r="AL485" s="234"/>
      <c r="AM485" s="234"/>
      <c r="AN485" s="234"/>
      <c r="AO485" s="234"/>
    </row>
    <row r="486" ht="15.75" customHeight="1">
      <c r="A486" s="91"/>
      <c r="B486" s="91"/>
      <c r="C486" s="220"/>
      <c r="D486" s="91"/>
      <c r="E486" s="221"/>
      <c r="F486" s="91"/>
      <c r="G486" s="91"/>
      <c r="H486" s="242"/>
      <c r="I486" s="223"/>
      <c r="J486" s="57"/>
      <c r="K486" s="153"/>
      <c r="L486" s="243"/>
      <c r="M486" s="234"/>
      <c r="N486" s="235"/>
      <c r="O486" s="236"/>
      <c r="P486" s="236"/>
      <c r="Q486" s="236"/>
      <c r="R486" s="236"/>
      <c r="S486" s="236"/>
      <c r="T486" s="236"/>
      <c r="U486" s="236"/>
      <c r="V486" s="236"/>
      <c r="W486" s="244"/>
      <c r="X486" s="244"/>
      <c r="Y486" s="237"/>
      <c r="Z486" s="244"/>
      <c r="AA486" s="244"/>
      <c r="AB486" s="244"/>
      <c r="AC486" s="244"/>
      <c r="AD486" s="234"/>
      <c r="AE486" s="234"/>
      <c r="AF486" s="238"/>
      <c r="AG486" s="239"/>
      <c r="AH486" s="238"/>
      <c r="AI486" s="238"/>
      <c r="AJ486" s="234"/>
      <c r="AK486" s="234"/>
      <c r="AL486" s="234"/>
      <c r="AM486" s="234"/>
      <c r="AN486" s="234"/>
      <c r="AO486" s="234"/>
    </row>
    <row r="487" ht="15.75" customHeight="1">
      <c r="A487" s="91"/>
      <c r="B487" s="91"/>
      <c r="C487" s="220"/>
      <c r="D487" s="91"/>
      <c r="E487" s="221"/>
      <c r="F487" s="91"/>
      <c r="G487" s="91"/>
      <c r="H487" s="242"/>
      <c r="I487" s="223"/>
      <c r="J487" s="57"/>
      <c r="K487" s="153"/>
      <c r="L487" s="243"/>
      <c r="M487" s="234"/>
      <c r="N487" s="235"/>
      <c r="O487" s="236"/>
      <c r="P487" s="236"/>
      <c r="Q487" s="236"/>
      <c r="R487" s="236"/>
      <c r="S487" s="236"/>
      <c r="T487" s="236"/>
      <c r="U487" s="236"/>
      <c r="V487" s="236"/>
      <c r="W487" s="244"/>
      <c r="X487" s="244"/>
      <c r="Y487" s="237"/>
      <c r="Z487" s="244"/>
      <c r="AA487" s="244"/>
      <c r="AB487" s="244"/>
      <c r="AC487" s="244"/>
      <c r="AD487" s="234"/>
      <c r="AE487" s="234"/>
      <c r="AF487" s="238"/>
      <c r="AG487" s="239"/>
      <c r="AH487" s="238"/>
      <c r="AI487" s="238"/>
      <c r="AJ487" s="234"/>
      <c r="AK487" s="234"/>
      <c r="AL487" s="234"/>
      <c r="AM487" s="234"/>
      <c r="AN487" s="234"/>
      <c r="AO487" s="234"/>
    </row>
    <row r="488" ht="15.75" customHeight="1">
      <c r="A488" s="91"/>
      <c r="B488" s="91"/>
      <c r="C488" s="220"/>
      <c r="D488" s="91"/>
      <c r="E488" s="221"/>
      <c r="F488" s="91"/>
      <c r="G488" s="91"/>
      <c r="H488" s="242"/>
      <c r="I488" s="223"/>
      <c r="J488" s="57"/>
      <c r="K488" s="153"/>
      <c r="L488" s="243"/>
      <c r="M488" s="234"/>
      <c r="N488" s="235"/>
      <c r="O488" s="236"/>
      <c r="P488" s="236"/>
      <c r="Q488" s="236"/>
      <c r="R488" s="236"/>
      <c r="S488" s="236"/>
      <c r="T488" s="236"/>
      <c r="U488" s="236"/>
      <c r="V488" s="236"/>
      <c r="W488" s="244"/>
      <c r="X488" s="244"/>
      <c r="Y488" s="237"/>
      <c r="Z488" s="244"/>
      <c r="AA488" s="244"/>
      <c r="AB488" s="244"/>
      <c r="AC488" s="244"/>
      <c r="AD488" s="234"/>
      <c r="AE488" s="234"/>
      <c r="AF488" s="238"/>
      <c r="AG488" s="239"/>
      <c r="AH488" s="238"/>
      <c r="AI488" s="238"/>
      <c r="AJ488" s="234"/>
      <c r="AK488" s="234"/>
      <c r="AL488" s="234"/>
      <c r="AM488" s="234"/>
      <c r="AN488" s="234"/>
      <c r="AO488" s="234"/>
    </row>
    <row r="489" ht="15.75" customHeight="1">
      <c r="A489" s="91"/>
      <c r="B489" s="91"/>
      <c r="C489" s="220"/>
      <c r="D489" s="91"/>
      <c r="E489" s="221"/>
      <c r="F489" s="91"/>
      <c r="G489" s="91"/>
      <c r="H489" s="242"/>
      <c r="I489" s="223"/>
      <c r="J489" s="57"/>
      <c r="K489" s="153"/>
      <c r="L489" s="243"/>
      <c r="M489" s="234"/>
      <c r="N489" s="235"/>
      <c r="O489" s="236"/>
      <c r="P489" s="236"/>
      <c r="Q489" s="236"/>
      <c r="R489" s="236"/>
      <c r="S489" s="236"/>
      <c r="T489" s="236"/>
      <c r="U489" s="236"/>
      <c r="V489" s="236"/>
      <c r="W489" s="244"/>
      <c r="X489" s="244"/>
      <c r="Y489" s="237"/>
      <c r="Z489" s="244"/>
      <c r="AA489" s="244"/>
      <c r="AB489" s="244"/>
      <c r="AC489" s="244"/>
      <c r="AD489" s="234"/>
      <c r="AE489" s="234"/>
      <c r="AF489" s="238"/>
      <c r="AG489" s="239"/>
      <c r="AH489" s="238"/>
      <c r="AI489" s="238"/>
      <c r="AJ489" s="234"/>
      <c r="AK489" s="234"/>
      <c r="AL489" s="234"/>
      <c r="AM489" s="234"/>
      <c r="AN489" s="234"/>
      <c r="AO489" s="234"/>
    </row>
    <row r="490" ht="15.75" customHeight="1">
      <c r="A490" s="91"/>
      <c r="B490" s="91"/>
      <c r="C490" s="220"/>
      <c r="D490" s="91"/>
      <c r="E490" s="221"/>
      <c r="F490" s="91"/>
      <c r="G490" s="91"/>
      <c r="H490" s="242"/>
      <c r="I490" s="223"/>
      <c r="J490" s="57"/>
      <c r="K490" s="153"/>
      <c r="L490" s="243"/>
      <c r="M490" s="234"/>
      <c r="N490" s="235"/>
      <c r="O490" s="236"/>
      <c r="P490" s="236"/>
      <c r="Q490" s="236"/>
      <c r="R490" s="236"/>
      <c r="S490" s="236"/>
      <c r="T490" s="236"/>
      <c r="U490" s="236"/>
      <c r="V490" s="236"/>
      <c r="W490" s="244"/>
      <c r="X490" s="244"/>
      <c r="Y490" s="237"/>
      <c r="Z490" s="244"/>
      <c r="AA490" s="244"/>
      <c r="AB490" s="244"/>
      <c r="AC490" s="244"/>
      <c r="AD490" s="234"/>
      <c r="AE490" s="234"/>
      <c r="AF490" s="238"/>
      <c r="AG490" s="239"/>
      <c r="AH490" s="238"/>
      <c r="AI490" s="238"/>
      <c r="AJ490" s="234"/>
      <c r="AK490" s="234"/>
      <c r="AL490" s="234"/>
      <c r="AM490" s="234"/>
      <c r="AN490" s="234"/>
      <c r="AO490" s="234"/>
    </row>
    <row r="491" ht="15.75" customHeight="1">
      <c r="A491" s="91"/>
      <c r="B491" s="91"/>
      <c r="C491" s="220"/>
      <c r="D491" s="91"/>
      <c r="E491" s="221"/>
      <c r="F491" s="91"/>
      <c r="G491" s="91"/>
      <c r="H491" s="242"/>
      <c r="I491" s="223"/>
      <c r="J491" s="57"/>
      <c r="K491" s="153"/>
      <c r="L491" s="243"/>
      <c r="M491" s="234"/>
      <c r="N491" s="235"/>
      <c r="O491" s="236"/>
      <c r="P491" s="236"/>
      <c r="Q491" s="236"/>
      <c r="R491" s="236"/>
      <c r="S491" s="236"/>
      <c r="T491" s="236"/>
      <c r="U491" s="236"/>
      <c r="V491" s="236"/>
      <c r="W491" s="244"/>
      <c r="X491" s="244"/>
      <c r="Y491" s="237"/>
      <c r="Z491" s="244"/>
      <c r="AA491" s="244"/>
      <c r="AB491" s="244"/>
      <c r="AC491" s="244"/>
      <c r="AD491" s="234"/>
      <c r="AE491" s="234"/>
      <c r="AF491" s="238"/>
      <c r="AG491" s="239"/>
      <c r="AH491" s="238"/>
      <c r="AI491" s="238"/>
      <c r="AJ491" s="234"/>
      <c r="AK491" s="234"/>
      <c r="AL491" s="234"/>
      <c r="AM491" s="234"/>
      <c r="AN491" s="234"/>
      <c r="AO491" s="234"/>
    </row>
    <row r="492" ht="15.75" customHeight="1">
      <c r="A492" s="91"/>
      <c r="B492" s="91"/>
      <c r="C492" s="220"/>
      <c r="D492" s="91"/>
      <c r="E492" s="221"/>
      <c r="F492" s="91"/>
      <c r="G492" s="91"/>
      <c r="H492" s="242"/>
      <c r="I492" s="223"/>
      <c r="J492" s="57"/>
      <c r="K492" s="153"/>
      <c r="L492" s="243"/>
      <c r="M492" s="234"/>
      <c r="N492" s="235"/>
      <c r="O492" s="236"/>
      <c r="P492" s="236"/>
      <c r="Q492" s="236"/>
      <c r="R492" s="236"/>
      <c r="S492" s="236"/>
      <c r="T492" s="236"/>
      <c r="U492" s="236"/>
      <c r="V492" s="236"/>
      <c r="W492" s="244"/>
      <c r="X492" s="244"/>
      <c r="Y492" s="237"/>
      <c r="Z492" s="244"/>
      <c r="AA492" s="244"/>
      <c r="AB492" s="244"/>
      <c r="AC492" s="244"/>
      <c r="AD492" s="234"/>
      <c r="AE492" s="234"/>
      <c r="AF492" s="238"/>
      <c r="AG492" s="239"/>
      <c r="AH492" s="238"/>
      <c r="AI492" s="238"/>
      <c r="AJ492" s="234"/>
      <c r="AK492" s="234"/>
      <c r="AL492" s="234"/>
      <c r="AM492" s="234"/>
      <c r="AN492" s="234"/>
      <c r="AO492" s="234"/>
    </row>
    <row r="493" ht="15.75" customHeight="1">
      <c r="A493" s="91"/>
      <c r="B493" s="91"/>
      <c r="C493" s="220"/>
      <c r="D493" s="91"/>
      <c r="E493" s="221"/>
      <c r="F493" s="91"/>
      <c r="G493" s="91"/>
      <c r="H493" s="242"/>
      <c r="I493" s="223"/>
      <c r="J493" s="57"/>
      <c r="K493" s="153"/>
      <c r="L493" s="243"/>
      <c r="M493" s="234"/>
      <c r="N493" s="235"/>
      <c r="O493" s="236"/>
      <c r="P493" s="236"/>
      <c r="Q493" s="236"/>
      <c r="R493" s="236"/>
      <c r="S493" s="236"/>
      <c r="T493" s="236"/>
      <c r="U493" s="236"/>
      <c r="V493" s="236"/>
      <c r="W493" s="244"/>
      <c r="X493" s="244"/>
      <c r="Y493" s="237"/>
      <c r="Z493" s="244"/>
      <c r="AA493" s="244"/>
      <c r="AB493" s="244"/>
      <c r="AC493" s="244"/>
      <c r="AD493" s="234"/>
      <c r="AE493" s="234"/>
      <c r="AF493" s="238"/>
      <c r="AG493" s="239"/>
      <c r="AH493" s="238"/>
      <c r="AI493" s="238"/>
      <c r="AJ493" s="234"/>
      <c r="AK493" s="234"/>
      <c r="AL493" s="234"/>
      <c r="AM493" s="234"/>
      <c r="AN493" s="234"/>
      <c r="AO493" s="234"/>
    </row>
    <row r="494" ht="15.75" customHeight="1">
      <c r="A494" s="91"/>
      <c r="B494" s="91"/>
      <c r="C494" s="220"/>
      <c r="D494" s="91"/>
      <c r="E494" s="221"/>
      <c r="F494" s="91"/>
      <c r="G494" s="91"/>
      <c r="H494" s="242"/>
      <c r="I494" s="223"/>
      <c r="J494" s="57"/>
      <c r="K494" s="153"/>
      <c r="L494" s="243"/>
      <c r="M494" s="234"/>
      <c r="N494" s="235"/>
      <c r="O494" s="236"/>
      <c r="P494" s="236"/>
      <c r="Q494" s="236"/>
      <c r="R494" s="236"/>
      <c r="S494" s="236"/>
      <c r="T494" s="236"/>
      <c r="U494" s="236"/>
      <c r="V494" s="236"/>
      <c r="W494" s="244"/>
      <c r="X494" s="244"/>
      <c r="Y494" s="237"/>
      <c r="Z494" s="244"/>
      <c r="AA494" s="244"/>
      <c r="AB494" s="244"/>
      <c r="AC494" s="244"/>
      <c r="AD494" s="234"/>
      <c r="AE494" s="234"/>
      <c r="AF494" s="238"/>
      <c r="AG494" s="239"/>
      <c r="AH494" s="238"/>
      <c r="AI494" s="238"/>
      <c r="AJ494" s="234"/>
      <c r="AK494" s="234"/>
      <c r="AL494" s="234"/>
      <c r="AM494" s="234"/>
      <c r="AN494" s="234"/>
      <c r="AO494" s="234"/>
    </row>
    <row r="495" ht="15.75" customHeight="1">
      <c r="A495" s="91"/>
      <c r="B495" s="91"/>
      <c r="C495" s="220"/>
      <c r="D495" s="91"/>
      <c r="E495" s="221"/>
      <c r="F495" s="91"/>
      <c r="G495" s="91"/>
      <c r="H495" s="242"/>
      <c r="I495" s="223"/>
      <c r="J495" s="57"/>
      <c r="K495" s="153"/>
      <c r="L495" s="243"/>
      <c r="M495" s="234"/>
      <c r="N495" s="235"/>
      <c r="O495" s="236"/>
      <c r="P495" s="236"/>
      <c r="Q495" s="236"/>
      <c r="R495" s="236"/>
      <c r="S495" s="236"/>
      <c r="T495" s="236"/>
      <c r="U495" s="236"/>
      <c r="V495" s="236"/>
      <c r="W495" s="244"/>
      <c r="X495" s="244"/>
      <c r="Y495" s="237"/>
      <c r="Z495" s="244"/>
      <c r="AA495" s="244"/>
      <c r="AB495" s="244"/>
      <c r="AC495" s="244"/>
      <c r="AD495" s="234"/>
      <c r="AE495" s="234"/>
      <c r="AF495" s="238"/>
      <c r="AG495" s="239"/>
      <c r="AH495" s="238"/>
      <c r="AI495" s="238"/>
      <c r="AJ495" s="234"/>
      <c r="AK495" s="234"/>
      <c r="AL495" s="234"/>
      <c r="AM495" s="234"/>
      <c r="AN495" s="234"/>
      <c r="AO495" s="234"/>
    </row>
    <row r="496" ht="15.75" customHeight="1">
      <c r="A496" s="91"/>
      <c r="B496" s="91"/>
      <c r="C496" s="220"/>
      <c r="D496" s="91"/>
      <c r="E496" s="221"/>
      <c r="F496" s="91"/>
      <c r="G496" s="91"/>
      <c r="H496" s="242"/>
      <c r="I496" s="223"/>
      <c r="J496" s="57"/>
      <c r="K496" s="153"/>
      <c r="L496" s="243"/>
      <c r="M496" s="234"/>
      <c r="N496" s="235"/>
      <c r="O496" s="236"/>
      <c r="P496" s="236"/>
      <c r="Q496" s="236"/>
      <c r="R496" s="236"/>
      <c r="S496" s="236"/>
      <c r="T496" s="236"/>
      <c r="U496" s="236"/>
      <c r="V496" s="236"/>
      <c r="W496" s="244"/>
      <c r="X496" s="244"/>
      <c r="Y496" s="237"/>
      <c r="Z496" s="244"/>
      <c r="AA496" s="244"/>
      <c r="AB496" s="244"/>
      <c r="AC496" s="244"/>
      <c r="AD496" s="234"/>
      <c r="AE496" s="234"/>
      <c r="AF496" s="238"/>
      <c r="AG496" s="239"/>
      <c r="AH496" s="238"/>
      <c r="AI496" s="238"/>
      <c r="AJ496" s="234"/>
      <c r="AK496" s="234"/>
      <c r="AL496" s="234"/>
      <c r="AM496" s="234"/>
      <c r="AN496" s="234"/>
      <c r="AO496" s="234"/>
    </row>
    <row r="497" ht="15.75" customHeight="1">
      <c r="A497" s="91"/>
      <c r="B497" s="91"/>
      <c r="C497" s="220"/>
      <c r="D497" s="91"/>
      <c r="E497" s="221"/>
      <c r="F497" s="91"/>
      <c r="G497" s="91"/>
      <c r="H497" s="242"/>
      <c r="I497" s="223"/>
      <c r="J497" s="57"/>
      <c r="K497" s="153"/>
      <c r="L497" s="243"/>
      <c r="M497" s="234"/>
      <c r="N497" s="235"/>
      <c r="O497" s="236"/>
      <c r="P497" s="236"/>
      <c r="Q497" s="236"/>
      <c r="R497" s="236"/>
      <c r="S497" s="236"/>
      <c r="T497" s="236"/>
      <c r="U497" s="236"/>
      <c r="V497" s="236"/>
      <c r="W497" s="244"/>
      <c r="X497" s="244"/>
      <c r="Y497" s="237"/>
      <c r="Z497" s="244"/>
      <c r="AA497" s="244"/>
      <c r="AB497" s="244"/>
      <c r="AC497" s="244"/>
      <c r="AD497" s="234"/>
      <c r="AE497" s="234"/>
      <c r="AF497" s="238"/>
      <c r="AG497" s="239"/>
      <c r="AH497" s="238"/>
      <c r="AI497" s="238"/>
      <c r="AJ497" s="234"/>
      <c r="AK497" s="234"/>
      <c r="AL497" s="234"/>
      <c r="AM497" s="234"/>
      <c r="AN497" s="234"/>
      <c r="AO497" s="234"/>
    </row>
    <row r="498" ht="15.75" customHeight="1">
      <c r="A498" s="91"/>
      <c r="B498" s="91"/>
      <c r="C498" s="220"/>
      <c r="D498" s="91"/>
      <c r="E498" s="221"/>
      <c r="F498" s="91"/>
      <c r="G498" s="91"/>
      <c r="H498" s="242"/>
      <c r="I498" s="223"/>
      <c r="J498" s="57"/>
      <c r="K498" s="153"/>
      <c r="L498" s="243"/>
      <c r="M498" s="234"/>
      <c r="N498" s="235"/>
      <c r="O498" s="236"/>
      <c r="P498" s="236"/>
      <c r="Q498" s="236"/>
      <c r="R498" s="236"/>
      <c r="S498" s="236"/>
      <c r="T498" s="236"/>
      <c r="U498" s="236"/>
      <c r="V498" s="236"/>
      <c r="W498" s="244"/>
      <c r="X498" s="244"/>
      <c r="Y498" s="237"/>
      <c r="Z498" s="244"/>
      <c r="AA498" s="244"/>
      <c r="AB498" s="244"/>
      <c r="AC498" s="244"/>
      <c r="AD498" s="234"/>
      <c r="AE498" s="234"/>
      <c r="AF498" s="238"/>
      <c r="AG498" s="239"/>
      <c r="AH498" s="238"/>
      <c r="AI498" s="238"/>
      <c r="AJ498" s="234"/>
      <c r="AK498" s="234"/>
      <c r="AL498" s="234"/>
      <c r="AM498" s="234"/>
      <c r="AN498" s="234"/>
      <c r="AO498" s="234"/>
    </row>
    <row r="499" ht="15.75" customHeight="1">
      <c r="A499" s="91"/>
      <c r="B499" s="91"/>
      <c r="C499" s="220"/>
      <c r="D499" s="91"/>
      <c r="E499" s="221"/>
      <c r="F499" s="91"/>
      <c r="G499" s="91"/>
      <c r="H499" s="242"/>
      <c r="I499" s="223"/>
      <c r="J499" s="57"/>
      <c r="K499" s="153"/>
      <c r="L499" s="243"/>
      <c r="M499" s="234"/>
      <c r="N499" s="235"/>
      <c r="O499" s="236"/>
      <c r="P499" s="236"/>
      <c r="Q499" s="236"/>
      <c r="R499" s="236"/>
      <c r="S499" s="236"/>
      <c r="T499" s="236"/>
      <c r="U499" s="236"/>
      <c r="V499" s="236"/>
      <c r="W499" s="244"/>
      <c r="X499" s="244"/>
      <c r="Y499" s="237"/>
      <c r="Z499" s="244"/>
      <c r="AA499" s="244"/>
      <c r="AB499" s="244"/>
      <c r="AC499" s="244"/>
      <c r="AD499" s="234"/>
      <c r="AE499" s="234"/>
      <c r="AF499" s="238"/>
      <c r="AG499" s="239"/>
      <c r="AH499" s="238"/>
      <c r="AI499" s="238"/>
      <c r="AJ499" s="234"/>
      <c r="AK499" s="234"/>
      <c r="AL499" s="234"/>
      <c r="AM499" s="234"/>
      <c r="AN499" s="234"/>
      <c r="AO499" s="234"/>
    </row>
    <row r="500" ht="15.75" customHeight="1">
      <c r="A500" s="91"/>
      <c r="B500" s="91"/>
      <c r="C500" s="220"/>
      <c r="D500" s="91"/>
      <c r="E500" s="221"/>
      <c r="F500" s="91"/>
      <c r="G500" s="91"/>
      <c r="H500" s="242"/>
      <c r="I500" s="223"/>
      <c r="J500" s="57"/>
      <c r="K500" s="153"/>
      <c r="L500" s="243"/>
      <c r="M500" s="234"/>
      <c r="N500" s="235"/>
      <c r="O500" s="236"/>
      <c r="P500" s="236"/>
      <c r="Q500" s="236"/>
      <c r="R500" s="236"/>
      <c r="S500" s="236"/>
      <c r="T500" s="236"/>
      <c r="U500" s="236"/>
      <c r="V500" s="236"/>
      <c r="W500" s="244"/>
      <c r="X500" s="244"/>
      <c r="Y500" s="237"/>
      <c r="Z500" s="244"/>
      <c r="AA500" s="244"/>
      <c r="AB500" s="244"/>
      <c r="AC500" s="244"/>
      <c r="AD500" s="234"/>
      <c r="AE500" s="234"/>
      <c r="AF500" s="238"/>
      <c r="AG500" s="239"/>
      <c r="AH500" s="238"/>
      <c r="AI500" s="238"/>
      <c r="AJ500" s="234"/>
      <c r="AK500" s="234"/>
      <c r="AL500" s="234"/>
      <c r="AM500" s="234"/>
      <c r="AN500" s="234"/>
      <c r="AO500" s="234"/>
    </row>
    <row r="501" ht="15.75" customHeight="1">
      <c r="A501" s="91"/>
      <c r="B501" s="91"/>
      <c r="C501" s="220"/>
      <c r="D501" s="91"/>
      <c r="E501" s="221"/>
      <c r="F501" s="91"/>
      <c r="G501" s="91"/>
      <c r="H501" s="242"/>
      <c r="I501" s="223"/>
      <c r="J501" s="57"/>
      <c r="K501" s="153"/>
      <c r="L501" s="243"/>
      <c r="M501" s="234"/>
      <c r="N501" s="235"/>
      <c r="O501" s="236"/>
      <c r="P501" s="236"/>
      <c r="Q501" s="236"/>
      <c r="R501" s="236"/>
      <c r="S501" s="236"/>
      <c r="T501" s="236"/>
      <c r="U501" s="236"/>
      <c r="V501" s="236"/>
      <c r="W501" s="244"/>
      <c r="X501" s="244"/>
      <c r="Y501" s="237"/>
      <c r="Z501" s="244"/>
      <c r="AA501" s="244"/>
      <c r="AB501" s="244"/>
      <c r="AC501" s="244"/>
      <c r="AD501" s="234"/>
      <c r="AE501" s="234"/>
      <c r="AF501" s="238"/>
      <c r="AG501" s="239"/>
      <c r="AH501" s="238"/>
      <c r="AI501" s="238"/>
      <c r="AJ501" s="234"/>
      <c r="AK501" s="234"/>
      <c r="AL501" s="234"/>
      <c r="AM501" s="234"/>
      <c r="AN501" s="234"/>
      <c r="AO501" s="234"/>
    </row>
    <row r="502" ht="15.75" customHeight="1">
      <c r="A502" s="91"/>
      <c r="B502" s="91"/>
      <c r="C502" s="220"/>
      <c r="D502" s="91"/>
      <c r="E502" s="221"/>
      <c r="F502" s="91"/>
      <c r="G502" s="91"/>
      <c r="H502" s="242"/>
      <c r="I502" s="223"/>
      <c r="J502" s="57"/>
      <c r="K502" s="153"/>
      <c r="L502" s="243"/>
      <c r="M502" s="234"/>
      <c r="N502" s="235"/>
      <c r="O502" s="236"/>
      <c r="P502" s="236"/>
      <c r="Q502" s="236"/>
      <c r="R502" s="236"/>
      <c r="S502" s="236"/>
      <c r="T502" s="236"/>
      <c r="U502" s="236"/>
      <c r="V502" s="236"/>
      <c r="W502" s="244"/>
      <c r="X502" s="244"/>
      <c r="Y502" s="237"/>
      <c r="Z502" s="244"/>
      <c r="AA502" s="244"/>
      <c r="AB502" s="244"/>
      <c r="AC502" s="244"/>
      <c r="AD502" s="234"/>
      <c r="AE502" s="234"/>
      <c r="AF502" s="238"/>
      <c r="AG502" s="239"/>
      <c r="AH502" s="238"/>
      <c r="AI502" s="238"/>
      <c r="AJ502" s="234"/>
      <c r="AK502" s="234"/>
      <c r="AL502" s="234"/>
      <c r="AM502" s="234"/>
      <c r="AN502" s="234"/>
      <c r="AO502" s="234"/>
    </row>
    <row r="503" ht="15.75" customHeight="1">
      <c r="A503" s="91"/>
      <c r="B503" s="91"/>
      <c r="C503" s="220"/>
      <c r="D503" s="91"/>
      <c r="E503" s="221"/>
      <c r="F503" s="91"/>
      <c r="G503" s="91"/>
      <c r="H503" s="242"/>
      <c r="I503" s="223"/>
      <c r="J503" s="57"/>
      <c r="K503" s="153"/>
      <c r="L503" s="243"/>
      <c r="M503" s="234"/>
      <c r="N503" s="235"/>
      <c r="O503" s="236"/>
      <c r="P503" s="236"/>
      <c r="Q503" s="236"/>
      <c r="R503" s="236"/>
      <c r="S503" s="236"/>
      <c r="T503" s="236"/>
      <c r="U503" s="236"/>
      <c r="V503" s="236"/>
      <c r="W503" s="244"/>
      <c r="X503" s="244"/>
      <c r="Y503" s="237"/>
      <c r="Z503" s="244"/>
      <c r="AA503" s="244"/>
      <c r="AB503" s="244"/>
      <c r="AC503" s="244"/>
      <c r="AD503" s="234"/>
      <c r="AE503" s="234"/>
      <c r="AF503" s="238"/>
      <c r="AG503" s="239"/>
      <c r="AH503" s="238"/>
      <c r="AI503" s="238"/>
      <c r="AJ503" s="234"/>
      <c r="AK503" s="234"/>
      <c r="AL503" s="234"/>
      <c r="AM503" s="234"/>
      <c r="AN503" s="234"/>
      <c r="AO503" s="234"/>
    </row>
    <row r="504" ht="15.75" customHeight="1">
      <c r="A504" s="91"/>
      <c r="B504" s="91"/>
      <c r="C504" s="220"/>
      <c r="D504" s="91"/>
      <c r="E504" s="221"/>
      <c r="F504" s="91"/>
      <c r="G504" s="91"/>
      <c r="H504" s="242"/>
      <c r="I504" s="223"/>
      <c r="J504" s="57"/>
      <c r="K504" s="153"/>
      <c r="L504" s="243"/>
      <c r="M504" s="234"/>
      <c r="N504" s="235"/>
      <c r="O504" s="236"/>
      <c r="P504" s="236"/>
      <c r="Q504" s="236"/>
      <c r="R504" s="236"/>
      <c r="S504" s="236"/>
      <c r="T504" s="236"/>
      <c r="U504" s="236"/>
      <c r="V504" s="236"/>
      <c r="W504" s="244"/>
      <c r="X504" s="244"/>
      <c r="Y504" s="237"/>
      <c r="Z504" s="244"/>
      <c r="AA504" s="244"/>
      <c r="AB504" s="244"/>
      <c r="AC504" s="244"/>
      <c r="AD504" s="234"/>
      <c r="AE504" s="234"/>
      <c r="AF504" s="238"/>
      <c r="AG504" s="239"/>
      <c r="AH504" s="238"/>
      <c r="AI504" s="238"/>
      <c r="AJ504" s="234"/>
      <c r="AK504" s="234"/>
      <c r="AL504" s="234"/>
      <c r="AM504" s="234"/>
      <c r="AN504" s="234"/>
      <c r="AO504" s="234"/>
    </row>
    <row r="505" ht="15.75" customHeight="1">
      <c r="A505" s="91"/>
      <c r="B505" s="91"/>
      <c r="C505" s="220"/>
      <c r="D505" s="91"/>
      <c r="E505" s="221"/>
      <c r="F505" s="91"/>
      <c r="G505" s="91"/>
      <c r="H505" s="242"/>
      <c r="I505" s="223"/>
      <c r="J505" s="57"/>
      <c r="K505" s="153"/>
      <c r="L505" s="243"/>
      <c r="M505" s="234"/>
      <c r="N505" s="235"/>
      <c r="O505" s="236"/>
      <c r="P505" s="236"/>
      <c r="Q505" s="236"/>
      <c r="R505" s="236"/>
      <c r="S505" s="236"/>
      <c r="T505" s="236"/>
      <c r="U505" s="236"/>
      <c r="V505" s="236"/>
      <c r="W505" s="244"/>
      <c r="X505" s="244"/>
      <c r="Y505" s="237"/>
      <c r="Z505" s="244"/>
      <c r="AA505" s="244"/>
      <c r="AB505" s="244"/>
      <c r="AC505" s="244"/>
      <c r="AD505" s="234"/>
      <c r="AE505" s="234"/>
      <c r="AF505" s="238"/>
      <c r="AG505" s="239"/>
      <c r="AH505" s="238"/>
      <c r="AI505" s="238"/>
      <c r="AJ505" s="234"/>
      <c r="AK505" s="234"/>
      <c r="AL505" s="234"/>
      <c r="AM505" s="234"/>
      <c r="AN505" s="234"/>
      <c r="AO505" s="234"/>
    </row>
    <row r="506" ht="15.75" customHeight="1">
      <c r="A506" s="91"/>
      <c r="B506" s="91"/>
      <c r="C506" s="220"/>
      <c r="D506" s="91"/>
      <c r="E506" s="221"/>
      <c r="F506" s="91"/>
      <c r="G506" s="91"/>
      <c r="H506" s="242"/>
      <c r="I506" s="223"/>
      <c r="J506" s="57"/>
      <c r="K506" s="153"/>
      <c r="L506" s="243"/>
      <c r="M506" s="234"/>
      <c r="N506" s="235"/>
      <c r="O506" s="236"/>
      <c r="P506" s="236"/>
      <c r="Q506" s="236"/>
      <c r="R506" s="236"/>
      <c r="S506" s="236"/>
      <c r="T506" s="236"/>
      <c r="U506" s="236"/>
      <c r="V506" s="236"/>
      <c r="W506" s="244"/>
      <c r="X506" s="244"/>
      <c r="Y506" s="237"/>
      <c r="Z506" s="244"/>
      <c r="AA506" s="244"/>
      <c r="AB506" s="244"/>
      <c r="AC506" s="244"/>
      <c r="AD506" s="234"/>
      <c r="AE506" s="234"/>
      <c r="AF506" s="238"/>
      <c r="AG506" s="239"/>
      <c r="AH506" s="238"/>
      <c r="AI506" s="238"/>
      <c r="AJ506" s="234"/>
      <c r="AK506" s="234"/>
      <c r="AL506" s="234"/>
      <c r="AM506" s="234"/>
      <c r="AN506" s="234"/>
      <c r="AO506" s="234"/>
    </row>
    <row r="507" ht="15.75" customHeight="1">
      <c r="A507" s="91"/>
      <c r="B507" s="91"/>
      <c r="C507" s="220"/>
      <c r="D507" s="91"/>
      <c r="E507" s="221"/>
      <c r="F507" s="91"/>
      <c r="G507" s="91"/>
      <c r="H507" s="242"/>
      <c r="I507" s="223"/>
      <c r="J507" s="57"/>
      <c r="K507" s="153"/>
      <c r="L507" s="243"/>
      <c r="M507" s="234"/>
      <c r="N507" s="235"/>
      <c r="O507" s="236"/>
      <c r="P507" s="236"/>
      <c r="Q507" s="236"/>
      <c r="R507" s="236"/>
      <c r="S507" s="236"/>
      <c r="T507" s="236"/>
      <c r="U507" s="236"/>
      <c r="V507" s="236"/>
      <c r="W507" s="244"/>
      <c r="X507" s="244"/>
      <c r="Y507" s="237"/>
      <c r="Z507" s="244"/>
      <c r="AA507" s="244"/>
      <c r="AB507" s="244"/>
      <c r="AC507" s="244"/>
      <c r="AD507" s="234"/>
      <c r="AE507" s="234"/>
      <c r="AF507" s="238"/>
      <c r="AG507" s="239"/>
      <c r="AH507" s="238"/>
      <c r="AI507" s="238"/>
      <c r="AJ507" s="234"/>
      <c r="AK507" s="234"/>
      <c r="AL507" s="234"/>
      <c r="AM507" s="234"/>
      <c r="AN507" s="234"/>
      <c r="AO507" s="234"/>
    </row>
    <row r="508" ht="15.75" customHeight="1">
      <c r="A508" s="91"/>
      <c r="B508" s="91"/>
      <c r="C508" s="220"/>
      <c r="D508" s="91"/>
      <c r="E508" s="221"/>
      <c r="F508" s="91"/>
      <c r="G508" s="91"/>
      <c r="H508" s="242"/>
      <c r="I508" s="223"/>
      <c r="J508" s="57"/>
      <c r="K508" s="153"/>
      <c r="L508" s="243"/>
      <c r="M508" s="234"/>
      <c r="N508" s="235"/>
      <c r="O508" s="236"/>
      <c r="P508" s="236"/>
      <c r="Q508" s="236"/>
      <c r="R508" s="236"/>
      <c r="S508" s="236"/>
      <c r="T508" s="236"/>
      <c r="U508" s="236"/>
      <c r="V508" s="236"/>
      <c r="W508" s="244"/>
      <c r="X508" s="244"/>
      <c r="Y508" s="237"/>
      <c r="Z508" s="244"/>
      <c r="AA508" s="244"/>
      <c r="AB508" s="244"/>
      <c r="AC508" s="244"/>
      <c r="AD508" s="234"/>
      <c r="AE508" s="234"/>
      <c r="AF508" s="238"/>
      <c r="AG508" s="239"/>
      <c r="AH508" s="238"/>
      <c r="AI508" s="238"/>
      <c r="AJ508" s="234"/>
      <c r="AK508" s="234"/>
      <c r="AL508" s="234"/>
      <c r="AM508" s="234"/>
      <c r="AN508" s="234"/>
      <c r="AO508" s="234"/>
    </row>
    <row r="509" ht="15.75" customHeight="1">
      <c r="A509" s="91"/>
      <c r="B509" s="91"/>
      <c r="C509" s="220"/>
      <c r="D509" s="91"/>
      <c r="E509" s="221"/>
      <c r="F509" s="91"/>
      <c r="G509" s="91"/>
      <c r="H509" s="242"/>
      <c r="I509" s="223"/>
      <c r="J509" s="57"/>
      <c r="K509" s="153"/>
      <c r="L509" s="243"/>
      <c r="M509" s="234"/>
      <c r="N509" s="235"/>
      <c r="O509" s="236"/>
      <c r="P509" s="236"/>
      <c r="Q509" s="236"/>
      <c r="R509" s="236"/>
      <c r="S509" s="236"/>
      <c r="T509" s="236"/>
      <c r="U509" s="236"/>
      <c r="V509" s="236"/>
      <c r="W509" s="244"/>
      <c r="X509" s="244"/>
      <c r="Y509" s="237"/>
      <c r="Z509" s="244"/>
      <c r="AA509" s="244"/>
      <c r="AB509" s="244"/>
      <c r="AC509" s="244"/>
      <c r="AD509" s="234"/>
      <c r="AE509" s="234"/>
      <c r="AF509" s="238"/>
      <c r="AG509" s="239"/>
      <c r="AH509" s="238"/>
      <c r="AI509" s="238"/>
      <c r="AJ509" s="234"/>
      <c r="AK509" s="234"/>
      <c r="AL509" s="234"/>
      <c r="AM509" s="234"/>
      <c r="AN509" s="234"/>
      <c r="AO509" s="234"/>
    </row>
    <row r="510" ht="15.75" customHeight="1">
      <c r="A510" s="91"/>
      <c r="B510" s="91"/>
      <c r="C510" s="220"/>
      <c r="D510" s="91"/>
      <c r="E510" s="221"/>
      <c r="F510" s="91"/>
      <c r="G510" s="91"/>
      <c r="H510" s="242"/>
      <c r="I510" s="223"/>
      <c r="J510" s="57"/>
      <c r="K510" s="153"/>
      <c r="L510" s="243"/>
      <c r="M510" s="234"/>
      <c r="N510" s="235"/>
      <c r="O510" s="236"/>
      <c r="P510" s="236"/>
      <c r="Q510" s="236"/>
      <c r="R510" s="236"/>
      <c r="S510" s="236"/>
      <c r="T510" s="236"/>
      <c r="U510" s="236"/>
      <c r="V510" s="236"/>
      <c r="W510" s="244"/>
      <c r="X510" s="244"/>
      <c r="Y510" s="237"/>
      <c r="Z510" s="244"/>
      <c r="AA510" s="244"/>
      <c r="AB510" s="244"/>
      <c r="AC510" s="244"/>
      <c r="AD510" s="234"/>
      <c r="AE510" s="234"/>
      <c r="AF510" s="238"/>
      <c r="AG510" s="239"/>
      <c r="AH510" s="238"/>
      <c r="AI510" s="238"/>
      <c r="AJ510" s="234"/>
      <c r="AK510" s="234"/>
      <c r="AL510" s="234"/>
      <c r="AM510" s="234"/>
      <c r="AN510" s="234"/>
      <c r="AO510" s="234"/>
    </row>
    <row r="511" ht="15.75" customHeight="1">
      <c r="A511" s="91"/>
      <c r="B511" s="91"/>
      <c r="C511" s="220"/>
      <c r="D511" s="91"/>
      <c r="E511" s="221"/>
      <c r="F511" s="91"/>
      <c r="G511" s="91"/>
      <c r="H511" s="242"/>
      <c r="I511" s="223"/>
      <c r="J511" s="57"/>
      <c r="K511" s="153"/>
      <c r="L511" s="243"/>
      <c r="M511" s="234"/>
      <c r="N511" s="235"/>
      <c r="O511" s="236"/>
      <c r="P511" s="236"/>
      <c r="Q511" s="236"/>
      <c r="R511" s="236"/>
      <c r="S511" s="236"/>
      <c r="T511" s="236"/>
      <c r="U511" s="236"/>
      <c r="V511" s="236"/>
      <c r="W511" s="244"/>
      <c r="X511" s="244"/>
      <c r="Y511" s="237"/>
      <c r="Z511" s="244"/>
      <c r="AA511" s="244"/>
      <c r="AB511" s="244"/>
      <c r="AC511" s="244"/>
      <c r="AD511" s="234"/>
      <c r="AE511" s="234"/>
      <c r="AF511" s="238"/>
      <c r="AG511" s="239"/>
      <c r="AH511" s="238"/>
      <c r="AI511" s="238"/>
      <c r="AJ511" s="234"/>
      <c r="AK511" s="234"/>
      <c r="AL511" s="234"/>
      <c r="AM511" s="234"/>
      <c r="AN511" s="234"/>
      <c r="AO511" s="234"/>
    </row>
    <row r="512" ht="15.75" customHeight="1">
      <c r="A512" s="91"/>
      <c r="B512" s="91"/>
      <c r="C512" s="220"/>
      <c r="D512" s="91"/>
      <c r="E512" s="221"/>
      <c r="F512" s="91"/>
      <c r="G512" s="91"/>
      <c r="H512" s="242"/>
      <c r="I512" s="223"/>
      <c r="J512" s="57"/>
      <c r="K512" s="153"/>
      <c r="L512" s="243"/>
      <c r="M512" s="234"/>
      <c r="N512" s="235"/>
      <c r="O512" s="236"/>
      <c r="P512" s="236"/>
      <c r="Q512" s="236"/>
      <c r="R512" s="236"/>
      <c r="S512" s="236"/>
      <c r="T512" s="236"/>
      <c r="U512" s="236"/>
      <c r="V512" s="236"/>
      <c r="W512" s="244"/>
      <c r="X512" s="244"/>
      <c r="Y512" s="237"/>
      <c r="Z512" s="244"/>
      <c r="AA512" s="244"/>
      <c r="AB512" s="244"/>
      <c r="AC512" s="244"/>
      <c r="AD512" s="234"/>
      <c r="AE512" s="234"/>
      <c r="AF512" s="238"/>
      <c r="AG512" s="239"/>
      <c r="AH512" s="238"/>
      <c r="AI512" s="238"/>
      <c r="AJ512" s="234"/>
      <c r="AK512" s="234"/>
      <c r="AL512" s="234"/>
      <c r="AM512" s="234"/>
      <c r="AN512" s="234"/>
      <c r="AO512" s="234"/>
    </row>
    <row r="513" ht="15.75" customHeight="1">
      <c r="A513" s="91"/>
      <c r="B513" s="91"/>
      <c r="C513" s="220"/>
      <c r="D513" s="91"/>
      <c r="E513" s="221"/>
      <c r="F513" s="91"/>
      <c r="G513" s="91"/>
      <c r="H513" s="242"/>
      <c r="I513" s="223"/>
      <c r="J513" s="57"/>
      <c r="K513" s="153"/>
      <c r="L513" s="243"/>
      <c r="M513" s="234"/>
      <c r="N513" s="235"/>
      <c r="O513" s="236"/>
      <c r="P513" s="236"/>
      <c r="Q513" s="236"/>
      <c r="R513" s="236"/>
      <c r="S513" s="236"/>
      <c r="T513" s="236"/>
      <c r="U513" s="236"/>
      <c r="V513" s="236"/>
      <c r="W513" s="244"/>
      <c r="X513" s="244"/>
      <c r="Y513" s="237"/>
      <c r="Z513" s="244"/>
      <c r="AA513" s="244"/>
      <c r="AB513" s="244"/>
      <c r="AC513" s="244"/>
      <c r="AD513" s="234"/>
      <c r="AE513" s="234"/>
      <c r="AF513" s="238"/>
      <c r="AG513" s="239"/>
      <c r="AH513" s="238"/>
      <c r="AI513" s="238"/>
      <c r="AJ513" s="234"/>
      <c r="AK513" s="234"/>
      <c r="AL513" s="234"/>
      <c r="AM513" s="234"/>
      <c r="AN513" s="234"/>
      <c r="AO513" s="234"/>
    </row>
    <row r="514" ht="15.75" customHeight="1">
      <c r="A514" s="91"/>
      <c r="B514" s="91"/>
      <c r="C514" s="220"/>
      <c r="D514" s="91"/>
      <c r="E514" s="221"/>
      <c r="F514" s="91"/>
      <c r="G514" s="91"/>
      <c r="H514" s="242"/>
      <c r="I514" s="223"/>
      <c r="J514" s="57"/>
      <c r="K514" s="153"/>
      <c r="L514" s="243"/>
      <c r="M514" s="234"/>
      <c r="N514" s="235"/>
      <c r="O514" s="236"/>
      <c r="P514" s="236"/>
      <c r="Q514" s="236"/>
      <c r="R514" s="236"/>
      <c r="S514" s="236"/>
      <c r="T514" s="236"/>
      <c r="U514" s="236"/>
      <c r="V514" s="236"/>
      <c r="W514" s="244"/>
      <c r="X514" s="244"/>
      <c r="Y514" s="237"/>
      <c r="Z514" s="244"/>
      <c r="AA514" s="244"/>
      <c r="AB514" s="244"/>
      <c r="AC514" s="244"/>
      <c r="AD514" s="234"/>
      <c r="AE514" s="234"/>
      <c r="AF514" s="238"/>
      <c r="AG514" s="239"/>
      <c r="AH514" s="238"/>
      <c r="AI514" s="238"/>
      <c r="AJ514" s="234"/>
      <c r="AK514" s="234"/>
      <c r="AL514" s="234"/>
      <c r="AM514" s="234"/>
      <c r="AN514" s="234"/>
      <c r="AO514" s="234"/>
    </row>
    <row r="515" ht="15.75" customHeight="1">
      <c r="A515" s="91"/>
      <c r="B515" s="91"/>
      <c r="C515" s="220"/>
      <c r="D515" s="91"/>
      <c r="E515" s="221"/>
      <c r="F515" s="91"/>
      <c r="G515" s="91"/>
      <c r="H515" s="242"/>
      <c r="I515" s="223"/>
      <c r="J515" s="57"/>
      <c r="K515" s="153"/>
      <c r="L515" s="243"/>
      <c r="M515" s="234"/>
      <c r="N515" s="235"/>
      <c r="O515" s="236"/>
      <c r="P515" s="236"/>
      <c r="Q515" s="236"/>
      <c r="R515" s="236"/>
      <c r="S515" s="236"/>
      <c r="T515" s="236"/>
      <c r="U515" s="236"/>
      <c r="V515" s="236"/>
      <c r="W515" s="244"/>
      <c r="X515" s="244"/>
      <c r="Y515" s="237"/>
      <c r="Z515" s="244"/>
      <c r="AA515" s="244"/>
      <c r="AB515" s="244"/>
      <c r="AC515" s="244"/>
      <c r="AD515" s="234"/>
      <c r="AE515" s="234"/>
      <c r="AF515" s="238"/>
      <c r="AG515" s="239"/>
      <c r="AH515" s="238"/>
      <c r="AI515" s="238"/>
      <c r="AJ515" s="234"/>
      <c r="AK515" s="234"/>
      <c r="AL515" s="234"/>
      <c r="AM515" s="234"/>
      <c r="AN515" s="234"/>
      <c r="AO515" s="234"/>
    </row>
    <row r="516" ht="15.75" customHeight="1">
      <c r="A516" s="91"/>
      <c r="B516" s="91"/>
      <c r="C516" s="220"/>
      <c r="D516" s="91"/>
      <c r="E516" s="221"/>
      <c r="F516" s="91"/>
      <c r="G516" s="91"/>
      <c r="H516" s="242"/>
      <c r="I516" s="223"/>
      <c r="J516" s="57"/>
      <c r="K516" s="153"/>
      <c r="L516" s="243"/>
      <c r="M516" s="234"/>
      <c r="N516" s="235"/>
      <c r="O516" s="236"/>
      <c r="P516" s="236"/>
      <c r="Q516" s="236"/>
      <c r="R516" s="236"/>
      <c r="S516" s="236"/>
      <c r="T516" s="236"/>
      <c r="U516" s="236"/>
      <c r="V516" s="236"/>
      <c r="W516" s="244"/>
      <c r="X516" s="244"/>
      <c r="Y516" s="237"/>
      <c r="Z516" s="244"/>
      <c r="AA516" s="244"/>
      <c r="AB516" s="244"/>
      <c r="AC516" s="244"/>
      <c r="AD516" s="234"/>
      <c r="AE516" s="234"/>
      <c r="AF516" s="238"/>
      <c r="AG516" s="239"/>
      <c r="AH516" s="238"/>
      <c r="AI516" s="238"/>
      <c r="AJ516" s="234"/>
      <c r="AK516" s="234"/>
      <c r="AL516" s="234"/>
      <c r="AM516" s="234"/>
      <c r="AN516" s="234"/>
      <c r="AO516" s="234"/>
    </row>
    <row r="517" ht="15.75" customHeight="1">
      <c r="A517" s="91"/>
      <c r="B517" s="91"/>
      <c r="C517" s="220"/>
      <c r="D517" s="91"/>
      <c r="E517" s="221"/>
      <c r="F517" s="91"/>
      <c r="G517" s="91"/>
      <c r="H517" s="242"/>
      <c r="I517" s="223"/>
      <c r="J517" s="57"/>
      <c r="K517" s="153"/>
      <c r="L517" s="243"/>
      <c r="M517" s="234"/>
      <c r="N517" s="235"/>
      <c r="O517" s="236"/>
      <c r="P517" s="236"/>
      <c r="Q517" s="236"/>
      <c r="R517" s="236"/>
      <c r="S517" s="236"/>
      <c r="T517" s="236"/>
      <c r="U517" s="236"/>
      <c r="V517" s="236"/>
      <c r="W517" s="244"/>
      <c r="X517" s="244"/>
      <c r="Y517" s="237"/>
      <c r="Z517" s="244"/>
      <c r="AA517" s="244"/>
      <c r="AB517" s="244"/>
      <c r="AC517" s="244"/>
      <c r="AD517" s="234"/>
      <c r="AE517" s="234"/>
      <c r="AF517" s="238"/>
      <c r="AG517" s="239"/>
      <c r="AH517" s="238"/>
      <c r="AI517" s="238"/>
      <c r="AJ517" s="234"/>
      <c r="AK517" s="234"/>
      <c r="AL517" s="234"/>
      <c r="AM517" s="234"/>
      <c r="AN517" s="234"/>
      <c r="AO517" s="234"/>
    </row>
    <row r="518" ht="15.75" customHeight="1">
      <c r="A518" s="91"/>
      <c r="B518" s="91"/>
      <c r="C518" s="220"/>
      <c r="D518" s="91"/>
      <c r="E518" s="221"/>
      <c r="F518" s="91"/>
      <c r="G518" s="91"/>
      <c r="H518" s="242"/>
      <c r="I518" s="223"/>
      <c r="J518" s="57"/>
      <c r="K518" s="153"/>
      <c r="L518" s="243"/>
      <c r="M518" s="234"/>
      <c r="N518" s="235"/>
      <c r="O518" s="236"/>
      <c r="P518" s="236"/>
      <c r="Q518" s="236"/>
      <c r="R518" s="236"/>
      <c r="S518" s="236"/>
      <c r="T518" s="236"/>
      <c r="U518" s="236"/>
      <c r="V518" s="236"/>
      <c r="W518" s="244"/>
      <c r="X518" s="244"/>
      <c r="Y518" s="237"/>
      <c r="Z518" s="244"/>
      <c r="AA518" s="244"/>
      <c r="AB518" s="244"/>
      <c r="AC518" s="244"/>
      <c r="AD518" s="234"/>
      <c r="AE518" s="234"/>
      <c r="AF518" s="238"/>
      <c r="AG518" s="239"/>
      <c r="AH518" s="238"/>
      <c r="AI518" s="238"/>
      <c r="AJ518" s="234"/>
      <c r="AK518" s="234"/>
      <c r="AL518" s="234"/>
      <c r="AM518" s="234"/>
      <c r="AN518" s="234"/>
      <c r="AO518" s="234"/>
    </row>
    <row r="519" ht="15.75" customHeight="1">
      <c r="A519" s="91"/>
      <c r="B519" s="91"/>
      <c r="C519" s="220"/>
      <c r="D519" s="91"/>
      <c r="E519" s="221"/>
      <c r="F519" s="91"/>
      <c r="G519" s="91"/>
      <c r="H519" s="242"/>
      <c r="I519" s="223"/>
      <c r="J519" s="57"/>
      <c r="K519" s="153"/>
      <c r="L519" s="243"/>
      <c r="M519" s="234"/>
      <c r="N519" s="235"/>
      <c r="O519" s="236"/>
      <c r="P519" s="236"/>
      <c r="Q519" s="236"/>
      <c r="R519" s="236"/>
      <c r="S519" s="236"/>
      <c r="T519" s="236"/>
      <c r="U519" s="236"/>
      <c r="V519" s="236"/>
      <c r="W519" s="244"/>
      <c r="X519" s="244"/>
      <c r="Y519" s="237"/>
      <c r="Z519" s="244"/>
      <c r="AA519" s="244"/>
      <c r="AB519" s="244"/>
      <c r="AC519" s="244"/>
      <c r="AD519" s="234"/>
      <c r="AE519" s="234"/>
      <c r="AF519" s="238"/>
      <c r="AG519" s="239"/>
      <c r="AH519" s="238"/>
      <c r="AI519" s="238"/>
      <c r="AJ519" s="234"/>
      <c r="AK519" s="234"/>
      <c r="AL519" s="234"/>
      <c r="AM519" s="234"/>
      <c r="AN519" s="234"/>
      <c r="AO519" s="234"/>
    </row>
    <row r="520" ht="15.75" customHeight="1">
      <c r="A520" s="91"/>
      <c r="B520" s="91"/>
      <c r="C520" s="220"/>
      <c r="D520" s="91"/>
      <c r="E520" s="221"/>
      <c r="F520" s="91"/>
      <c r="G520" s="91"/>
      <c r="H520" s="242"/>
      <c r="I520" s="223"/>
      <c r="J520" s="57"/>
      <c r="K520" s="153"/>
      <c r="L520" s="243"/>
      <c r="M520" s="234"/>
      <c r="N520" s="235"/>
      <c r="O520" s="236"/>
      <c r="P520" s="236"/>
      <c r="Q520" s="236"/>
      <c r="R520" s="236"/>
      <c r="S520" s="236"/>
      <c r="T520" s="236"/>
      <c r="U520" s="236"/>
      <c r="V520" s="236"/>
      <c r="W520" s="244"/>
      <c r="X520" s="244"/>
      <c r="Y520" s="237"/>
      <c r="Z520" s="244"/>
      <c r="AA520" s="244"/>
      <c r="AB520" s="244"/>
      <c r="AC520" s="244"/>
      <c r="AD520" s="234"/>
      <c r="AE520" s="234"/>
      <c r="AF520" s="238"/>
      <c r="AG520" s="239"/>
      <c r="AH520" s="238"/>
      <c r="AI520" s="238"/>
      <c r="AJ520" s="234"/>
      <c r="AK520" s="234"/>
      <c r="AL520" s="234"/>
      <c r="AM520" s="234"/>
      <c r="AN520" s="234"/>
      <c r="AO520" s="234"/>
    </row>
    <row r="521" ht="15.75" customHeight="1">
      <c r="A521" s="91"/>
      <c r="B521" s="91"/>
      <c r="C521" s="220"/>
      <c r="D521" s="91"/>
      <c r="E521" s="221"/>
      <c r="F521" s="91"/>
      <c r="G521" s="91"/>
      <c r="H521" s="242"/>
      <c r="I521" s="223"/>
      <c r="J521" s="57"/>
      <c r="K521" s="153"/>
      <c r="L521" s="243"/>
      <c r="M521" s="234"/>
      <c r="N521" s="235"/>
      <c r="O521" s="236"/>
      <c r="P521" s="236"/>
      <c r="Q521" s="236"/>
      <c r="R521" s="236"/>
      <c r="S521" s="236"/>
      <c r="T521" s="236"/>
      <c r="U521" s="236"/>
      <c r="V521" s="236"/>
      <c r="W521" s="244"/>
      <c r="X521" s="244"/>
      <c r="Y521" s="237"/>
      <c r="Z521" s="244"/>
      <c r="AA521" s="244"/>
      <c r="AB521" s="244"/>
      <c r="AC521" s="244"/>
      <c r="AD521" s="234"/>
      <c r="AE521" s="234"/>
      <c r="AF521" s="238"/>
      <c r="AG521" s="239"/>
      <c r="AH521" s="238"/>
      <c r="AI521" s="238"/>
      <c r="AJ521" s="234"/>
      <c r="AK521" s="234"/>
      <c r="AL521" s="234"/>
      <c r="AM521" s="234"/>
      <c r="AN521" s="234"/>
      <c r="AO521" s="234"/>
    </row>
    <row r="522" ht="15.75" customHeight="1">
      <c r="A522" s="91"/>
      <c r="B522" s="91"/>
      <c r="C522" s="220"/>
      <c r="D522" s="91"/>
      <c r="E522" s="221"/>
      <c r="F522" s="91"/>
      <c r="G522" s="91"/>
      <c r="H522" s="242"/>
      <c r="I522" s="223"/>
      <c r="J522" s="57"/>
      <c r="K522" s="153"/>
      <c r="L522" s="243"/>
      <c r="M522" s="234"/>
      <c r="N522" s="235"/>
      <c r="O522" s="236"/>
      <c r="P522" s="236"/>
      <c r="Q522" s="236"/>
      <c r="R522" s="236"/>
      <c r="S522" s="236"/>
      <c r="T522" s="236"/>
      <c r="U522" s="236"/>
      <c r="V522" s="236"/>
      <c r="W522" s="244"/>
      <c r="X522" s="244"/>
      <c r="Y522" s="237"/>
      <c r="Z522" s="244"/>
      <c r="AA522" s="244"/>
      <c r="AB522" s="244"/>
      <c r="AC522" s="244"/>
      <c r="AD522" s="234"/>
      <c r="AE522" s="234"/>
      <c r="AF522" s="238"/>
      <c r="AG522" s="239"/>
      <c r="AH522" s="238"/>
      <c r="AI522" s="238"/>
      <c r="AJ522" s="234"/>
      <c r="AK522" s="234"/>
      <c r="AL522" s="234"/>
      <c r="AM522" s="234"/>
      <c r="AN522" s="234"/>
      <c r="AO522" s="234"/>
    </row>
    <row r="523" ht="15.75" customHeight="1">
      <c r="A523" s="91"/>
      <c r="B523" s="91"/>
      <c r="C523" s="220"/>
      <c r="D523" s="91"/>
      <c r="E523" s="221"/>
      <c r="F523" s="91"/>
      <c r="G523" s="91"/>
      <c r="H523" s="242"/>
      <c r="I523" s="223"/>
      <c r="J523" s="57"/>
      <c r="K523" s="153"/>
      <c r="L523" s="243"/>
      <c r="M523" s="234"/>
      <c r="N523" s="235"/>
      <c r="O523" s="236"/>
      <c r="P523" s="236"/>
      <c r="Q523" s="236"/>
      <c r="R523" s="236"/>
      <c r="S523" s="236"/>
      <c r="T523" s="236"/>
      <c r="U523" s="236"/>
      <c r="V523" s="236"/>
      <c r="W523" s="244"/>
      <c r="X523" s="244"/>
      <c r="Y523" s="237"/>
      <c r="Z523" s="244"/>
      <c r="AA523" s="244"/>
      <c r="AB523" s="244"/>
      <c r="AC523" s="244"/>
      <c r="AD523" s="234"/>
      <c r="AE523" s="234"/>
      <c r="AF523" s="238"/>
      <c r="AG523" s="239"/>
      <c r="AH523" s="238"/>
      <c r="AI523" s="238"/>
      <c r="AJ523" s="234"/>
      <c r="AK523" s="234"/>
      <c r="AL523" s="234"/>
      <c r="AM523" s="234"/>
      <c r="AN523" s="234"/>
      <c r="AO523" s="234"/>
    </row>
    <row r="524" ht="15.75" customHeight="1">
      <c r="A524" s="91"/>
      <c r="B524" s="91"/>
      <c r="C524" s="220"/>
      <c r="D524" s="91"/>
      <c r="E524" s="221"/>
      <c r="F524" s="91"/>
      <c r="G524" s="91"/>
      <c r="H524" s="242"/>
      <c r="I524" s="223"/>
      <c r="J524" s="57"/>
      <c r="K524" s="153"/>
      <c r="L524" s="243"/>
      <c r="M524" s="234"/>
      <c r="N524" s="235"/>
      <c r="O524" s="236"/>
      <c r="P524" s="236"/>
      <c r="Q524" s="236"/>
      <c r="R524" s="236"/>
      <c r="S524" s="236"/>
      <c r="T524" s="236"/>
      <c r="U524" s="236"/>
      <c r="V524" s="236"/>
      <c r="W524" s="244"/>
      <c r="X524" s="244"/>
      <c r="Y524" s="237"/>
      <c r="Z524" s="244"/>
      <c r="AA524" s="244"/>
      <c r="AB524" s="244"/>
      <c r="AC524" s="244"/>
      <c r="AD524" s="234"/>
      <c r="AE524" s="234"/>
      <c r="AF524" s="238"/>
      <c r="AG524" s="239"/>
      <c r="AH524" s="238"/>
      <c r="AI524" s="238"/>
      <c r="AJ524" s="234"/>
      <c r="AK524" s="234"/>
      <c r="AL524" s="234"/>
      <c r="AM524" s="234"/>
      <c r="AN524" s="234"/>
      <c r="AO524" s="234"/>
    </row>
    <row r="525" ht="15.75" customHeight="1">
      <c r="A525" s="91"/>
      <c r="B525" s="91"/>
      <c r="C525" s="220"/>
      <c r="D525" s="91"/>
      <c r="E525" s="221"/>
      <c r="F525" s="91"/>
      <c r="G525" s="91"/>
      <c r="H525" s="242"/>
      <c r="I525" s="223"/>
      <c r="J525" s="57"/>
      <c r="K525" s="153"/>
      <c r="L525" s="243"/>
      <c r="M525" s="234"/>
      <c r="N525" s="235"/>
      <c r="O525" s="236"/>
      <c r="P525" s="236"/>
      <c r="Q525" s="236"/>
      <c r="R525" s="236"/>
      <c r="S525" s="236"/>
      <c r="T525" s="236"/>
      <c r="U525" s="236"/>
      <c r="V525" s="236"/>
      <c r="W525" s="244"/>
      <c r="X525" s="244"/>
      <c r="Y525" s="237"/>
      <c r="Z525" s="244"/>
      <c r="AA525" s="244"/>
      <c r="AB525" s="244"/>
      <c r="AC525" s="244"/>
      <c r="AD525" s="234"/>
      <c r="AE525" s="234"/>
      <c r="AF525" s="238"/>
      <c r="AG525" s="239"/>
      <c r="AH525" s="238"/>
      <c r="AI525" s="238"/>
      <c r="AJ525" s="234"/>
      <c r="AK525" s="234"/>
      <c r="AL525" s="234"/>
      <c r="AM525" s="234"/>
      <c r="AN525" s="234"/>
      <c r="AO525" s="234"/>
    </row>
    <row r="526" ht="15.75" customHeight="1">
      <c r="A526" s="91"/>
      <c r="B526" s="91"/>
      <c r="C526" s="220"/>
      <c r="D526" s="91"/>
      <c r="E526" s="221"/>
      <c r="F526" s="91"/>
      <c r="G526" s="91"/>
      <c r="H526" s="242"/>
      <c r="I526" s="223"/>
      <c r="J526" s="57"/>
      <c r="K526" s="153"/>
      <c r="L526" s="243"/>
      <c r="M526" s="234"/>
      <c r="N526" s="235"/>
      <c r="O526" s="236"/>
      <c r="P526" s="236"/>
      <c r="Q526" s="236"/>
      <c r="R526" s="236"/>
      <c r="S526" s="236"/>
      <c r="T526" s="236"/>
      <c r="U526" s="236"/>
      <c r="V526" s="236"/>
      <c r="W526" s="244"/>
      <c r="X526" s="244"/>
      <c r="Y526" s="237"/>
      <c r="Z526" s="244"/>
      <c r="AA526" s="244"/>
      <c r="AB526" s="244"/>
      <c r="AC526" s="244"/>
      <c r="AD526" s="234"/>
      <c r="AE526" s="234"/>
      <c r="AF526" s="238"/>
      <c r="AG526" s="239"/>
      <c r="AH526" s="238"/>
      <c r="AI526" s="238"/>
      <c r="AJ526" s="234"/>
      <c r="AK526" s="234"/>
      <c r="AL526" s="234"/>
      <c r="AM526" s="234"/>
      <c r="AN526" s="234"/>
      <c r="AO526" s="234"/>
    </row>
    <row r="527" ht="15.75" customHeight="1">
      <c r="A527" s="91"/>
      <c r="B527" s="91"/>
      <c r="C527" s="220"/>
      <c r="D527" s="91"/>
      <c r="E527" s="221"/>
      <c r="F527" s="91"/>
      <c r="G527" s="91"/>
      <c r="H527" s="242"/>
      <c r="I527" s="223"/>
      <c r="J527" s="57"/>
      <c r="K527" s="153"/>
      <c r="L527" s="243"/>
      <c r="M527" s="234"/>
      <c r="N527" s="235"/>
      <c r="O527" s="236"/>
      <c r="P527" s="236"/>
      <c r="Q527" s="236"/>
      <c r="R527" s="236"/>
      <c r="S527" s="236"/>
      <c r="T527" s="236"/>
      <c r="U527" s="236"/>
      <c r="V527" s="236"/>
      <c r="W527" s="244"/>
      <c r="X527" s="244"/>
      <c r="Y527" s="237"/>
      <c r="Z527" s="244"/>
      <c r="AA527" s="244"/>
      <c r="AB527" s="244"/>
      <c r="AC527" s="244"/>
      <c r="AD527" s="234"/>
      <c r="AE527" s="234"/>
      <c r="AF527" s="238"/>
      <c r="AG527" s="239"/>
      <c r="AH527" s="238"/>
      <c r="AI527" s="238"/>
      <c r="AJ527" s="234"/>
      <c r="AK527" s="234"/>
      <c r="AL527" s="234"/>
      <c r="AM527" s="234"/>
      <c r="AN527" s="234"/>
      <c r="AO527" s="234"/>
    </row>
    <row r="528" ht="15.75" customHeight="1">
      <c r="A528" s="91"/>
      <c r="B528" s="91"/>
      <c r="C528" s="220"/>
      <c r="D528" s="91"/>
      <c r="E528" s="221"/>
      <c r="F528" s="91"/>
      <c r="G528" s="91"/>
      <c r="H528" s="242"/>
      <c r="I528" s="223"/>
      <c r="J528" s="57"/>
      <c r="K528" s="153"/>
      <c r="L528" s="243"/>
      <c r="M528" s="234"/>
      <c r="N528" s="235"/>
      <c r="O528" s="236"/>
      <c r="P528" s="236"/>
      <c r="Q528" s="236"/>
      <c r="R528" s="236"/>
      <c r="S528" s="236"/>
      <c r="T528" s="236"/>
      <c r="U528" s="236"/>
      <c r="V528" s="236"/>
      <c r="W528" s="244"/>
      <c r="X528" s="244"/>
      <c r="Y528" s="237"/>
      <c r="Z528" s="244"/>
      <c r="AA528" s="244"/>
      <c r="AB528" s="244"/>
      <c r="AC528" s="244"/>
      <c r="AD528" s="234"/>
      <c r="AE528" s="234"/>
      <c r="AF528" s="238"/>
      <c r="AG528" s="239"/>
      <c r="AH528" s="238"/>
      <c r="AI528" s="238"/>
      <c r="AJ528" s="234"/>
      <c r="AK528" s="234"/>
      <c r="AL528" s="234"/>
      <c r="AM528" s="234"/>
      <c r="AN528" s="234"/>
      <c r="AO528" s="234"/>
    </row>
    <row r="529" ht="15.75" customHeight="1">
      <c r="A529" s="91"/>
      <c r="B529" s="91"/>
      <c r="C529" s="220"/>
      <c r="D529" s="91"/>
      <c r="E529" s="221"/>
      <c r="F529" s="91"/>
      <c r="G529" s="91"/>
      <c r="H529" s="242"/>
      <c r="I529" s="223"/>
      <c r="J529" s="57"/>
      <c r="K529" s="153"/>
      <c r="L529" s="243"/>
      <c r="M529" s="234"/>
      <c r="N529" s="235"/>
      <c r="O529" s="236"/>
      <c r="P529" s="236"/>
      <c r="Q529" s="236"/>
      <c r="R529" s="236"/>
      <c r="S529" s="236"/>
      <c r="T529" s="236"/>
      <c r="U529" s="236"/>
      <c r="V529" s="236"/>
      <c r="W529" s="244"/>
      <c r="X529" s="244"/>
      <c r="Y529" s="237"/>
      <c r="Z529" s="244"/>
      <c r="AA529" s="244"/>
      <c r="AB529" s="244"/>
      <c r="AC529" s="244"/>
      <c r="AD529" s="234"/>
      <c r="AE529" s="234"/>
      <c r="AF529" s="238"/>
      <c r="AG529" s="239"/>
      <c r="AH529" s="238"/>
      <c r="AI529" s="238"/>
      <c r="AJ529" s="234"/>
      <c r="AK529" s="234"/>
      <c r="AL529" s="234"/>
      <c r="AM529" s="234"/>
      <c r="AN529" s="234"/>
      <c r="AO529" s="234"/>
    </row>
    <row r="530" ht="15.75" customHeight="1">
      <c r="A530" s="91"/>
      <c r="B530" s="91"/>
      <c r="C530" s="220"/>
      <c r="D530" s="91"/>
      <c r="E530" s="221"/>
      <c r="F530" s="91"/>
      <c r="G530" s="91"/>
      <c r="H530" s="242"/>
      <c r="I530" s="223"/>
      <c r="J530" s="57"/>
      <c r="K530" s="153"/>
      <c r="L530" s="243"/>
      <c r="M530" s="234"/>
      <c r="N530" s="235"/>
      <c r="O530" s="236"/>
      <c r="P530" s="236"/>
      <c r="Q530" s="236"/>
      <c r="R530" s="236"/>
      <c r="S530" s="236"/>
      <c r="T530" s="236"/>
      <c r="U530" s="236"/>
      <c r="V530" s="236"/>
      <c r="W530" s="244"/>
      <c r="X530" s="244"/>
      <c r="Y530" s="237"/>
      <c r="Z530" s="244"/>
      <c r="AA530" s="244"/>
      <c r="AB530" s="244"/>
      <c r="AC530" s="244"/>
      <c r="AD530" s="234"/>
      <c r="AE530" s="234"/>
      <c r="AF530" s="238"/>
      <c r="AG530" s="239"/>
      <c r="AH530" s="238"/>
      <c r="AI530" s="238"/>
      <c r="AJ530" s="234"/>
      <c r="AK530" s="234"/>
      <c r="AL530" s="234"/>
      <c r="AM530" s="234"/>
      <c r="AN530" s="234"/>
      <c r="AO530" s="234"/>
    </row>
    <row r="531" ht="15.75" customHeight="1">
      <c r="A531" s="91"/>
      <c r="B531" s="91"/>
      <c r="C531" s="220"/>
      <c r="D531" s="91"/>
      <c r="E531" s="221"/>
      <c r="F531" s="91"/>
      <c r="G531" s="91"/>
      <c r="H531" s="242"/>
      <c r="I531" s="223"/>
      <c r="J531" s="57"/>
      <c r="K531" s="153"/>
      <c r="L531" s="243"/>
      <c r="M531" s="234"/>
      <c r="N531" s="235"/>
      <c r="O531" s="236"/>
      <c r="P531" s="236"/>
      <c r="Q531" s="236"/>
      <c r="R531" s="236"/>
      <c r="S531" s="236"/>
      <c r="T531" s="236"/>
      <c r="U531" s="236"/>
      <c r="V531" s="236"/>
      <c r="W531" s="244"/>
      <c r="X531" s="244"/>
      <c r="Y531" s="237"/>
      <c r="Z531" s="244"/>
      <c r="AA531" s="244"/>
      <c r="AB531" s="244"/>
      <c r="AC531" s="244"/>
      <c r="AD531" s="234"/>
      <c r="AE531" s="234"/>
      <c r="AF531" s="238"/>
      <c r="AG531" s="239"/>
      <c r="AH531" s="238"/>
      <c r="AI531" s="238"/>
      <c r="AJ531" s="234"/>
      <c r="AK531" s="234"/>
      <c r="AL531" s="234"/>
      <c r="AM531" s="234"/>
      <c r="AN531" s="234"/>
      <c r="AO531" s="234"/>
    </row>
    <row r="532" ht="15.75" customHeight="1">
      <c r="A532" s="91"/>
      <c r="B532" s="91"/>
      <c r="C532" s="220"/>
      <c r="D532" s="91"/>
      <c r="E532" s="221"/>
      <c r="F532" s="91"/>
      <c r="G532" s="91"/>
      <c r="H532" s="242"/>
      <c r="I532" s="223"/>
      <c r="J532" s="57"/>
      <c r="K532" s="153"/>
      <c r="L532" s="243"/>
      <c r="M532" s="234"/>
      <c r="N532" s="235"/>
      <c r="O532" s="236"/>
      <c r="P532" s="236"/>
      <c r="Q532" s="236"/>
      <c r="R532" s="236"/>
      <c r="S532" s="236"/>
      <c r="T532" s="236"/>
      <c r="U532" s="236"/>
      <c r="V532" s="236"/>
      <c r="W532" s="244"/>
      <c r="X532" s="244"/>
      <c r="Y532" s="237"/>
      <c r="Z532" s="244"/>
      <c r="AA532" s="244"/>
      <c r="AB532" s="244"/>
      <c r="AC532" s="244"/>
      <c r="AD532" s="234"/>
      <c r="AE532" s="234"/>
      <c r="AF532" s="238"/>
      <c r="AG532" s="239"/>
      <c r="AH532" s="238"/>
      <c r="AI532" s="238"/>
      <c r="AJ532" s="234"/>
      <c r="AK532" s="234"/>
      <c r="AL532" s="234"/>
      <c r="AM532" s="234"/>
      <c r="AN532" s="234"/>
      <c r="AO532" s="234"/>
    </row>
    <row r="533" ht="15.75" customHeight="1">
      <c r="A533" s="91"/>
      <c r="B533" s="91"/>
      <c r="C533" s="220"/>
      <c r="D533" s="91"/>
      <c r="E533" s="221"/>
      <c r="F533" s="91"/>
      <c r="G533" s="91"/>
      <c r="H533" s="242"/>
      <c r="I533" s="223"/>
      <c r="J533" s="57"/>
      <c r="K533" s="153"/>
      <c r="L533" s="243"/>
      <c r="M533" s="234"/>
      <c r="N533" s="235"/>
      <c r="O533" s="236"/>
      <c r="P533" s="236"/>
      <c r="Q533" s="236"/>
      <c r="R533" s="236"/>
      <c r="S533" s="236"/>
      <c r="T533" s="236"/>
      <c r="U533" s="236"/>
      <c r="V533" s="236"/>
      <c r="W533" s="244"/>
      <c r="X533" s="244"/>
      <c r="Y533" s="237"/>
      <c r="Z533" s="244"/>
      <c r="AA533" s="244"/>
      <c r="AB533" s="244"/>
      <c r="AC533" s="244"/>
      <c r="AD533" s="234"/>
      <c r="AE533" s="234"/>
      <c r="AF533" s="238"/>
      <c r="AG533" s="239"/>
      <c r="AH533" s="238"/>
      <c r="AI533" s="238"/>
      <c r="AJ533" s="234"/>
      <c r="AK533" s="234"/>
      <c r="AL533" s="234"/>
      <c r="AM533" s="234"/>
      <c r="AN533" s="234"/>
      <c r="AO533" s="234"/>
    </row>
    <row r="534" ht="15.75" customHeight="1">
      <c r="A534" s="91"/>
      <c r="B534" s="91"/>
      <c r="C534" s="220"/>
      <c r="D534" s="91"/>
      <c r="E534" s="221"/>
      <c r="F534" s="91"/>
      <c r="G534" s="91"/>
      <c r="H534" s="242"/>
      <c r="I534" s="223"/>
      <c r="J534" s="57"/>
      <c r="K534" s="153"/>
      <c r="L534" s="243"/>
      <c r="M534" s="234"/>
      <c r="N534" s="235"/>
      <c r="O534" s="236"/>
      <c r="P534" s="236"/>
      <c r="Q534" s="236"/>
      <c r="R534" s="236"/>
      <c r="S534" s="236"/>
      <c r="T534" s="236"/>
      <c r="U534" s="236"/>
      <c r="V534" s="236"/>
      <c r="W534" s="244"/>
      <c r="X534" s="244"/>
      <c r="Y534" s="237"/>
      <c r="Z534" s="244"/>
      <c r="AA534" s="244"/>
      <c r="AB534" s="244"/>
      <c r="AC534" s="244"/>
      <c r="AD534" s="234"/>
      <c r="AE534" s="234"/>
      <c r="AF534" s="238"/>
      <c r="AG534" s="239"/>
      <c r="AH534" s="238"/>
      <c r="AI534" s="238"/>
      <c r="AJ534" s="234"/>
      <c r="AK534" s="234"/>
      <c r="AL534" s="234"/>
      <c r="AM534" s="234"/>
      <c r="AN534" s="234"/>
      <c r="AO534" s="234"/>
    </row>
    <row r="535" ht="15.75" customHeight="1">
      <c r="A535" s="91"/>
      <c r="B535" s="91"/>
      <c r="C535" s="220"/>
      <c r="D535" s="91"/>
      <c r="E535" s="221"/>
      <c r="F535" s="91"/>
      <c r="G535" s="91"/>
      <c r="H535" s="242"/>
      <c r="I535" s="223"/>
      <c r="J535" s="57"/>
      <c r="K535" s="153"/>
      <c r="L535" s="243"/>
      <c r="M535" s="234"/>
      <c r="N535" s="235"/>
      <c r="O535" s="236"/>
      <c r="P535" s="236"/>
      <c r="Q535" s="236"/>
      <c r="R535" s="236"/>
      <c r="S535" s="236"/>
      <c r="T535" s="236"/>
      <c r="U535" s="236"/>
      <c r="V535" s="236"/>
      <c r="W535" s="244"/>
      <c r="X535" s="244"/>
      <c r="Y535" s="237"/>
      <c r="Z535" s="244"/>
      <c r="AA535" s="244"/>
      <c r="AB535" s="244"/>
      <c r="AC535" s="244"/>
      <c r="AD535" s="234"/>
      <c r="AE535" s="234"/>
      <c r="AF535" s="238"/>
      <c r="AG535" s="239"/>
      <c r="AH535" s="238"/>
      <c r="AI535" s="238"/>
      <c r="AJ535" s="234"/>
      <c r="AK535" s="234"/>
      <c r="AL535" s="234"/>
      <c r="AM535" s="234"/>
      <c r="AN535" s="234"/>
      <c r="AO535" s="234"/>
    </row>
    <row r="536" ht="15.75" customHeight="1">
      <c r="A536" s="91"/>
      <c r="B536" s="91"/>
      <c r="C536" s="220"/>
      <c r="D536" s="91"/>
      <c r="E536" s="221"/>
      <c r="F536" s="91"/>
      <c r="G536" s="91"/>
      <c r="H536" s="242"/>
      <c r="I536" s="223"/>
      <c r="J536" s="57"/>
      <c r="K536" s="153"/>
      <c r="L536" s="243"/>
      <c r="M536" s="234"/>
      <c r="N536" s="235"/>
      <c r="O536" s="236"/>
      <c r="P536" s="236"/>
      <c r="Q536" s="236"/>
      <c r="R536" s="236"/>
      <c r="S536" s="236"/>
      <c r="T536" s="236"/>
      <c r="U536" s="236"/>
      <c r="V536" s="236"/>
      <c r="W536" s="244"/>
      <c r="X536" s="244"/>
      <c r="Y536" s="237"/>
      <c r="Z536" s="244"/>
      <c r="AA536" s="244"/>
      <c r="AB536" s="244"/>
      <c r="AC536" s="244"/>
      <c r="AD536" s="234"/>
      <c r="AE536" s="234"/>
      <c r="AF536" s="238"/>
      <c r="AG536" s="239"/>
      <c r="AH536" s="238"/>
      <c r="AI536" s="238"/>
      <c r="AJ536" s="234"/>
      <c r="AK536" s="234"/>
      <c r="AL536" s="234"/>
      <c r="AM536" s="234"/>
      <c r="AN536" s="234"/>
      <c r="AO536" s="234"/>
    </row>
    <row r="537" ht="15.75" customHeight="1">
      <c r="A537" s="91"/>
      <c r="B537" s="91"/>
      <c r="C537" s="220"/>
      <c r="D537" s="91"/>
      <c r="E537" s="221"/>
      <c r="F537" s="91"/>
      <c r="G537" s="91"/>
      <c r="H537" s="242"/>
      <c r="I537" s="223"/>
      <c r="J537" s="57"/>
      <c r="K537" s="153"/>
      <c r="L537" s="243"/>
      <c r="M537" s="234"/>
      <c r="N537" s="235"/>
      <c r="O537" s="236"/>
      <c r="P537" s="236"/>
      <c r="Q537" s="236"/>
      <c r="R537" s="236"/>
      <c r="S537" s="236"/>
      <c r="T537" s="236"/>
      <c r="U537" s="236"/>
      <c r="V537" s="236"/>
      <c r="W537" s="244"/>
      <c r="X537" s="244"/>
      <c r="Y537" s="237"/>
      <c r="Z537" s="244"/>
      <c r="AA537" s="244"/>
      <c r="AB537" s="244"/>
      <c r="AC537" s="244"/>
      <c r="AD537" s="234"/>
      <c r="AE537" s="234"/>
      <c r="AF537" s="238"/>
      <c r="AG537" s="239"/>
      <c r="AH537" s="238"/>
      <c r="AI537" s="238"/>
      <c r="AJ537" s="234"/>
      <c r="AK537" s="234"/>
      <c r="AL537" s="234"/>
      <c r="AM537" s="234"/>
      <c r="AN537" s="234"/>
      <c r="AO537" s="234"/>
    </row>
    <row r="538" ht="15.75" customHeight="1">
      <c r="A538" s="91"/>
      <c r="B538" s="91"/>
      <c r="C538" s="220"/>
      <c r="D538" s="91"/>
      <c r="E538" s="221"/>
      <c r="F538" s="91"/>
      <c r="G538" s="91"/>
      <c r="H538" s="242"/>
      <c r="I538" s="223"/>
      <c r="J538" s="57"/>
      <c r="K538" s="153"/>
      <c r="L538" s="243"/>
      <c r="M538" s="234"/>
      <c r="N538" s="235"/>
      <c r="O538" s="236"/>
      <c r="P538" s="236"/>
      <c r="Q538" s="236"/>
      <c r="R538" s="236"/>
      <c r="S538" s="236"/>
      <c r="T538" s="236"/>
      <c r="U538" s="236"/>
      <c r="V538" s="236"/>
      <c r="W538" s="244"/>
      <c r="X538" s="244"/>
      <c r="Y538" s="237"/>
      <c r="Z538" s="244"/>
      <c r="AA538" s="244"/>
      <c r="AB538" s="244"/>
      <c r="AC538" s="244"/>
      <c r="AD538" s="234"/>
      <c r="AE538" s="234"/>
      <c r="AF538" s="238"/>
      <c r="AG538" s="239"/>
      <c r="AH538" s="238"/>
      <c r="AI538" s="238"/>
      <c r="AJ538" s="234"/>
      <c r="AK538" s="234"/>
      <c r="AL538" s="234"/>
      <c r="AM538" s="234"/>
      <c r="AN538" s="234"/>
      <c r="AO538" s="234"/>
    </row>
    <row r="539" ht="15.75" customHeight="1">
      <c r="A539" s="91"/>
      <c r="B539" s="91"/>
      <c r="C539" s="220"/>
      <c r="D539" s="91"/>
      <c r="E539" s="221"/>
      <c r="F539" s="91"/>
      <c r="G539" s="91"/>
      <c r="H539" s="242"/>
      <c r="I539" s="223"/>
      <c r="J539" s="57"/>
      <c r="K539" s="153"/>
      <c r="L539" s="243"/>
      <c r="M539" s="234"/>
      <c r="N539" s="235"/>
      <c r="O539" s="236"/>
      <c r="P539" s="236"/>
      <c r="Q539" s="236"/>
      <c r="R539" s="236"/>
      <c r="S539" s="236"/>
      <c r="T539" s="236"/>
      <c r="U539" s="236"/>
      <c r="V539" s="236"/>
      <c r="W539" s="244"/>
      <c r="X539" s="244"/>
      <c r="Y539" s="237"/>
      <c r="Z539" s="244"/>
      <c r="AA539" s="244"/>
      <c r="AB539" s="244"/>
      <c r="AC539" s="244"/>
      <c r="AD539" s="234"/>
      <c r="AE539" s="234"/>
      <c r="AF539" s="238"/>
      <c r="AG539" s="239"/>
      <c r="AH539" s="238"/>
      <c r="AI539" s="238"/>
      <c r="AJ539" s="234"/>
      <c r="AK539" s="234"/>
      <c r="AL539" s="234"/>
      <c r="AM539" s="234"/>
      <c r="AN539" s="234"/>
      <c r="AO539" s="234"/>
    </row>
    <row r="540" ht="15.75" customHeight="1">
      <c r="A540" s="91"/>
      <c r="B540" s="91"/>
      <c r="C540" s="220"/>
      <c r="D540" s="91"/>
      <c r="E540" s="221"/>
      <c r="F540" s="91"/>
      <c r="G540" s="91"/>
      <c r="H540" s="242"/>
      <c r="I540" s="223"/>
      <c r="J540" s="57"/>
      <c r="K540" s="153"/>
      <c r="L540" s="243"/>
      <c r="M540" s="234"/>
      <c r="N540" s="235"/>
      <c r="O540" s="236"/>
      <c r="P540" s="236"/>
      <c r="Q540" s="236"/>
      <c r="R540" s="236"/>
      <c r="S540" s="236"/>
      <c r="T540" s="236"/>
      <c r="U540" s="236"/>
      <c r="V540" s="236"/>
      <c r="W540" s="244"/>
      <c r="X540" s="244"/>
      <c r="Y540" s="237"/>
      <c r="Z540" s="244"/>
      <c r="AA540" s="244"/>
      <c r="AB540" s="244"/>
      <c r="AC540" s="244"/>
      <c r="AD540" s="234"/>
      <c r="AE540" s="234"/>
      <c r="AF540" s="238"/>
      <c r="AG540" s="239"/>
      <c r="AH540" s="238"/>
      <c r="AI540" s="238"/>
      <c r="AJ540" s="234"/>
      <c r="AK540" s="234"/>
      <c r="AL540" s="234"/>
      <c r="AM540" s="234"/>
      <c r="AN540" s="234"/>
      <c r="AO540" s="234"/>
    </row>
    <row r="541" ht="15.75" customHeight="1">
      <c r="A541" s="91"/>
      <c r="B541" s="91"/>
      <c r="C541" s="220"/>
      <c r="D541" s="91"/>
      <c r="E541" s="221"/>
      <c r="F541" s="91"/>
      <c r="G541" s="91"/>
      <c r="H541" s="242"/>
      <c r="I541" s="223"/>
      <c r="J541" s="57"/>
      <c r="K541" s="153"/>
      <c r="L541" s="243"/>
      <c r="M541" s="234"/>
      <c r="N541" s="235"/>
      <c r="O541" s="236"/>
      <c r="P541" s="236"/>
      <c r="Q541" s="236"/>
      <c r="R541" s="236"/>
      <c r="S541" s="236"/>
      <c r="T541" s="236"/>
      <c r="U541" s="236"/>
      <c r="V541" s="236"/>
      <c r="W541" s="244"/>
      <c r="X541" s="244"/>
      <c r="Y541" s="237"/>
      <c r="Z541" s="244"/>
      <c r="AA541" s="244"/>
      <c r="AB541" s="244"/>
      <c r="AC541" s="244"/>
      <c r="AD541" s="234"/>
      <c r="AE541" s="234"/>
      <c r="AF541" s="238"/>
      <c r="AG541" s="239"/>
      <c r="AH541" s="238"/>
      <c r="AI541" s="238"/>
      <c r="AJ541" s="234"/>
      <c r="AK541" s="234"/>
      <c r="AL541" s="234"/>
      <c r="AM541" s="234"/>
      <c r="AN541" s="234"/>
      <c r="AO541" s="234"/>
    </row>
    <row r="542" ht="15.75" customHeight="1">
      <c r="A542" s="91"/>
      <c r="B542" s="91"/>
      <c r="C542" s="220"/>
      <c r="D542" s="91"/>
      <c r="E542" s="221"/>
      <c r="F542" s="91"/>
      <c r="G542" s="91"/>
      <c r="H542" s="242"/>
      <c r="I542" s="223"/>
      <c r="J542" s="57"/>
      <c r="K542" s="153"/>
      <c r="L542" s="243"/>
      <c r="M542" s="234"/>
      <c r="N542" s="235"/>
      <c r="O542" s="236"/>
      <c r="P542" s="236"/>
      <c r="Q542" s="236"/>
      <c r="R542" s="236"/>
      <c r="S542" s="236"/>
      <c r="T542" s="236"/>
      <c r="U542" s="236"/>
      <c r="V542" s="236"/>
      <c r="W542" s="244"/>
      <c r="X542" s="244"/>
      <c r="Y542" s="237"/>
      <c r="Z542" s="244"/>
      <c r="AA542" s="244"/>
      <c r="AB542" s="244"/>
      <c r="AC542" s="244"/>
      <c r="AD542" s="234"/>
      <c r="AE542" s="234"/>
      <c r="AF542" s="238"/>
      <c r="AG542" s="239"/>
      <c r="AH542" s="238"/>
      <c r="AI542" s="238"/>
      <c r="AJ542" s="234"/>
      <c r="AK542" s="234"/>
      <c r="AL542" s="234"/>
      <c r="AM542" s="234"/>
      <c r="AN542" s="234"/>
      <c r="AO542" s="234"/>
    </row>
    <row r="543" ht="15.75" customHeight="1">
      <c r="A543" s="91"/>
      <c r="B543" s="91"/>
      <c r="C543" s="220"/>
      <c r="D543" s="91"/>
      <c r="E543" s="221"/>
      <c r="F543" s="91"/>
      <c r="G543" s="91"/>
      <c r="H543" s="242"/>
      <c r="I543" s="223"/>
      <c r="J543" s="57"/>
      <c r="K543" s="153"/>
      <c r="L543" s="243"/>
      <c r="M543" s="234"/>
      <c r="N543" s="235"/>
      <c r="O543" s="236"/>
      <c r="P543" s="236"/>
      <c r="Q543" s="236"/>
      <c r="R543" s="236"/>
      <c r="S543" s="236"/>
      <c r="T543" s="236"/>
      <c r="U543" s="236"/>
      <c r="V543" s="236"/>
      <c r="W543" s="244"/>
      <c r="X543" s="244"/>
      <c r="Y543" s="237"/>
      <c r="Z543" s="244"/>
      <c r="AA543" s="244"/>
      <c r="AB543" s="244"/>
      <c r="AC543" s="244"/>
      <c r="AD543" s="234"/>
      <c r="AE543" s="234"/>
      <c r="AF543" s="238"/>
      <c r="AG543" s="239"/>
      <c r="AH543" s="238"/>
      <c r="AI543" s="238"/>
      <c r="AJ543" s="234"/>
      <c r="AK543" s="234"/>
      <c r="AL543" s="234"/>
      <c r="AM543" s="234"/>
      <c r="AN543" s="234"/>
      <c r="AO543" s="234"/>
    </row>
    <row r="544" ht="15.75" customHeight="1">
      <c r="A544" s="91"/>
      <c r="B544" s="91"/>
      <c r="C544" s="220"/>
      <c r="D544" s="91"/>
      <c r="E544" s="221"/>
      <c r="F544" s="91"/>
      <c r="G544" s="91"/>
      <c r="H544" s="242"/>
      <c r="I544" s="223"/>
      <c r="J544" s="57"/>
      <c r="K544" s="153"/>
      <c r="L544" s="243"/>
      <c r="M544" s="234"/>
      <c r="N544" s="235"/>
      <c r="O544" s="236"/>
      <c r="P544" s="236"/>
      <c r="Q544" s="236"/>
      <c r="R544" s="236"/>
      <c r="S544" s="236"/>
      <c r="T544" s="236"/>
      <c r="U544" s="236"/>
      <c r="V544" s="236"/>
      <c r="W544" s="244"/>
      <c r="X544" s="244"/>
      <c r="Y544" s="237"/>
      <c r="Z544" s="244"/>
      <c r="AA544" s="244"/>
      <c r="AB544" s="244"/>
      <c r="AC544" s="244"/>
      <c r="AD544" s="234"/>
      <c r="AE544" s="234"/>
      <c r="AF544" s="238"/>
      <c r="AG544" s="239"/>
      <c r="AH544" s="238"/>
      <c r="AI544" s="238"/>
      <c r="AJ544" s="234"/>
      <c r="AK544" s="234"/>
      <c r="AL544" s="234"/>
      <c r="AM544" s="234"/>
      <c r="AN544" s="234"/>
      <c r="AO544" s="234"/>
    </row>
    <row r="545" ht="15.75" customHeight="1">
      <c r="A545" s="91"/>
      <c r="B545" s="91"/>
      <c r="C545" s="220"/>
      <c r="D545" s="91"/>
      <c r="E545" s="221"/>
      <c r="F545" s="91"/>
      <c r="G545" s="91"/>
      <c r="H545" s="242"/>
      <c r="I545" s="223"/>
      <c r="J545" s="57"/>
      <c r="K545" s="153"/>
      <c r="L545" s="243"/>
      <c r="M545" s="234"/>
      <c r="N545" s="235"/>
      <c r="O545" s="236"/>
      <c r="P545" s="236"/>
      <c r="Q545" s="236"/>
      <c r="R545" s="236"/>
      <c r="S545" s="236"/>
      <c r="T545" s="236"/>
      <c r="U545" s="236"/>
      <c r="V545" s="236"/>
      <c r="W545" s="244"/>
      <c r="X545" s="244"/>
      <c r="Y545" s="237"/>
      <c r="Z545" s="244"/>
      <c r="AA545" s="244"/>
      <c r="AB545" s="244"/>
      <c r="AC545" s="244"/>
      <c r="AD545" s="234"/>
      <c r="AE545" s="234"/>
      <c r="AF545" s="238"/>
      <c r="AG545" s="239"/>
      <c r="AH545" s="238"/>
      <c r="AI545" s="238"/>
      <c r="AJ545" s="234"/>
      <c r="AK545" s="234"/>
      <c r="AL545" s="234"/>
      <c r="AM545" s="234"/>
      <c r="AN545" s="234"/>
      <c r="AO545" s="234"/>
    </row>
    <row r="546" ht="15.75" customHeight="1">
      <c r="A546" s="91"/>
      <c r="B546" s="91"/>
      <c r="C546" s="220"/>
      <c r="D546" s="91"/>
      <c r="E546" s="221"/>
      <c r="F546" s="91"/>
      <c r="G546" s="91"/>
      <c r="H546" s="242"/>
      <c r="I546" s="223"/>
      <c r="J546" s="57"/>
      <c r="K546" s="153"/>
      <c r="L546" s="243"/>
      <c r="M546" s="234"/>
      <c r="N546" s="235"/>
      <c r="O546" s="236"/>
      <c r="P546" s="236"/>
      <c r="Q546" s="236"/>
      <c r="R546" s="236"/>
      <c r="S546" s="236"/>
      <c r="T546" s="236"/>
      <c r="U546" s="236"/>
      <c r="V546" s="236"/>
      <c r="W546" s="244"/>
      <c r="X546" s="244"/>
      <c r="Y546" s="237"/>
      <c r="Z546" s="244"/>
      <c r="AA546" s="244"/>
      <c r="AB546" s="244"/>
      <c r="AC546" s="244"/>
      <c r="AD546" s="234"/>
      <c r="AE546" s="234"/>
      <c r="AF546" s="238"/>
      <c r="AG546" s="239"/>
      <c r="AH546" s="238"/>
      <c r="AI546" s="238"/>
      <c r="AJ546" s="234"/>
      <c r="AK546" s="234"/>
      <c r="AL546" s="234"/>
      <c r="AM546" s="234"/>
      <c r="AN546" s="234"/>
      <c r="AO546" s="234"/>
    </row>
    <row r="547" ht="15.75" customHeight="1">
      <c r="A547" s="91"/>
      <c r="B547" s="91"/>
      <c r="C547" s="220"/>
      <c r="D547" s="91"/>
      <c r="E547" s="221"/>
      <c r="F547" s="91"/>
      <c r="G547" s="91"/>
      <c r="H547" s="242"/>
      <c r="I547" s="223"/>
      <c r="J547" s="57"/>
      <c r="K547" s="153"/>
      <c r="L547" s="243"/>
      <c r="M547" s="234"/>
      <c r="N547" s="235"/>
      <c r="O547" s="236"/>
      <c r="P547" s="236"/>
      <c r="Q547" s="236"/>
      <c r="R547" s="236"/>
      <c r="S547" s="236"/>
      <c r="T547" s="236"/>
      <c r="U547" s="236"/>
      <c r="V547" s="236"/>
      <c r="W547" s="244"/>
      <c r="X547" s="244"/>
      <c r="Y547" s="237"/>
      <c r="Z547" s="244"/>
      <c r="AA547" s="244"/>
      <c r="AB547" s="244"/>
      <c r="AC547" s="244"/>
      <c r="AD547" s="234"/>
      <c r="AE547" s="234"/>
      <c r="AF547" s="238"/>
      <c r="AG547" s="239"/>
      <c r="AH547" s="238"/>
      <c r="AI547" s="238"/>
      <c r="AJ547" s="234"/>
      <c r="AK547" s="234"/>
      <c r="AL547" s="234"/>
      <c r="AM547" s="234"/>
      <c r="AN547" s="234"/>
      <c r="AO547" s="234"/>
    </row>
    <row r="548" ht="15.75" customHeight="1">
      <c r="A548" s="91"/>
      <c r="B548" s="91"/>
      <c r="C548" s="220"/>
      <c r="D548" s="91"/>
      <c r="E548" s="221"/>
      <c r="F548" s="91"/>
      <c r="G548" s="91"/>
      <c r="H548" s="242"/>
      <c r="I548" s="223"/>
      <c r="J548" s="57"/>
      <c r="K548" s="153"/>
      <c r="L548" s="243"/>
      <c r="M548" s="234"/>
      <c r="N548" s="235"/>
      <c r="O548" s="236"/>
      <c r="P548" s="236"/>
      <c r="Q548" s="236"/>
      <c r="R548" s="236"/>
      <c r="S548" s="236"/>
      <c r="T548" s="236"/>
      <c r="U548" s="236"/>
      <c r="V548" s="236"/>
      <c r="W548" s="244"/>
      <c r="X548" s="244"/>
      <c r="Y548" s="237"/>
      <c r="Z548" s="244"/>
      <c r="AA548" s="244"/>
      <c r="AB548" s="244"/>
      <c r="AC548" s="244"/>
      <c r="AD548" s="234"/>
      <c r="AE548" s="234"/>
      <c r="AF548" s="238"/>
      <c r="AG548" s="239"/>
      <c r="AH548" s="238"/>
      <c r="AI548" s="238"/>
      <c r="AJ548" s="234"/>
      <c r="AK548" s="234"/>
      <c r="AL548" s="234"/>
      <c r="AM548" s="234"/>
      <c r="AN548" s="234"/>
      <c r="AO548" s="234"/>
    </row>
    <row r="549" ht="15.75" customHeight="1">
      <c r="A549" s="91"/>
      <c r="B549" s="91"/>
      <c r="C549" s="220"/>
      <c r="D549" s="91"/>
      <c r="E549" s="221"/>
      <c r="F549" s="91"/>
      <c r="G549" s="91"/>
      <c r="H549" s="242"/>
      <c r="I549" s="223"/>
      <c r="J549" s="57"/>
      <c r="K549" s="153"/>
      <c r="L549" s="243"/>
      <c r="M549" s="234"/>
      <c r="N549" s="235"/>
      <c r="O549" s="236"/>
      <c r="P549" s="236"/>
      <c r="Q549" s="236"/>
      <c r="R549" s="236"/>
      <c r="S549" s="236"/>
      <c r="T549" s="236"/>
      <c r="U549" s="236"/>
      <c r="V549" s="236"/>
      <c r="W549" s="244"/>
      <c r="X549" s="244"/>
      <c r="Y549" s="237"/>
      <c r="Z549" s="244"/>
      <c r="AA549" s="244"/>
      <c r="AB549" s="244"/>
      <c r="AC549" s="244"/>
      <c r="AD549" s="234"/>
      <c r="AE549" s="234"/>
      <c r="AF549" s="238"/>
      <c r="AG549" s="239"/>
      <c r="AH549" s="238"/>
      <c r="AI549" s="238"/>
      <c r="AJ549" s="234"/>
      <c r="AK549" s="234"/>
      <c r="AL549" s="234"/>
      <c r="AM549" s="234"/>
      <c r="AN549" s="234"/>
      <c r="AO549" s="234"/>
    </row>
    <row r="550" ht="15.75" customHeight="1">
      <c r="A550" s="91"/>
      <c r="B550" s="91"/>
      <c r="C550" s="220"/>
      <c r="D550" s="91"/>
      <c r="E550" s="221"/>
      <c r="F550" s="91"/>
      <c r="G550" s="91"/>
      <c r="H550" s="242"/>
      <c r="I550" s="223"/>
      <c r="J550" s="57"/>
      <c r="K550" s="153"/>
      <c r="L550" s="243"/>
      <c r="M550" s="234"/>
      <c r="N550" s="235"/>
      <c r="O550" s="236"/>
      <c r="P550" s="236"/>
      <c r="Q550" s="236"/>
      <c r="R550" s="236"/>
      <c r="S550" s="236"/>
      <c r="T550" s="236"/>
      <c r="U550" s="236"/>
      <c r="V550" s="236"/>
      <c r="W550" s="244"/>
      <c r="X550" s="244"/>
      <c r="Y550" s="237"/>
      <c r="Z550" s="244"/>
      <c r="AA550" s="244"/>
      <c r="AB550" s="244"/>
      <c r="AC550" s="244"/>
      <c r="AD550" s="234"/>
      <c r="AE550" s="234"/>
      <c r="AF550" s="238"/>
      <c r="AG550" s="239"/>
      <c r="AH550" s="238"/>
      <c r="AI550" s="238"/>
      <c r="AJ550" s="234"/>
      <c r="AK550" s="234"/>
      <c r="AL550" s="234"/>
      <c r="AM550" s="234"/>
      <c r="AN550" s="234"/>
      <c r="AO550" s="234"/>
    </row>
    <row r="551" ht="15.75" customHeight="1">
      <c r="A551" s="91"/>
      <c r="B551" s="91"/>
      <c r="C551" s="220"/>
      <c r="D551" s="91"/>
      <c r="E551" s="221"/>
      <c r="F551" s="91"/>
      <c r="G551" s="91"/>
      <c r="H551" s="242"/>
      <c r="I551" s="223"/>
      <c r="J551" s="57"/>
      <c r="K551" s="153"/>
      <c r="L551" s="243"/>
      <c r="M551" s="234"/>
      <c r="N551" s="235"/>
      <c r="O551" s="236"/>
      <c r="P551" s="236"/>
      <c r="Q551" s="236"/>
      <c r="R551" s="236"/>
      <c r="S551" s="236"/>
      <c r="T551" s="236"/>
      <c r="U551" s="236"/>
      <c r="V551" s="236"/>
      <c r="W551" s="244"/>
      <c r="X551" s="244"/>
      <c r="Y551" s="237"/>
      <c r="Z551" s="244"/>
      <c r="AA551" s="244"/>
      <c r="AB551" s="244"/>
      <c r="AC551" s="244"/>
      <c r="AD551" s="234"/>
      <c r="AE551" s="234"/>
      <c r="AF551" s="238"/>
      <c r="AG551" s="239"/>
      <c r="AH551" s="238"/>
      <c r="AI551" s="238"/>
      <c r="AJ551" s="234"/>
      <c r="AK551" s="234"/>
      <c r="AL551" s="234"/>
      <c r="AM551" s="234"/>
      <c r="AN551" s="234"/>
      <c r="AO551" s="234"/>
    </row>
    <row r="552" ht="15.75" customHeight="1">
      <c r="A552" s="91"/>
      <c r="B552" s="91"/>
      <c r="C552" s="220"/>
      <c r="D552" s="91"/>
      <c r="E552" s="221"/>
      <c r="F552" s="91"/>
      <c r="G552" s="91"/>
      <c r="H552" s="242"/>
      <c r="I552" s="223"/>
      <c r="J552" s="57"/>
      <c r="K552" s="153"/>
      <c r="L552" s="243"/>
      <c r="M552" s="234"/>
      <c r="N552" s="235"/>
      <c r="O552" s="236"/>
      <c r="P552" s="236"/>
      <c r="Q552" s="236"/>
      <c r="R552" s="236"/>
      <c r="S552" s="236"/>
      <c r="T552" s="236"/>
      <c r="U552" s="236"/>
      <c r="V552" s="236"/>
      <c r="W552" s="244"/>
      <c r="X552" s="244"/>
      <c r="Y552" s="237"/>
      <c r="Z552" s="244"/>
      <c r="AA552" s="244"/>
      <c r="AB552" s="244"/>
      <c r="AC552" s="244"/>
      <c r="AD552" s="234"/>
      <c r="AE552" s="234"/>
      <c r="AF552" s="238"/>
      <c r="AG552" s="239"/>
      <c r="AH552" s="238"/>
      <c r="AI552" s="238"/>
      <c r="AJ552" s="234"/>
      <c r="AK552" s="234"/>
      <c r="AL552" s="234"/>
      <c r="AM552" s="234"/>
      <c r="AN552" s="234"/>
      <c r="AO552" s="234"/>
    </row>
    <row r="553" ht="15.75" customHeight="1">
      <c r="A553" s="91"/>
      <c r="B553" s="91"/>
      <c r="C553" s="220"/>
      <c r="D553" s="91"/>
      <c r="E553" s="221"/>
      <c r="F553" s="91"/>
      <c r="G553" s="91"/>
      <c r="H553" s="242"/>
      <c r="I553" s="223"/>
      <c r="J553" s="57"/>
      <c r="K553" s="153"/>
      <c r="L553" s="243"/>
      <c r="M553" s="234"/>
      <c r="N553" s="235"/>
      <c r="O553" s="236"/>
      <c r="P553" s="236"/>
      <c r="Q553" s="236"/>
      <c r="R553" s="236"/>
      <c r="S553" s="236"/>
      <c r="T553" s="236"/>
      <c r="U553" s="236"/>
      <c r="V553" s="236"/>
      <c r="W553" s="244"/>
      <c r="X553" s="244"/>
      <c r="Y553" s="237"/>
      <c r="Z553" s="244"/>
      <c r="AA553" s="244"/>
      <c r="AB553" s="244"/>
      <c r="AC553" s="244"/>
      <c r="AD553" s="234"/>
      <c r="AE553" s="234"/>
      <c r="AF553" s="238"/>
      <c r="AG553" s="239"/>
      <c r="AH553" s="238"/>
      <c r="AI553" s="238"/>
      <c r="AJ553" s="234"/>
      <c r="AK553" s="234"/>
      <c r="AL553" s="234"/>
      <c r="AM553" s="234"/>
      <c r="AN553" s="234"/>
      <c r="AO553" s="234"/>
    </row>
    <row r="554" ht="15.75" customHeight="1">
      <c r="A554" s="91"/>
      <c r="B554" s="91"/>
      <c r="C554" s="220"/>
      <c r="D554" s="91"/>
      <c r="E554" s="221"/>
      <c r="F554" s="91"/>
      <c r="G554" s="91"/>
      <c r="H554" s="242"/>
      <c r="I554" s="223"/>
      <c r="J554" s="57"/>
      <c r="K554" s="153"/>
      <c r="L554" s="243"/>
      <c r="M554" s="234"/>
      <c r="N554" s="235"/>
      <c r="O554" s="236"/>
      <c r="P554" s="236"/>
      <c r="Q554" s="236"/>
      <c r="R554" s="236"/>
      <c r="S554" s="236"/>
      <c r="T554" s="236"/>
      <c r="U554" s="236"/>
      <c r="V554" s="236"/>
      <c r="W554" s="244"/>
      <c r="X554" s="244"/>
      <c r="Y554" s="237"/>
      <c r="Z554" s="244"/>
      <c r="AA554" s="244"/>
      <c r="AB554" s="244"/>
      <c r="AC554" s="244"/>
      <c r="AD554" s="234"/>
      <c r="AE554" s="234"/>
      <c r="AF554" s="238"/>
      <c r="AG554" s="239"/>
      <c r="AH554" s="238"/>
      <c r="AI554" s="238"/>
      <c r="AJ554" s="234"/>
      <c r="AK554" s="234"/>
      <c r="AL554" s="234"/>
      <c r="AM554" s="234"/>
      <c r="AN554" s="234"/>
      <c r="AO554" s="234"/>
    </row>
    <row r="555" ht="15.75" customHeight="1">
      <c r="A555" s="91"/>
      <c r="B555" s="91"/>
      <c r="C555" s="220"/>
      <c r="D555" s="91"/>
      <c r="E555" s="221"/>
      <c r="F555" s="91"/>
      <c r="G555" s="91"/>
      <c r="H555" s="242"/>
      <c r="I555" s="223"/>
      <c r="J555" s="57"/>
      <c r="K555" s="153"/>
      <c r="L555" s="243"/>
      <c r="M555" s="234"/>
      <c r="N555" s="235"/>
      <c r="O555" s="236"/>
      <c r="P555" s="236"/>
      <c r="Q555" s="236"/>
      <c r="R555" s="236"/>
      <c r="S555" s="236"/>
      <c r="T555" s="236"/>
      <c r="U555" s="236"/>
      <c r="V555" s="236"/>
      <c r="W555" s="244"/>
      <c r="X555" s="244"/>
      <c r="Y555" s="237"/>
      <c r="Z555" s="244"/>
      <c r="AA555" s="244"/>
      <c r="AB555" s="244"/>
      <c r="AC555" s="244"/>
      <c r="AD555" s="234"/>
      <c r="AE555" s="234"/>
      <c r="AF555" s="238"/>
      <c r="AG555" s="239"/>
      <c r="AH555" s="238"/>
      <c r="AI555" s="238"/>
      <c r="AJ555" s="234"/>
      <c r="AK555" s="234"/>
      <c r="AL555" s="234"/>
      <c r="AM555" s="234"/>
      <c r="AN555" s="234"/>
      <c r="AO555" s="234"/>
    </row>
    <row r="556" ht="15.75" customHeight="1">
      <c r="A556" s="91"/>
      <c r="B556" s="91"/>
      <c r="C556" s="220"/>
      <c r="D556" s="91"/>
      <c r="E556" s="221"/>
      <c r="F556" s="91"/>
      <c r="G556" s="91"/>
      <c r="H556" s="242"/>
      <c r="I556" s="223"/>
      <c r="J556" s="57"/>
      <c r="K556" s="153"/>
      <c r="L556" s="243"/>
      <c r="M556" s="234"/>
      <c r="N556" s="235"/>
      <c r="O556" s="236"/>
      <c r="P556" s="236"/>
      <c r="Q556" s="236"/>
      <c r="R556" s="236"/>
      <c r="S556" s="236"/>
      <c r="T556" s="236"/>
      <c r="U556" s="236"/>
      <c r="V556" s="236"/>
      <c r="W556" s="244"/>
      <c r="X556" s="244"/>
      <c r="Y556" s="237"/>
      <c r="Z556" s="244"/>
      <c r="AA556" s="244"/>
      <c r="AB556" s="244"/>
      <c r="AC556" s="244"/>
      <c r="AD556" s="234"/>
      <c r="AE556" s="234"/>
      <c r="AF556" s="238"/>
      <c r="AG556" s="239"/>
      <c r="AH556" s="238"/>
      <c r="AI556" s="238"/>
      <c r="AJ556" s="234"/>
      <c r="AK556" s="234"/>
      <c r="AL556" s="234"/>
      <c r="AM556" s="234"/>
      <c r="AN556" s="234"/>
      <c r="AO556" s="234"/>
    </row>
    <row r="557" ht="15.75" customHeight="1">
      <c r="A557" s="91"/>
      <c r="B557" s="91"/>
      <c r="C557" s="220"/>
      <c r="D557" s="91"/>
      <c r="E557" s="221"/>
      <c r="F557" s="91"/>
      <c r="G557" s="91"/>
      <c r="H557" s="242"/>
      <c r="I557" s="223"/>
      <c r="J557" s="57"/>
      <c r="K557" s="153"/>
      <c r="L557" s="243"/>
      <c r="M557" s="234"/>
      <c r="N557" s="235"/>
      <c r="O557" s="236"/>
      <c r="P557" s="236"/>
      <c r="Q557" s="236"/>
      <c r="R557" s="236"/>
      <c r="S557" s="236"/>
      <c r="T557" s="236"/>
      <c r="U557" s="236"/>
      <c r="V557" s="236"/>
      <c r="W557" s="244"/>
      <c r="X557" s="244"/>
      <c r="Y557" s="237"/>
      <c r="Z557" s="244"/>
      <c r="AA557" s="244"/>
      <c r="AB557" s="244"/>
      <c r="AC557" s="244"/>
      <c r="AD557" s="234"/>
      <c r="AE557" s="234"/>
      <c r="AF557" s="238"/>
      <c r="AG557" s="239"/>
      <c r="AH557" s="238"/>
      <c r="AI557" s="238"/>
      <c r="AJ557" s="234"/>
      <c r="AK557" s="234"/>
      <c r="AL557" s="234"/>
      <c r="AM557" s="234"/>
      <c r="AN557" s="234"/>
      <c r="AO557" s="234"/>
    </row>
    <row r="558" ht="15.75" customHeight="1">
      <c r="A558" s="91"/>
      <c r="B558" s="91"/>
      <c r="C558" s="220"/>
      <c r="D558" s="91"/>
      <c r="E558" s="221"/>
      <c r="F558" s="91"/>
      <c r="G558" s="91"/>
      <c r="H558" s="242"/>
      <c r="I558" s="223"/>
      <c r="J558" s="57"/>
      <c r="K558" s="153"/>
      <c r="L558" s="243"/>
      <c r="M558" s="234"/>
      <c r="N558" s="235"/>
      <c r="O558" s="236"/>
      <c r="P558" s="236"/>
      <c r="Q558" s="236"/>
      <c r="R558" s="236"/>
      <c r="S558" s="236"/>
      <c r="T558" s="236"/>
      <c r="U558" s="236"/>
      <c r="V558" s="236"/>
      <c r="W558" s="244"/>
      <c r="X558" s="244"/>
      <c r="Y558" s="237"/>
      <c r="Z558" s="244"/>
      <c r="AA558" s="244"/>
      <c r="AB558" s="244"/>
      <c r="AC558" s="244"/>
      <c r="AD558" s="234"/>
      <c r="AE558" s="234"/>
      <c r="AF558" s="238"/>
      <c r="AG558" s="239"/>
      <c r="AH558" s="238"/>
      <c r="AI558" s="238"/>
      <c r="AJ558" s="234"/>
      <c r="AK558" s="234"/>
      <c r="AL558" s="234"/>
      <c r="AM558" s="234"/>
      <c r="AN558" s="234"/>
      <c r="AO558" s="234"/>
    </row>
    <row r="559" ht="15.75" customHeight="1">
      <c r="A559" s="91"/>
      <c r="B559" s="91"/>
      <c r="C559" s="220"/>
      <c r="D559" s="91"/>
      <c r="E559" s="221"/>
      <c r="F559" s="91"/>
      <c r="G559" s="91"/>
      <c r="H559" s="242"/>
      <c r="I559" s="223"/>
      <c r="J559" s="57"/>
      <c r="K559" s="153"/>
      <c r="L559" s="243"/>
      <c r="M559" s="234"/>
      <c r="N559" s="235"/>
      <c r="O559" s="236"/>
      <c r="P559" s="236"/>
      <c r="Q559" s="236"/>
      <c r="R559" s="236"/>
      <c r="S559" s="236"/>
      <c r="T559" s="236"/>
      <c r="U559" s="236"/>
      <c r="V559" s="236"/>
      <c r="W559" s="244"/>
      <c r="X559" s="244"/>
      <c r="Y559" s="237"/>
      <c r="Z559" s="244"/>
      <c r="AA559" s="244"/>
      <c r="AB559" s="244"/>
      <c r="AC559" s="244"/>
      <c r="AD559" s="234"/>
      <c r="AE559" s="234"/>
      <c r="AF559" s="238"/>
      <c r="AG559" s="239"/>
      <c r="AH559" s="238"/>
      <c r="AI559" s="238"/>
      <c r="AJ559" s="234"/>
      <c r="AK559" s="234"/>
      <c r="AL559" s="234"/>
      <c r="AM559" s="234"/>
      <c r="AN559" s="234"/>
      <c r="AO559" s="234"/>
    </row>
    <row r="560" ht="15.75" customHeight="1">
      <c r="A560" s="91"/>
      <c r="B560" s="91"/>
      <c r="C560" s="220"/>
      <c r="D560" s="91"/>
      <c r="E560" s="221"/>
      <c r="F560" s="91"/>
      <c r="G560" s="91"/>
      <c r="H560" s="242"/>
      <c r="I560" s="223"/>
      <c r="J560" s="57"/>
      <c r="K560" s="153"/>
      <c r="L560" s="243"/>
      <c r="M560" s="234"/>
      <c r="N560" s="235"/>
      <c r="O560" s="236"/>
      <c r="P560" s="236"/>
      <c r="Q560" s="236"/>
      <c r="R560" s="236"/>
      <c r="S560" s="236"/>
      <c r="T560" s="236"/>
      <c r="U560" s="236"/>
      <c r="V560" s="236"/>
      <c r="W560" s="244"/>
      <c r="X560" s="244"/>
      <c r="Y560" s="237"/>
      <c r="Z560" s="244"/>
      <c r="AA560" s="244"/>
      <c r="AB560" s="244"/>
      <c r="AC560" s="244"/>
      <c r="AD560" s="234"/>
      <c r="AE560" s="234"/>
      <c r="AF560" s="238"/>
      <c r="AG560" s="239"/>
      <c r="AH560" s="238"/>
      <c r="AI560" s="238"/>
      <c r="AJ560" s="234"/>
      <c r="AK560" s="234"/>
      <c r="AL560" s="234"/>
      <c r="AM560" s="234"/>
      <c r="AN560" s="234"/>
      <c r="AO560" s="234"/>
    </row>
    <row r="561" ht="15.75" customHeight="1">
      <c r="A561" s="91"/>
      <c r="B561" s="91"/>
      <c r="C561" s="220"/>
      <c r="D561" s="91"/>
      <c r="E561" s="221"/>
      <c r="F561" s="91"/>
      <c r="G561" s="91"/>
      <c r="H561" s="242"/>
      <c r="I561" s="223"/>
      <c r="J561" s="57"/>
      <c r="K561" s="153"/>
      <c r="L561" s="243"/>
      <c r="M561" s="234"/>
      <c r="N561" s="235"/>
      <c r="O561" s="236"/>
      <c r="P561" s="236"/>
      <c r="Q561" s="236"/>
      <c r="R561" s="236"/>
      <c r="S561" s="236"/>
      <c r="T561" s="236"/>
      <c r="U561" s="236"/>
      <c r="V561" s="236"/>
      <c r="W561" s="244"/>
      <c r="X561" s="244"/>
      <c r="Y561" s="237"/>
      <c r="Z561" s="244"/>
      <c r="AA561" s="244"/>
      <c r="AB561" s="244"/>
      <c r="AC561" s="244"/>
      <c r="AD561" s="234"/>
      <c r="AE561" s="234"/>
      <c r="AF561" s="238"/>
      <c r="AG561" s="239"/>
      <c r="AH561" s="238"/>
      <c r="AI561" s="238"/>
      <c r="AJ561" s="234"/>
      <c r="AK561" s="234"/>
      <c r="AL561" s="234"/>
      <c r="AM561" s="234"/>
      <c r="AN561" s="234"/>
      <c r="AO561" s="234"/>
    </row>
    <row r="562" ht="15.75" customHeight="1">
      <c r="A562" s="91"/>
      <c r="B562" s="91"/>
      <c r="C562" s="220"/>
      <c r="D562" s="91"/>
      <c r="E562" s="221"/>
      <c r="F562" s="91"/>
      <c r="G562" s="91"/>
      <c r="H562" s="242"/>
      <c r="I562" s="223"/>
      <c r="J562" s="57"/>
      <c r="K562" s="153"/>
      <c r="L562" s="243"/>
      <c r="M562" s="234"/>
      <c r="N562" s="235"/>
      <c r="O562" s="236"/>
      <c r="P562" s="236"/>
      <c r="Q562" s="236"/>
      <c r="R562" s="236"/>
      <c r="S562" s="236"/>
      <c r="T562" s="236"/>
      <c r="U562" s="236"/>
      <c r="V562" s="236"/>
      <c r="W562" s="244"/>
      <c r="X562" s="244"/>
      <c r="Y562" s="237"/>
      <c r="Z562" s="244"/>
      <c r="AA562" s="244"/>
      <c r="AB562" s="244"/>
      <c r="AC562" s="244"/>
      <c r="AD562" s="234"/>
      <c r="AE562" s="234"/>
      <c r="AF562" s="238"/>
      <c r="AG562" s="239"/>
      <c r="AH562" s="238"/>
      <c r="AI562" s="238"/>
      <c r="AJ562" s="234"/>
      <c r="AK562" s="234"/>
      <c r="AL562" s="234"/>
      <c r="AM562" s="234"/>
      <c r="AN562" s="234"/>
      <c r="AO562" s="234"/>
    </row>
    <row r="563" ht="15.75" customHeight="1">
      <c r="A563" s="91"/>
      <c r="B563" s="91"/>
      <c r="C563" s="220"/>
      <c r="D563" s="91"/>
      <c r="E563" s="221"/>
      <c r="F563" s="91"/>
      <c r="G563" s="91"/>
      <c r="H563" s="242"/>
      <c r="I563" s="223"/>
      <c r="J563" s="57"/>
      <c r="K563" s="153"/>
      <c r="L563" s="243"/>
      <c r="M563" s="234"/>
      <c r="N563" s="235"/>
      <c r="O563" s="236"/>
      <c r="P563" s="236"/>
      <c r="Q563" s="236"/>
      <c r="R563" s="236"/>
      <c r="S563" s="236"/>
      <c r="T563" s="236"/>
      <c r="U563" s="236"/>
      <c r="V563" s="236"/>
      <c r="W563" s="244"/>
      <c r="X563" s="244"/>
      <c r="Y563" s="237"/>
      <c r="Z563" s="244"/>
      <c r="AA563" s="244"/>
      <c r="AB563" s="244"/>
      <c r="AC563" s="244"/>
      <c r="AD563" s="234"/>
      <c r="AE563" s="234"/>
      <c r="AF563" s="238"/>
      <c r="AG563" s="239"/>
      <c r="AH563" s="238"/>
      <c r="AI563" s="238"/>
      <c r="AJ563" s="234"/>
      <c r="AK563" s="234"/>
      <c r="AL563" s="234"/>
      <c r="AM563" s="234"/>
      <c r="AN563" s="234"/>
      <c r="AO563" s="234"/>
    </row>
    <row r="564" ht="15.75" customHeight="1">
      <c r="A564" s="91"/>
      <c r="B564" s="91"/>
      <c r="C564" s="220"/>
      <c r="D564" s="91"/>
      <c r="E564" s="221"/>
      <c r="F564" s="91"/>
      <c r="G564" s="91"/>
      <c r="H564" s="242"/>
      <c r="I564" s="223"/>
      <c r="J564" s="57"/>
      <c r="K564" s="153"/>
      <c r="L564" s="243"/>
      <c r="M564" s="234"/>
      <c r="N564" s="235"/>
      <c r="O564" s="236"/>
      <c r="P564" s="236"/>
      <c r="Q564" s="236"/>
      <c r="R564" s="236"/>
      <c r="S564" s="236"/>
      <c r="T564" s="236"/>
      <c r="U564" s="236"/>
      <c r="V564" s="236"/>
      <c r="W564" s="244"/>
      <c r="X564" s="244"/>
      <c r="Y564" s="237"/>
      <c r="Z564" s="244"/>
      <c r="AA564" s="244"/>
      <c r="AB564" s="244"/>
      <c r="AC564" s="244"/>
      <c r="AD564" s="234"/>
      <c r="AE564" s="234"/>
      <c r="AF564" s="238"/>
      <c r="AG564" s="239"/>
      <c r="AH564" s="238"/>
      <c r="AI564" s="238"/>
      <c r="AJ564" s="234"/>
      <c r="AK564" s="234"/>
      <c r="AL564" s="234"/>
      <c r="AM564" s="234"/>
      <c r="AN564" s="234"/>
      <c r="AO564" s="234"/>
    </row>
    <row r="565" ht="15.75" customHeight="1">
      <c r="A565" s="91"/>
      <c r="B565" s="91"/>
      <c r="C565" s="220"/>
      <c r="D565" s="91"/>
      <c r="E565" s="221"/>
      <c r="F565" s="91"/>
      <c r="G565" s="91"/>
      <c r="H565" s="242"/>
      <c r="I565" s="223"/>
      <c r="J565" s="57"/>
      <c r="K565" s="153"/>
      <c r="L565" s="243"/>
      <c r="M565" s="234"/>
      <c r="N565" s="235"/>
      <c r="O565" s="236"/>
      <c r="P565" s="236"/>
      <c r="Q565" s="236"/>
      <c r="R565" s="236"/>
      <c r="S565" s="236"/>
      <c r="T565" s="236"/>
      <c r="U565" s="236"/>
      <c r="V565" s="236"/>
      <c r="W565" s="244"/>
      <c r="X565" s="244"/>
      <c r="Y565" s="237"/>
      <c r="Z565" s="244"/>
      <c r="AA565" s="244"/>
      <c r="AB565" s="244"/>
      <c r="AC565" s="244"/>
      <c r="AD565" s="234"/>
      <c r="AE565" s="234"/>
      <c r="AF565" s="238"/>
      <c r="AG565" s="239"/>
      <c r="AH565" s="238"/>
      <c r="AI565" s="238"/>
      <c r="AJ565" s="234"/>
      <c r="AK565" s="234"/>
      <c r="AL565" s="234"/>
      <c r="AM565" s="234"/>
      <c r="AN565" s="234"/>
      <c r="AO565" s="234"/>
    </row>
    <row r="566" ht="15.75" customHeight="1">
      <c r="A566" s="91"/>
      <c r="B566" s="91"/>
      <c r="C566" s="220"/>
      <c r="D566" s="91"/>
      <c r="E566" s="221"/>
      <c r="F566" s="91"/>
      <c r="G566" s="91"/>
      <c r="H566" s="242"/>
      <c r="I566" s="223"/>
      <c r="J566" s="57"/>
      <c r="K566" s="153"/>
      <c r="L566" s="243"/>
      <c r="M566" s="234"/>
      <c r="N566" s="235"/>
      <c r="O566" s="236"/>
      <c r="P566" s="236"/>
      <c r="Q566" s="236"/>
      <c r="R566" s="236"/>
      <c r="S566" s="236"/>
      <c r="T566" s="236"/>
      <c r="U566" s="236"/>
      <c r="V566" s="236"/>
      <c r="W566" s="244"/>
      <c r="X566" s="244"/>
      <c r="Y566" s="237"/>
      <c r="Z566" s="244"/>
      <c r="AA566" s="244"/>
      <c r="AB566" s="244"/>
      <c r="AC566" s="244"/>
      <c r="AD566" s="234"/>
      <c r="AE566" s="234"/>
      <c r="AF566" s="238"/>
      <c r="AG566" s="239"/>
      <c r="AH566" s="238"/>
      <c r="AI566" s="238"/>
      <c r="AJ566" s="234"/>
      <c r="AK566" s="234"/>
      <c r="AL566" s="234"/>
      <c r="AM566" s="234"/>
      <c r="AN566" s="234"/>
      <c r="AO566" s="234"/>
    </row>
    <row r="567" ht="15.75" customHeight="1">
      <c r="A567" s="91"/>
      <c r="B567" s="91"/>
      <c r="C567" s="220"/>
      <c r="D567" s="91"/>
      <c r="E567" s="221"/>
      <c r="F567" s="91"/>
      <c r="G567" s="91"/>
      <c r="H567" s="242"/>
      <c r="I567" s="223"/>
      <c r="J567" s="57"/>
      <c r="K567" s="153"/>
      <c r="L567" s="243"/>
      <c r="M567" s="234"/>
      <c r="N567" s="235"/>
      <c r="O567" s="236"/>
      <c r="P567" s="236"/>
      <c r="Q567" s="236"/>
      <c r="R567" s="236"/>
      <c r="S567" s="236"/>
      <c r="T567" s="236"/>
      <c r="U567" s="236"/>
      <c r="V567" s="236"/>
      <c r="W567" s="244"/>
      <c r="X567" s="244"/>
      <c r="Y567" s="237"/>
      <c r="Z567" s="244"/>
      <c r="AA567" s="244"/>
      <c r="AB567" s="244"/>
      <c r="AC567" s="244"/>
      <c r="AD567" s="234"/>
      <c r="AE567" s="234"/>
      <c r="AF567" s="238"/>
      <c r="AG567" s="239"/>
      <c r="AH567" s="238"/>
      <c r="AI567" s="238"/>
      <c r="AJ567" s="234"/>
      <c r="AK567" s="234"/>
      <c r="AL567" s="234"/>
      <c r="AM567" s="234"/>
      <c r="AN567" s="234"/>
      <c r="AO567" s="234"/>
    </row>
    <row r="568" ht="15.75" customHeight="1">
      <c r="A568" s="91"/>
      <c r="B568" s="91"/>
      <c r="C568" s="220"/>
      <c r="D568" s="91"/>
      <c r="E568" s="221"/>
      <c r="F568" s="91"/>
      <c r="G568" s="91"/>
      <c r="H568" s="242"/>
      <c r="I568" s="223"/>
      <c r="J568" s="57"/>
      <c r="K568" s="153"/>
      <c r="L568" s="243"/>
      <c r="M568" s="234"/>
      <c r="N568" s="235"/>
      <c r="O568" s="236"/>
      <c r="P568" s="236"/>
      <c r="Q568" s="236"/>
      <c r="R568" s="236"/>
      <c r="S568" s="236"/>
      <c r="T568" s="236"/>
      <c r="U568" s="236"/>
      <c r="V568" s="236"/>
      <c r="W568" s="244"/>
      <c r="X568" s="244"/>
      <c r="Y568" s="237"/>
      <c r="Z568" s="244"/>
      <c r="AA568" s="244"/>
      <c r="AB568" s="244"/>
      <c r="AC568" s="244"/>
      <c r="AD568" s="234"/>
      <c r="AE568" s="234"/>
      <c r="AF568" s="238"/>
      <c r="AG568" s="239"/>
      <c r="AH568" s="238"/>
      <c r="AI568" s="238"/>
      <c r="AJ568" s="234"/>
      <c r="AK568" s="234"/>
      <c r="AL568" s="234"/>
      <c r="AM568" s="234"/>
      <c r="AN568" s="234"/>
      <c r="AO568" s="234"/>
    </row>
    <row r="569" ht="15.75" customHeight="1">
      <c r="A569" s="91"/>
      <c r="B569" s="91"/>
      <c r="C569" s="220"/>
      <c r="D569" s="91"/>
      <c r="E569" s="221"/>
      <c r="F569" s="91"/>
      <c r="G569" s="91"/>
      <c r="H569" s="242"/>
      <c r="I569" s="223"/>
      <c r="J569" s="57"/>
      <c r="K569" s="153"/>
      <c r="L569" s="243"/>
      <c r="M569" s="234"/>
      <c r="N569" s="235"/>
      <c r="O569" s="236"/>
      <c r="P569" s="236"/>
      <c r="Q569" s="236"/>
      <c r="R569" s="236"/>
      <c r="S569" s="236"/>
      <c r="T569" s="236"/>
      <c r="U569" s="236"/>
      <c r="V569" s="236"/>
      <c r="W569" s="244"/>
      <c r="X569" s="244"/>
      <c r="Y569" s="237"/>
      <c r="Z569" s="244"/>
      <c r="AA569" s="244"/>
      <c r="AB569" s="244"/>
      <c r="AC569" s="244"/>
      <c r="AD569" s="234"/>
      <c r="AE569" s="234"/>
      <c r="AF569" s="238"/>
      <c r="AG569" s="239"/>
      <c r="AH569" s="238"/>
      <c r="AI569" s="238"/>
      <c r="AJ569" s="234"/>
      <c r="AK569" s="234"/>
      <c r="AL569" s="234"/>
      <c r="AM569" s="234"/>
      <c r="AN569" s="234"/>
      <c r="AO569" s="234"/>
    </row>
    <row r="570" ht="15.75" customHeight="1">
      <c r="A570" s="91"/>
      <c r="B570" s="91"/>
      <c r="C570" s="220"/>
      <c r="D570" s="91"/>
      <c r="E570" s="221"/>
      <c r="F570" s="91"/>
      <c r="G570" s="91"/>
      <c r="H570" s="242"/>
      <c r="I570" s="223"/>
      <c r="J570" s="57"/>
      <c r="K570" s="153"/>
      <c r="L570" s="243"/>
      <c r="M570" s="234"/>
      <c r="N570" s="235"/>
      <c r="O570" s="236"/>
      <c r="P570" s="236"/>
      <c r="Q570" s="236"/>
      <c r="R570" s="236"/>
      <c r="S570" s="236"/>
      <c r="T570" s="236"/>
      <c r="U570" s="236"/>
      <c r="V570" s="236"/>
      <c r="W570" s="244"/>
      <c r="X570" s="244"/>
      <c r="Y570" s="237"/>
      <c r="Z570" s="244"/>
      <c r="AA570" s="244"/>
      <c r="AB570" s="244"/>
      <c r="AC570" s="244"/>
      <c r="AD570" s="234"/>
      <c r="AE570" s="234"/>
      <c r="AF570" s="238"/>
      <c r="AG570" s="239"/>
      <c r="AH570" s="238"/>
      <c r="AI570" s="238"/>
      <c r="AJ570" s="234"/>
      <c r="AK570" s="234"/>
      <c r="AL570" s="234"/>
      <c r="AM570" s="234"/>
      <c r="AN570" s="234"/>
      <c r="AO570" s="234"/>
    </row>
    <row r="571" ht="15.75" customHeight="1">
      <c r="A571" s="91"/>
      <c r="B571" s="91"/>
      <c r="C571" s="220"/>
      <c r="D571" s="91"/>
      <c r="E571" s="221"/>
      <c r="F571" s="91"/>
      <c r="G571" s="91"/>
      <c r="H571" s="242"/>
      <c r="I571" s="223"/>
      <c r="J571" s="57"/>
      <c r="K571" s="153"/>
      <c r="L571" s="243"/>
      <c r="M571" s="234"/>
      <c r="N571" s="235"/>
      <c r="O571" s="236"/>
      <c r="P571" s="236"/>
      <c r="Q571" s="236"/>
      <c r="R571" s="236"/>
      <c r="S571" s="236"/>
      <c r="T571" s="236"/>
      <c r="U571" s="236"/>
      <c r="V571" s="236"/>
      <c r="W571" s="244"/>
      <c r="X571" s="244"/>
      <c r="Y571" s="237"/>
      <c r="Z571" s="244"/>
      <c r="AA571" s="244"/>
      <c r="AB571" s="244"/>
      <c r="AC571" s="244"/>
      <c r="AD571" s="234"/>
      <c r="AE571" s="234"/>
      <c r="AF571" s="238"/>
      <c r="AG571" s="239"/>
      <c r="AH571" s="238"/>
      <c r="AI571" s="238"/>
      <c r="AJ571" s="234"/>
      <c r="AK571" s="234"/>
      <c r="AL571" s="234"/>
      <c r="AM571" s="234"/>
      <c r="AN571" s="234"/>
      <c r="AO571" s="234"/>
    </row>
    <row r="572" ht="15.75" customHeight="1">
      <c r="A572" s="91"/>
      <c r="B572" s="91"/>
      <c r="C572" s="220"/>
      <c r="D572" s="91"/>
      <c r="E572" s="221"/>
      <c r="F572" s="91"/>
      <c r="G572" s="91"/>
      <c r="H572" s="242"/>
      <c r="I572" s="223"/>
      <c r="J572" s="57"/>
      <c r="K572" s="153"/>
      <c r="L572" s="243"/>
      <c r="M572" s="234"/>
      <c r="N572" s="235"/>
      <c r="O572" s="236"/>
      <c r="P572" s="236"/>
      <c r="Q572" s="236"/>
      <c r="R572" s="236"/>
      <c r="S572" s="236"/>
      <c r="T572" s="236"/>
      <c r="U572" s="236"/>
      <c r="V572" s="236"/>
      <c r="W572" s="244"/>
      <c r="X572" s="244"/>
      <c r="Y572" s="237"/>
      <c r="Z572" s="244"/>
      <c r="AA572" s="244"/>
      <c r="AB572" s="244"/>
      <c r="AC572" s="244"/>
      <c r="AD572" s="234"/>
      <c r="AE572" s="234"/>
      <c r="AF572" s="238"/>
      <c r="AG572" s="239"/>
      <c r="AH572" s="238"/>
      <c r="AI572" s="238"/>
      <c r="AJ572" s="234"/>
      <c r="AK572" s="234"/>
      <c r="AL572" s="234"/>
      <c r="AM572" s="234"/>
      <c r="AN572" s="234"/>
      <c r="AO572" s="234"/>
    </row>
    <row r="573" ht="15.75" customHeight="1">
      <c r="A573" s="91"/>
      <c r="B573" s="91"/>
      <c r="C573" s="220"/>
      <c r="D573" s="91"/>
      <c r="E573" s="221"/>
      <c r="F573" s="91"/>
      <c r="G573" s="91"/>
      <c r="H573" s="242"/>
      <c r="I573" s="223"/>
      <c r="J573" s="57"/>
      <c r="K573" s="153"/>
      <c r="L573" s="243"/>
      <c r="M573" s="234"/>
      <c r="N573" s="235"/>
      <c r="O573" s="236"/>
      <c r="P573" s="236"/>
      <c r="Q573" s="236"/>
      <c r="R573" s="236"/>
      <c r="S573" s="236"/>
      <c r="T573" s="236"/>
      <c r="U573" s="236"/>
      <c r="V573" s="236"/>
      <c r="W573" s="244"/>
      <c r="X573" s="244"/>
      <c r="Y573" s="237"/>
      <c r="Z573" s="244"/>
      <c r="AA573" s="244"/>
      <c r="AB573" s="244"/>
      <c r="AC573" s="244"/>
      <c r="AD573" s="234"/>
      <c r="AE573" s="234"/>
      <c r="AF573" s="238"/>
      <c r="AG573" s="239"/>
      <c r="AH573" s="238"/>
      <c r="AI573" s="238"/>
      <c r="AJ573" s="234"/>
      <c r="AK573" s="234"/>
      <c r="AL573" s="234"/>
      <c r="AM573" s="234"/>
      <c r="AN573" s="234"/>
      <c r="AO573" s="234"/>
    </row>
    <row r="574" ht="15.75" customHeight="1">
      <c r="A574" s="91"/>
      <c r="B574" s="91"/>
      <c r="C574" s="220"/>
      <c r="D574" s="91"/>
      <c r="E574" s="221"/>
      <c r="F574" s="91"/>
      <c r="G574" s="91"/>
      <c r="H574" s="242"/>
      <c r="I574" s="223"/>
      <c r="J574" s="57"/>
      <c r="K574" s="153"/>
      <c r="L574" s="243"/>
      <c r="M574" s="234"/>
      <c r="N574" s="235"/>
      <c r="O574" s="236"/>
      <c r="P574" s="236"/>
      <c r="Q574" s="236"/>
      <c r="R574" s="236"/>
      <c r="S574" s="236"/>
      <c r="T574" s="236"/>
      <c r="U574" s="236"/>
      <c r="V574" s="236"/>
      <c r="W574" s="244"/>
      <c r="X574" s="244"/>
      <c r="Y574" s="237"/>
      <c r="Z574" s="244"/>
      <c r="AA574" s="244"/>
      <c r="AB574" s="244"/>
      <c r="AC574" s="244"/>
      <c r="AD574" s="234"/>
      <c r="AE574" s="234"/>
      <c r="AF574" s="238"/>
      <c r="AG574" s="239"/>
      <c r="AH574" s="238"/>
      <c r="AI574" s="238"/>
      <c r="AJ574" s="234"/>
      <c r="AK574" s="234"/>
      <c r="AL574" s="234"/>
      <c r="AM574" s="234"/>
      <c r="AN574" s="234"/>
      <c r="AO574" s="234"/>
    </row>
    <row r="575" ht="15.75" customHeight="1">
      <c r="A575" s="91"/>
      <c r="B575" s="91"/>
      <c r="C575" s="220"/>
      <c r="D575" s="91"/>
      <c r="E575" s="221"/>
      <c r="F575" s="91"/>
      <c r="G575" s="91"/>
      <c r="H575" s="242"/>
      <c r="I575" s="223"/>
      <c r="J575" s="57"/>
      <c r="K575" s="153"/>
      <c r="L575" s="243"/>
      <c r="M575" s="234"/>
      <c r="N575" s="235"/>
      <c r="O575" s="236"/>
      <c r="P575" s="236"/>
      <c r="Q575" s="236"/>
      <c r="R575" s="236"/>
      <c r="S575" s="236"/>
      <c r="T575" s="236"/>
      <c r="U575" s="236"/>
      <c r="V575" s="236"/>
      <c r="W575" s="244"/>
      <c r="X575" s="244"/>
      <c r="Y575" s="237"/>
      <c r="Z575" s="244"/>
      <c r="AA575" s="244"/>
      <c r="AB575" s="244"/>
      <c r="AC575" s="244"/>
      <c r="AD575" s="234"/>
      <c r="AE575" s="234"/>
      <c r="AF575" s="238"/>
      <c r="AG575" s="239"/>
      <c r="AH575" s="238"/>
      <c r="AI575" s="238"/>
      <c r="AJ575" s="234"/>
      <c r="AK575" s="234"/>
      <c r="AL575" s="234"/>
      <c r="AM575" s="234"/>
      <c r="AN575" s="234"/>
      <c r="AO575" s="234"/>
    </row>
    <row r="576" ht="15.75" customHeight="1">
      <c r="A576" s="91"/>
      <c r="B576" s="91"/>
      <c r="C576" s="220"/>
      <c r="D576" s="91"/>
      <c r="E576" s="221"/>
      <c r="F576" s="91"/>
      <c r="G576" s="91"/>
      <c r="H576" s="242"/>
      <c r="I576" s="223"/>
      <c r="J576" s="57"/>
      <c r="K576" s="153"/>
      <c r="L576" s="243"/>
      <c r="M576" s="234"/>
      <c r="N576" s="235"/>
      <c r="O576" s="236"/>
      <c r="P576" s="236"/>
      <c r="Q576" s="236"/>
      <c r="R576" s="236"/>
      <c r="S576" s="236"/>
      <c r="T576" s="236"/>
      <c r="U576" s="236"/>
      <c r="V576" s="236"/>
      <c r="W576" s="244"/>
      <c r="X576" s="244"/>
      <c r="Y576" s="237"/>
      <c r="Z576" s="244"/>
      <c r="AA576" s="244"/>
      <c r="AB576" s="244"/>
      <c r="AC576" s="244"/>
      <c r="AD576" s="234"/>
      <c r="AE576" s="234"/>
      <c r="AF576" s="238"/>
      <c r="AG576" s="239"/>
      <c r="AH576" s="238"/>
      <c r="AI576" s="238"/>
      <c r="AJ576" s="234"/>
      <c r="AK576" s="234"/>
      <c r="AL576" s="234"/>
      <c r="AM576" s="234"/>
      <c r="AN576" s="234"/>
      <c r="AO576" s="234"/>
    </row>
    <row r="577" ht="15.75" customHeight="1">
      <c r="A577" s="91"/>
      <c r="B577" s="91"/>
      <c r="C577" s="220"/>
      <c r="D577" s="91"/>
      <c r="E577" s="221"/>
      <c r="F577" s="91"/>
      <c r="G577" s="91"/>
      <c r="H577" s="242"/>
      <c r="I577" s="223"/>
      <c r="J577" s="57"/>
      <c r="K577" s="153"/>
      <c r="L577" s="243"/>
      <c r="M577" s="234"/>
      <c r="N577" s="235"/>
      <c r="O577" s="236"/>
      <c r="P577" s="236"/>
      <c r="Q577" s="236"/>
      <c r="R577" s="236"/>
      <c r="S577" s="236"/>
      <c r="T577" s="236"/>
      <c r="U577" s="236"/>
      <c r="V577" s="236"/>
      <c r="W577" s="244"/>
      <c r="X577" s="244"/>
      <c r="Y577" s="237"/>
      <c r="Z577" s="244"/>
      <c r="AA577" s="244"/>
      <c r="AB577" s="244"/>
      <c r="AC577" s="244"/>
      <c r="AD577" s="234"/>
      <c r="AE577" s="234"/>
      <c r="AF577" s="238"/>
      <c r="AG577" s="239"/>
      <c r="AH577" s="238"/>
      <c r="AI577" s="238"/>
      <c r="AJ577" s="234"/>
      <c r="AK577" s="234"/>
      <c r="AL577" s="234"/>
      <c r="AM577" s="234"/>
      <c r="AN577" s="234"/>
      <c r="AO577" s="234"/>
    </row>
    <row r="578" ht="15.75" customHeight="1">
      <c r="A578" s="91"/>
      <c r="B578" s="91"/>
      <c r="C578" s="220"/>
      <c r="D578" s="91"/>
      <c r="E578" s="221"/>
      <c r="F578" s="91"/>
      <c r="G578" s="91"/>
      <c r="H578" s="242"/>
      <c r="I578" s="223"/>
      <c r="J578" s="57"/>
      <c r="K578" s="153"/>
      <c r="L578" s="243"/>
      <c r="M578" s="234"/>
      <c r="N578" s="235"/>
      <c r="O578" s="236"/>
      <c r="P578" s="236"/>
      <c r="Q578" s="236"/>
      <c r="R578" s="236"/>
      <c r="S578" s="236"/>
      <c r="T578" s="236"/>
      <c r="U578" s="236"/>
      <c r="V578" s="236"/>
      <c r="W578" s="244"/>
      <c r="X578" s="244"/>
      <c r="Y578" s="237"/>
      <c r="Z578" s="244"/>
      <c r="AA578" s="244"/>
      <c r="AB578" s="244"/>
      <c r="AC578" s="244"/>
      <c r="AD578" s="234"/>
      <c r="AE578" s="234"/>
      <c r="AF578" s="238"/>
      <c r="AG578" s="239"/>
      <c r="AH578" s="238"/>
      <c r="AI578" s="238"/>
      <c r="AJ578" s="234"/>
      <c r="AK578" s="234"/>
      <c r="AL578" s="234"/>
      <c r="AM578" s="234"/>
      <c r="AN578" s="234"/>
      <c r="AO578" s="234"/>
    </row>
    <row r="579" ht="15.75" customHeight="1">
      <c r="A579" s="91"/>
      <c r="B579" s="91"/>
      <c r="C579" s="220"/>
      <c r="D579" s="91"/>
      <c r="E579" s="221"/>
      <c r="F579" s="91"/>
      <c r="G579" s="91"/>
      <c r="H579" s="242"/>
      <c r="I579" s="223"/>
      <c r="J579" s="57"/>
      <c r="K579" s="153"/>
      <c r="L579" s="243"/>
      <c r="M579" s="234"/>
      <c r="N579" s="235"/>
      <c r="O579" s="236"/>
      <c r="P579" s="236"/>
      <c r="Q579" s="236"/>
      <c r="R579" s="236"/>
      <c r="S579" s="236"/>
      <c r="T579" s="236"/>
      <c r="U579" s="236"/>
      <c r="V579" s="236"/>
      <c r="W579" s="244"/>
      <c r="X579" s="244"/>
      <c r="Y579" s="237"/>
      <c r="Z579" s="244"/>
      <c r="AA579" s="244"/>
      <c r="AB579" s="244"/>
      <c r="AC579" s="244"/>
      <c r="AD579" s="234"/>
      <c r="AE579" s="234"/>
      <c r="AF579" s="238"/>
      <c r="AG579" s="239"/>
      <c r="AH579" s="238"/>
      <c r="AI579" s="238"/>
      <c r="AJ579" s="234"/>
      <c r="AK579" s="234"/>
      <c r="AL579" s="234"/>
      <c r="AM579" s="234"/>
      <c r="AN579" s="234"/>
      <c r="AO579" s="234"/>
    </row>
    <row r="580" ht="15.75" customHeight="1">
      <c r="A580" s="91"/>
      <c r="B580" s="91"/>
      <c r="C580" s="220"/>
      <c r="D580" s="91"/>
      <c r="E580" s="221"/>
      <c r="F580" s="91"/>
      <c r="G580" s="91"/>
      <c r="H580" s="242"/>
      <c r="I580" s="223"/>
      <c r="J580" s="57"/>
      <c r="K580" s="153"/>
      <c r="L580" s="243"/>
      <c r="M580" s="234"/>
      <c r="N580" s="235"/>
      <c r="O580" s="236"/>
      <c r="P580" s="236"/>
      <c r="Q580" s="236"/>
      <c r="R580" s="236"/>
      <c r="S580" s="236"/>
      <c r="T580" s="236"/>
      <c r="U580" s="236"/>
      <c r="V580" s="236"/>
      <c r="W580" s="244"/>
      <c r="X580" s="244"/>
      <c r="Y580" s="237"/>
      <c r="Z580" s="244"/>
      <c r="AA580" s="244"/>
      <c r="AB580" s="244"/>
      <c r="AC580" s="244"/>
      <c r="AD580" s="234"/>
      <c r="AE580" s="234"/>
      <c r="AF580" s="238"/>
      <c r="AG580" s="239"/>
      <c r="AH580" s="238"/>
      <c r="AI580" s="238"/>
      <c r="AJ580" s="234"/>
      <c r="AK580" s="234"/>
      <c r="AL580" s="234"/>
      <c r="AM580" s="234"/>
      <c r="AN580" s="234"/>
      <c r="AO580" s="234"/>
    </row>
    <row r="581" ht="15.75" customHeight="1">
      <c r="A581" s="91"/>
      <c r="B581" s="91"/>
      <c r="C581" s="220"/>
      <c r="D581" s="91"/>
      <c r="E581" s="221"/>
      <c r="F581" s="91"/>
      <c r="G581" s="91"/>
      <c r="H581" s="242"/>
      <c r="I581" s="223"/>
      <c r="J581" s="57"/>
      <c r="K581" s="153"/>
      <c r="L581" s="243"/>
      <c r="M581" s="234"/>
      <c r="N581" s="235"/>
      <c r="O581" s="236"/>
      <c r="P581" s="236"/>
      <c r="Q581" s="236"/>
      <c r="R581" s="236"/>
      <c r="S581" s="236"/>
      <c r="T581" s="236"/>
      <c r="U581" s="236"/>
      <c r="V581" s="236"/>
      <c r="W581" s="244"/>
      <c r="X581" s="244"/>
      <c r="Y581" s="237"/>
      <c r="Z581" s="244"/>
      <c r="AA581" s="244"/>
      <c r="AB581" s="244"/>
      <c r="AC581" s="244"/>
      <c r="AD581" s="234"/>
      <c r="AE581" s="234"/>
      <c r="AF581" s="238"/>
      <c r="AG581" s="239"/>
      <c r="AH581" s="238"/>
      <c r="AI581" s="238"/>
      <c r="AJ581" s="234"/>
      <c r="AK581" s="234"/>
      <c r="AL581" s="234"/>
      <c r="AM581" s="234"/>
      <c r="AN581" s="234"/>
      <c r="AO581" s="234"/>
    </row>
    <row r="582" ht="15.75" customHeight="1">
      <c r="A582" s="91"/>
      <c r="B582" s="91"/>
      <c r="C582" s="220"/>
      <c r="D582" s="91"/>
      <c r="E582" s="221"/>
      <c r="F582" s="91"/>
      <c r="G582" s="91"/>
      <c r="H582" s="242"/>
      <c r="I582" s="223"/>
      <c r="J582" s="57"/>
      <c r="K582" s="153"/>
      <c r="L582" s="243"/>
      <c r="M582" s="234"/>
      <c r="N582" s="235"/>
      <c r="O582" s="236"/>
      <c r="P582" s="236"/>
      <c r="Q582" s="236"/>
      <c r="R582" s="236"/>
      <c r="S582" s="236"/>
      <c r="T582" s="236"/>
      <c r="U582" s="236"/>
      <c r="V582" s="236"/>
      <c r="W582" s="244"/>
      <c r="X582" s="244"/>
      <c r="Y582" s="237"/>
      <c r="Z582" s="244"/>
      <c r="AA582" s="244"/>
      <c r="AB582" s="244"/>
      <c r="AC582" s="244"/>
      <c r="AD582" s="234"/>
      <c r="AE582" s="234"/>
      <c r="AF582" s="238"/>
      <c r="AG582" s="239"/>
      <c r="AH582" s="238"/>
      <c r="AI582" s="238"/>
      <c r="AJ582" s="234"/>
      <c r="AK582" s="234"/>
      <c r="AL582" s="234"/>
      <c r="AM582" s="234"/>
      <c r="AN582" s="234"/>
      <c r="AO582" s="234"/>
    </row>
    <row r="583" ht="15.75" customHeight="1">
      <c r="A583" s="91"/>
      <c r="B583" s="91"/>
      <c r="C583" s="220"/>
      <c r="D583" s="91"/>
      <c r="E583" s="221"/>
      <c r="F583" s="91"/>
      <c r="G583" s="91"/>
      <c r="H583" s="242"/>
      <c r="I583" s="223"/>
      <c r="J583" s="57"/>
      <c r="K583" s="153"/>
      <c r="L583" s="243"/>
      <c r="M583" s="234"/>
      <c r="N583" s="235"/>
      <c r="O583" s="236"/>
      <c r="P583" s="236"/>
      <c r="Q583" s="236"/>
      <c r="R583" s="236"/>
      <c r="S583" s="236"/>
      <c r="T583" s="236"/>
      <c r="U583" s="236"/>
      <c r="V583" s="236"/>
      <c r="W583" s="244"/>
      <c r="X583" s="244"/>
      <c r="Y583" s="237"/>
      <c r="Z583" s="244"/>
      <c r="AA583" s="244"/>
      <c r="AB583" s="244"/>
      <c r="AC583" s="244"/>
      <c r="AD583" s="234"/>
      <c r="AE583" s="234"/>
      <c r="AF583" s="238"/>
      <c r="AG583" s="239"/>
      <c r="AH583" s="238"/>
      <c r="AI583" s="238"/>
      <c r="AJ583" s="234"/>
      <c r="AK583" s="234"/>
      <c r="AL583" s="234"/>
      <c r="AM583" s="234"/>
      <c r="AN583" s="234"/>
      <c r="AO583" s="234"/>
    </row>
    <row r="584" ht="15.75" customHeight="1">
      <c r="A584" s="91"/>
      <c r="B584" s="91"/>
      <c r="C584" s="220"/>
      <c r="D584" s="91"/>
      <c r="E584" s="221"/>
      <c r="F584" s="91"/>
      <c r="G584" s="91"/>
      <c r="H584" s="242"/>
      <c r="I584" s="223"/>
      <c r="J584" s="57"/>
      <c r="K584" s="153"/>
      <c r="L584" s="243"/>
      <c r="M584" s="234"/>
      <c r="N584" s="235"/>
      <c r="O584" s="236"/>
      <c r="P584" s="236"/>
      <c r="Q584" s="236"/>
      <c r="R584" s="236"/>
      <c r="S584" s="236"/>
      <c r="T584" s="236"/>
      <c r="U584" s="236"/>
      <c r="V584" s="236"/>
      <c r="W584" s="244"/>
      <c r="X584" s="244"/>
      <c r="Y584" s="237"/>
      <c r="Z584" s="244"/>
      <c r="AA584" s="244"/>
      <c r="AB584" s="244"/>
      <c r="AC584" s="244"/>
      <c r="AD584" s="234"/>
      <c r="AE584" s="234"/>
      <c r="AF584" s="238"/>
      <c r="AG584" s="239"/>
      <c r="AH584" s="238"/>
      <c r="AI584" s="238"/>
      <c r="AJ584" s="234"/>
      <c r="AK584" s="234"/>
      <c r="AL584" s="234"/>
      <c r="AM584" s="234"/>
      <c r="AN584" s="234"/>
      <c r="AO584" s="234"/>
    </row>
    <row r="585" ht="15.75" customHeight="1">
      <c r="A585" s="91"/>
      <c r="B585" s="91"/>
      <c r="C585" s="220"/>
      <c r="D585" s="91"/>
      <c r="E585" s="221"/>
      <c r="F585" s="91"/>
      <c r="G585" s="91"/>
      <c r="H585" s="242"/>
      <c r="I585" s="223"/>
      <c r="J585" s="57"/>
      <c r="K585" s="153"/>
      <c r="L585" s="243"/>
      <c r="M585" s="234"/>
      <c r="N585" s="235"/>
      <c r="O585" s="236"/>
      <c r="P585" s="236"/>
      <c r="Q585" s="236"/>
      <c r="R585" s="236"/>
      <c r="S585" s="236"/>
      <c r="T585" s="236"/>
      <c r="U585" s="236"/>
      <c r="V585" s="236"/>
      <c r="W585" s="244"/>
      <c r="X585" s="244"/>
      <c r="Y585" s="237"/>
      <c r="Z585" s="244"/>
      <c r="AA585" s="244"/>
      <c r="AB585" s="244"/>
      <c r="AC585" s="244"/>
      <c r="AD585" s="234"/>
      <c r="AE585" s="234"/>
      <c r="AF585" s="238"/>
      <c r="AG585" s="239"/>
      <c r="AH585" s="238"/>
      <c r="AI585" s="238"/>
      <c r="AJ585" s="234"/>
      <c r="AK585" s="234"/>
      <c r="AL585" s="234"/>
      <c r="AM585" s="234"/>
      <c r="AN585" s="234"/>
      <c r="AO585" s="234"/>
    </row>
    <row r="586" ht="15.75" customHeight="1">
      <c r="A586" s="91"/>
      <c r="B586" s="91"/>
      <c r="C586" s="220"/>
      <c r="D586" s="91"/>
      <c r="E586" s="221"/>
      <c r="F586" s="91"/>
      <c r="G586" s="91"/>
      <c r="H586" s="242"/>
      <c r="I586" s="223"/>
      <c r="J586" s="57"/>
      <c r="K586" s="153"/>
      <c r="L586" s="243"/>
      <c r="M586" s="234"/>
      <c r="N586" s="235"/>
      <c r="O586" s="236"/>
      <c r="P586" s="236"/>
      <c r="Q586" s="236"/>
      <c r="R586" s="236"/>
      <c r="S586" s="236"/>
      <c r="T586" s="236"/>
      <c r="U586" s="236"/>
      <c r="V586" s="236"/>
      <c r="W586" s="244"/>
      <c r="X586" s="244"/>
      <c r="Y586" s="237"/>
      <c r="Z586" s="244"/>
      <c r="AA586" s="244"/>
      <c r="AB586" s="244"/>
      <c r="AC586" s="244"/>
      <c r="AD586" s="234"/>
      <c r="AE586" s="234"/>
      <c r="AF586" s="238"/>
      <c r="AG586" s="239"/>
      <c r="AH586" s="238"/>
      <c r="AI586" s="238"/>
      <c r="AJ586" s="234"/>
      <c r="AK586" s="234"/>
      <c r="AL586" s="234"/>
      <c r="AM586" s="234"/>
      <c r="AN586" s="234"/>
      <c r="AO586" s="234"/>
    </row>
    <row r="587" ht="15.75" customHeight="1">
      <c r="A587" s="91"/>
      <c r="B587" s="91"/>
      <c r="C587" s="220"/>
      <c r="D587" s="91"/>
      <c r="E587" s="221"/>
      <c r="F587" s="91"/>
      <c r="G587" s="91"/>
      <c r="H587" s="242"/>
      <c r="I587" s="223"/>
      <c r="J587" s="57"/>
      <c r="K587" s="153"/>
      <c r="L587" s="243"/>
      <c r="M587" s="234"/>
      <c r="N587" s="235"/>
      <c r="O587" s="236"/>
      <c r="P587" s="236"/>
      <c r="Q587" s="236"/>
      <c r="R587" s="236"/>
      <c r="S587" s="236"/>
      <c r="T587" s="236"/>
      <c r="U587" s="236"/>
      <c r="V587" s="236"/>
      <c r="W587" s="244"/>
      <c r="X587" s="244"/>
      <c r="Y587" s="237"/>
      <c r="Z587" s="244"/>
      <c r="AA587" s="244"/>
      <c r="AB587" s="244"/>
      <c r="AC587" s="244"/>
      <c r="AD587" s="234"/>
      <c r="AE587" s="234"/>
      <c r="AF587" s="238"/>
      <c r="AG587" s="239"/>
      <c r="AH587" s="238"/>
      <c r="AI587" s="238"/>
      <c r="AJ587" s="234"/>
      <c r="AK587" s="234"/>
      <c r="AL587" s="234"/>
      <c r="AM587" s="234"/>
      <c r="AN587" s="234"/>
      <c r="AO587" s="234"/>
    </row>
    <row r="588" ht="15.75" customHeight="1">
      <c r="A588" s="91"/>
      <c r="B588" s="91"/>
      <c r="C588" s="220"/>
      <c r="D588" s="91"/>
      <c r="E588" s="221"/>
      <c r="F588" s="91"/>
      <c r="G588" s="91"/>
      <c r="H588" s="242"/>
      <c r="I588" s="223"/>
      <c r="J588" s="57"/>
      <c r="K588" s="153"/>
      <c r="L588" s="243"/>
      <c r="M588" s="234"/>
      <c r="N588" s="235"/>
      <c r="O588" s="236"/>
      <c r="P588" s="236"/>
      <c r="Q588" s="236"/>
      <c r="R588" s="236"/>
      <c r="S588" s="236"/>
      <c r="T588" s="236"/>
      <c r="U588" s="236"/>
      <c r="V588" s="236"/>
      <c r="W588" s="244"/>
      <c r="X588" s="244"/>
      <c r="Y588" s="237"/>
      <c r="Z588" s="244"/>
      <c r="AA588" s="244"/>
      <c r="AB588" s="244"/>
      <c r="AC588" s="244"/>
      <c r="AD588" s="234"/>
      <c r="AE588" s="234"/>
      <c r="AF588" s="238"/>
      <c r="AG588" s="239"/>
      <c r="AH588" s="238"/>
      <c r="AI588" s="238"/>
      <c r="AJ588" s="234"/>
      <c r="AK588" s="234"/>
      <c r="AL588" s="234"/>
      <c r="AM588" s="234"/>
      <c r="AN588" s="234"/>
      <c r="AO588" s="234"/>
    </row>
    <row r="589" ht="15.75" customHeight="1">
      <c r="A589" s="91"/>
      <c r="B589" s="91"/>
      <c r="C589" s="220"/>
      <c r="D589" s="91"/>
      <c r="E589" s="221"/>
      <c r="F589" s="91"/>
      <c r="G589" s="91"/>
      <c r="H589" s="242"/>
      <c r="I589" s="223"/>
      <c r="J589" s="57"/>
      <c r="K589" s="153"/>
      <c r="L589" s="243"/>
      <c r="M589" s="234"/>
      <c r="N589" s="235"/>
      <c r="O589" s="236"/>
      <c r="P589" s="236"/>
      <c r="Q589" s="236"/>
      <c r="R589" s="236"/>
      <c r="S589" s="236"/>
      <c r="T589" s="236"/>
      <c r="U589" s="236"/>
      <c r="V589" s="236"/>
      <c r="W589" s="244"/>
      <c r="X589" s="244"/>
      <c r="Y589" s="237"/>
      <c r="Z589" s="244"/>
      <c r="AA589" s="244"/>
      <c r="AB589" s="244"/>
      <c r="AC589" s="244"/>
      <c r="AD589" s="234"/>
      <c r="AE589" s="234"/>
      <c r="AF589" s="238"/>
      <c r="AG589" s="239"/>
      <c r="AH589" s="238"/>
      <c r="AI589" s="238"/>
      <c r="AJ589" s="234"/>
      <c r="AK589" s="234"/>
      <c r="AL589" s="234"/>
      <c r="AM589" s="234"/>
      <c r="AN589" s="234"/>
      <c r="AO589" s="234"/>
    </row>
    <row r="590" ht="15.75" customHeight="1">
      <c r="A590" s="91"/>
      <c r="B590" s="91"/>
      <c r="C590" s="220"/>
      <c r="D590" s="91"/>
      <c r="E590" s="221"/>
      <c r="F590" s="91"/>
      <c r="G590" s="91"/>
      <c r="H590" s="242"/>
      <c r="I590" s="223"/>
      <c r="J590" s="57"/>
      <c r="K590" s="153"/>
      <c r="L590" s="243"/>
      <c r="M590" s="234"/>
      <c r="N590" s="235"/>
      <c r="O590" s="236"/>
      <c r="P590" s="236"/>
      <c r="Q590" s="236"/>
      <c r="R590" s="236"/>
      <c r="S590" s="236"/>
      <c r="T590" s="236"/>
      <c r="U590" s="236"/>
      <c r="V590" s="236"/>
      <c r="W590" s="244"/>
      <c r="X590" s="244"/>
      <c r="Y590" s="237"/>
      <c r="Z590" s="244"/>
      <c r="AA590" s="244"/>
      <c r="AB590" s="244"/>
      <c r="AC590" s="244"/>
      <c r="AD590" s="234"/>
      <c r="AE590" s="234"/>
      <c r="AF590" s="238"/>
      <c r="AG590" s="239"/>
      <c r="AH590" s="238"/>
      <c r="AI590" s="238"/>
      <c r="AJ590" s="234"/>
      <c r="AK590" s="234"/>
      <c r="AL590" s="234"/>
      <c r="AM590" s="234"/>
      <c r="AN590" s="234"/>
      <c r="AO590" s="234"/>
    </row>
    <row r="591" ht="15.75" customHeight="1">
      <c r="A591" s="91"/>
      <c r="B591" s="91"/>
      <c r="C591" s="220"/>
      <c r="D591" s="91"/>
      <c r="E591" s="221"/>
      <c r="F591" s="91"/>
      <c r="G591" s="91"/>
      <c r="H591" s="242"/>
      <c r="I591" s="223"/>
      <c r="J591" s="57"/>
      <c r="K591" s="153"/>
      <c r="L591" s="243"/>
      <c r="M591" s="234"/>
      <c r="N591" s="235"/>
      <c r="O591" s="236"/>
      <c r="P591" s="236"/>
      <c r="Q591" s="236"/>
      <c r="R591" s="236"/>
      <c r="S591" s="236"/>
      <c r="T591" s="236"/>
      <c r="U591" s="236"/>
      <c r="V591" s="236"/>
      <c r="W591" s="244"/>
      <c r="X591" s="244"/>
      <c r="Y591" s="237"/>
      <c r="Z591" s="244"/>
      <c r="AA591" s="244"/>
      <c r="AB591" s="244"/>
      <c r="AC591" s="244"/>
      <c r="AD591" s="234"/>
      <c r="AE591" s="234"/>
      <c r="AF591" s="238"/>
      <c r="AG591" s="239"/>
      <c r="AH591" s="238"/>
      <c r="AI591" s="238"/>
      <c r="AJ591" s="234"/>
      <c r="AK591" s="234"/>
      <c r="AL591" s="234"/>
      <c r="AM591" s="234"/>
      <c r="AN591" s="234"/>
      <c r="AO591" s="234"/>
    </row>
    <row r="592" ht="15.75" customHeight="1">
      <c r="A592" s="91"/>
      <c r="B592" s="91"/>
      <c r="C592" s="220"/>
      <c r="D592" s="91"/>
      <c r="E592" s="221"/>
      <c r="F592" s="91"/>
      <c r="G592" s="91"/>
      <c r="H592" s="242"/>
      <c r="I592" s="223"/>
      <c r="J592" s="57"/>
      <c r="K592" s="153"/>
      <c r="L592" s="243"/>
      <c r="M592" s="234"/>
      <c r="N592" s="235"/>
      <c r="O592" s="236"/>
      <c r="P592" s="236"/>
      <c r="Q592" s="236"/>
      <c r="R592" s="236"/>
      <c r="S592" s="236"/>
      <c r="T592" s="236"/>
      <c r="U592" s="236"/>
      <c r="V592" s="236"/>
      <c r="W592" s="244"/>
      <c r="X592" s="244"/>
      <c r="Y592" s="237"/>
      <c r="Z592" s="244"/>
      <c r="AA592" s="244"/>
      <c r="AB592" s="244"/>
      <c r="AC592" s="244"/>
      <c r="AD592" s="234"/>
      <c r="AE592" s="234"/>
      <c r="AF592" s="238"/>
      <c r="AG592" s="239"/>
      <c r="AH592" s="238"/>
      <c r="AI592" s="238"/>
      <c r="AJ592" s="234"/>
      <c r="AK592" s="234"/>
      <c r="AL592" s="234"/>
      <c r="AM592" s="234"/>
      <c r="AN592" s="234"/>
      <c r="AO592" s="234"/>
    </row>
    <row r="593" ht="15.75" customHeight="1">
      <c r="A593" s="91"/>
      <c r="B593" s="91"/>
      <c r="C593" s="220"/>
      <c r="D593" s="91"/>
      <c r="E593" s="221"/>
      <c r="F593" s="91"/>
      <c r="G593" s="91"/>
      <c r="H593" s="242"/>
      <c r="I593" s="223"/>
      <c r="J593" s="57"/>
      <c r="K593" s="153"/>
      <c r="L593" s="243"/>
      <c r="M593" s="234"/>
      <c r="N593" s="235"/>
      <c r="O593" s="236"/>
      <c r="P593" s="236"/>
      <c r="Q593" s="236"/>
      <c r="R593" s="236"/>
      <c r="S593" s="236"/>
      <c r="T593" s="236"/>
      <c r="U593" s="236"/>
      <c r="V593" s="236"/>
      <c r="W593" s="244"/>
      <c r="X593" s="244"/>
      <c r="Y593" s="237"/>
      <c r="Z593" s="244"/>
      <c r="AA593" s="244"/>
      <c r="AB593" s="244"/>
      <c r="AC593" s="244"/>
      <c r="AD593" s="234"/>
      <c r="AE593" s="234"/>
      <c r="AF593" s="238"/>
      <c r="AG593" s="239"/>
      <c r="AH593" s="238"/>
      <c r="AI593" s="238"/>
      <c r="AJ593" s="234"/>
      <c r="AK593" s="234"/>
      <c r="AL593" s="234"/>
      <c r="AM593" s="234"/>
      <c r="AN593" s="234"/>
      <c r="AO593" s="234"/>
    </row>
    <row r="594" ht="15.75" customHeight="1">
      <c r="A594" s="91"/>
      <c r="B594" s="91"/>
      <c r="C594" s="220"/>
      <c r="D594" s="91"/>
      <c r="E594" s="221"/>
      <c r="F594" s="91"/>
      <c r="G594" s="91"/>
      <c r="H594" s="242"/>
      <c r="I594" s="223"/>
      <c r="J594" s="57"/>
      <c r="K594" s="153"/>
      <c r="L594" s="243"/>
      <c r="M594" s="234"/>
      <c r="N594" s="235"/>
      <c r="O594" s="236"/>
      <c r="P594" s="236"/>
      <c r="Q594" s="236"/>
      <c r="R594" s="236"/>
      <c r="S594" s="236"/>
      <c r="T594" s="236"/>
      <c r="U594" s="236"/>
      <c r="V594" s="236"/>
      <c r="W594" s="244"/>
      <c r="X594" s="244"/>
      <c r="Y594" s="237"/>
      <c r="Z594" s="244"/>
      <c r="AA594" s="244"/>
      <c r="AB594" s="244"/>
      <c r="AC594" s="244"/>
      <c r="AD594" s="234"/>
      <c r="AE594" s="234"/>
      <c r="AF594" s="238"/>
      <c r="AG594" s="239"/>
      <c r="AH594" s="238"/>
      <c r="AI594" s="238"/>
      <c r="AJ594" s="234"/>
      <c r="AK594" s="234"/>
      <c r="AL594" s="234"/>
      <c r="AM594" s="234"/>
      <c r="AN594" s="234"/>
      <c r="AO594" s="234"/>
    </row>
    <row r="595" ht="15.75" customHeight="1">
      <c r="A595" s="91"/>
      <c r="B595" s="91"/>
      <c r="C595" s="220"/>
      <c r="D595" s="91"/>
      <c r="E595" s="221"/>
      <c r="F595" s="91"/>
      <c r="G595" s="91"/>
      <c r="H595" s="242"/>
      <c r="I595" s="223"/>
      <c r="J595" s="57"/>
      <c r="K595" s="153"/>
      <c r="L595" s="243"/>
      <c r="M595" s="234"/>
      <c r="N595" s="235"/>
      <c r="O595" s="236"/>
      <c r="P595" s="236"/>
      <c r="Q595" s="236"/>
      <c r="R595" s="236"/>
      <c r="S595" s="236"/>
      <c r="T595" s="236"/>
      <c r="U595" s="236"/>
      <c r="V595" s="236"/>
      <c r="W595" s="244"/>
      <c r="X595" s="244"/>
      <c r="Y595" s="237"/>
      <c r="Z595" s="244"/>
      <c r="AA595" s="244"/>
      <c r="AB595" s="244"/>
      <c r="AC595" s="244"/>
      <c r="AD595" s="234"/>
      <c r="AE595" s="234"/>
      <c r="AF595" s="238"/>
      <c r="AG595" s="239"/>
      <c r="AH595" s="238"/>
      <c r="AI595" s="238"/>
      <c r="AJ595" s="234"/>
      <c r="AK595" s="234"/>
      <c r="AL595" s="234"/>
      <c r="AM595" s="234"/>
      <c r="AN595" s="234"/>
      <c r="AO595" s="234"/>
    </row>
    <row r="596" ht="15.75" customHeight="1">
      <c r="A596" s="91"/>
      <c r="B596" s="91"/>
      <c r="C596" s="220"/>
      <c r="D596" s="91"/>
      <c r="E596" s="221"/>
      <c r="F596" s="91"/>
      <c r="G596" s="91"/>
      <c r="H596" s="242"/>
      <c r="I596" s="223"/>
      <c r="J596" s="57"/>
      <c r="K596" s="153"/>
      <c r="L596" s="243"/>
      <c r="M596" s="234"/>
      <c r="N596" s="235"/>
      <c r="O596" s="236"/>
      <c r="P596" s="236"/>
      <c r="Q596" s="236"/>
      <c r="R596" s="236"/>
      <c r="S596" s="236"/>
      <c r="T596" s="236"/>
      <c r="U596" s="236"/>
      <c r="V596" s="236"/>
      <c r="W596" s="244"/>
      <c r="X596" s="244"/>
      <c r="Y596" s="237"/>
      <c r="Z596" s="244"/>
      <c r="AA596" s="244"/>
      <c r="AB596" s="244"/>
      <c r="AC596" s="244"/>
      <c r="AD596" s="234"/>
      <c r="AE596" s="234"/>
      <c r="AF596" s="238"/>
      <c r="AG596" s="239"/>
      <c r="AH596" s="238"/>
      <c r="AI596" s="238"/>
      <c r="AJ596" s="234"/>
      <c r="AK596" s="234"/>
      <c r="AL596" s="234"/>
      <c r="AM596" s="234"/>
      <c r="AN596" s="234"/>
      <c r="AO596" s="234"/>
    </row>
    <row r="597" ht="15.75" customHeight="1">
      <c r="A597" s="91"/>
      <c r="B597" s="91"/>
      <c r="C597" s="220"/>
      <c r="D597" s="91"/>
      <c r="E597" s="221"/>
      <c r="F597" s="91"/>
      <c r="G597" s="91"/>
      <c r="H597" s="242"/>
      <c r="I597" s="223"/>
      <c r="J597" s="57"/>
      <c r="K597" s="153"/>
      <c r="L597" s="243"/>
      <c r="M597" s="234"/>
      <c r="N597" s="235"/>
      <c r="O597" s="236"/>
      <c r="P597" s="236"/>
      <c r="Q597" s="236"/>
      <c r="R597" s="236"/>
      <c r="S597" s="236"/>
      <c r="T597" s="236"/>
      <c r="U597" s="236"/>
      <c r="V597" s="236"/>
      <c r="W597" s="244"/>
      <c r="X597" s="244"/>
      <c r="Y597" s="237"/>
      <c r="Z597" s="244"/>
      <c r="AA597" s="244"/>
      <c r="AB597" s="244"/>
      <c r="AC597" s="244"/>
      <c r="AD597" s="234"/>
      <c r="AE597" s="234"/>
      <c r="AF597" s="238"/>
      <c r="AG597" s="239"/>
      <c r="AH597" s="238"/>
      <c r="AI597" s="238"/>
      <c r="AJ597" s="234"/>
      <c r="AK597" s="234"/>
      <c r="AL597" s="234"/>
      <c r="AM597" s="234"/>
      <c r="AN597" s="234"/>
      <c r="AO597" s="234"/>
    </row>
    <row r="598" ht="15.75" customHeight="1">
      <c r="A598" s="91"/>
      <c r="B598" s="91"/>
      <c r="C598" s="220"/>
      <c r="D598" s="91"/>
      <c r="E598" s="221"/>
      <c r="F598" s="91"/>
      <c r="G598" s="91"/>
      <c r="H598" s="242"/>
      <c r="I598" s="223"/>
      <c r="J598" s="57"/>
      <c r="K598" s="153"/>
      <c r="L598" s="243"/>
      <c r="M598" s="234"/>
      <c r="N598" s="235"/>
      <c r="O598" s="236"/>
      <c r="P598" s="236"/>
      <c r="Q598" s="236"/>
      <c r="R598" s="236"/>
      <c r="S598" s="236"/>
      <c r="T598" s="236"/>
      <c r="U598" s="236"/>
      <c r="V598" s="236"/>
      <c r="W598" s="244"/>
      <c r="X598" s="244"/>
      <c r="Y598" s="237"/>
      <c r="Z598" s="244"/>
      <c r="AA598" s="244"/>
      <c r="AB598" s="244"/>
      <c r="AC598" s="244"/>
      <c r="AD598" s="234"/>
      <c r="AE598" s="234"/>
      <c r="AF598" s="238"/>
      <c r="AG598" s="239"/>
      <c r="AH598" s="238"/>
      <c r="AI598" s="238"/>
      <c r="AJ598" s="234"/>
      <c r="AK598" s="234"/>
      <c r="AL598" s="234"/>
      <c r="AM598" s="234"/>
      <c r="AN598" s="234"/>
      <c r="AO598" s="234"/>
    </row>
    <row r="599" ht="15.75" customHeight="1">
      <c r="A599" s="91"/>
      <c r="B599" s="91"/>
      <c r="C599" s="220"/>
      <c r="D599" s="91"/>
      <c r="E599" s="221"/>
      <c r="F599" s="91"/>
      <c r="G599" s="91"/>
      <c r="H599" s="242"/>
      <c r="I599" s="223"/>
      <c r="J599" s="57"/>
      <c r="K599" s="153"/>
      <c r="L599" s="243"/>
      <c r="M599" s="234"/>
      <c r="N599" s="235"/>
      <c r="O599" s="236"/>
      <c r="P599" s="236"/>
      <c r="Q599" s="236"/>
      <c r="R599" s="236"/>
      <c r="S599" s="236"/>
      <c r="T599" s="236"/>
      <c r="U599" s="236"/>
      <c r="V599" s="236"/>
      <c r="W599" s="244"/>
      <c r="X599" s="244"/>
      <c r="Y599" s="237"/>
      <c r="Z599" s="244"/>
      <c r="AA599" s="244"/>
      <c r="AB599" s="244"/>
      <c r="AC599" s="244"/>
      <c r="AD599" s="234"/>
      <c r="AE599" s="234"/>
      <c r="AF599" s="238"/>
      <c r="AG599" s="239"/>
      <c r="AH599" s="238"/>
      <c r="AI599" s="238"/>
      <c r="AJ599" s="234"/>
      <c r="AK599" s="234"/>
      <c r="AL599" s="234"/>
      <c r="AM599" s="234"/>
      <c r="AN599" s="234"/>
      <c r="AO599" s="234"/>
    </row>
    <row r="600" ht="15.75" customHeight="1">
      <c r="A600" s="91"/>
      <c r="B600" s="91"/>
      <c r="C600" s="220"/>
      <c r="D600" s="91"/>
      <c r="E600" s="221"/>
      <c r="F600" s="91"/>
      <c r="G600" s="91"/>
      <c r="H600" s="242"/>
      <c r="I600" s="223"/>
      <c r="J600" s="57"/>
      <c r="K600" s="153"/>
      <c r="L600" s="243"/>
      <c r="M600" s="234"/>
      <c r="N600" s="235"/>
      <c r="O600" s="236"/>
      <c r="P600" s="236"/>
      <c r="Q600" s="236"/>
      <c r="R600" s="236"/>
      <c r="S600" s="236"/>
      <c r="T600" s="236"/>
      <c r="U600" s="236"/>
      <c r="V600" s="236"/>
      <c r="W600" s="244"/>
      <c r="X600" s="244"/>
      <c r="Y600" s="237"/>
      <c r="Z600" s="244"/>
      <c r="AA600" s="244"/>
      <c r="AB600" s="244"/>
      <c r="AC600" s="244"/>
      <c r="AD600" s="234"/>
      <c r="AE600" s="234"/>
      <c r="AF600" s="238"/>
      <c r="AG600" s="239"/>
      <c r="AH600" s="238"/>
      <c r="AI600" s="238"/>
      <c r="AJ600" s="234"/>
      <c r="AK600" s="234"/>
      <c r="AL600" s="234"/>
      <c r="AM600" s="234"/>
      <c r="AN600" s="234"/>
      <c r="AO600" s="234"/>
    </row>
    <row r="601" ht="15.75" customHeight="1">
      <c r="A601" s="91"/>
      <c r="B601" s="91"/>
      <c r="C601" s="220"/>
      <c r="D601" s="91"/>
      <c r="E601" s="221"/>
      <c r="F601" s="91"/>
      <c r="G601" s="91"/>
      <c r="H601" s="242"/>
      <c r="I601" s="223"/>
      <c r="J601" s="57"/>
      <c r="K601" s="153"/>
      <c r="L601" s="243"/>
      <c r="M601" s="234"/>
      <c r="N601" s="235"/>
      <c r="O601" s="236"/>
      <c r="P601" s="236"/>
      <c r="Q601" s="236"/>
      <c r="R601" s="236"/>
      <c r="S601" s="236"/>
      <c r="T601" s="236"/>
      <c r="U601" s="236"/>
      <c r="V601" s="236"/>
      <c r="W601" s="244"/>
      <c r="X601" s="244"/>
      <c r="Y601" s="237"/>
      <c r="Z601" s="244"/>
      <c r="AA601" s="244"/>
      <c r="AB601" s="244"/>
      <c r="AC601" s="244"/>
      <c r="AD601" s="234"/>
      <c r="AE601" s="234"/>
      <c r="AF601" s="238"/>
      <c r="AG601" s="239"/>
      <c r="AH601" s="238"/>
      <c r="AI601" s="238"/>
      <c r="AJ601" s="234"/>
      <c r="AK601" s="234"/>
      <c r="AL601" s="234"/>
      <c r="AM601" s="234"/>
      <c r="AN601" s="234"/>
      <c r="AO601" s="234"/>
    </row>
    <row r="602" ht="15.75" customHeight="1">
      <c r="A602" s="91"/>
      <c r="B602" s="91"/>
      <c r="C602" s="220"/>
      <c r="D602" s="91"/>
      <c r="E602" s="221"/>
      <c r="F602" s="91"/>
      <c r="G602" s="91"/>
      <c r="H602" s="242"/>
      <c r="I602" s="223"/>
      <c r="J602" s="57"/>
      <c r="K602" s="153"/>
      <c r="L602" s="243"/>
      <c r="M602" s="234"/>
      <c r="N602" s="235"/>
      <c r="O602" s="236"/>
      <c r="P602" s="236"/>
      <c r="Q602" s="236"/>
      <c r="R602" s="236"/>
      <c r="S602" s="236"/>
      <c r="T602" s="236"/>
      <c r="U602" s="236"/>
      <c r="V602" s="236"/>
      <c r="W602" s="244"/>
      <c r="X602" s="244"/>
      <c r="Y602" s="237"/>
      <c r="Z602" s="244"/>
      <c r="AA602" s="244"/>
      <c r="AB602" s="244"/>
      <c r="AC602" s="244"/>
      <c r="AD602" s="234"/>
      <c r="AE602" s="234"/>
      <c r="AF602" s="238"/>
      <c r="AG602" s="239"/>
      <c r="AH602" s="238"/>
      <c r="AI602" s="238"/>
      <c r="AJ602" s="234"/>
      <c r="AK602" s="234"/>
      <c r="AL602" s="234"/>
      <c r="AM602" s="234"/>
      <c r="AN602" s="234"/>
      <c r="AO602" s="234"/>
    </row>
    <row r="603" ht="15.75" customHeight="1">
      <c r="A603" s="91"/>
      <c r="B603" s="91"/>
      <c r="C603" s="220"/>
      <c r="D603" s="91"/>
      <c r="E603" s="221"/>
      <c r="F603" s="91"/>
      <c r="G603" s="91"/>
      <c r="H603" s="242"/>
      <c r="I603" s="223"/>
      <c r="J603" s="57"/>
      <c r="K603" s="153"/>
      <c r="L603" s="243"/>
      <c r="M603" s="234"/>
      <c r="N603" s="235"/>
      <c r="O603" s="236"/>
      <c r="P603" s="236"/>
      <c r="Q603" s="236"/>
      <c r="R603" s="236"/>
      <c r="S603" s="236"/>
      <c r="T603" s="236"/>
      <c r="U603" s="236"/>
      <c r="V603" s="236"/>
      <c r="W603" s="244"/>
      <c r="X603" s="244"/>
      <c r="Y603" s="237"/>
      <c r="Z603" s="244"/>
      <c r="AA603" s="244"/>
      <c r="AB603" s="244"/>
      <c r="AC603" s="244"/>
      <c r="AD603" s="234"/>
      <c r="AE603" s="234"/>
      <c r="AF603" s="238"/>
      <c r="AG603" s="239"/>
      <c r="AH603" s="238"/>
      <c r="AI603" s="238"/>
      <c r="AJ603" s="234"/>
      <c r="AK603" s="234"/>
      <c r="AL603" s="234"/>
      <c r="AM603" s="234"/>
      <c r="AN603" s="234"/>
      <c r="AO603" s="234"/>
    </row>
    <row r="604" ht="15.75" customHeight="1">
      <c r="A604" s="91"/>
      <c r="B604" s="91"/>
      <c r="C604" s="220"/>
      <c r="D604" s="91"/>
      <c r="E604" s="221"/>
      <c r="F604" s="91"/>
      <c r="G604" s="91"/>
      <c r="H604" s="242"/>
      <c r="I604" s="223"/>
      <c r="J604" s="57"/>
      <c r="K604" s="153"/>
      <c r="L604" s="243"/>
      <c r="M604" s="234"/>
      <c r="N604" s="235"/>
      <c r="O604" s="236"/>
      <c r="P604" s="236"/>
      <c r="Q604" s="236"/>
      <c r="R604" s="236"/>
      <c r="S604" s="236"/>
      <c r="T604" s="236"/>
      <c r="U604" s="236"/>
      <c r="V604" s="236"/>
      <c r="W604" s="244"/>
      <c r="X604" s="244"/>
      <c r="Y604" s="237"/>
      <c r="Z604" s="244"/>
      <c r="AA604" s="244"/>
      <c r="AB604" s="244"/>
      <c r="AC604" s="244"/>
      <c r="AD604" s="234"/>
      <c r="AE604" s="234"/>
      <c r="AF604" s="238"/>
      <c r="AG604" s="239"/>
      <c r="AH604" s="238"/>
      <c r="AI604" s="238"/>
      <c r="AJ604" s="234"/>
      <c r="AK604" s="234"/>
      <c r="AL604" s="234"/>
      <c r="AM604" s="234"/>
      <c r="AN604" s="234"/>
      <c r="AO604" s="234"/>
    </row>
    <row r="605" ht="15.75" customHeight="1">
      <c r="A605" s="91"/>
      <c r="B605" s="91"/>
      <c r="C605" s="220"/>
      <c r="D605" s="91"/>
      <c r="E605" s="221"/>
      <c r="F605" s="91"/>
      <c r="G605" s="91"/>
      <c r="H605" s="242"/>
      <c r="I605" s="223"/>
      <c r="J605" s="57"/>
      <c r="K605" s="153"/>
      <c r="L605" s="243"/>
      <c r="M605" s="234"/>
      <c r="N605" s="235"/>
      <c r="O605" s="236"/>
      <c r="P605" s="236"/>
      <c r="Q605" s="236"/>
      <c r="R605" s="236"/>
      <c r="S605" s="236"/>
      <c r="T605" s="236"/>
      <c r="U605" s="236"/>
      <c r="V605" s="236"/>
      <c r="W605" s="244"/>
      <c r="X605" s="244"/>
      <c r="Y605" s="237"/>
      <c r="Z605" s="244"/>
      <c r="AA605" s="244"/>
      <c r="AB605" s="244"/>
      <c r="AC605" s="244"/>
      <c r="AD605" s="234"/>
      <c r="AE605" s="234"/>
      <c r="AF605" s="238"/>
      <c r="AG605" s="239"/>
      <c r="AH605" s="238"/>
      <c r="AI605" s="238"/>
      <c r="AJ605" s="234"/>
      <c r="AK605" s="234"/>
      <c r="AL605" s="234"/>
      <c r="AM605" s="234"/>
      <c r="AN605" s="234"/>
      <c r="AO605" s="234"/>
    </row>
    <row r="606" ht="15.75" customHeight="1">
      <c r="A606" s="91"/>
      <c r="B606" s="91"/>
      <c r="C606" s="220"/>
      <c r="D606" s="91"/>
      <c r="E606" s="221"/>
      <c r="F606" s="91"/>
      <c r="G606" s="91"/>
      <c r="H606" s="242"/>
      <c r="I606" s="223"/>
      <c r="J606" s="57"/>
      <c r="K606" s="153"/>
      <c r="L606" s="243"/>
      <c r="M606" s="234"/>
      <c r="N606" s="235"/>
      <c r="O606" s="236"/>
      <c r="P606" s="236"/>
      <c r="Q606" s="236"/>
      <c r="R606" s="236"/>
      <c r="S606" s="236"/>
      <c r="T606" s="236"/>
      <c r="U606" s="236"/>
      <c r="V606" s="236"/>
      <c r="W606" s="244"/>
      <c r="X606" s="244"/>
      <c r="Y606" s="237"/>
      <c r="Z606" s="244"/>
      <c r="AA606" s="244"/>
      <c r="AB606" s="244"/>
      <c r="AC606" s="244"/>
      <c r="AD606" s="234"/>
      <c r="AE606" s="234"/>
      <c r="AF606" s="238"/>
      <c r="AG606" s="239"/>
      <c r="AH606" s="238"/>
      <c r="AI606" s="238"/>
      <c r="AJ606" s="234"/>
      <c r="AK606" s="234"/>
      <c r="AL606" s="234"/>
      <c r="AM606" s="234"/>
      <c r="AN606" s="234"/>
      <c r="AO606" s="234"/>
    </row>
    <row r="607" ht="15.75" customHeight="1">
      <c r="A607" s="91"/>
      <c r="B607" s="91"/>
      <c r="C607" s="220"/>
      <c r="D607" s="91"/>
      <c r="E607" s="221"/>
      <c r="F607" s="91"/>
      <c r="G607" s="91"/>
      <c r="H607" s="242"/>
      <c r="I607" s="223"/>
      <c r="J607" s="57"/>
      <c r="K607" s="153"/>
      <c r="L607" s="243"/>
      <c r="M607" s="234"/>
      <c r="N607" s="235"/>
      <c r="O607" s="236"/>
      <c r="P607" s="236"/>
      <c r="Q607" s="236"/>
      <c r="R607" s="236"/>
      <c r="S607" s="236"/>
      <c r="T607" s="236"/>
      <c r="U607" s="236"/>
      <c r="V607" s="236"/>
      <c r="W607" s="244"/>
      <c r="X607" s="244"/>
      <c r="Y607" s="237"/>
      <c r="Z607" s="244"/>
      <c r="AA607" s="244"/>
      <c r="AB607" s="244"/>
      <c r="AC607" s="244"/>
      <c r="AD607" s="234"/>
      <c r="AE607" s="234"/>
      <c r="AF607" s="238"/>
      <c r="AG607" s="239"/>
      <c r="AH607" s="238"/>
      <c r="AI607" s="238"/>
      <c r="AJ607" s="234"/>
      <c r="AK607" s="234"/>
      <c r="AL607" s="234"/>
      <c r="AM607" s="234"/>
      <c r="AN607" s="234"/>
      <c r="AO607" s="234"/>
    </row>
    <row r="608" ht="15.75" customHeight="1">
      <c r="A608" s="91"/>
      <c r="B608" s="91"/>
      <c r="C608" s="220"/>
      <c r="D608" s="91"/>
      <c r="E608" s="221"/>
      <c r="F608" s="91"/>
      <c r="G608" s="91"/>
      <c r="H608" s="242"/>
      <c r="I608" s="223"/>
      <c r="J608" s="57"/>
      <c r="K608" s="153"/>
      <c r="L608" s="243"/>
      <c r="M608" s="234"/>
      <c r="N608" s="235"/>
      <c r="O608" s="236"/>
      <c r="P608" s="236"/>
      <c r="Q608" s="236"/>
      <c r="R608" s="236"/>
      <c r="S608" s="236"/>
      <c r="T608" s="236"/>
      <c r="U608" s="236"/>
      <c r="V608" s="236"/>
      <c r="W608" s="244"/>
      <c r="X608" s="244"/>
      <c r="Y608" s="237"/>
      <c r="Z608" s="244"/>
      <c r="AA608" s="244"/>
      <c r="AB608" s="244"/>
      <c r="AC608" s="244"/>
      <c r="AD608" s="234"/>
      <c r="AE608" s="234"/>
      <c r="AF608" s="238"/>
      <c r="AG608" s="239"/>
      <c r="AH608" s="238"/>
      <c r="AI608" s="238"/>
      <c r="AJ608" s="234"/>
      <c r="AK608" s="234"/>
      <c r="AL608" s="234"/>
      <c r="AM608" s="234"/>
      <c r="AN608" s="234"/>
      <c r="AO608" s="234"/>
    </row>
    <row r="609" ht="15.75" customHeight="1">
      <c r="A609" s="91"/>
      <c r="B609" s="91"/>
      <c r="C609" s="220"/>
      <c r="D609" s="91"/>
      <c r="E609" s="221"/>
      <c r="F609" s="91"/>
      <c r="G609" s="91"/>
      <c r="H609" s="242"/>
      <c r="I609" s="223"/>
      <c r="J609" s="57"/>
      <c r="K609" s="153"/>
      <c r="L609" s="243"/>
      <c r="M609" s="234"/>
      <c r="N609" s="235"/>
      <c r="O609" s="236"/>
      <c r="P609" s="236"/>
      <c r="Q609" s="236"/>
      <c r="R609" s="236"/>
      <c r="S609" s="236"/>
      <c r="T609" s="236"/>
      <c r="U609" s="236"/>
      <c r="V609" s="236"/>
      <c r="W609" s="244"/>
      <c r="X609" s="244"/>
      <c r="Y609" s="237"/>
      <c r="Z609" s="244"/>
      <c r="AA609" s="244"/>
      <c r="AB609" s="244"/>
      <c r="AC609" s="244"/>
      <c r="AD609" s="234"/>
      <c r="AE609" s="234"/>
      <c r="AF609" s="238"/>
      <c r="AG609" s="239"/>
      <c r="AH609" s="238"/>
      <c r="AI609" s="238"/>
      <c r="AJ609" s="234"/>
      <c r="AK609" s="234"/>
      <c r="AL609" s="234"/>
      <c r="AM609" s="234"/>
      <c r="AN609" s="234"/>
      <c r="AO609" s="234"/>
    </row>
    <row r="610" ht="15.75" customHeight="1">
      <c r="A610" s="91"/>
      <c r="B610" s="91"/>
      <c r="C610" s="220"/>
      <c r="D610" s="91"/>
      <c r="E610" s="221"/>
      <c r="F610" s="91"/>
      <c r="G610" s="91"/>
      <c r="H610" s="242"/>
      <c r="I610" s="223"/>
      <c r="J610" s="57"/>
      <c r="K610" s="153"/>
      <c r="L610" s="243"/>
      <c r="M610" s="234"/>
      <c r="N610" s="235"/>
      <c r="O610" s="236"/>
      <c r="P610" s="236"/>
      <c r="Q610" s="236"/>
      <c r="R610" s="236"/>
      <c r="S610" s="236"/>
      <c r="T610" s="236"/>
      <c r="U610" s="236"/>
      <c r="V610" s="236"/>
      <c r="W610" s="244"/>
      <c r="X610" s="244"/>
      <c r="Y610" s="237"/>
      <c r="Z610" s="244"/>
      <c r="AA610" s="244"/>
      <c r="AB610" s="244"/>
      <c r="AC610" s="244"/>
      <c r="AD610" s="234"/>
      <c r="AE610" s="234"/>
      <c r="AF610" s="238"/>
      <c r="AG610" s="239"/>
      <c r="AH610" s="238"/>
      <c r="AI610" s="238"/>
      <c r="AJ610" s="234"/>
      <c r="AK610" s="234"/>
      <c r="AL610" s="234"/>
      <c r="AM610" s="234"/>
      <c r="AN610" s="234"/>
      <c r="AO610" s="234"/>
    </row>
    <row r="611" ht="15.75" customHeight="1">
      <c r="A611" s="91"/>
      <c r="B611" s="91"/>
      <c r="C611" s="220"/>
      <c r="D611" s="91"/>
      <c r="E611" s="221"/>
      <c r="F611" s="91"/>
      <c r="G611" s="91"/>
      <c r="H611" s="242"/>
      <c r="I611" s="223"/>
      <c r="J611" s="57"/>
      <c r="K611" s="153"/>
      <c r="L611" s="243"/>
      <c r="M611" s="234"/>
      <c r="N611" s="235"/>
      <c r="O611" s="236"/>
      <c r="P611" s="236"/>
      <c r="Q611" s="236"/>
      <c r="R611" s="236"/>
      <c r="S611" s="236"/>
      <c r="T611" s="236"/>
      <c r="U611" s="236"/>
      <c r="V611" s="236"/>
      <c r="W611" s="244"/>
      <c r="X611" s="244"/>
      <c r="Y611" s="237"/>
      <c r="Z611" s="244"/>
      <c r="AA611" s="244"/>
      <c r="AB611" s="244"/>
      <c r="AC611" s="244"/>
      <c r="AD611" s="234"/>
      <c r="AE611" s="234"/>
      <c r="AF611" s="238"/>
      <c r="AG611" s="239"/>
      <c r="AH611" s="238"/>
      <c r="AI611" s="238"/>
      <c r="AJ611" s="234"/>
      <c r="AK611" s="234"/>
      <c r="AL611" s="234"/>
      <c r="AM611" s="234"/>
      <c r="AN611" s="234"/>
      <c r="AO611" s="234"/>
    </row>
    <row r="612" ht="15.75" customHeight="1">
      <c r="A612" s="91"/>
      <c r="B612" s="91"/>
      <c r="C612" s="220"/>
      <c r="D612" s="91"/>
      <c r="E612" s="221"/>
      <c r="F612" s="91"/>
      <c r="G612" s="91"/>
      <c r="H612" s="242"/>
      <c r="I612" s="223"/>
      <c r="J612" s="57"/>
      <c r="K612" s="153"/>
      <c r="L612" s="243"/>
      <c r="M612" s="234"/>
      <c r="N612" s="235"/>
      <c r="O612" s="236"/>
      <c r="P612" s="236"/>
      <c r="Q612" s="236"/>
      <c r="R612" s="236"/>
      <c r="S612" s="236"/>
      <c r="T612" s="236"/>
      <c r="U612" s="236"/>
      <c r="V612" s="236"/>
      <c r="W612" s="244"/>
      <c r="X612" s="244"/>
      <c r="Y612" s="237"/>
      <c r="Z612" s="244"/>
      <c r="AA612" s="244"/>
      <c r="AB612" s="244"/>
      <c r="AC612" s="244"/>
      <c r="AD612" s="234"/>
      <c r="AE612" s="234"/>
      <c r="AF612" s="238"/>
      <c r="AG612" s="239"/>
      <c r="AH612" s="238"/>
      <c r="AI612" s="238"/>
      <c r="AJ612" s="234"/>
      <c r="AK612" s="234"/>
      <c r="AL612" s="234"/>
      <c r="AM612" s="234"/>
      <c r="AN612" s="234"/>
      <c r="AO612" s="234"/>
    </row>
    <row r="613" ht="15.75" customHeight="1">
      <c r="A613" s="91"/>
      <c r="B613" s="91"/>
      <c r="C613" s="220"/>
      <c r="D613" s="91"/>
      <c r="E613" s="221"/>
      <c r="F613" s="91"/>
      <c r="G613" s="91"/>
      <c r="H613" s="242"/>
      <c r="I613" s="223"/>
      <c r="J613" s="57"/>
      <c r="K613" s="153"/>
      <c r="L613" s="243"/>
      <c r="M613" s="234"/>
      <c r="N613" s="235"/>
      <c r="O613" s="236"/>
      <c r="P613" s="236"/>
      <c r="Q613" s="236"/>
      <c r="R613" s="236"/>
      <c r="S613" s="236"/>
      <c r="T613" s="236"/>
      <c r="U613" s="236"/>
      <c r="V613" s="236"/>
      <c r="W613" s="244"/>
      <c r="X613" s="244"/>
      <c r="Y613" s="237"/>
      <c r="Z613" s="244"/>
      <c r="AA613" s="244"/>
      <c r="AB613" s="244"/>
      <c r="AC613" s="244"/>
      <c r="AD613" s="234"/>
      <c r="AE613" s="234"/>
      <c r="AF613" s="238"/>
      <c r="AG613" s="239"/>
      <c r="AH613" s="238"/>
      <c r="AI613" s="238"/>
      <c r="AJ613" s="234"/>
      <c r="AK613" s="234"/>
      <c r="AL613" s="234"/>
      <c r="AM613" s="234"/>
      <c r="AN613" s="234"/>
      <c r="AO613" s="234"/>
    </row>
    <row r="614" ht="15.75" customHeight="1">
      <c r="A614" s="91"/>
      <c r="B614" s="91"/>
      <c r="C614" s="220"/>
      <c r="D614" s="91"/>
      <c r="E614" s="221"/>
      <c r="F614" s="91"/>
      <c r="G614" s="91"/>
      <c r="H614" s="242"/>
      <c r="I614" s="223"/>
      <c r="J614" s="57"/>
      <c r="K614" s="153"/>
      <c r="L614" s="243"/>
      <c r="M614" s="234"/>
      <c r="N614" s="235"/>
      <c r="O614" s="236"/>
      <c r="P614" s="236"/>
      <c r="Q614" s="236"/>
      <c r="R614" s="236"/>
      <c r="S614" s="236"/>
      <c r="T614" s="236"/>
      <c r="U614" s="236"/>
      <c r="V614" s="236"/>
      <c r="W614" s="244"/>
      <c r="X614" s="244"/>
      <c r="Y614" s="237"/>
      <c r="Z614" s="244"/>
      <c r="AA614" s="244"/>
      <c r="AB614" s="244"/>
      <c r="AC614" s="244"/>
      <c r="AD614" s="234"/>
      <c r="AE614" s="234"/>
      <c r="AF614" s="238"/>
      <c r="AG614" s="239"/>
      <c r="AH614" s="238"/>
      <c r="AI614" s="238"/>
      <c r="AJ614" s="234"/>
      <c r="AK614" s="234"/>
      <c r="AL614" s="234"/>
      <c r="AM614" s="234"/>
      <c r="AN614" s="234"/>
      <c r="AO614" s="234"/>
    </row>
    <row r="615" ht="15.75" customHeight="1">
      <c r="A615" s="91"/>
      <c r="B615" s="91"/>
      <c r="C615" s="220"/>
      <c r="D615" s="91"/>
      <c r="E615" s="221"/>
      <c r="F615" s="91"/>
      <c r="G615" s="91"/>
      <c r="H615" s="242"/>
      <c r="I615" s="223"/>
      <c r="J615" s="57"/>
      <c r="K615" s="153"/>
      <c r="L615" s="243"/>
      <c r="M615" s="234"/>
      <c r="N615" s="235"/>
      <c r="O615" s="236"/>
      <c r="P615" s="236"/>
      <c r="Q615" s="236"/>
      <c r="R615" s="236"/>
      <c r="S615" s="236"/>
      <c r="T615" s="236"/>
      <c r="U615" s="236"/>
      <c r="V615" s="236"/>
      <c r="W615" s="244"/>
      <c r="X615" s="244"/>
      <c r="Y615" s="237"/>
      <c r="Z615" s="244"/>
      <c r="AA615" s="244"/>
      <c r="AB615" s="244"/>
      <c r="AC615" s="244"/>
      <c r="AD615" s="234"/>
      <c r="AE615" s="234"/>
      <c r="AF615" s="238"/>
      <c r="AG615" s="239"/>
      <c r="AH615" s="238"/>
      <c r="AI615" s="238"/>
      <c r="AJ615" s="234"/>
      <c r="AK615" s="234"/>
      <c r="AL615" s="234"/>
      <c r="AM615" s="234"/>
      <c r="AN615" s="234"/>
      <c r="AO615" s="234"/>
    </row>
    <row r="616" ht="15.75" customHeight="1">
      <c r="A616" s="91"/>
      <c r="B616" s="91"/>
      <c r="C616" s="220"/>
      <c r="D616" s="91"/>
      <c r="E616" s="221"/>
      <c r="F616" s="91"/>
      <c r="G616" s="91"/>
      <c r="H616" s="242"/>
      <c r="I616" s="223"/>
      <c r="J616" s="57"/>
      <c r="K616" s="153"/>
      <c r="L616" s="243"/>
      <c r="M616" s="234"/>
      <c r="N616" s="235"/>
      <c r="O616" s="236"/>
      <c r="P616" s="236"/>
      <c r="Q616" s="236"/>
      <c r="R616" s="236"/>
      <c r="S616" s="236"/>
      <c r="T616" s="236"/>
      <c r="U616" s="236"/>
      <c r="V616" s="236"/>
      <c r="W616" s="244"/>
      <c r="X616" s="244"/>
      <c r="Y616" s="237"/>
      <c r="Z616" s="244"/>
      <c r="AA616" s="244"/>
      <c r="AB616" s="244"/>
      <c r="AC616" s="244"/>
      <c r="AD616" s="234"/>
      <c r="AE616" s="234"/>
      <c r="AF616" s="238"/>
      <c r="AG616" s="239"/>
      <c r="AH616" s="238"/>
      <c r="AI616" s="238"/>
      <c r="AJ616" s="234"/>
      <c r="AK616" s="234"/>
      <c r="AL616" s="234"/>
      <c r="AM616" s="234"/>
      <c r="AN616" s="234"/>
      <c r="AO616" s="234"/>
    </row>
    <row r="617" ht="15.75" customHeight="1">
      <c r="A617" s="91"/>
      <c r="B617" s="91"/>
      <c r="C617" s="220"/>
      <c r="D617" s="91"/>
      <c r="E617" s="221"/>
      <c r="F617" s="91"/>
      <c r="G617" s="91"/>
      <c r="H617" s="242"/>
      <c r="I617" s="223"/>
      <c r="J617" s="57"/>
      <c r="K617" s="153"/>
      <c r="L617" s="243"/>
      <c r="M617" s="234"/>
      <c r="N617" s="235"/>
      <c r="O617" s="236"/>
      <c r="P617" s="236"/>
      <c r="Q617" s="236"/>
      <c r="R617" s="236"/>
      <c r="S617" s="236"/>
      <c r="T617" s="236"/>
      <c r="U617" s="236"/>
      <c r="V617" s="236"/>
      <c r="W617" s="244"/>
      <c r="X617" s="244"/>
      <c r="Y617" s="237"/>
      <c r="Z617" s="244"/>
      <c r="AA617" s="244"/>
      <c r="AB617" s="244"/>
      <c r="AC617" s="244"/>
      <c r="AD617" s="234"/>
      <c r="AE617" s="234"/>
      <c r="AF617" s="238"/>
      <c r="AG617" s="239"/>
      <c r="AH617" s="238"/>
      <c r="AI617" s="238"/>
      <c r="AJ617" s="234"/>
      <c r="AK617" s="234"/>
      <c r="AL617" s="234"/>
      <c r="AM617" s="234"/>
      <c r="AN617" s="234"/>
      <c r="AO617" s="234"/>
    </row>
    <row r="618" ht="15.75" customHeight="1">
      <c r="A618" s="91"/>
      <c r="B618" s="91"/>
      <c r="C618" s="220"/>
      <c r="D618" s="91"/>
      <c r="E618" s="221"/>
      <c r="F618" s="91"/>
      <c r="G618" s="91"/>
      <c r="H618" s="242"/>
      <c r="I618" s="223"/>
      <c r="J618" s="57"/>
      <c r="K618" s="153"/>
      <c r="L618" s="243"/>
      <c r="M618" s="234"/>
      <c r="N618" s="235"/>
      <c r="O618" s="236"/>
      <c r="P618" s="236"/>
      <c r="Q618" s="236"/>
      <c r="R618" s="236"/>
      <c r="S618" s="236"/>
      <c r="T618" s="236"/>
      <c r="U618" s="236"/>
      <c r="V618" s="236"/>
      <c r="W618" s="244"/>
      <c r="X618" s="244"/>
      <c r="Y618" s="237"/>
      <c r="Z618" s="244"/>
      <c r="AA618" s="244"/>
      <c r="AB618" s="244"/>
      <c r="AC618" s="244"/>
      <c r="AD618" s="234"/>
      <c r="AE618" s="234"/>
      <c r="AF618" s="238"/>
      <c r="AG618" s="239"/>
      <c r="AH618" s="238"/>
      <c r="AI618" s="238"/>
      <c r="AJ618" s="234"/>
      <c r="AK618" s="234"/>
      <c r="AL618" s="234"/>
      <c r="AM618" s="234"/>
      <c r="AN618" s="234"/>
      <c r="AO618" s="234"/>
    </row>
    <row r="619" ht="15.75" customHeight="1">
      <c r="A619" s="91"/>
      <c r="B619" s="91"/>
      <c r="C619" s="220"/>
      <c r="D619" s="91"/>
      <c r="E619" s="221"/>
      <c r="F619" s="91"/>
      <c r="G619" s="91"/>
      <c r="H619" s="242"/>
      <c r="I619" s="223"/>
      <c r="J619" s="57"/>
      <c r="K619" s="153"/>
      <c r="L619" s="243"/>
      <c r="M619" s="234"/>
      <c r="N619" s="235"/>
      <c r="O619" s="236"/>
      <c r="P619" s="236"/>
      <c r="Q619" s="236"/>
      <c r="R619" s="236"/>
      <c r="S619" s="236"/>
      <c r="T619" s="236"/>
      <c r="U619" s="236"/>
      <c r="V619" s="236"/>
      <c r="W619" s="244"/>
      <c r="X619" s="244"/>
      <c r="Y619" s="237"/>
      <c r="Z619" s="244"/>
      <c r="AA619" s="244"/>
      <c r="AB619" s="244"/>
      <c r="AC619" s="244"/>
      <c r="AD619" s="234"/>
      <c r="AE619" s="234"/>
      <c r="AF619" s="238"/>
      <c r="AG619" s="239"/>
      <c r="AH619" s="238"/>
      <c r="AI619" s="238"/>
      <c r="AJ619" s="234"/>
      <c r="AK619" s="234"/>
      <c r="AL619" s="234"/>
      <c r="AM619" s="234"/>
      <c r="AN619" s="234"/>
      <c r="AO619" s="234"/>
    </row>
    <row r="620" ht="15.75" customHeight="1">
      <c r="A620" s="91"/>
      <c r="B620" s="91"/>
      <c r="C620" s="220"/>
      <c r="D620" s="91"/>
      <c r="E620" s="221"/>
      <c r="F620" s="91"/>
      <c r="G620" s="91"/>
      <c r="H620" s="242"/>
      <c r="I620" s="223"/>
      <c r="J620" s="57"/>
      <c r="K620" s="153"/>
      <c r="L620" s="243"/>
      <c r="M620" s="234"/>
      <c r="N620" s="235"/>
      <c r="O620" s="236"/>
      <c r="P620" s="236"/>
      <c r="Q620" s="236"/>
      <c r="R620" s="236"/>
      <c r="S620" s="236"/>
      <c r="T620" s="236"/>
      <c r="U620" s="236"/>
      <c r="V620" s="236"/>
      <c r="W620" s="244"/>
      <c r="X620" s="244"/>
      <c r="Y620" s="237"/>
      <c r="Z620" s="244"/>
      <c r="AA620" s="244"/>
      <c r="AB620" s="244"/>
      <c r="AC620" s="244"/>
      <c r="AD620" s="234"/>
      <c r="AE620" s="234"/>
      <c r="AF620" s="238"/>
      <c r="AG620" s="239"/>
      <c r="AH620" s="238"/>
      <c r="AI620" s="238"/>
      <c r="AJ620" s="234"/>
      <c r="AK620" s="234"/>
      <c r="AL620" s="234"/>
      <c r="AM620" s="234"/>
      <c r="AN620" s="234"/>
      <c r="AO620" s="234"/>
    </row>
    <row r="621" ht="15.75" customHeight="1">
      <c r="A621" s="91"/>
      <c r="B621" s="91"/>
      <c r="C621" s="220"/>
      <c r="D621" s="91"/>
      <c r="E621" s="221"/>
      <c r="F621" s="91"/>
      <c r="G621" s="91"/>
      <c r="H621" s="242"/>
      <c r="I621" s="223"/>
      <c r="J621" s="57"/>
      <c r="K621" s="153"/>
      <c r="L621" s="243"/>
      <c r="M621" s="234"/>
      <c r="N621" s="235"/>
      <c r="O621" s="236"/>
      <c r="P621" s="236"/>
      <c r="Q621" s="236"/>
      <c r="R621" s="236"/>
      <c r="S621" s="236"/>
      <c r="T621" s="236"/>
      <c r="U621" s="236"/>
      <c r="V621" s="236"/>
      <c r="W621" s="244"/>
      <c r="X621" s="244"/>
      <c r="Y621" s="237"/>
      <c r="Z621" s="244"/>
      <c r="AA621" s="244"/>
      <c r="AB621" s="244"/>
      <c r="AC621" s="244"/>
      <c r="AD621" s="234"/>
      <c r="AE621" s="234"/>
      <c r="AF621" s="238"/>
      <c r="AG621" s="239"/>
      <c r="AH621" s="238"/>
      <c r="AI621" s="238"/>
      <c r="AJ621" s="234"/>
      <c r="AK621" s="234"/>
      <c r="AL621" s="234"/>
      <c r="AM621" s="234"/>
      <c r="AN621" s="234"/>
      <c r="AO621" s="234"/>
    </row>
    <row r="622" ht="15.75" customHeight="1">
      <c r="A622" s="91"/>
      <c r="B622" s="91"/>
      <c r="C622" s="220"/>
      <c r="D622" s="91"/>
      <c r="E622" s="221"/>
      <c r="F622" s="91"/>
      <c r="G622" s="91"/>
      <c r="H622" s="242"/>
      <c r="I622" s="223"/>
      <c r="J622" s="57"/>
      <c r="K622" s="153"/>
      <c r="L622" s="243"/>
      <c r="M622" s="234"/>
      <c r="N622" s="235"/>
      <c r="O622" s="236"/>
      <c r="P622" s="236"/>
      <c r="Q622" s="236"/>
      <c r="R622" s="236"/>
      <c r="S622" s="236"/>
      <c r="T622" s="236"/>
      <c r="U622" s="236"/>
      <c r="V622" s="236"/>
      <c r="W622" s="244"/>
      <c r="X622" s="244"/>
      <c r="Y622" s="237"/>
      <c r="Z622" s="244"/>
      <c r="AA622" s="244"/>
      <c r="AB622" s="244"/>
      <c r="AC622" s="244"/>
      <c r="AD622" s="234"/>
      <c r="AE622" s="234"/>
      <c r="AF622" s="238"/>
      <c r="AG622" s="239"/>
      <c r="AH622" s="238"/>
      <c r="AI622" s="238"/>
      <c r="AJ622" s="234"/>
      <c r="AK622" s="234"/>
      <c r="AL622" s="234"/>
      <c r="AM622" s="234"/>
      <c r="AN622" s="234"/>
      <c r="AO622" s="234"/>
    </row>
    <row r="623" ht="15.75" customHeight="1">
      <c r="A623" s="91"/>
      <c r="B623" s="91"/>
      <c r="C623" s="220"/>
      <c r="D623" s="91"/>
      <c r="E623" s="221"/>
      <c r="F623" s="91"/>
      <c r="G623" s="91"/>
      <c r="H623" s="242"/>
      <c r="I623" s="223"/>
      <c r="J623" s="57"/>
      <c r="K623" s="153"/>
      <c r="L623" s="243"/>
      <c r="M623" s="234"/>
      <c r="N623" s="235"/>
      <c r="O623" s="236"/>
      <c r="P623" s="236"/>
      <c r="Q623" s="236"/>
      <c r="R623" s="236"/>
      <c r="S623" s="236"/>
      <c r="T623" s="236"/>
      <c r="U623" s="236"/>
      <c r="V623" s="236"/>
      <c r="W623" s="244"/>
      <c r="X623" s="244"/>
      <c r="Y623" s="237"/>
      <c r="Z623" s="244"/>
      <c r="AA623" s="244"/>
      <c r="AB623" s="244"/>
      <c r="AC623" s="244"/>
      <c r="AD623" s="234"/>
      <c r="AE623" s="234"/>
      <c r="AF623" s="238"/>
      <c r="AG623" s="239"/>
      <c r="AH623" s="238"/>
      <c r="AI623" s="238"/>
      <c r="AJ623" s="234"/>
      <c r="AK623" s="234"/>
      <c r="AL623" s="234"/>
      <c r="AM623" s="234"/>
      <c r="AN623" s="234"/>
      <c r="AO623" s="234"/>
    </row>
    <row r="624" ht="15.75" customHeight="1">
      <c r="A624" s="91"/>
      <c r="B624" s="91"/>
      <c r="C624" s="220"/>
      <c r="D624" s="91"/>
      <c r="E624" s="221"/>
      <c r="F624" s="91"/>
      <c r="G624" s="91"/>
      <c r="H624" s="242"/>
      <c r="I624" s="223"/>
      <c r="J624" s="57"/>
      <c r="K624" s="153"/>
      <c r="L624" s="243"/>
      <c r="M624" s="234"/>
      <c r="N624" s="235"/>
      <c r="O624" s="236"/>
      <c r="P624" s="236"/>
      <c r="Q624" s="236"/>
      <c r="R624" s="236"/>
      <c r="S624" s="236"/>
      <c r="T624" s="236"/>
      <c r="U624" s="236"/>
      <c r="V624" s="236"/>
      <c r="W624" s="244"/>
      <c r="X624" s="244"/>
      <c r="Y624" s="237"/>
      <c r="Z624" s="244"/>
      <c r="AA624" s="244"/>
      <c r="AB624" s="244"/>
      <c r="AC624" s="244"/>
      <c r="AD624" s="234"/>
      <c r="AE624" s="234"/>
      <c r="AF624" s="238"/>
      <c r="AG624" s="239"/>
      <c r="AH624" s="238"/>
      <c r="AI624" s="238"/>
      <c r="AJ624" s="234"/>
      <c r="AK624" s="234"/>
      <c r="AL624" s="234"/>
      <c r="AM624" s="234"/>
      <c r="AN624" s="234"/>
      <c r="AO624" s="234"/>
    </row>
    <row r="625" ht="15.75" customHeight="1">
      <c r="A625" s="91"/>
      <c r="B625" s="91"/>
      <c r="C625" s="220"/>
      <c r="D625" s="91"/>
      <c r="E625" s="221"/>
      <c r="F625" s="91"/>
      <c r="G625" s="91"/>
      <c r="H625" s="242"/>
      <c r="I625" s="223"/>
      <c r="J625" s="57"/>
      <c r="K625" s="153"/>
      <c r="L625" s="243"/>
      <c r="M625" s="234"/>
      <c r="N625" s="235"/>
      <c r="O625" s="236"/>
      <c r="P625" s="236"/>
      <c r="Q625" s="236"/>
      <c r="R625" s="236"/>
      <c r="S625" s="236"/>
      <c r="T625" s="236"/>
      <c r="U625" s="236"/>
      <c r="V625" s="236"/>
      <c r="W625" s="244"/>
      <c r="X625" s="244"/>
      <c r="Y625" s="237"/>
      <c r="Z625" s="244"/>
      <c r="AA625" s="244"/>
      <c r="AB625" s="244"/>
      <c r="AC625" s="244"/>
      <c r="AD625" s="234"/>
      <c r="AE625" s="234"/>
      <c r="AF625" s="238"/>
      <c r="AG625" s="239"/>
      <c r="AH625" s="238"/>
      <c r="AI625" s="238"/>
      <c r="AJ625" s="234"/>
      <c r="AK625" s="234"/>
      <c r="AL625" s="234"/>
      <c r="AM625" s="234"/>
      <c r="AN625" s="234"/>
      <c r="AO625" s="234"/>
    </row>
    <row r="626" ht="15.75" customHeight="1">
      <c r="A626" s="91"/>
      <c r="B626" s="91"/>
      <c r="C626" s="220"/>
      <c r="D626" s="91"/>
      <c r="E626" s="221"/>
      <c r="F626" s="91"/>
      <c r="G626" s="91"/>
      <c r="H626" s="242"/>
      <c r="I626" s="223"/>
      <c r="J626" s="57"/>
      <c r="K626" s="153"/>
      <c r="L626" s="243"/>
      <c r="M626" s="234"/>
      <c r="N626" s="235"/>
      <c r="O626" s="236"/>
      <c r="P626" s="236"/>
      <c r="Q626" s="236"/>
      <c r="R626" s="236"/>
      <c r="S626" s="236"/>
      <c r="T626" s="236"/>
      <c r="U626" s="236"/>
      <c r="V626" s="236"/>
      <c r="W626" s="244"/>
      <c r="X626" s="244"/>
      <c r="Y626" s="237"/>
      <c r="Z626" s="244"/>
      <c r="AA626" s="244"/>
      <c r="AB626" s="244"/>
      <c r="AC626" s="244"/>
      <c r="AD626" s="234"/>
      <c r="AE626" s="234"/>
      <c r="AF626" s="238"/>
      <c r="AG626" s="239"/>
      <c r="AH626" s="238"/>
      <c r="AI626" s="238"/>
      <c r="AJ626" s="234"/>
      <c r="AK626" s="234"/>
      <c r="AL626" s="234"/>
      <c r="AM626" s="234"/>
      <c r="AN626" s="234"/>
      <c r="AO626" s="234"/>
    </row>
    <row r="627" ht="15.75" customHeight="1">
      <c r="A627" s="91"/>
      <c r="B627" s="91"/>
      <c r="C627" s="220"/>
      <c r="D627" s="91"/>
      <c r="E627" s="221"/>
      <c r="F627" s="91"/>
      <c r="G627" s="91"/>
      <c r="H627" s="242"/>
      <c r="I627" s="223"/>
      <c r="J627" s="57"/>
      <c r="K627" s="153"/>
      <c r="L627" s="243"/>
      <c r="M627" s="234"/>
      <c r="N627" s="235"/>
      <c r="O627" s="236"/>
      <c r="P627" s="236"/>
      <c r="Q627" s="236"/>
      <c r="R627" s="236"/>
      <c r="S627" s="236"/>
      <c r="T627" s="236"/>
      <c r="U627" s="236"/>
      <c r="V627" s="236"/>
      <c r="W627" s="244"/>
      <c r="X627" s="244"/>
      <c r="Y627" s="237"/>
      <c r="Z627" s="244"/>
      <c r="AA627" s="244"/>
      <c r="AB627" s="244"/>
      <c r="AC627" s="244"/>
      <c r="AD627" s="234"/>
      <c r="AE627" s="234"/>
      <c r="AF627" s="238"/>
      <c r="AG627" s="239"/>
      <c r="AH627" s="238"/>
      <c r="AI627" s="238"/>
      <c r="AJ627" s="234"/>
      <c r="AK627" s="234"/>
      <c r="AL627" s="234"/>
      <c r="AM627" s="234"/>
      <c r="AN627" s="234"/>
      <c r="AO627" s="234"/>
    </row>
    <row r="628" ht="15.75" customHeight="1">
      <c r="A628" s="91"/>
      <c r="B628" s="91"/>
      <c r="C628" s="220"/>
      <c r="D628" s="91"/>
      <c r="E628" s="221"/>
      <c r="F628" s="91"/>
      <c r="G628" s="91"/>
      <c r="H628" s="242"/>
      <c r="I628" s="223"/>
      <c r="J628" s="57"/>
      <c r="K628" s="153"/>
      <c r="L628" s="243"/>
      <c r="M628" s="234"/>
      <c r="N628" s="235"/>
      <c r="O628" s="236"/>
      <c r="P628" s="236"/>
      <c r="Q628" s="236"/>
      <c r="R628" s="236"/>
      <c r="S628" s="236"/>
      <c r="T628" s="236"/>
      <c r="U628" s="236"/>
      <c r="V628" s="236"/>
      <c r="W628" s="244"/>
      <c r="X628" s="244"/>
      <c r="Y628" s="237"/>
      <c r="Z628" s="244"/>
      <c r="AA628" s="244"/>
      <c r="AB628" s="244"/>
      <c r="AC628" s="244"/>
      <c r="AD628" s="234"/>
      <c r="AE628" s="234"/>
      <c r="AF628" s="238"/>
      <c r="AG628" s="239"/>
      <c r="AH628" s="238"/>
      <c r="AI628" s="238"/>
      <c r="AJ628" s="234"/>
      <c r="AK628" s="234"/>
      <c r="AL628" s="234"/>
      <c r="AM628" s="234"/>
      <c r="AN628" s="234"/>
      <c r="AO628" s="234"/>
    </row>
    <row r="629" ht="15.75" customHeight="1">
      <c r="A629" s="91"/>
      <c r="B629" s="91"/>
      <c r="C629" s="220"/>
      <c r="D629" s="91"/>
      <c r="E629" s="221"/>
      <c r="F629" s="91"/>
      <c r="G629" s="91"/>
      <c r="H629" s="242"/>
      <c r="I629" s="223"/>
      <c r="J629" s="57"/>
      <c r="K629" s="153"/>
      <c r="L629" s="243"/>
      <c r="M629" s="234"/>
      <c r="N629" s="235"/>
      <c r="O629" s="236"/>
      <c r="P629" s="236"/>
      <c r="Q629" s="236"/>
      <c r="R629" s="236"/>
      <c r="S629" s="236"/>
      <c r="T629" s="236"/>
      <c r="U629" s="236"/>
      <c r="V629" s="236"/>
      <c r="W629" s="244"/>
      <c r="X629" s="244"/>
      <c r="Y629" s="237"/>
      <c r="Z629" s="244"/>
      <c r="AA629" s="244"/>
      <c r="AB629" s="244"/>
      <c r="AC629" s="244"/>
      <c r="AD629" s="234"/>
      <c r="AE629" s="234"/>
      <c r="AF629" s="238"/>
      <c r="AG629" s="239"/>
      <c r="AH629" s="238"/>
      <c r="AI629" s="238"/>
      <c r="AJ629" s="234"/>
      <c r="AK629" s="234"/>
      <c r="AL629" s="234"/>
      <c r="AM629" s="234"/>
      <c r="AN629" s="234"/>
      <c r="AO629" s="234"/>
    </row>
    <row r="630" ht="15.75" customHeight="1">
      <c r="A630" s="91"/>
      <c r="B630" s="91"/>
      <c r="C630" s="220"/>
      <c r="D630" s="91"/>
      <c r="E630" s="221"/>
      <c r="F630" s="91"/>
      <c r="G630" s="91"/>
      <c r="H630" s="242"/>
      <c r="I630" s="223"/>
      <c r="J630" s="57"/>
      <c r="K630" s="153"/>
      <c r="L630" s="243"/>
      <c r="M630" s="234"/>
      <c r="N630" s="235"/>
      <c r="O630" s="236"/>
      <c r="P630" s="236"/>
      <c r="Q630" s="236"/>
      <c r="R630" s="236"/>
      <c r="S630" s="236"/>
      <c r="T630" s="236"/>
      <c r="U630" s="236"/>
      <c r="V630" s="236"/>
      <c r="W630" s="244"/>
      <c r="X630" s="244"/>
      <c r="Y630" s="237"/>
      <c r="Z630" s="244"/>
      <c r="AA630" s="244"/>
      <c r="AB630" s="244"/>
      <c r="AC630" s="244"/>
      <c r="AD630" s="234"/>
      <c r="AE630" s="234"/>
      <c r="AF630" s="238"/>
      <c r="AG630" s="239"/>
      <c r="AH630" s="238"/>
      <c r="AI630" s="238"/>
      <c r="AJ630" s="234"/>
      <c r="AK630" s="234"/>
      <c r="AL630" s="234"/>
      <c r="AM630" s="234"/>
      <c r="AN630" s="234"/>
      <c r="AO630" s="234"/>
    </row>
    <row r="631" ht="15.75" customHeight="1">
      <c r="A631" s="91"/>
      <c r="B631" s="91"/>
      <c r="C631" s="220"/>
      <c r="D631" s="91"/>
      <c r="E631" s="221"/>
      <c r="F631" s="91"/>
      <c r="G631" s="91"/>
      <c r="H631" s="242"/>
      <c r="I631" s="223"/>
      <c r="J631" s="57"/>
      <c r="K631" s="153"/>
      <c r="L631" s="243"/>
      <c r="M631" s="234"/>
      <c r="N631" s="235"/>
      <c r="O631" s="236"/>
      <c r="P631" s="236"/>
      <c r="Q631" s="236"/>
      <c r="R631" s="236"/>
      <c r="S631" s="236"/>
      <c r="T631" s="236"/>
      <c r="U631" s="236"/>
      <c r="V631" s="236"/>
      <c r="W631" s="244"/>
      <c r="X631" s="244"/>
      <c r="Y631" s="237"/>
      <c r="Z631" s="244"/>
      <c r="AA631" s="244"/>
      <c r="AB631" s="244"/>
      <c r="AC631" s="244"/>
      <c r="AD631" s="234"/>
      <c r="AE631" s="234"/>
      <c r="AF631" s="238"/>
      <c r="AG631" s="239"/>
      <c r="AH631" s="238"/>
      <c r="AI631" s="238"/>
      <c r="AJ631" s="234"/>
      <c r="AK631" s="234"/>
      <c r="AL631" s="234"/>
      <c r="AM631" s="234"/>
      <c r="AN631" s="234"/>
      <c r="AO631" s="234"/>
    </row>
    <row r="632" ht="15.75" customHeight="1">
      <c r="A632" s="91"/>
      <c r="B632" s="91"/>
      <c r="C632" s="220"/>
      <c r="D632" s="91"/>
      <c r="E632" s="221"/>
      <c r="F632" s="91"/>
      <c r="G632" s="91"/>
      <c r="H632" s="242"/>
      <c r="I632" s="223"/>
      <c r="J632" s="57"/>
      <c r="K632" s="153"/>
      <c r="L632" s="243"/>
      <c r="M632" s="234"/>
      <c r="N632" s="235"/>
      <c r="O632" s="236"/>
      <c r="P632" s="236"/>
      <c r="Q632" s="236"/>
      <c r="R632" s="236"/>
      <c r="S632" s="236"/>
      <c r="T632" s="236"/>
      <c r="U632" s="236"/>
      <c r="V632" s="236"/>
      <c r="W632" s="244"/>
      <c r="X632" s="244"/>
      <c r="Y632" s="237"/>
      <c r="Z632" s="244"/>
      <c r="AA632" s="244"/>
      <c r="AB632" s="244"/>
      <c r="AC632" s="244"/>
      <c r="AD632" s="234"/>
      <c r="AE632" s="234"/>
      <c r="AF632" s="238"/>
      <c r="AG632" s="239"/>
      <c r="AH632" s="238"/>
      <c r="AI632" s="238"/>
      <c r="AJ632" s="234"/>
      <c r="AK632" s="234"/>
      <c r="AL632" s="234"/>
      <c r="AM632" s="234"/>
      <c r="AN632" s="234"/>
      <c r="AO632" s="234"/>
    </row>
    <row r="633" ht="15.75" customHeight="1">
      <c r="A633" s="91"/>
      <c r="B633" s="91"/>
      <c r="C633" s="220"/>
      <c r="D633" s="91"/>
      <c r="E633" s="221"/>
      <c r="F633" s="91"/>
      <c r="G633" s="91"/>
      <c r="H633" s="242"/>
      <c r="I633" s="223"/>
      <c r="J633" s="57"/>
      <c r="K633" s="153"/>
      <c r="L633" s="243"/>
      <c r="M633" s="234"/>
      <c r="N633" s="235"/>
      <c r="O633" s="236"/>
      <c r="P633" s="236"/>
      <c r="Q633" s="236"/>
      <c r="R633" s="236"/>
      <c r="S633" s="236"/>
      <c r="T633" s="236"/>
      <c r="U633" s="236"/>
      <c r="V633" s="236"/>
      <c r="W633" s="244"/>
      <c r="X633" s="244"/>
      <c r="Y633" s="237"/>
      <c r="Z633" s="244"/>
      <c r="AA633" s="244"/>
      <c r="AB633" s="244"/>
      <c r="AC633" s="244"/>
      <c r="AD633" s="234"/>
      <c r="AE633" s="234"/>
      <c r="AF633" s="238"/>
      <c r="AG633" s="239"/>
      <c r="AH633" s="238"/>
      <c r="AI633" s="238"/>
      <c r="AJ633" s="234"/>
      <c r="AK633" s="234"/>
      <c r="AL633" s="234"/>
      <c r="AM633" s="234"/>
      <c r="AN633" s="234"/>
      <c r="AO633" s="234"/>
    </row>
    <row r="634" ht="15.75" customHeight="1">
      <c r="A634" s="91"/>
      <c r="B634" s="91"/>
      <c r="C634" s="220"/>
      <c r="D634" s="91"/>
      <c r="E634" s="221"/>
      <c r="F634" s="91"/>
      <c r="G634" s="91"/>
      <c r="H634" s="242"/>
      <c r="I634" s="223"/>
      <c r="J634" s="57"/>
      <c r="K634" s="153"/>
      <c r="L634" s="243"/>
      <c r="M634" s="234"/>
      <c r="N634" s="235"/>
      <c r="O634" s="236"/>
      <c r="P634" s="236"/>
      <c r="Q634" s="236"/>
      <c r="R634" s="236"/>
      <c r="S634" s="236"/>
      <c r="T634" s="236"/>
      <c r="U634" s="236"/>
      <c r="V634" s="236"/>
      <c r="W634" s="244"/>
      <c r="X634" s="244"/>
      <c r="Y634" s="237"/>
      <c r="Z634" s="244"/>
      <c r="AA634" s="244"/>
      <c r="AB634" s="244"/>
      <c r="AC634" s="244"/>
      <c r="AD634" s="234"/>
      <c r="AE634" s="234"/>
      <c r="AF634" s="238"/>
      <c r="AG634" s="239"/>
      <c r="AH634" s="238"/>
      <c r="AI634" s="238"/>
      <c r="AJ634" s="234"/>
      <c r="AK634" s="234"/>
      <c r="AL634" s="234"/>
      <c r="AM634" s="234"/>
      <c r="AN634" s="234"/>
      <c r="AO634" s="234"/>
    </row>
    <row r="635" ht="15.75" customHeight="1">
      <c r="A635" s="91"/>
      <c r="B635" s="91"/>
      <c r="C635" s="220"/>
      <c r="D635" s="91"/>
      <c r="E635" s="221"/>
      <c r="F635" s="91"/>
      <c r="G635" s="91"/>
      <c r="H635" s="242"/>
      <c r="I635" s="223"/>
      <c r="J635" s="57"/>
      <c r="K635" s="153"/>
      <c r="L635" s="243"/>
      <c r="M635" s="234"/>
      <c r="N635" s="235"/>
      <c r="O635" s="236"/>
      <c r="P635" s="236"/>
      <c r="Q635" s="236"/>
      <c r="R635" s="236"/>
      <c r="S635" s="236"/>
      <c r="T635" s="236"/>
      <c r="U635" s="236"/>
      <c r="V635" s="236"/>
      <c r="W635" s="244"/>
      <c r="X635" s="244"/>
      <c r="Y635" s="237"/>
      <c r="Z635" s="244"/>
      <c r="AA635" s="244"/>
      <c r="AB635" s="244"/>
      <c r="AC635" s="244"/>
      <c r="AD635" s="234"/>
      <c r="AE635" s="234"/>
      <c r="AF635" s="238"/>
      <c r="AG635" s="239"/>
      <c r="AH635" s="238"/>
      <c r="AI635" s="238"/>
      <c r="AJ635" s="234"/>
      <c r="AK635" s="234"/>
      <c r="AL635" s="234"/>
      <c r="AM635" s="234"/>
      <c r="AN635" s="234"/>
      <c r="AO635" s="234"/>
    </row>
    <row r="636" ht="15.75" customHeight="1">
      <c r="A636" s="91"/>
      <c r="B636" s="91"/>
      <c r="C636" s="220"/>
      <c r="D636" s="91"/>
      <c r="E636" s="221"/>
      <c r="F636" s="91"/>
      <c r="G636" s="91"/>
      <c r="H636" s="242"/>
      <c r="I636" s="223"/>
      <c r="J636" s="57"/>
      <c r="K636" s="153"/>
      <c r="L636" s="243"/>
      <c r="M636" s="234"/>
      <c r="N636" s="235"/>
      <c r="O636" s="236"/>
      <c r="P636" s="236"/>
      <c r="Q636" s="236"/>
      <c r="R636" s="236"/>
      <c r="S636" s="236"/>
      <c r="T636" s="236"/>
      <c r="U636" s="236"/>
      <c r="V636" s="236"/>
      <c r="W636" s="244"/>
      <c r="X636" s="244"/>
      <c r="Y636" s="237"/>
      <c r="Z636" s="244"/>
      <c r="AA636" s="244"/>
      <c r="AB636" s="244"/>
      <c r="AC636" s="244"/>
      <c r="AD636" s="234"/>
      <c r="AE636" s="234"/>
      <c r="AF636" s="238"/>
      <c r="AG636" s="239"/>
      <c r="AH636" s="238"/>
      <c r="AI636" s="238"/>
      <c r="AJ636" s="234"/>
      <c r="AK636" s="234"/>
      <c r="AL636" s="234"/>
      <c r="AM636" s="234"/>
      <c r="AN636" s="234"/>
      <c r="AO636" s="234"/>
    </row>
    <row r="637" ht="15.75" customHeight="1">
      <c r="A637" s="91"/>
      <c r="B637" s="91"/>
      <c r="C637" s="220"/>
      <c r="D637" s="91"/>
      <c r="E637" s="221"/>
      <c r="F637" s="91"/>
      <c r="G637" s="91"/>
      <c r="H637" s="242"/>
      <c r="I637" s="223"/>
      <c r="J637" s="57"/>
      <c r="K637" s="153"/>
      <c r="L637" s="243"/>
      <c r="M637" s="234"/>
      <c r="N637" s="235"/>
      <c r="O637" s="236"/>
      <c r="P637" s="236"/>
      <c r="Q637" s="236"/>
      <c r="R637" s="236"/>
      <c r="S637" s="236"/>
      <c r="T637" s="236"/>
      <c r="U637" s="236"/>
      <c r="V637" s="236"/>
      <c r="W637" s="244"/>
      <c r="X637" s="244"/>
      <c r="Y637" s="237"/>
      <c r="Z637" s="244"/>
      <c r="AA637" s="244"/>
      <c r="AB637" s="244"/>
      <c r="AC637" s="244"/>
      <c r="AD637" s="234"/>
      <c r="AE637" s="234"/>
      <c r="AF637" s="238"/>
      <c r="AG637" s="239"/>
      <c r="AH637" s="238"/>
      <c r="AI637" s="238"/>
      <c r="AJ637" s="234"/>
      <c r="AK637" s="234"/>
      <c r="AL637" s="234"/>
      <c r="AM637" s="234"/>
      <c r="AN637" s="234"/>
      <c r="AO637" s="234"/>
    </row>
    <row r="638" ht="15.75" customHeight="1">
      <c r="A638" s="91"/>
      <c r="B638" s="91"/>
      <c r="C638" s="220"/>
      <c r="D638" s="91"/>
      <c r="E638" s="221"/>
      <c r="F638" s="91"/>
      <c r="G638" s="91"/>
      <c r="H638" s="242"/>
      <c r="I638" s="223"/>
      <c r="J638" s="57"/>
      <c r="K638" s="153"/>
      <c r="L638" s="243"/>
      <c r="M638" s="234"/>
      <c r="N638" s="235"/>
      <c r="O638" s="236"/>
      <c r="P638" s="236"/>
      <c r="Q638" s="236"/>
      <c r="R638" s="236"/>
      <c r="S638" s="236"/>
      <c r="T638" s="236"/>
      <c r="U638" s="236"/>
      <c r="V638" s="236"/>
      <c r="W638" s="244"/>
      <c r="X638" s="244"/>
      <c r="Y638" s="237"/>
      <c r="Z638" s="244"/>
      <c r="AA638" s="244"/>
      <c r="AB638" s="244"/>
      <c r="AC638" s="244"/>
      <c r="AD638" s="234"/>
      <c r="AE638" s="234"/>
      <c r="AF638" s="238"/>
      <c r="AG638" s="239"/>
      <c r="AH638" s="238"/>
      <c r="AI638" s="238"/>
      <c r="AJ638" s="234"/>
      <c r="AK638" s="234"/>
      <c r="AL638" s="234"/>
      <c r="AM638" s="234"/>
      <c r="AN638" s="234"/>
      <c r="AO638" s="234"/>
    </row>
    <row r="639" ht="15.75" customHeight="1">
      <c r="A639" s="91"/>
      <c r="B639" s="91"/>
      <c r="C639" s="220"/>
      <c r="D639" s="91"/>
      <c r="E639" s="221"/>
      <c r="F639" s="91"/>
      <c r="G639" s="91"/>
      <c r="H639" s="242"/>
      <c r="I639" s="223"/>
      <c r="J639" s="57"/>
      <c r="K639" s="153"/>
      <c r="L639" s="243"/>
      <c r="M639" s="234"/>
      <c r="N639" s="235"/>
      <c r="O639" s="236"/>
      <c r="P639" s="236"/>
      <c r="Q639" s="236"/>
      <c r="R639" s="236"/>
      <c r="S639" s="236"/>
      <c r="T639" s="236"/>
      <c r="U639" s="236"/>
      <c r="V639" s="236"/>
      <c r="W639" s="244"/>
      <c r="X639" s="244"/>
      <c r="Y639" s="237"/>
      <c r="Z639" s="244"/>
      <c r="AA639" s="244"/>
      <c r="AB639" s="244"/>
      <c r="AC639" s="244"/>
      <c r="AD639" s="234"/>
      <c r="AE639" s="234"/>
      <c r="AF639" s="238"/>
      <c r="AG639" s="239"/>
      <c r="AH639" s="238"/>
      <c r="AI639" s="238"/>
      <c r="AJ639" s="234"/>
      <c r="AK639" s="234"/>
      <c r="AL639" s="234"/>
      <c r="AM639" s="234"/>
      <c r="AN639" s="234"/>
      <c r="AO639" s="234"/>
    </row>
    <row r="640" ht="15.75" customHeight="1">
      <c r="A640" s="91"/>
      <c r="B640" s="91"/>
      <c r="C640" s="220"/>
      <c r="D640" s="91"/>
      <c r="E640" s="221"/>
      <c r="F640" s="91"/>
      <c r="G640" s="91"/>
      <c r="H640" s="242"/>
      <c r="I640" s="223"/>
      <c r="J640" s="57"/>
      <c r="K640" s="153"/>
      <c r="L640" s="243"/>
      <c r="M640" s="234"/>
      <c r="N640" s="235"/>
      <c r="O640" s="236"/>
      <c r="P640" s="236"/>
      <c r="Q640" s="236"/>
      <c r="R640" s="236"/>
      <c r="S640" s="236"/>
      <c r="T640" s="236"/>
      <c r="U640" s="236"/>
      <c r="V640" s="236"/>
      <c r="W640" s="244"/>
      <c r="X640" s="244"/>
      <c r="Y640" s="237"/>
      <c r="Z640" s="244"/>
      <c r="AA640" s="244"/>
      <c r="AB640" s="244"/>
      <c r="AC640" s="244"/>
      <c r="AD640" s="234"/>
      <c r="AE640" s="234"/>
      <c r="AF640" s="238"/>
      <c r="AG640" s="239"/>
      <c r="AH640" s="238"/>
      <c r="AI640" s="238"/>
      <c r="AJ640" s="234"/>
      <c r="AK640" s="234"/>
      <c r="AL640" s="234"/>
      <c r="AM640" s="234"/>
      <c r="AN640" s="234"/>
      <c r="AO640" s="234"/>
    </row>
    <row r="641" ht="15.75" customHeight="1">
      <c r="A641" s="91"/>
      <c r="B641" s="91"/>
      <c r="C641" s="220"/>
      <c r="D641" s="91"/>
      <c r="E641" s="221"/>
      <c r="F641" s="91"/>
      <c r="G641" s="91"/>
      <c r="H641" s="242"/>
      <c r="I641" s="223"/>
      <c r="J641" s="57"/>
      <c r="K641" s="153"/>
      <c r="L641" s="243"/>
      <c r="M641" s="234"/>
      <c r="N641" s="235"/>
      <c r="O641" s="236"/>
      <c r="P641" s="236"/>
      <c r="Q641" s="236"/>
      <c r="R641" s="236"/>
      <c r="S641" s="236"/>
      <c r="T641" s="236"/>
      <c r="U641" s="236"/>
      <c r="V641" s="236"/>
      <c r="W641" s="244"/>
      <c r="X641" s="244"/>
      <c r="Y641" s="237"/>
      <c r="Z641" s="244"/>
      <c r="AA641" s="244"/>
      <c r="AB641" s="244"/>
      <c r="AC641" s="244"/>
      <c r="AD641" s="234"/>
      <c r="AE641" s="234"/>
      <c r="AF641" s="238"/>
      <c r="AG641" s="239"/>
      <c r="AH641" s="238"/>
      <c r="AI641" s="238"/>
      <c r="AJ641" s="234"/>
      <c r="AK641" s="234"/>
      <c r="AL641" s="234"/>
      <c r="AM641" s="234"/>
      <c r="AN641" s="234"/>
      <c r="AO641" s="234"/>
    </row>
    <row r="642" ht="15.75" customHeight="1">
      <c r="A642" s="91"/>
      <c r="B642" s="91"/>
      <c r="C642" s="220"/>
      <c r="D642" s="91"/>
      <c r="E642" s="221"/>
      <c r="F642" s="91"/>
      <c r="G642" s="91"/>
      <c r="H642" s="242"/>
      <c r="I642" s="223"/>
      <c r="J642" s="57"/>
      <c r="K642" s="153"/>
      <c r="L642" s="243"/>
      <c r="M642" s="234"/>
      <c r="N642" s="235"/>
      <c r="O642" s="236"/>
      <c r="P642" s="236"/>
      <c r="Q642" s="236"/>
      <c r="R642" s="236"/>
      <c r="S642" s="236"/>
      <c r="T642" s="236"/>
      <c r="U642" s="236"/>
      <c r="V642" s="236"/>
      <c r="W642" s="244"/>
      <c r="X642" s="244"/>
      <c r="Y642" s="237"/>
      <c r="Z642" s="244"/>
      <c r="AA642" s="244"/>
      <c r="AB642" s="244"/>
      <c r="AC642" s="244"/>
      <c r="AD642" s="234"/>
      <c r="AE642" s="234"/>
      <c r="AF642" s="238"/>
      <c r="AG642" s="239"/>
      <c r="AH642" s="238"/>
      <c r="AI642" s="238"/>
      <c r="AJ642" s="234"/>
      <c r="AK642" s="234"/>
      <c r="AL642" s="234"/>
      <c r="AM642" s="234"/>
      <c r="AN642" s="234"/>
      <c r="AO642" s="234"/>
    </row>
    <row r="643" ht="15.75" customHeight="1">
      <c r="A643" s="91"/>
      <c r="B643" s="91"/>
      <c r="C643" s="220"/>
      <c r="D643" s="91"/>
      <c r="E643" s="221"/>
      <c r="F643" s="91"/>
      <c r="G643" s="91"/>
      <c r="H643" s="242"/>
      <c r="I643" s="223"/>
      <c r="J643" s="57"/>
      <c r="K643" s="153"/>
      <c r="L643" s="243"/>
      <c r="M643" s="234"/>
      <c r="N643" s="235"/>
      <c r="O643" s="236"/>
      <c r="P643" s="236"/>
      <c r="Q643" s="236"/>
      <c r="R643" s="236"/>
      <c r="S643" s="236"/>
      <c r="T643" s="236"/>
      <c r="U643" s="236"/>
      <c r="V643" s="236"/>
      <c r="W643" s="244"/>
      <c r="X643" s="244"/>
      <c r="Y643" s="237"/>
      <c r="Z643" s="244"/>
      <c r="AA643" s="244"/>
      <c r="AB643" s="244"/>
      <c r="AC643" s="244"/>
      <c r="AD643" s="234"/>
      <c r="AE643" s="234"/>
      <c r="AF643" s="238"/>
      <c r="AG643" s="239"/>
      <c r="AH643" s="238"/>
      <c r="AI643" s="238"/>
      <c r="AJ643" s="234"/>
      <c r="AK643" s="234"/>
      <c r="AL643" s="234"/>
      <c r="AM643" s="234"/>
      <c r="AN643" s="234"/>
      <c r="AO643" s="234"/>
    </row>
    <row r="644" ht="15.75" customHeight="1">
      <c r="A644" s="91"/>
      <c r="B644" s="91"/>
      <c r="C644" s="220"/>
      <c r="D644" s="91"/>
      <c r="E644" s="221"/>
      <c r="F644" s="91"/>
      <c r="G644" s="91"/>
      <c r="H644" s="242"/>
      <c r="I644" s="223"/>
      <c r="J644" s="57"/>
      <c r="K644" s="153"/>
      <c r="L644" s="243"/>
      <c r="M644" s="234"/>
      <c r="N644" s="235"/>
      <c r="O644" s="236"/>
      <c r="P644" s="236"/>
      <c r="Q644" s="236"/>
      <c r="R644" s="236"/>
      <c r="S644" s="236"/>
      <c r="T644" s="236"/>
      <c r="U644" s="236"/>
      <c r="V644" s="236"/>
      <c r="W644" s="244"/>
      <c r="X644" s="244"/>
      <c r="Y644" s="237"/>
      <c r="Z644" s="244"/>
      <c r="AA644" s="244"/>
      <c r="AB644" s="244"/>
      <c r="AC644" s="244"/>
      <c r="AD644" s="234"/>
      <c r="AE644" s="234"/>
      <c r="AF644" s="238"/>
      <c r="AG644" s="239"/>
      <c r="AH644" s="238"/>
      <c r="AI644" s="238"/>
      <c r="AJ644" s="234"/>
      <c r="AK644" s="234"/>
      <c r="AL644" s="234"/>
      <c r="AM644" s="234"/>
      <c r="AN644" s="234"/>
      <c r="AO644" s="234"/>
    </row>
    <row r="645" ht="15.75" customHeight="1">
      <c r="A645" s="91"/>
      <c r="B645" s="91"/>
      <c r="C645" s="220"/>
      <c r="D645" s="91"/>
      <c r="E645" s="221"/>
      <c r="F645" s="91"/>
      <c r="G645" s="91"/>
      <c r="H645" s="242"/>
      <c r="I645" s="223"/>
      <c r="J645" s="57"/>
      <c r="K645" s="153"/>
      <c r="L645" s="243"/>
      <c r="M645" s="234"/>
      <c r="N645" s="235"/>
      <c r="O645" s="236"/>
      <c r="P645" s="236"/>
      <c r="Q645" s="236"/>
      <c r="R645" s="236"/>
      <c r="S645" s="236"/>
      <c r="T645" s="236"/>
      <c r="U645" s="236"/>
      <c r="V645" s="236"/>
      <c r="W645" s="244"/>
      <c r="X645" s="244"/>
      <c r="Y645" s="237"/>
      <c r="Z645" s="244"/>
      <c r="AA645" s="244"/>
      <c r="AB645" s="244"/>
      <c r="AC645" s="244"/>
      <c r="AD645" s="234"/>
      <c r="AE645" s="234"/>
      <c r="AF645" s="238"/>
      <c r="AG645" s="239"/>
      <c r="AH645" s="238"/>
      <c r="AI645" s="238"/>
      <c r="AJ645" s="234"/>
      <c r="AK645" s="234"/>
      <c r="AL645" s="234"/>
      <c r="AM645" s="234"/>
      <c r="AN645" s="234"/>
      <c r="AO645" s="234"/>
    </row>
    <row r="646" ht="15.75" customHeight="1">
      <c r="A646" s="91"/>
      <c r="B646" s="91"/>
      <c r="C646" s="220"/>
      <c r="D646" s="91"/>
      <c r="E646" s="221"/>
      <c r="F646" s="91"/>
      <c r="G646" s="91"/>
      <c r="H646" s="242"/>
      <c r="I646" s="223"/>
      <c r="J646" s="57"/>
      <c r="K646" s="153"/>
      <c r="L646" s="243"/>
      <c r="M646" s="234"/>
      <c r="N646" s="235"/>
      <c r="O646" s="236"/>
      <c r="P646" s="236"/>
      <c r="Q646" s="236"/>
      <c r="R646" s="236"/>
      <c r="S646" s="236"/>
      <c r="T646" s="236"/>
      <c r="U646" s="236"/>
      <c r="V646" s="236"/>
      <c r="W646" s="244"/>
      <c r="X646" s="244"/>
      <c r="Y646" s="237"/>
      <c r="Z646" s="244"/>
      <c r="AA646" s="244"/>
      <c r="AB646" s="244"/>
      <c r="AC646" s="244"/>
      <c r="AD646" s="234"/>
      <c r="AE646" s="234"/>
      <c r="AF646" s="238"/>
      <c r="AG646" s="239"/>
      <c r="AH646" s="238"/>
      <c r="AI646" s="238"/>
      <c r="AJ646" s="234"/>
      <c r="AK646" s="234"/>
      <c r="AL646" s="234"/>
      <c r="AM646" s="234"/>
      <c r="AN646" s="234"/>
      <c r="AO646" s="234"/>
    </row>
    <row r="647" ht="15.75" customHeight="1">
      <c r="A647" s="91"/>
      <c r="B647" s="91"/>
      <c r="C647" s="220"/>
      <c r="D647" s="91"/>
      <c r="E647" s="221"/>
      <c r="F647" s="91"/>
      <c r="G647" s="91"/>
      <c r="H647" s="242"/>
      <c r="I647" s="223"/>
      <c r="J647" s="57"/>
      <c r="K647" s="153"/>
      <c r="L647" s="243"/>
      <c r="M647" s="234"/>
      <c r="N647" s="235"/>
      <c r="O647" s="236"/>
      <c r="P647" s="236"/>
      <c r="Q647" s="236"/>
      <c r="R647" s="236"/>
      <c r="S647" s="236"/>
      <c r="T647" s="236"/>
      <c r="U647" s="236"/>
      <c r="V647" s="236"/>
      <c r="W647" s="244"/>
      <c r="X647" s="244"/>
      <c r="Y647" s="237"/>
      <c r="Z647" s="244"/>
      <c r="AA647" s="244"/>
      <c r="AB647" s="244"/>
      <c r="AC647" s="244"/>
      <c r="AD647" s="234"/>
      <c r="AE647" s="234"/>
      <c r="AF647" s="238"/>
      <c r="AG647" s="239"/>
      <c r="AH647" s="238"/>
      <c r="AI647" s="238"/>
      <c r="AJ647" s="234"/>
      <c r="AK647" s="234"/>
      <c r="AL647" s="234"/>
      <c r="AM647" s="234"/>
      <c r="AN647" s="234"/>
      <c r="AO647" s="234"/>
    </row>
    <row r="648" ht="15.75" customHeight="1">
      <c r="A648" s="91"/>
      <c r="B648" s="91"/>
      <c r="C648" s="220"/>
      <c r="D648" s="91"/>
      <c r="E648" s="221"/>
      <c r="F648" s="91"/>
      <c r="G648" s="91"/>
      <c r="H648" s="242"/>
      <c r="I648" s="223"/>
      <c r="J648" s="57"/>
      <c r="K648" s="153"/>
      <c r="L648" s="243"/>
      <c r="M648" s="234"/>
      <c r="N648" s="235"/>
      <c r="O648" s="236"/>
      <c r="P648" s="236"/>
      <c r="Q648" s="236"/>
      <c r="R648" s="236"/>
      <c r="S648" s="236"/>
      <c r="T648" s="236"/>
      <c r="U648" s="236"/>
      <c r="V648" s="236"/>
      <c r="W648" s="244"/>
      <c r="X648" s="244"/>
      <c r="Y648" s="237"/>
      <c r="Z648" s="244"/>
      <c r="AA648" s="244"/>
      <c r="AB648" s="244"/>
      <c r="AC648" s="244"/>
      <c r="AD648" s="234"/>
      <c r="AE648" s="234"/>
      <c r="AF648" s="238"/>
      <c r="AG648" s="239"/>
      <c r="AH648" s="238"/>
      <c r="AI648" s="238"/>
      <c r="AJ648" s="234"/>
      <c r="AK648" s="234"/>
      <c r="AL648" s="234"/>
      <c r="AM648" s="234"/>
      <c r="AN648" s="234"/>
      <c r="AO648" s="234"/>
    </row>
    <row r="649" ht="15.75" customHeight="1">
      <c r="A649" s="91"/>
      <c r="B649" s="91"/>
      <c r="C649" s="220"/>
      <c r="D649" s="91"/>
      <c r="E649" s="221"/>
      <c r="F649" s="91"/>
      <c r="G649" s="91"/>
      <c r="H649" s="242"/>
      <c r="I649" s="223"/>
      <c r="J649" s="57"/>
      <c r="K649" s="153"/>
      <c r="L649" s="243"/>
      <c r="M649" s="234"/>
      <c r="N649" s="235"/>
      <c r="O649" s="236"/>
      <c r="P649" s="236"/>
      <c r="Q649" s="236"/>
      <c r="R649" s="236"/>
      <c r="S649" s="236"/>
      <c r="T649" s="236"/>
      <c r="U649" s="236"/>
      <c r="V649" s="236"/>
      <c r="W649" s="244"/>
      <c r="X649" s="244"/>
      <c r="Y649" s="237"/>
      <c r="Z649" s="244"/>
      <c r="AA649" s="244"/>
      <c r="AB649" s="244"/>
      <c r="AC649" s="244"/>
      <c r="AD649" s="234"/>
      <c r="AE649" s="234"/>
      <c r="AF649" s="238"/>
      <c r="AG649" s="239"/>
      <c r="AH649" s="238"/>
      <c r="AI649" s="238"/>
      <c r="AJ649" s="234"/>
      <c r="AK649" s="234"/>
      <c r="AL649" s="234"/>
      <c r="AM649" s="234"/>
      <c r="AN649" s="234"/>
      <c r="AO649" s="234"/>
    </row>
    <row r="650" ht="15.75" customHeight="1">
      <c r="A650" s="91"/>
      <c r="B650" s="91"/>
      <c r="C650" s="220"/>
      <c r="D650" s="91"/>
      <c r="E650" s="221"/>
      <c r="F650" s="91"/>
      <c r="G650" s="91"/>
      <c r="H650" s="242"/>
      <c r="I650" s="223"/>
      <c r="J650" s="57"/>
      <c r="K650" s="153"/>
      <c r="L650" s="243"/>
      <c r="M650" s="234"/>
      <c r="N650" s="235"/>
      <c r="O650" s="236"/>
      <c r="P650" s="236"/>
      <c r="Q650" s="236"/>
      <c r="R650" s="236"/>
      <c r="S650" s="236"/>
      <c r="T650" s="236"/>
      <c r="U650" s="236"/>
      <c r="V650" s="236"/>
      <c r="W650" s="244"/>
      <c r="X650" s="244"/>
      <c r="Y650" s="237"/>
      <c r="Z650" s="244"/>
      <c r="AA650" s="244"/>
      <c r="AB650" s="244"/>
      <c r="AC650" s="244"/>
      <c r="AD650" s="234"/>
      <c r="AE650" s="234"/>
      <c r="AF650" s="238"/>
      <c r="AG650" s="239"/>
      <c r="AH650" s="238"/>
      <c r="AI650" s="238"/>
      <c r="AJ650" s="234"/>
      <c r="AK650" s="234"/>
      <c r="AL650" s="234"/>
      <c r="AM650" s="234"/>
      <c r="AN650" s="234"/>
      <c r="AO650" s="234"/>
    </row>
    <row r="651" ht="15.75" customHeight="1">
      <c r="A651" s="91"/>
      <c r="B651" s="91"/>
      <c r="C651" s="220"/>
      <c r="D651" s="91"/>
      <c r="E651" s="221"/>
      <c r="F651" s="91"/>
      <c r="G651" s="91"/>
      <c r="H651" s="242"/>
      <c r="I651" s="223"/>
      <c r="J651" s="57"/>
      <c r="K651" s="153"/>
      <c r="L651" s="243"/>
      <c r="M651" s="234"/>
      <c r="N651" s="235"/>
      <c r="O651" s="236"/>
      <c r="P651" s="236"/>
      <c r="Q651" s="236"/>
      <c r="R651" s="236"/>
      <c r="S651" s="236"/>
      <c r="T651" s="236"/>
      <c r="U651" s="236"/>
      <c r="V651" s="236"/>
      <c r="W651" s="244"/>
      <c r="X651" s="244"/>
      <c r="Y651" s="237"/>
      <c r="Z651" s="244"/>
      <c r="AA651" s="244"/>
      <c r="AB651" s="244"/>
      <c r="AC651" s="244"/>
      <c r="AD651" s="234"/>
      <c r="AE651" s="234"/>
      <c r="AF651" s="238"/>
      <c r="AG651" s="239"/>
      <c r="AH651" s="238"/>
      <c r="AI651" s="238"/>
      <c r="AJ651" s="234"/>
      <c r="AK651" s="234"/>
      <c r="AL651" s="234"/>
      <c r="AM651" s="234"/>
      <c r="AN651" s="234"/>
      <c r="AO651" s="234"/>
    </row>
    <row r="652" ht="15.75" customHeight="1">
      <c r="A652" s="91"/>
      <c r="B652" s="91"/>
      <c r="C652" s="220"/>
      <c r="D652" s="91"/>
      <c r="E652" s="221"/>
      <c r="F652" s="91"/>
      <c r="G652" s="91"/>
      <c r="H652" s="242"/>
      <c r="I652" s="223"/>
      <c r="J652" s="57"/>
      <c r="K652" s="153"/>
      <c r="L652" s="243"/>
      <c r="M652" s="234"/>
      <c r="N652" s="235"/>
      <c r="O652" s="236"/>
      <c r="P652" s="236"/>
      <c r="Q652" s="236"/>
      <c r="R652" s="236"/>
      <c r="S652" s="236"/>
      <c r="T652" s="236"/>
      <c r="U652" s="236"/>
      <c r="V652" s="236"/>
      <c r="W652" s="244"/>
      <c r="X652" s="244"/>
      <c r="Y652" s="237"/>
      <c r="Z652" s="244"/>
      <c r="AA652" s="244"/>
      <c r="AB652" s="244"/>
      <c r="AC652" s="244"/>
      <c r="AD652" s="234"/>
      <c r="AE652" s="234"/>
      <c r="AF652" s="238"/>
      <c r="AG652" s="239"/>
      <c r="AH652" s="238"/>
      <c r="AI652" s="238"/>
      <c r="AJ652" s="234"/>
      <c r="AK652" s="234"/>
      <c r="AL652" s="234"/>
      <c r="AM652" s="234"/>
      <c r="AN652" s="234"/>
      <c r="AO652" s="234"/>
    </row>
    <row r="653" ht="15.75" customHeight="1">
      <c r="A653" s="91"/>
      <c r="B653" s="91"/>
      <c r="C653" s="220"/>
      <c r="D653" s="91"/>
      <c r="E653" s="221"/>
      <c r="F653" s="91"/>
      <c r="G653" s="91"/>
      <c r="H653" s="242"/>
      <c r="I653" s="223"/>
      <c r="J653" s="57"/>
      <c r="K653" s="153"/>
      <c r="L653" s="243"/>
      <c r="M653" s="234"/>
      <c r="N653" s="235"/>
      <c r="O653" s="236"/>
      <c r="P653" s="236"/>
      <c r="Q653" s="236"/>
      <c r="R653" s="236"/>
      <c r="S653" s="236"/>
      <c r="T653" s="236"/>
      <c r="U653" s="236"/>
      <c r="V653" s="236"/>
      <c r="W653" s="244"/>
      <c r="X653" s="244"/>
      <c r="Y653" s="237"/>
      <c r="Z653" s="244"/>
      <c r="AA653" s="244"/>
      <c r="AB653" s="244"/>
      <c r="AC653" s="244"/>
      <c r="AD653" s="234"/>
      <c r="AE653" s="234"/>
      <c r="AF653" s="238"/>
      <c r="AG653" s="239"/>
      <c r="AH653" s="238"/>
      <c r="AI653" s="238"/>
      <c r="AJ653" s="234"/>
      <c r="AK653" s="234"/>
      <c r="AL653" s="234"/>
      <c r="AM653" s="234"/>
      <c r="AN653" s="234"/>
      <c r="AO653" s="234"/>
    </row>
    <row r="654" ht="15.75" customHeight="1">
      <c r="A654" s="91"/>
      <c r="B654" s="91"/>
      <c r="C654" s="220"/>
      <c r="D654" s="91"/>
      <c r="E654" s="221"/>
      <c r="F654" s="91"/>
      <c r="G654" s="91"/>
      <c r="H654" s="242"/>
      <c r="I654" s="223"/>
      <c r="J654" s="57"/>
      <c r="K654" s="153"/>
      <c r="L654" s="243"/>
      <c r="M654" s="234"/>
      <c r="N654" s="235"/>
      <c r="O654" s="236"/>
      <c r="P654" s="236"/>
      <c r="Q654" s="236"/>
      <c r="R654" s="236"/>
      <c r="S654" s="236"/>
      <c r="T654" s="236"/>
      <c r="U654" s="236"/>
      <c r="V654" s="236"/>
      <c r="W654" s="244"/>
      <c r="X654" s="244"/>
      <c r="Y654" s="237"/>
      <c r="Z654" s="244"/>
      <c r="AA654" s="244"/>
      <c r="AB654" s="244"/>
      <c r="AC654" s="244"/>
      <c r="AD654" s="234"/>
      <c r="AE654" s="234"/>
      <c r="AF654" s="238"/>
      <c r="AG654" s="239"/>
      <c r="AH654" s="238"/>
      <c r="AI654" s="238"/>
      <c r="AJ654" s="234"/>
      <c r="AK654" s="234"/>
      <c r="AL654" s="234"/>
      <c r="AM654" s="234"/>
      <c r="AN654" s="234"/>
      <c r="AO654" s="234"/>
    </row>
    <row r="655" ht="15.75" customHeight="1">
      <c r="A655" s="91"/>
      <c r="B655" s="91"/>
      <c r="C655" s="220"/>
      <c r="D655" s="91"/>
      <c r="E655" s="221"/>
      <c r="F655" s="91"/>
      <c r="G655" s="91"/>
      <c r="H655" s="242"/>
      <c r="I655" s="223"/>
      <c r="J655" s="57"/>
      <c r="K655" s="153"/>
      <c r="L655" s="243"/>
      <c r="M655" s="234"/>
      <c r="N655" s="235"/>
      <c r="O655" s="236"/>
      <c r="P655" s="236"/>
      <c r="Q655" s="236"/>
      <c r="R655" s="236"/>
      <c r="S655" s="236"/>
      <c r="T655" s="236"/>
      <c r="U655" s="236"/>
      <c r="V655" s="236"/>
      <c r="W655" s="244"/>
      <c r="X655" s="244"/>
      <c r="Y655" s="237"/>
      <c r="Z655" s="244"/>
      <c r="AA655" s="244"/>
      <c r="AB655" s="244"/>
      <c r="AC655" s="244"/>
      <c r="AD655" s="234"/>
      <c r="AE655" s="234"/>
      <c r="AF655" s="238"/>
      <c r="AG655" s="239"/>
      <c r="AH655" s="238"/>
      <c r="AI655" s="238"/>
      <c r="AJ655" s="234"/>
      <c r="AK655" s="234"/>
      <c r="AL655" s="234"/>
      <c r="AM655" s="234"/>
      <c r="AN655" s="234"/>
      <c r="AO655" s="234"/>
    </row>
    <row r="656" ht="15.75" customHeight="1">
      <c r="A656" s="91"/>
      <c r="B656" s="91"/>
      <c r="C656" s="220"/>
      <c r="D656" s="91"/>
      <c r="E656" s="221"/>
      <c r="F656" s="91"/>
      <c r="G656" s="91"/>
      <c r="H656" s="242"/>
      <c r="I656" s="223"/>
      <c r="J656" s="57"/>
      <c r="K656" s="153"/>
      <c r="L656" s="243"/>
      <c r="M656" s="234"/>
      <c r="N656" s="235"/>
      <c r="O656" s="236"/>
      <c r="P656" s="236"/>
      <c r="Q656" s="236"/>
      <c r="R656" s="236"/>
      <c r="S656" s="236"/>
      <c r="T656" s="236"/>
      <c r="U656" s="236"/>
      <c r="V656" s="236"/>
      <c r="W656" s="244"/>
      <c r="X656" s="244"/>
      <c r="Y656" s="237"/>
      <c r="Z656" s="244"/>
      <c r="AA656" s="244"/>
      <c r="AB656" s="244"/>
      <c r="AC656" s="244"/>
      <c r="AD656" s="234"/>
      <c r="AE656" s="234"/>
      <c r="AF656" s="238"/>
      <c r="AG656" s="239"/>
      <c r="AH656" s="238"/>
      <c r="AI656" s="238"/>
      <c r="AJ656" s="234"/>
      <c r="AK656" s="234"/>
      <c r="AL656" s="234"/>
      <c r="AM656" s="234"/>
      <c r="AN656" s="234"/>
      <c r="AO656" s="234"/>
    </row>
    <row r="657" ht="15.75" customHeight="1">
      <c r="A657" s="91"/>
      <c r="B657" s="91"/>
      <c r="C657" s="220"/>
      <c r="D657" s="91"/>
      <c r="E657" s="221"/>
      <c r="F657" s="91"/>
      <c r="G657" s="91"/>
      <c r="H657" s="242"/>
      <c r="I657" s="223"/>
      <c r="J657" s="57"/>
      <c r="K657" s="153"/>
      <c r="L657" s="243"/>
      <c r="M657" s="234"/>
      <c r="N657" s="235"/>
      <c r="O657" s="236"/>
      <c r="P657" s="236"/>
      <c r="Q657" s="236"/>
      <c r="R657" s="236"/>
      <c r="S657" s="236"/>
      <c r="T657" s="236"/>
      <c r="U657" s="236"/>
      <c r="V657" s="236"/>
      <c r="W657" s="244"/>
      <c r="X657" s="244"/>
      <c r="Y657" s="237"/>
      <c r="Z657" s="244"/>
      <c r="AA657" s="244"/>
      <c r="AB657" s="244"/>
      <c r="AC657" s="244"/>
      <c r="AD657" s="234"/>
      <c r="AE657" s="234"/>
      <c r="AF657" s="238"/>
      <c r="AG657" s="239"/>
      <c r="AH657" s="238"/>
      <c r="AI657" s="238"/>
      <c r="AJ657" s="234"/>
      <c r="AK657" s="234"/>
      <c r="AL657" s="234"/>
      <c r="AM657" s="234"/>
      <c r="AN657" s="234"/>
      <c r="AO657" s="234"/>
    </row>
    <row r="658" ht="15.75" customHeight="1">
      <c r="A658" s="91"/>
      <c r="B658" s="91"/>
      <c r="C658" s="220"/>
      <c r="D658" s="91"/>
      <c r="E658" s="221"/>
      <c r="F658" s="91"/>
      <c r="G658" s="91"/>
      <c r="H658" s="242"/>
      <c r="I658" s="223"/>
      <c r="J658" s="57"/>
      <c r="K658" s="153"/>
      <c r="L658" s="243"/>
      <c r="M658" s="234"/>
      <c r="N658" s="235"/>
      <c r="O658" s="236"/>
      <c r="P658" s="236"/>
      <c r="Q658" s="236"/>
      <c r="R658" s="236"/>
      <c r="S658" s="236"/>
      <c r="T658" s="236"/>
      <c r="U658" s="236"/>
      <c r="V658" s="236"/>
      <c r="W658" s="244"/>
      <c r="X658" s="244"/>
      <c r="Y658" s="237"/>
      <c r="Z658" s="244"/>
      <c r="AA658" s="244"/>
      <c r="AB658" s="244"/>
      <c r="AC658" s="244"/>
      <c r="AD658" s="234"/>
      <c r="AE658" s="234"/>
      <c r="AF658" s="238"/>
      <c r="AG658" s="239"/>
      <c r="AH658" s="238"/>
      <c r="AI658" s="238"/>
      <c r="AJ658" s="234"/>
      <c r="AK658" s="234"/>
      <c r="AL658" s="234"/>
      <c r="AM658" s="234"/>
      <c r="AN658" s="234"/>
      <c r="AO658" s="234"/>
    </row>
    <row r="659" ht="15.75" customHeight="1">
      <c r="A659" s="91"/>
      <c r="B659" s="91"/>
      <c r="C659" s="220"/>
      <c r="D659" s="91"/>
      <c r="E659" s="221"/>
      <c r="F659" s="91"/>
      <c r="G659" s="91"/>
      <c r="H659" s="242"/>
      <c r="I659" s="223"/>
      <c r="J659" s="57"/>
      <c r="K659" s="153"/>
      <c r="L659" s="243"/>
      <c r="M659" s="234"/>
      <c r="N659" s="235"/>
      <c r="O659" s="236"/>
      <c r="P659" s="236"/>
      <c r="Q659" s="236"/>
      <c r="R659" s="236"/>
      <c r="S659" s="236"/>
      <c r="T659" s="236"/>
      <c r="U659" s="236"/>
      <c r="V659" s="236"/>
      <c r="W659" s="244"/>
      <c r="X659" s="244"/>
      <c r="Y659" s="237"/>
      <c r="Z659" s="244"/>
      <c r="AA659" s="244"/>
      <c r="AB659" s="244"/>
      <c r="AC659" s="244"/>
      <c r="AD659" s="234"/>
      <c r="AE659" s="234"/>
      <c r="AF659" s="238"/>
      <c r="AG659" s="239"/>
      <c r="AH659" s="238"/>
      <c r="AI659" s="238"/>
      <c r="AJ659" s="234"/>
      <c r="AK659" s="234"/>
      <c r="AL659" s="234"/>
      <c r="AM659" s="234"/>
      <c r="AN659" s="234"/>
      <c r="AO659" s="234"/>
    </row>
    <row r="660" ht="15.75" customHeight="1">
      <c r="A660" s="91"/>
      <c r="B660" s="91"/>
      <c r="C660" s="220"/>
      <c r="D660" s="91"/>
      <c r="E660" s="221"/>
      <c r="F660" s="91"/>
      <c r="G660" s="91"/>
      <c r="H660" s="242"/>
      <c r="I660" s="223"/>
      <c r="J660" s="57"/>
      <c r="K660" s="153"/>
      <c r="L660" s="243"/>
      <c r="M660" s="234"/>
      <c r="N660" s="235"/>
      <c r="O660" s="236"/>
      <c r="P660" s="236"/>
      <c r="Q660" s="236"/>
      <c r="R660" s="236"/>
      <c r="S660" s="236"/>
      <c r="T660" s="236"/>
      <c r="U660" s="236"/>
      <c r="V660" s="236"/>
      <c r="W660" s="244"/>
      <c r="X660" s="244"/>
      <c r="Y660" s="237"/>
      <c r="Z660" s="244"/>
      <c r="AA660" s="244"/>
      <c r="AB660" s="244"/>
      <c r="AC660" s="244"/>
      <c r="AD660" s="234"/>
      <c r="AE660" s="234"/>
      <c r="AF660" s="238"/>
      <c r="AG660" s="239"/>
      <c r="AH660" s="238"/>
      <c r="AI660" s="238"/>
      <c r="AJ660" s="234"/>
      <c r="AK660" s="234"/>
      <c r="AL660" s="234"/>
      <c r="AM660" s="234"/>
      <c r="AN660" s="234"/>
      <c r="AO660" s="234"/>
    </row>
    <row r="661" ht="15.75" customHeight="1">
      <c r="A661" s="91"/>
      <c r="B661" s="91"/>
      <c r="C661" s="220"/>
      <c r="D661" s="91"/>
      <c r="E661" s="221"/>
      <c r="F661" s="91"/>
      <c r="G661" s="91"/>
      <c r="H661" s="242"/>
      <c r="I661" s="223"/>
      <c r="J661" s="57"/>
      <c r="K661" s="153"/>
      <c r="L661" s="243"/>
      <c r="M661" s="234"/>
      <c r="N661" s="235"/>
      <c r="O661" s="236"/>
      <c r="P661" s="236"/>
      <c r="Q661" s="236"/>
      <c r="R661" s="236"/>
      <c r="S661" s="236"/>
      <c r="T661" s="236"/>
      <c r="U661" s="236"/>
      <c r="V661" s="236"/>
      <c r="W661" s="244"/>
      <c r="X661" s="244"/>
      <c r="Y661" s="237"/>
      <c r="Z661" s="244"/>
      <c r="AA661" s="244"/>
      <c r="AB661" s="244"/>
      <c r="AC661" s="244"/>
      <c r="AD661" s="234"/>
      <c r="AE661" s="234"/>
      <c r="AF661" s="238"/>
      <c r="AG661" s="239"/>
      <c r="AH661" s="238"/>
      <c r="AI661" s="238"/>
      <c r="AJ661" s="234"/>
      <c r="AK661" s="234"/>
      <c r="AL661" s="234"/>
      <c r="AM661" s="234"/>
      <c r="AN661" s="234"/>
      <c r="AO661" s="234"/>
    </row>
    <row r="662" ht="15.75" customHeight="1">
      <c r="A662" s="91"/>
      <c r="B662" s="91"/>
      <c r="C662" s="220"/>
      <c r="D662" s="91"/>
      <c r="E662" s="221"/>
      <c r="F662" s="91"/>
      <c r="G662" s="91"/>
      <c r="H662" s="242"/>
      <c r="I662" s="223"/>
      <c r="J662" s="57"/>
      <c r="K662" s="153"/>
      <c r="L662" s="243"/>
      <c r="M662" s="234"/>
      <c r="N662" s="235"/>
      <c r="O662" s="236"/>
      <c r="P662" s="236"/>
      <c r="Q662" s="236"/>
      <c r="R662" s="236"/>
      <c r="S662" s="236"/>
      <c r="T662" s="236"/>
      <c r="U662" s="236"/>
      <c r="V662" s="236"/>
      <c r="W662" s="244"/>
      <c r="X662" s="244"/>
      <c r="Y662" s="237"/>
      <c r="Z662" s="244"/>
      <c r="AA662" s="244"/>
      <c r="AB662" s="244"/>
      <c r="AC662" s="244"/>
      <c r="AD662" s="234"/>
      <c r="AE662" s="234"/>
      <c r="AF662" s="238"/>
      <c r="AG662" s="239"/>
      <c r="AH662" s="238"/>
      <c r="AI662" s="238"/>
      <c r="AJ662" s="234"/>
      <c r="AK662" s="234"/>
      <c r="AL662" s="234"/>
      <c r="AM662" s="234"/>
      <c r="AN662" s="234"/>
      <c r="AO662" s="234"/>
    </row>
    <row r="663" ht="15.75" customHeight="1">
      <c r="A663" s="91"/>
      <c r="B663" s="91"/>
      <c r="C663" s="220"/>
      <c r="D663" s="91"/>
      <c r="E663" s="221"/>
      <c r="F663" s="91"/>
      <c r="G663" s="91"/>
      <c r="H663" s="242"/>
      <c r="I663" s="223"/>
      <c r="J663" s="57"/>
      <c r="K663" s="153"/>
      <c r="L663" s="243"/>
      <c r="M663" s="234"/>
      <c r="N663" s="235"/>
      <c r="O663" s="236"/>
      <c r="P663" s="236"/>
      <c r="Q663" s="236"/>
      <c r="R663" s="236"/>
      <c r="S663" s="236"/>
      <c r="T663" s="236"/>
      <c r="U663" s="236"/>
      <c r="V663" s="236"/>
      <c r="W663" s="244"/>
      <c r="X663" s="244"/>
      <c r="Y663" s="237"/>
      <c r="Z663" s="244"/>
      <c r="AA663" s="244"/>
      <c r="AB663" s="244"/>
      <c r="AC663" s="244"/>
      <c r="AD663" s="234"/>
      <c r="AE663" s="234"/>
      <c r="AF663" s="238"/>
      <c r="AG663" s="239"/>
      <c r="AH663" s="238"/>
      <c r="AI663" s="238"/>
      <c r="AJ663" s="234"/>
      <c r="AK663" s="234"/>
      <c r="AL663" s="234"/>
      <c r="AM663" s="234"/>
      <c r="AN663" s="234"/>
      <c r="AO663" s="234"/>
    </row>
    <row r="664" ht="15.75" customHeight="1">
      <c r="A664" s="91"/>
      <c r="B664" s="91"/>
      <c r="C664" s="220"/>
      <c r="D664" s="91"/>
      <c r="E664" s="221"/>
      <c r="F664" s="91"/>
      <c r="G664" s="91"/>
      <c r="H664" s="242"/>
      <c r="I664" s="223"/>
      <c r="J664" s="57"/>
      <c r="K664" s="153"/>
      <c r="L664" s="243"/>
      <c r="M664" s="234"/>
      <c r="N664" s="235"/>
      <c r="O664" s="236"/>
      <c r="P664" s="236"/>
      <c r="Q664" s="236"/>
      <c r="R664" s="236"/>
      <c r="S664" s="236"/>
      <c r="T664" s="236"/>
      <c r="U664" s="236"/>
      <c r="V664" s="236"/>
      <c r="W664" s="244"/>
      <c r="X664" s="244"/>
      <c r="Y664" s="237"/>
      <c r="Z664" s="244"/>
      <c r="AA664" s="244"/>
      <c r="AB664" s="244"/>
      <c r="AC664" s="244"/>
      <c r="AD664" s="234"/>
      <c r="AE664" s="234"/>
      <c r="AF664" s="238"/>
      <c r="AG664" s="239"/>
      <c r="AH664" s="238"/>
      <c r="AI664" s="238"/>
      <c r="AJ664" s="234"/>
      <c r="AK664" s="234"/>
      <c r="AL664" s="234"/>
      <c r="AM664" s="234"/>
      <c r="AN664" s="234"/>
      <c r="AO664" s="234"/>
    </row>
    <row r="665" ht="15.75" customHeight="1">
      <c r="A665" s="91"/>
      <c r="B665" s="91"/>
      <c r="C665" s="220"/>
      <c r="D665" s="91"/>
      <c r="E665" s="221"/>
      <c r="F665" s="91"/>
      <c r="G665" s="91"/>
      <c r="H665" s="242"/>
      <c r="I665" s="223"/>
      <c r="J665" s="57"/>
      <c r="K665" s="153"/>
      <c r="L665" s="243"/>
      <c r="M665" s="234"/>
      <c r="N665" s="235"/>
      <c r="O665" s="236"/>
      <c r="P665" s="236"/>
      <c r="Q665" s="236"/>
      <c r="R665" s="236"/>
      <c r="S665" s="236"/>
      <c r="T665" s="236"/>
      <c r="U665" s="236"/>
      <c r="V665" s="236"/>
      <c r="W665" s="244"/>
      <c r="X665" s="244"/>
      <c r="Y665" s="237"/>
      <c r="Z665" s="244"/>
      <c r="AA665" s="244"/>
      <c r="AB665" s="244"/>
      <c r="AC665" s="244"/>
      <c r="AD665" s="234"/>
      <c r="AE665" s="234"/>
      <c r="AF665" s="238"/>
      <c r="AG665" s="239"/>
      <c r="AH665" s="238"/>
      <c r="AI665" s="238"/>
      <c r="AJ665" s="234"/>
      <c r="AK665" s="234"/>
      <c r="AL665" s="234"/>
      <c r="AM665" s="234"/>
      <c r="AN665" s="234"/>
      <c r="AO665" s="234"/>
    </row>
    <row r="666" ht="15.75" customHeight="1">
      <c r="A666" s="91"/>
      <c r="B666" s="91"/>
      <c r="C666" s="220"/>
      <c r="D666" s="91"/>
      <c r="E666" s="221"/>
      <c r="F666" s="91"/>
      <c r="G666" s="91"/>
      <c r="H666" s="242"/>
      <c r="I666" s="223"/>
      <c r="J666" s="57"/>
      <c r="K666" s="153"/>
      <c r="L666" s="243"/>
      <c r="M666" s="234"/>
      <c r="N666" s="235"/>
      <c r="O666" s="236"/>
      <c r="P666" s="236"/>
      <c r="Q666" s="236"/>
      <c r="R666" s="236"/>
      <c r="S666" s="236"/>
      <c r="T666" s="236"/>
      <c r="U666" s="236"/>
      <c r="V666" s="236"/>
      <c r="W666" s="244"/>
      <c r="X666" s="244"/>
      <c r="Y666" s="237"/>
      <c r="Z666" s="244"/>
      <c r="AA666" s="244"/>
      <c r="AB666" s="244"/>
      <c r="AC666" s="244"/>
      <c r="AD666" s="234"/>
      <c r="AE666" s="234"/>
      <c r="AF666" s="238"/>
      <c r="AG666" s="239"/>
      <c r="AH666" s="238"/>
      <c r="AI666" s="238"/>
      <c r="AJ666" s="234"/>
      <c r="AK666" s="234"/>
      <c r="AL666" s="234"/>
      <c r="AM666" s="234"/>
      <c r="AN666" s="234"/>
      <c r="AO666" s="234"/>
    </row>
    <row r="667" ht="15.75" customHeight="1">
      <c r="A667" s="91"/>
      <c r="B667" s="91"/>
      <c r="C667" s="220"/>
      <c r="D667" s="91"/>
      <c r="E667" s="221"/>
      <c r="F667" s="91"/>
      <c r="G667" s="91"/>
      <c r="H667" s="242"/>
      <c r="I667" s="223"/>
      <c r="J667" s="57"/>
      <c r="K667" s="153"/>
      <c r="L667" s="243"/>
      <c r="M667" s="234"/>
      <c r="N667" s="235"/>
      <c r="O667" s="236"/>
      <c r="P667" s="236"/>
      <c r="Q667" s="236"/>
      <c r="R667" s="236"/>
      <c r="S667" s="236"/>
      <c r="T667" s="236"/>
      <c r="U667" s="236"/>
      <c r="V667" s="236"/>
      <c r="W667" s="244"/>
      <c r="X667" s="244"/>
      <c r="Y667" s="237"/>
      <c r="Z667" s="244"/>
      <c r="AA667" s="244"/>
      <c r="AB667" s="244"/>
      <c r="AC667" s="244"/>
      <c r="AD667" s="234"/>
      <c r="AE667" s="234"/>
      <c r="AF667" s="238"/>
      <c r="AG667" s="239"/>
      <c r="AH667" s="238"/>
      <c r="AI667" s="238"/>
      <c r="AJ667" s="234"/>
      <c r="AK667" s="234"/>
      <c r="AL667" s="234"/>
      <c r="AM667" s="234"/>
      <c r="AN667" s="234"/>
      <c r="AO667" s="234"/>
    </row>
    <row r="668" ht="15.75" customHeight="1">
      <c r="A668" s="91"/>
      <c r="B668" s="91"/>
      <c r="C668" s="220"/>
      <c r="D668" s="91"/>
      <c r="E668" s="221"/>
      <c r="F668" s="91"/>
      <c r="G668" s="91"/>
      <c r="H668" s="242"/>
      <c r="I668" s="223"/>
      <c r="J668" s="57"/>
      <c r="K668" s="153"/>
      <c r="L668" s="243"/>
      <c r="M668" s="234"/>
      <c r="N668" s="235"/>
      <c r="O668" s="236"/>
      <c r="P668" s="236"/>
      <c r="Q668" s="236"/>
      <c r="R668" s="236"/>
      <c r="S668" s="236"/>
      <c r="T668" s="236"/>
      <c r="U668" s="236"/>
      <c r="V668" s="236"/>
      <c r="W668" s="244"/>
      <c r="X668" s="244"/>
      <c r="Y668" s="237"/>
      <c r="Z668" s="244"/>
      <c r="AA668" s="244"/>
      <c r="AB668" s="244"/>
      <c r="AC668" s="244"/>
      <c r="AD668" s="234"/>
      <c r="AE668" s="234"/>
      <c r="AF668" s="238"/>
      <c r="AG668" s="239"/>
      <c r="AH668" s="238"/>
      <c r="AI668" s="238"/>
      <c r="AJ668" s="234"/>
      <c r="AK668" s="234"/>
      <c r="AL668" s="234"/>
      <c r="AM668" s="234"/>
      <c r="AN668" s="234"/>
      <c r="AO668" s="234"/>
    </row>
    <row r="669" ht="15.75" customHeight="1">
      <c r="A669" s="91"/>
      <c r="B669" s="91"/>
      <c r="C669" s="220"/>
      <c r="D669" s="91"/>
      <c r="E669" s="221"/>
      <c r="F669" s="91"/>
      <c r="G669" s="91"/>
      <c r="H669" s="242"/>
      <c r="I669" s="223"/>
      <c r="J669" s="57"/>
      <c r="K669" s="153"/>
      <c r="L669" s="243"/>
      <c r="M669" s="234"/>
      <c r="N669" s="235"/>
      <c r="O669" s="236"/>
      <c r="P669" s="236"/>
      <c r="Q669" s="236"/>
      <c r="R669" s="236"/>
      <c r="S669" s="236"/>
      <c r="T669" s="236"/>
      <c r="U669" s="236"/>
      <c r="V669" s="236"/>
      <c r="W669" s="244"/>
      <c r="X669" s="244"/>
      <c r="Y669" s="237"/>
      <c r="Z669" s="244"/>
      <c r="AA669" s="244"/>
      <c r="AB669" s="244"/>
      <c r="AC669" s="244"/>
      <c r="AD669" s="234"/>
      <c r="AE669" s="234"/>
      <c r="AF669" s="238"/>
      <c r="AG669" s="239"/>
      <c r="AH669" s="238"/>
      <c r="AI669" s="238"/>
      <c r="AJ669" s="234"/>
      <c r="AK669" s="234"/>
      <c r="AL669" s="234"/>
      <c r="AM669" s="234"/>
      <c r="AN669" s="234"/>
      <c r="AO669" s="234"/>
    </row>
    <row r="670" ht="15.75" customHeight="1">
      <c r="A670" s="91"/>
      <c r="B670" s="91"/>
      <c r="C670" s="220"/>
      <c r="D670" s="91"/>
      <c r="E670" s="221"/>
      <c r="F670" s="91"/>
      <c r="G670" s="91"/>
      <c r="H670" s="242"/>
      <c r="I670" s="223"/>
      <c r="J670" s="57"/>
      <c r="K670" s="153"/>
      <c r="L670" s="243"/>
      <c r="M670" s="234"/>
      <c r="N670" s="235"/>
      <c r="O670" s="236"/>
      <c r="P670" s="236"/>
      <c r="Q670" s="236"/>
      <c r="R670" s="236"/>
      <c r="S670" s="236"/>
      <c r="T670" s="236"/>
      <c r="U670" s="236"/>
      <c r="V670" s="236"/>
      <c r="W670" s="244"/>
      <c r="X670" s="244"/>
      <c r="Y670" s="237"/>
      <c r="Z670" s="244"/>
      <c r="AA670" s="244"/>
      <c r="AB670" s="244"/>
      <c r="AC670" s="244"/>
      <c r="AD670" s="234"/>
      <c r="AE670" s="234"/>
      <c r="AF670" s="238"/>
      <c r="AG670" s="239"/>
      <c r="AH670" s="238"/>
      <c r="AI670" s="238"/>
      <c r="AJ670" s="234"/>
      <c r="AK670" s="234"/>
      <c r="AL670" s="234"/>
      <c r="AM670" s="234"/>
      <c r="AN670" s="234"/>
      <c r="AO670" s="234"/>
    </row>
    <row r="671" ht="15.75" customHeight="1">
      <c r="A671" s="91"/>
      <c r="B671" s="91"/>
      <c r="C671" s="220"/>
      <c r="D671" s="91"/>
      <c r="E671" s="221"/>
      <c r="F671" s="91"/>
      <c r="G671" s="91"/>
      <c r="H671" s="242"/>
      <c r="I671" s="223"/>
      <c r="J671" s="57"/>
      <c r="K671" s="153"/>
      <c r="L671" s="243"/>
      <c r="M671" s="234"/>
      <c r="N671" s="235"/>
      <c r="O671" s="236"/>
      <c r="P671" s="236"/>
      <c r="Q671" s="236"/>
      <c r="R671" s="236"/>
      <c r="S671" s="236"/>
      <c r="T671" s="236"/>
      <c r="U671" s="236"/>
      <c r="V671" s="236"/>
      <c r="W671" s="244"/>
      <c r="X671" s="244"/>
      <c r="Y671" s="237"/>
      <c r="Z671" s="244"/>
      <c r="AA671" s="244"/>
      <c r="AB671" s="244"/>
      <c r="AC671" s="244"/>
      <c r="AD671" s="234"/>
      <c r="AE671" s="234"/>
      <c r="AF671" s="238"/>
      <c r="AG671" s="239"/>
      <c r="AH671" s="238"/>
      <c r="AI671" s="238"/>
      <c r="AJ671" s="234"/>
      <c r="AK671" s="234"/>
      <c r="AL671" s="234"/>
      <c r="AM671" s="234"/>
      <c r="AN671" s="234"/>
      <c r="AO671" s="234"/>
    </row>
    <row r="672" ht="15.75" customHeight="1">
      <c r="A672" s="91"/>
      <c r="B672" s="91"/>
      <c r="C672" s="220"/>
      <c r="D672" s="91"/>
      <c r="E672" s="221"/>
      <c r="F672" s="91"/>
      <c r="G672" s="91"/>
      <c r="H672" s="242"/>
      <c r="I672" s="223"/>
      <c r="J672" s="57"/>
      <c r="K672" s="153"/>
      <c r="L672" s="243"/>
      <c r="M672" s="234"/>
      <c r="N672" s="235"/>
      <c r="O672" s="236"/>
      <c r="P672" s="236"/>
      <c r="Q672" s="236"/>
      <c r="R672" s="236"/>
      <c r="S672" s="236"/>
      <c r="T672" s="236"/>
      <c r="U672" s="236"/>
      <c r="V672" s="236"/>
      <c r="W672" s="244"/>
      <c r="X672" s="244"/>
      <c r="Y672" s="237"/>
      <c r="Z672" s="244"/>
      <c r="AA672" s="244"/>
      <c r="AB672" s="244"/>
      <c r="AC672" s="244"/>
      <c r="AD672" s="234"/>
      <c r="AE672" s="234"/>
      <c r="AF672" s="238"/>
      <c r="AG672" s="239"/>
      <c r="AH672" s="238"/>
      <c r="AI672" s="238"/>
      <c r="AJ672" s="234"/>
      <c r="AK672" s="234"/>
      <c r="AL672" s="234"/>
      <c r="AM672" s="234"/>
      <c r="AN672" s="234"/>
      <c r="AO672" s="234"/>
    </row>
    <row r="673" ht="15.75" customHeight="1">
      <c r="A673" s="91"/>
      <c r="B673" s="91"/>
      <c r="C673" s="220"/>
      <c r="D673" s="91"/>
      <c r="E673" s="221"/>
      <c r="F673" s="91"/>
      <c r="G673" s="91"/>
      <c r="H673" s="242"/>
      <c r="I673" s="223"/>
      <c r="J673" s="57"/>
      <c r="K673" s="153"/>
      <c r="L673" s="243"/>
      <c r="M673" s="234"/>
      <c r="N673" s="235"/>
      <c r="O673" s="236"/>
      <c r="P673" s="236"/>
      <c r="Q673" s="236"/>
      <c r="R673" s="236"/>
      <c r="S673" s="236"/>
      <c r="T673" s="236"/>
      <c r="U673" s="236"/>
      <c r="V673" s="236"/>
      <c r="W673" s="244"/>
      <c r="X673" s="244"/>
      <c r="Y673" s="237"/>
      <c r="Z673" s="244"/>
      <c r="AA673" s="244"/>
      <c r="AB673" s="244"/>
      <c r="AC673" s="244"/>
      <c r="AD673" s="234"/>
      <c r="AE673" s="234"/>
      <c r="AF673" s="238"/>
      <c r="AG673" s="239"/>
      <c r="AH673" s="238"/>
      <c r="AI673" s="238"/>
      <c r="AJ673" s="234"/>
      <c r="AK673" s="234"/>
      <c r="AL673" s="234"/>
      <c r="AM673" s="234"/>
      <c r="AN673" s="234"/>
      <c r="AO673" s="234"/>
    </row>
    <row r="674" ht="15.75" customHeight="1">
      <c r="A674" s="91"/>
      <c r="B674" s="91"/>
      <c r="C674" s="220"/>
      <c r="D674" s="91"/>
      <c r="E674" s="221"/>
      <c r="F674" s="91"/>
      <c r="G674" s="91"/>
      <c r="H674" s="242"/>
      <c r="I674" s="223"/>
      <c r="J674" s="57"/>
      <c r="K674" s="153"/>
      <c r="L674" s="243"/>
      <c r="M674" s="234"/>
      <c r="N674" s="235"/>
      <c r="O674" s="236"/>
      <c r="P674" s="236"/>
      <c r="Q674" s="236"/>
      <c r="R674" s="236"/>
      <c r="S674" s="236"/>
      <c r="T674" s="236"/>
      <c r="U674" s="236"/>
      <c r="V674" s="236"/>
      <c r="W674" s="244"/>
      <c r="X674" s="244"/>
      <c r="Y674" s="237"/>
      <c r="Z674" s="244"/>
      <c r="AA674" s="244"/>
      <c r="AB674" s="244"/>
      <c r="AC674" s="244"/>
      <c r="AD674" s="234"/>
      <c r="AE674" s="234"/>
      <c r="AF674" s="238"/>
      <c r="AG674" s="239"/>
      <c r="AH674" s="238"/>
      <c r="AI674" s="238"/>
      <c r="AJ674" s="234"/>
      <c r="AK674" s="234"/>
      <c r="AL674" s="234"/>
      <c r="AM674" s="234"/>
      <c r="AN674" s="234"/>
      <c r="AO674" s="234"/>
    </row>
    <row r="675" ht="15.75" customHeight="1">
      <c r="A675" s="91"/>
      <c r="B675" s="91"/>
      <c r="C675" s="220"/>
      <c r="D675" s="91"/>
      <c r="E675" s="221"/>
      <c r="F675" s="91"/>
      <c r="G675" s="91"/>
      <c r="H675" s="242"/>
      <c r="I675" s="223"/>
      <c r="J675" s="57"/>
      <c r="K675" s="153"/>
      <c r="L675" s="243"/>
      <c r="M675" s="234"/>
      <c r="N675" s="235"/>
      <c r="O675" s="236"/>
      <c r="P675" s="236"/>
      <c r="Q675" s="236"/>
      <c r="R675" s="236"/>
      <c r="S675" s="236"/>
      <c r="T675" s="236"/>
      <c r="U675" s="236"/>
      <c r="V675" s="236"/>
      <c r="W675" s="244"/>
      <c r="X675" s="244"/>
      <c r="Y675" s="237"/>
      <c r="Z675" s="244"/>
      <c r="AA675" s="244"/>
      <c r="AB675" s="244"/>
      <c r="AC675" s="244"/>
      <c r="AD675" s="234"/>
      <c r="AE675" s="234"/>
      <c r="AF675" s="238"/>
      <c r="AG675" s="239"/>
      <c r="AH675" s="238"/>
      <c r="AI675" s="238"/>
      <c r="AJ675" s="234"/>
      <c r="AK675" s="234"/>
      <c r="AL675" s="234"/>
      <c r="AM675" s="234"/>
      <c r="AN675" s="234"/>
      <c r="AO675" s="234"/>
    </row>
    <row r="676" ht="15.75" customHeight="1">
      <c r="A676" s="91"/>
      <c r="B676" s="91"/>
      <c r="C676" s="220"/>
      <c r="D676" s="91"/>
      <c r="E676" s="221"/>
      <c r="F676" s="91"/>
      <c r="G676" s="91"/>
      <c r="H676" s="242"/>
      <c r="I676" s="223"/>
      <c r="J676" s="57"/>
      <c r="K676" s="153"/>
      <c r="L676" s="243"/>
      <c r="M676" s="234"/>
      <c r="N676" s="235"/>
      <c r="O676" s="236"/>
      <c r="P676" s="236"/>
      <c r="Q676" s="236"/>
      <c r="R676" s="236"/>
      <c r="S676" s="236"/>
      <c r="T676" s="236"/>
      <c r="U676" s="236"/>
      <c r="V676" s="236"/>
      <c r="W676" s="244"/>
      <c r="X676" s="244"/>
      <c r="Y676" s="237"/>
      <c r="Z676" s="244"/>
      <c r="AA676" s="244"/>
      <c r="AB676" s="244"/>
      <c r="AC676" s="244"/>
      <c r="AD676" s="234"/>
      <c r="AE676" s="234"/>
      <c r="AF676" s="238"/>
      <c r="AG676" s="239"/>
      <c r="AH676" s="238"/>
      <c r="AI676" s="238"/>
      <c r="AJ676" s="234"/>
      <c r="AK676" s="234"/>
      <c r="AL676" s="234"/>
      <c r="AM676" s="234"/>
      <c r="AN676" s="234"/>
      <c r="AO676" s="234"/>
    </row>
    <row r="677" ht="15.75" customHeight="1">
      <c r="A677" s="91"/>
      <c r="B677" s="91"/>
      <c r="C677" s="220"/>
      <c r="D677" s="91"/>
      <c r="E677" s="221"/>
      <c r="F677" s="91"/>
      <c r="G677" s="91"/>
      <c r="H677" s="242"/>
      <c r="I677" s="223"/>
      <c r="J677" s="57"/>
      <c r="K677" s="153"/>
      <c r="L677" s="243"/>
      <c r="M677" s="234"/>
      <c r="N677" s="235"/>
      <c r="O677" s="236"/>
      <c r="P677" s="236"/>
      <c r="Q677" s="236"/>
      <c r="R677" s="236"/>
      <c r="S677" s="236"/>
      <c r="T677" s="236"/>
      <c r="U677" s="236"/>
      <c r="V677" s="236"/>
      <c r="W677" s="244"/>
      <c r="X677" s="244"/>
      <c r="Y677" s="237"/>
      <c r="Z677" s="244"/>
      <c r="AA677" s="244"/>
      <c r="AB677" s="244"/>
      <c r="AC677" s="244"/>
      <c r="AD677" s="234"/>
      <c r="AE677" s="234"/>
      <c r="AF677" s="238"/>
      <c r="AG677" s="239"/>
      <c r="AH677" s="238"/>
      <c r="AI677" s="238"/>
      <c r="AJ677" s="234"/>
      <c r="AK677" s="234"/>
      <c r="AL677" s="234"/>
      <c r="AM677" s="234"/>
      <c r="AN677" s="234"/>
      <c r="AO677" s="234"/>
    </row>
    <row r="678" ht="15.75" customHeight="1">
      <c r="A678" s="91"/>
      <c r="B678" s="91"/>
      <c r="C678" s="220"/>
      <c r="D678" s="91"/>
      <c r="E678" s="221"/>
      <c r="F678" s="91"/>
      <c r="G678" s="91"/>
      <c r="H678" s="242"/>
      <c r="I678" s="223"/>
      <c r="J678" s="57"/>
      <c r="K678" s="153"/>
      <c r="L678" s="243"/>
      <c r="M678" s="234"/>
      <c r="N678" s="235"/>
      <c r="O678" s="236"/>
      <c r="P678" s="236"/>
      <c r="Q678" s="236"/>
      <c r="R678" s="236"/>
      <c r="S678" s="236"/>
      <c r="T678" s="236"/>
      <c r="U678" s="236"/>
      <c r="V678" s="236"/>
      <c r="W678" s="244"/>
      <c r="X678" s="244"/>
      <c r="Y678" s="237"/>
      <c r="Z678" s="244"/>
      <c r="AA678" s="244"/>
      <c r="AB678" s="244"/>
      <c r="AC678" s="244"/>
      <c r="AD678" s="234"/>
      <c r="AE678" s="234"/>
      <c r="AF678" s="238"/>
      <c r="AG678" s="239"/>
      <c r="AH678" s="238"/>
      <c r="AI678" s="238"/>
      <c r="AJ678" s="234"/>
      <c r="AK678" s="234"/>
      <c r="AL678" s="234"/>
      <c r="AM678" s="234"/>
      <c r="AN678" s="234"/>
      <c r="AO678" s="234"/>
    </row>
    <row r="679" ht="15.75" customHeight="1">
      <c r="A679" s="91"/>
      <c r="B679" s="91"/>
      <c r="C679" s="220"/>
      <c r="D679" s="91"/>
      <c r="E679" s="221"/>
      <c r="F679" s="91"/>
      <c r="G679" s="91"/>
      <c r="H679" s="242"/>
      <c r="I679" s="223"/>
      <c r="J679" s="57"/>
      <c r="K679" s="153"/>
      <c r="L679" s="243"/>
      <c r="M679" s="234"/>
      <c r="N679" s="235"/>
      <c r="O679" s="236"/>
      <c r="P679" s="236"/>
      <c r="Q679" s="236"/>
      <c r="R679" s="236"/>
      <c r="S679" s="236"/>
      <c r="T679" s="236"/>
      <c r="U679" s="236"/>
      <c r="V679" s="236"/>
      <c r="W679" s="244"/>
      <c r="X679" s="244"/>
      <c r="Y679" s="237"/>
      <c r="Z679" s="244"/>
      <c r="AA679" s="244"/>
      <c r="AB679" s="244"/>
      <c r="AC679" s="244"/>
      <c r="AD679" s="234"/>
      <c r="AE679" s="234"/>
      <c r="AF679" s="238"/>
      <c r="AG679" s="239"/>
      <c r="AH679" s="238"/>
      <c r="AI679" s="238"/>
      <c r="AJ679" s="234"/>
      <c r="AK679" s="234"/>
      <c r="AL679" s="234"/>
      <c r="AM679" s="234"/>
      <c r="AN679" s="234"/>
      <c r="AO679" s="234"/>
    </row>
    <row r="680" ht="15.75" customHeight="1">
      <c r="A680" s="91"/>
      <c r="B680" s="91"/>
      <c r="C680" s="220"/>
      <c r="D680" s="91"/>
      <c r="E680" s="221"/>
      <c r="F680" s="91"/>
      <c r="G680" s="91"/>
      <c r="H680" s="242"/>
      <c r="I680" s="223"/>
      <c r="J680" s="57"/>
      <c r="K680" s="153"/>
      <c r="L680" s="243"/>
      <c r="M680" s="234"/>
      <c r="N680" s="235"/>
      <c r="O680" s="236"/>
      <c r="P680" s="236"/>
      <c r="Q680" s="236"/>
      <c r="R680" s="236"/>
      <c r="S680" s="236"/>
      <c r="T680" s="236"/>
      <c r="U680" s="236"/>
      <c r="V680" s="236"/>
      <c r="W680" s="244"/>
      <c r="X680" s="244"/>
      <c r="Y680" s="237"/>
      <c r="Z680" s="244"/>
      <c r="AA680" s="244"/>
      <c r="AB680" s="244"/>
      <c r="AC680" s="244"/>
      <c r="AD680" s="234"/>
      <c r="AE680" s="234"/>
      <c r="AF680" s="238"/>
      <c r="AG680" s="239"/>
      <c r="AH680" s="238"/>
      <c r="AI680" s="238"/>
      <c r="AJ680" s="234"/>
      <c r="AK680" s="234"/>
      <c r="AL680" s="234"/>
      <c r="AM680" s="234"/>
      <c r="AN680" s="234"/>
      <c r="AO680" s="234"/>
    </row>
    <row r="681" ht="15.75" customHeight="1">
      <c r="A681" s="91"/>
      <c r="B681" s="91"/>
      <c r="C681" s="220"/>
      <c r="D681" s="91"/>
      <c r="E681" s="221"/>
      <c r="F681" s="91"/>
      <c r="G681" s="91"/>
      <c r="H681" s="242"/>
      <c r="I681" s="223"/>
      <c r="J681" s="57"/>
      <c r="K681" s="153"/>
      <c r="L681" s="243"/>
      <c r="M681" s="234"/>
      <c r="N681" s="235"/>
      <c r="O681" s="236"/>
      <c r="P681" s="236"/>
      <c r="Q681" s="236"/>
      <c r="R681" s="236"/>
      <c r="S681" s="236"/>
      <c r="T681" s="236"/>
      <c r="U681" s="236"/>
      <c r="V681" s="236"/>
      <c r="W681" s="244"/>
      <c r="X681" s="244"/>
      <c r="Y681" s="237"/>
      <c r="Z681" s="244"/>
      <c r="AA681" s="244"/>
      <c r="AB681" s="244"/>
      <c r="AC681" s="244"/>
      <c r="AD681" s="234"/>
      <c r="AE681" s="234"/>
      <c r="AF681" s="238"/>
      <c r="AG681" s="239"/>
      <c r="AH681" s="238"/>
      <c r="AI681" s="238"/>
      <c r="AJ681" s="234"/>
      <c r="AK681" s="234"/>
      <c r="AL681" s="234"/>
      <c r="AM681" s="234"/>
      <c r="AN681" s="234"/>
      <c r="AO681" s="234"/>
    </row>
    <row r="682" ht="15.75" customHeight="1">
      <c r="A682" s="91"/>
      <c r="B682" s="91"/>
      <c r="C682" s="220"/>
      <c r="D682" s="91"/>
      <c r="E682" s="221"/>
      <c r="F682" s="91"/>
      <c r="G682" s="91"/>
      <c r="H682" s="242"/>
      <c r="I682" s="223"/>
      <c r="J682" s="57"/>
      <c r="K682" s="153"/>
      <c r="L682" s="243"/>
      <c r="M682" s="234"/>
      <c r="N682" s="235"/>
      <c r="O682" s="236"/>
      <c r="P682" s="236"/>
      <c r="Q682" s="236"/>
      <c r="R682" s="236"/>
      <c r="S682" s="236"/>
      <c r="T682" s="236"/>
      <c r="U682" s="236"/>
      <c r="V682" s="236"/>
      <c r="W682" s="244"/>
      <c r="X682" s="244"/>
      <c r="Y682" s="237"/>
      <c r="Z682" s="244"/>
      <c r="AA682" s="244"/>
      <c r="AB682" s="244"/>
      <c r="AC682" s="244"/>
      <c r="AD682" s="234"/>
      <c r="AE682" s="234"/>
      <c r="AF682" s="238"/>
      <c r="AG682" s="239"/>
      <c r="AH682" s="238"/>
      <c r="AI682" s="238"/>
      <c r="AJ682" s="234"/>
      <c r="AK682" s="234"/>
      <c r="AL682" s="234"/>
      <c r="AM682" s="234"/>
      <c r="AN682" s="234"/>
      <c r="AO682" s="234"/>
    </row>
    <row r="683" ht="15.75" customHeight="1">
      <c r="A683" s="91"/>
      <c r="B683" s="91"/>
      <c r="C683" s="220"/>
      <c r="D683" s="91"/>
      <c r="E683" s="221"/>
      <c r="F683" s="91"/>
      <c r="G683" s="91"/>
      <c r="H683" s="242"/>
      <c r="I683" s="223"/>
      <c r="J683" s="57"/>
      <c r="K683" s="153"/>
      <c r="L683" s="243"/>
      <c r="M683" s="234"/>
      <c r="N683" s="235"/>
      <c r="O683" s="236"/>
      <c r="P683" s="236"/>
      <c r="Q683" s="236"/>
      <c r="R683" s="236"/>
      <c r="S683" s="236"/>
      <c r="T683" s="236"/>
      <c r="U683" s="236"/>
      <c r="V683" s="236"/>
      <c r="W683" s="244"/>
      <c r="X683" s="244"/>
      <c r="Y683" s="237"/>
      <c r="Z683" s="244"/>
      <c r="AA683" s="244"/>
      <c r="AB683" s="244"/>
      <c r="AC683" s="244"/>
      <c r="AD683" s="234"/>
      <c r="AE683" s="234"/>
      <c r="AF683" s="238"/>
      <c r="AG683" s="239"/>
      <c r="AH683" s="238"/>
      <c r="AI683" s="238"/>
      <c r="AJ683" s="234"/>
      <c r="AK683" s="234"/>
      <c r="AL683" s="234"/>
      <c r="AM683" s="234"/>
      <c r="AN683" s="234"/>
      <c r="AO683" s="234"/>
    </row>
    <row r="684" ht="15.75" customHeight="1">
      <c r="A684" s="91"/>
      <c r="B684" s="91"/>
      <c r="C684" s="220"/>
      <c r="D684" s="91"/>
      <c r="E684" s="221"/>
      <c r="F684" s="91"/>
      <c r="G684" s="91"/>
      <c r="H684" s="242"/>
      <c r="I684" s="223"/>
      <c r="J684" s="57"/>
      <c r="K684" s="153"/>
      <c r="L684" s="243"/>
      <c r="M684" s="234"/>
      <c r="N684" s="235"/>
      <c r="O684" s="236"/>
      <c r="P684" s="236"/>
      <c r="Q684" s="236"/>
      <c r="R684" s="236"/>
      <c r="S684" s="236"/>
      <c r="T684" s="236"/>
      <c r="U684" s="236"/>
      <c r="V684" s="236"/>
      <c r="W684" s="244"/>
      <c r="X684" s="244"/>
      <c r="Y684" s="237"/>
      <c r="Z684" s="244"/>
      <c r="AA684" s="244"/>
      <c r="AB684" s="244"/>
      <c r="AC684" s="244"/>
      <c r="AD684" s="234"/>
      <c r="AE684" s="234"/>
      <c r="AF684" s="238"/>
      <c r="AG684" s="239"/>
      <c r="AH684" s="238"/>
      <c r="AI684" s="238"/>
      <c r="AJ684" s="234"/>
      <c r="AK684" s="234"/>
      <c r="AL684" s="234"/>
      <c r="AM684" s="234"/>
      <c r="AN684" s="234"/>
      <c r="AO684" s="234"/>
    </row>
    <row r="685" ht="15.75" customHeight="1">
      <c r="A685" s="91"/>
      <c r="B685" s="91"/>
      <c r="C685" s="220"/>
      <c r="D685" s="91"/>
      <c r="E685" s="221"/>
      <c r="F685" s="91"/>
      <c r="G685" s="91"/>
      <c r="H685" s="242"/>
      <c r="I685" s="223"/>
      <c r="J685" s="57"/>
      <c r="K685" s="153"/>
      <c r="L685" s="243"/>
      <c r="M685" s="234"/>
      <c r="N685" s="235"/>
      <c r="O685" s="236"/>
      <c r="P685" s="236"/>
      <c r="Q685" s="236"/>
      <c r="R685" s="236"/>
      <c r="S685" s="236"/>
      <c r="T685" s="236"/>
      <c r="U685" s="236"/>
      <c r="V685" s="236"/>
      <c r="W685" s="244"/>
      <c r="X685" s="244"/>
      <c r="Y685" s="237"/>
      <c r="Z685" s="244"/>
      <c r="AA685" s="244"/>
      <c r="AB685" s="244"/>
      <c r="AC685" s="244"/>
      <c r="AD685" s="234"/>
      <c r="AE685" s="234"/>
      <c r="AF685" s="238"/>
      <c r="AG685" s="239"/>
      <c r="AH685" s="238"/>
      <c r="AI685" s="238"/>
      <c r="AJ685" s="234"/>
      <c r="AK685" s="234"/>
      <c r="AL685" s="234"/>
      <c r="AM685" s="234"/>
      <c r="AN685" s="234"/>
      <c r="AO685" s="234"/>
    </row>
    <row r="686" ht="15.75" customHeight="1">
      <c r="A686" s="91"/>
      <c r="B686" s="91"/>
      <c r="C686" s="220"/>
      <c r="D686" s="91"/>
      <c r="E686" s="221"/>
      <c r="F686" s="91"/>
      <c r="G686" s="91"/>
      <c r="H686" s="242"/>
      <c r="I686" s="223"/>
      <c r="J686" s="57"/>
      <c r="K686" s="153"/>
      <c r="L686" s="243"/>
      <c r="M686" s="234"/>
      <c r="N686" s="235"/>
      <c r="O686" s="236"/>
      <c r="P686" s="236"/>
      <c r="Q686" s="236"/>
      <c r="R686" s="236"/>
      <c r="S686" s="236"/>
      <c r="T686" s="236"/>
      <c r="U686" s="236"/>
      <c r="V686" s="236"/>
      <c r="W686" s="244"/>
      <c r="X686" s="244"/>
      <c r="Y686" s="237"/>
      <c r="Z686" s="244"/>
      <c r="AA686" s="244"/>
      <c r="AB686" s="244"/>
      <c r="AC686" s="244"/>
      <c r="AD686" s="234"/>
      <c r="AE686" s="234"/>
      <c r="AF686" s="238"/>
      <c r="AG686" s="239"/>
      <c r="AH686" s="238"/>
      <c r="AI686" s="238"/>
      <c r="AJ686" s="234"/>
      <c r="AK686" s="234"/>
      <c r="AL686" s="234"/>
      <c r="AM686" s="234"/>
      <c r="AN686" s="234"/>
      <c r="AO686" s="234"/>
    </row>
    <row r="687" ht="15.75" customHeight="1">
      <c r="A687" s="91"/>
      <c r="B687" s="91"/>
      <c r="C687" s="220"/>
      <c r="D687" s="91"/>
      <c r="E687" s="221"/>
      <c r="F687" s="91"/>
      <c r="G687" s="91"/>
      <c r="H687" s="242"/>
      <c r="I687" s="223"/>
      <c r="J687" s="57"/>
      <c r="K687" s="153"/>
      <c r="L687" s="243"/>
      <c r="M687" s="234"/>
      <c r="N687" s="235"/>
      <c r="O687" s="236"/>
      <c r="P687" s="236"/>
      <c r="Q687" s="236"/>
      <c r="R687" s="236"/>
      <c r="S687" s="236"/>
      <c r="T687" s="236"/>
      <c r="U687" s="236"/>
      <c r="V687" s="236"/>
      <c r="W687" s="244"/>
      <c r="X687" s="244"/>
      <c r="Y687" s="237"/>
      <c r="Z687" s="244"/>
      <c r="AA687" s="244"/>
      <c r="AB687" s="244"/>
      <c r="AC687" s="244"/>
      <c r="AD687" s="234"/>
      <c r="AE687" s="234"/>
      <c r="AF687" s="238"/>
      <c r="AG687" s="239"/>
      <c r="AH687" s="238"/>
      <c r="AI687" s="238"/>
      <c r="AJ687" s="234"/>
      <c r="AK687" s="234"/>
      <c r="AL687" s="234"/>
      <c r="AM687" s="234"/>
      <c r="AN687" s="234"/>
      <c r="AO687" s="234"/>
    </row>
    <row r="688" ht="15.75" customHeight="1">
      <c r="A688" s="91"/>
      <c r="B688" s="91"/>
      <c r="C688" s="220"/>
      <c r="D688" s="91"/>
      <c r="E688" s="221"/>
      <c r="F688" s="91"/>
      <c r="G688" s="91"/>
      <c r="H688" s="242"/>
      <c r="I688" s="223"/>
      <c r="J688" s="57"/>
      <c r="K688" s="153"/>
      <c r="L688" s="243"/>
      <c r="M688" s="234"/>
      <c r="N688" s="235"/>
      <c r="O688" s="236"/>
      <c r="P688" s="236"/>
      <c r="Q688" s="236"/>
      <c r="R688" s="236"/>
      <c r="S688" s="236"/>
      <c r="T688" s="236"/>
      <c r="U688" s="236"/>
      <c r="V688" s="236"/>
      <c r="W688" s="244"/>
      <c r="X688" s="244"/>
      <c r="Y688" s="237"/>
      <c r="Z688" s="244"/>
      <c r="AA688" s="244"/>
      <c r="AB688" s="244"/>
      <c r="AC688" s="244"/>
      <c r="AD688" s="234"/>
      <c r="AE688" s="234"/>
      <c r="AF688" s="238"/>
      <c r="AG688" s="239"/>
      <c r="AH688" s="238"/>
      <c r="AI688" s="238"/>
      <c r="AJ688" s="234"/>
      <c r="AK688" s="234"/>
      <c r="AL688" s="234"/>
      <c r="AM688" s="234"/>
      <c r="AN688" s="234"/>
      <c r="AO688" s="234"/>
    </row>
    <row r="689" ht="15.75" customHeight="1">
      <c r="A689" s="91"/>
      <c r="B689" s="91"/>
      <c r="C689" s="220"/>
      <c r="D689" s="91"/>
      <c r="E689" s="221"/>
      <c r="F689" s="91"/>
      <c r="G689" s="91"/>
      <c r="H689" s="242"/>
      <c r="I689" s="223"/>
      <c r="J689" s="57"/>
      <c r="K689" s="153"/>
      <c r="L689" s="243"/>
      <c r="M689" s="234"/>
      <c r="N689" s="235"/>
      <c r="O689" s="236"/>
      <c r="P689" s="236"/>
      <c r="Q689" s="236"/>
      <c r="R689" s="236"/>
      <c r="S689" s="236"/>
      <c r="T689" s="236"/>
      <c r="U689" s="236"/>
      <c r="V689" s="236"/>
      <c r="W689" s="244"/>
      <c r="X689" s="244"/>
      <c r="Y689" s="237"/>
      <c r="Z689" s="244"/>
      <c r="AA689" s="244"/>
      <c r="AB689" s="244"/>
      <c r="AC689" s="244"/>
      <c r="AD689" s="234"/>
      <c r="AE689" s="234"/>
      <c r="AF689" s="238"/>
      <c r="AG689" s="239"/>
      <c r="AH689" s="238"/>
      <c r="AI689" s="238"/>
      <c r="AJ689" s="234"/>
      <c r="AK689" s="234"/>
      <c r="AL689" s="234"/>
      <c r="AM689" s="234"/>
      <c r="AN689" s="234"/>
      <c r="AO689" s="234"/>
    </row>
    <row r="690" ht="15.75" customHeight="1">
      <c r="A690" s="91"/>
      <c r="B690" s="91"/>
      <c r="C690" s="220"/>
      <c r="D690" s="91"/>
      <c r="E690" s="221"/>
      <c r="F690" s="91"/>
      <c r="G690" s="91"/>
      <c r="H690" s="242"/>
      <c r="I690" s="223"/>
      <c r="J690" s="57"/>
      <c r="K690" s="153"/>
      <c r="L690" s="243"/>
      <c r="M690" s="234"/>
      <c r="N690" s="235"/>
      <c r="O690" s="236"/>
      <c r="P690" s="236"/>
      <c r="Q690" s="236"/>
      <c r="R690" s="236"/>
      <c r="S690" s="236"/>
      <c r="T690" s="236"/>
      <c r="U690" s="236"/>
      <c r="V690" s="236"/>
      <c r="W690" s="244"/>
      <c r="X690" s="244"/>
      <c r="Y690" s="237"/>
      <c r="Z690" s="244"/>
      <c r="AA690" s="244"/>
      <c r="AB690" s="244"/>
      <c r="AC690" s="244"/>
      <c r="AD690" s="234"/>
      <c r="AE690" s="234"/>
      <c r="AF690" s="238"/>
      <c r="AG690" s="239"/>
      <c r="AH690" s="238"/>
      <c r="AI690" s="238"/>
      <c r="AJ690" s="234"/>
      <c r="AK690" s="234"/>
      <c r="AL690" s="234"/>
      <c r="AM690" s="234"/>
      <c r="AN690" s="234"/>
      <c r="AO690" s="234"/>
    </row>
    <row r="691" ht="15.75" customHeight="1">
      <c r="A691" s="91"/>
      <c r="B691" s="91"/>
      <c r="C691" s="220"/>
      <c r="D691" s="91"/>
      <c r="E691" s="221"/>
      <c r="F691" s="91"/>
      <c r="G691" s="91"/>
      <c r="H691" s="242"/>
      <c r="I691" s="223"/>
      <c r="J691" s="57"/>
      <c r="K691" s="153"/>
      <c r="L691" s="243"/>
      <c r="M691" s="234"/>
      <c r="N691" s="235"/>
      <c r="O691" s="236"/>
      <c r="P691" s="236"/>
      <c r="Q691" s="236"/>
      <c r="R691" s="236"/>
      <c r="S691" s="236"/>
      <c r="T691" s="236"/>
      <c r="U691" s="236"/>
      <c r="V691" s="236"/>
      <c r="W691" s="244"/>
      <c r="X691" s="244"/>
      <c r="Y691" s="237"/>
      <c r="Z691" s="244"/>
      <c r="AA691" s="244"/>
      <c r="AB691" s="244"/>
      <c r="AC691" s="244"/>
      <c r="AD691" s="234"/>
      <c r="AE691" s="234"/>
      <c r="AF691" s="238"/>
      <c r="AG691" s="239"/>
      <c r="AH691" s="238"/>
      <c r="AI691" s="238"/>
      <c r="AJ691" s="234"/>
      <c r="AK691" s="234"/>
      <c r="AL691" s="234"/>
      <c r="AM691" s="234"/>
      <c r="AN691" s="234"/>
      <c r="AO691" s="234"/>
    </row>
    <row r="692" ht="15.75" customHeight="1">
      <c r="A692" s="91"/>
      <c r="B692" s="91"/>
      <c r="C692" s="220"/>
      <c r="D692" s="91"/>
      <c r="E692" s="221"/>
      <c r="F692" s="91"/>
      <c r="G692" s="91"/>
      <c r="H692" s="242"/>
      <c r="I692" s="223"/>
      <c r="J692" s="57"/>
      <c r="K692" s="153"/>
      <c r="L692" s="243"/>
      <c r="M692" s="234"/>
      <c r="N692" s="235"/>
      <c r="O692" s="236"/>
      <c r="P692" s="236"/>
      <c r="Q692" s="236"/>
      <c r="R692" s="236"/>
      <c r="S692" s="236"/>
      <c r="T692" s="236"/>
      <c r="U692" s="236"/>
      <c r="V692" s="236"/>
      <c r="W692" s="244"/>
      <c r="X692" s="244"/>
      <c r="Y692" s="237"/>
      <c r="Z692" s="244"/>
      <c r="AA692" s="244"/>
      <c r="AB692" s="244"/>
      <c r="AC692" s="244"/>
      <c r="AD692" s="234"/>
      <c r="AE692" s="234"/>
      <c r="AF692" s="238"/>
      <c r="AG692" s="239"/>
      <c r="AH692" s="238"/>
      <c r="AI692" s="238"/>
      <c r="AJ692" s="234"/>
      <c r="AK692" s="234"/>
      <c r="AL692" s="234"/>
      <c r="AM692" s="234"/>
      <c r="AN692" s="234"/>
      <c r="AO692" s="234"/>
    </row>
    <row r="693" ht="15.75" customHeight="1">
      <c r="A693" s="91"/>
      <c r="B693" s="91"/>
      <c r="C693" s="220"/>
      <c r="D693" s="91"/>
      <c r="E693" s="221"/>
      <c r="F693" s="91"/>
      <c r="G693" s="91"/>
      <c r="H693" s="242"/>
      <c r="I693" s="223"/>
      <c r="J693" s="57"/>
      <c r="K693" s="153"/>
      <c r="L693" s="243"/>
      <c r="M693" s="234"/>
      <c r="N693" s="235"/>
      <c r="O693" s="236"/>
      <c r="P693" s="236"/>
      <c r="Q693" s="236"/>
      <c r="R693" s="236"/>
      <c r="S693" s="236"/>
      <c r="T693" s="236"/>
      <c r="U693" s="236"/>
      <c r="V693" s="236"/>
      <c r="W693" s="244"/>
      <c r="X693" s="244"/>
      <c r="Y693" s="237"/>
      <c r="Z693" s="244"/>
      <c r="AA693" s="244"/>
      <c r="AB693" s="244"/>
      <c r="AC693" s="244"/>
      <c r="AD693" s="234"/>
      <c r="AE693" s="234"/>
      <c r="AF693" s="238"/>
      <c r="AG693" s="239"/>
      <c r="AH693" s="238"/>
      <c r="AI693" s="238"/>
      <c r="AJ693" s="234"/>
      <c r="AK693" s="234"/>
      <c r="AL693" s="234"/>
      <c r="AM693" s="234"/>
      <c r="AN693" s="234"/>
      <c r="AO693" s="234"/>
    </row>
    <row r="694" ht="15.75" customHeight="1">
      <c r="A694" s="91"/>
      <c r="B694" s="91"/>
      <c r="C694" s="220"/>
      <c r="D694" s="91"/>
      <c r="E694" s="221"/>
      <c r="F694" s="91"/>
      <c r="G694" s="91"/>
      <c r="H694" s="242"/>
      <c r="I694" s="223"/>
      <c r="J694" s="57"/>
      <c r="K694" s="153"/>
      <c r="L694" s="243"/>
      <c r="M694" s="234"/>
      <c r="N694" s="235"/>
      <c r="O694" s="236"/>
      <c r="P694" s="236"/>
      <c r="Q694" s="236"/>
      <c r="R694" s="236"/>
      <c r="S694" s="236"/>
      <c r="T694" s="236"/>
      <c r="U694" s="236"/>
      <c r="V694" s="236"/>
      <c r="W694" s="244"/>
      <c r="X694" s="244"/>
      <c r="Y694" s="237"/>
      <c r="Z694" s="244"/>
      <c r="AA694" s="244"/>
      <c r="AB694" s="244"/>
      <c r="AC694" s="244"/>
      <c r="AD694" s="234"/>
      <c r="AE694" s="234"/>
      <c r="AF694" s="238"/>
      <c r="AG694" s="239"/>
      <c r="AH694" s="238"/>
      <c r="AI694" s="238"/>
      <c r="AJ694" s="234"/>
      <c r="AK694" s="234"/>
      <c r="AL694" s="234"/>
      <c r="AM694" s="234"/>
      <c r="AN694" s="234"/>
      <c r="AO694" s="234"/>
    </row>
    <row r="695" ht="15.75" customHeight="1">
      <c r="A695" s="91"/>
      <c r="B695" s="91"/>
      <c r="C695" s="220"/>
      <c r="D695" s="91"/>
      <c r="E695" s="221"/>
      <c r="F695" s="91"/>
      <c r="G695" s="91"/>
      <c r="H695" s="242"/>
      <c r="I695" s="223"/>
      <c r="J695" s="57"/>
      <c r="K695" s="153"/>
      <c r="L695" s="243"/>
      <c r="M695" s="234"/>
      <c r="N695" s="235"/>
      <c r="O695" s="236"/>
      <c r="P695" s="236"/>
      <c r="Q695" s="236"/>
      <c r="R695" s="236"/>
      <c r="S695" s="236"/>
      <c r="T695" s="236"/>
      <c r="U695" s="236"/>
      <c r="V695" s="236"/>
      <c r="W695" s="244"/>
      <c r="X695" s="244"/>
      <c r="Y695" s="237"/>
      <c r="Z695" s="244"/>
      <c r="AA695" s="244"/>
      <c r="AB695" s="244"/>
      <c r="AC695" s="244"/>
      <c r="AD695" s="234"/>
      <c r="AE695" s="234"/>
      <c r="AF695" s="238"/>
      <c r="AG695" s="239"/>
      <c r="AH695" s="238"/>
      <c r="AI695" s="238"/>
      <c r="AJ695" s="234"/>
      <c r="AK695" s="234"/>
      <c r="AL695" s="234"/>
      <c r="AM695" s="234"/>
      <c r="AN695" s="234"/>
      <c r="AO695" s="234"/>
    </row>
    <row r="696" ht="15.75" customHeight="1">
      <c r="A696" s="91"/>
      <c r="B696" s="91"/>
      <c r="C696" s="220"/>
      <c r="D696" s="91"/>
      <c r="E696" s="221"/>
      <c r="F696" s="91"/>
      <c r="G696" s="91"/>
      <c r="H696" s="242"/>
      <c r="I696" s="223"/>
      <c r="J696" s="57"/>
      <c r="K696" s="153"/>
      <c r="L696" s="243"/>
      <c r="M696" s="234"/>
      <c r="N696" s="235"/>
      <c r="O696" s="236"/>
      <c r="P696" s="236"/>
      <c r="Q696" s="236"/>
      <c r="R696" s="236"/>
      <c r="S696" s="236"/>
      <c r="T696" s="236"/>
      <c r="U696" s="236"/>
      <c r="V696" s="236"/>
      <c r="W696" s="244"/>
      <c r="X696" s="244"/>
      <c r="Y696" s="237"/>
      <c r="Z696" s="244"/>
      <c r="AA696" s="244"/>
      <c r="AB696" s="244"/>
      <c r="AC696" s="244"/>
      <c r="AD696" s="234"/>
      <c r="AE696" s="234"/>
      <c r="AF696" s="238"/>
      <c r="AG696" s="239"/>
      <c r="AH696" s="238"/>
      <c r="AI696" s="238"/>
      <c r="AJ696" s="234"/>
      <c r="AK696" s="234"/>
      <c r="AL696" s="234"/>
      <c r="AM696" s="234"/>
      <c r="AN696" s="234"/>
      <c r="AO696" s="234"/>
    </row>
    <row r="697" ht="15.75" customHeight="1">
      <c r="A697" s="91"/>
      <c r="B697" s="91"/>
      <c r="C697" s="220"/>
      <c r="D697" s="91"/>
      <c r="E697" s="221"/>
      <c r="F697" s="91"/>
      <c r="G697" s="91"/>
      <c r="H697" s="242"/>
      <c r="I697" s="223"/>
      <c r="J697" s="57"/>
      <c r="K697" s="153"/>
      <c r="L697" s="243"/>
      <c r="M697" s="234"/>
      <c r="N697" s="235"/>
      <c r="O697" s="236"/>
      <c r="P697" s="236"/>
      <c r="Q697" s="236"/>
      <c r="R697" s="236"/>
      <c r="S697" s="236"/>
      <c r="T697" s="236"/>
      <c r="U697" s="236"/>
      <c r="V697" s="236"/>
      <c r="W697" s="244"/>
      <c r="X697" s="244"/>
      <c r="Y697" s="237"/>
      <c r="Z697" s="244"/>
      <c r="AA697" s="244"/>
      <c r="AB697" s="244"/>
      <c r="AC697" s="244"/>
      <c r="AD697" s="234"/>
      <c r="AE697" s="234"/>
      <c r="AF697" s="238"/>
      <c r="AG697" s="239"/>
      <c r="AH697" s="238"/>
      <c r="AI697" s="238"/>
      <c r="AJ697" s="234"/>
      <c r="AK697" s="234"/>
      <c r="AL697" s="234"/>
      <c r="AM697" s="234"/>
      <c r="AN697" s="234"/>
      <c r="AO697" s="234"/>
    </row>
    <row r="698" ht="15.75" customHeight="1">
      <c r="A698" s="91"/>
      <c r="B698" s="91"/>
      <c r="C698" s="220"/>
      <c r="D698" s="91"/>
      <c r="E698" s="221"/>
      <c r="F698" s="91"/>
      <c r="G698" s="91"/>
      <c r="H698" s="242"/>
      <c r="I698" s="223"/>
      <c r="J698" s="57"/>
      <c r="K698" s="153"/>
      <c r="L698" s="243"/>
      <c r="M698" s="234"/>
      <c r="N698" s="235"/>
      <c r="O698" s="236"/>
      <c r="P698" s="236"/>
      <c r="Q698" s="236"/>
      <c r="R698" s="236"/>
      <c r="S698" s="236"/>
      <c r="T698" s="236"/>
      <c r="U698" s="236"/>
      <c r="V698" s="236"/>
      <c r="W698" s="244"/>
      <c r="X698" s="244"/>
      <c r="Y698" s="237"/>
      <c r="Z698" s="244"/>
      <c r="AA698" s="244"/>
      <c r="AB698" s="244"/>
      <c r="AC698" s="244"/>
      <c r="AD698" s="234"/>
      <c r="AE698" s="234"/>
      <c r="AF698" s="238"/>
      <c r="AG698" s="239"/>
      <c r="AH698" s="238"/>
      <c r="AI698" s="238"/>
      <c r="AJ698" s="234"/>
      <c r="AK698" s="234"/>
      <c r="AL698" s="234"/>
      <c r="AM698" s="234"/>
      <c r="AN698" s="234"/>
      <c r="AO698" s="234"/>
    </row>
    <row r="699" ht="15.75" customHeight="1">
      <c r="A699" s="91"/>
      <c r="B699" s="91"/>
      <c r="C699" s="220"/>
      <c r="D699" s="91"/>
      <c r="E699" s="221"/>
      <c r="F699" s="91"/>
      <c r="G699" s="91"/>
      <c r="H699" s="242"/>
      <c r="I699" s="223"/>
      <c r="J699" s="57"/>
      <c r="K699" s="153"/>
      <c r="L699" s="243"/>
      <c r="M699" s="234"/>
      <c r="N699" s="235"/>
      <c r="O699" s="236"/>
      <c r="P699" s="236"/>
      <c r="Q699" s="236"/>
      <c r="R699" s="236"/>
      <c r="S699" s="236"/>
      <c r="T699" s="236"/>
      <c r="U699" s="236"/>
      <c r="V699" s="236"/>
      <c r="W699" s="244"/>
      <c r="X699" s="244"/>
      <c r="Y699" s="237"/>
      <c r="Z699" s="244"/>
      <c r="AA699" s="244"/>
      <c r="AB699" s="244"/>
      <c r="AC699" s="244"/>
      <c r="AD699" s="234"/>
      <c r="AE699" s="234"/>
      <c r="AF699" s="238"/>
      <c r="AG699" s="239"/>
      <c r="AH699" s="238"/>
      <c r="AI699" s="238"/>
      <c r="AJ699" s="234"/>
      <c r="AK699" s="234"/>
      <c r="AL699" s="234"/>
      <c r="AM699" s="234"/>
      <c r="AN699" s="234"/>
      <c r="AO699" s="234"/>
    </row>
    <row r="700" ht="15.75" customHeight="1">
      <c r="A700" s="91"/>
      <c r="B700" s="91"/>
      <c r="C700" s="220"/>
      <c r="D700" s="91"/>
      <c r="E700" s="221"/>
      <c r="F700" s="91"/>
      <c r="G700" s="91"/>
      <c r="H700" s="242"/>
      <c r="I700" s="223"/>
      <c r="J700" s="57"/>
      <c r="K700" s="153"/>
      <c r="L700" s="243"/>
      <c r="M700" s="234"/>
      <c r="N700" s="235"/>
      <c r="O700" s="236"/>
      <c r="P700" s="236"/>
      <c r="Q700" s="236"/>
      <c r="R700" s="236"/>
      <c r="S700" s="236"/>
      <c r="T700" s="236"/>
      <c r="U700" s="236"/>
      <c r="V700" s="236"/>
      <c r="W700" s="244"/>
      <c r="X700" s="244"/>
      <c r="Y700" s="237"/>
      <c r="Z700" s="244"/>
      <c r="AA700" s="244"/>
      <c r="AB700" s="244"/>
      <c r="AC700" s="244"/>
      <c r="AD700" s="234"/>
      <c r="AE700" s="234"/>
      <c r="AF700" s="238"/>
      <c r="AG700" s="239"/>
      <c r="AH700" s="238"/>
      <c r="AI700" s="238"/>
      <c r="AJ700" s="234"/>
      <c r="AK700" s="234"/>
      <c r="AL700" s="234"/>
      <c r="AM700" s="234"/>
      <c r="AN700" s="234"/>
      <c r="AO700" s="234"/>
    </row>
    <row r="701" ht="15.75" customHeight="1">
      <c r="A701" s="91"/>
      <c r="B701" s="91"/>
      <c r="C701" s="220"/>
      <c r="D701" s="91"/>
      <c r="E701" s="221"/>
      <c r="F701" s="91"/>
      <c r="G701" s="91"/>
      <c r="H701" s="242"/>
      <c r="I701" s="223"/>
      <c r="J701" s="57"/>
      <c r="K701" s="153"/>
      <c r="L701" s="243"/>
      <c r="M701" s="234"/>
      <c r="N701" s="235"/>
      <c r="O701" s="236"/>
      <c r="P701" s="236"/>
      <c r="Q701" s="236"/>
      <c r="R701" s="236"/>
      <c r="S701" s="236"/>
      <c r="T701" s="236"/>
      <c r="U701" s="236"/>
      <c r="V701" s="236"/>
      <c r="W701" s="244"/>
      <c r="X701" s="244"/>
      <c r="Y701" s="237"/>
      <c r="Z701" s="244"/>
      <c r="AA701" s="244"/>
      <c r="AB701" s="244"/>
      <c r="AC701" s="244"/>
      <c r="AD701" s="234"/>
      <c r="AE701" s="234"/>
      <c r="AF701" s="238"/>
      <c r="AG701" s="239"/>
      <c r="AH701" s="238"/>
      <c r="AI701" s="238"/>
      <c r="AJ701" s="234"/>
      <c r="AK701" s="234"/>
      <c r="AL701" s="234"/>
      <c r="AM701" s="234"/>
      <c r="AN701" s="234"/>
      <c r="AO701" s="234"/>
    </row>
    <row r="702" ht="15.75" customHeight="1">
      <c r="A702" s="91"/>
      <c r="B702" s="91"/>
      <c r="C702" s="220"/>
      <c r="D702" s="91"/>
      <c r="E702" s="221"/>
      <c r="F702" s="91"/>
      <c r="G702" s="91"/>
      <c r="H702" s="242"/>
      <c r="I702" s="223"/>
      <c r="J702" s="57"/>
      <c r="K702" s="153"/>
      <c r="L702" s="243"/>
      <c r="M702" s="234"/>
      <c r="N702" s="235"/>
      <c r="O702" s="236"/>
      <c r="P702" s="236"/>
      <c r="Q702" s="236"/>
      <c r="R702" s="236"/>
      <c r="S702" s="236"/>
      <c r="T702" s="236"/>
      <c r="U702" s="236"/>
      <c r="V702" s="236"/>
      <c r="W702" s="244"/>
      <c r="X702" s="244"/>
      <c r="Y702" s="237"/>
      <c r="Z702" s="244"/>
      <c r="AA702" s="244"/>
      <c r="AB702" s="244"/>
      <c r="AC702" s="244"/>
      <c r="AD702" s="234"/>
      <c r="AE702" s="234"/>
      <c r="AF702" s="238"/>
      <c r="AG702" s="239"/>
      <c r="AH702" s="238"/>
      <c r="AI702" s="238"/>
      <c r="AJ702" s="234"/>
      <c r="AK702" s="234"/>
      <c r="AL702" s="234"/>
      <c r="AM702" s="234"/>
      <c r="AN702" s="234"/>
      <c r="AO702" s="234"/>
    </row>
    <row r="703" ht="15.75" customHeight="1">
      <c r="A703" s="91"/>
      <c r="B703" s="91"/>
      <c r="C703" s="220"/>
      <c r="D703" s="91"/>
      <c r="E703" s="221"/>
      <c r="F703" s="91"/>
      <c r="G703" s="91"/>
      <c r="H703" s="242"/>
      <c r="I703" s="223"/>
      <c r="J703" s="57"/>
      <c r="K703" s="153"/>
      <c r="L703" s="243"/>
      <c r="M703" s="234"/>
      <c r="N703" s="235"/>
      <c r="O703" s="236"/>
      <c r="P703" s="236"/>
      <c r="Q703" s="236"/>
      <c r="R703" s="236"/>
      <c r="S703" s="236"/>
      <c r="T703" s="236"/>
      <c r="U703" s="236"/>
      <c r="V703" s="236"/>
      <c r="W703" s="244"/>
      <c r="X703" s="244"/>
      <c r="Y703" s="237"/>
      <c r="Z703" s="244"/>
      <c r="AA703" s="244"/>
      <c r="AB703" s="244"/>
      <c r="AC703" s="244"/>
      <c r="AD703" s="234"/>
      <c r="AE703" s="234"/>
      <c r="AF703" s="238"/>
      <c r="AG703" s="239"/>
      <c r="AH703" s="238"/>
      <c r="AI703" s="238"/>
      <c r="AJ703" s="234"/>
      <c r="AK703" s="234"/>
      <c r="AL703" s="234"/>
      <c r="AM703" s="234"/>
      <c r="AN703" s="234"/>
      <c r="AO703" s="234"/>
    </row>
    <row r="704" ht="15.75" customHeight="1">
      <c r="A704" s="91"/>
      <c r="B704" s="91"/>
      <c r="C704" s="220"/>
      <c r="D704" s="91"/>
      <c r="E704" s="221"/>
      <c r="F704" s="91"/>
      <c r="G704" s="91"/>
      <c r="H704" s="242"/>
      <c r="I704" s="223"/>
      <c r="J704" s="57"/>
      <c r="K704" s="153"/>
      <c r="L704" s="243"/>
      <c r="M704" s="234"/>
      <c r="N704" s="235"/>
      <c r="O704" s="236"/>
      <c r="P704" s="236"/>
      <c r="Q704" s="236"/>
      <c r="R704" s="236"/>
      <c r="S704" s="236"/>
      <c r="T704" s="236"/>
      <c r="U704" s="236"/>
      <c r="V704" s="236"/>
      <c r="W704" s="244"/>
      <c r="X704" s="244"/>
      <c r="Y704" s="237"/>
      <c r="Z704" s="244"/>
      <c r="AA704" s="244"/>
      <c r="AB704" s="244"/>
      <c r="AC704" s="244"/>
      <c r="AD704" s="234"/>
      <c r="AE704" s="234"/>
      <c r="AF704" s="238"/>
      <c r="AG704" s="239"/>
      <c r="AH704" s="238"/>
      <c r="AI704" s="238"/>
      <c r="AJ704" s="234"/>
      <c r="AK704" s="234"/>
      <c r="AL704" s="234"/>
      <c r="AM704" s="234"/>
      <c r="AN704" s="234"/>
      <c r="AO704" s="234"/>
    </row>
    <row r="705" ht="15.75" customHeight="1">
      <c r="A705" s="91"/>
      <c r="B705" s="91"/>
      <c r="C705" s="220"/>
      <c r="D705" s="91"/>
      <c r="E705" s="221"/>
      <c r="F705" s="91"/>
      <c r="G705" s="91"/>
      <c r="H705" s="242"/>
      <c r="I705" s="223"/>
      <c r="J705" s="57"/>
      <c r="K705" s="153"/>
      <c r="L705" s="243"/>
      <c r="M705" s="234"/>
      <c r="N705" s="235"/>
      <c r="O705" s="236"/>
      <c r="P705" s="236"/>
      <c r="Q705" s="236"/>
      <c r="R705" s="236"/>
      <c r="S705" s="236"/>
      <c r="T705" s="236"/>
      <c r="U705" s="236"/>
      <c r="V705" s="236"/>
      <c r="W705" s="244"/>
      <c r="X705" s="244"/>
      <c r="Y705" s="237"/>
      <c r="Z705" s="244"/>
      <c r="AA705" s="244"/>
      <c r="AB705" s="244"/>
      <c r="AC705" s="244"/>
      <c r="AD705" s="234"/>
      <c r="AE705" s="234"/>
      <c r="AF705" s="238"/>
      <c r="AG705" s="239"/>
      <c r="AH705" s="238"/>
      <c r="AI705" s="238"/>
      <c r="AJ705" s="234"/>
      <c r="AK705" s="234"/>
      <c r="AL705" s="234"/>
      <c r="AM705" s="234"/>
      <c r="AN705" s="234"/>
      <c r="AO705" s="234"/>
    </row>
    <row r="706" ht="15.75" customHeight="1">
      <c r="A706" s="91"/>
      <c r="B706" s="91"/>
      <c r="C706" s="220"/>
      <c r="D706" s="91"/>
      <c r="E706" s="221"/>
      <c r="F706" s="91"/>
      <c r="G706" s="91"/>
      <c r="H706" s="242"/>
      <c r="I706" s="223"/>
      <c r="J706" s="57"/>
      <c r="K706" s="153"/>
      <c r="L706" s="243"/>
      <c r="M706" s="234"/>
      <c r="N706" s="235"/>
      <c r="O706" s="236"/>
      <c r="P706" s="236"/>
      <c r="Q706" s="236"/>
      <c r="R706" s="236"/>
      <c r="S706" s="236"/>
      <c r="T706" s="236"/>
      <c r="U706" s="236"/>
      <c r="V706" s="236"/>
      <c r="W706" s="244"/>
      <c r="X706" s="244"/>
      <c r="Y706" s="237"/>
      <c r="Z706" s="244"/>
      <c r="AA706" s="244"/>
      <c r="AB706" s="244"/>
      <c r="AC706" s="244"/>
      <c r="AD706" s="234"/>
      <c r="AE706" s="234"/>
      <c r="AF706" s="238"/>
      <c r="AG706" s="239"/>
      <c r="AH706" s="238"/>
      <c r="AI706" s="238"/>
      <c r="AJ706" s="234"/>
      <c r="AK706" s="234"/>
      <c r="AL706" s="234"/>
      <c r="AM706" s="234"/>
      <c r="AN706" s="234"/>
      <c r="AO706" s="234"/>
    </row>
    <row r="707" ht="15.75" customHeight="1">
      <c r="A707" s="91"/>
      <c r="B707" s="91"/>
      <c r="C707" s="220"/>
      <c r="D707" s="91"/>
      <c r="E707" s="221"/>
      <c r="F707" s="91"/>
      <c r="G707" s="91"/>
      <c r="H707" s="242"/>
      <c r="I707" s="223"/>
      <c r="J707" s="57"/>
      <c r="K707" s="153"/>
      <c r="L707" s="243"/>
      <c r="M707" s="234"/>
      <c r="N707" s="235"/>
      <c r="O707" s="236"/>
      <c r="P707" s="236"/>
      <c r="Q707" s="236"/>
      <c r="R707" s="236"/>
      <c r="S707" s="236"/>
      <c r="T707" s="236"/>
      <c r="U707" s="236"/>
      <c r="V707" s="236"/>
      <c r="W707" s="244"/>
      <c r="X707" s="244"/>
      <c r="Y707" s="237"/>
      <c r="Z707" s="244"/>
      <c r="AA707" s="244"/>
      <c r="AB707" s="244"/>
      <c r="AC707" s="244"/>
      <c r="AD707" s="234"/>
      <c r="AE707" s="234"/>
      <c r="AF707" s="238"/>
      <c r="AG707" s="239"/>
      <c r="AH707" s="238"/>
      <c r="AI707" s="238"/>
      <c r="AJ707" s="234"/>
      <c r="AK707" s="234"/>
      <c r="AL707" s="234"/>
      <c r="AM707" s="234"/>
      <c r="AN707" s="234"/>
      <c r="AO707" s="234"/>
    </row>
    <row r="708" ht="15.75" customHeight="1">
      <c r="A708" s="91"/>
      <c r="B708" s="91"/>
      <c r="C708" s="220"/>
      <c r="D708" s="91"/>
      <c r="E708" s="221"/>
      <c r="F708" s="91"/>
      <c r="G708" s="91"/>
      <c r="H708" s="242"/>
      <c r="I708" s="223"/>
      <c r="J708" s="57"/>
      <c r="K708" s="153"/>
      <c r="L708" s="243"/>
      <c r="M708" s="234"/>
      <c r="N708" s="235"/>
      <c r="O708" s="236"/>
      <c r="P708" s="236"/>
      <c r="Q708" s="236"/>
      <c r="R708" s="236"/>
      <c r="S708" s="236"/>
      <c r="T708" s="236"/>
      <c r="U708" s="236"/>
      <c r="V708" s="236"/>
      <c r="W708" s="244"/>
      <c r="X708" s="244"/>
      <c r="Y708" s="237"/>
      <c r="Z708" s="244"/>
      <c r="AA708" s="244"/>
      <c r="AB708" s="244"/>
      <c r="AC708" s="244"/>
      <c r="AD708" s="234"/>
      <c r="AE708" s="234"/>
      <c r="AF708" s="238"/>
      <c r="AG708" s="239"/>
      <c r="AH708" s="238"/>
      <c r="AI708" s="238"/>
      <c r="AJ708" s="234"/>
      <c r="AK708" s="234"/>
      <c r="AL708" s="234"/>
      <c r="AM708" s="234"/>
      <c r="AN708" s="234"/>
      <c r="AO708" s="234"/>
    </row>
    <row r="709" ht="15.75" customHeight="1">
      <c r="A709" s="91"/>
      <c r="B709" s="91"/>
      <c r="C709" s="220"/>
      <c r="D709" s="91"/>
      <c r="E709" s="221"/>
      <c r="F709" s="91"/>
      <c r="G709" s="91"/>
      <c r="H709" s="242"/>
      <c r="I709" s="223"/>
      <c r="J709" s="57"/>
      <c r="K709" s="153"/>
      <c r="L709" s="243"/>
      <c r="M709" s="234"/>
      <c r="N709" s="235"/>
      <c r="O709" s="236"/>
      <c r="P709" s="236"/>
      <c r="Q709" s="236"/>
      <c r="R709" s="236"/>
      <c r="S709" s="236"/>
      <c r="T709" s="236"/>
      <c r="U709" s="236"/>
      <c r="V709" s="236"/>
      <c r="W709" s="244"/>
      <c r="X709" s="244"/>
      <c r="Y709" s="237"/>
      <c r="Z709" s="244"/>
      <c r="AA709" s="244"/>
      <c r="AB709" s="244"/>
      <c r="AC709" s="244"/>
      <c r="AD709" s="234"/>
      <c r="AE709" s="234"/>
      <c r="AF709" s="238"/>
      <c r="AG709" s="239"/>
      <c r="AH709" s="238"/>
      <c r="AI709" s="238"/>
      <c r="AJ709" s="234"/>
      <c r="AK709" s="234"/>
      <c r="AL709" s="234"/>
      <c r="AM709" s="234"/>
      <c r="AN709" s="234"/>
      <c r="AO709" s="234"/>
    </row>
    <row r="710" ht="15.75" customHeight="1">
      <c r="A710" s="91"/>
      <c r="B710" s="91"/>
      <c r="C710" s="220"/>
      <c r="D710" s="91"/>
      <c r="E710" s="221"/>
      <c r="F710" s="91"/>
      <c r="G710" s="91"/>
      <c r="H710" s="242"/>
      <c r="I710" s="223"/>
      <c r="J710" s="57"/>
      <c r="K710" s="153"/>
      <c r="L710" s="243"/>
      <c r="M710" s="234"/>
      <c r="N710" s="235"/>
      <c r="O710" s="236"/>
      <c r="P710" s="236"/>
      <c r="Q710" s="236"/>
      <c r="R710" s="236"/>
      <c r="S710" s="236"/>
      <c r="T710" s="236"/>
      <c r="U710" s="236"/>
      <c r="V710" s="236"/>
      <c r="W710" s="244"/>
      <c r="X710" s="244"/>
      <c r="Y710" s="237"/>
      <c r="Z710" s="244"/>
      <c r="AA710" s="244"/>
      <c r="AB710" s="244"/>
      <c r="AC710" s="244"/>
      <c r="AD710" s="234"/>
      <c r="AE710" s="234"/>
      <c r="AF710" s="238"/>
      <c r="AG710" s="239"/>
      <c r="AH710" s="238"/>
      <c r="AI710" s="238"/>
      <c r="AJ710" s="234"/>
      <c r="AK710" s="234"/>
      <c r="AL710" s="234"/>
      <c r="AM710" s="234"/>
      <c r="AN710" s="234"/>
      <c r="AO710" s="234"/>
    </row>
    <row r="711" ht="15.75" customHeight="1">
      <c r="A711" s="91"/>
      <c r="B711" s="91"/>
      <c r="C711" s="220"/>
      <c r="D711" s="91"/>
      <c r="E711" s="221"/>
      <c r="F711" s="91"/>
      <c r="G711" s="91"/>
      <c r="H711" s="242"/>
      <c r="I711" s="223"/>
      <c r="J711" s="57"/>
      <c r="K711" s="153"/>
      <c r="L711" s="243"/>
      <c r="M711" s="234"/>
      <c r="N711" s="235"/>
      <c r="O711" s="236"/>
      <c r="P711" s="236"/>
      <c r="Q711" s="236"/>
      <c r="R711" s="236"/>
      <c r="S711" s="236"/>
      <c r="T711" s="236"/>
      <c r="U711" s="236"/>
      <c r="V711" s="236"/>
      <c r="W711" s="244"/>
      <c r="X711" s="244"/>
      <c r="Y711" s="237"/>
      <c r="Z711" s="244"/>
      <c r="AA711" s="244"/>
      <c r="AB711" s="244"/>
      <c r="AC711" s="244"/>
      <c r="AD711" s="234"/>
      <c r="AE711" s="234"/>
      <c r="AF711" s="238"/>
      <c r="AG711" s="239"/>
      <c r="AH711" s="238"/>
      <c r="AI711" s="238"/>
      <c r="AJ711" s="234"/>
      <c r="AK711" s="234"/>
      <c r="AL711" s="234"/>
      <c r="AM711" s="234"/>
      <c r="AN711" s="234"/>
      <c r="AO711" s="234"/>
    </row>
    <row r="712" ht="15.75" customHeight="1">
      <c r="A712" s="91"/>
      <c r="B712" s="91"/>
      <c r="C712" s="220"/>
      <c r="D712" s="91"/>
      <c r="E712" s="221"/>
      <c r="F712" s="91"/>
      <c r="G712" s="91"/>
      <c r="H712" s="242"/>
      <c r="I712" s="223"/>
      <c r="J712" s="57"/>
      <c r="K712" s="153"/>
      <c r="L712" s="243"/>
      <c r="M712" s="234"/>
      <c r="N712" s="235"/>
      <c r="O712" s="236"/>
      <c r="P712" s="236"/>
      <c r="Q712" s="236"/>
      <c r="R712" s="236"/>
      <c r="S712" s="236"/>
      <c r="T712" s="236"/>
      <c r="U712" s="236"/>
      <c r="V712" s="236"/>
      <c r="W712" s="244"/>
      <c r="X712" s="244"/>
      <c r="Y712" s="237"/>
      <c r="Z712" s="244"/>
      <c r="AA712" s="244"/>
      <c r="AB712" s="244"/>
      <c r="AC712" s="244"/>
      <c r="AD712" s="234"/>
      <c r="AE712" s="234"/>
      <c r="AF712" s="238"/>
      <c r="AG712" s="239"/>
      <c r="AH712" s="238"/>
      <c r="AI712" s="238"/>
      <c r="AJ712" s="234"/>
      <c r="AK712" s="234"/>
      <c r="AL712" s="234"/>
      <c r="AM712" s="234"/>
      <c r="AN712" s="234"/>
      <c r="AO712" s="234"/>
    </row>
    <row r="713" ht="15.75" customHeight="1">
      <c r="A713" s="91"/>
      <c r="B713" s="91"/>
      <c r="C713" s="220"/>
      <c r="D713" s="91"/>
      <c r="E713" s="221"/>
      <c r="F713" s="91"/>
      <c r="G713" s="91"/>
      <c r="H713" s="242"/>
      <c r="I713" s="223"/>
      <c r="J713" s="57"/>
      <c r="K713" s="153"/>
      <c r="L713" s="243"/>
      <c r="M713" s="234"/>
      <c r="N713" s="235"/>
      <c r="O713" s="236"/>
      <c r="P713" s="236"/>
      <c r="Q713" s="236"/>
      <c r="R713" s="236"/>
      <c r="S713" s="236"/>
      <c r="T713" s="236"/>
      <c r="U713" s="236"/>
      <c r="V713" s="236"/>
      <c r="W713" s="244"/>
      <c r="X713" s="244"/>
      <c r="Y713" s="237"/>
      <c r="Z713" s="244"/>
      <c r="AA713" s="244"/>
      <c r="AB713" s="244"/>
      <c r="AC713" s="244"/>
      <c r="AD713" s="234"/>
      <c r="AE713" s="234"/>
      <c r="AF713" s="238"/>
      <c r="AG713" s="239"/>
      <c r="AH713" s="238"/>
      <c r="AI713" s="238"/>
      <c r="AJ713" s="234"/>
      <c r="AK713" s="234"/>
      <c r="AL713" s="234"/>
      <c r="AM713" s="234"/>
      <c r="AN713" s="234"/>
      <c r="AO713" s="234"/>
    </row>
    <row r="714" ht="15.75" customHeight="1">
      <c r="A714" s="91"/>
      <c r="B714" s="91"/>
      <c r="C714" s="220"/>
      <c r="D714" s="91"/>
      <c r="E714" s="221"/>
      <c r="F714" s="91"/>
      <c r="G714" s="91"/>
      <c r="H714" s="242"/>
      <c r="I714" s="223"/>
      <c r="J714" s="57"/>
      <c r="K714" s="153"/>
      <c r="L714" s="243"/>
      <c r="M714" s="234"/>
      <c r="N714" s="235"/>
      <c r="O714" s="236"/>
      <c r="P714" s="236"/>
      <c r="Q714" s="236"/>
      <c r="R714" s="236"/>
      <c r="S714" s="236"/>
      <c r="T714" s="236"/>
      <c r="U714" s="236"/>
      <c r="V714" s="236"/>
      <c r="W714" s="244"/>
      <c r="X714" s="244"/>
      <c r="Y714" s="237"/>
      <c r="Z714" s="244"/>
      <c r="AA714" s="244"/>
      <c r="AB714" s="244"/>
      <c r="AC714" s="244"/>
      <c r="AD714" s="234"/>
      <c r="AE714" s="234"/>
      <c r="AF714" s="238"/>
      <c r="AG714" s="239"/>
      <c r="AH714" s="238"/>
      <c r="AI714" s="238"/>
      <c r="AJ714" s="234"/>
      <c r="AK714" s="234"/>
      <c r="AL714" s="234"/>
      <c r="AM714" s="234"/>
      <c r="AN714" s="234"/>
      <c r="AO714" s="234"/>
    </row>
    <row r="715" ht="15.75" customHeight="1">
      <c r="A715" s="91"/>
      <c r="B715" s="91"/>
      <c r="C715" s="220"/>
      <c r="D715" s="91"/>
      <c r="E715" s="221"/>
      <c r="F715" s="91"/>
      <c r="G715" s="91"/>
      <c r="H715" s="242"/>
      <c r="I715" s="223"/>
      <c r="J715" s="57"/>
      <c r="K715" s="153"/>
      <c r="L715" s="243"/>
      <c r="M715" s="234"/>
      <c r="N715" s="235"/>
      <c r="O715" s="236"/>
      <c r="P715" s="236"/>
      <c r="Q715" s="236"/>
      <c r="R715" s="236"/>
      <c r="S715" s="236"/>
      <c r="T715" s="236"/>
      <c r="U715" s="236"/>
      <c r="V715" s="236"/>
      <c r="W715" s="244"/>
      <c r="X715" s="244"/>
      <c r="Y715" s="237"/>
      <c r="Z715" s="244"/>
      <c r="AA715" s="244"/>
      <c r="AB715" s="244"/>
      <c r="AC715" s="244"/>
      <c r="AD715" s="234"/>
      <c r="AE715" s="234"/>
      <c r="AF715" s="238"/>
      <c r="AG715" s="239"/>
      <c r="AH715" s="238"/>
      <c r="AI715" s="238"/>
      <c r="AJ715" s="234"/>
      <c r="AK715" s="234"/>
      <c r="AL715" s="234"/>
      <c r="AM715" s="234"/>
      <c r="AN715" s="234"/>
      <c r="AO715" s="234"/>
    </row>
    <row r="716" ht="15.75" customHeight="1">
      <c r="A716" s="91"/>
      <c r="B716" s="91"/>
      <c r="C716" s="220"/>
      <c r="D716" s="91"/>
      <c r="E716" s="221"/>
      <c r="F716" s="91"/>
      <c r="G716" s="91"/>
      <c r="H716" s="242"/>
      <c r="I716" s="223"/>
      <c r="J716" s="57"/>
      <c r="K716" s="153"/>
      <c r="L716" s="243"/>
      <c r="M716" s="234"/>
      <c r="N716" s="235"/>
      <c r="O716" s="236"/>
      <c r="P716" s="236"/>
      <c r="Q716" s="236"/>
      <c r="R716" s="236"/>
      <c r="S716" s="236"/>
      <c r="T716" s="236"/>
      <c r="U716" s="236"/>
      <c r="V716" s="236"/>
      <c r="W716" s="244"/>
      <c r="X716" s="244"/>
      <c r="Y716" s="237"/>
      <c r="Z716" s="244"/>
      <c r="AA716" s="244"/>
      <c r="AB716" s="244"/>
      <c r="AC716" s="244"/>
      <c r="AD716" s="234"/>
      <c r="AE716" s="234"/>
      <c r="AF716" s="238"/>
      <c r="AG716" s="239"/>
      <c r="AH716" s="238"/>
      <c r="AI716" s="238"/>
      <c r="AJ716" s="234"/>
      <c r="AK716" s="234"/>
      <c r="AL716" s="234"/>
      <c r="AM716" s="234"/>
      <c r="AN716" s="234"/>
      <c r="AO716" s="234"/>
    </row>
    <row r="717" ht="15.75" customHeight="1">
      <c r="A717" s="91"/>
      <c r="B717" s="91"/>
      <c r="C717" s="220"/>
      <c r="D717" s="91"/>
      <c r="E717" s="221"/>
      <c r="F717" s="91"/>
      <c r="G717" s="91"/>
      <c r="H717" s="242"/>
      <c r="I717" s="223"/>
      <c r="J717" s="57"/>
      <c r="K717" s="153"/>
      <c r="L717" s="243"/>
      <c r="M717" s="234"/>
      <c r="N717" s="235"/>
      <c r="O717" s="236"/>
      <c r="P717" s="236"/>
      <c r="Q717" s="236"/>
      <c r="R717" s="236"/>
      <c r="S717" s="236"/>
      <c r="T717" s="236"/>
      <c r="U717" s="236"/>
      <c r="V717" s="236"/>
      <c r="W717" s="244"/>
      <c r="X717" s="244"/>
      <c r="Y717" s="237"/>
      <c r="Z717" s="244"/>
      <c r="AA717" s="244"/>
      <c r="AB717" s="244"/>
      <c r="AC717" s="244"/>
      <c r="AD717" s="234"/>
      <c r="AE717" s="234"/>
      <c r="AF717" s="238"/>
      <c r="AG717" s="239"/>
      <c r="AH717" s="238"/>
      <c r="AI717" s="238"/>
      <c r="AJ717" s="234"/>
      <c r="AK717" s="234"/>
      <c r="AL717" s="234"/>
      <c r="AM717" s="234"/>
      <c r="AN717" s="234"/>
      <c r="AO717" s="234"/>
    </row>
    <row r="718" ht="15.75" customHeight="1">
      <c r="A718" s="91"/>
      <c r="B718" s="91"/>
      <c r="C718" s="220"/>
      <c r="D718" s="91"/>
      <c r="E718" s="221"/>
      <c r="F718" s="91"/>
      <c r="G718" s="91"/>
      <c r="H718" s="242"/>
      <c r="I718" s="223"/>
      <c r="J718" s="57"/>
      <c r="K718" s="153"/>
      <c r="L718" s="243"/>
      <c r="M718" s="234"/>
      <c r="N718" s="235"/>
      <c r="O718" s="236"/>
      <c r="P718" s="236"/>
      <c r="Q718" s="236"/>
      <c r="R718" s="236"/>
      <c r="S718" s="236"/>
      <c r="T718" s="236"/>
      <c r="U718" s="236"/>
      <c r="V718" s="236"/>
      <c r="W718" s="244"/>
      <c r="X718" s="244"/>
      <c r="Y718" s="237"/>
      <c r="Z718" s="244"/>
      <c r="AA718" s="244"/>
      <c r="AB718" s="244"/>
      <c r="AC718" s="244"/>
      <c r="AD718" s="234"/>
      <c r="AE718" s="234"/>
      <c r="AF718" s="238"/>
      <c r="AG718" s="239"/>
      <c r="AH718" s="238"/>
      <c r="AI718" s="238"/>
      <c r="AJ718" s="234"/>
      <c r="AK718" s="234"/>
      <c r="AL718" s="234"/>
      <c r="AM718" s="234"/>
      <c r="AN718" s="234"/>
      <c r="AO718" s="234"/>
    </row>
    <row r="719" ht="15.75" customHeight="1">
      <c r="A719" s="91"/>
      <c r="B719" s="91"/>
      <c r="C719" s="220"/>
      <c r="D719" s="91"/>
      <c r="E719" s="221"/>
      <c r="F719" s="91"/>
      <c r="G719" s="91"/>
      <c r="H719" s="242"/>
      <c r="I719" s="223"/>
      <c r="J719" s="57"/>
      <c r="K719" s="153"/>
      <c r="L719" s="243"/>
      <c r="M719" s="234"/>
      <c r="N719" s="235"/>
      <c r="O719" s="236"/>
      <c r="P719" s="236"/>
      <c r="Q719" s="236"/>
      <c r="R719" s="236"/>
      <c r="S719" s="236"/>
      <c r="T719" s="236"/>
      <c r="U719" s="236"/>
      <c r="V719" s="236"/>
      <c r="W719" s="244"/>
      <c r="X719" s="244"/>
      <c r="Y719" s="237"/>
      <c r="Z719" s="244"/>
      <c r="AA719" s="244"/>
      <c r="AB719" s="244"/>
      <c r="AC719" s="244"/>
      <c r="AD719" s="234"/>
      <c r="AE719" s="234"/>
      <c r="AF719" s="238"/>
      <c r="AG719" s="239"/>
      <c r="AH719" s="238"/>
      <c r="AI719" s="238"/>
      <c r="AJ719" s="234"/>
      <c r="AK719" s="234"/>
      <c r="AL719" s="234"/>
      <c r="AM719" s="234"/>
      <c r="AN719" s="234"/>
      <c r="AO719" s="234"/>
    </row>
    <row r="720" ht="15.75" customHeight="1">
      <c r="A720" s="91"/>
      <c r="B720" s="91"/>
      <c r="C720" s="220"/>
      <c r="D720" s="91"/>
      <c r="E720" s="221"/>
      <c r="F720" s="91"/>
      <c r="G720" s="91"/>
      <c r="H720" s="242"/>
      <c r="I720" s="223"/>
      <c r="J720" s="57"/>
      <c r="K720" s="153"/>
      <c r="L720" s="243"/>
      <c r="M720" s="234"/>
      <c r="N720" s="235"/>
      <c r="O720" s="236"/>
      <c r="P720" s="236"/>
      <c r="Q720" s="236"/>
      <c r="R720" s="236"/>
      <c r="S720" s="236"/>
      <c r="T720" s="236"/>
      <c r="U720" s="236"/>
      <c r="V720" s="236"/>
      <c r="W720" s="244"/>
      <c r="X720" s="244"/>
      <c r="Y720" s="237"/>
      <c r="Z720" s="244"/>
      <c r="AA720" s="244"/>
      <c r="AB720" s="244"/>
      <c r="AC720" s="244"/>
      <c r="AD720" s="234"/>
      <c r="AE720" s="234"/>
      <c r="AF720" s="238"/>
      <c r="AG720" s="239"/>
      <c r="AH720" s="238"/>
      <c r="AI720" s="238"/>
      <c r="AJ720" s="234"/>
      <c r="AK720" s="234"/>
      <c r="AL720" s="234"/>
      <c r="AM720" s="234"/>
      <c r="AN720" s="234"/>
      <c r="AO720" s="234"/>
    </row>
    <row r="721" ht="15.75" customHeight="1">
      <c r="A721" s="91"/>
      <c r="B721" s="91"/>
      <c r="C721" s="220"/>
      <c r="D721" s="91"/>
      <c r="E721" s="221"/>
      <c r="F721" s="91"/>
      <c r="G721" s="91"/>
      <c r="H721" s="242"/>
      <c r="I721" s="223"/>
      <c r="J721" s="57"/>
      <c r="K721" s="153"/>
      <c r="L721" s="243"/>
      <c r="M721" s="234"/>
      <c r="N721" s="235"/>
      <c r="O721" s="236"/>
      <c r="P721" s="236"/>
      <c r="Q721" s="236"/>
      <c r="R721" s="236"/>
      <c r="S721" s="236"/>
      <c r="T721" s="236"/>
      <c r="U721" s="236"/>
      <c r="V721" s="236"/>
      <c r="W721" s="244"/>
      <c r="X721" s="244"/>
      <c r="Y721" s="237"/>
      <c r="Z721" s="244"/>
      <c r="AA721" s="244"/>
      <c r="AB721" s="244"/>
      <c r="AC721" s="244"/>
      <c r="AD721" s="234"/>
      <c r="AE721" s="234"/>
      <c r="AF721" s="238"/>
      <c r="AG721" s="239"/>
      <c r="AH721" s="238"/>
      <c r="AI721" s="238"/>
      <c r="AJ721" s="234"/>
      <c r="AK721" s="234"/>
      <c r="AL721" s="234"/>
      <c r="AM721" s="234"/>
      <c r="AN721" s="234"/>
      <c r="AO721" s="234"/>
    </row>
    <row r="722" ht="15.75" customHeight="1">
      <c r="A722" s="91"/>
      <c r="B722" s="91"/>
      <c r="C722" s="220"/>
      <c r="D722" s="91"/>
      <c r="E722" s="221"/>
      <c r="F722" s="91"/>
      <c r="G722" s="91"/>
      <c r="H722" s="242"/>
      <c r="I722" s="223"/>
      <c r="J722" s="57"/>
      <c r="K722" s="153"/>
      <c r="L722" s="243"/>
      <c r="M722" s="234"/>
      <c r="N722" s="235"/>
      <c r="O722" s="236"/>
      <c r="P722" s="236"/>
      <c r="Q722" s="236"/>
      <c r="R722" s="236"/>
      <c r="S722" s="236"/>
      <c r="T722" s="236"/>
      <c r="U722" s="236"/>
      <c r="V722" s="236"/>
      <c r="W722" s="244"/>
      <c r="X722" s="244"/>
      <c r="Y722" s="237"/>
      <c r="Z722" s="244"/>
      <c r="AA722" s="244"/>
      <c r="AB722" s="244"/>
      <c r="AC722" s="244"/>
      <c r="AD722" s="234"/>
      <c r="AE722" s="234"/>
      <c r="AF722" s="238"/>
      <c r="AG722" s="239"/>
      <c r="AH722" s="238"/>
      <c r="AI722" s="238"/>
      <c r="AJ722" s="234"/>
      <c r="AK722" s="234"/>
      <c r="AL722" s="234"/>
      <c r="AM722" s="234"/>
      <c r="AN722" s="234"/>
      <c r="AO722" s="234"/>
    </row>
    <row r="723" ht="15.75" customHeight="1">
      <c r="A723" s="91"/>
      <c r="B723" s="91"/>
      <c r="C723" s="220"/>
      <c r="D723" s="91"/>
      <c r="E723" s="221"/>
      <c r="F723" s="91"/>
      <c r="G723" s="91"/>
      <c r="H723" s="242"/>
      <c r="I723" s="223"/>
      <c r="J723" s="57"/>
      <c r="K723" s="153"/>
      <c r="L723" s="243"/>
      <c r="M723" s="234"/>
      <c r="N723" s="235"/>
      <c r="O723" s="236"/>
      <c r="P723" s="236"/>
      <c r="Q723" s="236"/>
      <c r="R723" s="236"/>
      <c r="S723" s="236"/>
      <c r="T723" s="236"/>
      <c r="U723" s="236"/>
      <c r="V723" s="236"/>
      <c r="W723" s="244"/>
      <c r="X723" s="244"/>
      <c r="Y723" s="237"/>
      <c r="Z723" s="244"/>
      <c r="AA723" s="244"/>
      <c r="AB723" s="244"/>
      <c r="AC723" s="244"/>
      <c r="AD723" s="234"/>
      <c r="AE723" s="234"/>
      <c r="AF723" s="238"/>
      <c r="AG723" s="239"/>
      <c r="AH723" s="238"/>
      <c r="AI723" s="238"/>
      <c r="AJ723" s="234"/>
      <c r="AK723" s="234"/>
      <c r="AL723" s="234"/>
      <c r="AM723" s="234"/>
      <c r="AN723" s="234"/>
      <c r="AO723" s="234"/>
    </row>
    <row r="724" ht="15.75" customHeight="1">
      <c r="A724" s="91"/>
      <c r="B724" s="91"/>
      <c r="C724" s="220"/>
      <c r="D724" s="91"/>
      <c r="E724" s="221"/>
      <c r="F724" s="91"/>
      <c r="G724" s="91"/>
      <c r="H724" s="242"/>
      <c r="I724" s="223"/>
      <c r="J724" s="57"/>
      <c r="K724" s="153"/>
      <c r="L724" s="243"/>
      <c r="M724" s="234"/>
      <c r="N724" s="235"/>
      <c r="O724" s="236"/>
      <c r="P724" s="236"/>
      <c r="Q724" s="236"/>
      <c r="R724" s="236"/>
      <c r="S724" s="236"/>
      <c r="T724" s="236"/>
      <c r="U724" s="236"/>
      <c r="V724" s="236"/>
      <c r="W724" s="244"/>
      <c r="X724" s="244"/>
      <c r="Y724" s="237"/>
      <c r="Z724" s="244"/>
      <c r="AA724" s="244"/>
      <c r="AB724" s="244"/>
      <c r="AC724" s="244"/>
      <c r="AD724" s="234"/>
      <c r="AE724" s="234"/>
      <c r="AF724" s="238"/>
      <c r="AG724" s="239"/>
      <c r="AH724" s="238"/>
      <c r="AI724" s="238"/>
      <c r="AJ724" s="234"/>
      <c r="AK724" s="234"/>
      <c r="AL724" s="234"/>
      <c r="AM724" s="234"/>
      <c r="AN724" s="234"/>
      <c r="AO724" s="234"/>
    </row>
    <row r="725" ht="15.75" customHeight="1">
      <c r="A725" s="91"/>
      <c r="B725" s="91"/>
      <c r="C725" s="220"/>
      <c r="D725" s="91"/>
      <c r="E725" s="221"/>
      <c r="F725" s="91"/>
      <c r="G725" s="91"/>
      <c r="H725" s="242"/>
      <c r="I725" s="223"/>
      <c r="J725" s="57"/>
      <c r="K725" s="153"/>
      <c r="L725" s="243"/>
      <c r="M725" s="234"/>
      <c r="N725" s="235"/>
      <c r="O725" s="236"/>
      <c r="P725" s="236"/>
      <c r="Q725" s="236"/>
      <c r="R725" s="236"/>
      <c r="S725" s="236"/>
      <c r="T725" s="236"/>
      <c r="U725" s="236"/>
      <c r="V725" s="236"/>
      <c r="W725" s="244"/>
      <c r="X725" s="244"/>
      <c r="Y725" s="237"/>
      <c r="Z725" s="244"/>
      <c r="AA725" s="244"/>
      <c r="AB725" s="244"/>
      <c r="AC725" s="244"/>
      <c r="AD725" s="234"/>
      <c r="AE725" s="234"/>
      <c r="AF725" s="238"/>
      <c r="AG725" s="239"/>
      <c r="AH725" s="238"/>
      <c r="AI725" s="238"/>
      <c r="AJ725" s="234"/>
      <c r="AK725" s="234"/>
      <c r="AL725" s="234"/>
      <c r="AM725" s="234"/>
      <c r="AN725" s="234"/>
      <c r="AO725" s="234"/>
    </row>
    <row r="726" ht="15.75" customHeight="1">
      <c r="A726" s="91"/>
      <c r="B726" s="91"/>
      <c r="C726" s="220"/>
      <c r="D726" s="91"/>
      <c r="E726" s="221"/>
      <c r="F726" s="91"/>
      <c r="G726" s="91"/>
      <c r="H726" s="242"/>
      <c r="I726" s="223"/>
      <c r="J726" s="57"/>
      <c r="K726" s="153"/>
      <c r="L726" s="243"/>
      <c r="M726" s="234"/>
      <c r="N726" s="235"/>
      <c r="O726" s="236"/>
      <c r="P726" s="236"/>
      <c r="Q726" s="236"/>
      <c r="R726" s="236"/>
      <c r="S726" s="236"/>
      <c r="T726" s="236"/>
      <c r="U726" s="236"/>
      <c r="V726" s="236"/>
      <c r="W726" s="244"/>
      <c r="X726" s="244"/>
      <c r="Y726" s="237"/>
      <c r="Z726" s="244"/>
      <c r="AA726" s="244"/>
      <c r="AB726" s="244"/>
      <c r="AC726" s="244"/>
      <c r="AD726" s="234"/>
      <c r="AE726" s="234"/>
      <c r="AF726" s="238"/>
      <c r="AG726" s="239"/>
      <c r="AH726" s="238"/>
      <c r="AI726" s="238"/>
      <c r="AJ726" s="234"/>
      <c r="AK726" s="234"/>
      <c r="AL726" s="234"/>
      <c r="AM726" s="234"/>
      <c r="AN726" s="234"/>
      <c r="AO726" s="234"/>
    </row>
    <row r="727" ht="15.75" customHeight="1">
      <c r="A727" s="91"/>
      <c r="B727" s="91"/>
      <c r="C727" s="220"/>
      <c r="D727" s="91"/>
      <c r="E727" s="221"/>
      <c r="F727" s="91"/>
      <c r="G727" s="91"/>
      <c r="H727" s="242"/>
      <c r="I727" s="223"/>
      <c r="J727" s="57"/>
      <c r="K727" s="153"/>
      <c r="L727" s="243"/>
      <c r="M727" s="234"/>
      <c r="N727" s="235"/>
      <c r="O727" s="236"/>
      <c r="P727" s="236"/>
      <c r="Q727" s="236"/>
      <c r="R727" s="236"/>
      <c r="S727" s="236"/>
      <c r="T727" s="236"/>
      <c r="U727" s="236"/>
      <c r="V727" s="236"/>
      <c r="W727" s="244"/>
      <c r="X727" s="244"/>
      <c r="Y727" s="237"/>
      <c r="Z727" s="244"/>
      <c r="AA727" s="244"/>
      <c r="AB727" s="244"/>
      <c r="AC727" s="244"/>
      <c r="AD727" s="234"/>
      <c r="AE727" s="234"/>
      <c r="AF727" s="238"/>
      <c r="AG727" s="239"/>
      <c r="AH727" s="238"/>
      <c r="AI727" s="238"/>
      <c r="AJ727" s="234"/>
      <c r="AK727" s="234"/>
      <c r="AL727" s="234"/>
      <c r="AM727" s="234"/>
      <c r="AN727" s="234"/>
      <c r="AO727" s="234"/>
    </row>
    <row r="728" ht="15.75" customHeight="1">
      <c r="A728" s="91"/>
      <c r="B728" s="91"/>
      <c r="C728" s="220"/>
      <c r="D728" s="91"/>
      <c r="E728" s="221"/>
      <c r="F728" s="91"/>
      <c r="G728" s="91"/>
      <c r="H728" s="242"/>
      <c r="I728" s="223"/>
      <c r="J728" s="57"/>
      <c r="K728" s="153"/>
      <c r="L728" s="243"/>
      <c r="M728" s="234"/>
      <c r="N728" s="235"/>
      <c r="O728" s="236"/>
      <c r="P728" s="236"/>
      <c r="Q728" s="236"/>
      <c r="R728" s="236"/>
      <c r="S728" s="236"/>
      <c r="T728" s="236"/>
      <c r="U728" s="236"/>
      <c r="V728" s="236"/>
      <c r="W728" s="244"/>
      <c r="X728" s="244"/>
      <c r="Y728" s="237"/>
      <c r="Z728" s="244"/>
      <c r="AA728" s="244"/>
      <c r="AB728" s="244"/>
      <c r="AC728" s="244"/>
      <c r="AD728" s="234"/>
      <c r="AE728" s="234"/>
      <c r="AF728" s="238"/>
      <c r="AG728" s="239"/>
      <c r="AH728" s="238"/>
      <c r="AI728" s="238"/>
      <c r="AJ728" s="234"/>
      <c r="AK728" s="234"/>
      <c r="AL728" s="234"/>
      <c r="AM728" s="234"/>
      <c r="AN728" s="234"/>
      <c r="AO728" s="234"/>
    </row>
    <row r="729" ht="15.75" customHeight="1">
      <c r="A729" s="91"/>
      <c r="B729" s="91"/>
      <c r="C729" s="220"/>
      <c r="D729" s="91"/>
      <c r="E729" s="221"/>
      <c r="F729" s="91"/>
      <c r="G729" s="91"/>
      <c r="H729" s="242"/>
      <c r="I729" s="223"/>
      <c r="J729" s="57"/>
      <c r="K729" s="153"/>
      <c r="L729" s="243"/>
      <c r="M729" s="234"/>
      <c r="N729" s="235"/>
      <c r="O729" s="236"/>
      <c r="P729" s="236"/>
      <c r="Q729" s="236"/>
      <c r="R729" s="236"/>
      <c r="S729" s="236"/>
      <c r="T729" s="236"/>
      <c r="U729" s="236"/>
      <c r="V729" s="236"/>
      <c r="W729" s="244"/>
      <c r="X729" s="244"/>
      <c r="Y729" s="237"/>
      <c r="Z729" s="244"/>
      <c r="AA729" s="244"/>
      <c r="AB729" s="244"/>
      <c r="AC729" s="244"/>
      <c r="AD729" s="234"/>
      <c r="AE729" s="234"/>
      <c r="AF729" s="238"/>
      <c r="AG729" s="239"/>
      <c r="AH729" s="238"/>
      <c r="AI729" s="238"/>
      <c r="AJ729" s="234"/>
      <c r="AK729" s="234"/>
      <c r="AL729" s="234"/>
      <c r="AM729" s="234"/>
      <c r="AN729" s="234"/>
      <c r="AO729" s="234"/>
    </row>
    <row r="730" ht="15.75" customHeight="1">
      <c r="A730" s="91"/>
      <c r="B730" s="91"/>
      <c r="C730" s="220"/>
      <c r="D730" s="91"/>
      <c r="E730" s="221"/>
      <c r="F730" s="91"/>
      <c r="G730" s="91"/>
      <c r="H730" s="242"/>
      <c r="I730" s="223"/>
      <c r="J730" s="57"/>
      <c r="K730" s="153"/>
      <c r="L730" s="243"/>
      <c r="M730" s="234"/>
      <c r="N730" s="235"/>
      <c r="O730" s="236"/>
      <c r="P730" s="236"/>
      <c r="Q730" s="236"/>
      <c r="R730" s="236"/>
      <c r="S730" s="236"/>
      <c r="T730" s="236"/>
      <c r="U730" s="236"/>
      <c r="V730" s="236"/>
      <c r="W730" s="244"/>
      <c r="X730" s="244"/>
      <c r="Y730" s="237"/>
      <c r="Z730" s="244"/>
      <c r="AA730" s="244"/>
      <c r="AB730" s="244"/>
      <c r="AC730" s="244"/>
      <c r="AD730" s="234"/>
      <c r="AE730" s="234"/>
      <c r="AF730" s="238"/>
      <c r="AG730" s="239"/>
      <c r="AH730" s="238"/>
      <c r="AI730" s="238"/>
      <c r="AJ730" s="234"/>
      <c r="AK730" s="234"/>
      <c r="AL730" s="234"/>
      <c r="AM730" s="234"/>
      <c r="AN730" s="234"/>
      <c r="AO730" s="234"/>
    </row>
    <row r="731" ht="15.75" customHeight="1">
      <c r="A731" s="91"/>
      <c r="B731" s="91"/>
      <c r="C731" s="220"/>
      <c r="D731" s="91"/>
      <c r="E731" s="221"/>
      <c r="F731" s="91"/>
      <c r="G731" s="91"/>
      <c r="H731" s="242"/>
      <c r="I731" s="223"/>
      <c r="J731" s="57"/>
      <c r="K731" s="153"/>
      <c r="L731" s="243"/>
      <c r="M731" s="234"/>
      <c r="N731" s="235"/>
      <c r="O731" s="236"/>
      <c r="P731" s="236"/>
      <c r="Q731" s="236"/>
      <c r="R731" s="236"/>
      <c r="S731" s="236"/>
      <c r="T731" s="236"/>
      <c r="U731" s="236"/>
      <c r="V731" s="236"/>
      <c r="W731" s="244"/>
      <c r="X731" s="244"/>
      <c r="Y731" s="237"/>
      <c r="Z731" s="244"/>
      <c r="AA731" s="244"/>
      <c r="AB731" s="244"/>
      <c r="AC731" s="244"/>
      <c r="AD731" s="234"/>
      <c r="AE731" s="234"/>
      <c r="AF731" s="238"/>
      <c r="AG731" s="239"/>
      <c r="AH731" s="238"/>
      <c r="AI731" s="238"/>
      <c r="AJ731" s="234"/>
      <c r="AK731" s="234"/>
      <c r="AL731" s="234"/>
      <c r="AM731" s="234"/>
      <c r="AN731" s="234"/>
      <c r="AO731" s="234"/>
    </row>
    <row r="732" ht="15.75" customHeight="1">
      <c r="A732" s="91"/>
      <c r="B732" s="91"/>
      <c r="C732" s="220"/>
      <c r="D732" s="91"/>
      <c r="E732" s="221"/>
      <c r="F732" s="91"/>
      <c r="G732" s="91"/>
      <c r="H732" s="242"/>
      <c r="I732" s="223"/>
      <c r="J732" s="57"/>
      <c r="K732" s="153"/>
      <c r="L732" s="243"/>
      <c r="M732" s="234"/>
      <c r="N732" s="235"/>
      <c r="O732" s="236"/>
      <c r="P732" s="236"/>
      <c r="Q732" s="236"/>
      <c r="R732" s="236"/>
      <c r="S732" s="236"/>
      <c r="T732" s="236"/>
      <c r="U732" s="236"/>
      <c r="V732" s="236"/>
      <c r="W732" s="244"/>
      <c r="X732" s="244"/>
      <c r="Y732" s="237"/>
      <c r="Z732" s="244"/>
      <c r="AA732" s="244"/>
      <c r="AB732" s="244"/>
      <c r="AC732" s="244"/>
      <c r="AD732" s="234"/>
      <c r="AE732" s="234"/>
      <c r="AF732" s="238"/>
      <c r="AG732" s="239"/>
      <c r="AH732" s="238"/>
      <c r="AI732" s="238"/>
      <c r="AJ732" s="234"/>
      <c r="AK732" s="234"/>
      <c r="AL732" s="234"/>
      <c r="AM732" s="234"/>
      <c r="AN732" s="234"/>
      <c r="AO732" s="234"/>
    </row>
    <row r="733" ht="15.75" customHeight="1">
      <c r="A733" s="91"/>
      <c r="B733" s="91"/>
      <c r="C733" s="220"/>
      <c r="D733" s="91"/>
      <c r="E733" s="221"/>
      <c r="F733" s="91"/>
      <c r="G733" s="91"/>
      <c r="H733" s="242"/>
      <c r="I733" s="223"/>
      <c r="J733" s="57"/>
      <c r="K733" s="153"/>
      <c r="L733" s="243"/>
      <c r="M733" s="234"/>
      <c r="N733" s="235"/>
      <c r="O733" s="236"/>
      <c r="P733" s="236"/>
      <c r="Q733" s="236"/>
      <c r="R733" s="236"/>
      <c r="S733" s="236"/>
      <c r="T733" s="236"/>
      <c r="U733" s="236"/>
      <c r="V733" s="236"/>
      <c r="W733" s="244"/>
      <c r="X733" s="244"/>
      <c r="Y733" s="237"/>
      <c r="Z733" s="244"/>
      <c r="AA733" s="244"/>
      <c r="AB733" s="244"/>
      <c r="AC733" s="244"/>
      <c r="AD733" s="234"/>
      <c r="AE733" s="234"/>
      <c r="AF733" s="238"/>
      <c r="AG733" s="239"/>
      <c r="AH733" s="238"/>
      <c r="AI733" s="238"/>
      <c r="AJ733" s="234"/>
      <c r="AK733" s="234"/>
      <c r="AL733" s="234"/>
      <c r="AM733" s="234"/>
      <c r="AN733" s="234"/>
      <c r="AO733" s="234"/>
    </row>
    <row r="734" ht="15.75" customHeight="1">
      <c r="A734" s="91"/>
      <c r="B734" s="91"/>
      <c r="C734" s="220"/>
      <c r="D734" s="91"/>
      <c r="E734" s="221"/>
      <c r="F734" s="91"/>
      <c r="G734" s="91"/>
      <c r="H734" s="242"/>
      <c r="I734" s="223"/>
      <c r="J734" s="57"/>
      <c r="K734" s="153"/>
      <c r="L734" s="243"/>
      <c r="M734" s="234"/>
      <c r="N734" s="235"/>
      <c r="O734" s="236"/>
      <c r="P734" s="236"/>
      <c r="Q734" s="236"/>
      <c r="R734" s="236"/>
      <c r="S734" s="236"/>
      <c r="T734" s="236"/>
      <c r="U734" s="236"/>
      <c r="V734" s="236"/>
      <c r="W734" s="244"/>
      <c r="X734" s="244"/>
      <c r="Y734" s="237"/>
      <c r="Z734" s="244"/>
      <c r="AA734" s="244"/>
      <c r="AB734" s="244"/>
      <c r="AC734" s="244"/>
      <c r="AD734" s="234"/>
      <c r="AE734" s="234"/>
      <c r="AF734" s="238"/>
      <c r="AG734" s="239"/>
      <c r="AH734" s="238"/>
      <c r="AI734" s="238"/>
      <c r="AJ734" s="234"/>
      <c r="AK734" s="234"/>
      <c r="AL734" s="234"/>
      <c r="AM734" s="234"/>
      <c r="AN734" s="234"/>
      <c r="AO734" s="234"/>
    </row>
    <row r="735" ht="15.75" customHeight="1">
      <c r="A735" s="91"/>
      <c r="B735" s="91"/>
      <c r="C735" s="220"/>
      <c r="D735" s="91"/>
      <c r="E735" s="221"/>
      <c r="F735" s="91"/>
      <c r="G735" s="91"/>
      <c r="H735" s="242"/>
      <c r="I735" s="223"/>
      <c r="J735" s="57"/>
      <c r="K735" s="153"/>
      <c r="L735" s="243"/>
      <c r="M735" s="234"/>
      <c r="N735" s="235"/>
      <c r="O735" s="236"/>
      <c r="P735" s="236"/>
      <c r="Q735" s="236"/>
      <c r="R735" s="236"/>
      <c r="S735" s="236"/>
      <c r="T735" s="236"/>
      <c r="U735" s="236"/>
      <c r="V735" s="236"/>
      <c r="W735" s="244"/>
      <c r="X735" s="244"/>
      <c r="Y735" s="237"/>
      <c r="Z735" s="244"/>
      <c r="AA735" s="244"/>
      <c r="AB735" s="244"/>
      <c r="AC735" s="244"/>
      <c r="AD735" s="234"/>
      <c r="AE735" s="234"/>
      <c r="AF735" s="238"/>
      <c r="AG735" s="239"/>
      <c r="AH735" s="238"/>
      <c r="AI735" s="238"/>
      <c r="AJ735" s="234"/>
      <c r="AK735" s="234"/>
      <c r="AL735" s="234"/>
      <c r="AM735" s="234"/>
      <c r="AN735" s="234"/>
      <c r="AO735" s="234"/>
    </row>
    <row r="736" ht="15.75" customHeight="1">
      <c r="A736" s="91"/>
      <c r="B736" s="91"/>
      <c r="C736" s="220"/>
      <c r="D736" s="91"/>
      <c r="E736" s="221"/>
      <c r="F736" s="91"/>
      <c r="G736" s="91"/>
      <c r="H736" s="242"/>
      <c r="I736" s="223"/>
      <c r="J736" s="57"/>
      <c r="K736" s="153"/>
      <c r="L736" s="243"/>
      <c r="M736" s="234"/>
      <c r="N736" s="235"/>
      <c r="O736" s="236"/>
      <c r="P736" s="236"/>
      <c r="Q736" s="236"/>
      <c r="R736" s="236"/>
      <c r="S736" s="236"/>
      <c r="T736" s="236"/>
      <c r="U736" s="236"/>
      <c r="V736" s="236"/>
      <c r="W736" s="244"/>
      <c r="X736" s="244"/>
      <c r="Y736" s="237"/>
      <c r="Z736" s="244"/>
      <c r="AA736" s="244"/>
      <c r="AB736" s="244"/>
      <c r="AC736" s="244"/>
      <c r="AD736" s="234"/>
      <c r="AE736" s="234"/>
      <c r="AF736" s="238"/>
      <c r="AG736" s="239"/>
      <c r="AH736" s="238"/>
      <c r="AI736" s="238"/>
      <c r="AJ736" s="234"/>
      <c r="AK736" s="234"/>
      <c r="AL736" s="234"/>
      <c r="AM736" s="234"/>
      <c r="AN736" s="234"/>
      <c r="AO736" s="234"/>
    </row>
    <row r="737" ht="15.75" customHeight="1">
      <c r="A737" s="91"/>
      <c r="B737" s="91"/>
      <c r="C737" s="220"/>
      <c r="D737" s="91"/>
      <c r="E737" s="221"/>
      <c r="F737" s="91"/>
      <c r="G737" s="91"/>
      <c r="H737" s="242"/>
      <c r="I737" s="223"/>
      <c r="J737" s="57"/>
      <c r="K737" s="153"/>
      <c r="L737" s="243"/>
      <c r="M737" s="234"/>
      <c r="N737" s="235"/>
      <c r="O737" s="236"/>
      <c r="P737" s="236"/>
      <c r="Q737" s="236"/>
      <c r="R737" s="236"/>
      <c r="S737" s="236"/>
      <c r="T737" s="236"/>
      <c r="U737" s="236"/>
      <c r="V737" s="236"/>
      <c r="W737" s="244"/>
      <c r="X737" s="244"/>
      <c r="Y737" s="237"/>
      <c r="Z737" s="244"/>
      <c r="AA737" s="244"/>
      <c r="AB737" s="244"/>
      <c r="AC737" s="244"/>
      <c r="AD737" s="234"/>
      <c r="AE737" s="234"/>
      <c r="AF737" s="238"/>
      <c r="AG737" s="239"/>
      <c r="AH737" s="238"/>
      <c r="AI737" s="238"/>
      <c r="AJ737" s="234"/>
      <c r="AK737" s="234"/>
      <c r="AL737" s="234"/>
      <c r="AM737" s="234"/>
      <c r="AN737" s="234"/>
      <c r="AO737" s="234"/>
    </row>
    <row r="738" ht="15.75" customHeight="1">
      <c r="A738" s="91"/>
      <c r="B738" s="91"/>
      <c r="C738" s="220"/>
      <c r="D738" s="91"/>
      <c r="E738" s="221"/>
      <c r="F738" s="91"/>
      <c r="G738" s="91"/>
      <c r="H738" s="242"/>
      <c r="I738" s="223"/>
      <c r="J738" s="57"/>
      <c r="K738" s="153"/>
      <c r="L738" s="243"/>
      <c r="M738" s="234"/>
      <c r="N738" s="235"/>
      <c r="O738" s="236"/>
      <c r="P738" s="236"/>
      <c r="Q738" s="236"/>
      <c r="R738" s="236"/>
      <c r="S738" s="236"/>
      <c r="T738" s="236"/>
      <c r="U738" s="236"/>
      <c r="V738" s="236"/>
      <c r="W738" s="244"/>
      <c r="X738" s="244"/>
      <c r="Y738" s="237"/>
      <c r="Z738" s="244"/>
      <c r="AA738" s="244"/>
      <c r="AB738" s="244"/>
      <c r="AC738" s="244"/>
      <c r="AD738" s="234"/>
      <c r="AE738" s="234"/>
      <c r="AF738" s="238"/>
      <c r="AG738" s="239"/>
      <c r="AH738" s="238"/>
      <c r="AI738" s="238"/>
      <c r="AJ738" s="234"/>
      <c r="AK738" s="234"/>
      <c r="AL738" s="234"/>
      <c r="AM738" s="234"/>
      <c r="AN738" s="234"/>
      <c r="AO738" s="234"/>
    </row>
    <row r="739" ht="15.75" customHeight="1">
      <c r="A739" s="91"/>
      <c r="B739" s="91"/>
      <c r="C739" s="220"/>
      <c r="D739" s="91"/>
      <c r="E739" s="221"/>
      <c r="F739" s="91"/>
      <c r="G739" s="91"/>
      <c r="H739" s="242"/>
      <c r="I739" s="223"/>
      <c r="J739" s="57"/>
      <c r="K739" s="153"/>
      <c r="L739" s="243"/>
      <c r="M739" s="234"/>
      <c r="N739" s="235"/>
      <c r="O739" s="236"/>
      <c r="P739" s="236"/>
      <c r="Q739" s="236"/>
      <c r="R739" s="236"/>
      <c r="S739" s="236"/>
      <c r="T739" s="236"/>
      <c r="U739" s="236"/>
      <c r="V739" s="236"/>
      <c r="W739" s="244"/>
      <c r="X739" s="244"/>
      <c r="Y739" s="237"/>
      <c r="Z739" s="244"/>
      <c r="AA739" s="244"/>
      <c r="AB739" s="244"/>
      <c r="AC739" s="244"/>
      <c r="AD739" s="234"/>
      <c r="AE739" s="234"/>
      <c r="AF739" s="238"/>
      <c r="AG739" s="239"/>
      <c r="AH739" s="238"/>
      <c r="AI739" s="238"/>
      <c r="AJ739" s="234"/>
      <c r="AK739" s="234"/>
      <c r="AL739" s="234"/>
      <c r="AM739" s="234"/>
      <c r="AN739" s="234"/>
      <c r="AO739" s="234"/>
    </row>
    <row r="740" ht="15.75" customHeight="1">
      <c r="A740" s="91"/>
      <c r="B740" s="91"/>
      <c r="C740" s="220"/>
      <c r="D740" s="91"/>
      <c r="E740" s="221"/>
      <c r="F740" s="91"/>
      <c r="G740" s="91"/>
      <c r="H740" s="242"/>
      <c r="I740" s="223"/>
      <c r="J740" s="57"/>
      <c r="K740" s="153"/>
      <c r="L740" s="243"/>
      <c r="M740" s="234"/>
      <c r="N740" s="235"/>
      <c r="O740" s="236"/>
      <c r="P740" s="236"/>
      <c r="Q740" s="236"/>
      <c r="R740" s="236"/>
      <c r="S740" s="236"/>
      <c r="T740" s="236"/>
      <c r="U740" s="236"/>
      <c r="V740" s="236"/>
      <c r="W740" s="244"/>
      <c r="X740" s="244"/>
      <c r="Y740" s="237"/>
      <c r="Z740" s="244"/>
      <c r="AA740" s="244"/>
      <c r="AB740" s="244"/>
      <c r="AC740" s="244"/>
      <c r="AD740" s="234"/>
      <c r="AE740" s="234"/>
      <c r="AF740" s="238"/>
      <c r="AG740" s="239"/>
      <c r="AH740" s="238"/>
      <c r="AI740" s="238"/>
      <c r="AJ740" s="234"/>
      <c r="AK740" s="234"/>
      <c r="AL740" s="234"/>
      <c r="AM740" s="234"/>
      <c r="AN740" s="234"/>
      <c r="AO740" s="234"/>
    </row>
    <row r="741" ht="15.75" customHeight="1">
      <c r="A741" s="91"/>
      <c r="B741" s="91"/>
      <c r="C741" s="220"/>
      <c r="D741" s="91"/>
      <c r="E741" s="221"/>
      <c r="F741" s="91"/>
      <c r="G741" s="91"/>
      <c r="H741" s="242"/>
      <c r="I741" s="223"/>
      <c r="J741" s="57"/>
      <c r="K741" s="153"/>
      <c r="L741" s="243"/>
      <c r="M741" s="234"/>
      <c r="N741" s="235"/>
      <c r="O741" s="236"/>
      <c r="P741" s="236"/>
      <c r="Q741" s="236"/>
      <c r="R741" s="236"/>
      <c r="S741" s="236"/>
      <c r="T741" s="236"/>
      <c r="U741" s="236"/>
      <c r="V741" s="236"/>
      <c r="W741" s="244"/>
      <c r="X741" s="244"/>
      <c r="Y741" s="237"/>
      <c r="Z741" s="244"/>
      <c r="AA741" s="244"/>
      <c r="AB741" s="244"/>
      <c r="AC741" s="244"/>
      <c r="AD741" s="234"/>
      <c r="AE741" s="234"/>
      <c r="AF741" s="238"/>
      <c r="AG741" s="239"/>
      <c r="AH741" s="238"/>
      <c r="AI741" s="238"/>
      <c r="AJ741" s="234"/>
      <c r="AK741" s="234"/>
      <c r="AL741" s="234"/>
      <c r="AM741" s="234"/>
      <c r="AN741" s="234"/>
      <c r="AO741" s="234"/>
    </row>
    <row r="742" ht="15.75" customHeight="1">
      <c r="A742" s="91"/>
      <c r="B742" s="91"/>
      <c r="C742" s="220"/>
      <c r="D742" s="91"/>
      <c r="E742" s="221"/>
      <c r="F742" s="91"/>
      <c r="G742" s="91"/>
      <c r="H742" s="242"/>
      <c r="I742" s="223"/>
      <c r="J742" s="57"/>
      <c r="K742" s="153"/>
      <c r="L742" s="243"/>
      <c r="M742" s="234"/>
      <c r="N742" s="235"/>
      <c r="O742" s="236"/>
      <c r="P742" s="236"/>
      <c r="Q742" s="236"/>
      <c r="R742" s="236"/>
      <c r="S742" s="236"/>
      <c r="T742" s="236"/>
      <c r="U742" s="236"/>
      <c r="V742" s="236"/>
      <c r="W742" s="244"/>
      <c r="X742" s="244"/>
      <c r="Y742" s="237"/>
      <c r="Z742" s="244"/>
      <c r="AA742" s="244"/>
      <c r="AB742" s="244"/>
      <c r="AC742" s="244"/>
      <c r="AD742" s="234"/>
      <c r="AE742" s="234"/>
      <c r="AF742" s="238"/>
      <c r="AG742" s="239"/>
      <c r="AH742" s="238"/>
      <c r="AI742" s="238"/>
      <c r="AJ742" s="234"/>
      <c r="AK742" s="234"/>
      <c r="AL742" s="234"/>
      <c r="AM742" s="234"/>
      <c r="AN742" s="234"/>
      <c r="AO742" s="234"/>
    </row>
    <row r="743" ht="15.75" customHeight="1">
      <c r="A743" s="91"/>
      <c r="B743" s="91"/>
      <c r="C743" s="220"/>
      <c r="D743" s="91"/>
      <c r="E743" s="221"/>
      <c r="F743" s="91"/>
      <c r="G743" s="91"/>
      <c r="H743" s="242"/>
      <c r="I743" s="223"/>
      <c r="J743" s="57"/>
      <c r="K743" s="153"/>
      <c r="L743" s="243"/>
      <c r="M743" s="234"/>
      <c r="N743" s="235"/>
      <c r="O743" s="236"/>
      <c r="P743" s="236"/>
      <c r="Q743" s="236"/>
      <c r="R743" s="236"/>
      <c r="S743" s="236"/>
      <c r="T743" s="236"/>
      <c r="U743" s="236"/>
      <c r="V743" s="236"/>
      <c r="W743" s="244"/>
      <c r="X743" s="244"/>
      <c r="Y743" s="237"/>
      <c r="Z743" s="244"/>
      <c r="AA743" s="244"/>
      <c r="AB743" s="244"/>
      <c r="AC743" s="244"/>
      <c r="AD743" s="234"/>
      <c r="AE743" s="234"/>
      <c r="AF743" s="238"/>
      <c r="AG743" s="239"/>
      <c r="AH743" s="238"/>
      <c r="AI743" s="238"/>
      <c r="AJ743" s="234"/>
      <c r="AK743" s="234"/>
      <c r="AL743" s="234"/>
      <c r="AM743" s="234"/>
      <c r="AN743" s="234"/>
      <c r="AO743" s="234"/>
    </row>
    <row r="744" ht="15.75" customHeight="1">
      <c r="A744" s="91"/>
      <c r="B744" s="91"/>
      <c r="C744" s="220"/>
      <c r="D744" s="91"/>
      <c r="E744" s="221"/>
      <c r="F744" s="91"/>
      <c r="G744" s="91"/>
      <c r="H744" s="242"/>
      <c r="I744" s="223"/>
      <c r="J744" s="57"/>
      <c r="K744" s="153"/>
      <c r="L744" s="243"/>
      <c r="M744" s="234"/>
      <c r="N744" s="235"/>
      <c r="O744" s="236"/>
      <c r="P744" s="236"/>
      <c r="Q744" s="236"/>
      <c r="R744" s="236"/>
      <c r="S744" s="236"/>
      <c r="T744" s="236"/>
      <c r="U744" s="236"/>
      <c r="V744" s="236"/>
      <c r="W744" s="244"/>
      <c r="X744" s="244"/>
      <c r="Y744" s="237"/>
      <c r="Z744" s="244"/>
      <c r="AA744" s="244"/>
      <c r="AB744" s="244"/>
      <c r="AC744" s="244"/>
      <c r="AD744" s="234"/>
      <c r="AE744" s="234"/>
      <c r="AF744" s="238"/>
      <c r="AG744" s="239"/>
      <c r="AH744" s="238"/>
      <c r="AI744" s="238"/>
      <c r="AJ744" s="234"/>
      <c r="AK744" s="234"/>
      <c r="AL744" s="234"/>
      <c r="AM744" s="234"/>
      <c r="AN744" s="234"/>
      <c r="AO744" s="234"/>
    </row>
    <row r="745" ht="15.75" customHeight="1">
      <c r="A745" s="91"/>
      <c r="B745" s="91"/>
      <c r="C745" s="220"/>
      <c r="D745" s="91"/>
      <c r="E745" s="221"/>
      <c r="F745" s="91"/>
      <c r="G745" s="91"/>
      <c r="H745" s="242"/>
      <c r="I745" s="223"/>
      <c r="J745" s="57"/>
      <c r="K745" s="153"/>
      <c r="L745" s="243"/>
      <c r="M745" s="234"/>
      <c r="N745" s="235"/>
      <c r="O745" s="236"/>
      <c r="P745" s="236"/>
      <c r="Q745" s="236"/>
      <c r="R745" s="236"/>
      <c r="S745" s="236"/>
      <c r="T745" s="236"/>
      <c r="U745" s="236"/>
      <c r="V745" s="236"/>
      <c r="W745" s="244"/>
      <c r="X745" s="244"/>
      <c r="Y745" s="237"/>
      <c r="Z745" s="244"/>
      <c r="AA745" s="244"/>
      <c r="AB745" s="244"/>
      <c r="AC745" s="244"/>
      <c r="AD745" s="234"/>
      <c r="AE745" s="234"/>
      <c r="AF745" s="238"/>
      <c r="AG745" s="239"/>
      <c r="AH745" s="238"/>
      <c r="AI745" s="238"/>
      <c r="AJ745" s="234"/>
      <c r="AK745" s="234"/>
      <c r="AL745" s="234"/>
      <c r="AM745" s="234"/>
      <c r="AN745" s="234"/>
      <c r="AO745" s="234"/>
    </row>
    <row r="746" ht="15.75" customHeight="1">
      <c r="A746" s="91"/>
      <c r="B746" s="91"/>
      <c r="C746" s="220"/>
      <c r="D746" s="91"/>
      <c r="E746" s="221"/>
      <c r="F746" s="91"/>
      <c r="G746" s="91"/>
      <c r="H746" s="242"/>
      <c r="I746" s="223"/>
      <c r="J746" s="57"/>
      <c r="K746" s="153"/>
      <c r="L746" s="243"/>
      <c r="M746" s="234"/>
      <c r="N746" s="235"/>
      <c r="O746" s="236"/>
      <c r="P746" s="236"/>
      <c r="Q746" s="236"/>
      <c r="R746" s="236"/>
      <c r="S746" s="236"/>
      <c r="T746" s="236"/>
      <c r="U746" s="236"/>
      <c r="V746" s="236"/>
      <c r="W746" s="244"/>
      <c r="X746" s="244"/>
      <c r="Y746" s="237"/>
      <c r="Z746" s="244"/>
      <c r="AA746" s="244"/>
      <c r="AB746" s="244"/>
      <c r="AC746" s="244"/>
      <c r="AD746" s="234"/>
      <c r="AE746" s="234"/>
      <c r="AF746" s="238"/>
      <c r="AG746" s="239"/>
      <c r="AH746" s="238"/>
      <c r="AI746" s="238"/>
      <c r="AJ746" s="234"/>
      <c r="AK746" s="234"/>
      <c r="AL746" s="234"/>
      <c r="AM746" s="234"/>
      <c r="AN746" s="234"/>
      <c r="AO746" s="234"/>
    </row>
    <row r="747" ht="15.75" customHeight="1">
      <c r="A747" s="91"/>
      <c r="B747" s="91"/>
      <c r="C747" s="220"/>
      <c r="D747" s="91"/>
      <c r="E747" s="221"/>
      <c r="F747" s="91"/>
      <c r="G747" s="91"/>
      <c r="H747" s="242"/>
      <c r="I747" s="223"/>
      <c r="J747" s="57"/>
      <c r="K747" s="153"/>
      <c r="L747" s="243"/>
      <c r="M747" s="234"/>
      <c r="N747" s="235"/>
      <c r="O747" s="236"/>
      <c r="P747" s="236"/>
      <c r="Q747" s="236"/>
      <c r="R747" s="236"/>
      <c r="S747" s="236"/>
      <c r="T747" s="236"/>
      <c r="U747" s="236"/>
      <c r="V747" s="236"/>
      <c r="W747" s="244"/>
      <c r="X747" s="244"/>
      <c r="Y747" s="237"/>
      <c r="Z747" s="244"/>
      <c r="AA747" s="244"/>
      <c r="AB747" s="244"/>
      <c r="AC747" s="244"/>
      <c r="AD747" s="234"/>
      <c r="AE747" s="234"/>
      <c r="AF747" s="238"/>
      <c r="AG747" s="239"/>
      <c r="AH747" s="238"/>
      <c r="AI747" s="238"/>
      <c r="AJ747" s="234"/>
      <c r="AK747" s="234"/>
      <c r="AL747" s="234"/>
      <c r="AM747" s="234"/>
      <c r="AN747" s="234"/>
      <c r="AO747" s="234"/>
    </row>
    <row r="748" ht="15.75" customHeight="1">
      <c r="A748" s="91"/>
      <c r="B748" s="91"/>
      <c r="C748" s="220"/>
      <c r="D748" s="91"/>
      <c r="E748" s="221"/>
      <c r="F748" s="91"/>
      <c r="G748" s="91"/>
      <c r="H748" s="242"/>
      <c r="I748" s="223"/>
      <c r="J748" s="57"/>
      <c r="K748" s="153"/>
      <c r="L748" s="243"/>
      <c r="M748" s="234"/>
      <c r="N748" s="235"/>
      <c r="O748" s="236"/>
      <c r="P748" s="236"/>
      <c r="Q748" s="236"/>
      <c r="R748" s="236"/>
      <c r="S748" s="236"/>
      <c r="T748" s="236"/>
      <c r="U748" s="236"/>
      <c r="V748" s="236"/>
      <c r="W748" s="244"/>
      <c r="X748" s="244"/>
      <c r="Y748" s="237"/>
      <c r="Z748" s="244"/>
      <c r="AA748" s="244"/>
      <c r="AB748" s="244"/>
      <c r="AC748" s="244"/>
      <c r="AD748" s="234"/>
      <c r="AE748" s="234"/>
      <c r="AF748" s="238"/>
      <c r="AG748" s="239"/>
      <c r="AH748" s="238"/>
      <c r="AI748" s="238"/>
      <c r="AJ748" s="234"/>
      <c r="AK748" s="234"/>
      <c r="AL748" s="234"/>
      <c r="AM748" s="234"/>
      <c r="AN748" s="234"/>
      <c r="AO748" s="234"/>
    </row>
    <row r="749" ht="15.75" customHeight="1">
      <c r="A749" s="91"/>
      <c r="B749" s="91"/>
      <c r="C749" s="220"/>
      <c r="D749" s="91"/>
      <c r="E749" s="221"/>
      <c r="F749" s="91"/>
      <c r="G749" s="91"/>
      <c r="H749" s="242"/>
      <c r="I749" s="223"/>
      <c r="J749" s="57"/>
      <c r="K749" s="153"/>
      <c r="L749" s="243"/>
      <c r="M749" s="234"/>
      <c r="N749" s="235"/>
      <c r="O749" s="236"/>
      <c r="P749" s="236"/>
      <c r="Q749" s="236"/>
      <c r="R749" s="236"/>
      <c r="S749" s="236"/>
      <c r="T749" s="236"/>
      <c r="U749" s="236"/>
      <c r="V749" s="236"/>
      <c r="W749" s="244"/>
      <c r="X749" s="244"/>
      <c r="Y749" s="237"/>
      <c r="Z749" s="244"/>
      <c r="AA749" s="244"/>
      <c r="AB749" s="244"/>
      <c r="AC749" s="244"/>
      <c r="AD749" s="234"/>
      <c r="AE749" s="234"/>
      <c r="AF749" s="238"/>
      <c r="AG749" s="239"/>
      <c r="AH749" s="238"/>
      <c r="AI749" s="238"/>
      <c r="AJ749" s="234"/>
      <c r="AK749" s="234"/>
      <c r="AL749" s="234"/>
      <c r="AM749" s="234"/>
      <c r="AN749" s="234"/>
      <c r="AO749" s="234"/>
    </row>
    <row r="750" ht="15.75" customHeight="1">
      <c r="A750" s="91"/>
      <c r="B750" s="91"/>
      <c r="C750" s="220"/>
      <c r="D750" s="91"/>
      <c r="E750" s="221"/>
      <c r="F750" s="91"/>
      <c r="G750" s="91"/>
      <c r="H750" s="242"/>
      <c r="I750" s="223"/>
      <c r="J750" s="57"/>
      <c r="K750" s="153"/>
      <c r="L750" s="243"/>
      <c r="M750" s="234"/>
      <c r="N750" s="235"/>
      <c r="O750" s="236"/>
      <c r="P750" s="236"/>
      <c r="Q750" s="236"/>
      <c r="R750" s="236"/>
      <c r="S750" s="236"/>
      <c r="T750" s="236"/>
      <c r="U750" s="236"/>
      <c r="V750" s="236"/>
      <c r="W750" s="244"/>
      <c r="X750" s="244"/>
      <c r="Y750" s="237"/>
      <c r="Z750" s="244"/>
      <c r="AA750" s="244"/>
      <c r="AB750" s="244"/>
      <c r="AC750" s="244"/>
      <c r="AD750" s="234"/>
      <c r="AE750" s="234"/>
      <c r="AF750" s="238"/>
      <c r="AG750" s="239"/>
      <c r="AH750" s="238"/>
      <c r="AI750" s="238"/>
      <c r="AJ750" s="234"/>
      <c r="AK750" s="234"/>
      <c r="AL750" s="234"/>
      <c r="AM750" s="234"/>
      <c r="AN750" s="234"/>
      <c r="AO750" s="234"/>
    </row>
    <row r="751" ht="15.75" customHeight="1">
      <c r="A751" s="91"/>
      <c r="B751" s="91"/>
      <c r="C751" s="220"/>
      <c r="D751" s="91"/>
      <c r="E751" s="221"/>
      <c r="F751" s="91"/>
      <c r="G751" s="91"/>
      <c r="H751" s="242"/>
      <c r="I751" s="223"/>
      <c r="J751" s="57"/>
      <c r="K751" s="153"/>
      <c r="L751" s="243"/>
      <c r="M751" s="234"/>
      <c r="N751" s="235"/>
      <c r="O751" s="236"/>
      <c r="P751" s="236"/>
      <c r="Q751" s="236"/>
      <c r="R751" s="236"/>
      <c r="S751" s="236"/>
      <c r="T751" s="236"/>
      <c r="U751" s="236"/>
      <c r="V751" s="236"/>
      <c r="W751" s="244"/>
      <c r="X751" s="244"/>
      <c r="Y751" s="237"/>
      <c r="Z751" s="244"/>
      <c r="AA751" s="244"/>
      <c r="AB751" s="244"/>
      <c r="AC751" s="244"/>
      <c r="AD751" s="234"/>
      <c r="AE751" s="234"/>
      <c r="AF751" s="238"/>
      <c r="AG751" s="239"/>
      <c r="AH751" s="238"/>
      <c r="AI751" s="238"/>
      <c r="AJ751" s="234"/>
      <c r="AK751" s="234"/>
      <c r="AL751" s="234"/>
      <c r="AM751" s="234"/>
      <c r="AN751" s="234"/>
      <c r="AO751" s="234"/>
    </row>
    <row r="752" ht="15.75" customHeight="1">
      <c r="A752" s="91"/>
      <c r="B752" s="91"/>
      <c r="C752" s="220"/>
      <c r="D752" s="91"/>
      <c r="E752" s="221"/>
      <c r="F752" s="91"/>
      <c r="G752" s="91"/>
      <c r="H752" s="242"/>
      <c r="I752" s="223"/>
      <c r="J752" s="57"/>
      <c r="K752" s="153"/>
      <c r="L752" s="243"/>
      <c r="M752" s="234"/>
      <c r="N752" s="235"/>
      <c r="O752" s="236"/>
      <c r="P752" s="236"/>
      <c r="Q752" s="236"/>
      <c r="R752" s="236"/>
      <c r="S752" s="236"/>
      <c r="T752" s="236"/>
      <c r="U752" s="236"/>
      <c r="V752" s="236"/>
      <c r="W752" s="244"/>
      <c r="X752" s="244"/>
      <c r="Y752" s="237"/>
      <c r="Z752" s="244"/>
      <c r="AA752" s="244"/>
      <c r="AB752" s="244"/>
      <c r="AC752" s="244"/>
      <c r="AD752" s="234"/>
      <c r="AE752" s="234"/>
      <c r="AF752" s="238"/>
      <c r="AG752" s="239"/>
      <c r="AH752" s="238"/>
      <c r="AI752" s="238"/>
      <c r="AJ752" s="234"/>
      <c r="AK752" s="234"/>
      <c r="AL752" s="234"/>
      <c r="AM752" s="234"/>
      <c r="AN752" s="234"/>
      <c r="AO752" s="234"/>
    </row>
    <row r="753" ht="15.75" customHeight="1">
      <c r="A753" s="91"/>
      <c r="B753" s="91"/>
      <c r="C753" s="220"/>
      <c r="D753" s="91"/>
      <c r="E753" s="221"/>
      <c r="F753" s="91"/>
      <c r="G753" s="91"/>
      <c r="H753" s="242"/>
      <c r="I753" s="223"/>
      <c r="J753" s="57"/>
      <c r="K753" s="153"/>
      <c r="L753" s="243"/>
      <c r="M753" s="234"/>
      <c r="N753" s="235"/>
      <c r="O753" s="236"/>
      <c r="P753" s="236"/>
      <c r="Q753" s="236"/>
      <c r="R753" s="236"/>
      <c r="S753" s="236"/>
      <c r="T753" s="236"/>
      <c r="U753" s="236"/>
      <c r="V753" s="236"/>
      <c r="W753" s="244"/>
      <c r="X753" s="244"/>
      <c r="Y753" s="237"/>
      <c r="Z753" s="244"/>
      <c r="AA753" s="244"/>
      <c r="AB753" s="244"/>
      <c r="AC753" s="244"/>
      <c r="AD753" s="234"/>
      <c r="AE753" s="234"/>
      <c r="AF753" s="238"/>
      <c r="AG753" s="239"/>
      <c r="AH753" s="238"/>
      <c r="AI753" s="238"/>
      <c r="AJ753" s="234"/>
      <c r="AK753" s="234"/>
      <c r="AL753" s="234"/>
      <c r="AM753" s="234"/>
      <c r="AN753" s="234"/>
      <c r="AO753" s="234"/>
    </row>
    <row r="754" ht="15.75" customHeight="1">
      <c r="A754" s="91"/>
      <c r="B754" s="91"/>
      <c r="C754" s="220"/>
      <c r="D754" s="91"/>
      <c r="E754" s="221"/>
      <c r="F754" s="91"/>
      <c r="G754" s="91"/>
      <c r="H754" s="242"/>
      <c r="I754" s="223"/>
      <c r="J754" s="57"/>
      <c r="K754" s="153"/>
      <c r="L754" s="243"/>
      <c r="M754" s="234"/>
      <c r="N754" s="235"/>
      <c r="O754" s="236"/>
      <c r="P754" s="236"/>
      <c r="Q754" s="236"/>
      <c r="R754" s="236"/>
      <c r="S754" s="236"/>
      <c r="T754" s="236"/>
      <c r="U754" s="236"/>
      <c r="V754" s="236"/>
      <c r="W754" s="244"/>
      <c r="X754" s="244"/>
      <c r="Y754" s="237"/>
      <c r="Z754" s="244"/>
      <c r="AA754" s="244"/>
      <c r="AB754" s="244"/>
      <c r="AC754" s="244"/>
      <c r="AD754" s="234"/>
      <c r="AE754" s="234"/>
      <c r="AF754" s="238"/>
      <c r="AG754" s="239"/>
      <c r="AH754" s="238"/>
      <c r="AI754" s="238"/>
      <c r="AJ754" s="234"/>
      <c r="AK754" s="234"/>
      <c r="AL754" s="234"/>
      <c r="AM754" s="234"/>
      <c r="AN754" s="234"/>
      <c r="AO754" s="234"/>
    </row>
    <row r="755" ht="15.75" customHeight="1">
      <c r="A755" s="91"/>
      <c r="B755" s="91"/>
      <c r="C755" s="220"/>
      <c r="D755" s="91"/>
      <c r="E755" s="221"/>
      <c r="F755" s="91"/>
      <c r="G755" s="91"/>
      <c r="H755" s="242"/>
      <c r="I755" s="223"/>
      <c r="J755" s="57"/>
      <c r="K755" s="153"/>
      <c r="L755" s="243"/>
      <c r="M755" s="234"/>
      <c r="N755" s="235"/>
      <c r="O755" s="236"/>
      <c r="P755" s="236"/>
      <c r="Q755" s="236"/>
      <c r="R755" s="236"/>
      <c r="S755" s="236"/>
      <c r="T755" s="236"/>
      <c r="U755" s="236"/>
      <c r="V755" s="236"/>
      <c r="W755" s="244"/>
      <c r="X755" s="244"/>
      <c r="Y755" s="237"/>
      <c r="Z755" s="244"/>
      <c r="AA755" s="244"/>
      <c r="AB755" s="244"/>
      <c r="AC755" s="244"/>
      <c r="AD755" s="234"/>
      <c r="AE755" s="234"/>
      <c r="AF755" s="238"/>
      <c r="AG755" s="239"/>
      <c r="AH755" s="238"/>
      <c r="AI755" s="238"/>
      <c r="AJ755" s="234"/>
      <c r="AK755" s="234"/>
      <c r="AL755" s="234"/>
      <c r="AM755" s="234"/>
      <c r="AN755" s="234"/>
      <c r="AO755" s="234"/>
    </row>
    <row r="756" ht="15.75" customHeight="1">
      <c r="A756" s="91"/>
      <c r="B756" s="91"/>
      <c r="C756" s="220"/>
      <c r="D756" s="91"/>
      <c r="E756" s="221"/>
      <c r="F756" s="91"/>
      <c r="G756" s="91"/>
      <c r="H756" s="242"/>
      <c r="I756" s="223"/>
      <c r="J756" s="57"/>
      <c r="K756" s="153"/>
      <c r="L756" s="243"/>
      <c r="M756" s="234"/>
      <c r="N756" s="235"/>
      <c r="O756" s="236"/>
      <c r="P756" s="236"/>
      <c r="Q756" s="236"/>
      <c r="R756" s="236"/>
      <c r="S756" s="236"/>
      <c r="T756" s="236"/>
      <c r="U756" s="236"/>
      <c r="V756" s="236"/>
      <c r="W756" s="244"/>
      <c r="X756" s="244"/>
      <c r="Y756" s="237"/>
      <c r="Z756" s="244"/>
      <c r="AA756" s="244"/>
      <c r="AB756" s="244"/>
      <c r="AC756" s="244"/>
      <c r="AD756" s="234"/>
      <c r="AE756" s="234"/>
      <c r="AF756" s="238"/>
      <c r="AG756" s="239"/>
      <c r="AH756" s="238"/>
      <c r="AI756" s="238"/>
      <c r="AJ756" s="234"/>
      <c r="AK756" s="234"/>
      <c r="AL756" s="234"/>
      <c r="AM756" s="234"/>
      <c r="AN756" s="234"/>
      <c r="AO756" s="234"/>
    </row>
    <row r="757" ht="15.75" customHeight="1">
      <c r="A757" s="91"/>
      <c r="B757" s="91"/>
      <c r="C757" s="220"/>
      <c r="D757" s="91"/>
      <c r="E757" s="221"/>
      <c r="F757" s="91"/>
      <c r="G757" s="91"/>
      <c r="H757" s="242"/>
      <c r="I757" s="223"/>
      <c r="J757" s="57"/>
      <c r="K757" s="153"/>
      <c r="L757" s="243"/>
      <c r="M757" s="234"/>
      <c r="N757" s="235"/>
      <c r="O757" s="236"/>
      <c r="P757" s="236"/>
      <c r="Q757" s="236"/>
      <c r="R757" s="236"/>
      <c r="S757" s="236"/>
      <c r="T757" s="236"/>
      <c r="U757" s="236"/>
      <c r="V757" s="236"/>
      <c r="W757" s="244"/>
      <c r="X757" s="244"/>
      <c r="Y757" s="237"/>
      <c r="Z757" s="244"/>
      <c r="AA757" s="244"/>
      <c r="AB757" s="244"/>
      <c r="AC757" s="244"/>
      <c r="AD757" s="234"/>
      <c r="AE757" s="234"/>
      <c r="AF757" s="238"/>
      <c r="AG757" s="239"/>
      <c r="AH757" s="238"/>
      <c r="AI757" s="238"/>
      <c r="AJ757" s="234"/>
      <c r="AK757" s="234"/>
      <c r="AL757" s="234"/>
      <c r="AM757" s="234"/>
      <c r="AN757" s="234"/>
      <c r="AO757" s="234"/>
    </row>
    <row r="758" ht="15.75" customHeight="1">
      <c r="A758" s="91"/>
      <c r="B758" s="91"/>
      <c r="C758" s="220"/>
      <c r="D758" s="91"/>
      <c r="E758" s="221"/>
      <c r="F758" s="91"/>
      <c r="G758" s="91"/>
      <c r="H758" s="242"/>
      <c r="I758" s="223"/>
      <c r="J758" s="57"/>
      <c r="K758" s="153"/>
      <c r="L758" s="243"/>
      <c r="M758" s="234"/>
      <c r="N758" s="235"/>
      <c r="O758" s="236"/>
      <c r="P758" s="236"/>
      <c r="Q758" s="236"/>
      <c r="R758" s="236"/>
      <c r="S758" s="236"/>
      <c r="T758" s="236"/>
      <c r="U758" s="236"/>
      <c r="V758" s="236"/>
      <c r="W758" s="244"/>
      <c r="X758" s="244"/>
      <c r="Y758" s="237"/>
      <c r="Z758" s="244"/>
      <c r="AA758" s="244"/>
      <c r="AB758" s="244"/>
      <c r="AC758" s="244"/>
      <c r="AD758" s="234"/>
      <c r="AE758" s="234"/>
      <c r="AF758" s="238"/>
      <c r="AG758" s="239"/>
      <c r="AH758" s="238"/>
      <c r="AI758" s="238"/>
      <c r="AJ758" s="234"/>
      <c r="AK758" s="234"/>
      <c r="AL758" s="234"/>
      <c r="AM758" s="234"/>
      <c r="AN758" s="234"/>
      <c r="AO758" s="234"/>
    </row>
    <row r="759" ht="15.75" customHeight="1">
      <c r="A759" s="91"/>
      <c r="B759" s="91"/>
      <c r="C759" s="220"/>
      <c r="D759" s="91"/>
      <c r="E759" s="221"/>
      <c r="F759" s="91"/>
      <c r="G759" s="91"/>
      <c r="H759" s="242"/>
      <c r="I759" s="223"/>
      <c r="J759" s="57"/>
      <c r="K759" s="153"/>
      <c r="L759" s="243"/>
      <c r="M759" s="234"/>
      <c r="N759" s="235"/>
      <c r="O759" s="236"/>
      <c r="P759" s="236"/>
      <c r="Q759" s="236"/>
      <c r="R759" s="236"/>
      <c r="S759" s="236"/>
      <c r="T759" s="236"/>
      <c r="U759" s="236"/>
      <c r="V759" s="236"/>
      <c r="W759" s="244"/>
      <c r="X759" s="244"/>
      <c r="Y759" s="237"/>
      <c r="Z759" s="244"/>
      <c r="AA759" s="244"/>
      <c r="AB759" s="244"/>
      <c r="AC759" s="244"/>
      <c r="AD759" s="234"/>
      <c r="AE759" s="234"/>
      <c r="AF759" s="238"/>
      <c r="AG759" s="239"/>
      <c r="AH759" s="238"/>
      <c r="AI759" s="238"/>
      <c r="AJ759" s="234"/>
      <c r="AK759" s="234"/>
      <c r="AL759" s="234"/>
      <c r="AM759" s="234"/>
      <c r="AN759" s="234"/>
      <c r="AO759" s="234"/>
    </row>
    <row r="760" ht="15.75" customHeight="1">
      <c r="A760" s="91"/>
      <c r="B760" s="91"/>
      <c r="C760" s="220"/>
      <c r="D760" s="91"/>
      <c r="E760" s="221"/>
      <c r="F760" s="91"/>
      <c r="G760" s="91"/>
      <c r="H760" s="242"/>
      <c r="I760" s="223"/>
      <c r="J760" s="57"/>
      <c r="K760" s="153"/>
      <c r="L760" s="243"/>
      <c r="M760" s="234"/>
      <c r="N760" s="235"/>
      <c r="O760" s="236"/>
      <c r="P760" s="236"/>
      <c r="Q760" s="236"/>
      <c r="R760" s="236"/>
      <c r="S760" s="236"/>
      <c r="T760" s="236"/>
      <c r="U760" s="236"/>
      <c r="V760" s="236"/>
      <c r="W760" s="244"/>
      <c r="X760" s="244"/>
      <c r="Y760" s="237"/>
      <c r="Z760" s="244"/>
      <c r="AA760" s="244"/>
      <c r="AB760" s="244"/>
      <c r="AC760" s="244"/>
      <c r="AD760" s="234"/>
      <c r="AE760" s="234"/>
      <c r="AF760" s="238"/>
      <c r="AG760" s="239"/>
      <c r="AH760" s="238"/>
      <c r="AI760" s="238"/>
      <c r="AJ760" s="234"/>
      <c r="AK760" s="234"/>
      <c r="AL760" s="234"/>
      <c r="AM760" s="234"/>
      <c r="AN760" s="234"/>
      <c r="AO760" s="234"/>
    </row>
    <row r="761" ht="15.75" customHeight="1">
      <c r="A761" s="91"/>
      <c r="B761" s="91"/>
      <c r="C761" s="220"/>
      <c r="D761" s="91"/>
      <c r="E761" s="221"/>
      <c r="F761" s="91"/>
      <c r="G761" s="91"/>
      <c r="H761" s="242"/>
      <c r="I761" s="223"/>
      <c r="J761" s="57"/>
      <c r="K761" s="153"/>
      <c r="L761" s="243"/>
      <c r="M761" s="234"/>
      <c r="N761" s="235"/>
      <c r="O761" s="236"/>
      <c r="P761" s="236"/>
      <c r="Q761" s="236"/>
      <c r="R761" s="236"/>
      <c r="S761" s="236"/>
      <c r="T761" s="236"/>
      <c r="U761" s="236"/>
      <c r="V761" s="236"/>
      <c r="W761" s="244"/>
      <c r="X761" s="244"/>
      <c r="Y761" s="237"/>
      <c r="Z761" s="244"/>
      <c r="AA761" s="244"/>
      <c r="AB761" s="244"/>
      <c r="AC761" s="244"/>
      <c r="AD761" s="234"/>
      <c r="AE761" s="234"/>
      <c r="AF761" s="238"/>
      <c r="AG761" s="239"/>
      <c r="AH761" s="238"/>
      <c r="AI761" s="238"/>
      <c r="AJ761" s="234"/>
      <c r="AK761" s="234"/>
      <c r="AL761" s="234"/>
      <c r="AM761" s="234"/>
      <c r="AN761" s="234"/>
      <c r="AO761" s="234"/>
    </row>
    <row r="762" ht="15.75" customHeight="1">
      <c r="A762" s="91"/>
      <c r="B762" s="91"/>
      <c r="C762" s="220"/>
      <c r="D762" s="91"/>
      <c r="E762" s="221"/>
      <c r="F762" s="91"/>
      <c r="G762" s="91"/>
      <c r="H762" s="242"/>
      <c r="I762" s="223"/>
      <c r="J762" s="57"/>
      <c r="K762" s="153"/>
      <c r="L762" s="243"/>
      <c r="M762" s="234"/>
      <c r="N762" s="235"/>
      <c r="O762" s="236"/>
      <c r="P762" s="236"/>
      <c r="Q762" s="236"/>
      <c r="R762" s="236"/>
      <c r="S762" s="236"/>
      <c r="T762" s="236"/>
      <c r="U762" s="236"/>
      <c r="V762" s="236"/>
      <c r="W762" s="244"/>
      <c r="X762" s="244"/>
      <c r="Y762" s="237"/>
      <c r="Z762" s="244"/>
      <c r="AA762" s="244"/>
      <c r="AB762" s="244"/>
      <c r="AC762" s="244"/>
      <c r="AD762" s="234"/>
      <c r="AE762" s="234"/>
      <c r="AF762" s="238"/>
      <c r="AG762" s="239"/>
      <c r="AH762" s="238"/>
      <c r="AI762" s="238"/>
      <c r="AJ762" s="234"/>
      <c r="AK762" s="234"/>
      <c r="AL762" s="234"/>
      <c r="AM762" s="234"/>
      <c r="AN762" s="234"/>
      <c r="AO762" s="234"/>
    </row>
    <row r="763" ht="15.75" customHeight="1">
      <c r="A763" s="91"/>
      <c r="B763" s="91"/>
      <c r="C763" s="220"/>
      <c r="D763" s="91"/>
      <c r="E763" s="221"/>
      <c r="F763" s="91"/>
      <c r="G763" s="91"/>
      <c r="H763" s="242"/>
      <c r="I763" s="223"/>
      <c r="J763" s="57"/>
      <c r="K763" s="153"/>
      <c r="L763" s="243"/>
      <c r="M763" s="234"/>
      <c r="N763" s="235"/>
      <c r="O763" s="236"/>
      <c r="P763" s="236"/>
      <c r="Q763" s="236"/>
      <c r="R763" s="236"/>
      <c r="S763" s="236"/>
      <c r="T763" s="236"/>
      <c r="U763" s="236"/>
      <c r="V763" s="236"/>
      <c r="W763" s="244"/>
      <c r="X763" s="244"/>
      <c r="Y763" s="237"/>
      <c r="Z763" s="244"/>
      <c r="AA763" s="244"/>
      <c r="AB763" s="244"/>
      <c r="AC763" s="244"/>
      <c r="AD763" s="234"/>
      <c r="AE763" s="234"/>
      <c r="AF763" s="238"/>
      <c r="AG763" s="239"/>
      <c r="AH763" s="238"/>
      <c r="AI763" s="238"/>
      <c r="AJ763" s="234"/>
      <c r="AK763" s="234"/>
      <c r="AL763" s="234"/>
      <c r="AM763" s="234"/>
      <c r="AN763" s="234"/>
      <c r="AO763" s="234"/>
    </row>
    <row r="764" ht="15.75" customHeight="1">
      <c r="A764" s="91"/>
      <c r="B764" s="91"/>
      <c r="C764" s="220"/>
      <c r="D764" s="91"/>
      <c r="E764" s="221"/>
      <c r="F764" s="91"/>
      <c r="G764" s="91"/>
      <c r="H764" s="242"/>
      <c r="I764" s="223"/>
      <c r="J764" s="57"/>
      <c r="K764" s="153"/>
      <c r="L764" s="243"/>
      <c r="M764" s="234"/>
      <c r="N764" s="235"/>
      <c r="O764" s="236"/>
      <c r="P764" s="236"/>
      <c r="Q764" s="236"/>
      <c r="R764" s="236"/>
      <c r="S764" s="236"/>
      <c r="T764" s="236"/>
      <c r="U764" s="236"/>
      <c r="V764" s="236"/>
      <c r="W764" s="244"/>
      <c r="X764" s="244"/>
      <c r="Y764" s="237"/>
      <c r="Z764" s="244"/>
      <c r="AA764" s="244"/>
      <c r="AB764" s="244"/>
      <c r="AC764" s="244"/>
      <c r="AD764" s="234"/>
      <c r="AE764" s="234"/>
      <c r="AF764" s="238"/>
      <c r="AG764" s="239"/>
      <c r="AH764" s="238"/>
      <c r="AI764" s="238"/>
      <c r="AJ764" s="234"/>
      <c r="AK764" s="234"/>
      <c r="AL764" s="234"/>
      <c r="AM764" s="234"/>
      <c r="AN764" s="234"/>
      <c r="AO764" s="234"/>
    </row>
    <row r="765" ht="15.75" customHeight="1">
      <c r="A765" s="91"/>
      <c r="B765" s="91"/>
      <c r="C765" s="220"/>
      <c r="D765" s="91"/>
      <c r="E765" s="221"/>
      <c r="F765" s="91"/>
      <c r="G765" s="91"/>
      <c r="H765" s="242"/>
      <c r="I765" s="223"/>
      <c r="J765" s="57"/>
      <c r="K765" s="153"/>
      <c r="L765" s="243"/>
      <c r="M765" s="234"/>
      <c r="N765" s="235"/>
      <c r="O765" s="236"/>
      <c r="P765" s="236"/>
      <c r="Q765" s="236"/>
      <c r="R765" s="236"/>
      <c r="S765" s="236"/>
      <c r="T765" s="236"/>
      <c r="U765" s="236"/>
      <c r="V765" s="236"/>
      <c r="W765" s="244"/>
      <c r="X765" s="244"/>
      <c r="Y765" s="237"/>
      <c r="Z765" s="244"/>
      <c r="AA765" s="244"/>
      <c r="AB765" s="244"/>
      <c r="AC765" s="244"/>
      <c r="AD765" s="234"/>
      <c r="AE765" s="234"/>
      <c r="AF765" s="238"/>
      <c r="AG765" s="239"/>
      <c r="AH765" s="238"/>
      <c r="AI765" s="238"/>
      <c r="AJ765" s="234"/>
      <c r="AK765" s="234"/>
      <c r="AL765" s="234"/>
      <c r="AM765" s="234"/>
      <c r="AN765" s="234"/>
      <c r="AO765" s="234"/>
    </row>
    <row r="766" ht="15.75" customHeight="1">
      <c r="A766" s="91"/>
      <c r="B766" s="91"/>
      <c r="C766" s="220"/>
      <c r="D766" s="91"/>
      <c r="E766" s="221"/>
      <c r="F766" s="91"/>
      <c r="G766" s="91"/>
      <c r="H766" s="242"/>
      <c r="I766" s="223"/>
      <c r="J766" s="57"/>
      <c r="K766" s="153"/>
      <c r="L766" s="243"/>
      <c r="M766" s="234"/>
      <c r="N766" s="235"/>
      <c r="O766" s="236"/>
      <c r="P766" s="236"/>
      <c r="Q766" s="236"/>
      <c r="R766" s="236"/>
      <c r="S766" s="236"/>
      <c r="T766" s="236"/>
      <c r="U766" s="236"/>
      <c r="V766" s="236"/>
      <c r="W766" s="244"/>
      <c r="X766" s="244"/>
      <c r="Y766" s="237"/>
      <c r="Z766" s="244"/>
      <c r="AA766" s="244"/>
      <c r="AB766" s="244"/>
      <c r="AC766" s="244"/>
      <c r="AD766" s="234"/>
      <c r="AE766" s="234"/>
      <c r="AF766" s="238"/>
      <c r="AG766" s="239"/>
      <c r="AH766" s="238"/>
      <c r="AI766" s="238"/>
      <c r="AJ766" s="234"/>
      <c r="AK766" s="234"/>
      <c r="AL766" s="234"/>
      <c r="AM766" s="234"/>
      <c r="AN766" s="234"/>
      <c r="AO766" s="234"/>
    </row>
    <row r="767" ht="15.75" customHeight="1">
      <c r="A767" s="91"/>
      <c r="B767" s="91"/>
      <c r="C767" s="220"/>
      <c r="D767" s="91"/>
      <c r="E767" s="221"/>
      <c r="F767" s="91"/>
      <c r="G767" s="91"/>
      <c r="H767" s="242"/>
      <c r="I767" s="223"/>
      <c r="J767" s="57"/>
      <c r="K767" s="153"/>
      <c r="L767" s="243"/>
      <c r="M767" s="234"/>
      <c r="N767" s="235"/>
      <c r="O767" s="236"/>
      <c r="P767" s="236"/>
      <c r="Q767" s="236"/>
      <c r="R767" s="236"/>
      <c r="S767" s="236"/>
      <c r="T767" s="236"/>
      <c r="U767" s="236"/>
      <c r="V767" s="236"/>
      <c r="W767" s="244"/>
      <c r="X767" s="244"/>
      <c r="Y767" s="237"/>
      <c r="Z767" s="244"/>
      <c r="AA767" s="244"/>
      <c r="AB767" s="244"/>
      <c r="AC767" s="244"/>
      <c r="AD767" s="234"/>
      <c r="AE767" s="234"/>
      <c r="AF767" s="238"/>
      <c r="AG767" s="239"/>
      <c r="AH767" s="238"/>
      <c r="AI767" s="238"/>
      <c r="AJ767" s="234"/>
      <c r="AK767" s="234"/>
      <c r="AL767" s="234"/>
      <c r="AM767" s="234"/>
      <c r="AN767" s="234"/>
      <c r="AO767" s="234"/>
    </row>
    <row r="768" ht="15.75" customHeight="1">
      <c r="A768" s="91"/>
      <c r="B768" s="91"/>
      <c r="C768" s="220"/>
      <c r="D768" s="91"/>
      <c r="E768" s="221"/>
      <c r="F768" s="91"/>
      <c r="G768" s="91"/>
      <c r="H768" s="242"/>
      <c r="I768" s="223"/>
      <c r="J768" s="57"/>
      <c r="K768" s="153"/>
      <c r="L768" s="243"/>
      <c r="M768" s="234"/>
      <c r="N768" s="235"/>
      <c r="O768" s="236"/>
      <c r="P768" s="236"/>
      <c r="Q768" s="236"/>
      <c r="R768" s="236"/>
      <c r="S768" s="236"/>
      <c r="T768" s="236"/>
      <c r="U768" s="236"/>
      <c r="V768" s="236"/>
      <c r="W768" s="244"/>
      <c r="X768" s="244"/>
      <c r="Y768" s="237"/>
      <c r="Z768" s="244"/>
      <c r="AA768" s="244"/>
      <c r="AB768" s="244"/>
      <c r="AC768" s="244"/>
      <c r="AD768" s="234"/>
      <c r="AE768" s="234"/>
      <c r="AF768" s="238"/>
      <c r="AG768" s="239"/>
      <c r="AH768" s="238"/>
      <c r="AI768" s="238"/>
      <c r="AJ768" s="234"/>
      <c r="AK768" s="234"/>
      <c r="AL768" s="234"/>
      <c r="AM768" s="234"/>
      <c r="AN768" s="234"/>
      <c r="AO768" s="234"/>
    </row>
    <row r="769" ht="15.75" customHeight="1">
      <c r="A769" s="91"/>
      <c r="B769" s="91"/>
      <c r="C769" s="220"/>
      <c r="D769" s="91"/>
      <c r="E769" s="221"/>
      <c r="F769" s="91"/>
      <c r="G769" s="91"/>
      <c r="H769" s="242"/>
      <c r="I769" s="223"/>
      <c r="J769" s="57"/>
      <c r="K769" s="153"/>
      <c r="L769" s="243"/>
      <c r="M769" s="234"/>
      <c r="N769" s="235"/>
      <c r="O769" s="236"/>
      <c r="P769" s="236"/>
      <c r="Q769" s="236"/>
      <c r="R769" s="236"/>
      <c r="S769" s="236"/>
      <c r="T769" s="236"/>
      <c r="U769" s="236"/>
      <c r="V769" s="236"/>
      <c r="W769" s="244"/>
      <c r="X769" s="244"/>
      <c r="Y769" s="237"/>
      <c r="Z769" s="244"/>
      <c r="AA769" s="244"/>
      <c r="AB769" s="244"/>
      <c r="AC769" s="244"/>
      <c r="AD769" s="234"/>
      <c r="AE769" s="234"/>
      <c r="AF769" s="238"/>
      <c r="AG769" s="239"/>
      <c r="AH769" s="238"/>
      <c r="AI769" s="238"/>
      <c r="AJ769" s="234"/>
      <c r="AK769" s="234"/>
      <c r="AL769" s="234"/>
      <c r="AM769" s="234"/>
      <c r="AN769" s="234"/>
      <c r="AO769" s="234"/>
    </row>
    <row r="770" ht="15.75" customHeight="1">
      <c r="A770" s="91"/>
      <c r="B770" s="91"/>
      <c r="C770" s="220"/>
      <c r="D770" s="91"/>
      <c r="E770" s="221"/>
      <c r="F770" s="91"/>
      <c r="G770" s="91"/>
      <c r="H770" s="242"/>
      <c r="I770" s="223"/>
      <c r="J770" s="57"/>
      <c r="K770" s="153"/>
      <c r="L770" s="243"/>
      <c r="M770" s="234"/>
      <c r="N770" s="235"/>
      <c r="O770" s="236"/>
      <c r="P770" s="236"/>
      <c r="Q770" s="236"/>
      <c r="R770" s="236"/>
      <c r="S770" s="236"/>
      <c r="T770" s="236"/>
      <c r="U770" s="236"/>
      <c r="V770" s="236"/>
      <c r="W770" s="244"/>
      <c r="X770" s="244"/>
      <c r="Y770" s="237"/>
      <c r="Z770" s="244"/>
      <c r="AA770" s="244"/>
      <c r="AB770" s="244"/>
      <c r="AC770" s="244"/>
      <c r="AD770" s="234"/>
      <c r="AE770" s="234"/>
      <c r="AF770" s="238"/>
      <c r="AG770" s="239"/>
      <c r="AH770" s="238"/>
      <c r="AI770" s="238"/>
      <c r="AJ770" s="234"/>
      <c r="AK770" s="234"/>
      <c r="AL770" s="234"/>
      <c r="AM770" s="234"/>
      <c r="AN770" s="234"/>
      <c r="AO770" s="234"/>
    </row>
    <row r="771" ht="15.75" customHeight="1">
      <c r="A771" s="91"/>
      <c r="B771" s="91"/>
      <c r="C771" s="220"/>
      <c r="D771" s="91"/>
      <c r="E771" s="221"/>
      <c r="F771" s="91"/>
      <c r="G771" s="91"/>
      <c r="H771" s="242"/>
      <c r="I771" s="223"/>
      <c r="J771" s="57"/>
      <c r="K771" s="153"/>
      <c r="L771" s="243"/>
      <c r="M771" s="234"/>
      <c r="N771" s="235"/>
      <c r="O771" s="236"/>
      <c r="P771" s="236"/>
      <c r="Q771" s="236"/>
      <c r="R771" s="236"/>
      <c r="S771" s="236"/>
      <c r="T771" s="236"/>
      <c r="U771" s="236"/>
      <c r="V771" s="236"/>
      <c r="W771" s="244"/>
      <c r="X771" s="244"/>
      <c r="Y771" s="237"/>
      <c r="Z771" s="244"/>
      <c r="AA771" s="244"/>
      <c r="AB771" s="244"/>
      <c r="AC771" s="244"/>
      <c r="AD771" s="234"/>
      <c r="AE771" s="234"/>
      <c r="AF771" s="238"/>
      <c r="AG771" s="239"/>
      <c r="AH771" s="238"/>
      <c r="AI771" s="238"/>
      <c r="AJ771" s="234"/>
      <c r="AK771" s="234"/>
      <c r="AL771" s="234"/>
      <c r="AM771" s="234"/>
      <c r="AN771" s="234"/>
      <c r="AO771" s="234"/>
    </row>
    <row r="772" ht="15.75" customHeight="1">
      <c r="A772" s="91"/>
      <c r="B772" s="91"/>
      <c r="C772" s="220"/>
      <c r="D772" s="91"/>
      <c r="E772" s="221"/>
      <c r="F772" s="91"/>
      <c r="G772" s="91"/>
      <c r="H772" s="242"/>
      <c r="I772" s="223"/>
      <c r="J772" s="57"/>
      <c r="K772" s="153"/>
      <c r="L772" s="243"/>
      <c r="M772" s="234"/>
      <c r="N772" s="235"/>
      <c r="O772" s="236"/>
      <c r="P772" s="236"/>
      <c r="Q772" s="236"/>
      <c r="R772" s="236"/>
      <c r="S772" s="236"/>
      <c r="T772" s="236"/>
      <c r="U772" s="236"/>
      <c r="V772" s="236"/>
      <c r="W772" s="244"/>
      <c r="X772" s="244"/>
      <c r="Y772" s="237"/>
      <c r="Z772" s="244"/>
      <c r="AA772" s="244"/>
      <c r="AB772" s="244"/>
      <c r="AC772" s="244"/>
      <c r="AD772" s="234"/>
      <c r="AE772" s="234"/>
      <c r="AF772" s="238"/>
      <c r="AG772" s="239"/>
      <c r="AH772" s="238"/>
      <c r="AI772" s="238"/>
      <c r="AJ772" s="234"/>
      <c r="AK772" s="234"/>
      <c r="AL772" s="234"/>
      <c r="AM772" s="234"/>
      <c r="AN772" s="234"/>
      <c r="AO772" s="234"/>
    </row>
    <row r="773" ht="15.75" customHeight="1">
      <c r="A773" s="91"/>
      <c r="B773" s="91"/>
      <c r="C773" s="220"/>
      <c r="D773" s="91"/>
      <c r="E773" s="221"/>
      <c r="F773" s="91"/>
      <c r="G773" s="91"/>
      <c r="H773" s="242"/>
      <c r="I773" s="223"/>
      <c r="J773" s="57"/>
      <c r="K773" s="153"/>
      <c r="L773" s="243"/>
      <c r="M773" s="234"/>
      <c r="N773" s="235"/>
      <c r="O773" s="236"/>
      <c r="P773" s="236"/>
      <c r="Q773" s="236"/>
      <c r="R773" s="236"/>
      <c r="S773" s="236"/>
      <c r="T773" s="236"/>
      <c r="U773" s="236"/>
      <c r="V773" s="236"/>
      <c r="W773" s="244"/>
      <c r="X773" s="244"/>
      <c r="Y773" s="237"/>
      <c r="Z773" s="244"/>
      <c r="AA773" s="244"/>
      <c r="AB773" s="244"/>
      <c r="AC773" s="244"/>
      <c r="AD773" s="234"/>
      <c r="AE773" s="234"/>
      <c r="AF773" s="238"/>
      <c r="AG773" s="239"/>
      <c r="AH773" s="238"/>
      <c r="AI773" s="238"/>
      <c r="AJ773" s="234"/>
      <c r="AK773" s="234"/>
      <c r="AL773" s="234"/>
      <c r="AM773" s="234"/>
      <c r="AN773" s="234"/>
      <c r="AO773" s="234"/>
    </row>
    <row r="774" ht="15.75" customHeight="1">
      <c r="A774" s="91"/>
      <c r="B774" s="91"/>
      <c r="C774" s="220"/>
      <c r="D774" s="91"/>
      <c r="E774" s="221"/>
      <c r="F774" s="91"/>
      <c r="G774" s="91"/>
      <c r="H774" s="242"/>
      <c r="I774" s="223"/>
      <c r="J774" s="57"/>
      <c r="K774" s="153"/>
      <c r="L774" s="243"/>
      <c r="M774" s="234"/>
      <c r="N774" s="235"/>
      <c r="O774" s="236"/>
      <c r="P774" s="236"/>
      <c r="Q774" s="236"/>
      <c r="R774" s="236"/>
      <c r="S774" s="236"/>
      <c r="T774" s="236"/>
      <c r="U774" s="236"/>
      <c r="V774" s="236"/>
      <c r="W774" s="244"/>
      <c r="X774" s="244"/>
      <c r="Y774" s="237"/>
      <c r="Z774" s="244"/>
      <c r="AA774" s="244"/>
      <c r="AB774" s="244"/>
      <c r="AC774" s="244"/>
      <c r="AD774" s="234"/>
      <c r="AE774" s="234"/>
      <c r="AF774" s="238"/>
      <c r="AG774" s="239"/>
      <c r="AH774" s="238"/>
      <c r="AI774" s="238"/>
      <c r="AJ774" s="234"/>
      <c r="AK774" s="234"/>
      <c r="AL774" s="234"/>
      <c r="AM774" s="234"/>
      <c r="AN774" s="234"/>
      <c r="AO774" s="234"/>
    </row>
    <row r="775" ht="15.75" customHeight="1">
      <c r="A775" s="91"/>
      <c r="B775" s="91"/>
      <c r="C775" s="220"/>
      <c r="D775" s="91"/>
      <c r="E775" s="221"/>
      <c r="F775" s="91"/>
      <c r="G775" s="91"/>
      <c r="H775" s="242"/>
      <c r="I775" s="223"/>
      <c r="J775" s="57"/>
      <c r="K775" s="153"/>
      <c r="L775" s="243"/>
      <c r="M775" s="234"/>
      <c r="N775" s="235"/>
      <c r="O775" s="236"/>
      <c r="P775" s="236"/>
      <c r="Q775" s="236"/>
      <c r="R775" s="236"/>
      <c r="S775" s="236"/>
      <c r="T775" s="236"/>
      <c r="U775" s="236"/>
      <c r="V775" s="236"/>
      <c r="W775" s="244"/>
      <c r="X775" s="244"/>
      <c r="Y775" s="237"/>
      <c r="Z775" s="244"/>
      <c r="AA775" s="244"/>
      <c r="AB775" s="244"/>
      <c r="AC775" s="244"/>
      <c r="AD775" s="234"/>
      <c r="AE775" s="234"/>
      <c r="AF775" s="238"/>
      <c r="AG775" s="239"/>
      <c r="AH775" s="238"/>
      <c r="AI775" s="238"/>
      <c r="AJ775" s="234"/>
      <c r="AK775" s="234"/>
      <c r="AL775" s="234"/>
      <c r="AM775" s="234"/>
      <c r="AN775" s="234"/>
      <c r="AO775" s="234"/>
    </row>
    <row r="776" ht="15.75" customHeight="1">
      <c r="A776" s="91"/>
      <c r="B776" s="91"/>
      <c r="C776" s="220"/>
      <c r="D776" s="91"/>
      <c r="E776" s="221"/>
      <c r="F776" s="91"/>
      <c r="G776" s="91"/>
      <c r="H776" s="242"/>
      <c r="I776" s="223"/>
      <c r="J776" s="57"/>
      <c r="K776" s="153"/>
      <c r="L776" s="243"/>
      <c r="M776" s="234"/>
      <c r="N776" s="235"/>
      <c r="O776" s="236"/>
      <c r="P776" s="236"/>
      <c r="Q776" s="236"/>
      <c r="R776" s="236"/>
      <c r="S776" s="236"/>
      <c r="T776" s="236"/>
      <c r="U776" s="236"/>
      <c r="V776" s="236"/>
      <c r="W776" s="244"/>
      <c r="X776" s="244"/>
      <c r="Y776" s="237"/>
      <c r="Z776" s="244"/>
      <c r="AA776" s="244"/>
      <c r="AB776" s="244"/>
      <c r="AC776" s="244"/>
      <c r="AD776" s="234"/>
      <c r="AE776" s="234"/>
      <c r="AF776" s="238"/>
      <c r="AG776" s="239"/>
      <c r="AH776" s="238"/>
      <c r="AI776" s="238"/>
      <c r="AJ776" s="234"/>
      <c r="AK776" s="234"/>
      <c r="AL776" s="234"/>
      <c r="AM776" s="234"/>
      <c r="AN776" s="234"/>
      <c r="AO776" s="234"/>
    </row>
    <row r="777" ht="15.75" customHeight="1">
      <c r="A777" s="91"/>
      <c r="B777" s="91"/>
      <c r="C777" s="220"/>
      <c r="D777" s="91"/>
      <c r="E777" s="221"/>
      <c r="F777" s="91"/>
      <c r="G777" s="91"/>
      <c r="H777" s="242"/>
      <c r="I777" s="223"/>
      <c r="J777" s="57"/>
      <c r="K777" s="153"/>
      <c r="L777" s="243"/>
      <c r="M777" s="234"/>
      <c r="N777" s="235"/>
      <c r="O777" s="236"/>
      <c r="P777" s="236"/>
      <c r="Q777" s="236"/>
      <c r="R777" s="236"/>
      <c r="S777" s="236"/>
      <c r="T777" s="236"/>
      <c r="U777" s="236"/>
      <c r="V777" s="236"/>
      <c r="W777" s="244"/>
      <c r="X777" s="244"/>
      <c r="Y777" s="237"/>
      <c r="Z777" s="244"/>
      <c r="AA777" s="244"/>
      <c r="AB777" s="244"/>
      <c r="AC777" s="244"/>
      <c r="AD777" s="234"/>
      <c r="AE777" s="234"/>
      <c r="AF777" s="238"/>
      <c r="AG777" s="239"/>
      <c r="AH777" s="238"/>
      <c r="AI777" s="238"/>
      <c r="AJ777" s="234"/>
      <c r="AK777" s="234"/>
      <c r="AL777" s="234"/>
      <c r="AM777" s="234"/>
      <c r="AN777" s="234"/>
      <c r="AO777" s="234"/>
    </row>
    <row r="778" ht="15.75" customHeight="1">
      <c r="A778" s="91"/>
      <c r="B778" s="91"/>
      <c r="C778" s="220"/>
      <c r="D778" s="91"/>
      <c r="E778" s="221"/>
      <c r="F778" s="91"/>
      <c r="G778" s="91"/>
      <c r="H778" s="242"/>
      <c r="I778" s="223"/>
      <c r="J778" s="57"/>
      <c r="K778" s="153"/>
      <c r="L778" s="243"/>
      <c r="M778" s="234"/>
      <c r="N778" s="235"/>
      <c r="O778" s="236"/>
      <c r="P778" s="236"/>
      <c r="Q778" s="236"/>
      <c r="R778" s="236"/>
      <c r="S778" s="236"/>
      <c r="T778" s="236"/>
      <c r="U778" s="236"/>
      <c r="V778" s="236"/>
      <c r="W778" s="244"/>
      <c r="X778" s="244"/>
      <c r="Y778" s="237"/>
      <c r="Z778" s="244"/>
      <c r="AA778" s="244"/>
      <c r="AB778" s="244"/>
      <c r="AC778" s="244"/>
      <c r="AD778" s="234"/>
      <c r="AE778" s="234"/>
      <c r="AF778" s="238"/>
      <c r="AG778" s="239"/>
      <c r="AH778" s="238"/>
      <c r="AI778" s="238"/>
      <c r="AJ778" s="234"/>
      <c r="AK778" s="234"/>
      <c r="AL778" s="234"/>
      <c r="AM778" s="234"/>
      <c r="AN778" s="234"/>
      <c r="AO778" s="234"/>
    </row>
    <row r="779" ht="15.75" customHeight="1">
      <c r="A779" s="91"/>
      <c r="B779" s="91"/>
      <c r="C779" s="220"/>
      <c r="D779" s="91"/>
      <c r="E779" s="221"/>
      <c r="F779" s="91"/>
      <c r="G779" s="91"/>
      <c r="H779" s="242"/>
      <c r="I779" s="223"/>
      <c r="J779" s="57"/>
      <c r="K779" s="153"/>
      <c r="L779" s="243"/>
      <c r="M779" s="234"/>
      <c r="N779" s="235"/>
      <c r="O779" s="236"/>
      <c r="P779" s="236"/>
      <c r="Q779" s="236"/>
      <c r="R779" s="236"/>
      <c r="S779" s="236"/>
      <c r="T779" s="236"/>
      <c r="U779" s="236"/>
      <c r="V779" s="236"/>
      <c r="W779" s="244"/>
      <c r="X779" s="244"/>
      <c r="Y779" s="237"/>
      <c r="Z779" s="244"/>
      <c r="AA779" s="244"/>
      <c r="AB779" s="244"/>
      <c r="AC779" s="244"/>
      <c r="AD779" s="234"/>
      <c r="AE779" s="234"/>
      <c r="AF779" s="238"/>
      <c r="AG779" s="239"/>
      <c r="AH779" s="238"/>
      <c r="AI779" s="238"/>
      <c r="AJ779" s="234"/>
      <c r="AK779" s="234"/>
      <c r="AL779" s="234"/>
      <c r="AM779" s="234"/>
      <c r="AN779" s="234"/>
      <c r="AO779" s="234"/>
    </row>
    <row r="780" ht="15.75" customHeight="1">
      <c r="A780" s="91"/>
      <c r="B780" s="91"/>
      <c r="C780" s="220"/>
      <c r="D780" s="91"/>
      <c r="E780" s="221"/>
      <c r="F780" s="91"/>
      <c r="G780" s="91"/>
      <c r="H780" s="242"/>
      <c r="I780" s="223"/>
      <c r="J780" s="57"/>
      <c r="K780" s="153"/>
      <c r="L780" s="243"/>
      <c r="M780" s="234"/>
      <c r="N780" s="235"/>
      <c r="O780" s="236"/>
      <c r="P780" s="236"/>
      <c r="Q780" s="236"/>
      <c r="R780" s="236"/>
      <c r="S780" s="236"/>
      <c r="T780" s="236"/>
      <c r="U780" s="236"/>
      <c r="V780" s="236"/>
      <c r="W780" s="244"/>
      <c r="X780" s="244"/>
      <c r="Y780" s="237"/>
      <c r="Z780" s="244"/>
      <c r="AA780" s="244"/>
      <c r="AB780" s="244"/>
      <c r="AC780" s="244"/>
      <c r="AD780" s="234"/>
      <c r="AE780" s="234"/>
      <c r="AF780" s="238"/>
      <c r="AG780" s="239"/>
      <c r="AH780" s="238"/>
      <c r="AI780" s="238"/>
      <c r="AJ780" s="234"/>
      <c r="AK780" s="234"/>
      <c r="AL780" s="234"/>
      <c r="AM780" s="234"/>
      <c r="AN780" s="234"/>
      <c r="AO780" s="234"/>
    </row>
    <row r="781" ht="15.75" customHeight="1">
      <c r="A781" s="91"/>
      <c r="B781" s="91"/>
      <c r="C781" s="220"/>
      <c r="D781" s="91"/>
      <c r="E781" s="221"/>
      <c r="F781" s="91"/>
      <c r="G781" s="91"/>
      <c r="H781" s="242"/>
      <c r="I781" s="223"/>
      <c r="J781" s="57"/>
      <c r="K781" s="153"/>
      <c r="L781" s="243"/>
      <c r="M781" s="234"/>
      <c r="N781" s="235"/>
      <c r="O781" s="236"/>
      <c r="P781" s="236"/>
      <c r="Q781" s="236"/>
      <c r="R781" s="236"/>
      <c r="S781" s="236"/>
      <c r="T781" s="236"/>
      <c r="U781" s="236"/>
      <c r="V781" s="236"/>
      <c r="W781" s="244"/>
      <c r="X781" s="244"/>
      <c r="Y781" s="237"/>
      <c r="Z781" s="244"/>
      <c r="AA781" s="244"/>
      <c r="AB781" s="244"/>
      <c r="AC781" s="244"/>
      <c r="AD781" s="234"/>
      <c r="AE781" s="234"/>
      <c r="AF781" s="238"/>
      <c r="AG781" s="239"/>
      <c r="AH781" s="238"/>
      <c r="AI781" s="238"/>
      <c r="AJ781" s="234"/>
      <c r="AK781" s="234"/>
      <c r="AL781" s="234"/>
      <c r="AM781" s="234"/>
      <c r="AN781" s="234"/>
      <c r="AO781" s="234"/>
    </row>
    <row r="782" ht="15.75" customHeight="1">
      <c r="A782" s="91"/>
      <c r="B782" s="91"/>
      <c r="C782" s="220"/>
      <c r="D782" s="91"/>
      <c r="E782" s="221"/>
      <c r="F782" s="91"/>
      <c r="G782" s="91"/>
      <c r="H782" s="242"/>
      <c r="I782" s="223"/>
      <c r="J782" s="57"/>
      <c r="K782" s="153"/>
      <c r="L782" s="243"/>
      <c r="M782" s="234"/>
      <c r="N782" s="235"/>
      <c r="O782" s="236"/>
      <c r="P782" s="236"/>
      <c r="Q782" s="236"/>
      <c r="R782" s="236"/>
      <c r="S782" s="236"/>
      <c r="T782" s="236"/>
      <c r="U782" s="236"/>
      <c r="V782" s="236"/>
      <c r="W782" s="244"/>
      <c r="X782" s="244"/>
      <c r="Y782" s="237"/>
      <c r="Z782" s="244"/>
      <c r="AA782" s="244"/>
      <c r="AB782" s="244"/>
      <c r="AC782" s="244"/>
      <c r="AD782" s="234"/>
      <c r="AE782" s="234"/>
      <c r="AF782" s="238"/>
      <c r="AG782" s="239"/>
      <c r="AH782" s="238"/>
      <c r="AI782" s="238"/>
      <c r="AJ782" s="234"/>
      <c r="AK782" s="234"/>
      <c r="AL782" s="234"/>
      <c r="AM782" s="234"/>
      <c r="AN782" s="234"/>
      <c r="AO782" s="234"/>
    </row>
    <row r="783" ht="15.75" customHeight="1">
      <c r="A783" s="91"/>
      <c r="B783" s="91"/>
      <c r="C783" s="220"/>
      <c r="D783" s="91"/>
      <c r="E783" s="221"/>
      <c r="F783" s="91"/>
      <c r="G783" s="91"/>
      <c r="H783" s="242"/>
      <c r="I783" s="223"/>
      <c r="J783" s="57"/>
      <c r="K783" s="153"/>
      <c r="L783" s="243"/>
      <c r="M783" s="234"/>
      <c r="N783" s="235"/>
      <c r="O783" s="236"/>
      <c r="P783" s="236"/>
      <c r="Q783" s="236"/>
      <c r="R783" s="236"/>
      <c r="S783" s="236"/>
      <c r="T783" s="236"/>
      <c r="U783" s="236"/>
      <c r="V783" s="236"/>
      <c r="W783" s="244"/>
      <c r="X783" s="244"/>
      <c r="Y783" s="237"/>
      <c r="Z783" s="244"/>
      <c r="AA783" s="244"/>
      <c r="AB783" s="244"/>
      <c r="AC783" s="244"/>
      <c r="AD783" s="234"/>
      <c r="AE783" s="234"/>
      <c r="AF783" s="238"/>
      <c r="AG783" s="239"/>
      <c r="AH783" s="238"/>
      <c r="AI783" s="238"/>
      <c r="AJ783" s="234"/>
      <c r="AK783" s="234"/>
      <c r="AL783" s="234"/>
      <c r="AM783" s="234"/>
      <c r="AN783" s="234"/>
      <c r="AO783" s="234"/>
    </row>
    <row r="784" ht="15.75" customHeight="1">
      <c r="A784" s="91"/>
      <c r="B784" s="91"/>
      <c r="C784" s="220"/>
      <c r="D784" s="91"/>
      <c r="E784" s="221"/>
      <c r="F784" s="91"/>
      <c r="G784" s="91"/>
      <c r="H784" s="242"/>
      <c r="I784" s="223"/>
      <c r="J784" s="57"/>
      <c r="K784" s="153"/>
      <c r="L784" s="243"/>
      <c r="M784" s="234"/>
      <c r="N784" s="235"/>
      <c r="O784" s="236"/>
      <c r="P784" s="236"/>
      <c r="Q784" s="236"/>
      <c r="R784" s="236"/>
      <c r="S784" s="236"/>
      <c r="T784" s="236"/>
      <c r="U784" s="236"/>
      <c r="V784" s="236"/>
      <c r="W784" s="244"/>
      <c r="X784" s="244"/>
      <c r="Y784" s="237"/>
      <c r="Z784" s="244"/>
      <c r="AA784" s="244"/>
      <c r="AB784" s="244"/>
      <c r="AC784" s="244"/>
      <c r="AD784" s="234"/>
      <c r="AE784" s="234"/>
      <c r="AF784" s="238"/>
      <c r="AG784" s="239"/>
      <c r="AH784" s="238"/>
      <c r="AI784" s="238"/>
      <c r="AJ784" s="234"/>
      <c r="AK784" s="234"/>
      <c r="AL784" s="234"/>
      <c r="AM784" s="234"/>
      <c r="AN784" s="234"/>
      <c r="AO784" s="234"/>
    </row>
    <row r="785" ht="15.75" customHeight="1">
      <c r="A785" s="91"/>
      <c r="B785" s="91"/>
      <c r="C785" s="220"/>
      <c r="D785" s="91"/>
      <c r="E785" s="221"/>
      <c r="F785" s="91"/>
      <c r="G785" s="91"/>
      <c r="H785" s="242"/>
      <c r="I785" s="223"/>
      <c r="J785" s="57"/>
      <c r="K785" s="153"/>
      <c r="L785" s="243"/>
      <c r="M785" s="234"/>
      <c r="N785" s="235"/>
      <c r="O785" s="236"/>
      <c r="P785" s="236"/>
      <c r="Q785" s="236"/>
      <c r="R785" s="236"/>
      <c r="S785" s="236"/>
      <c r="T785" s="236"/>
      <c r="U785" s="236"/>
      <c r="V785" s="236"/>
      <c r="W785" s="244"/>
      <c r="X785" s="244"/>
      <c r="Y785" s="237"/>
      <c r="Z785" s="244"/>
      <c r="AA785" s="244"/>
      <c r="AB785" s="244"/>
      <c r="AC785" s="244"/>
      <c r="AD785" s="234"/>
      <c r="AE785" s="234"/>
      <c r="AF785" s="238"/>
      <c r="AG785" s="239"/>
      <c r="AH785" s="238"/>
      <c r="AI785" s="238"/>
      <c r="AJ785" s="234"/>
      <c r="AK785" s="234"/>
      <c r="AL785" s="234"/>
      <c r="AM785" s="234"/>
      <c r="AN785" s="234"/>
      <c r="AO785" s="234"/>
    </row>
    <row r="786" ht="15.75" customHeight="1">
      <c r="A786" s="91"/>
      <c r="B786" s="91"/>
      <c r="C786" s="220"/>
      <c r="D786" s="91"/>
      <c r="E786" s="221"/>
      <c r="F786" s="91"/>
      <c r="G786" s="91"/>
      <c r="H786" s="242"/>
      <c r="I786" s="223"/>
      <c r="J786" s="57"/>
      <c r="K786" s="153"/>
      <c r="L786" s="243"/>
      <c r="M786" s="234"/>
      <c r="N786" s="235"/>
      <c r="O786" s="236"/>
      <c r="P786" s="236"/>
      <c r="Q786" s="236"/>
      <c r="R786" s="236"/>
      <c r="S786" s="236"/>
      <c r="T786" s="236"/>
      <c r="U786" s="236"/>
      <c r="V786" s="236"/>
      <c r="W786" s="244"/>
      <c r="X786" s="244"/>
      <c r="Y786" s="237"/>
      <c r="Z786" s="244"/>
      <c r="AA786" s="244"/>
      <c r="AB786" s="244"/>
      <c r="AC786" s="244"/>
      <c r="AD786" s="234"/>
      <c r="AE786" s="234"/>
      <c r="AF786" s="238"/>
      <c r="AG786" s="239"/>
      <c r="AH786" s="238"/>
      <c r="AI786" s="238"/>
      <c r="AJ786" s="234"/>
      <c r="AK786" s="234"/>
      <c r="AL786" s="234"/>
      <c r="AM786" s="234"/>
      <c r="AN786" s="234"/>
      <c r="AO786" s="234"/>
    </row>
    <row r="787" ht="15.75" customHeight="1">
      <c r="A787" s="91"/>
      <c r="B787" s="91"/>
      <c r="C787" s="220"/>
      <c r="D787" s="91"/>
      <c r="E787" s="221"/>
      <c r="F787" s="91"/>
      <c r="G787" s="91"/>
      <c r="H787" s="242"/>
      <c r="I787" s="223"/>
      <c r="J787" s="57"/>
      <c r="K787" s="153"/>
      <c r="L787" s="243"/>
      <c r="M787" s="234"/>
      <c r="N787" s="235"/>
      <c r="O787" s="236"/>
      <c r="P787" s="236"/>
      <c r="Q787" s="236"/>
      <c r="R787" s="236"/>
      <c r="S787" s="236"/>
      <c r="T787" s="236"/>
      <c r="U787" s="236"/>
      <c r="V787" s="236"/>
      <c r="W787" s="244"/>
      <c r="X787" s="244"/>
      <c r="Y787" s="237"/>
      <c r="Z787" s="244"/>
      <c r="AA787" s="244"/>
      <c r="AB787" s="244"/>
      <c r="AC787" s="244"/>
      <c r="AD787" s="234"/>
      <c r="AE787" s="234"/>
      <c r="AF787" s="238"/>
      <c r="AG787" s="239"/>
      <c r="AH787" s="238"/>
      <c r="AI787" s="238"/>
      <c r="AJ787" s="234"/>
      <c r="AK787" s="234"/>
      <c r="AL787" s="234"/>
      <c r="AM787" s="234"/>
      <c r="AN787" s="234"/>
      <c r="AO787" s="234"/>
    </row>
    <row r="788" ht="15.75" customHeight="1">
      <c r="A788" s="91"/>
      <c r="B788" s="91"/>
      <c r="C788" s="220"/>
      <c r="D788" s="91"/>
      <c r="E788" s="221"/>
      <c r="F788" s="91"/>
      <c r="G788" s="91"/>
      <c r="H788" s="242"/>
      <c r="I788" s="223"/>
      <c r="J788" s="57"/>
      <c r="K788" s="153"/>
      <c r="L788" s="243"/>
      <c r="M788" s="234"/>
      <c r="N788" s="235"/>
      <c r="O788" s="236"/>
      <c r="P788" s="236"/>
      <c r="Q788" s="236"/>
      <c r="R788" s="236"/>
      <c r="S788" s="236"/>
      <c r="T788" s="236"/>
      <c r="U788" s="236"/>
      <c r="V788" s="236"/>
      <c r="W788" s="244"/>
      <c r="X788" s="244"/>
      <c r="Y788" s="237"/>
      <c r="Z788" s="244"/>
      <c r="AA788" s="244"/>
      <c r="AB788" s="244"/>
      <c r="AC788" s="244"/>
      <c r="AD788" s="234"/>
      <c r="AE788" s="234"/>
      <c r="AF788" s="238"/>
      <c r="AG788" s="239"/>
      <c r="AH788" s="238"/>
      <c r="AI788" s="238"/>
      <c r="AJ788" s="234"/>
      <c r="AK788" s="234"/>
      <c r="AL788" s="234"/>
      <c r="AM788" s="234"/>
      <c r="AN788" s="234"/>
      <c r="AO788" s="234"/>
    </row>
    <row r="789" ht="15.75" customHeight="1">
      <c r="A789" s="91"/>
      <c r="B789" s="91"/>
      <c r="C789" s="220"/>
      <c r="D789" s="91"/>
      <c r="E789" s="221"/>
      <c r="F789" s="91"/>
      <c r="G789" s="91"/>
      <c r="H789" s="242"/>
      <c r="I789" s="223"/>
      <c r="J789" s="57"/>
      <c r="K789" s="153"/>
      <c r="L789" s="243"/>
      <c r="M789" s="234"/>
      <c r="N789" s="235"/>
      <c r="O789" s="236"/>
      <c r="P789" s="236"/>
      <c r="Q789" s="236"/>
      <c r="R789" s="236"/>
      <c r="S789" s="236"/>
      <c r="T789" s="236"/>
      <c r="U789" s="236"/>
      <c r="V789" s="236"/>
      <c r="W789" s="244"/>
      <c r="X789" s="244"/>
      <c r="Y789" s="237"/>
      <c r="Z789" s="244"/>
      <c r="AA789" s="244"/>
      <c r="AB789" s="244"/>
      <c r="AC789" s="244"/>
      <c r="AD789" s="234"/>
      <c r="AE789" s="234"/>
      <c r="AF789" s="238"/>
      <c r="AG789" s="239"/>
      <c r="AH789" s="238"/>
      <c r="AI789" s="238"/>
      <c r="AJ789" s="234"/>
      <c r="AK789" s="234"/>
      <c r="AL789" s="234"/>
      <c r="AM789" s="234"/>
      <c r="AN789" s="234"/>
      <c r="AO789" s="234"/>
    </row>
    <row r="790" ht="15.75" customHeight="1">
      <c r="A790" s="91"/>
      <c r="B790" s="91"/>
      <c r="C790" s="220"/>
      <c r="D790" s="91"/>
      <c r="E790" s="221"/>
      <c r="F790" s="91"/>
      <c r="G790" s="91"/>
      <c r="H790" s="242"/>
      <c r="I790" s="223"/>
      <c r="J790" s="57"/>
      <c r="K790" s="153"/>
      <c r="L790" s="243"/>
      <c r="M790" s="234"/>
      <c r="N790" s="235"/>
      <c r="O790" s="236"/>
      <c r="P790" s="236"/>
      <c r="Q790" s="236"/>
      <c r="R790" s="236"/>
      <c r="S790" s="236"/>
      <c r="T790" s="236"/>
      <c r="U790" s="236"/>
      <c r="V790" s="236"/>
      <c r="W790" s="244"/>
      <c r="X790" s="244"/>
      <c r="Y790" s="237"/>
      <c r="Z790" s="244"/>
      <c r="AA790" s="244"/>
      <c r="AB790" s="244"/>
      <c r="AC790" s="244"/>
      <c r="AD790" s="234"/>
      <c r="AE790" s="234"/>
      <c r="AF790" s="238"/>
      <c r="AG790" s="239"/>
      <c r="AH790" s="238"/>
      <c r="AI790" s="238"/>
      <c r="AJ790" s="234"/>
      <c r="AK790" s="234"/>
      <c r="AL790" s="234"/>
      <c r="AM790" s="234"/>
      <c r="AN790" s="234"/>
      <c r="AO790" s="234"/>
    </row>
    <row r="791" ht="15.75" customHeight="1">
      <c r="A791" s="91"/>
      <c r="B791" s="91"/>
      <c r="C791" s="220"/>
      <c r="D791" s="91"/>
      <c r="E791" s="221"/>
      <c r="F791" s="91"/>
      <c r="G791" s="91"/>
      <c r="H791" s="242"/>
      <c r="I791" s="223"/>
      <c r="J791" s="57"/>
      <c r="K791" s="153"/>
      <c r="L791" s="243"/>
      <c r="M791" s="234"/>
      <c r="N791" s="235"/>
      <c r="O791" s="236"/>
      <c r="P791" s="236"/>
      <c r="Q791" s="236"/>
      <c r="R791" s="236"/>
      <c r="S791" s="236"/>
      <c r="T791" s="236"/>
      <c r="U791" s="236"/>
      <c r="V791" s="236"/>
      <c r="W791" s="244"/>
      <c r="X791" s="244"/>
      <c r="Y791" s="237"/>
      <c r="Z791" s="244"/>
      <c r="AA791" s="244"/>
      <c r="AB791" s="244"/>
      <c r="AC791" s="244"/>
      <c r="AD791" s="234"/>
      <c r="AE791" s="234"/>
      <c r="AF791" s="238"/>
      <c r="AG791" s="239"/>
      <c r="AH791" s="238"/>
      <c r="AI791" s="238"/>
      <c r="AJ791" s="234"/>
      <c r="AK791" s="234"/>
      <c r="AL791" s="234"/>
      <c r="AM791" s="234"/>
      <c r="AN791" s="234"/>
      <c r="AO791" s="234"/>
    </row>
    <row r="792" ht="15.75" customHeight="1">
      <c r="A792" s="91"/>
      <c r="B792" s="91"/>
      <c r="C792" s="220"/>
      <c r="D792" s="91"/>
      <c r="E792" s="221"/>
      <c r="F792" s="91"/>
      <c r="G792" s="91"/>
      <c r="H792" s="242"/>
      <c r="I792" s="223"/>
      <c r="J792" s="57"/>
      <c r="K792" s="153"/>
      <c r="L792" s="243"/>
      <c r="M792" s="234"/>
      <c r="N792" s="235"/>
      <c r="O792" s="236"/>
      <c r="P792" s="236"/>
      <c r="Q792" s="236"/>
      <c r="R792" s="236"/>
      <c r="S792" s="236"/>
      <c r="T792" s="236"/>
      <c r="U792" s="236"/>
      <c r="V792" s="236"/>
      <c r="W792" s="244"/>
      <c r="X792" s="244"/>
      <c r="Y792" s="237"/>
      <c r="Z792" s="244"/>
      <c r="AA792" s="244"/>
      <c r="AB792" s="244"/>
      <c r="AC792" s="244"/>
      <c r="AD792" s="234"/>
      <c r="AE792" s="234"/>
      <c r="AF792" s="238"/>
      <c r="AG792" s="239"/>
      <c r="AH792" s="238"/>
      <c r="AI792" s="238"/>
      <c r="AJ792" s="234"/>
      <c r="AK792" s="234"/>
      <c r="AL792" s="234"/>
      <c r="AM792" s="234"/>
      <c r="AN792" s="234"/>
      <c r="AO792" s="234"/>
    </row>
    <row r="793" ht="15.75" customHeight="1">
      <c r="A793" s="91"/>
      <c r="B793" s="91"/>
      <c r="C793" s="220"/>
      <c r="D793" s="91"/>
      <c r="E793" s="221"/>
      <c r="F793" s="91"/>
      <c r="G793" s="91"/>
      <c r="H793" s="242"/>
      <c r="I793" s="223"/>
      <c r="J793" s="57"/>
      <c r="K793" s="153"/>
      <c r="L793" s="243"/>
      <c r="M793" s="234"/>
      <c r="N793" s="235"/>
      <c r="O793" s="236"/>
      <c r="P793" s="236"/>
      <c r="Q793" s="236"/>
      <c r="R793" s="236"/>
      <c r="S793" s="236"/>
      <c r="T793" s="236"/>
      <c r="U793" s="236"/>
      <c r="V793" s="236"/>
      <c r="W793" s="244"/>
      <c r="X793" s="244"/>
      <c r="Y793" s="237"/>
      <c r="Z793" s="244"/>
      <c r="AA793" s="244"/>
      <c r="AB793" s="244"/>
      <c r="AC793" s="244"/>
      <c r="AD793" s="234"/>
      <c r="AE793" s="234"/>
      <c r="AF793" s="238"/>
      <c r="AG793" s="239"/>
      <c r="AH793" s="238"/>
      <c r="AI793" s="238"/>
      <c r="AJ793" s="234"/>
      <c r="AK793" s="234"/>
      <c r="AL793" s="234"/>
      <c r="AM793" s="234"/>
      <c r="AN793" s="234"/>
      <c r="AO793" s="234"/>
    </row>
    <row r="794" ht="15.75" customHeight="1">
      <c r="A794" s="91"/>
      <c r="B794" s="91"/>
      <c r="C794" s="220"/>
      <c r="D794" s="91"/>
      <c r="E794" s="221"/>
      <c r="F794" s="91"/>
      <c r="G794" s="91"/>
      <c r="H794" s="242"/>
      <c r="I794" s="223"/>
      <c r="J794" s="57"/>
      <c r="K794" s="153"/>
      <c r="L794" s="243"/>
      <c r="M794" s="234"/>
      <c r="N794" s="235"/>
      <c r="O794" s="236"/>
      <c r="P794" s="236"/>
      <c r="Q794" s="236"/>
      <c r="R794" s="236"/>
      <c r="S794" s="236"/>
      <c r="T794" s="236"/>
      <c r="U794" s="236"/>
      <c r="V794" s="236"/>
      <c r="W794" s="244"/>
      <c r="X794" s="244"/>
      <c r="Y794" s="237"/>
      <c r="Z794" s="244"/>
      <c r="AA794" s="244"/>
      <c r="AB794" s="244"/>
      <c r="AC794" s="244"/>
      <c r="AD794" s="234"/>
      <c r="AE794" s="234"/>
      <c r="AF794" s="238"/>
      <c r="AG794" s="239"/>
      <c r="AH794" s="238"/>
      <c r="AI794" s="238"/>
      <c r="AJ794" s="234"/>
      <c r="AK794" s="234"/>
      <c r="AL794" s="234"/>
      <c r="AM794" s="234"/>
      <c r="AN794" s="234"/>
      <c r="AO794" s="234"/>
    </row>
    <row r="795" ht="15.75" customHeight="1">
      <c r="A795" s="91"/>
      <c r="B795" s="91"/>
      <c r="C795" s="220"/>
      <c r="D795" s="91"/>
      <c r="E795" s="221"/>
      <c r="F795" s="91"/>
      <c r="G795" s="91"/>
      <c r="H795" s="242"/>
      <c r="I795" s="223"/>
      <c r="J795" s="57"/>
      <c r="K795" s="153"/>
      <c r="L795" s="243"/>
      <c r="M795" s="234"/>
      <c r="N795" s="235"/>
      <c r="O795" s="236"/>
      <c r="P795" s="236"/>
      <c r="Q795" s="236"/>
      <c r="R795" s="236"/>
      <c r="S795" s="236"/>
      <c r="T795" s="236"/>
      <c r="U795" s="236"/>
      <c r="V795" s="236"/>
      <c r="W795" s="244"/>
      <c r="X795" s="244"/>
      <c r="Y795" s="237"/>
      <c r="Z795" s="244"/>
      <c r="AA795" s="244"/>
      <c r="AB795" s="244"/>
      <c r="AC795" s="244"/>
      <c r="AD795" s="234"/>
      <c r="AE795" s="234"/>
      <c r="AF795" s="238"/>
      <c r="AG795" s="239"/>
      <c r="AH795" s="238"/>
      <c r="AI795" s="238"/>
      <c r="AJ795" s="234"/>
      <c r="AK795" s="234"/>
      <c r="AL795" s="234"/>
      <c r="AM795" s="234"/>
      <c r="AN795" s="234"/>
      <c r="AO795" s="234"/>
    </row>
    <row r="796" ht="15.75" customHeight="1">
      <c r="A796" s="91"/>
      <c r="B796" s="91"/>
      <c r="C796" s="220"/>
      <c r="D796" s="91"/>
      <c r="E796" s="221"/>
      <c r="F796" s="91"/>
      <c r="G796" s="91"/>
      <c r="H796" s="242"/>
      <c r="I796" s="223"/>
      <c r="J796" s="57"/>
      <c r="K796" s="153"/>
      <c r="L796" s="243"/>
      <c r="M796" s="234"/>
      <c r="N796" s="235"/>
      <c r="O796" s="236"/>
      <c r="P796" s="236"/>
      <c r="Q796" s="236"/>
      <c r="R796" s="236"/>
      <c r="S796" s="236"/>
      <c r="T796" s="236"/>
      <c r="U796" s="236"/>
      <c r="V796" s="236"/>
      <c r="W796" s="244"/>
      <c r="X796" s="244"/>
      <c r="Y796" s="237"/>
      <c r="Z796" s="244"/>
      <c r="AA796" s="244"/>
      <c r="AB796" s="244"/>
      <c r="AC796" s="244"/>
      <c r="AD796" s="234"/>
      <c r="AE796" s="234"/>
      <c r="AF796" s="238"/>
      <c r="AG796" s="239"/>
      <c r="AH796" s="238"/>
      <c r="AI796" s="238"/>
      <c r="AJ796" s="234"/>
      <c r="AK796" s="234"/>
      <c r="AL796" s="234"/>
      <c r="AM796" s="234"/>
      <c r="AN796" s="234"/>
      <c r="AO796" s="234"/>
    </row>
    <row r="797" ht="15.75" customHeight="1">
      <c r="A797" s="91"/>
      <c r="B797" s="91"/>
      <c r="C797" s="220"/>
      <c r="D797" s="91"/>
      <c r="E797" s="221"/>
      <c r="F797" s="91"/>
      <c r="G797" s="91"/>
      <c r="H797" s="242"/>
      <c r="I797" s="223"/>
      <c r="J797" s="57"/>
      <c r="K797" s="153"/>
      <c r="L797" s="243"/>
      <c r="M797" s="234"/>
      <c r="N797" s="235"/>
      <c r="O797" s="236"/>
      <c r="P797" s="236"/>
      <c r="Q797" s="236"/>
      <c r="R797" s="236"/>
      <c r="S797" s="236"/>
      <c r="T797" s="236"/>
      <c r="U797" s="236"/>
      <c r="V797" s="236"/>
      <c r="W797" s="244"/>
      <c r="X797" s="244"/>
      <c r="Y797" s="237"/>
      <c r="Z797" s="244"/>
      <c r="AA797" s="244"/>
      <c r="AB797" s="244"/>
      <c r="AC797" s="244"/>
      <c r="AD797" s="234"/>
      <c r="AE797" s="234"/>
      <c r="AF797" s="238"/>
      <c r="AG797" s="239"/>
      <c r="AH797" s="238"/>
      <c r="AI797" s="238"/>
      <c r="AJ797" s="234"/>
      <c r="AK797" s="234"/>
      <c r="AL797" s="234"/>
      <c r="AM797" s="234"/>
      <c r="AN797" s="234"/>
      <c r="AO797" s="234"/>
    </row>
    <row r="798" ht="15.75" customHeight="1">
      <c r="A798" s="91"/>
      <c r="B798" s="91"/>
      <c r="C798" s="220"/>
      <c r="D798" s="91"/>
      <c r="E798" s="221"/>
      <c r="F798" s="91"/>
      <c r="G798" s="91"/>
      <c r="H798" s="242"/>
      <c r="I798" s="223"/>
      <c r="J798" s="57"/>
      <c r="K798" s="153"/>
      <c r="L798" s="243"/>
      <c r="M798" s="234"/>
      <c r="N798" s="235"/>
      <c r="O798" s="236"/>
      <c r="P798" s="236"/>
      <c r="Q798" s="236"/>
      <c r="R798" s="236"/>
      <c r="S798" s="236"/>
      <c r="T798" s="236"/>
      <c r="U798" s="236"/>
      <c r="V798" s="236"/>
      <c r="W798" s="244"/>
      <c r="X798" s="244"/>
      <c r="Y798" s="237"/>
      <c r="Z798" s="244"/>
      <c r="AA798" s="244"/>
      <c r="AB798" s="244"/>
      <c r="AC798" s="244"/>
      <c r="AD798" s="234"/>
      <c r="AE798" s="234"/>
      <c r="AF798" s="238"/>
      <c r="AG798" s="239"/>
      <c r="AH798" s="238"/>
      <c r="AI798" s="238"/>
      <c r="AJ798" s="234"/>
      <c r="AK798" s="234"/>
      <c r="AL798" s="234"/>
      <c r="AM798" s="234"/>
      <c r="AN798" s="234"/>
      <c r="AO798" s="234"/>
    </row>
    <row r="799" ht="15.75" customHeight="1">
      <c r="A799" s="91"/>
      <c r="B799" s="91"/>
      <c r="C799" s="220"/>
      <c r="D799" s="91"/>
      <c r="E799" s="221"/>
      <c r="F799" s="91"/>
      <c r="G799" s="91"/>
      <c r="H799" s="242"/>
      <c r="I799" s="223"/>
      <c r="J799" s="57"/>
      <c r="K799" s="153"/>
      <c r="L799" s="243"/>
      <c r="M799" s="234"/>
      <c r="N799" s="235"/>
      <c r="O799" s="236"/>
      <c r="P799" s="236"/>
      <c r="Q799" s="236"/>
      <c r="R799" s="236"/>
      <c r="S799" s="236"/>
      <c r="T799" s="236"/>
      <c r="U799" s="236"/>
      <c r="V799" s="236"/>
      <c r="W799" s="244"/>
      <c r="X799" s="244"/>
      <c r="Y799" s="237"/>
      <c r="Z799" s="244"/>
      <c r="AA799" s="244"/>
      <c r="AB799" s="244"/>
      <c r="AC799" s="244"/>
      <c r="AD799" s="234"/>
      <c r="AE799" s="234"/>
      <c r="AF799" s="238"/>
      <c r="AG799" s="239"/>
      <c r="AH799" s="238"/>
      <c r="AI799" s="238"/>
      <c r="AJ799" s="234"/>
      <c r="AK799" s="234"/>
      <c r="AL799" s="234"/>
      <c r="AM799" s="234"/>
      <c r="AN799" s="234"/>
      <c r="AO799" s="234"/>
    </row>
    <row r="800" ht="15.75" customHeight="1">
      <c r="A800" s="91"/>
      <c r="B800" s="91"/>
      <c r="C800" s="220"/>
      <c r="D800" s="91"/>
      <c r="E800" s="221"/>
      <c r="F800" s="91"/>
      <c r="G800" s="91"/>
      <c r="H800" s="242"/>
      <c r="I800" s="223"/>
      <c r="J800" s="57"/>
      <c r="K800" s="153"/>
      <c r="L800" s="243"/>
      <c r="M800" s="234"/>
      <c r="N800" s="235"/>
      <c r="O800" s="236"/>
      <c r="P800" s="236"/>
      <c r="Q800" s="236"/>
      <c r="R800" s="236"/>
      <c r="S800" s="236"/>
      <c r="T800" s="236"/>
      <c r="U800" s="236"/>
      <c r="V800" s="236"/>
      <c r="W800" s="244"/>
      <c r="X800" s="244"/>
      <c r="Y800" s="237"/>
      <c r="Z800" s="244"/>
      <c r="AA800" s="244"/>
      <c r="AB800" s="244"/>
      <c r="AC800" s="244"/>
      <c r="AD800" s="234"/>
      <c r="AE800" s="234"/>
      <c r="AF800" s="238"/>
      <c r="AG800" s="239"/>
      <c r="AH800" s="238"/>
      <c r="AI800" s="238"/>
      <c r="AJ800" s="234"/>
      <c r="AK800" s="234"/>
      <c r="AL800" s="234"/>
      <c r="AM800" s="234"/>
      <c r="AN800" s="234"/>
      <c r="AO800" s="234"/>
    </row>
    <row r="801" ht="15.75" customHeight="1">
      <c r="A801" s="91"/>
      <c r="B801" s="91"/>
      <c r="C801" s="220"/>
      <c r="D801" s="91"/>
      <c r="E801" s="221"/>
      <c r="F801" s="91"/>
      <c r="G801" s="91"/>
      <c r="H801" s="242"/>
      <c r="I801" s="223"/>
      <c r="J801" s="57"/>
      <c r="K801" s="153"/>
      <c r="L801" s="243"/>
      <c r="M801" s="234"/>
      <c r="N801" s="235"/>
      <c r="O801" s="236"/>
      <c r="P801" s="236"/>
      <c r="Q801" s="236"/>
      <c r="R801" s="236"/>
      <c r="S801" s="236"/>
      <c r="T801" s="236"/>
      <c r="U801" s="236"/>
      <c r="V801" s="236"/>
      <c r="W801" s="244"/>
      <c r="X801" s="244"/>
      <c r="Y801" s="237"/>
      <c r="Z801" s="244"/>
      <c r="AA801" s="244"/>
      <c r="AB801" s="244"/>
      <c r="AC801" s="244"/>
      <c r="AD801" s="234"/>
      <c r="AE801" s="234"/>
      <c r="AF801" s="238"/>
      <c r="AG801" s="239"/>
      <c r="AH801" s="238"/>
      <c r="AI801" s="238"/>
      <c r="AJ801" s="234"/>
      <c r="AK801" s="234"/>
      <c r="AL801" s="234"/>
      <c r="AM801" s="234"/>
      <c r="AN801" s="234"/>
      <c r="AO801" s="234"/>
    </row>
    <row r="802" ht="15.75" customHeight="1">
      <c r="A802" s="91"/>
      <c r="B802" s="91"/>
      <c r="C802" s="220"/>
      <c r="D802" s="91"/>
      <c r="E802" s="221"/>
      <c r="F802" s="91"/>
      <c r="G802" s="91"/>
      <c r="H802" s="242"/>
      <c r="I802" s="223"/>
      <c r="J802" s="57"/>
      <c r="K802" s="153"/>
      <c r="L802" s="243"/>
      <c r="M802" s="234"/>
      <c r="N802" s="235"/>
      <c r="O802" s="236"/>
      <c r="P802" s="236"/>
      <c r="Q802" s="236"/>
      <c r="R802" s="236"/>
      <c r="S802" s="236"/>
      <c r="T802" s="236"/>
      <c r="U802" s="236"/>
      <c r="V802" s="236"/>
      <c r="W802" s="244"/>
      <c r="X802" s="244"/>
      <c r="Y802" s="237"/>
      <c r="Z802" s="244"/>
      <c r="AA802" s="244"/>
      <c r="AB802" s="244"/>
      <c r="AC802" s="244"/>
      <c r="AD802" s="234"/>
      <c r="AE802" s="234"/>
      <c r="AF802" s="238"/>
      <c r="AG802" s="239"/>
      <c r="AH802" s="238"/>
      <c r="AI802" s="238"/>
      <c r="AJ802" s="234"/>
      <c r="AK802" s="234"/>
      <c r="AL802" s="234"/>
      <c r="AM802" s="234"/>
      <c r="AN802" s="234"/>
      <c r="AO802" s="234"/>
    </row>
    <row r="803" ht="15.75" customHeight="1">
      <c r="A803" s="91"/>
      <c r="B803" s="91"/>
      <c r="C803" s="220"/>
      <c r="D803" s="91"/>
      <c r="E803" s="221"/>
      <c r="F803" s="91"/>
      <c r="G803" s="91"/>
      <c r="H803" s="242"/>
      <c r="I803" s="223"/>
      <c r="J803" s="57"/>
      <c r="K803" s="153"/>
      <c r="L803" s="243"/>
      <c r="M803" s="234"/>
      <c r="N803" s="235"/>
      <c r="O803" s="236"/>
      <c r="P803" s="236"/>
      <c r="Q803" s="236"/>
      <c r="R803" s="236"/>
      <c r="S803" s="236"/>
      <c r="T803" s="236"/>
      <c r="U803" s="236"/>
      <c r="V803" s="236"/>
      <c r="W803" s="244"/>
      <c r="X803" s="244"/>
      <c r="Y803" s="237"/>
      <c r="Z803" s="244"/>
      <c r="AA803" s="244"/>
      <c r="AB803" s="244"/>
      <c r="AC803" s="244"/>
      <c r="AD803" s="234"/>
      <c r="AE803" s="234"/>
      <c r="AF803" s="238"/>
      <c r="AG803" s="239"/>
      <c r="AH803" s="238"/>
      <c r="AI803" s="238"/>
      <c r="AJ803" s="234"/>
      <c r="AK803" s="234"/>
      <c r="AL803" s="234"/>
      <c r="AM803" s="234"/>
      <c r="AN803" s="234"/>
      <c r="AO803" s="234"/>
    </row>
    <row r="804" ht="15.75" customHeight="1">
      <c r="A804" s="91"/>
      <c r="B804" s="91"/>
      <c r="C804" s="220"/>
      <c r="D804" s="91"/>
      <c r="E804" s="221"/>
      <c r="F804" s="91"/>
      <c r="G804" s="91"/>
      <c r="H804" s="242"/>
      <c r="I804" s="223"/>
      <c r="J804" s="57"/>
      <c r="K804" s="153"/>
      <c r="L804" s="243"/>
      <c r="M804" s="234"/>
      <c r="N804" s="235"/>
      <c r="O804" s="236"/>
      <c r="P804" s="236"/>
      <c r="Q804" s="236"/>
      <c r="R804" s="236"/>
      <c r="S804" s="236"/>
      <c r="T804" s="236"/>
      <c r="U804" s="236"/>
      <c r="V804" s="236"/>
      <c r="W804" s="244"/>
      <c r="X804" s="244"/>
      <c r="Y804" s="237"/>
      <c r="Z804" s="244"/>
      <c r="AA804" s="244"/>
      <c r="AB804" s="244"/>
      <c r="AC804" s="244"/>
      <c r="AD804" s="234"/>
      <c r="AE804" s="234"/>
      <c r="AF804" s="238"/>
      <c r="AG804" s="239"/>
      <c r="AH804" s="238"/>
      <c r="AI804" s="238"/>
      <c r="AJ804" s="234"/>
      <c r="AK804" s="234"/>
      <c r="AL804" s="234"/>
      <c r="AM804" s="234"/>
      <c r="AN804" s="234"/>
      <c r="AO804" s="234"/>
    </row>
    <row r="805" ht="15.75" customHeight="1">
      <c r="A805" s="91"/>
      <c r="B805" s="91"/>
      <c r="C805" s="220"/>
      <c r="D805" s="91"/>
      <c r="E805" s="221"/>
      <c r="F805" s="91"/>
      <c r="G805" s="91"/>
      <c r="H805" s="242"/>
      <c r="I805" s="223"/>
      <c r="J805" s="57"/>
      <c r="K805" s="153"/>
      <c r="L805" s="243"/>
      <c r="M805" s="234"/>
      <c r="N805" s="235"/>
      <c r="O805" s="236"/>
      <c r="P805" s="236"/>
      <c r="Q805" s="236"/>
      <c r="R805" s="236"/>
      <c r="S805" s="236"/>
      <c r="T805" s="236"/>
      <c r="U805" s="236"/>
      <c r="V805" s="236"/>
      <c r="W805" s="244"/>
      <c r="X805" s="244"/>
      <c r="Y805" s="237"/>
      <c r="Z805" s="244"/>
      <c r="AA805" s="244"/>
      <c r="AB805" s="244"/>
      <c r="AC805" s="244"/>
      <c r="AD805" s="234"/>
      <c r="AE805" s="234"/>
      <c r="AF805" s="238"/>
      <c r="AG805" s="239"/>
      <c r="AH805" s="238"/>
      <c r="AI805" s="238"/>
      <c r="AJ805" s="234"/>
      <c r="AK805" s="234"/>
      <c r="AL805" s="234"/>
      <c r="AM805" s="234"/>
      <c r="AN805" s="234"/>
      <c r="AO805" s="234"/>
    </row>
    <row r="806" ht="15.75" customHeight="1">
      <c r="A806" s="91"/>
      <c r="B806" s="91"/>
      <c r="C806" s="220"/>
      <c r="D806" s="91"/>
      <c r="E806" s="221"/>
      <c r="F806" s="91"/>
      <c r="G806" s="91"/>
      <c r="H806" s="242"/>
      <c r="I806" s="223"/>
      <c r="J806" s="57"/>
      <c r="K806" s="153"/>
      <c r="L806" s="243"/>
      <c r="M806" s="234"/>
      <c r="N806" s="235"/>
      <c r="O806" s="236"/>
      <c r="P806" s="236"/>
      <c r="Q806" s="236"/>
      <c r="R806" s="236"/>
      <c r="S806" s="236"/>
      <c r="T806" s="236"/>
      <c r="U806" s="236"/>
      <c r="V806" s="236"/>
      <c r="W806" s="244"/>
      <c r="X806" s="244"/>
      <c r="Y806" s="237"/>
      <c r="Z806" s="244"/>
      <c r="AA806" s="244"/>
      <c r="AB806" s="244"/>
      <c r="AC806" s="244"/>
      <c r="AD806" s="234"/>
      <c r="AE806" s="234"/>
      <c r="AF806" s="238"/>
      <c r="AG806" s="239"/>
      <c r="AH806" s="238"/>
      <c r="AI806" s="238"/>
      <c r="AJ806" s="234"/>
      <c r="AK806" s="234"/>
      <c r="AL806" s="234"/>
      <c r="AM806" s="234"/>
      <c r="AN806" s="234"/>
      <c r="AO806" s="234"/>
    </row>
    <row r="807" ht="15.75" customHeight="1">
      <c r="A807" s="91"/>
      <c r="B807" s="91"/>
      <c r="C807" s="220"/>
      <c r="D807" s="91"/>
      <c r="E807" s="221"/>
      <c r="F807" s="91"/>
      <c r="G807" s="91"/>
      <c r="H807" s="242"/>
      <c r="I807" s="223"/>
      <c r="J807" s="57"/>
      <c r="K807" s="153"/>
      <c r="L807" s="243"/>
      <c r="M807" s="234"/>
      <c r="N807" s="235"/>
      <c r="O807" s="236"/>
      <c r="P807" s="236"/>
      <c r="Q807" s="236"/>
      <c r="R807" s="236"/>
      <c r="S807" s="236"/>
      <c r="T807" s="236"/>
      <c r="U807" s="236"/>
      <c r="V807" s="236"/>
      <c r="W807" s="244"/>
      <c r="X807" s="244"/>
      <c r="Y807" s="237"/>
      <c r="Z807" s="244"/>
      <c r="AA807" s="244"/>
      <c r="AB807" s="244"/>
      <c r="AC807" s="244"/>
      <c r="AD807" s="234"/>
      <c r="AE807" s="234"/>
      <c r="AF807" s="238"/>
      <c r="AG807" s="239"/>
      <c r="AH807" s="238"/>
      <c r="AI807" s="238"/>
      <c r="AJ807" s="234"/>
      <c r="AK807" s="234"/>
      <c r="AL807" s="234"/>
      <c r="AM807" s="234"/>
      <c r="AN807" s="234"/>
      <c r="AO807" s="234"/>
    </row>
    <row r="808" ht="15.75" customHeight="1">
      <c r="A808" s="91"/>
      <c r="B808" s="91"/>
      <c r="C808" s="220"/>
      <c r="D808" s="91"/>
      <c r="E808" s="221"/>
      <c r="F808" s="91"/>
      <c r="G808" s="91"/>
      <c r="H808" s="242"/>
      <c r="I808" s="223"/>
      <c r="J808" s="57"/>
      <c r="K808" s="153"/>
      <c r="L808" s="243"/>
      <c r="M808" s="234"/>
      <c r="N808" s="235"/>
      <c r="O808" s="236"/>
      <c r="P808" s="236"/>
      <c r="Q808" s="236"/>
      <c r="R808" s="236"/>
      <c r="S808" s="236"/>
      <c r="T808" s="236"/>
      <c r="U808" s="236"/>
      <c r="V808" s="236"/>
      <c r="W808" s="244"/>
      <c r="X808" s="244"/>
      <c r="Y808" s="237"/>
      <c r="Z808" s="244"/>
      <c r="AA808" s="244"/>
      <c r="AB808" s="244"/>
      <c r="AC808" s="244"/>
      <c r="AD808" s="234"/>
      <c r="AE808" s="234"/>
      <c r="AF808" s="238"/>
      <c r="AG808" s="239"/>
      <c r="AH808" s="238"/>
      <c r="AI808" s="238"/>
      <c r="AJ808" s="234"/>
      <c r="AK808" s="234"/>
      <c r="AL808" s="234"/>
      <c r="AM808" s="234"/>
      <c r="AN808" s="234"/>
      <c r="AO808" s="234"/>
    </row>
    <row r="809" ht="15.75" customHeight="1">
      <c r="A809" s="91"/>
      <c r="B809" s="91"/>
      <c r="C809" s="220"/>
      <c r="D809" s="91"/>
      <c r="E809" s="221"/>
      <c r="F809" s="91"/>
      <c r="G809" s="91"/>
      <c r="H809" s="242"/>
      <c r="I809" s="223"/>
      <c r="J809" s="57"/>
      <c r="K809" s="153"/>
      <c r="L809" s="243"/>
      <c r="M809" s="234"/>
      <c r="N809" s="235"/>
      <c r="O809" s="236"/>
      <c r="P809" s="236"/>
      <c r="Q809" s="236"/>
      <c r="R809" s="236"/>
      <c r="S809" s="236"/>
      <c r="T809" s="236"/>
      <c r="U809" s="236"/>
      <c r="V809" s="236"/>
      <c r="W809" s="244"/>
      <c r="X809" s="244"/>
      <c r="Y809" s="237"/>
      <c r="Z809" s="244"/>
      <c r="AA809" s="244"/>
      <c r="AB809" s="244"/>
      <c r="AC809" s="244"/>
      <c r="AD809" s="234"/>
      <c r="AE809" s="234"/>
      <c r="AF809" s="238"/>
      <c r="AG809" s="239"/>
      <c r="AH809" s="238"/>
      <c r="AI809" s="238"/>
      <c r="AJ809" s="234"/>
      <c r="AK809" s="234"/>
      <c r="AL809" s="234"/>
      <c r="AM809" s="234"/>
      <c r="AN809" s="234"/>
      <c r="AO809" s="234"/>
    </row>
    <row r="810" ht="15.75" customHeight="1">
      <c r="A810" s="91"/>
      <c r="B810" s="91"/>
      <c r="C810" s="220"/>
      <c r="D810" s="91"/>
      <c r="E810" s="221"/>
      <c r="F810" s="91"/>
      <c r="G810" s="91"/>
      <c r="H810" s="242"/>
      <c r="I810" s="223"/>
      <c r="J810" s="57"/>
      <c r="K810" s="153"/>
      <c r="L810" s="243"/>
      <c r="M810" s="234"/>
      <c r="N810" s="235"/>
      <c r="O810" s="236"/>
      <c r="P810" s="236"/>
      <c r="Q810" s="236"/>
      <c r="R810" s="236"/>
      <c r="S810" s="236"/>
      <c r="T810" s="236"/>
      <c r="U810" s="236"/>
      <c r="V810" s="236"/>
      <c r="W810" s="244"/>
      <c r="X810" s="244"/>
      <c r="Y810" s="237"/>
      <c r="Z810" s="244"/>
      <c r="AA810" s="244"/>
      <c r="AB810" s="244"/>
      <c r="AC810" s="244"/>
      <c r="AD810" s="234"/>
      <c r="AE810" s="234"/>
      <c r="AF810" s="238"/>
      <c r="AG810" s="239"/>
      <c r="AH810" s="238"/>
      <c r="AI810" s="238"/>
      <c r="AJ810" s="234"/>
      <c r="AK810" s="234"/>
      <c r="AL810" s="234"/>
      <c r="AM810" s="234"/>
      <c r="AN810" s="234"/>
      <c r="AO810" s="234"/>
    </row>
    <row r="811" ht="15.75" customHeight="1">
      <c r="A811" s="91"/>
      <c r="B811" s="91"/>
      <c r="C811" s="220"/>
      <c r="D811" s="91"/>
      <c r="E811" s="221"/>
      <c r="F811" s="91"/>
      <c r="G811" s="91"/>
      <c r="H811" s="242"/>
      <c r="I811" s="223"/>
      <c r="J811" s="57"/>
      <c r="K811" s="153"/>
      <c r="L811" s="243"/>
      <c r="M811" s="234"/>
      <c r="N811" s="235"/>
      <c r="O811" s="236"/>
      <c r="P811" s="236"/>
      <c r="Q811" s="236"/>
      <c r="R811" s="236"/>
      <c r="S811" s="236"/>
      <c r="T811" s="236"/>
      <c r="U811" s="236"/>
      <c r="V811" s="236"/>
      <c r="W811" s="244"/>
      <c r="X811" s="244"/>
      <c r="Y811" s="237"/>
      <c r="Z811" s="244"/>
      <c r="AA811" s="244"/>
      <c r="AB811" s="244"/>
      <c r="AC811" s="244"/>
      <c r="AD811" s="234"/>
      <c r="AE811" s="234"/>
      <c r="AF811" s="238"/>
      <c r="AG811" s="239"/>
      <c r="AH811" s="238"/>
      <c r="AI811" s="238"/>
      <c r="AJ811" s="234"/>
      <c r="AK811" s="234"/>
      <c r="AL811" s="234"/>
      <c r="AM811" s="234"/>
      <c r="AN811" s="234"/>
      <c r="AO811" s="234"/>
    </row>
    <row r="812" ht="15.75" customHeight="1">
      <c r="A812" s="91"/>
      <c r="B812" s="91"/>
      <c r="C812" s="220"/>
      <c r="D812" s="91"/>
      <c r="E812" s="221"/>
      <c r="F812" s="91"/>
      <c r="G812" s="91"/>
      <c r="H812" s="242"/>
      <c r="I812" s="223"/>
      <c r="J812" s="57"/>
      <c r="K812" s="153"/>
      <c r="L812" s="243"/>
      <c r="M812" s="234"/>
      <c r="N812" s="235"/>
      <c r="O812" s="236"/>
      <c r="P812" s="236"/>
      <c r="Q812" s="236"/>
      <c r="R812" s="236"/>
      <c r="S812" s="236"/>
      <c r="T812" s="236"/>
      <c r="U812" s="236"/>
      <c r="V812" s="236"/>
      <c r="W812" s="244"/>
      <c r="X812" s="244"/>
      <c r="Y812" s="237"/>
      <c r="Z812" s="244"/>
      <c r="AA812" s="244"/>
      <c r="AB812" s="244"/>
      <c r="AC812" s="244"/>
      <c r="AD812" s="234"/>
      <c r="AE812" s="234"/>
      <c r="AF812" s="238"/>
      <c r="AG812" s="239"/>
      <c r="AH812" s="238"/>
      <c r="AI812" s="238"/>
      <c r="AJ812" s="234"/>
      <c r="AK812" s="234"/>
      <c r="AL812" s="234"/>
      <c r="AM812" s="234"/>
      <c r="AN812" s="234"/>
      <c r="AO812" s="234"/>
    </row>
    <row r="813" ht="15.75" customHeight="1">
      <c r="A813" s="91"/>
      <c r="B813" s="91"/>
      <c r="C813" s="220"/>
      <c r="D813" s="91"/>
      <c r="E813" s="221"/>
      <c r="F813" s="91"/>
      <c r="G813" s="91"/>
      <c r="H813" s="242"/>
      <c r="I813" s="223"/>
      <c r="J813" s="57"/>
      <c r="K813" s="153"/>
      <c r="L813" s="243"/>
      <c r="M813" s="234"/>
      <c r="N813" s="235"/>
      <c r="O813" s="236"/>
      <c r="P813" s="236"/>
      <c r="Q813" s="236"/>
      <c r="R813" s="236"/>
      <c r="S813" s="236"/>
      <c r="T813" s="236"/>
      <c r="U813" s="236"/>
      <c r="V813" s="236"/>
      <c r="W813" s="244"/>
      <c r="X813" s="244"/>
      <c r="Y813" s="237"/>
      <c r="Z813" s="244"/>
      <c r="AA813" s="244"/>
      <c r="AB813" s="244"/>
      <c r="AC813" s="244"/>
      <c r="AD813" s="234"/>
      <c r="AE813" s="234"/>
      <c r="AF813" s="238"/>
      <c r="AG813" s="239"/>
      <c r="AH813" s="238"/>
      <c r="AI813" s="238"/>
      <c r="AJ813" s="234"/>
      <c r="AK813" s="234"/>
      <c r="AL813" s="234"/>
      <c r="AM813" s="234"/>
      <c r="AN813" s="234"/>
      <c r="AO813" s="234"/>
    </row>
    <row r="814" ht="15.75" customHeight="1">
      <c r="A814" s="91"/>
      <c r="B814" s="91"/>
      <c r="C814" s="220"/>
      <c r="D814" s="91"/>
      <c r="E814" s="221"/>
      <c r="F814" s="91"/>
      <c r="G814" s="91"/>
      <c r="H814" s="242"/>
      <c r="I814" s="223"/>
      <c r="J814" s="57"/>
      <c r="K814" s="153"/>
      <c r="L814" s="243"/>
      <c r="M814" s="234"/>
      <c r="N814" s="235"/>
      <c r="O814" s="236"/>
      <c r="P814" s="236"/>
      <c r="Q814" s="236"/>
      <c r="R814" s="236"/>
      <c r="S814" s="236"/>
      <c r="T814" s="236"/>
      <c r="U814" s="236"/>
      <c r="V814" s="236"/>
      <c r="W814" s="244"/>
      <c r="X814" s="244"/>
      <c r="Y814" s="237"/>
      <c r="Z814" s="244"/>
      <c r="AA814" s="244"/>
      <c r="AB814" s="244"/>
      <c r="AC814" s="244"/>
      <c r="AD814" s="234"/>
      <c r="AE814" s="234"/>
      <c r="AF814" s="238"/>
      <c r="AG814" s="239"/>
      <c r="AH814" s="238"/>
      <c r="AI814" s="238"/>
      <c r="AJ814" s="234"/>
      <c r="AK814" s="234"/>
      <c r="AL814" s="234"/>
      <c r="AM814" s="234"/>
      <c r="AN814" s="234"/>
      <c r="AO814" s="234"/>
    </row>
    <row r="815" ht="15.75" customHeight="1">
      <c r="A815" s="91"/>
      <c r="B815" s="91"/>
      <c r="C815" s="220"/>
      <c r="D815" s="91"/>
      <c r="E815" s="221"/>
      <c r="F815" s="91"/>
      <c r="G815" s="91"/>
      <c r="H815" s="242"/>
      <c r="I815" s="223"/>
      <c r="J815" s="57"/>
      <c r="K815" s="153"/>
      <c r="L815" s="243"/>
      <c r="M815" s="234"/>
      <c r="N815" s="235"/>
      <c r="O815" s="236"/>
      <c r="P815" s="236"/>
      <c r="Q815" s="236"/>
      <c r="R815" s="236"/>
      <c r="S815" s="236"/>
      <c r="T815" s="236"/>
      <c r="U815" s="236"/>
      <c r="V815" s="236"/>
      <c r="W815" s="244"/>
      <c r="X815" s="244"/>
      <c r="Y815" s="237"/>
      <c r="Z815" s="244"/>
      <c r="AA815" s="244"/>
      <c r="AB815" s="244"/>
      <c r="AC815" s="244"/>
      <c r="AD815" s="234"/>
      <c r="AE815" s="234"/>
      <c r="AF815" s="238"/>
      <c r="AG815" s="239"/>
      <c r="AH815" s="238"/>
      <c r="AI815" s="238"/>
      <c r="AJ815" s="234"/>
      <c r="AK815" s="234"/>
      <c r="AL815" s="234"/>
      <c r="AM815" s="234"/>
      <c r="AN815" s="234"/>
      <c r="AO815" s="234"/>
    </row>
    <row r="816" ht="15.75" customHeight="1">
      <c r="A816" s="91"/>
      <c r="B816" s="91"/>
      <c r="C816" s="220"/>
      <c r="D816" s="91"/>
      <c r="E816" s="221"/>
      <c r="F816" s="91"/>
      <c r="G816" s="91"/>
      <c r="H816" s="242"/>
      <c r="I816" s="223"/>
      <c r="J816" s="57"/>
      <c r="K816" s="153"/>
      <c r="L816" s="243"/>
      <c r="M816" s="234"/>
      <c r="N816" s="235"/>
      <c r="O816" s="236"/>
      <c r="P816" s="236"/>
      <c r="Q816" s="236"/>
      <c r="R816" s="236"/>
      <c r="S816" s="236"/>
      <c r="T816" s="236"/>
      <c r="U816" s="236"/>
      <c r="V816" s="236"/>
      <c r="W816" s="244"/>
      <c r="X816" s="244"/>
      <c r="Y816" s="237"/>
      <c r="Z816" s="244"/>
      <c r="AA816" s="244"/>
      <c r="AB816" s="244"/>
      <c r="AC816" s="244"/>
      <c r="AD816" s="234"/>
      <c r="AE816" s="234"/>
      <c r="AF816" s="238"/>
      <c r="AG816" s="239"/>
      <c r="AH816" s="238"/>
      <c r="AI816" s="238"/>
      <c r="AJ816" s="234"/>
      <c r="AK816" s="234"/>
      <c r="AL816" s="234"/>
      <c r="AM816" s="234"/>
      <c r="AN816" s="234"/>
      <c r="AO816" s="234"/>
    </row>
    <row r="817" ht="15.75" customHeight="1">
      <c r="A817" s="91"/>
      <c r="B817" s="91"/>
      <c r="C817" s="220"/>
      <c r="D817" s="91"/>
      <c r="E817" s="221"/>
      <c r="F817" s="91"/>
      <c r="G817" s="91"/>
      <c r="H817" s="242"/>
      <c r="I817" s="223"/>
      <c r="J817" s="57"/>
      <c r="K817" s="153"/>
      <c r="L817" s="243"/>
      <c r="M817" s="234"/>
      <c r="N817" s="235"/>
      <c r="O817" s="236"/>
      <c r="P817" s="236"/>
      <c r="Q817" s="236"/>
      <c r="R817" s="236"/>
      <c r="S817" s="236"/>
      <c r="T817" s="236"/>
      <c r="U817" s="236"/>
      <c r="V817" s="236"/>
      <c r="W817" s="244"/>
      <c r="X817" s="244"/>
      <c r="Y817" s="237"/>
      <c r="Z817" s="244"/>
      <c r="AA817" s="244"/>
      <c r="AB817" s="244"/>
      <c r="AC817" s="244"/>
      <c r="AD817" s="234"/>
      <c r="AE817" s="234"/>
      <c r="AF817" s="238"/>
      <c r="AG817" s="239"/>
      <c r="AH817" s="238"/>
      <c r="AI817" s="238"/>
      <c r="AJ817" s="234"/>
      <c r="AK817" s="234"/>
      <c r="AL817" s="234"/>
      <c r="AM817" s="234"/>
      <c r="AN817" s="234"/>
      <c r="AO817" s="234"/>
    </row>
    <row r="818" ht="15.75" customHeight="1">
      <c r="A818" s="91"/>
      <c r="B818" s="91"/>
      <c r="C818" s="220"/>
      <c r="D818" s="91"/>
      <c r="E818" s="221"/>
      <c r="F818" s="91"/>
      <c r="G818" s="91"/>
      <c r="H818" s="242"/>
      <c r="I818" s="223"/>
      <c r="J818" s="57"/>
      <c r="K818" s="153"/>
      <c r="L818" s="243"/>
      <c r="M818" s="234"/>
      <c r="N818" s="235"/>
      <c r="O818" s="236"/>
      <c r="P818" s="236"/>
      <c r="Q818" s="236"/>
      <c r="R818" s="236"/>
      <c r="S818" s="236"/>
      <c r="T818" s="236"/>
      <c r="U818" s="236"/>
      <c r="V818" s="236"/>
      <c r="W818" s="244"/>
      <c r="X818" s="244"/>
      <c r="Y818" s="237"/>
      <c r="Z818" s="244"/>
      <c r="AA818" s="244"/>
      <c r="AB818" s="244"/>
      <c r="AC818" s="244"/>
      <c r="AD818" s="234"/>
      <c r="AE818" s="234"/>
      <c r="AF818" s="238"/>
      <c r="AG818" s="239"/>
      <c r="AH818" s="238"/>
      <c r="AI818" s="238"/>
      <c r="AJ818" s="234"/>
      <c r="AK818" s="234"/>
      <c r="AL818" s="234"/>
      <c r="AM818" s="234"/>
      <c r="AN818" s="234"/>
      <c r="AO818" s="234"/>
    </row>
    <row r="819" ht="15.75" customHeight="1">
      <c r="A819" s="91"/>
      <c r="B819" s="91"/>
      <c r="C819" s="220"/>
      <c r="D819" s="91"/>
      <c r="E819" s="221"/>
      <c r="F819" s="91"/>
      <c r="G819" s="91"/>
      <c r="H819" s="242"/>
      <c r="I819" s="223"/>
      <c r="J819" s="57"/>
      <c r="K819" s="153"/>
      <c r="L819" s="243"/>
      <c r="M819" s="234"/>
      <c r="N819" s="235"/>
      <c r="O819" s="236"/>
      <c r="P819" s="236"/>
      <c r="Q819" s="236"/>
      <c r="R819" s="236"/>
      <c r="S819" s="236"/>
      <c r="T819" s="236"/>
      <c r="U819" s="236"/>
      <c r="V819" s="236"/>
      <c r="W819" s="244"/>
      <c r="X819" s="244"/>
      <c r="Y819" s="237"/>
      <c r="Z819" s="244"/>
      <c r="AA819" s="244"/>
      <c r="AB819" s="244"/>
      <c r="AC819" s="244"/>
      <c r="AD819" s="234"/>
      <c r="AE819" s="234"/>
      <c r="AF819" s="238"/>
      <c r="AG819" s="239"/>
      <c r="AH819" s="238"/>
      <c r="AI819" s="238"/>
      <c r="AJ819" s="234"/>
      <c r="AK819" s="234"/>
      <c r="AL819" s="234"/>
      <c r="AM819" s="234"/>
      <c r="AN819" s="234"/>
      <c r="AO819" s="234"/>
    </row>
    <row r="820" ht="15.75" customHeight="1">
      <c r="A820" s="91"/>
      <c r="B820" s="91"/>
      <c r="C820" s="220"/>
      <c r="D820" s="91"/>
      <c r="E820" s="221"/>
      <c r="F820" s="91"/>
      <c r="G820" s="91"/>
      <c r="H820" s="242"/>
      <c r="I820" s="223"/>
      <c r="J820" s="57"/>
      <c r="K820" s="153"/>
      <c r="L820" s="243"/>
      <c r="M820" s="234"/>
      <c r="N820" s="235"/>
      <c r="O820" s="236"/>
      <c r="P820" s="236"/>
      <c r="Q820" s="236"/>
      <c r="R820" s="236"/>
      <c r="S820" s="236"/>
      <c r="T820" s="236"/>
      <c r="U820" s="236"/>
      <c r="V820" s="236"/>
      <c r="W820" s="244"/>
      <c r="X820" s="244"/>
      <c r="Y820" s="237"/>
      <c r="Z820" s="244"/>
      <c r="AA820" s="244"/>
      <c r="AB820" s="244"/>
      <c r="AC820" s="244"/>
      <c r="AD820" s="234"/>
      <c r="AE820" s="234"/>
      <c r="AF820" s="238"/>
      <c r="AG820" s="239"/>
      <c r="AH820" s="238"/>
      <c r="AI820" s="238"/>
      <c r="AJ820" s="234"/>
      <c r="AK820" s="234"/>
      <c r="AL820" s="234"/>
      <c r="AM820" s="234"/>
      <c r="AN820" s="234"/>
      <c r="AO820" s="234"/>
    </row>
    <row r="821" ht="15.75" customHeight="1">
      <c r="A821" s="91"/>
      <c r="B821" s="91"/>
      <c r="C821" s="220"/>
      <c r="D821" s="91"/>
      <c r="E821" s="221"/>
      <c r="F821" s="91"/>
      <c r="G821" s="91"/>
      <c r="H821" s="242"/>
      <c r="I821" s="223"/>
      <c r="J821" s="57"/>
      <c r="K821" s="153"/>
      <c r="L821" s="243"/>
      <c r="M821" s="234"/>
      <c r="N821" s="235"/>
      <c r="O821" s="236"/>
      <c r="P821" s="236"/>
      <c r="Q821" s="236"/>
      <c r="R821" s="236"/>
      <c r="S821" s="236"/>
      <c r="T821" s="236"/>
      <c r="U821" s="236"/>
      <c r="V821" s="236"/>
      <c r="W821" s="244"/>
      <c r="X821" s="244"/>
      <c r="Y821" s="237"/>
      <c r="Z821" s="244"/>
      <c r="AA821" s="244"/>
      <c r="AB821" s="244"/>
      <c r="AC821" s="244"/>
      <c r="AD821" s="234"/>
      <c r="AE821" s="234"/>
      <c r="AF821" s="238"/>
      <c r="AG821" s="239"/>
      <c r="AH821" s="238"/>
      <c r="AI821" s="238"/>
      <c r="AJ821" s="234"/>
      <c r="AK821" s="234"/>
      <c r="AL821" s="234"/>
      <c r="AM821" s="234"/>
      <c r="AN821" s="234"/>
      <c r="AO821" s="234"/>
    </row>
    <row r="822" ht="15.75" customHeight="1">
      <c r="A822" s="91"/>
      <c r="B822" s="91"/>
      <c r="C822" s="220"/>
      <c r="D822" s="91"/>
      <c r="E822" s="221"/>
      <c r="F822" s="91"/>
      <c r="G822" s="91"/>
      <c r="H822" s="242"/>
      <c r="I822" s="223"/>
      <c r="J822" s="57"/>
      <c r="K822" s="153"/>
      <c r="L822" s="243"/>
      <c r="M822" s="234"/>
      <c r="N822" s="235"/>
      <c r="O822" s="236"/>
      <c r="P822" s="236"/>
      <c r="Q822" s="236"/>
      <c r="R822" s="236"/>
      <c r="S822" s="236"/>
      <c r="T822" s="236"/>
      <c r="U822" s="236"/>
      <c r="V822" s="236"/>
      <c r="W822" s="244"/>
      <c r="X822" s="244"/>
      <c r="Y822" s="237"/>
      <c r="Z822" s="244"/>
      <c r="AA822" s="244"/>
      <c r="AB822" s="244"/>
      <c r="AC822" s="244"/>
      <c r="AD822" s="234"/>
      <c r="AE822" s="234"/>
      <c r="AF822" s="238"/>
      <c r="AG822" s="239"/>
      <c r="AH822" s="238"/>
      <c r="AI822" s="238"/>
      <c r="AJ822" s="234"/>
      <c r="AK822" s="234"/>
      <c r="AL822" s="234"/>
      <c r="AM822" s="234"/>
      <c r="AN822" s="234"/>
      <c r="AO822" s="234"/>
    </row>
    <row r="823" ht="15.75" customHeight="1">
      <c r="A823" s="91"/>
      <c r="B823" s="91"/>
      <c r="C823" s="220"/>
      <c r="D823" s="91"/>
      <c r="E823" s="221"/>
      <c r="F823" s="91"/>
      <c r="G823" s="91"/>
      <c r="H823" s="242"/>
      <c r="I823" s="223"/>
      <c r="J823" s="57"/>
      <c r="K823" s="153"/>
      <c r="L823" s="243"/>
      <c r="M823" s="234"/>
      <c r="N823" s="235"/>
      <c r="O823" s="236"/>
      <c r="P823" s="236"/>
      <c r="Q823" s="236"/>
      <c r="R823" s="236"/>
      <c r="S823" s="236"/>
      <c r="T823" s="236"/>
      <c r="U823" s="236"/>
      <c r="V823" s="236"/>
      <c r="W823" s="244"/>
      <c r="X823" s="244"/>
      <c r="Y823" s="237"/>
      <c r="Z823" s="244"/>
      <c r="AA823" s="244"/>
      <c r="AB823" s="244"/>
      <c r="AC823" s="244"/>
      <c r="AD823" s="234"/>
      <c r="AE823" s="234"/>
      <c r="AF823" s="238"/>
      <c r="AG823" s="239"/>
      <c r="AH823" s="238"/>
      <c r="AI823" s="238"/>
      <c r="AJ823" s="234"/>
      <c r="AK823" s="234"/>
      <c r="AL823" s="234"/>
      <c r="AM823" s="234"/>
      <c r="AN823" s="234"/>
      <c r="AO823" s="234"/>
    </row>
    <row r="824" ht="15.75" customHeight="1">
      <c r="A824" s="91"/>
      <c r="B824" s="91"/>
      <c r="C824" s="220"/>
      <c r="D824" s="91"/>
      <c r="E824" s="221"/>
      <c r="F824" s="91"/>
      <c r="G824" s="91"/>
      <c r="H824" s="242"/>
      <c r="I824" s="223"/>
      <c r="J824" s="57"/>
      <c r="K824" s="153"/>
      <c r="L824" s="243"/>
      <c r="M824" s="234"/>
      <c r="N824" s="235"/>
      <c r="O824" s="236"/>
      <c r="P824" s="236"/>
      <c r="Q824" s="236"/>
      <c r="R824" s="236"/>
      <c r="S824" s="236"/>
      <c r="T824" s="236"/>
      <c r="U824" s="236"/>
      <c r="V824" s="236"/>
      <c r="W824" s="244"/>
      <c r="X824" s="244"/>
      <c r="Y824" s="237"/>
      <c r="Z824" s="244"/>
      <c r="AA824" s="244"/>
      <c r="AB824" s="244"/>
      <c r="AC824" s="244"/>
      <c r="AD824" s="234"/>
      <c r="AE824" s="234"/>
      <c r="AF824" s="238"/>
      <c r="AG824" s="239"/>
      <c r="AH824" s="238"/>
      <c r="AI824" s="238"/>
      <c r="AJ824" s="234"/>
      <c r="AK824" s="234"/>
      <c r="AL824" s="234"/>
      <c r="AM824" s="234"/>
      <c r="AN824" s="234"/>
      <c r="AO824" s="234"/>
    </row>
    <row r="825" ht="15.75" customHeight="1">
      <c r="A825" s="91"/>
      <c r="B825" s="91"/>
      <c r="C825" s="220"/>
      <c r="D825" s="91"/>
      <c r="E825" s="221"/>
      <c r="F825" s="91"/>
      <c r="G825" s="91"/>
      <c r="H825" s="242"/>
      <c r="I825" s="223"/>
      <c r="J825" s="57"/>
      <c r="K825" s="153"/>
      <c r="L825" s="243"/>
      <c r="M825" s="234"/>
      <c r="N825" s="235"/>
      <c r="O825" s="236"/>
      <c r="P825" s="236"/>
      <c r="Q825" s="236"/>
      <c r="R825" s="236"/>
      <c r="S825" s="236"/>
      <c r="T825" s="236"/>
      <c r="U825" s="236"/>
      <c r="V825" s="236"/>
      <c r="W825" s="244"/>
      <c r="X825" s="244"/>
      <c r="Y825" s="237"/>
      <c r="Z825" s="244"/>
      <c r="AA825" s="244"/>
      <c r="AB825" s="244"/>
      <c r="AC825" s="244"/>
      <c r="AD825" s="234"/>
      <c r="AE825" s="234"/>
      <c r="AF825" s="238"/>
      <c r="AG825" s="239"/>
      <c r="AH825" s="238"/>
      <c r="AI825" s="238"/>
      <c r="AJ825" s="234"/>
      <c r="AK825" s="234"/>
      <c r="AL825" s="234"/>
      <c r="AM825" s="234"/>
      <c r="AN825" s="234"/>
      <c r="AO825" s="234"/>
    </row>
    <row r="826" ht="15.75" customHeight="1">
      <c r="A826" s="91"/>
      <c r="B826" s="91"/>
      <c r="C826" s="220"/>
      <c r="D826" s="91"/>
      <c r="E826" s="221"/>
      <c r="F826" s="91"/>
      <c r="G826" s="91"/>
      <c r="H826" s="242"/>
      <c r="I826" s="223"/>
      <c r="J826" s="57"/>
      <c r="K826" s="153"/>
      <c r="L826" s="243"/>
      <c r="M826" s="234"/>
      <c r="N826" s="235"/>
      <c r="O826" s="236"/>
      <c r="P826" s="236"/>
      <c r="Q826" s="236"/>
      <c r="R826" s="236"/>
      <c r="S826" s="236"/>
      <c r="T826" s="236"/>
      <c r="U826" s="236"/>
      <c r="V826" s="236"/>
      <c r="W826" s="244"/>
      <c r="X826" s="244"/>
      <c r="Y826" s="237"/>
      <c r="Z826" s="244"/>
      <c r="AA826" s="244"/>
      <c r="AB826" s="244"/>
      <c r="AC826" s="244"/>
      <c r="AD826" s="234"/>
      <c r="AE826" s="234"/>
      <c r="AF826" s="238"/>
      <c r="AG826" s="239"/>
      <c r="AH826" s="238"/>
      <c r="AI826" s="238"/>
      <c r="AJ826" s="234"/>
      <c r="AK826" s="234"/>
      <c r="AL826" s="234"/>
      <c r="AM826" s="234"/>
      <c r="AN826" s="234"/>
      <c r="AO826" s="234"/>
    </row>
    <row r="827" ht="15.75" customHeight="1">
      <c r="A827" s="91"/>
      <c r="B827" s="91"/>
      <c r="C827" s="220"/>
      <c r="D827" s="91"/>
      <c r="E827" s="221"/>
      <c r="F827" s="91"/>
      <c r="G827" s="91"/>
      <c r="H827" s="242"/>
      <c r="I827" s="223"/>
      <c r="J827" s="57"/>
      <c r="K827" s="153"/>
      <c r="L827" s="243"/>
      <c r="M827" s="234"/>
      <c r="N827" s="235"/>
      <c r="O827" s="236"/>
      <c r="P827" s="236"/>
      <c r="Q827" s="236"/>
      <c r="R827" s="236"/>
      <c r="S827" s="236"/>
      <c r="T827" s="236"/>
      <c r="U827" s="236"/>
      <c r="V827" s="236"/>
      <c r="W827" s="244"/>
      <c r="X827" s="244"/>
      <c r="Y827" s="237"/>
      <c r="Z827" s="244"/>
      <c r="AA827" s="244"/>
      <c r="AB827" s="244"/>
      <c r="AC827" s="244"/>
      <c r="AD827" s="234"/>
      <c r="AE827" s="234"/>
      <c r="AF827" s="238"/>
      <c r="AG827" s="239"/>
      <c r="AH827" s="238"/>
      <c r="AI827" s="238"/>
      <c r="AJ827" s="234"/>
      <c r="AK827" s="234"/>
      <c r="AL827" s="234"/>
      <c r="AM827" s="234"/>
      <c r="AN827" s="234"/>
      <c r="AO827" s="234"/>
    </row>
    <row r="828" ht="15.75" customHeight="1">
      <c r="A828" s="91"/>
      <c r="B828" s="91"/>
      <c r="C828" s="220"/>
      <c r="D828" s="91"/>
      <c r="E828" s="221"/>
      <c r="F828" s="91"/>
      <c r="G828" s="91"/>
      <c r="H828" s="242"/>
      <c r="I828" s="223"/>
      <c r="J828" s="57"/>
      <c r="K828" s="153"/>
      <c r="L828" s="243"/>
      <c r="M828" s="234"/>
      <c r="N828" s="235"/>
      <c r="O828" s="236"/>
      <c r="P828" s="236"/>
      <c r="Q828" s="236"/>
      <c r="R828" s="236"/>
      <c r="S828" s="236"/>
      <c r="T828" s="236"/>
      <c r="U828" s="236"/>
      <c r="V828" s="236"/>
      <c r="W828" s="244"/>
      <c r="X828" s="244"/>
      <c r="Y828" s="237"/>
      <c r="Z828" s="244"/>
      <c r="AA828" s="244"/>
      <c r="AB828" s="244"/>
      <c r="AC828" s="244"/>
      <c r="AD828" s="234"/>
      <c r="AE828" s="234"/>
      <c r="AF828" s="238"/>
      <c r="AG828" s="239"/>
      <c r="AH828" s="238"/>
      <c r="AI828" s="238"/>
      <c r="AJ828" s="234"/>
      <c r="AK828" s="234"/>
      <c r="AL828" s="234"/>
      <c r="AM828" s="234"/>
      <c r="AN828" s="234"/>
      <c r="AO828" s="234"/>
    </row>
    <row r="829" ht="15.75" customHeight="1">
      <c r="A829" s="91"/>
      <c r="B829" s="91"/>
      <c r="C829" s="220"/>
      <c r="D829" s="91"/>
      <c r="E829" s="221"/>
      <c r="F829" s="91"/>
      <c r="G829" s="91"/>
      <c r="H829" s="242"/>
      <c r="I829" s="223"/>
      <c r="J829" s="57"/>
      <c r="K829" s="153"/>
      <c r="L829" s="243"/>
      <c r="M829" s="234"/>
      <c r="N829" s="235"/>
      <c r="O829" s="236"/>
      <c r="P829" s="236"/>
      <c r="Q829" s="236"/>
      <c r="R829" s="236"/>
      <c r="S829" s="236"/>
      <c r="T829" s="236"/>
      <c r="U829" s="236"/>
      <c r="V829" s="236"/>
      <c r="W829" s="244"/>
      <c r="X829" s="244"/>
      <c r="Y829" s="237"/>
      <c r="Z829" s="244"/>
      <c r="AA829" s="244"/>
      <c r="AB829" s="244"/>
      <c r="AC829" s="244"/>
      <c r="AD829" s="234"/>
      <c r="AE829" s="234"/>
      <c r="AF829" s="238"/>
      <c r="AG829" s="239"/>
      <c r="AH829" s="238"/>
      <c r="AI829" s="238"/>
      <c r="AJ829" s="234"/>
      <c r="AK829" s="234"/>
      <c r="AL829" s="234"/>
      <c r="AM829" s="234"/>
      <c r="AN829" s="234"/>
      <c r="AO829" s="234"/>
    </row>
    <row r="830" ht="15.75" customHeight="1">
      <c r="A830" s="91"/>
      <c r="B830" s="91"/>
      <c r="C830" s="220"/>
      <c r="D830" s="91"/>
      <c r="E830" s="221"/>
      <c r="F830" s="91"/>
      <c r="G830" s="91"/>
      <c r="H830" s="242"/>
      <c r="I830" s="223"/>
      <c r="J830" s="57"/>
      <c r="K830" s="153"/>
      <c r="L830" s="243"/>
      <c r="M830" s="234"/>
      <c r="N830" s="235"/>
      <c r="O830" s="236"/>
      <c r="P830" s="236"/>
      <c r="Q830" s="236"/>
      <c r="R830" s="236"/>
      <c r="S830" s="236"/>
      <c r="T830" s="236"/>
      <c r="U830" s="236"/>
      <c r="V830" s="236"/>
      <c r="W830" s="244"/>
      <c r="X830" s="244"/>
      <c r="Y830" s="237"/>
      <c r="Z830" s="244"/>
      <c r="AA830" s="244"/>
      <c r="AB830" s="244"/>
      <c r="AC830" s="244"/>
      <c r="AD830" s="234"/>
      <c r="AE830" s="234"/>
      <c r="AF830" s="238"/>
      <c r="AG830" s="239"/>
      <c r="AH830" s="238"/>
      <c r="AI830" s="238"/>
      <c r="AJ830" s="234"/>
      <c r="AK830" s="234"/>
      <c r="AL830" s="234"/>
      <c r="AM830" s="234"/>
      <c r="AN830" s="234"/>
      <c r="AO830" s="234"/>
    </row>
    <row r="831" ht="15.75" customHeight="1">
      <c r="A831" s="91"/>
      <c r="B831" s="91"/>
      <c r="C831" s="220"/>
      <c r="D831" s="91"/>
      <c r="E831" s="221"/>
      <c r="F831" s="91"/>
      <c r="G831" s="91"/>
      <c r="H831" s="242"/>
      <c r="I831" s="223"/>
      <c r="J831" s="57"/>
      <c r="K831" s="153"/>
      <c r="L831" s="243"/>
      <c r="M831" s="234"/>
      <c r="N831" s="235"/>
      <c r="O831" s="236"/>
      <c r="P831" s="236"/>
      <c r="Q831" s="236"/>
      <c r="R831" s="236"/>
      <c r="S831" s="236"/>
      <c r="T831" s="236"/>
      <c r="U831" s="236"/>
      <c r="V831" s="236"/>
      <c r="W831" s="244"/>
      <c r="X831" s="244"/>
      <c r="Y831" s="237"/>
      <c r="Z831" s="244"/>
      <c r="AA831" s="244"/>
      <c r="AB831" s="244"/>
      <c r="AC831" s="244"/>
      <c r="AD831" s="234"/>
      <c r="AE831" s="234"/>
      <c r="AF831" s="238"/>
      <c r="AG831" s="239"/>
      <c r="AH831" s="238"/>
      <c r="AI831" s="238"/>
      <c r="AJ831" s="234"/>
      <c r="AK831" s="234"/>
      <c r="AL831" s="234"/>
      <c r="AM831" s="234"/>
      <c r="AN831" s="234"/>
      <c r="AO831" s="234"/>
    </row>
    <row r="832" ht="15.75" customHeight="1">
      <c r="A832" s="91"/>
      <c r="B832" s="91"/>
      <c r="C832" s="220"/>
      <c r="D832" s="91"/>
      <c r="E832" s="221"/>
      <c r="F832" s="91"/>
      <c r="G832" s="91"/>
      <c r="H832" s="242"/>
      <c r="I832" s="223"/>
      <c r="J832" s="57"/>
      <c r="K832" s="153"/>
      <c r="L832" s="243"/>
      <c r="M832" s="234"/>
      <c r="N832" s="235"/>
      <c r="O832" s="236"/>
      <c r="P832" s="236"/>
      <c r="Q832" s="236"/>
      <c r="R832" s="236"/>
      <c r="S832" s="236"/>
      <c r="T832" s="236"/>
      <c r="U832" s="236"/>
      <c r="V832" s="236"/>
      <c r="W832" s="244"/>
      <c r="X832" s="244"/>
      <c r="Y832" s="237"/>
      <c r="Z832" s="244"/>
      <c r="AA832" s="244"/>
      <c r="AB832" s="244"/>
      <c r="AC832" s="244"/>
      <c r="AD832" s="234"/>
      <c r="AE832" s="234"/>
      <c r="AF832" s="238"/>
      <c r="AG832" s="239"/>
      <c r="AH832" s="238"/>
      <c r="AI832" s="238"/>
      <c r="AJ832" s="234"/>
      <c r="AK832" s="234"/>
      <c r="AL832" s="234"/>
      <c r="AM832" s="234"/>
      <c r="AN832" s="234"/>
      <c r="AO832" s="234"/>
    </row>
    <row r="833" ht="15.75" customHeight="1">
      <c r="A833" s="91"/>
      <c r="B833" s="91"/>
      <c r="C833" s="220"/>
      <c r="D833" s="91"/>
      <c r="E833" s="221"/>
      <c r="F833" s="91"/>
      <c r="G833" s="91"/>
      <c r="H833" s="242"/>
      <c r="I833" s="223"/>
      <c r="J833" s="57"/>
      <c r="K833" s="153"/>
      <c r="L833" s="243"/>
      <c r="M833" s="234"/>
      <c r="N833" s="235"/>
      <c r="O833" s="236"/>
      <c r="P833" s="236"/>
      <c r="Q833" s="236"/>
      <c r="R833" s="236"/>
      <c r="S833" s="236"/>
      <c r="T833" s="236"/>
      <c r="U833" s="236"/>
      <c r="V833" s="236"/>
      <c r="W833" s="244"/>
      <c r="X833" s="244"/>
      <c r="Y833" s="237"/>
      <c r="Z833" s="244"/>
      <c r="AA833" s="244"/>
      <c r="AB833" s="244"/>
      <c r="AC833" s="244"/>
      <c r="AD833" s="234"/>
      <c r="AE833" s="234"/>
      <c r="AF833" s="238"/>
      <c r="AG833" s="239"/>
      <c r="AH833" s="238"/>
      <c r="AI833" s="238"/>
      <c r="AJ833" s="234"/>
      <c r="AK833" s="234"/>
      <c r="AL833" s="234"/>
      <c r="AM833" s="234"/>
      <c r="AN833" s="234"/>
      <c r="AO833" s="234"/>
    </row>
    <row r="834" ht="15.75" customHeight="1">
      <c r="A834" s="91"/>
      <c r="B834" s="91"/>
      <c r="C834" s="220"/>
      <c r="D834" s="91"/>
      <c r="E834" s="221"/>
      <c r="F834" s="91"/>
      <c r="G834" s="91"/>
      <c r="H834" s="242"/>
      <c r="I834" s="223"/>
      <c r="J834" s="57"/>
      <c r="K834" s="153"/>
      <c r="L834" s="243"/>
      <c r="M834" s="234"/>
      <c r="N834" s="235"/>
      <c r="O834" s="236"/>
      <c r="P834" s="236"/>
      <c r="Q834" s="236"/>
      <c r="R834" s="236"/>
      <c r="S834" s="236"/>
      <c r="T834" s="236"/>
      <c r="U834" s="236"/>
      <c r="V834" s="236"/>
      <c r="W834" s="244"/>
      <c r="X834" s="244"/>
      <c r="Y834" s="237"/>
      <c r="Z834" s="244"/>
      <c r="AA834" s="244"/>
      <c r="AB834" s="244"/>
      <c r="AC834" s="244"/>
      <c r="AD834" s="234"/>
      <c r="AE834" s="234"/>
      <c r="AF834" s="238"/>
      <c r="AG834" s="239"/>
      <c r="AH834" s="238"/>
      <c r="AI834" s="238"/>
      <c r="AJ834" s="234"/>
      <c r="AK834" s="234"/>
      <c r="AL834" s="234"/>
      <c r="AM834" s="234"/>
      <c r="AN834" s="234"/>
      <c r="AO834" s="234"/>
    </row>
    <row r="835" ht="15.75" customHeight="1">
      <c r="A835" s="91"/>
      <c r="B835" s="91"/>
      <c r="C835" s="220"/>
      <c r="D835" s="91"/>
      <c r="E835" s="221"/>
      <c r="F835" s="91"/>
      <c r="G835" s="91"/>
      <c r="H835" s="242"/>
      <c r="I835" s="223"/>
      <c r="J835" s="57"/>
      <c r="K835" s="153"/>
      <c r="L835" s="243"/>
      <c r="M835" s="234"/>
      <c r="N835" s="235"/>
      <c r="O835" s="236"/>
      <c r="P835" s="236"/>
      <c r="Q835" s="236"/>
      <c r="R835" s="236"/>
      <c r="S835" s="236"/>
      <c r="T835" s="236"/>
      <c r="U835" s="236"/>
      <c r="V835" s="236"/>
      <c r="W835" s="244"/>
      <c r="X835" s="244"/>
      <c r="Y835" s="237"/>
      <c r="Z835" s="244"/>
      <c r="AA835" s="244"/>
      <c r="AB835" s="244"/>
      <c r="AC835" s="244"/>
      <c r="AD835" s="234"/>
      <c r="AE835" s="234"/>
      <c r="AF835" s="238"/>
      <c r="AG835" s="239"/>
      <c r="AH835" s="238"/>
      <c r="AI835" s="238"/>
      <c r="AJ835" s="234"/>
      <c r="AK835" s="234"/>
      <c r="AL835" s="234"/>
      <c r="AM835" s="234"/>
      <c r="AN835" s="234"/>
      <c r="AO835" s="234"/>
    </row>
    <row r="836" ht="15.75" customHeight="1">
      <c r="A836" s="91"/>
      <c r="B836" s="91"/>
      <c r="C836" s="220"/>
      <c r="D836" s="91"/>
      <c r="E836" s="221"/>
      <c r="F836" s="91"/>
      <c r="G836" s="91"/>
      <c r="H836" s="242"/>
      <c r="I836" s="223"/>
      <c r="J836" s="57"/>
      <c r="K836" s="153"/>
      <c r="L836" s="243"/>
      <c r="M836" s="234"/>
      <c r="N836" s="235"/>
      <c r="O836" s="236"/>
      <c r="P836" s="236"/>
      <c r="Q836" s="236"/>
      <c r="R836" s="236"/>
      <c r="S836" s="236"/>
      <c r="T836" s="236"/>
      <c r="U836" s="236"/>
      <c r="V836" s="236"/>
      <c r="W836" s="244"/>
      <c r="X836" s="244"/>
      <c r="Y836" s="237"/>
      <c r="Z836" s="244"/>
      <c r="AA836" s="244"/>
      <c r="AB836" s="244"/>
      <c r="AC836" s="244"/>
      <c r="AD836" s="234"/>
      <c r="AE836" s="234"/>
      <c r="AF836" s="238"/>
      <c r="AG836" s="239"/>
      <c r="AH836" s="238"/>
      <c r="AI836" s="238"/>
      <c r="AJ836" s="234"/>
      <c r="AK836" s="234"/>
      <c r="AL836" s="234"/>
      <c r="AM836" s="234"/>
      <c r="AN836" s="234"/>
      <c r="AO836" s="234"/>
    </row>
    <row r="837" ht="15.75" customHeight="1">
      <c r="A837" s="91"/>
      <c r="B837" s="91"/>
      <c r="C837" s="220"/>
      <c r="D837" s="91"/>
      <c r="E837" s="221"/>
      <c r="F837" s="91"/>
      <c r="G837" s="91"/>
      <c r="H837" s="242"/>
      <c r="I837" s="223"/>
      <c r="J837" s="57"/>
      <c r="K837" s="153"/>
      <c r="L837" s="243"/>
      <c r="M837" s="234"/>
      <c r="N837" s="235"/>
      <c r="O837" s="236"/>
      <c r="P837" s="236"/>
      <c r="Q837" s="236"/>
      <c r="R837" s="236"/>
      <c r="S837" s="236"/>
      <c r="T837" s="236"/>
      <c r="U837" s="236"/>
      <c r="V837" s="236"/>
      <c r="W837" s="244"/>
      <c r="X837" s="244"/>
      <c r="Y837" s="237"/>
      <c r="Z837" s="244"/>
      <c r="AA837" s="244"/>
      <c r="AB837" s="244"/>
      <c r="AC837" s="244"/>
      <c r="AD837" s="234"/>
      <c r="AE837" s="234"/>
      <c r="AF837" s="238"/>
      <c r="AG837" s="239"/>
      <c r="AH837" s="238"/>
      <c r="AI837" s="238"/>
      <c r="AJ837" s="234"/>
      <c r="AK837" s="234"/>
      <c r="AL837" s="234"/>
      <c r="AM837" s="234"/>
      <c r="AN837" s="234"/>
      <c r="AO837" s="234"/>
    </row>
    <row r="838" ht="15.75" customHeight="1">
      <c r="A838" s="91"/>
      <c r="B838" s="91"/>
      <c r="C838" s="220"/>
      <c r="D838" s="91"/>
      <c r="E838" s="221"/>
      <c r="F838" s="91"/>
      <c r="G838" s="91"/>
      <c r="H838" s="242"/>
      <c r="I838" s="223"/>
      <c r="J838" s="57"/>
      <c r="K838" s="153"/>
      <c r="L838" s="243"/>
      <c r="M838" s="234"/>
      <c r="N838" s="235"/>
      <c r="O838" s="236"/>
      <c r="P838" s="236"/>
      <c r="Q838" s="236"/>
      <c r="R838" s="236"/>
      <c r="S838" s="236"/>
      <c r="T838" s="236"/>
      <c r="U838" s="236"/>
      <c r="V838" s="236"/>
      <c r="W838" s="244"/>
      <c r="X838" s="244"/>
      <c r="Y838" s="237"/>
      <c r="Z838" s="244"/>
      <c r="AA838" s="244"/>
      <c r="AB838" s="244"/>
      <c r="AC838" s="244"/>
      <c r="AD838" s="234"/>
      <c r="AE838" s="234"/>
      <c r="AF838" s="238"/>
      <c r="AG838" s="239"/>
      <c r="AH838" s="238"/>
      <c r="AI838" s="238"/>
      <c r="AJ838" s="234"/>
      <c r="AK838" s="234"/>
      <c r="AL838" s="234"/>
      <c r="AM838" s="234"/>
      <c r="AN838" s="234"/>
      <c r="AO838" s="234"/>
    </row>
    <row r="839" ht="15.75" customHeight="1">
      <c r="A839" s="91"/>
      <c r="B839" s="91"/>
      <c r="C839" s="220"/>
      <c r="D839" s="91"/>
      <c r="E839" s="221"/>
      <c r="F839" s="91"/>
      <c r="G839" s="91"/>
      <c r="H839" s="242"/>
      <c r="I839" s="223"/>
      <c r="J839" s="57"/>
      <c r="K839" s="153"/>
      <c r="L839" s="243"/>
      <c r="M839" s="234"/>
      <c r="N839" s="235"/>
      <c r="O839" s="236"/>
      <c r="P839" s="236"/>
      <c r="Q839" s="236"/>
      <c r="R839" s="236"/>
      <c r="S839" s="236"/>
      <c r="T839" s="236"/>
      <c r="U839" s="236"/>
      <c r="V839" s="236"/>
      <c r="W839" s="244"/>
      <c r="X839" s="244"/>
      <c r="Y839" s="237"/>
      <c r="Z839" s="244"/>
      <c r="AA839" s="244"/>
      <c r="AB839" s="244"/>
      <c r="AC839" s="244"/>
      <c r="AD839" s="234"/>
      <c r="AE839" s="234"/>
      <c r="AF839" s="238"/>
      <c r="AG839" s="239"/>
      <c r="AH839" s="238"/>
      <c r="AI839" s="238"/>
      <c r="AJ839" s="234"/>
      <c r="AK839" s="234"/>
      <c r="AL839" s="234"/>
      <c r="AM839" s="234"/>
      <c r="AN839" s="234"/>
      <c r="AO839" s="234"/>
    </row>
    <row r="840" ht="15.75" customHeight="1">
      <c r="A840" s="91"/>
      <c r="B840" s="91"/>
      <c r="C840" s="220"/>
      <c r="D840" s="91"/>
      <c r="E840" s="221"/>
      <c r="F840" s="91"/>
      <c r="G840" s="91"/>
      <c r="H840" s="242"/>
      <c r="I840" s="223"/>
      <c r="J840" s="57"/>
      <c r="K840" s="153"/>
      <c r="L840" s="243"/>
      <c r="M840" s="234"/>
      <c r="N840" s="235"/>
      <c r="O840" s="236"/>
      <c r="P840" s="236"/>
      <c r="Q840" s="236"/>
      <c r="R840" s="236"/>
      <c r="S840" s="236"/>
      <c r="T840" s="236"/>
      <c r="U840" s="236"/>
      <c r="V840" s="236"/>
      <c r="W840" s="244"/>
      <c r="X840" s="244"/>
      <c r="Y840" s="237"/>
      <c r="Z840" s="244"/>
      <c r="AA840" s="244"/>
      <c r="AB840" s="244"/>
      <c r="AC840" s="244"/>
      <c r="AD840" s="234"/>
      <c r="AE840" s="234"/>
      <c r="AF840" s="238"/>
      <c r="AG840" s="239"/>
      <c r="AH840" s="238"/>
      <c r="AI840" s="238"/>
      <c r="AJ840" s="234"/>
      <c r="AK840" s="234"/>
      <c r="AL840" s="234"/>
      <c r="AM840" s="234"/>
      <c r="AN840" s="234"/>
      <c r="AO840" s="234"/>
    </row>
    <row r="841" ht="15.75" customHeight="1">
      <c r="A841" s="91"/>
      <c r="B841" s="91"/>
      <c r="C841" s="220"/>
      <c r="D841" s="91"/>
      <c r="E841" s="221"/>
      <c r="F841" s="91"/>
      <c r="G841" s="91"/>
      <c r="H841" s="242"/>
      <c r="I841" s="223"/>
      <c r="J841" s="57"/>
      <c r="K841" s="153"/>
      <c r="L841" s="243"/>
      <c r="M841" s="234"/>
      <c r="N841" s="235"/>
      <c r="O841" s="236"/>
      <c r="P841" s="236"/>
      <c r="Q841" s="236"/>
      <c r="R841" s="236"/>
      <c r="S841" s="236"/>
      <c r="T841" s="236"/>
      <c r="U841" s="236"/>
      <c r="V841" s="236"/>
      <c r="W841" s="244"/>
      <c r="X841" s="244"/>
      <c r="Y841" s="237"/>
      <c r="Z841" s="244"/>
      <c r="AA841" s="244"/>
      <c r="AB841" s="244"/>
      <c r="AC841" s="244"/>
      <c r="AD841" s="234"/>
      <c r="AE841" s="234"/>
      <c r="AF841" s="238"/>
      <c r="AG841" s="239"/>
      <c r="AH841" s="238"/>
      <c r="AI841" s="238"/>
      <c r="AJ841" s="234"/>
      <c r="AK841" s="234"/>
      <c r="AL841" s="234"/>
      <c r="AM841" s="234"/>
      <c r="AN841" s="234"/>
      <c r="AO841" s="234"/>
    </row>
    <row r="842" ht="15.75" customHeight="1">
      <c r="A842" s="91"/>
      <c r="B842" s="91"/>
      <c r="C842" s="220"/>
      <c r="D842" s="91"/>
      <c r="E842" s="221"/>
      <c r="F842" s="91"/>
      <c r="G842" s="91"/>
      <c r="H842" s="242"/>
      <c r="I842" s="223"/>
      <c r="J842" s="57"/>
      <c r="K842" s="153"/>
      <c r="L842" s="243"/>
      <c r="M842" s="234"/>
      <c r="N842" s="235"/>
      <c r="O842" s="236"/>
      <c r="P842" s="236"/>
      <c r="Q842" s="236"/>
      <c r="R842" s="236"/>
      <c r="S842" s="236"/>
      <c r="T842" s="236"/>
      <c r="U842" s="236"/>
      <c r="V842" s="236"/>
      <c r="W842" s="244"/>
      <c r="X842" s="244"/>
      <c r="Y842" s="237"/>
      <c r="Z842" s="244"/>
      <c r="AA842" s="244"/>
      <c r="AB842" s="244"/>
      <c r="AC842" s="244"/>
      <c r="AD842" s="234"/>
      <c r="AE842" s="234"/>
      <c r="AF842" s="238"/>
      <c r="AG842" s="239"/>
      <c r="AH842" s="238"/>
      <c r="AI842" s="238"/>
      <c r="AJ842" s="234"/>
      <c r="AK842" s="234"/>
      <c r="AL842" s="234"/>
      <c r="AM842" s="234"/>
      <c r="AN842" s="234"/>
      <c r="AO842" s="234"/>
    </row>
    <row r="843" ht="15.75" customHeight="1">
      <c r="A843" s="91"/>
      <c r="B843" s="91"/>
      <c r="C843" s="220"/>
      <c r="D843" s="91"/>
      <c r="E843" s="221"/>
      <c r="F843" s="91"/>
      <c r="G843" s="91"/>
      <c r="H843" s="242"/>
      <c r="I843" s="223"/>
      <c r="J843" s="57"/>
      <c r="K843" s="153"/>
      <c r="L843" s="243"/>
      <c r="M843" s="234"/>
      <c r="N843" s="235"/>
      <c r="O843" s="236"/>
      <c r="P843" s="236"/>
      <c r="Q843" s="236"/>
      <c r="R843" s="236"/>
      <c r="S843" s="236"/>
      <c r="T843" s="236"/>
      <c r="U843" s="236"/>
      <c r="V843" s="236"/>
      <c r="W843" s="244"/>
      <c r="X843" s="244"/>
      <c r="Y843" s="237"/>
      <c r="Z843" s="244"/>
      <c r="AA843" s="244"/>
      <c r="AB843" s="244"/>
      <c r="AC843" s="244"/>
      <c r="AD843" s="234"/>
      <c r="AE843" s="234"/>
      <c r="AF843" s="238"/>
      <c r="AG843" s="239"/>
      <c r="AH843" s="238"/>
      <c r="AI843" s="238"/>
      <c r="AJ843" s="234"/>
      <c r="AK843" s="234"/>
      <c r="AL843" s="234"/>
      <c r="AM843" s="234"/>
      <c r="AN843" s="234"/>
      <c r="AO843" s="234"/>
    </row>
    <row r="844" ht="15.75" customHeight="1">
      <c r="A844" s="91"/>
      <c r="B844" s="91"/>
      <c r="C844" s="220"/>
      <c r="D844" s="91"/>
      <c r="E844" s="221"/>
      <c r="F844" s="91"/>
      <c r="G844" s="91"/>
      <c r="H844" s="242"/>
      <c r="I844" s="223"/>
      <c r="J844" s="57"/>
      <c r="K844" s="153"/>
      <c r="L844" s="243"/>
      <c r="M844" s="234"/>
      <c r="N844" s="235"/>
      <c r="O844" s="236"/>
      <c r="P844" s="236"/>
      <c r="Q844" s="236"/>
      <c r="R844" s="236"/>
      <c r="S844" s="236"/>
      <c r="T844" s="236"/>
      <c r="U844" s="236"/>
      <c r="V844" s="236"/>
      <c r="W844" s="244"/>
      <c r="X844" s="244"/>
      <c r="Y844" s="237"/>
      <c r="Z844" s="244"/>
      <c r="AA844" s="244"/>
      <c r="AB844" s="244"/>
      <c r="AC844" s="244"/>
      <c r="AD844" s="234"/>
      <c r="AE844" s="234"/>
      <c r="AF844" s="238"/>
      <c r="AG844" s="239"/>
      <c r="AH844" s="238"/>
      <c r="AI844" s="238"/>
      <c r="AJ844" s="234"/>
      <c r="AK844" s="234"/>
      <c r="AL844" s="234"/>
      <c r="AM844" s="234"/>
      <c r="AN844" s="234"/>
      <c r="AO844" s="234"/>
    </row>
    <row r="845" ht="15.75" customHeight="1">
      <c r="A845" s="91"/>
      <c r="B845" s="91"/>
      <c r="C845" s="220"/>
      <c r="D845" s="91"/>
      <c r="E845" s="221"/>
      <c r="F845" s="91"/>
      <c r="G845" s="91"/>
      <c r="H845" s="242"/>
      <c r="I845" s="223"/>
      <c r="J845" s="57"/>
      <c r="K845" s="153"/>
      <c r="L845" s="243"/>
      <c r="M845" s="234"/>
      <c r="N845" s="235"/>
      <c r="O845" s="236"/>
      <c r="P845" s="236"/>
      <c r="Q845" s="236"/>
      <c r="R845" s="236"/>
      <c r="S845" s="236"/>
      <c r="T845" s="236"/>
      <c r="U845" s="236"/>
      <c r="V845" s="236"/>
      <c r="W845" s="244"/>
      <c r="X845" s="244"/>
      <c r="Y845" s="237"/>
      <c r="Z845" s="244"/>
      <c r="AA845" s="244"/>
      <c r="AB845" s="244"/>
      <c r="AC845" s="244"/>
      <c r="AD845" s="234"/>
      <c r="AE845" s="234"/>
      <c r="AF845" s="238"/>
      <c r="AG845" s="239"/>
      <c r="AH845" s="238"/>
      <c r="AI845" s="238"/>
      <c r="AJ845" s="234"/>
      <c r="AK845" s="234"/>
      <c r="AL845" s="234"/>
      <c r="AM845" s="234"/>
      <c r="AN845" s="234"/>
      <c r="AO845" s="234"/>
    </row>
    <row r="846" ht="15.75" customHeight="1">
      <c r="A846" s="91"/>
      <c r="B846" s="91"/>
      <c r="C846" s="220"/>
      <c r="D846" s="91"/>
      <c r="E846" s="221"/>
      <c r="F846" s="91"/>
      <c r="G846" s="91"/>
      <c r="H846" s="242"/>
      <c r="I846" s="223"/>
      <c r="J846" s="57"/>
      <c r="K846" s="153"/>
      <c r="L846" s="243"/>
      <c r="M846" s="234"/>
      <c r="N846" s="235"/>
      <c r="O846" s="236"/>
      <c r="P846" s="236"/>
      <c r="Q846" s="236"/>
      <c r="R846" s="236"/>
      <c r="S846" s="236"/>
      <c r="T846" s="236"/>
      <c r="U846" s="236"/>
      <c r="V846" s="236"/>
      <c r="W846" s="244"/>
      <c r="X846" s="244"/>
      <c r="Y846" s="237"/>
      <c r="Z846" s="244"/>
      <c r="AA846" s="244"/>
      <c r="AB846" s="244"/>
      <c r="AC846" s="244"/>
      <c r="AD846" s="234"/>
      <c r="AE846" s="234"/>
      <c r="AF846" s="238"/>
      <c r="AG846" s="239"/>
      <c r="AH846" s="238"/>
      <c r="AI846" s="238"/>
      <c r="AJ846" s="234"/>
      <c r="AK846" s="234"/>
      <c r="AL846" s="234"/>
      <c r="AM846" s="234"/>
      <c r="AN846" s="234"/>
      <c r="AO846" s="234"/>
    </row>
    <row r="847" ht="15.75" customHeight="1">
      <c r="A847" s="91"/>
      <c r="B847" s="91"/>
      <c r="C847" s="220"/>
      <c r="D847" s="91"/>
      <c r="E847" s="221"/>
      <c r="F847" s="91"/>
      <c r="G847" s="91"/>
      <c r="H847" s="242"/>
      <c r="I847" s="223"/>
      <c r="J847" s="57"/>
      <c r="K847" s="153"/>
      <c r="L847" s="243"/>
      <c r="M847" s="234"/>
      <c r="N847" s="235"/>
      <c r="O847" s="236"/>
      <c r="P847" s="236"/>
      <c r="Q847" s="236"/>
      <c r="R847" s="236"/>
      <c r="S847" s="236"/>
      <c r="T847" s="236"/>
      <c r="U847" s="236"/>
      <c r="V847" s="236"/>
      <c r="W847" s="244"/>
      <c r="X847" s="244"/>
      <c r="Y847" s="237"/>
      <c r="Z847" s="244"/>
      <c r="AA847" s="244"/>
      <c r="AB847" s="244"/>
      <c r="AC847" s="244"/>
      <c r="AD847" s="234"/>
      <c r="AE847" s="234"/>
      <c r="AF847" s="238"/>
      <c r="AG847" s="239"/>
      <c r="AH847" s="238"/>
      <c r="AI847" s="238"/>
      <c r="AJ847" s="234"/>
      <c r="AK847" s="234"/>
      <c r="AL847" s="234"/>
      <c r="AM847" s="234"/>
      <c r="AN847" s="234"/>
      <c r="AO847" s="234"/>
    </row>
    <row r="848" ht="15.75" customHeight="1">
      <c r="A848" s="91"/>
      <c r="B848" s="91"/>
      <c r="C848" s="220"/>
      <c r="D848" s="91"/>
      <c r="E848" s="221"/>
      <c r="F848" s="91"/>
      <c r="G848" s="91"/>
      <c r="H848" s="242"/>
      <c r="I848" s="223"/>
      <c r="J848" s="57"/>
      <c r="K848" s="153"/>
      <c r="L848" s="243"/>
      <c r="M848" s="234"/>
      <c r="N848" s="235"/>
      <c r="O848" s="236"/>
      <c r="P848" s="236"/>
      <c r="Q848" s="236"/>
      <c r="R848" s="236"/>
      <c r="S848" s="236"/>
      <c r="T848" s="236"/>
      <c r="U848" s="236"/>
      <c r="V848" s="236"/>
      <c r="W848" s="244"/>
      <c r="X848" s="244"/>
      <c r="Y848" s="237"/>
      <c r="Z848" s="244"/>
      <c r="AA848" s="244"/>
      <c r="AB848" s="244"/>
      <c r="AC848" s="244"/>
      <c r="AD848" s="234"/>
      <c r="AE848" s="234"/>
      <c r="AF848" s="238"/>
      <c r="AG848" s="239"/>
      <c r="AH848" s="238"/>
      <c r="AI848" s="238"/>
      <c r="AJ848" s="234"/>
      <c r="AK848" s="234"/>
      <c r="AL848" s="234"/>
      <c r="AM848" s="234"/>
      <c r="AN848" s="234"/>
      <c r="AO848" s="234"/>
    </row>
    <row r="849" ht="15.75" customHeight="1">
      <c r="A849" s="91"/>
      <c r="B849" s="91"/>
      <c r="C849" s="220"/>
      <c r="D849" s="91"/>
      <c r="E849" s="221"/>
      <c r="F849" s="91"/>
      <c r="G849" s="91"/>
      <c r="H849" s="242"/>
      <c r="I849" s="223"/>
      <c r="J849" s="57"/>
      <c r="K849" s="153"/>
      <c r="L849" s="243"/>
      <c r="M849" s="234"/>
      <c r="N849" s="235"/>
      <c r="O849" s="236"/>
      <c r="P849" s="236"/>
      <c r="Q849" s="236"/>
      <c r="R849" s="236"/>
      <c r="S849" s="236"/>
      <c r="T849" s="236"/>
      <c r="U849" s="236"/>
      <c r="V849" s="236"/>
      <c r="W849" s="244"/>
      <c r="X849" s="244"/>
      <c r="Y849" s="237"/>
      <c r="Z849" s="244"/>
      <c r="AA849" s="244"/>
      <c r="AB849" s="244"/>
      <c r="AC849" s="244"/>
      <c r="AD849" s="234"/>
      <c r="AE849" s="234"/>
      <c r="AF849" s="238"/>
      <c r="AG849" s="239"/>
      <c r="AH849" s="238"/>
      <c r="AI849" s="238"/>
      <c r="AJ849" s="234"/>
      <c r="AK849" s="234"/>
      <c r="AL849" s="234"/>
      <c r="AM849" s="234"/>
      <c r="AN849" s="234"/>
      <c r="AO849" s="234"/>
    </row>
    <row r="850" ht="15.75" customHeight="1">
      <c r="A850" s="91"/>
      <c r="B850" s="91"/>
      <c r="C850" s="220"/>
      <c r="D850" s="91"/>
      <c r="E850" s="221"/>
      <c r="F850" s="91"/>
      <c r="G850" s="91"/>
      <c r="H850" s="242"/>
      <c r="I850" s="223"/>
      <c r="J850" s="57"/>
      <c r="K850" s="153"/>
      <c r="L850" s="243"/>
      <c r="M850" s="234"/>
      <c r="N850" s="235"/>
      <c r="O850" s="236"/>
      <c r="P850" s="236"/>
      <c r="Q850" s="236"/>
      <c r="R850" s="236"/>
      <c r="S850" s="236"/>
      <c r="T850" s="236"/>
      <c r="U850" s="236"/>
      <c r="V850" s="236"/>
      <c r="W850" s="244"/>
      <c r="X850" s="244"/>
      <c r="Y850" s="237"/>
      <c r="Z850" s="244"/>
      <c r="AA850" s="244"/>
      <c r="AB850" s="244"/>
      <c r="AC850" s="244"/>
      <c r="AD850" s="234"/>
      <c r="AE850" s="234"/>
      <c r="AF850" s="238"/>
      <c r="AG850" s="239"/>
      <c r="AH850" s="238"/>
      <c r="AI850" s="238"/>
      <c r="AJ850" s="234"/>
      <c r="AK850" s="234"/>
      <c r="AL850" s="234"/>
      <c r="AM850" s="234"/>
      <c r="AN850" s="234"/>
      <c r="AO850" s="234"/>
    </row>
    <row r="851" ht="15.75" customHeight="1">
      <c r="A851" s="91"/>
      <c r="B851" s="91"/>
      <c r="C851" s="220"/>
      <c r="D851" s="91"/>
      <c r="E851" s="221"/>
      <c r="F851" s="91"/>
      <c r="G851" s="91"/>
      <c r="H851" s="242"/>
      <c r="I851" s="223"/>
      <c r="J851" s="57"/>
      <c r="K851" s="153"/>
      <c r="L851" s="243"/>
      <c r="M851" s="234"/>
      <c r="N851" s="235"/>
      <c r="O851" s="236"/>
      <c r="P851" s="236"/>
      <c r="Q851" s="236"/>
      <c r="R851" s="236"/>
      <c r="S851" s="236"/>
      <c r="T851" s="236"/>
      <c r="U851" s="236"/>
      <c r="V851" s="236"/>
      <c r="W851" s="244"/>
      <c r="X851" s="244"/>
      <c r="Y851" s="237"/>
      <c r="Z851" s="244"/>
      <c r="AA851" s="244"/>
      <c r="AB851" s="244"/>
      <c r="AC851" s="244"/>
      <c r="AD851" s="234"/>
      <c r="AE851" s="234"/>
      <c r="AF851" s="238"/>
      <c r="AG851" s="239"/>
      <c r="AH851" s="238"/>
      <c r="AI851" s="238"/>
      <c r="AJ851" s="234"/>
      <c r="AK851" s="234"/>
      <c r="AL851" s="234"/>
      <c r="AM851" s="234"/>
      <c r="AN851" s="234"/>
      <c r="AO851" s="234"/>
    </row>
    <row r="852" ht="15.75" customHeight="1">
      <c r="A852" s="91"/>
      <c r="B852" s="91"/>
      <c r="C852" s="220"/>
      <c r="D852" s="91"/>
      <c r="E852" s="221"/>
      <c r="F852" s="91"/>
      <c r="G852" s="91"/>
      <c r="H852" s="242"/>
      <c r="I852" s="223"/>
      <c r="J852" s="57"/>
      <c r="K852" s="153"/>
      <c r="L852" s="243"/>
      <c r="M852" s="234"/>
      <c r="N852" s="235"/>
      <c r="O852" s="236"/>
      <c r="P852" s="236"/>
      <c r="Q852" s="236"/>
      <c r="R852" s="236"/>
      <c r="S852" s="236"/>
      <c r="T852" s="236"/>
      <c r="U852" s="236"/>
      <c r="V852" s="236"/>
      <c r="W852" s="244"/>
      <c r="X852" s="244"/>
      <c r="Y852" s="237"/>
      <c r="Z852" s="244"/>
      <c r="AA852" s="244"/>
      <c r="AB852" s="244"/>
      <c r="AC852" s="244"/>
      <c r="AD852" s="234"/>
      <c r="AE852" s="234"/>
      <c r="AF852" s="238"/>
      <c r="AG852" s="239"/>
      <c r="AH852" s="238"/>
      <c r="AI852" s="238"/>
      <c r="AJ852" s="234"/>
      <c r="AK852" s="234"/>
      <c r="AL852" s="234"/>
      <c r="AM852" s="234"/>
      <c r="AN852" s="234"/>
      <c r="AO852" s="234"/>
    </row>
    <row r="853" ht="15.75" customHeight="1">
      <c r="A853" s="91"/>
      <c r="B853" s="91"/>
      <c r="C853" s="220"/>
      <c r="D853" s="91"/>
      <c r="E853" s="221"/>
      <c r="F853" s="91"/>
      <c r="G853" s="91"/>
      <c r="H853" s="242"/>
      <c r="I853" s="223"/>
      <c r="J853" s="57"/>
      <c r="K853" s="153"/>
      <c r="L853" s="243"/>
      <c r="M853" s="234"/>
      <c r="N853" s="235"/>
      <c r="O853" s="236"/>
      <c r="P853" s="236"/>
      <c r="Q853" s="236"/>
      <c r="R853" s="236"/>
      <c r="S853" s="236"/>
      <c r="T853" s="236"/>
      <c r="U853" s="236"/>
      <c r="V853" s="236"/>
      <c r="W853" s="244"/>
      <c r="X853" s="244"/>
      <c r="Y853" s="237"/>
      <c r="Z853" s="244"/>
      <c r="AA853" s="244"/>
      <c r="AB853" s="244"/>
      <c r="AC853" s="244"/>
      <c r="AD853" s="234"/>
      <c r="AE853" s="234"/>
      <c r="AF853" s="238"/>
      <c r="AG853" s="239"/>
      <c r="AH853" s="238"/>
      <c r="AI853" s="238"/>
      <c r="AJ853" s="234"/>
      <c r="AK853" s="234"/>
      <c r="AL853" s="234"/>
      <c r="AM853" s="234"/>
      <c r="AN853" s="234"/>
      <c r="AO853" s="234"/>
    </row>
    <row r="854" ht="15.75" customHeight="1">
      <c r="A854" s="91"/>
      <c r="B854" s="91"/>
      <c r="C854" s="220"/>
      <c r="D854" s="91"/>
      <c r="E854" s="221"/>
      <c r="F854" s="91"/>
      <c r="G854" s="91"/>
      <c r="H854" s="242"/>
      <c r="I854" s="223"/>
      <c r="J854" s="57"/>
      <c r="K854" s="153"/>
      <c r="L854" s="243"/>
      <c r="M854" s="234"/>
      <c r="N854" s="235"/>
      <c r="O854" s="236"/>
      <c r="P854" s="236"/>
      <c r="Q854" s="236"/>
      <c r="R854" s="236"/>
      <c r="S854" s="236"/>
      <c r="T854" s="236"/>
      <c r="U854" s="236"/>
      <c r="V854" s="236"/>
      <c r="W854" s="244"/>
      <c r="X854" s="244"/>
      <c r="Y854" s="237"/>
      <c r="Z854" s="244"/>
      <c r="AA854" s="244"/>
      <c r="AB854" s="244"/>
      <c r="AC854" s="244"/>
      <c r="AD854" s="234"/>
      <c r="AE854" s="234"/>
      <c r="AF854" s="238"/>
      <c r="AG854" s="239"/>
      <c r="AH854" s="238"/>
      <c r="AI854" s="238"/>
      <c r="AJ854" s="234"/>
      <c r="AK854" s="234"/>
      <c r="AL854" s="234"/>
      <c r="AM854" s="234"/>
      <c r="AN854" s="234"/>
      <c r="AO854" s="234"/>
    </row>
    <row r="855" ht="15.75" customHeight="1">
      <c r="A855" s="91"/>
      <c r="B855" s="91"/>
      <c r="C855" s="220"/>
      <c r="D855" s="91"/>
      <c r="E855" s="221"/>
      <c r="F855" s="91"/>
      <c r="G855" s="91"/>
      <c r="H855" s="242"/>
      <c r="I855" s="223"/>
      <c r="J855" s="57"/>
      <c r="K855" s="153"/>
      <c r="L855" s="243"/>
      <c r="M855" s="234"/>
      <c r="N855" s="235"/>
      <c r="O855" s="236"/>
      <c r="P855" s="236"/>
      <c r="Q855" s="236"/>
      <c r="R855" s="236"/>
      <c r="S855" s="236"/>
      <c r="T855" s="236"/>
      <c r="U855" s="236"/>
      <c r="V855" s="236"/>
      <c r="W855" s="244"/>
      <c r="X855" s="244"/>
      <c r="Y855" s="237"/>
      <c r="Z855" s="244"/>
      <c r="AA855" s="244"/>
      <c r="AB855" s="244"/>
      <c r="AC855" s="244"/>
      <c r="AD855" s="234"/>
      <c r="AE855" s="234"/>
      <c r="AF855" s="238"/>
      <c r="AG855" s="239"/>
      <c r="AH855" s="238"/>
      <c r="AI855" s="238"/>
      <c r="AJ855" s="234"/>
      <c r="AK855" s="234"/>
      <c r="AL855" s="234"/>
      <c r="AM855" s="234"/>
      <c r="AN855" s="234"/>
      <c r="AO855" s="234"/>
    </row>
    <row r="856" ht="15.75" customHeight="1">
      <c r="A856" s="91"/>
      <c r="B856" s="91"/>
      <c r="C856" s="220"/>
      <c r="D856" s="91"/>
      <c r="E856" s="221"/>
      <c r="F856" s="91"/>
      <c r="G856" s="91"/>
      <c r="H856" s="242"/>
      <c r="I856" s="223"/>
      <c r="J856" s="57"/>
      <c r="K856" s="153"/>
      <c r="L856" s="243"/>
      <c r="M856" s="234"/>
      <c r="N856" s="235"/>
      <c r="O856" s="236"/>
      <c r="P856" s="236"/>
      <c r="Q856" s="236"/>
      <c r="R856" s="236"/>
      <c r="S856" s="236"/>
      <c r="T856" s="236"/>
      <c r="U856" s="236"/>
      <c r="V856" s="236"/>
      <c r="W856" s="244"/>
      <c r="X856" s="244"/>
      <c r="Y856" s="237"/>
      <c r="Z856" s="244"/>
      <c r="AA856" s="244"/>
      <c r="AB856" s="244"/>
      <c r="AC856" s="244"/>
      <c r="AD856" s="234"/>
      <c r="AE856" s="234"/>
      <c r="AF856" s="238"/>
      <c r="AG856" s="239"/>
      <c r="AH856" s="238"/>
      <c r="AI856" s="238"/>
      <c r="AJ856" s="234"/>
      <c r="AK856" s="234"/>
      <c r="AL856" s="234"/>
      <c r="AM856" s="234"/>
      <c r="AN856" s="234"/>
      <c r="AO856" s="234"/>
    </row>
    <row r="857" ht="15.75" customHeight="1">
      <c r="A857" s="91"/>
      <c r="B857" s="91"/>
      <c r="C857" s="220"/>
      <c r="D857" s="91"/>
      <c r="E857" s="221"/>
      <c r="F857" s="91"/>
      <c r="G857" s="91"/>
      <c r="H857" s="242"/>
      <c r="I857" s="223"/>
      <c r="J857" s="57"/>
      <c r="K857" s="153"/>
      <c r="L857" s="243"/>
      <c r="M857" s="234"/>
      <c r="N857" s="235"/>
      <c r="O857" s="236"/>
      <c r="P857" s="236"/>
      <c r="Q857" s="236"/>
      <c r="R857" s="236"/>
      <c r="S857" s="236"/>
      <c r="T857" s="236"/>
      <c r="U857" s="236"/>
      <c r="V857" s="236"/>
      <c r="W857" s="244"/>
      <c r="X857" s="244"/>
      <c r="Y857" s="237"/>
      <c r="Z857" s="244"/>
      <c r="AA857" s="244"/>
      <c r="AB857" s="244"/>
      <c r="AC857" s="244"/>
      <c r="AD857" s="234"/>
      <c r="AE857" s="234"/>
      <c r="AF857" s="238"/>
      <c r="AG857" s="239"/>
      <c r="AH857" s="238"/>
      <c r="AI857" s="238"/>
      <c r="AJ857" s="234"/>
      <c r="AK857" s="234"/>
      <c r="AL857" s="234"/>
      <c r="AM857" s="234"/>
      <c r="AN857" s="234"/>
      <c r="AO857" s="234"/>
    </row>
    <row r="858" ht="15.75" customHeight="1">
      <c r="A858" s="91"/>
      <c r="B858" s="91"/>
      <c r="C858" s="220"/>
      <c r="D858" s="91"/>
      <c r="E858" s="221"/>
      <c r="F858" s="91"/>
      <c r="G858" s="91"/>
      <c r="H858" s="242"/>
      <c r="I858" s="223"/>
      <c r="J858" s="57"/>
      <c r="K858" s="153"/>
      <c r="L858" s="243"/>
      <c r="M858" s="234"/>
      <c r="N858" s="235"/>
      <c r="O858" s="236"/>
      <c r="P858" s="236"/>
      <c r="Q858" s="236"/>
      <c r="R858" s="236"/>
      <c r="S858" s="236"/>
      <c r="T858" s="236"/>
      <c r="U858" s="236"/>
      <c r="V858" s="236"/>
      <c r="W858" s="244"/>
      <c r="X858" s="244"/>
      <c r="Y858" s="237"/>
      <c r="Z858" s="244"/>
      <c r="AA858" s="244"/>
      <c r="AB858" s="244"/>
      <c r="AC858" s="244"/>
      <c r="AD858" s="234"/>
      <c r="AE858" s="234"/>
      <c r="AF858" s="238"/>
      <c r="AG858" s="239"/>
      <c r="AH858" s="238"/>
      <c r="AI858" s="238"/>
      <c r="AJ858" s="234"/>
      <c r="AK858" s="234"/>
      <c r="AL858" s="234"/>
      <c r="AM858" s="234"/>
      <c r="AN858" s="234"/>
      <c r="AO858" s="234"/>
    </row>
    <row r="859" ht="15.75" customHeight="1">
      <c r="A859" s="91"/>
      <c r="B859" s="91"/>
      <c r="C859" s="220"/>
      <c r="D859" s="91"/>
      <c r="E859" s="221"/>
      <c r="F859" s="91"/>
      <c r="G859" s="91"/>
      <c r="H859" s="242"/>
      <c r="I859" s="223"/>
      <c r="J859" s="57"/>
      <c r="K859" s="153"/>
      <c r="L859" s="243"/>
      <c r="M859" s="234"/>
      <c r="N859" s="235"/>
      <c r="O859" s="236"/>
      <c r="P859" s="236"/>
      <c r="Q859" s="236"/>
      <c r="R859" s="236"/>
      <c r="S859" s="236"/>
      <c r="T859" s="236"/>
      <c r="U859" s="236"/>
      <c r="V859" s="236"/>
      <c r="W859" s="244"/>
      <c r="X859" s="244"/>
      <c r="Y859" s="237"/>
      <c r="Z859" s="244"/>
      <c r="AA859" s="244"/>
      <c r="AB859" s="244"/>
      <c r="AC859" s="244"/>
      <c r="AD859" s="234"/>
      <c r="AE859" s="234"/>
      <c r="AF859" s="238"/>
      <c r="AG859" s="239"/>
      <c r="AH859" s="238"/>
      <c r="AI859" s="238"/>
      <c r="AJ859" s="234"/>
      <c r="AK859" s="234"/>
      <c r="AL859" s="234"/>
      <c r="AM859" s="234"/>
      <c r="AN859" s="234"/>
      <c r="AO859" s="234"/>
    </row>
    <row r="860" ht="15.75" customHeight="1">
      <c r="A860" s="91"/>
      <c r="B860" s="91"/>
      <c r="C860" s="220"/>
      <c r="D860" s="91"/>
      <c r="E860" s="221"/>
      <c r="F860" s="91"/>
      <c r="G860" s="91"/>
      <c r="H860" s="242"/>
      <c r="I860" s="223"/>
      <c r="J860" s="57"/>
      <c r="K860" s="153"/>
      <c r="L860" s="243"/>
      <c r="M860" s="234"/>
      <c r="N860" s="235"/>
      <c r="O860" s="236"/>
      <c r="P860" s="236"/>
      <c r="Q860" s="236"/>
      <c r="R860" s="236"/>
      <c r="S860" s="236"/>
      <c r="T860" s="236"/>
      <c r="U860" s="236"/>
      <c r="V860" s="236"/>
      <c r="W860" s="244"/>
      <c r="X860" s="244"/>
      <c r="Y860" s="237"/>
      <c r="Z860" s="244"/>
      <c r="AA860" s="244"/>
      <c r="AB860" s="244"/>
      <c r="AC860" s="244"/>
      <c r="AD860" s="234"/>
      <c r="AE860" s="234"/>
      <c r="AF860" s="238"/>
      <c r="AG860" s="239"/>
      <c r="AH860" s="238"/>
      <c r="AI860" s="238"/>
      <c r="AJ860" s="234"/>
      <c r="AK860" s="234"/>
      <c r="AL860" s="234"/>
      <c r="AM860" s="234"/>
      <c r="AN860" s="234"/>
      <c r="AO860" s="234"/>
    </row>
    <row r="861" ht="15.75" customHeight="1">
      <c r="A861" s="91"/>
      <c r="B861" s="91"/>
      <c r="C861" s="220"/>
      <c r="D861" s="91"/>
      <c r="E861" s="221"/>
      <c r="F861" s="91"/>
      <c r="G861" s="91"/>
      <c r="H861" s="242"/>
      <c r="I861" s="223"/>
      <c r="J861" s="57"/>
      <c r="K861" s="153"/>
      <c r="L861" s="243"/>
      <c r="M861" s="234"/>
      <c r="N861" s="235"/>
      <c r="O861" s="236"/>
      <c r="P861" s="236"/>
      <c r="Q861" s="236"/>
      <c r="R861" s="236"/>
      <c r="S861" s="236"/>
      <c r="T861" s="236"/>
      <c r="U861" s="236"/>
      <c r="V861" s="236"/>
      <c r="W861" s="244"/>
      <c r="X861" s="244"/>
      <c r="Y861" s="237"/>
      <c r="Z861" s="244"/>
      <c r="AA861" s="244"/>
      <c r="AB861" s="244"/>
      <c r="AC861" s="244"/>
      <c r="AD861" s="234"/>
      <c r="AE861" s="234"/>
      <c r="AF861" s="238"/>
      <c r="AG861" s="239"/>
      <c r="AH861" s="238"/>
      <c r="AI861" s="238"/>
      <c r="AJ861" s="234"/>
      <c r="AK861" s="234"/>
      <c r="AL861" s="234"/>
      <c r="AM861" s="234"/>
      <c r="AN861" s="234"/>
      <c r="AO861" s="234"/>
    </row>
    <row r="862" ht="15.75" customHeight="1">
      <c r="A862" s="91"/>
      <c r="B862" s="91"/>
      <c r="C862" s="220"/>
      <c r="D862" s="91"/>
      <c r="E862" s="221"/>
      <c r="F862" s="91"/>
      <c r="G862" s="91"/>
      <c r="H862" s="242"/>
      <c r="I862" s="223"/>
      <c r="J862" s="57"/>
      <c r="K862" s="153"/>
      <c r="L862" s="243"/>
      <c r="M862" s="234"/>
      <c r="N862" s="235"/>
      <c r="O862" s="236"/>
      <c r="P862" s="236"/>
      <c r="Q862" s="236"/>
      <c r="R862" s="236"/>
      <c r="S862" s="236"/>
      <c r="T862" s="236"/>
      <c r="U862" s="236"/>
      <c r="V862" s="236"/>
      <c r="W862" s="244"/>
      <c r="X862" s="244"/>
      <c r="Y862" s="237"/>
      <c r="Z862" s="244"/>
      <c r="AA862" s="244"/>
      <c r="AB862" s="244"/>
      <c r="AC862" s="244"/>
      <c r="AD862" s="234"/>
      <c r="AE862" s="234"/>
      <c r="AF862" s="238"/>
      <c r="AG862" s="239"/>
      <c r="AH862" s="238"/>
      <c r="AI862" s="238"/>
      <c r="AJ862" s="234"/>
      <c r="AK862" s="234"/>
      <c r="AL862" s="234"/>
      <c r="AM862" s="234"/>
      <c r="AN862" s="234"/>
      <c r="AO862" s="234"/>
    </row>
    <row r="863" ht="15.75" customHeight="1">
      <c r="A863" s="91"/>
      <c r="B863" s="91"/>
      <c r="C863" s="220"/>
      <c r="D863" s="91"/>
      <c r="E863" s="221"/>
      <c r="F863" s="91"/>
      <c r="G863" s="91"/>
      <c r="H863" s="242"/>
      <c r="I863" s="223"/>
      <c r="J863" s="57"/>
      <c r="K863" s="153"/>
      <c r="L863" s="243"/>
      <c r="M863" s="234"/>
      <c r="N863" s="235"/>
      <c r="O863" s="236"/>
      <c r="P863" s="236"/>
      <c r="Q863" s="236"/>
      <c r="R863" s="236"/>
      <c r="S863" s="236"/>
      <c r="T863" s="236"/>
      <c r="U863" s="236"/>
      <c r="V863" s="236"/>
      <c r="W863" s="244"/>
      <c r="X863" s="244"/>
      <c r="Y863" s="237"/>
      <c r="Z863" s="244"/>
      <c r="AA863" s="244"/>
      <c r="AB863" s="244"/>
      <c r="AC863" s="244"/>
      <c r="AD863" s="234"/>
      <c r="AE863" s="234"/>
      <c r="AF863" s="238"/>
      <c r="AG863" s="239"/>
      <c r="AH863" s="238"/>
      <c r="AI863" s="238"/>
      <c r="AJ863" s="234"/>
      <c r="AK863" s="234"/>
      <c r="AL863" s="234"/>
      <c r="AM863" s="234"/>
      <c r="AN863" s="234"/>
      <c r="AO863" s="234"/>
    </row>
    <row r="864" ht="15.75" customHeight="1">
      <c r="A864" s="91"/>
      <c r="B864" s="91"/>
      <c r="C864" s="220"/>
      <c r="D864" s="91"/>
      <c r="E864" s="221"/>
      <c r="F864" s="91"/>
      <c r="G864" s="91"/>
      <c r="H864" s="242"/>
      <c r="I864" s="223"/>
      <c r="J864" s="57"/>
      <c r="K864" s="153"/>
      <c r="L864" s="243"/>
      <c r="M864" s="234"/>
      <c r="N864" s="235"/>
      <c r="O864" s="236"/>
      <c r="P864" s="236"/>
      <c r="Q864" s="236"/>
      <c r="R864" s="236"/>
      <c r="S864" s="236"/>
      <c r="T864" s="236"/>
      <c r="U864" s="236"/>
      <c r="V864" s="236"/>
      <c r="W864" s="244"/>
      <c r="X864" s="244"/>
      <c r="Y864" s="237"/>
      <c r="Z864" s="244"/>
      <c r="AA864" s="244"/>
      <c r="AB864" s="244"/>
      <c r="AC864" s="244"/>
      <c r="AD864" s="234"/>
      <c r="AE864" s="234"/>
      <c r="AF864" s="238"/>
      <c r="AG864" s="239"/>
      <c r="AH864" s="238"/>
      <c r="AI864" s="238"/>
      <c r="AJ864" s="234"/>
      <c r="AK864" s="234"/>
      <c r="AL864" s="234"/>
      <c r="AM864" s="234"/>
      <c r="AN864" s="234"/>
      <c r="AO864" s="234"/>
    </row>
    <row r="865" ht="15.75" customHeight="1">
      <c r="A865" s="91"/>
      <c r="B865" s="91"/>
      <c r="C865" s="220"/>
      <c r="D865" s="91"/>
      <c r="E865" s="221"/>
      <c r="F865" s="91"/>
      <c r="G865" s="91"/>
      <c r="H865" s="242"/>
      <c r="I865" s="223"/>
      <c r="J865" s="57"/>
      <c r="K865" s="153"/>
      <c r="L865" s="243"/>
      <c r="M865" s="234"/>
      <c r="N865" s="235"/>
      <c r="O865" s="236"/>
      <c r="P865" s="236"/>
      <c r="Q865" s="236"/>
      <c r="R865" s="236"/>
      <c r="S865" s="236"/>
      <c r="T865" s="236"/>
      <c r="U865" s="236"/>
      <c r="V865" s="236"/>
      <c r="W865" s="244"/>
      <c r="X865" s="244"/>
      <c r="Y865" s="237"/>
      <c r="Z865" s="244"/>
      <c r="AA865" s="244"/>
      <c r="AB865" s="244"/>
      <c r="AC865" s="244"/>
      <c r="AD865" s="234"/>
      <c r="AE865" s="234"/>
      <c r="AF865" s="238"/>
      <c r="AG865" s="239"/>
      <c r="AH865" s="238"/>
      <c r="AI865" s="238"/>
      <c r="AJ865" s="234"/>
      <c r="AK865" s="234"/>
      <c r="AL865" s="234"/>
      <c r="AM865" s="234"/>
      <c r="AN865" s="234"/>
      <c r="AO865" s="234"/>
    </row>
    <row r="866" ht="15.75" customHeight="1">
      <c r="A866" s="91"/>
      <c r="B866" s="91"/>
      <c r="C866" s="220"/>
      <c r="D866" s="91"/>
      <c r="E866" s="221"/>
      <c r="F866" s="91"/>
      <c r="G866" s="91"/>
      <c r="H866" s="242"/>
      <c r="I866" s="223"/>
      <c r="J866" s="57"/>
      <c r="K866" s="153"/>
      <c r="L866" s="243"/>
      <c r="M866" s="234"/>
      <c r="N866" s="235"/>
      <c r="O866" s="236"/>
      <c r="P866" s="236"/>
      <c r="Q866" s="236"/>
      <c r="R866" s="236"/>
      <c r="S866" s="236"/>
      <c r="T866" s="236"/>
      <c r="U866" s="236"/>
      <c r="V866" s="236"/>
      <c r="W866" s="244"/>
      <c r="X866" s="244"/>
      <c r="Y866" s="237"/>
      <c r="Z866" s="244"/>
      <c r="AA866" s="244"/>
      <c r="AB866" s="244"/>
      <c r="AC866" s="244"/>
      <c r="AD866" s="234"/>
      <c r="AE866" s="234"/>
      <c r="AF866" s="238"/>
      <c r="AG866" s="239"/>
      <c r="AH866" s="238"/>
      <c r="AI866" s="238"/>
      <c r="AJ866" s="234"/>
      <c r="AK866" s="234"/>
      <c r="AL866" s="234"/>
      <c r="AM866" s="234"/>
      <c r="AN866" s="234"/>
      <c r="AO866" s="234"/>
    </row>
    <row r="867" ht="15.75" customHeight="1">
      <c r="A867" s="91"/>
      <c r="B867" s="91"/>
      <c r="C867" s="220"/>
      <c r="D867" s="91"/>
      <c r="E867" s="221"/>
      <c r="F867" s="91"/>
      <c r="G867" s="91"/>
      <c r="H867" s="242"/>
      <c r="I867" s="223"/>
      <c r="J867" s="57"/>
      <c r="K867" s="153"/>
      <c r="L867" s="243"/>
      <c r="M867" s="234"/>
      <c r="N867" s="235"/>
      <c r="O867" s="236"/>
      <c r="P867" s="236"/>
      <c r="Q867" s="236"/>
      <c r="R867" s="236"/>
      <c r="S867" s="236"/>
      <c r="T867" s="236"/>
      <c r="U867" s="236"/>
      <c r="V867" s="236"/>
      <c r="W867" s="244"/>
      <c r="X867" s="244"/>
      <c r="Y867" s="237"/>
      <c r="Z867" s="244"/>
      <c r="AA867" s="244"/>
      <c r="AB867" s="244"/>
      <c r="AC867" s="244"/>
      <c r="AD867" s="234"/>
      <c r="AE867" s="234"/>
      <c r="AF867" s="238"/>
      <c r="AG867" s="239"/>
      <c r="AH867" s="238"/>
      <c r="AI867" s="238"/>
      <c r="AJ867" s="234"/>
      <c r="AK867" s="234"/>
      <c r="AL867" s="234"/>
      <c r="AM867" s="234"/>
      <c r="AN867" s="234"/>
      <c r="AO867" s="234"/>
    </row>
    <row r="868" ht="15.75" customHeight="1">
      <c r="A868" s="91"/>
      <c r="B868" s="91"/>
      <c r="C868" s="220"/>
      <c r="D868" s="91"/>
      <c r="E868" s="221"/>
      <c r="F868" s="91"/>
      <c r="G868" s="91"/>
      <c r="H868" s="242"/>
      <c r="I868" s="223"/>
      <c r="J868" s="57"/>
      <c r="K868" s="153"/>
      <c r="L868" s="243"/>
      <c r="M868" s="234"/>
      <c r="N868" s="235"/>
      <c r="O868" s="236"/>
      <c r="P868" s="236"/>
      <c r="Q868" s="236"/>
      <c r="R868" s="236"/>
      <c r="S868" s="236"/>
      <c r="T868" s="236"/>
      <c r="U868" s="236"/>
      <c r="V868" s="236"/>
      <c r="W868" s="244"/>
      <c r="X868" s="244"/>
      <c r="Y868" s="237"/>
      <c r="Z868" s="244"/>
      <c r="AA868" s="244"/>
      <c r="AB868" s="244"/>
      <c r="AC868" s="244"/>
      <c r="AD868" s="234"/>
      <c r="AE868" s="234"/>
      <c r="AF868" s="238"/>
      <c r="AG868" s="239"/>
      <c r="AH868" s="238"/>
      <c r="AI868" s="238"/>
      <c r="AJ868" s="234"/>
      <c r="AK868" s="234"/>
      <c r="AL868" s="234"/>
      <c r="AM868" s="234"/>
      <c r="AN868" s="234"/>
      <c r="AO868" s="234"/>
    </row>
    <row r="869" ht="15.75" customHeight="1">
      <c r="A869" s="91"/>
      <c r="B869" s="91"/>
      <c r="C869" s="220"/>
      <c r="D869" s="91"/>
      <c r="E869" s="221"/>
      <c r="F869" s="91"/>
      <c r="G869" s="91"/>
      <c r="H869" s="242"/>
      <c r="I869" s="223"/>
      <c r="J869" s="57"/>
      <c r="K869" s="153"/>
      <c r="L869" s="243"/>
      <c r="M869" s="234"/>
      <c r="N869" s="235"/>
      <c r="O869" s="236"/>
      <c r="P869" s="236"/>
      <c r="Q869" s="236"/>
      <c r="R869" s="236"/>
      <c r="S869" s="236"/>
      <c r="T869" s="236"/>
      <c r="U869" s="236"/>
      <c r="V869" s="236"/>
      <c r="W869" s="244"/>
      <c r="X869" s="244"/>
      <c r="Y869" s="237"/>
      <c r="Z869" s="244"/>
      <c r="AA869" s="244"/>
      <c r="AB869" s="244"/>
      <c r="AC869" s="244"/>
      <c r="AD869" s="234"/>
      <c r="AE869" s="234"/>
      <c r="AF869" s="238"/>
      <c r="AG869" s="239"/>
      <c r="AH869" s="238"/>
      <c r="AI869" s="238"/>
      <c r="AJ869" s="234"/>
      <c r="AK869" s="234"/>
      <c r="AL869" s="234"/>
      <c r="AM869" s="234"/>
      <c r="AN869" s="234"/>
      <c r="AO869" s="234"/>
    </row>
    <row r="870" ht="15.75" customHeight="1">
      <c r="A870" s="91"/>
      <c r="B870" s="91"/>
      <c r="C870" s="220"/>
      <c r="D870" s="91"/>
      <c r="E870" s="221"/>
      <c r="F870" s="91"/>
      <c r="G870" s="91"/>
      <c r="H870" s="242"/>
      <c r="I870" s="223"/>
      <c r="J870" s="57"/>
      <c r="K870" s="153"/>
      <c r="L870" s="243"/>
      <c r="M870" s="234"/>
      <c r="N870" s="235"/>
      <c r="O870" s="236"/>
      <c r="P870" s="236"/>
      <c r="Q870" s="236"/>
      <c r="R870" s="236"/>
      <c r="S870" s="236"/>
      <c r="T870" s="236"/>
      <c r="U870" s="236"/>
      <c r="V870" s="236"/>
      <c r="W870" s="244"/>
      <c r="X870" s="244"/>
      <c r="Y870" s="237"/>
      <c r="Z870" s="244"/>
      <c r="AA870" s="244"/>
      <c r="AB870" s="244"/>
      <c r="AC870" s="244"/>
      <c r="AD870" s="234"/>
      <c r="AE870" s="234"/>
      <c r="AF870" s="238"/>
      <c r="AG870" s="239"/>
      <c r="AH870" s="238"/>
      <c r="AI870" s="238"/>
      <c r="AJ870" s="234"/>
      <c r="AK870" s="234"/>
      <c r="AL870" s="234"/>
      <c r="AM870" s="234"/>
      <c r="AN870" s="234"/>
      <c r="AO870" s="234"/>
    </row>
    <row r="871" ht="15.75" customHeight="1">
      <c r="A871" s="91"/>
      <c r="B871" s="91"/>
      <c r="C871" s="220"/>
      <c r="D871" s="91"/>
      <c r="E871" s="221"/>
      <c r="F871" s="91"/>
      <c r="G871" s="91"/>
      <c r="H871" s="242"/>
      <c r="I871" s="223"/>
      <c r="J871" s="57"/>
      <c r="K871" s="153"/>
      <c r="L871" s="243"/>
      <c r="M871" s="234"/>
      <c r="N871" s="235"/>
      <c r="O871" s="236"/>
      <c r="P871" s="236"/>
      <c r="Q871" s="236"/>
      <c r="R871" s="236"/>
      <c r="S871" s="236"/>
      <c r="T871" s="236"/>
      <c r="U871" s="236"/>
      <c r="V871" s="236"/>
      <c r="W871" s="244"/>
      <c r="X871" s="244"/>
      <c r="Y871" s="237"/>
      <c r="Z871" s="244"/>
      <c r="AA871" s="244"/>
      <c r="AB871" s="244"/>
      <c r="AC871" s="244"/>
      <c r="AD871" s="234"/>
      <c r="AE871" s="234"/>
      <c r="AF871" s="238"/>
      <c r="AG871" s="239"/>
      <c r="AH871" s="238"/>
      <c r="AI871" s="238"/>
      <c r="AJ871" s="234"/>
      <c r="AK871" s="234"/>
      <c r="AL871" s="234"/>
      <c r="AM871" s="234"/>
      <c r="AN871" s="234"/>
      <c r="AO871" s="234"/>
    </row>
    <row r="872" ht="15.75" customHeight="1">
      <c r="A872" s="91"/>
      <c r="B872" s="91"/>
      <c r="C872" s="220"/>
      <c r="D872" s="91"/>
      <c r="E872" s="221"/>
      <c r="F872" s="91"/>
      <c r="G872" s="91"/>
      <c r="H872" s="242"/>
      <c r="I872" s="223"/>
      <c r="J872" s="57"/>
      <c r="K872" s="153"/>
      <c r="L872" s="243"/>
      <c r="M872" s="234"/>
      <c r="N872" s="235"/>
      <c r="O872" s="236"/>
      <c r="P872" s="236"/>
      <c r="Q872" s="236"/>
      <c r="R872" s="236"/>
      <c r="S872" s="236"/>
      <c r="T872" s="236"/>
      <c r="U872" s="236"/>
      <c r="V872" s="236"/>
      <c r="W872" s="244"/>
      <c r="X872" s="244"/>
      <c r="Y872" s="237"/>
      <c r="Z872" s="244"/>
      <c r="AA872" s="244"/>
      <c r="AB872" s="244"/>
      <c r="AC872" s="244"/>
      <c r="AD872" s="234"/>
      <c r="AE872" s="234"/>
      <c r="AF872" s="238"/>
      <c r="AG872" s="239"/>
      <c r="AH872" s="238"/>
      <c r="AI872" s="238"/>
      <c r="AJ872" s="234"/>
      <c r="AK872" s="234"/>
      <c r="AL872" s="234"/>
      <c r="AM872" s="234"/>
      <c r="AN872" s="234"/>
      <c r="AO872" s="234"/>
    </row>
    <row r="873" ht="15.75" customHeight="1">
      <c r="A873" s="91"/>
      <c r="B873" s="91"/>
      <c r="C873" s="220"/>
      <c r="D873" s="91"/>
      <c r="E873" s="221"/>
      <c r="F873" s="91"/>
      <c r="G873" s="91"/>
      <c r="H873" s="242"/>
      <c r="I873" s="223"/>
      <c r="J873" s="57"/>
      <c r="K873" s="153"/>
      <c r="L873" s="243"/>
      <c r="M873" s="234"/>
      <c r="N873" s="235"/>
      <c r="O873" s="236"/>
      <c r="P873" s="236"/>
      <c r="Q873" s="236"/>
      <c r="R873" s="236"/>
      <c r="S873" s="236"/>
      <c r="T873" s="236"/>
      <c r="U873" s="236"/>
      <c r="V873" s="236"/>
      <c r="W873" s="244"/>
      <c r="X873" s="244"/>
      <c r="Y873" s="237"/>
      <c r="Z873" s="244"/>
      <c r="AA873" s="244"/>
      <c r="AB873" s="244"/>
      <c r="AC873" s="244"/>
      <c r="AD873" s="234"/>
      <c r="AE873" s="234"/>
      <c r="AF873" s="238"/>
      <c r="AG873" s="239"/>
      <c r="AH873" s="238"/>
      <c r="AI873" s="238"/>
      <c r="AJ873" s="234"/>
      <c r="AK873" s="234"/>
      <c r="AL873" s="234"/>
      <c r="AM873" s="234"/>
      <c r="AN873" s="234"/>
      <c r="AO873" s="234"/>
    </row>
    <row r="874" ht="15.75" customHeight="1">
      <c r="A874" s="91"/>
      <c r="B874" s="91"/>
      <c r="C874" s="220"/>
      <c r="D874" s="91"/>
      <c r="E874" s="221"/>
      <c r="F874" s="91"/>
      <c r="G874" s="91"/>
      <c r="H874" s="242"/>
      <c r="I874" s="223"/>
      <c r="J874" s="57"/>
      <c r="K874" s="153"/>
      <c r="L874" s="243"/>
      <c r="M874" s="234"/>
      <c r="N874" s="235"/>
      <c r="O874" s="236"/>
      <c r="P874" s="236"/>
      <c r="Q874" s="236"/>
      <c r="R874" s="236"/>
      <c r="S874" s="236"/>
      <c r="T874" s="236"/>
      <c r="U874" s="236"/>
      <c r="V874" s="236"/>
      <c r="W874" s="244"/>
      <c r="X874" s="244"/>
      <c r="Y874" s="237"/>
      <c r="Z874" s="244"/>
      <c r="AA874" s="244"/>
      <c r="AB874" s="244"/>
      <c r="AC874" s="244"/>
      <c r="AD874" s="234"/>
      <c r="AE874" s="234"/>
      <c r="AF874" s="238"/>
      <c r="AG874" s="239"/>
      <c r="AH874" s="238"/>
      <c r="AI874" s="238"/>
      <c r="AJ874" s="234"/>
      <c r="AK874" s="234"/>
      <c r="AL874" s="234"/>
      <c r="AM874" s="234"/>
      <c r="AN874" s="234"/>
      <c r="AO874" s="234"/>
    </row>
    <row r="875" ht="15.75" customHeight="1">
      <c r="A875" s="91"/>
      <c r="B875" s="91"/>
      <c r="C875" s="220"/>
      <c r="D875" s="91"/>
      <c r="E875" s="221"/>
      <c r="F875" s="91"/>
      <c r="G875" s="91"/>
      <c r="H875" s="242"/>
      <c r="I875" s="223"/>
      <c r="J875" s="57"/>
      <c r="K875" s="153"/>
      <c r="L875" s="243"/>
      <c r="M875" s="234"/>
      <c r="N875" s="235"/>
      <c r="O875" s="236"/>
      <c r="P875" s="236"/>
      <c r="Q875" s="236"/>
      <c r="R875" s="236"/>
      <c r="S875" s="236"/>
      <c r="T875" s="236"/>
      <c r="U875" s="236"/>
      <c r="V875" s="236"/>
      <c r="W875" s="244"/>
      <c r="X875" s="244"/>
      <c r="Y875" s="237"/>
      <c r="Z875" s="244"/>
      <c r="AA875" s="244"/>
      <c r="AB875" s="244"/>
      <c r="AC875" s="244"/>
      <c r="AD875" s="234"/>
      <c r="AE875" s="234"/>
      <c r="AF875" s="238"/>
      <c r="AG875" s="239"/>
      <c r="AH875" s="238"/>
      <c r="AI875" s="238"/>
      <c r="AJ875" s="234"/>
      <c r="AK875" s="234"/>
      <c r="AL875" s="234"/>
      <c r="AM875" s="234"/>
      <c r="AN875" s="234"/>
      <c r="AO875" s="234"/>
    </row>
    <row r="876" ht="15.75" customHeight="1">
      <c r="A876" s="91"/>
      <c r="B876" s="91"/>
      <c r="C876" s="220"/>
      <c r="D876" s="91"/>
      <c r="E876" s="221"/>
      <c r="F876" s="91"/>
      <c r="G876" s="91"/>
      <c r="H876" s="242"/>
      <c r="I876" s="223"/>
      <c r="J876" s="57"/>
      <c r="K876" s="153"/>
      <c r="L876" s="243"/>
      <c r="M876" s="234"/>
      <c r="N876" s="235"/>
      <c r="O876" s="236"/>
      <c r="P876" s="236"/>
      <c r="Q876" s="236"/>
      <c r="R876" s="236"/>
      <c r="S876" s="236"/>
      <c r="T876" s="236"/>
      <c r="U876" s="236"/>
      <c r="V876" s="236"/>
      <c r="W876" s="244"/>
      <c r="X876" s="244"/>
      <c r="Y876" s="237"/>
      <c r="Z876" s="244"/>
      <c r="AA876" s="244"/>
      <c r="AB876" s="244"/>
      <c r="AC876" s="244"/>
      <c r="AD876" s="234"/>
      <c r="AE876" s="234"/>
      <c r="AF876" s="238"/>
      <c r="AG876" s="239"/>
      <c r="AH876" s="238"/>
      <c r="AI876" s="238"/>
      <c r="AJ876" s="234"/>
      <c r="AK876" s="234"/>
      <c r="AL876" s="234"/>
      <c r="AM876" s="234"/>
      <c r="AN876" s="234"/>
      <c r="AO876" s="234"/>
    </row>
    <row r="877" ht="15.75" customHeight="1">
      <c r="A877" s="91"/>
      <c r="B877" s="91"/>
      <c r="C877" s="220"/>
      <c r="D877" s="91"/>
      <c r="E877" s="221"/>
      <c r="F877" s="91"/>
      <c r="G877" s="91"/>
      <c r="H877" s="242"/>
      <c r="I877" s="223"/>
      <c r="J877" s="57"/>
      <c r="K877" s="153"/>
      <c r="L877" s="243"/>
      <c r="M877" s="234"/>
      <c r="N877" s="235"/>
      <c r="O877" s="236"/>
      <c r="P877" s="236"/>
      <c r="Q877" s="236"/>
      <c r="R877" s="236"/>
      <c r="S877" s="236"/>
      <c r="T877" s="236"/>
      <c r="U877" s="236"/>
      <c r="V877" s="236"/>
      <c r="W877" s="244"/>
      <c r="X877" s="244"/>
      <c r="Y877" s="237"/>
      <c r="Z877" s="244"/>
      <c r="AA877" s="244"/>
      <c r="AB877" s="244"/>
      <c r="AC877" s="244"/>
      <c r="AD877" s="234"/>
      <c r="AE877" s="234"/>
      <c r="AF877" s="238"/>
      <c r="AG877" s="239"/>
      <c r="AH877" s="238"/>
      <c r="AI877" s="238"/>
      <c r="AJ877" s="234"/>
      <c r="AK877" s="234"/>
      <c r="AL877" s="234"/>
      <c r="AM877" s="234"/>
      <c r="AN877" s="234"/>
      <c r="AO877" s="234"/>
    </row>
    <row r="878" ht="15.75" customHeight="1">
      <c r="A878" s="91"/>
      <c r="B878" s="91"/>
      <c r="C878" s="220"/>
      <c r="D878" s="91"/>
      <c r="E878" s="221"/>
      <c r="F878" s="91"/>
      <c r="G878" s="91"/>
      <c r="H878" s="242"/>
      <c r="I878" s="223"/>
      <c r="J878" s="57"/>
      <c r="K878" s="153"/>
      <c r="L878" s="243"/>
      <c r="M878" s="234"/>
      <c r="N878" s="235"/>
      <c r="O878" s="236"/>
      <c r="P878" s="236"/>
      <c r="Q878" s="236"/>
      <c r="R878" s="236"/>
      <c r="S878" s="236"/>
      <c r="T878" s="236"/>
      <c r="U878" s="236"/>
      <c r="V878" s="236"/>
      <c r="W878" s="244"/>
      <c r="X878" s="244"/>
      <c r="Y878" s="237"/>
      <c r="Z878" s="244"/>
      <c r="AA878" s="244"/>
      <c r="AB878" s="244"/>
      <c r="AC878" s="244"/>
      <c r="AD878" s="234"/>
      <c r="AE878" s="234"/>
      <c r="AF878" s="238"/>
      <c r="AG878" s="239"/>
      <c r="AH878" s="238"/>
      <c r="AI878" s="238"/>
      <c r="AJ878" s="234"/>
      <c r="AK878" s="234"/>
      <c r="AL878" s="234"/>
      <c r="AM878" s="234"/>
      <c r="AN878" s="234"/>
      <c r="AO878" s="234"/>
    </row>
    <row r="879" ht="15.75" customHeight="1">
      <c r="A879" s="91"/>
      <c r="B879" s="91"/>
      <c r="C879" s="220"/>
      <c r="D879" s="91"/>
      <c r="E879" s="221"/>
      <c r="F879" s="91"/>
      <c r="G879" s="91"/>
      <c r="H879" s="242"/>
      <c r="I879" s="223"/>
      <c r="J879" s="57"/>
      <c r="K879" s="153"/>
      <c r="L879" s="243"/>
      <c r="M879" s="234"/>
      <c r="N879" s="235"/>
      <c r="O879" s="236"/>
      <c r="P879" s="236"/>
      <c r="Q879" s="236"/>
      <c r="R879" s="236"/>
      <c r="S879" s="236"/>
      <c r="T879" s="236"/>
      <c r="U879" s="236"/>
      <c r="V879" s="236"/>
      <c r="W879" s="244"/>
      <c r="X879" s="244"/>
      <c r="Y879" s="237"/>
      <c r="Z879" s="244"/>
      <c r="AA879" s="244"/>
      <c r="AB879" s="244"/>
      <c r="AC879" s="244"/>
      <c r="AD879" s="234"/>
      <c r="AE879" s="234"/>
      <c r="AF879" s="238"/>
      <c r="AG879" s="239"/>
      <c r="AH879" s="238"/>
      <c r="AI879" s="238"/>
      <c r="AJ879" s="234"/>
      <c r="AK879" s="234"/>
      <c r="AL879" s="234"/>
      <c r="AM879" s="234"/>
      <c r="AN879" s="234"/>
      <c r="AO879" s="234"/>
    </row>
    <row r="880" ht="15.75" customHeight="1">
      <c r="A880" s="91"/>
      <c r="B880" s="91"/>
      <c r="C880" s="220"/>
      <c r="D880" s="91"/>
      <c r="E880" s="221"/>
      <c r="F880" s="91"/>
      <c r="G880" s="91"/>
      <c r="H880" s="242"/>
      <c r="I880" s="223"/>
      <c r="J880" s="57"/>
      <c r="K880" s="153"/>
      <c r="L880" s="243"/>
      <c r="M880" s="234"/>
      <c r="N880" s="235"/>
      <c r="O880" s="236"/>
      <c r="P880" s="236"/>
      <c r="Q880" s="236"/>
      <c r="R880" s="236"/>
      <c r="S880" s="236"/>
      <c r="T880" s="236"/>
      <c r="U880" s="236"/>
      <c r="V880" s="236"/>
      <c r="W880" s="244"/>
      <c r="X880" s="244"/>
      <c r="Y880" s="237"/>
      <c r="Z880" s="244"/>
      <c r="AA880" s="244"/>
      <c r="AB880" s="244"/>
      <c r="AC880" s="244"/>
      <c r="AD880" s="234"/>
      <c r="AE880" s="234"/>
      <c r="AF880" s="238"/>
      <c r="AG880" s="239"/>
      <c r="AH880" s="238"/>
      <c r="AI880" s="238"/>
      <c r="AJ880" s="234"/>
      <c r="AK880" s="234"/>
      <c r="AL880" s="234"/>
      <c r="AM880" s="234"/>
      <c r="AN880" s="234"/>
      <c r="AO880" s="234"/>
    </row>
    <row r="881" ht="15.75" customHeight="1">
      <c r="A881" s="91"/>
      <c r="B881" s="91"/>
      <c r="C881" s="220"/>
      <c r="D881" s="91"/>
      <c r="E881" s="221"/>
      <c r="F881" s="91"/>
      <c r="G881" s="91"/>
      <c r="H881" s="242"/>
      <c r="I881" s="223"/>
      <c r="J881" s="57"/>
      <c r="K881" s="153"/>
      <c r="L881" s="243"/>
      <c r="M881" s="234"/>
      <c r="N881" s="235"/>
      <c r="O881" s="236"/>
      <c r="P881" s="236"/>
      <c r="Q881" s="236"/>
      <c r="R881" s="236"/>
      <c r="S881" s="236"/>
      <c r="T881" s="236"/>
      <c r="U881" s="236"/>
      <c r="V881" s="236"/>
      <c r="W881" s="244"/>
      <c r="X881" s="244"/>
      <c r="Y881" s="237"/>
      <c r="Z881" s="244"/>
      <c r="AA881" s="244"/>
      <c r="AB881" s="244"/>
      <c r="AC881" s="244"/>
      <c r="AD881" s="234"/>
      <c r="AE881" s="234"/>
      <c r="AF881" s="238"/>
      <c r="AG881" s="239"/>
      <c r="AH881" s="238"/>
      <c r="AI881" s="238"/>
      <c r="AJ881" s="234"/>
      <c r="AK881" s="234"/>
      <c r="AL881" s="234"/>
      <c r="AM881" s="234"/>
      <c r="AN881" s="234"/>
      <c r="AO881" s="234"/>
    </row>
    <row r="882" ht="15.75" customHeight="1">
      <c r="A882" s="91"/>
      <c r="B882" s="91"/>
      <c r="C882" s="220"/>
      <c r="D882" s="91"/>
      <c r="E882" s="221"/>
      <c r="F882" s="91"/>
      <c r="G882" s="91"/>
      <c r="H882" s="242"/>
      <c r="I882" s="223"/>
      <c r="J882" s="57"/>
      <c r="K882" s="153"/>
      <c r="L882" s="243"/>
      <c r="M882" s="234"/>
      <c r="N882" s="235"/>
      <c r="O882" s="236"/>
      <c r="P882" s="236"/>
      <c r="Q882" s="236"/>
      <c r="R882" s="236"/>
      <c r="S882" s="236"/>
      <c r="T882" s="236"/>
      <c r="U882" s="236"/>
      <c r="V882" s="236"/>
      <c r="W882" s="244"/>
      <c r="X882" s="244"/>
      <c r="Y882" s="237"/>
      <c r="Z882" s="244"/>
      <c r="AA882" s="244"/>
      <c r="AB882" s="244"/>
      <c r="AC882" s="244"/>
      <c r="AD882" s="234"/>
      <c r="AE882" s="234"/>
      <c r="AF882" s="238"/>
      <c r="AG882" s="239"/>
      <c r="AH882" s="238"/>
      <c r="AI882" s="238"/>
      <c r="AJ882" s="234"/>
      <c r="AK882" s="234"/>
      <c r="AL882" s="234"/>
      <c r="AM882" s="234"/>
      <c r="AN882" s="234"/>
      <c r="AO882" s="234"/>
    </row>
    <row r="883" ht="15.75" customHeight="1">
      <c r="A883" s="91"/>
      <c r="B883" s="91"/>
      <c r="C883" s="220"/>
      <c r="D883" s="91"/>
      <c r="E883" s="221"/>
      <c r="F883" s="91"/>
      <c r="G883" s="91"/>
      <c r="H883" s="242"/>
      <c r="I883" s="223"/>
      <c r="J883" s="57"/>
      <c r="K883" s="153"/>
      <c r="L883" s="243"/>
      <c r="M883" s="234"/>
      <c r="N883" s="235"/>
      <c r="O883" s="236"/>
      <c r="P883" s="236"/>
      <c r="Q883" s="236"/>
      <c r="R883" s="236"/>
      <c r="S883" s="236"/>
      <c r="T883" s="236"/>
      <c r="U883" s="236"/>
      <c r="V883" s="236"/>
      <c r="W883" s="244"/>
      <c r="X883" s="244"/>
      <c r="Y883" s="237"/>
      <c r="Z883" s="244"/>
      <c r="AA883" s="244"/>
      <c r="AB883" s="244"/>
      <c r="AC883" s="244"/>
      <c r="AD883" s="234"/>
      <c r="AE883" s="234"/>
      <c r="AF883" s="238"/>
      <c r="AG883" s="239"/>
      <c r="AH883" s="238"/>
      <c r="AI883" s="238"/>
      <c r="AJ883" s="234"/>
      <c r="AK883" s="234"/>
      <c r="AL883" s="234"/>
      <c r="AM883" s="234"/>
      <c r="AN883" s="234"/>
      <c r="AO883" s="234"/>
    </row>
    <row r="884" ht="15.75" customHeight="1">
      <c r="A884" s="91"/>
      <c r="B884" s="91"/>
      <c r="C884" s="220"/>
      <c r="D884" s="91"/>
      <c r="E884" s="221"/>
      <c r="F884" s="91"/>
      <c r="G884" s="91"/>
      <c r="H884" s="242"/>
      <c r="I884" s="223"/>
      <c r="J884" s="57"/>
      <c r="K884" s="153"/>
      <c r="L884" s="243"/>
      <c r="M884" s="234"/>
      <c r="N884" s="235"/>
      <c r="O884" s="236"/>
      <c r="P884" s="236"/>
      <c r="Q884" s="236"/>
      <c r="R884" s="236"/>
      <c r="S884" s="236"/>
      <c r="T884" s="236"/>
      <c r="U884" s="236"/>
      <c r="V884" s="236"/>
      <c r="W884" s="244"/>
      <c r="X884" s="244"/>
      <c r="Y884" s="237"/>
      <c r="Z884" s="244"/>
      <c r="AA884" s="244"/>
      <c r="AB884" s="244"/>
      <c r="AC884" s="244"/>
      <c r="AD884" s="234"/>
      <c r="AE884" s="234"/>
      <c r="AF884" s="238"/>
      <c r="AG884" s="239"/>
      <c r="AH884" s="238"/>
      <c r="AI884" s="238"/>
      <c r="AJ884" s="234"/>
      <c r="AK884" s="234"/>
      <c r="AL884" s="234"/>
      <c r="AM884" s="234"/>
      <c r="AN884" s="234"/>
      <c r="AO884" s="234"/>
    </row>
    <row r="885" ht="15.75" customHeight="1">
      <c r="A885" s="91"/>
      <c r="B885" s="91"/>
      <c r="C885" s="220"/>
      <c r="D885" s="91"/>
      <c r="E885" s="221"/>
      <c r="F885" s="91"/>
      <c r="G885" s="91"/>
      <c r="H885" s="242"/>
      <c r="I885" s="223"/>
      <c r="J885" s="57"/>
      <c r="K885" s="153"/>
      <c r="L885" s="243"/>
      <c r="M885" s="234"/>
      <c r="N885" s="235"/>
      <c r="O885" s="236"/>
      <c r="P885" s="236"/>
      <c r="Q885" s="236"/>
      <c r="R885" s="236"/>
      <c r="S885" s="236"/>
      <c r="T885" s="236"/>
      <c r="U885" s="236"/>
      <c r="V885" s="236"/>
      <c r="W885" s="244"/>
      <c r="X885" s="244"/>
      <c r="Y885" s="237"/>
      <c r="Z885" s="244"/>
      <c r="AA885" s="244"/>
      <c r="AB885" s="244"/>
      <c r="AC885" s="244"/>
      <c r="AD885" s="234"/>
      <c r="AE885" s="234"/>
      <c r="AF885" s="238"/>
      <c r="AG885" s="239"/>
      <c r="AH885" s="238"/>
      <c r="AI885" s="238"/>
      <c r="AJ885" s="234"/>
      <c r="AK885" s="234"/>
      <c r="AL885" s="234"/>
      <c r="AM885" s="234"/>
      <c r="AN885" s="234"/>
      <c r="AO885" s="234"/>
    </row>
    <row r="886" ht="15.75" customHeight="1">
      <c r="A886" s="91"/>
      <c r="B886" s="91"/>
      <c r="C886" s="220"/>
      <c r="D886" s="91"/>
      <c r="E886" s="221"/>
      <c r="F886" s="91"/>
      <c r="G886" s="91"/>
      <c r="H886" s="242"/>
      <c r="I886" s="223"/>
      <c r="J886" s="57"/>
      <c r="K886" s="153"/>
      <c r="L886" s="243"/>
      <c r="M886" s="234"/>
      <c r="N886" s="235"/>
      <c r="O886" s="236"/>
      <c r="P886" s="236"/>
      <c r="Q886" s="236"/>
      <c r="R886" s="236"/>
      <c r="S886" s="236"/>
      <c r="T886" s="236"/>
      <c r="U886" s="236"/>
      <c r="V886" s="236"/>
      <c r="W886" s="244"/>
      <c r="X886" s="244"/>
      <c r="Y886" s="237"/>
      <c r="Z886" s="244"/>
      <c r="AA886" s="244"/>
      <c r="AB886" s="244"/>
      <c r="AC886" s="244"/>
      <c r="AD886" s="234"/>
      <c r="AE886" s="234"/>
      <c r="AF886" s="238"/>
      <c r="AG886" s="239"/>
      <c r="AH886" s="238"/>
      <c r="AI886" s="238"/>
      <c r="AJ886" s="234"/>
      <c r="AK886" s="234"/>
      <c r="AL886" s="234"/>
      <c r="AM886" s="234"/>
      <c r="AN886" s="234"/>
      <c r="AO886" s="234"/>
    </row>
    <row r="887" ht="15.75" customHeight="1">
      <c r="A887" s="91"/>
      <c r="B887" s="91"/>
      <c r="C887" s="220"/>
      <c r="D887" s="91"/>
      <c r="E887" s="221"/>
      <c r="F887" s="91"/>
      <c r="G887" s="91"/>
      <c r="H887" s="242"/>
      <c r="I887" s="223"/>
      <c r="J887" s="57"/>
      <c r="K887" s="153"/>
      <c r="L887" s="243"/>
      <c r="M887" s="234"/>
      <c r="N887" s="235"/>
      <c r="O887" s="236"/>
      <c r="P887" s="236"/>
      <c r="Q887" s="236"/>
      <c r="R887" s="236"/>
      <c r="S887" s="236"/>
      <c r="T887" s="236"/>
      <c r="U887" s="236"/>
      <c r="V887" s="236"/>
      <c r="W887" s="244"/>
      <c r="X887" s="244"/>
      <c r="Y887" s="237"/>
      <c r="Z887" s="244"/>
      <c r="AA887" s="244"/>
      <c r="AB887" s="244"/>
      <c r="AC887" s="244"/>
      <c r="AD887" s="234"/>
      <c r="AE887" s="234"/>
      <c r="AF887" s="238"/>
      <c r="AG887" s="239"/>
      <c r="AH887" s="238"/>
      <c r="AI887" s="238"/>
      <c r="AJ887" s="234"/>
      <c r="AK887" s="234"/>
      <c r="AL887" s="234"/>
      <c r="AM887" s="234"/>
      <c r="AN887" s="234"/>
      <c r="AO887" s="234"/>
    </row>
    <row r="888" ht="15.75" customHeight="1">
      <c r="A888" s="91"/>
      <c r="B888" s="91"/>
      <c r="C888" s="220"/>
      <c r="D888" s="91"/>
      <c r="E888" s="221"/>
      <c r="F888" s="91"/>
      <c r="G888" s="91"/>
      <c r="H888" s="242"/>
      <c r="I888" s="223"/>
      <c r="J888" s="57"/>
      <c r="K888" s="153"/>
      <c r="L888" s="243"/>
      <c r="M888" s="234"/>
      <c r="N888" s="235"/>
      <c r="O888" s="236"/>
      <c r="P888" s="236"/>
      <c r="Q888" s="236"/>
      <c r="R888" s="236"/>
      <c r="S888" s="236"/>
      <c r="T888" s="236"/>
      <c r="U888" s="236"/>
      <c r="V888" s="236"/>
      <c r="W888" s="244"/>
      <c r="X888" s="244"/>
      <c r="Y888" s="237"/>
      <c r="Z888" s="244"/>
      <c r="AA888" s="244"/>
      <c r="AB888" s="244"/>
      <c r="AC888" s="244"/>
      <c r="AD888" s="234"/>
      <c r="AE888" s="234"/>
      <c r="AF888" s="238"/>
      <c r="AG888" s="239"/>
      <c r="AH888" s="238"/>
      <c r="AI888" s="238"/>
      <c r="AJ888" s="234"/>
      <c r="AK888" s="234"/>
      <c r="AL888" s="234"/>
      <c r="AM888" s="234"/>
      <c r="AN888" s="234"/>
      <c r="AO888" s="234"/>
    </row>
    <row r="889" ht="15.75" customHeight="1">
      <c r="A889" s="91"/>
      <c r="B889" s="91"/>
      <c r="C889" s="220"/>
      <c r="D889" s="91"/>
      <c r="E889" s="221"/>
      <c r="F889" s="91"/>
      <c r="G889" s="91"/>
      <c r="H889" s="242"/>
      <c r="I889" s="223"/>
      <c r="J889" s="57"/>
      <c r="K889" s="153"/>
      <c r="L889" s="243"/>
      <c r="M889" s="234"/>
      <c r="N889" s="235"/>
      <c r="O889" s="236"/>
      <c r="P889" s="236"/>
      <c r="Q889" s="236"/>
      <c r="R889" s="236"/>
      <c r="S889" s="236"/>
      <c r="T889" s="236"/>
      <c r="U889" s="236"/>
      <c r="V889" s="236"/>
      <c r="W889" s="244"/>
      <c r="X889" s="244"/>
      <c r="Y889" s="237"/>
      <c r="Z889" s="244"/>
      <c r="AA889" s="244"/>
      <c r="AB889" s="244"/>
      <c r="AC889" s="244"/>
      <c r="AD889" s="234"/>
      <c r="AE889" s="234"/>
      <c r="AF889" s="238"/>
      <c r="AG889" s="239"/>
      <c r="AH889" s="238"/>
      <c r="AI889" s="238"/>
      <c r="AJ889" s="234"/>
      <c r="AK889" s="234"/>
      <c r="AL889" s="234"/>
      <c r="AM889" s="234"/>
      <c r="AN889" s="234"/>
      <c r="AO889" s="234"/>
    </row>
    <row r="890" ht="15.75" customHeight="1">
      <c r="A890" s="91"/>
      <c r="B890" s="91"/>
      <c r="C890" s="220"/>
      <c r="D890" s="91"/>
      <c r="E890" s="221"/>
      <c r="F890" s="91"/>
      <c r="G890" s="91"/>
      <c r="H890" s="242"/>
      <c r="I890" s="223"/>
      <c r="J890" s="57"/>
      <c r="K890" s="153"/>
      <c r="L890" s="243"/>
      <c r="M890" s="234"/>
      <c r="N890" s="235"/>
      <c r="O890" s="236"/>
      <c r="P890" s="236"/>
      <c r="Q890" s="236"/>
      <c r="R890" s="236"/>
      <c r="S890" s="236"/>
      <c r="T890" s="236"/>
      <c r="U890" s="236"/>
      <c r="V890" s="236"/>
      <c r="W890" s="244"/>
      <c r="X890" s="244"/>
      <c r="Y890" s="237"/>
      <c r="Z890" s="244"/>
      <c r="AA890" s="244"/>
      <c r="AB890" s="244"/>
      <c r="AC890" s="244"/>
      <c r="AD890" s="234"/>
      <c r="AE890" s="234"/>
      <c r="AF890" s="238"/>
      <c r="AG890" s="239"/>
      <c r="AH890" s="238"/>
      <c r="AI890" s="238"/>
      <c r="AJ890" s="234"/>
      <c r="AK890" s="234"/>
      <c r="AL890" s="234"/>
      <c r="AM890" s="234"/>
      <c r="AN890" s="234"/>
      <c r="AO890" s="234"/>
    </row>
    <row r="891" ht="15.75" customHeight="1">
      <c r="A891" s="91"/>
      <c r="B891" s="91"/>
      <c r="C891" s="220"/>
      <c r="D891" s="91"/>
      <c r="E891" s="221"/>
      <c r="F891" s="91"/>
      <c r="G891" s="91"/>
      <c r="H891" s="242"/>
      <c r="I891" s="223"/>
      <c r="J891" s="57"/>
      <c r="K891" s="153"/>
      <c r="L891" s="243"/>
      <c r="M891" s="234"/>
      <c r="N891" s="235"/>
      <c r="O891" s="236"/>
      <c r="P891" s="236"/>
      <c r="Q891" s="236"/>
      <c r="R891" s="236"/>
      <c r="S891" s="236"/>
      <c r="T891" s="236"/>
      <c r="U891" s="236"/>
      <c r="V891" s="236"/>
      <c r="W891" s="244"/>
      <c r="X891" s="244"/>
      <c r="Y891" s="237"/>
      <c r="Z891" s="244"/>
      <c r="AA891" s="244"/>
      <c r="AB891" s="244"/>
      <c r="AC891" s="244"/>
      <c r="AD891" s="234"/>
      <c r="AE891" s="234"/>
      <c r="AF891" s="238"/>
      <c r="AG891" s="239"/>
      <c r="AH891" s="238"/>
      <c r="AI891" s="238"/>
      <c r="AJ891" s="234"/>
      <c r="AK891" s="234"/>
      <c r="AL891" s="234"/>
      <c r="AM891" s="234"/>
      <c r="AN891" s="234"/>
      <c r="AO891" s="234"/>
    </row>
    <row r="892" ht="15.75" customHeight="1">
      <c r="A892" s="91"/>
      <c r="B892" s="91"/>
      <c r="C892" s="220"/>
      <c r="D892" s="91"/>
      <c r="E892" s="221"/>
      <c r="F892" s="91"/>
      <c r="G892" s="91"/>
      <c r="H892" s="242"/>
      <c r="I892" s="223"/>
      <c r="J892" s="57"/>
      <c r="K892" s="153"/>
      <c r="L892" s="243"/>
      <c r="M892" s="234"/>
      <c r="N892" s="235"/>
      <c r="O892" s="236"/>
      <c r="P892" s="236"/>
      <c r="Q892" s="236"/>
      <c r="R892" s="236"/>
      <c r="S892" s="236"/>
      <c r="T892" s="236"/>
      <c r="U892" s="236"/>
      <c r="V892" s="236"/>
      <c r="W892" s="244"/>
      <c r="X892" s="244"/>
      <c r="Y892" s="237"/>
      <c r="Z892" s="244"/>
      <c r="AA892" s="244"/>
      <c r="AB892" s="244"/>
      <c r="AC892" s="244"/>
      <c r="AD892" s="234"/>
      <c r="AE892" s="234"/>
      <c r="AF892" s="238"/>
      <c r="AG892" s="239"/>
      <c r="AH892" s="238"/>
      <c r="AI892" s="238"/>
      <c r="AJ892" s="234"/>
      <c r="AK892" s="234"/>
      <c r="AL892" s="234"/>
      <c r="AM892" s="234"/>
      <c r="AN892" s="234"/>
      <c r="AO892" s="234"/>
    </row>
    <row r="893" ht="15.75" customHeight="1">
      <c r="A893" s="91"/>
      <c r="B893" s="91"/>
      <c r="C893" s="220"/>
      <c r="D893" s="91"/>
      <c r="E893" s="221"/>
      <c r="F893" s="91"/>
      <c r="G893" s="91"/>
      <c r="H893" s="242"/>
      <c r="I893" s="223"/>
      <c r="J893" s="57"/>
      <c r="K893" s="153"/>
      <c r="L893" s="243"/>
      <c r="M893" s="234"/>
      <c r="N893" s="235"/>
      <c r="O893" s="236"/>
      <c r="P893" s="236"/>
      <c r="Q893" s="236"/>
      <c r="R893" s="236"/>
      <c r="S893" s="236"/>
      <c r="T893" s="236"/>
      <c r="U893" s="236"/>
      <c r="V893" s="236"/>
      <c r="W893" s="244"/>
      <c r="X893" s="244"/>
      <c r="Y893" s="237"/>
      <c r="Z893" s="244"/>
      <c r="AA893" s="244"/>
      <c r="AB893" s="244"/>
      <c r="AC893" s="244"/>
      <c r="AD893" s="234"/>
      <c r="AE893" s="234"/>
      <c r="AF893" s="238"/>
      <c r="AG893" s="239"/>
      <c r="AH893" s="238"/>
      <c r="AI893" s="238"/>
      <c r="AJ893" s="234"/>
      <c r="AK893" s="234"/>
      <c r="AL893" s="234"/>
      <c r="AM893" s="234"/>
      <c r="AN893" s="234"/>
      <c r="AO893" s="234"/>
    </row>
    <row r="894" ht="15.75" customHeight="1">
      <c r="A894" s="91"/>
      <c r="B894" s="91"/>
      <c r="C894" s="220"/>
      <c r="D894" s="91"/>
      <c r="E894" s="221"/>
      <c r="F894" s="91"/>
      <c r="G894" s="91"/>
      <c r="H894" s="242"/>
      <c r="I894" s="223"/>
      <c r="J894" s="57"/>
      <c r="K894" s="153"/>
      <c r="L894" s="243"/>
      <c r="M894" s="234"/>
      <c r="N894" s="235"/>
      <c r="O894" s="236"/>
      <c r="P894" s="236"/>
      <c r="Q894" s="236"/>
      <c r="R894" s="236"/>
      <c r="S894" s="236"/>
      <c r="T894" s="236"/>
      <c r="U894" s="236"/>
      <c r="V894" s="236"/>
      <c r="W894" s="244"/>
      <c r="X894" s="244"/>
      <c r="Y894" s="237"/>
      <c r="Z894" s="244"/>
      <c r="AA894" s="244"/>
      <c r="AB894" s="244"/>
      <c r="AC894" s="244"/>
      <c r="AD894" s="234"/>
      <c r="AE894" s="234"/>
      <c r="AF894" s="238"/>
      <c r="AG894" s="239"/>
      <c r="AH894" s="238"/>
      <c r="AI894" s="238"/>
      <c r="AJ894" s="234"/>
      <c r="AK894" s="234"/>
      <c r="AL894" s="234"/>
      <c r="AM894" s="234"/>
      <c r="AN894" s="234"/>
      <c r="AO894" s="234"/>
    </row>
    <row r="895" ht="15.75" customHeight="1">
      <c r="A895" s="91"/>
      <c r="B895" s="91"/>
      <c r="C895" s="220"/>
      <c r="D895" s="91"/>
      <c r="E895" s="221"/>
      <c r="F895" s="91"/>
      <c r="G895" s="91"/>
      <c r="H895" s="242"/>
      <c r="I895" s="223"/>
      <c r="J895" s="57"/>
      <c r="K895" s="153"/>
      <c r="L895" s="243"/>
      <c r="M895" s="234"/>
      <c r="N895" s="235"/>
      <c r="O895" s="236"/>
      <c r="P895" s="236"/>
      <c r="Q895" s="236"/>
      <c r="R895" s="236"/>
      <c r="S895" s="236"/>
      <c r="T895" s="236"/>
      <c r="U895" s="236"/>
      <c r="V895" s="236"/>
      <c r="W895" s="244"/>
      <c r="X895" s="244"/>
      <c r="Y895" s="237"/>
      <c r="Z895" s="244"/>
      <c r="AA895" s="244"/>
      <c r="AB895" s="244"/>
      <c r="AC895" s="244"/>
      <c r="AD895" s="234"/>
      <c r="AE895" s="234"/>
      <c r="AF895" s="238"/>
      <c r="AG895" s="239"/>
      <c r="AH895" s="238"/>
      <c r="AI895" s="238"/>
      <c r="AJ895" s="234"/>
      <c r="AK895" s="234"/>
      <c r="AL895" s="234"/>
      <c r="AM895" s="234"/>
      <c r="AN895" s="234"/>
      <c r="AO895" s="234"/>
    </row>
    <row r="896" ht="15.75" customHeight="1">
      <c r="A896" s="91"/>
      <c r="B896" s="91"/>
      <c r="C896" s="220"/>
      <c r="D896" s="91"/>
      <c r="E896" s="221"/>
      <c r="F896" s="91"/>
      <c r="G896" s="91"/>
      <c r="H896" s="242"/>
      <c r="I896" s="223"/>
      <c r="J896" s="57"/>
      <c r="K896" s="153"/>
      <c r="L896" s="243"/>
      <c r="M896" s="234"/>
      <c r="N896" s="235"/>
      <c r="O896" s="236"/>
      <c r="P896" s="236"/>
      <c r="Q896" s="236"/>
      <c r="R896" s="236"/>
      <c r="S896" s="236"/>
      <c r="T896" s="236"/>
      <c r="U896" s="236"/>
      <c r="V896" s="236"/>
      <c r="W896" s="244"/>
      <c r="X896" s="244"/>
      <c r="Y896" s="237"/>
      <c r="Z896" s="244"/>
      <c r="AA896" s="244"/>
      <c r="AB896" s="244"/>
      <c r="AC896" s="244"/>
      <c r="AD896" s="234"/>
      <c r="AE896" s="234"/>
      <c r="AF896" s="238"/>
      <c r="AG896" s="239"/>
      <c r="AH896" s="238"/>
      <c r="AI896" s="238"/>
      <c r="AJ896" s="234"/>
      <c r="AK896" s="234"/>
      <c r="AL896" s="234"/>
      <c r="AM896" s="234"/>
      <c r="AN896" s="234"/>
      <c r="AO896" s="234"/>
    </row>
    <row r="897" ht="15.75" customHeight="1">
      <c r="A897" s="91"/>
      <c r="B897" s="91"/>
      <c r="C897" s="220"/>
      <c r="D897" s="91"/>
      <c r="E897" s="221"/>
      <c r="F897" s="91"/>
      <c r="G897" s="91"/>
      <c r="H897" s="242"/>
      <c r="I897" s="223"/>
      <c r="J897" s="57"/>
      <c r="K897" s="153"/>
      <c r="L897" s="243"/>
      <c r="M897" s="234"/>
      <c r="N897" s="235"/>
      <c r="O897" s="236"/>
      <c r="P897" s="236"/>
      <c r="Q897" s="236"/>
      <c r="R897" s="236"/>
      <c r="S897" s="236"/>
      <c r="T897" s="236"/>
      <c r="U897" s="236"/>
      <c r="V897" s="236"/>
      <c r="W897" s="244"/>
      <c r="X897" s="244"/>
      <c r="Y897" s="237"/>
      <c r="Z897" s="244"/>
      <c r="AA897" s="244"/>
      <c r="AB897" s="244"/>
      <c r="AC897" s="244"/>
      <c r="AD897" s="234"/>
      <c r="AE897" s="234"/>
      <c r="AF897" s="238"/>
      <c r="AG897" s="239"/>
      <c r="AH897" s="238"/>
      <c r="AI897" s="238"/>
      <c r="AJ897" s="234"/>
      <c r="AK897" s="234"/>
      <c r="AL897" s="234"/>
      <c r="AM897" s="234"/>
      <c r="AN897" s="234"/>
      <c r="AO897" s="234"/>
    </row>
    <row r="898" ht="15.75" customHeight="1">
      <c r="A898" s="91"/>
      <c r="B898" s="91"/>
      <c r="C898" s="220"/>
      <c r="D898" s="91"/>
      <c r="E898" s="221"/>
      <c r="F898" s="91"/>
      <c r="G898" s="91"/>
      <c r="H898" s="242"/>
      <c r="I898" s="223"/>
      <c r="J898" s="57"/>
      <c r="K898" s="153"/>
      <c r="L898" s="243"/>
      <c r="M898" s="234"/>
      <c r="N898" s="235"/>
      <c r="O898" s="236"/>
      <c r="P898" s="236"/>
      <c r="Q898" s="236"/>
      <c r="R898" s="236"/>
      <c r="S898" s="236"/>
      <c r="T898" s="236"/>
      <c r="U898" s="236"/>
      <c r="V898" s="236"/>
      <c r="W898" s="244"/>
      <c r="X898" s="244"/>
      <c r="Y898" s="237"/>
      <c r="Z898" s="244"/>
      <c r="AA898" s="244"/>
      <c r="AB898" s="244"/>
      <c r="AC898" s="244"/>
      <c r="AD898" s="234"/>
      <c r="AE898" s="234"/>
      <c r="AF898" s="238"/>
      <c r="AG898" s="239"/>
      <c r="AH898" s="238"/>
      <c r="AI898" s="238"/>
      <c r="AJ898" s="234"/>
      <c r="AK898" s="234"/>
      <c r="AL898" s="234"/>
      <c r="AM898" s="234"/>
      <c r="AN898" s="234"/>
      <c r="AO898" s="234"/>
    </row>
    <row r="899" ht="15.75" customHeight="1">
      <c r="A899" s="91"/>
      <c r="B899" s="91"/>
      <c r="C899" s="220"/>
      <c r="D899" s="91"/>
      <c r="E899" s="221"/>
      <c r="F899" s="91"/>
      <c r="G899" s="91"/>
      <c r="H899" s="242"/>
      <c r="I899" s="223"/>
      <c r="J899" s="57"/>
      <c r="K899" s="153"/>
      <c r="L899" s="243"/>
      <c r="M899" s="234"/>
      <c r="N899" s="235"/>
      <c r="O899" s="236"/>
      <c r="P899" s="236"/>
      <c r="Q899" s="236"/>
      <c r="R899" s="236"/>
      <c r="S899" s="236"/>
      <c r="T899" s="236"/>
      <c r="U899" s="236"/>
      <c r="V899" s="236"/>
      <c r="W899" s="244"/>
      <c r="X899" s="244"/>
      <c r="Y899" s="237"/>
      <c r="Z899" s="244"/>
      <c r="AA899" s="244"/>
      <c r="AB899" s="244"/>
      <c r="AC899" s="244"/>
      <c r="AD899" s="234"/>
      <c r="AE899" s="234"/>
      <c r="AF899" s="238"/>
      <c r="AG899" s="239"/>
      <c r="AH899" s="238"/>
      <c r="AI899" s="238"/>
      <c r="AJ899" s="234"/>
      <c r="AK899" s="234"/>
      <c r="AL899" s="234"/>
      <c r="AM899" s="234"/>
      <c r="AN899" s="234"/>
      <c r="AO899" s="234"/>
    </row>
    <row r="900" ht="15.75" customHeight="1">
      <c r="A900" s="91"/>
      <c r="B900" s="91"/>
      <c r="C900" s="220"/>
      <c r="D900" s="91"/>
      <c r="E900" s="221"/>
      <c r="F900" s="91"/>
      <c r="G900" s="91"/>
      <c r="H900" s="242"/>
      <c r="I900" s="223"/>
      <c r="J900" s="57"/>
      <c r="K900" s="153"/>
      <c r="L900" s="243"/>
      <c r="M900" s="234"/>
      <c r="N900" s="235"/>
      <c r="O900" s="236"/>
      <c r="P900" s="236"/>
      <c r="Q900" s="236"/>
      <c r="R900" s="236"/>
      <c r="S900" s="236"/>
      <c r="T900" s="236"/>
      <c r="U900" s="236"/>
      <c r="V900" s="236"/>
      <c r="W900" s="244"/>
      <c r="X900" s="244"/>
      <c r="Y900" s="237"/>
      <c r="Z900" s="244"/>
      <c r="AA900" s="244"/>
      <c r="AB900" s="244"/>
      <c r="AC900" s="244"/>
      <c r="AD900" s="234"/>
      <c r="AE900" s="234"/>
      <c r="AF900" s="238"/>
      <c r="AG900" s="239"/>
      <c r="AH900" s="238"/>
      <c r="AI900" s="238"/>
      <c r="AJ900" s="234"/>
      <c r="AK900" s="234"/>
      <c r="AL900" s="234"/>
      <c r="AM900" s="234"/>
      <c r="AN900" s="234"/>
      <c r="AO900" s="234"/>
    </row>
    <row r="901" ht="15.75" customHeight="1">
      <c r="A901" s="91"/>
      <c r="B901" s="91"/>
      <c r="C901" s="220"/>
      <c r="D901" s="91"/>
      <c r="E901" s="221"/>
      <c r="F901" s="91"/>
      <c r="G901" s="91"/>
      <c r="H901" s="242"/>
      <c r="I901" s="223"/>
      <c r="J901" s="57"/>
      <c r="K901" s="153"/>
      <c r="L901" s="243"/>
      <c r="M901" s="234"/>
      <c r="N901" s="235"/>
      <c r="O901" s="236"/>
      <c r="P901" s="236"/>
      <c r="Q901" s="236"/>
      <c r="R901" s="236"/>
      <c r="S901" s="236"/>
      <c r="T901" s="236"/>
      <c r="U901" s="236"/>
      <c r="V901" s="236"/>
      <c r="W901" s="244"/>
      <c r="X901" s="244"/>
      <c r="Y901" s="237"/>
      <c r="Z901" s="244"/>
      <c r="AA901" s="244"/>
      <c r="AB901" s="244"/>
      <c r="AC901" s="244"/>
      <c r="AD901" s="234"/>
      <c r="AE901" s="234"/>
      <c r="AF901" s="238"/>
      <c r="AG901" s="239"/>
      <c r="AH901" s="238"/>
      <c r="AI901" s="238"/>
      <c r="AJ901" s="234"/>
      <c r="AK901" s="234"/>
      <c r="AL901" s="234"/>
      <c r="AM901" s="234"/>
      <c r="AN901" s="234"/>
      <c r="AO901" s="234"/>
    </row>
    <row r="902" ht="15.75" customHeight="1">
      <c r="A902" s="91"/>
      <c r="B902" s="91"/>
      <c r="C902" s="220"/>
      <c r="D902" s="91"/>
      <c r="E902" s="221"/>
      <c r="F902" s="91"/>
      <c r="G902" s="91"/>
      <c r="H902" s="242"/>
      <c r="I902" s="223"/>
      <c r="J902" s="57"/>
      <c r="K902" s="153"/>
      <c r="L902" s="243"/>
      <c r="M902" s="234"/>
      <c r="N902" s="235"/>
      <c r="O902" s="236"/>
      <c r="P902" s="236"/>
      <c r="Q902" s="236"/>
      <c r="R902" s="236"/>
      <c r="S902" s="236"/>
      <c r="T902" s="236"/>
      <c r="U902" s="236"/>
      <c r="V902" s="236"/>
      <c r="W902" s="244"/>
      <c r="X902" s="244"/>
      <c r="Y902" s="237"/>
      <c r="Z902" s="244"/>
      <c r="AA902" s="244"/>
      <c r="AB902" s="244"/>
      <c r="AC902" s="244"/>
      <c r="AD902" s="234"/>
      <c r="AE902" s="234"/>
      <c r="AF902" s="238"/>
      <c r="AG902" s="239"/>
      <c r="AH902" s="238"/>
      <c r="AI902" s="238"/>
      <c r="AJ902" s="234"/>
      <c r="AK902" s="234"/>
      <c r="AL902" s="234"/>
      <c r="AM902" s="234"/>
      <c r="AN902" s="234"/>
      <c r="AO902" s="234"/>
    </row>
    <row r="903" ht="15.75" customHeight="1">
      <c r="A903" s="91"/>
      <c r="B903" s="91"/>
      <c r="C903" s="220"/>
      <c r="D903" s="91"/>
      <c r="E903" s="221"/>
      <c r="F903" s="91"/>
      <c r="G903" s="91"/>
      <c r="H903" s="242"/>
      <c r="I903" s="223"/>
      <c r="J903" s="57"/>
      <c r="K903" s="153"/>
      <c r="L903" s="243"/>
      <c r="M903" s="234"/>
      <c r="N903" s="235"/>
      <c r="O903" s="236"/>
      <c r="P903" s="236"/>
      <c r="Q903" s="236"/>
      <c r="R903" s="236"/>
      <c r="S903" s="236"/>
      <c r="T903" s="236"/>
      <c r="U903" s="236"/>
      <c r="V903" s="236"/>
      <c r="W903" s="244"/>
      <c r="X903" s="244"/>
      <c r="Y903" s="237"/>
      <c r="Z903" s="244"/>
      <c r="AA903" s="244"/>
      <c r="AB903" s="244"/>
      <c r="AC903" s="244"/>
      <c r="AD903" s="234"/>
      <c r="AE903" s="234"/>
      <c r="AF903" s="238"/>
      <c r="AG903" s="239"/>
      <c r="AH903" s="238"/>
      <c r="AI903" s="238"/>
      <c r="AJ903" s="234"/>
      <c r="AK903" s="234"/>
      <c r="AL903" s="234"/>
      <c r="AM903" s="234"/>
      <c r="AN903" s="234"/>
      <c r="AO903" s="234"/>
    </row>
    <row r="904" ht="15.75" customHeight="1">
      <c r="A904" s="91"/>
      <c r="B904" s="91"/>
      <c r="C904" s="220"/>
      <c r="D904" s="91"/>
      <c r="E904" s="221"/>
      <c r="F904" s="91"/>
      <c r="G904" s="91"/>
      <c r="H904" s="242"/>
      <c r="I904" s="223"/>
      <c r="J904" s="57"/>
      <c r="K904" s="153"/>
      <c r="L904" s="243"/>
      <c r="M904" s="234"/>
      <c r="N904" s="235"/>
      <c r="O904" s="236"/>
      <c r="P904" s="236"/>
      <c r="Q904" s="236"/>
      <c r="R904" s="236"/>
      <c r="S904" s="236"/>
      <c r="T904" s="236"/>
      <c r="U904" s="236"/>
      <c r="V904" s="236"/>
      <c r="W904" s="244"/>
      <c r="X904" s="244"/>
      <c r="Y904" s="237"/>
      <c r="Z904" s="244"/>
      <c r="AA904" s="244"/>
      <c r="AB904" s="244"/>
      <c r="AC904" s="244"/>
      <c r="AD904" s="234"/>
      <c r="AE904" s="234"/>
      <c r="AF904" s="238"/>
      <c r="AG904" s="239"/>
      <c r="AH904" s="238"/>
      <c r="AI904" s="238"/>
      <c r="AJ904" s="234"/>
      <c r="AK904" s="234"/>
      <c r="AL904" s="234"/>
      <c r="AM904" s="234"/>
      <c r="AN904" s="234"/>
      <c r="AO904" s="234"/>
    </row>
    <row r="905" ht="15.75" customHeight="1">
      <c r="A905" s="91"/>
      <c r="B905" s="91"/>
      <c r="C905" s="220"/>
      <c r="D905" s="91"/>
      <c r="E905" s="221"/>
      <c r="F905" s="91"/>
      <c r="G905" s="91"/>
      <c r="H905" s="242"/>
      <c r="I905" s="223"/>
      <c r="J905" s="57"/>
      <c r="K905" s="153"/>
      <c r="L905" s="243"/>
      <c r="M905" s="234"/>
      <c r="N905" s="235"/>
      <c r="O905" s="236"/>
      <c r="P905" s="236"/>
      <c r="Q905" s="236"/>
      <c r="R905" s="236"/>
      <c r="S905" s="236"/>
      <c r="T905" s="236"/>
      <c r="U905" s="236"/>
      <c r="V905" s="236"/>
      <c r="W905" s="244"/>
      <c r="X905" s="244"/>
      <c r="Y905" s="237"/>
      <c r="Z905" s="244"/>
      <c r="AA905" s="244"/>
      <c r="AB905" s="244"/>
      <c r="AC905" s="244"/>
      <c r="AD905" s="234"/>
      <c r="AE905" s="234"/>
      <c r="AF905" s="238"/>
      <c r="AG905" s="239"/>
      <c r="AH905" s="238"/>
      <c r="AI905" s="238"/>
      <c r="AJ905" s="234"/>
      <c r="AK905" s="234"/>
      <c r="AL905" s="234"/>
      <c r="AM905" s="234"/>
      <c r="AN905" s="234"/>
      <c r="AO905" s="234"/>
    </row>
    <row r="906" ht="15.75" customHeight="1">
      <c r="A906" s="91"/>
      <c r="B906" s="91"/>
      <c r="C906" s="220"/>
      <c r="D906" s="91"/>
      <c r="E906" s="221"/>
      <c r="F906" s="91"/>
      <c r="G906" s="91"/>
      <c r="H906" s="242"/>
      <c r="I906" s="223"/>
      <c r="J906" s="57"/>
      <c r="K906" s="153"/>
      <c r="L906" s="243"/>
      <c r="M906" s="234"/>
      <c r="N906" s="235"/>
      <c r="O906" s="236"/>
      <c r="P906" s="236"/>
      <c r="Q906" s="236"/>
      <c r="R906" s="236"/>
      <c r="S906" s="236"/>
      <c r="T906" s="236"/>
      <c r="U906" s="236"/>
      <c r="V906" s="236"/>
      <c r="W906" s="244"/>
      <c r="X906" s="244"/>
      <c r="Y906" s="237"/>
      <c r="Z906" s="244"/>
      <c r="AA906" s="244"/>
      <c r="AB906" s="244"/>
      <c r="AC906" s="244"/>
      <c r="AD906" s="234"/>
      <c r="AE906" s="234"/>
      <c r="AF906" s="238"/>
      <c r="AG906" s="239"/>
      <c r="AH906" s="238"/>
      <c r="AI906" s="238"/>
      <c r="AJ906" s="234"/>
      <c r="AK906" s="234"/>
      <c r="AL906" s="234"/>
      <c r="AM906" s="234"/>
      <c r="AN906" s="234"/>
      <c r="AO906" s="234"/>
    </row>
    <row r="907" ht="15.75" customHeight="1">
      <c r="A907" s="91"/>
      <c r="B907" s="91"/>
      <c r="C907" s="220"/>
      <c r="D907" s="91"/>
      <c r="E907" s="221"/>
      <c r="F907" s="91"/>
      <c r="G907" s="91"/>
      <c r="H907" s="242"/>
      <c r="I907" s="223"/>
      <c r="J907" s="57"/>
      <c r="K907" s="153"/>
      <c r="L907" s="243"/>
      <c r="M907" s="234"/>
      <c r="N907" s="235"/>
      <c r="O907" s="236"/>
      <c r="P907" s="236"/>
      <c r="Q907" s="236"/>
      <c r="R907" s="236"/>
      <c r="S907" s="236"/>
      <c r="T907" s="236"/>
      <c r="U907" s="236"/>
      <c r="V907" s="236"/>
      <c r="W907" s="244"/>
      <c r="X907" s="244"/>
      <c r="Y907" s="237"/>
      <c r="Z907" s="244"/>
      <c r="AA907" s="244"/>
      <c r="AB907" s="244"/>
      <c r="AC907" s="244"/>
      <c r="AD907" s="234"/>
      <c r="AE907" s="234"/>
      <c r="AF907" s="238"/>
      <c r="AG907" s="239"/>
      <c r="AH907" s="238"/>
      <c r="AI907" s="238"/>
      <c r="AJ907" s="234"/>
      <c r="AK907" s="234"/>
      <c r="AL907" s="234"/>
      <c r="AM907" s="234"/>
      <c r="AN907" s="234"/>
      <c r="AO907" s="234"/>
    </row>
    <row r="908" ht="15.75" customHeight="1">
      <c r="A908" s="91"/>
      <c r="B908" s="91"/>
      <c r="C908" s="220"/>
      <c r="D908" s="91"/>
      <c r="E908" s="221"/>
      <c r="F908" s="91"/>
      <c r="G908" s="91"/>
      <c r="H908" s="242"/>
      <c r="I908" s="223"/>
      <c r="J908" s="57"/>
      <c r="K908" s="153"/>
      <c r="L908" s="243"/>
      <c r="M908" s="234"/>
      <c r="N908" s="235"/>
      <c r="O908" s="236"/>
      <c r="P908" s="236"/>
      <c r="Q908" s="236"/>
      <c r="R908" s="236"/>
      <c r="S908" s="236"/>
      <c r="T908" s="236"/>
      <c r="U908" s="236"/>
      <c r="V908" s="236"/>
      <c r="W908" s="244"/>
      <c r="X908" s="244"/>
      <c r="Y908" s="237"/>
      <c r="Z908" s="244"/>
      <c r="AA908" s="244"/>
      <c r="AB908" s="244"/>
      <c r="AC908" s="244"/>
      <c r="AD908" s="234"/>
      <c r="AE908" s="234"/>
      <c r="AF908" s="238"/>
      <c r="AG908" s="239"/>
      <c r="AH908" s="238"/>
      <c r="AI908" s="238"/>
      <c r="AJ908" s="234"/>
      <c r="AK908" s="234"/>
      <c r="AL908" s="234"/>
      <c r="AM908" s="234"/>
      <c r="AN908" s="234"/>
      <c r="AO908" s="234"/>
    </row>
    <row r="909" ht="15.75" customHeight="1">
      <c r="A909" s="91"/>
      <c r="B909" s="91"/>
      <c r="C909" s="220"/>
      <c r="D909" s="91"/>
      <c r="E909" s="221"/>
      <c r="F909" s="91"/>
      <c r="G909" s="91"/>
      <c r="H909" s="242"/>
      <c r="I909" s="223"/>
      <c r="J909" s="57"/>
      <c r="K909" s="153"/>
      <c r="L909" s="243"/>
      <c r="M909" s="234"/>
      <c r="N909" s="235"/>
      <c r="O909" s="236"/>
      <c r="P909" s="236"/>
      <c r="Q909" s="236"/>
      <c r="R909" s="236"/>
      <c r="S909" s="236"/>
      <c r="T909" s="236"/>
      <c r="U909" s="236"/>
      <c r="V909" s="236"/>
      <c r="W909" s="244"/>
      <c r="X909" s="244"/>
      <c r="Y909" s="237"/>
      <c r="Z909" s="244"/>
      <c r="AA909" s="244"/>
      <c r="AB909" s="244"/>
      <c r="AC909" s="244"/>
      <c r="AD909" s="234"/>
      <c r="AE909" s="234"/>
      <c r="AF909" s="238"/>
      <c r="AG909" s="239"/>
      <c r="AH909" s="238"/>
      <c r="AI909" s="238"/>
      <c r="AJ909" s="234"/>
      <c r="AK909" s="234"/>
      <c r="AL909" s="234"/>
      <c r="AM909" s="234"/>
      <c r="AN909" s="234"/>
      <c r="AO909" s="234"/>
    </row>
    <row r="910" ht="15.75" customHeight="1">
      <c r="A910" s="91"/>
      <c r="B910" s="91"/>
      <c r="C910" s="220"/>
      <c r="D910" s="91"/>
      <c r="E910" s="221"/>
      <c r="F910" s="91"/>
      <c r="G910" s="91"/>
      <c r="H910" s="242"/>
      <c r="I910" s="223"/>
      <c r="J910" s="57"/>
      <c r="K910" s="153"/>
      <c r="L910" s="243"/>
      <c r="M910" s="234"/>
      <c r="N910" s="235"/>
      <c r="O910" s="236"/>
      <c r="P910" s="236"/>
      <c r="Q910" s="236"/>
      <c r="R910" s="236"/>
      <c r="S910" s="236"/>
      <c r="T910" s="236"/>
      <c r="U910" s="236"/>
      <c r="V910" s="236"/>
      <c r="W910" s="244"/>
      <c r="X910" s="244"/>
      <c r="Y910" s="237"/>
      <c r="Z910" s="244"/>
      <c r="AA910" s="244"/>
      <c r="AB910" s="244"/>
      <c r="AC910" s="244"/>
      <c r="AD910" s="234"/>
      <c r="AE910" s="234"/>
      <c r="AF910" s="238"/>
      <c r="AG910" s="239"/>
      <c r="AH910" s="238"/>
      <c r="AI910" s="238"/>
      <c r="AJ910" s="234"/>
      <c r="AK910" s="234"/>
      <c r="AL910" s="234"/>
      <c r="AM910" s="234"/>
      <c r="AN910" s="234"/>
      <c r="AO910" s="234"/>
    </row>
    <row r="911" ht="15.75" customHeight="1">
      <c r="A911" s="91"/>
      <c r="B911" s="91"/>
      <c r="C911" s="220"/>
      <c r="D911" s="91"/>
      <c r="E911" s="221"/>
      <c r="F911" s="91"/>
      <c r="G911" s="91"/>
      <c r="H911" s="242"/>
      <c r="I911" s="223"/>
      <c r="J911" s="57"/>
      <c r="K911" s="153"/>
      <c r="L911" s="243"/>
      <c r="M911" s="234"/>
      <c r="N911" s="235"/>
      <c r="O911" s="236"/>
      <c r="P911" s="236"/>
      <c r="Q911" s="236"/>
      <c r="R911" s="236"/>
      <c r="S911" s="236"/>
      <c r="T911" s="236"/>
      <c r="U911" s="236"/>
      <c r="V911" s="236"/>
      <c r="W911" s="244"/>
      <c r="X911" s="244"/>
      <c r="Y911" s="237"/>
      <c r="Z911" s="244"/>
      <c r="AA911" s="244"/>
      <c r="AB911" s="244"/>
      <c r="AC911" s="244"/>
      <c r="AD911" s="234"/>
      <c r="AE911" s="234"/>
      <c r="AF911" s="238"/>
      <c r="AG911" s="239"/>
      <c r="AH911" s="238"/>
      <c r="AI911" s="238"/>
      <c r="AJ911" s="234"/>
      <c r="AK911" s="234"/>
      <c r="AL911" s="234"/>
      <c r="AM911" s="234"/>
      <c r="AN911" s="234"/>
      <c r="AO911" s="234"/>
    </row>
    <row r="912" ht="15.75" customHeight="1">
      <c r="A912" s="91"/>
      <c r="B912" s="91"/>
      <c r="C912" s="220"/>
      <c r="D912" s="91"/>
      <c r="E912" s="221"/>
      <c r="F912" s="91"/>
      <c r="G912" s="91"/>
      <c r="H912" s="242"/>
      <c r="I912" s="223"/>
      <c r="J912" s="57"/>
      <c r="K912" s="153"/>
      <c r="L912" s="243"/>
      <c r="M912" s="234"/>
      <c r="N912" s="235"/>
      <c r="O912" s="236"/>
      <c r="P912" s="236"/>
      <c r="Q912" s="236"/>
      <c r="R912" s="236"/>
      <c r="S912" s="236"/>
      <c r="T912" s="236"/>
      <c r="U912" s="236"/>
      <c r="V912" s="236"/>
      <c r="W912" s="244"/>
      <c r="X912" s="244"/>
      <c r="Y912" s="237"/>
      <c r="Z912" s="244"/>
      <c r="AA912" s="244"/>
      <c r="AB912" s="244"/>
      <c r="AC912" s="244"/>
      <c r="AD912" s="234"/>
      <c r="AE912" s="234"/>
      <c r="AF912" s="238"/>
      <c r="AG912" s="239"/>
      <c r="AH912" s="238"/>
      <c r="AI912" s="238"/>
      <c r="AJ912" s="234"/>
      <c r="AK912" s="234"/>
      <c r="AL912" s="234"/>
      <c r="AM912" s="234"/>
      <c r="AN912" s="234"/>
      <c r="AO912" s="234"/>
    </row>
    <row r="913" ht="15.75" customHeight="1">
      <c r="A913" s="91"/>
      <c r="B913" s="91"/>
      <c r="C913" s="220"/>
      <c r="D913" s="91"/>
      <c r="E913" s="221"/>
      <c r="F913" s="91"/>
      <c r="G913" s="91"/>
      <c r="H913" s="242"/>
      <c r="I913" s="223"/>
      <c r="J913" s="57"/>
      <c r="K913" s="153"/>
      <c r="L913" s="243"/>
      <c r="M913" s="234"/>
      <c r="N913" s="235"/>
      <c r="O913" s="236"/>
      <c r="P913" s="236"/>
      <c r="Q913" s="236"/>
      <c r="R913" s="236"/>
      <c r="S913" s="236"/>
      <c r="T913" s="236"/>
      <c r="U913" s="236"/>
      <c r="V913" s="236"/>
      <c r="W913" s="244"/>
      <c r="X913" s="244"/>
      <c r="Y913" s="237"/>
      <c r="Z913" s="244"/>
      <c r="AA913" s="244"/>
      <c r="AB913" s="244"/>
      <c r="AC913" s="244"/>
      <c r="AD913" s="234"/>
      <c r="AE913" s="234"/>
      <c r="AF913" s="238"/>
      <c r="AG913" s="239"/>
      <c r="AH913" s="238"/>
      <c r="AI913" s="238"/>
      <c r="AJ913" s="234"/>
      <c r="AK913" s="234"/>
      <c r="AL913" s="234"/>
      <c r="AM913" s="234"/>
      <c r="AN913" s="234"/>
      <c r="AO913" s="234"/>
    </row>
    <row r="914" ht="15.75" customHeight="1">
      <c r="A914" s="91"/>
      <c r="B914" s="91"/>
      <c r="C914" s="220"/>
      <c r="D914" s="91"/>
      <c r="E914" s="221"/>
      <c r="F914" s="91"/>
      <c r="G914" s="91"/>
      <c r="H914" s="242"/>
      <c r="I914" s="223"/>
      <c r="J914" s="57"/>
      <c r="K914" s="153"/>
      <c r="L914" s="243"/>
      <c r="M914" s="234"/>
      <c r="N914" s="235"/>
      <c r="O914" s="236"/>
      <c r="P914" s="236"/>
      <c r="Q914" s="236"/>
      <c r="R914" s="236"/>
      <c r="S914" s="236"/>
      <c r="T914" s="236"/>
      <c r="U914" s="236"/>
      <c r="V914" s="236"/>
      <c r="W914" s="244"/>
      <c r="X914" s="244"/>
      <c r="Y914" s="237"/>
      <c r="Z914" s="244"/>
      <c r="AA914" s="244"/>
      <c r="AB914" s="244"/>
      <c r="AC914" s="244"/>
      <c r="AD914" s="234"/>
      <c r="AE914" s="234"/>
      <c r="AF914" s="238"/>
      <c r="AG914" s="239"/>
      <c r="AH914" s="238"/>
      <c r="AI914" s="238"/>
      <c r="AJ914" s="234"/>
      <c r="AK914" s="234"/>
      <c r="AL914" s="234"/>
      <c r="AM914" s="234"/>
      <c r="AN914" s="234"/>
      <c r="AO914" s="234"/>
    </row>
    <row r="915" ht="15.75" customHeight="1">
      <c r="A915" s="91"/>
      <c r="B915" s="91"/>
      <c r="C915" s="220"/>
      <c r="D915" s="91"/>
      <c r="E915" s="221"/>
      <c r="F915" s="91"/>
      <c r="G915" s="91"/>
      <c r="H915" s="242"/>
      <c r="I915" s="223"/>
      <c r="J915" s="57"/>
      <c r="K915" s="153"/>
      <c r="L915" s="243"/>
      <c r="M915" s="234"/>
      <c r="N915" s="235"/>
      <c r="O915" s="236"/>
      <c r="P915" s="236"/>
      <c r="Q915" s="236"/>
      <c r="R915" s="236"/>
      <c r="S915" s="236"/>
      <c r="T915" s="236"/>
      <c r="U915" s="236"/>
      <c r="V915" s="236"/>
      <c r="W915" s="244"/>
      <c r="X915" s="244"/>
      <c r="Y915" s="237"/>
      <c r="Z915" s="244"/>
      <c r="AA915" s="244"/>
      <c r="AB915" s="244"/>
      <c r="AC915" s="244"/>
      <c r="AD915" s="234"/>
      <c r="AE915" s="234"/>
      <c r="AF915" s="238"/>
      <c r="AG915" s="239"/>
      <c r="AH915" s="238"/>
      <c r="AI915" s="238"/>
      <c r="AJ915" s="234"/>
      <c r="AK915" s="234"/>
      <c r="AL915" s="234"/>
      <c r="AM915" s="234"/>
      <c r="AN915" s="234"/>
      <c r="AO915" s="234"/>
    </row>
    <row r="916" ht="15.75" customHeight="1">
      <c r="A916" s="91"/>
      <c r="B916" s="91"/>
      <c r="C916" s="220"/>
      <c r="D916" s="91"/>
      <c r="E916" s="221"/>
      <c r="F916" s="91"/>
      <c r="G916" s="91"/>
      <c r="H916" s="242"/>
      <c r="I916" s="223"/>
      <c r="J916" s="57"/>
      <c r="K916" s="153"/>
      <c r="L916" s="243"/>
      <c r="M916" s="234"/>
      <c r="N916" s="235"/>
      <c r="O916" s="236"/>
      <c r="P916" s="236"/>
      <c r="Q916" s="236"/>
      <c r="R916" s="236"/>
      <c r="S916" s="236"/>
      <c r="T916" s="236"/>
      <c r="U916" s="236"/>
      <c r="V916" s="236"/>
      <c r="W916" s="244"/>
      <c r="X916" s="244"/>
      <c r="Y916" s="237"/>
      <c r="Z916" s="244"/>
      <c r="AA916" s="244"/>
      <c r="AB916" s="244"/>
      <c r="AC916" s="244"/>
      <c r="AD916" s="234"/>
      <c r="AE916" s="234"/>
      <c r="AF916" s="238"/>
      <c r="AG916" s="239"/>
      <c r="AH916" s="238"/>
      <c r="AI916" s="238"/>
      <c r="AJ916" s="234"/>
      <c r="AK916" s="234"/>
      <c r="AL916" s="234"/>
      <c r="AM916" s="234"/>
      <c r="AN916" s="234"/>
      <c r="AO916" s="234"/>
    </row>
    <row r="917" ht="15.75" customHeight="1">
      <c r="A917" s="91"/>
      <c r="B917" s="91"/>
      <c r="C917" s="220"/>
      <c r="D917" s="91"/>
      <c r="E917" s="221"/>
      <c r="F917" s="91"/>
      <c r="G917" s="91"/>
      <c r="H917" s="242"/>
      <c r="I917" s="223"/>
      <c r="J917" s="57"/>
      <c r="K917" s="153"/>
      <c r="L917" s="243"/>
      <c r="M917" s="234"/>
      <c r="N917" s="235"/>
      <c r="O917" s="236"/>
      <c r="P917" s="236"/>
      <c r="Q917" s="236"/>
      <c r="R917" s="236"/>
      <c r="S917" s="236"/>
      <c r="T917" s="236"/>
      <c r="U917" s="236"/>
      <c r="V917" s="236"/>
      <c r="W917" s="244"/>
      <c r="X917" s="244"/>
      <c r="Y917" s="237"/>
      <c r="Z917" s="244"/>
      <c r="AA917" s="244"/>
      <c r="AB917" s="244"/>
      <c r="AC917" s="244"/>
      <c r="AD917" s="234"/>
      <c r="AE917" s="234"/>
      <c r="AF917" s="238"/>
      <c r="AG917" s="239"/>
      <c r="AH917" s="238"/>
      <c r="AI917" s="238"/>
      <c r="AJ917" s="234"/>
      <c r="AK917" s="234"/>
      <c r="AL917" s="234"/>
      <c r="AM917" s="234"/>
      <c r="AN917" s="234"/>
      <c r="AO917" s="234"/>
    </row>
    <row r="918" ht="15.75" customHeight="1">
      <c r="A918" s="91"/>
      <c r="B918" s="91"/>
      <c r="C918" s="220"/>
      <c r="D918" s="91"/>
      <c r="E918" s="221"/>
      <c r="F918" s="91"/>
      <c r="G918" s="91"/>
      <c r="H918" s="242"/>
      <c r="I918" s="223"/>
      <c r="J918" s="57"/>
      <c r="K918" s="153"/>
      <c r="L918" s="243"/>
      <c r="M918" s="234"/>
      <c r="N918" s="235"/>
      <c r="O918" s="236"/>
      <c r="P918" s="236"/>
      <c r="Q918" s="236"/>
      <c r="R918" s="236"/>
      <c r="S918" s="236"/>
      <c r="T918" s="236"/>
      <c r="U918" s="236"/>
      <c r="V918" s="236"/>
      <c r="W918" s="244"/>
      <c r="X918" s="244"/>
      <c r="Y918" s="237"/>
      <c r="Z918" s="244"/>
      <c r="AA918" s="244"/>
      <c r="AB918" s="244"/>
      <c r="AC918" s="244"/>
      <c r="AD918" s="234"/>
      <c r="AE918" s="234"/>
      <c r="AF918" s="238"/>
      <c r="AG918" s="239"/>
      <c r="AH918" s="238"/>
      <c r="AI918" s="238"/>
      <c r="AJ918" s="234"/>
      <c r="AK918" s="234"/>
      <c r="AL918" s="234"/>
      <c r="AM918" s="234"/>
      <c r="AN918" s="234"/>
      <c r="AO918" s="234"/>
    </row>
    <row r="919" ht="15.75" customHeight="1">
      <c r="A919" s="91"/>
      <c r="B919" s="91"/>
      <c r="C919" s="220"/>
      <c r="D919" s="91"/>
      <c r="E919" s="221"/>
      <c r="F919" s="91"/>
      <c r="G919" s="91"/>
      <c r="H919" s="242"/>
      <c r="I919" s="223"/>
      <c r="J919" s="57"/>
      <c r="K919" s="153"/>
      <c r="L919" s="243"/>
      <c r="M919" s="234"/>
      <c r="N919" s="235"/>
      <c r="O919" s="236"/>
      <c r="P919" s="236"/>
      <c r="Q919" s="236"/>
      <c r="R919" s="236"/>
      <c r="S919" s="236"/>
      <c r="T919" s="236"/>
      <c r="U919" s="236"/>
      <c r="V919" s="236"/>
      <c r="W919" s="244"/>
      <c r="X919" s="244"/>
      <c r="Y919" s="237"/>
      <c r="Z919" s="244"/>
      <c r="AA919" s="244"/>
      <c r="AB919" s="244"/>
      <c r="AC919" s="244"/>
      <c r="AD919" s="234"/>
      <c r="AE919" s="234"/>
      <c r="AF919" s="238"/>
      <c r="AG919" s="239"/>
      <c r="AH919" s="238"/>
      <c r="AI919" s="238"/>
      <c r="AJ919" s="234"/>
      <c r="AK919" s="234"/>
      <c r="AL919" s="234"/>
      <c r="AM919" s="234"/>
      <c r="AN919" s="234"/>
      <c r="AO919" s="234"/>
    </row>
    <row r="920" ht="15.75" customHeight="1">
      <c r="A920" s="91"/>
      <c r="B920" s="91"/>
      <c r="C920" s="220"/>
      <c r="D920" s="91"/>
      <c r="E920" s="221"/>
      <c r="F920" s="91"/>
      <c r="G920" s="91"/>
      <c r="H920" s="242"/>
      <c r="I920" s="223"/>
      <c r="J920" s="57"/>
      <c r="K920" s="153"/>
      <c r="L920" s="243"/>
      <c r="M920" s="234"/>
      <c r="N920" s="235"/>
      <c r="O920" s="236"/>
      <c r="P920" s="236"/>
      <c r="Q920" s="236"/>
      <c r="R920" s="236"/>
      <c r="S920" s="236"/>
      <c r="T920" s="236"/>
      <c r="U920" s="236"/>
      <c r="V920" s="236"/>
      <c r="W920" s="244"/>
      <c r="X920" s="244"/>
      <c r="Y920" s="237"/>
      <c r="Z920" s="244"/>
      <c r="AA920" s="244"/>
      <c r="AB920" s="244"/>
      <c r="AC920" s="244"/>
      <c r="AD920" s="234"/>
      <c r="AE920" s="234"/>
      <c r="AF920" s="238"/>
      <c r="AG920" s="239"/>
      <c r="AH920" s="238"/>
      <c r="AI920" s="238"/>
      <c r="AJ920" s="234"/>
      <c r="AK920" s="234"/>
      <c r="AL920" s="234"/>
      <c r="AM920" s="234"/>
      <c r="AN920" s="234"/>
      <c r="AO920" s="234"/>
    </row>
    <row r="921" ht="15.75" customHeight="1">
      <c r="A921" s="91"/>
      <c r="B921" s="91"/>
      <c r="C921" s="220"/>
      <c r="D921" s="91"/>
      <c r="E921" s="221"/>
      <c r="F921" s="91"/>
      <c r="G921" s="91"/>
      <c r="H921" s="242"/>
      <c r="I921" s="223"/>
      <c r="J921" s="57"/>
      <c r="K921" s="153"/>
      <c r="L921" s="243"/>
      <c r="M921" s="234"/>
      <c r="N921" s="235"/>
      <c r="O921" s="236"/>
      <c r="P921" s="236"/>
      <c r="Q921" s="236"/>
      <c r="R921" s="236"/>
      <c r="S921" s="236"/>
      <c r="T921" s="236"/>
      <c r="U921" s="236"/>
      <c r="V921" s="236"/>
      <c r="W921" s="244"/>
      <c r="X921" s="244"/>
      <c r="Y921" s="237"/>
      <c r="Z921" s="244"/>
      <c r="AA921" s="244"/>
      <c r="AB921" s="244"/>
      <c r="AC921" s="244"/>
      <c r="AD921" s="234"/>
      <c r="AE921" s="234"/>
      <c r="AF921" s="238"/>
      <c r="AG921" s="239"/>
      <c r="AH921" s="238"/>
      <c r="AI921" s="238"/>
      <c r="AJ921" s="234"/>
      <c r="AK921" s="234"/>
      <c r="AL921" s="234"/>
      <c r="AM921" s="234"/>
      <c r="AN921" s="234"/>
      <c r="AO921" s="234"/>
    </row>
    <row r="922" ht="15.75" customHeight="1">
      <c r="A922" s="91"/>
      <c r="B922" s="91"/>
      <c r="C922" s="220"/>
      <c r="D922" s="91"/>
      <c r="E922" s="221"/>
      <c r="F922" s="91"/>
      <c r="G922" s="91"/>
      <c r="H922" s="242"/>
      <c r="I922" s="223"/>
      <c r="J922" s="57"/>
      <c r="K922" s="153"/>
      <c r="L922" s="243"/>
      <c r="M922" s="234"/>
      <c r="N922" s="235"/>
      <c r="O922" s="236"/>
      <c r="P922" s="236"/>
      <c r="Q922" s="236"/>
      <c r="R922" s="236"/>
      <c r="S922" s="236"/>
      <c r="T922" s="236"/>
      <c r="U922" s="236"/>
      <c r="V922" s="236"/>
      <c r="W922" s="244"/>
      <c r="X922" s="244"/>
      <c r="Y922" s="237"/>
      <c r="Z922" s="244"/>
      <c r="AA922" s="244"/>
      <c r="AB922" s="244"/>
      <c r="AC922" s="244"/>
      <c r="AD922" s="234"/>
      <c r="AE922" s="234"/>
      <c r="AF922" s="238"/>
      <c r="AG922" s="239"/>
      <c r="AH922" s="238"/>
      <c r="AI922" s="238"/>
      <c r="AJ922" s="234"/>
      <c r="AK922" s="234"/>
      <c r="AL922" s="234"/>
      <c r="AM922" s="234"/>
      <c r="AN922" s="234"/>
      <c r="AO922" s="234"/>
    </row>
    <row r="923" ht="15.75" customHeight="1">
      <c r="A923" s="91"/>
      <c r="B923" s="91"/>
      <c r="C923" s="220"/>
      <c r="D923" s="91"/>
      <c r="E923" s="221"/>
      <c r="F923" s="91"/>
      <c r="G923" s="91"/>
      <c r="H923" s="242"/>
      <c r="I923" s="223"/>
      <c r="J923" s="57"/>
      <c r="K923" s="153"/>
      <c r="L923" s="243"/>
      <c r="M923" s="234"/>
      <c r="N923" s="235"/>
      <c r="O923" s="236"/>
      <c r="P923" s="236"/>
      <c r="Q923" s="236"/>
      <c r="R923" s="236"/>
      <c r="S923" s="236"/>
      <c r="T923" s="236"/>
      <c r="U923" s="236"/>
      <c r="V923" s="236"/>
      <c r="W923" s="244"/>
      <c r="X923" s="244"/>
      <c r="Y923" s="237"/>
      <c r="Z923" s="244"/>
      <c r="AA923" s="244"/>
      <c r="AB923" s="244"/>
      <c r="AC923" s="244"/>
      <c r="AD923" s="234"/>
      <c r="AE923" s="234"/>
      <c r="AF923" s="238"/>
      <c r="AG923" s="239"/>
      <c r="AH923" s="238"/>
      <c r="AI923" s="238"/>
      <c r="AJ923" s="234"/>
      <c r="AK923" s="234"/>
      <c r="AL923" s="234"/>
      <c r="AM923" s="234"/>
      <c r="AN923" s="234"/>
      <c r="AO923" s="234"/>
    </row>
    <row r="924" ht="15.75" customHeight="1">
      <c r="A924" s="91"/>
      <c r="B924" s="91"/>
      <c r="C924" s="220"/>
      <c r="D924" s="91"/>
      <c r="E924" s="221"/>
      <c r="F924" s="91"/>
      <c r="G924" s="91"/>
      <c r="H924" s="242"/>
      <c r="I924" s="223"/>
      <c r="J924" s="57"/>
      <c r="K924" s="153"/>
      <c r="L924" s="243"/>
      <c r="M924" s="234"/>
      <c r="N924" s="235"/>
      <c r="O924" s="236"/>
      <c r="P924" s="236"/>
      <c r="Q924" s="236"/>
      <c r="R924" s="236"/>
      <c r="S924" s="236"/>
      <c r="T924" s="236"/>
      <c r="U924" s="236"/>
      <c r="V924" s="236"/>
      <c r="W924" s="244"/>
      <c r="X924" s="244"/>
      <c r="Y924" s="237"/>
      <c r="Z924" s="244"/>
      <c r="AA924" s="244"/>
      <c r="AB924" s="244"/>
      <c r="AC924" s="244"/>
      <c r="AD924" s="234"/>
      <c r="AE924" s="234"/>
      <c r="AF924" s="238"/>
      <c r="AG924" s="239"/>
      <c r="AH924" s="238"/>
      <c r="AI924" s="238"/>
      <c r="AJ924" s="234"/>
      <c r="AK924" s="234"/>
      <c r="AL924" s="234"/>
      <c r="AM924" s="234"/>
      <c r="AN924" s="234"/>
      <c r="AO924" s="234"/>
    </row>
    <row r="925" ht="15.75" customHeight="1">
      <c r="A925" s="91"/>
      <c r="B925" s="91"/>
      <c r="C925" s="220"/>
      <c r="D925" s="91"/>
      <c r="E925" s="221"/>
      <c r="F925" s="91"/>
      <c r="G925" s="91"/>
      <c r="H925" s="242"/>
      <c r="I925" s="223"/>
      <c r="J925" s="57"/>
      <c r="K925" s="153"/>
      <c r="L925" s="243"/>
      <c r="M925" s="234"/>
      <c r="N925" s="235"/>
      <c r="O925" s="236"/>
      <c r="P925" s="236"/>
      <c r="Q925" s="236"/>
      <c r="R925" s="236"/>
      <c r="S925" s="236"/>
      <c r="T925" s="236"/>
      <c r="U925" s="236"/>
      <c r="V925" s="236"/>
      <c r="W925" s="244"/>
      <c r="X925" s="244"/>
      <c r="Y925" s="237"/>
      <c r="Z925" s="244"/>
      <c r="AA925" s="244"/>
      <c r="AB925" s="244"/>
      <c r="AC925" s="244"/>
      <c r="AD925" s="234"/>
      <c r="AE925" s="234"/>
      <c r="AF925" s="238"/>
      <c r="AG925" s="239"/>
      <c r="AH925" s="238"/>
      <c r="AI925" s="238"/>
      <c r="AJ925" s="234"/>
      <c r="AK925" s="234"/>
      <c r="AL925" s="234"/>
      <c r="AM925" s="234"/>
      <c r="AN925" s="234"/>
      <c r="AO925" s="234"/>
    </row>
    <row r="926" ht="15.75" customHeight="1">
      <c r="A926" s="91"/>
      <c r="B926" s="91"/>
      <c r="C926" s="220"/>
      <c r="D926" s="91"/>
      <c r="E926" s="221"/>
      <c r="F926" s="91"/>
      <c r="G926" s="91"/>
      <c r="H926" s="242"/>
      <c r="I926" s="223"/>
      <c r="J926" s="57"/>
      <c r="K926" s="153"/>
      <c r="L926" s="243"/>
      <c r="M926" s="234"/>
      <c r="N926" s="235"/>
      <c r="O926" s="236"/>
      <c r="P926" s="236"/>
      <c r="Q926" s="236"/>
      <c r="R926" s="236"/>
      <c r="S926" s="236"/>
      <c r="T926" s="236"/>
      <c r="U926" s="236"/>
      <c r="V926" s="236"/>
      <c r="W926" s="244"/>
      <c r="X926" s="244"/>
      <c r="Y926" s="237"/>
      <c r="Z926" s="244"/>
      <c r="AA926" s="244"/>
      <c r="AB926" s="244"/>
      <c r="AC926" s="244"/>
      <c r="AD926" s="234"/>
      <c r="AE926" s="234"/>
      <c r="AF926" s="238"/>
      <c r="AG926" s="239"/>
      <c r="AH926" s="238"/>
      <c r="AI926" s="238"/>
      <c r="AJ926" s="234"/>
      <c r="AK926" s="234"/>
      <c r="AL926" s="234"/>
      <c r="AM926" s="234"/>
      <c r="AN926" s="234"/>
      <c r="AO926" s="234"/>
    </row>
    <row r="927" ht="15.75" customHeight="1">
      <c r="A927" s="91"/>
      <c r="B927" s="91"/>
      <c r="C927" s="220"/>
      <c r="D927" s="91"/>
      <c r="E927" s="221"/>
      <c r="F927" s="91"/>
      <c r="G927" s="91"/>
      <c r="H927" s="242"/>
      <c r="I927" s="223"/>
      <c r="J927" s="57"/>
      <c r="K927" s="153"/>
      <c r="L927" s="243"/>
      <c r="M927" s="234"/>
      <c r="N927" s="235"/>
      <c r="O927" s="236"/>
      <c r="P927" s="236"/>
      <c r="Q927" s="236"/>
      <c r="R927" s="236"/>
      <c r="S927" s="236"/>
      <c r="T927" s="236"/>
      <c r="U927" s="236"/>
      <c r="V927" s="236"/>
      <c r="W927" s="244"/>
      <c r="X927" s="244"/>
      <c r="Y927" s="237"/>
      <c r="Z927" s="244"/>
      <c r="AA927" s="244"/>
      <c r="AB927" s="244"/>
      <c r="AC927" s="244"/>
      <c r="AD927" s="234"/>
      <c r="AE927" s="234"/>
      <c r="AF927" s="238"/>
      <c r="AG927" s="239"/>
      <c r="AH927" s="238"/>
      <c r="AI927" s="238"/>
      <c r="AJ927" s="234"/>
      <c r="AK927" s="234"/>
      <c r="AL927" s="234"/>
      <c r="AM927" s="234"/>
      <c r="AN927" s="234"/>
      <c r="AO927" s="234"/>
    </row>
    <row r="928" ht="15.75" customHeight="1">
      <c r="A928" s="91"/>
      <c r="B928" s="91"/>
      <c r="C928" s="220"/>
      <c r="D928" s="91"/>
      <c r="E928" s="221"/>
      <c r="F928" s="91"/>
      <c r="G928" s="91"/>
      <c r="H928" s="242"/>
      <c r="I928" s="223"/>
      <c r="J928" s="57"/>
      <c r="K928" s="153"/>
      <c r="L928" s="243"/>
      <c r="M928" s="234"/>
      <c r="N928" s="235"/>
      <c r="O928" s="236"/>
      <c r="P928" s="236"/>
      <c r="Q928" s="236"/>
      <c r="R928" s="236"/>
      <c r="S928" s="236"/>
      <c r="T928" s="236"/>
      <c r="U928" s="236"/>
      <c r="V928" s="236"/>
      <c r="W928" s="244"/>
      <c r="X928" s="244"/>
      <c r="Y928" s="237"/>
      <c r="Z928" s="244"/>
      <c r="AA928" s="244"/>
      <c r="AB928" s="244"/>
      <c r="AC928" s="244"/>
      <c r="AD928" s="234"/>
      <c r="AE928" s="234"/>
      <c r="AF928" s="238"/>
      <c r="AG928" s="239"/>
      <c r="AH928" s="238"/>
      <c r="AI928" s="238"/>
      <c r="AJ928" s="234"/>
      <c r="AK928" s="234"/>
      <c r="AL928" s="234"/>
      <c r="AM928" s="234"/>
      <c r="AN928" s="234"/>
      <c r="AO928" s="234"/>
    </row>
    <row r="929" ht="15.75" customHeight="1">
      <c r="A929" s="91"/>
      <c r="B929" s="91"/>
      <c r="C929" s="220"/>
      <c r="D929" s="91"/>
      <c r="E929" s="221"/>
      <c r="F929" s="91"/>
      <c r="G929" s="91"/>
      <c r="H929" s="242"/>
      <c r="I929" s="223"/>
      <c r="J929" s="57"/>
      <c r="K929" s="153"/>
      <c r="L929" s="243"/>
      <c r="M929" s="234"/>
      <c r="N929" s="235"/>
      <c r="O929" s="236"/>
      <c r="P929" s="236"/>
      <c r="Q929" s="236"/>
      <c r="R929" s="236"/>
      <c r="S929" s="236"/>
      <c r="T929" s="236"/>
      <c r="U929" s="236"/>
      <c r="V929" s="236"/>
      <c r="W929" s="244"/>
      <c r="X929" s="244"/>
      <c r="Y929" s="237"/>
      <c r="Z929" s="244"/>
      <c r="AA929" s="244"/>
      <c r="AB929" s="244"/>
      <c r="AC929" s="244"/>
      <c r="AD929" s="234"/>
      <c r="AE929" s="234"/>
      <c r="AF929" s="238"/>
      <c r="AG929" s="239"/>
      <c r="AH929" s="238"/>
      <c r="AI929" s="238"/>
      <c r="AJ929" s="234"/>
      <c r="AK929" s="234"/>
      <c r="AL929" s="234"/>
      <c r="AM929" s="234"/>
      <c r="AN929" s="234"/>
      <c r="AO929" s="234"/>
    </row>
    <row r="930" ht="15.75" customHeight="1">
      <c r="A930" s="91"/>
      <c r="B930" s="91"/>
      <c r="C930" s="220"/>
      <c r="D930" s="91"/>
      <c r="E930" s="221"/>
      <c r="F930" s="91"/>
      <c r="G930" s="91"/>
      <c r="H930" s="242"/>
      <c r="I930" s="223"/>
      <c r="J930" s="57"/>
      <c r="K930" s="153"/>
      <c r="L930" s="243"/>
      <c r="M930" s="234"/>
      <c r="N930" s="235"/>
      <c r="O930" s="236"/>
      <c r="P930" s="236"/>
      <c r="Q930" s="236"/>
      <c r="R930" s="236"/>
      <c r="S930" s="236"/>
      <c r="T930" s="236"/>
      <c r="U930" s="236"/>
      <c r="V930" s="236"/>
      <c r="W930" s="244"/>
      <c r="X930" s="244"/>
      <c r="Y930" s="237"/>
      <c r="Z930" s="244"/>
      <c r="AA930" s="244"/>
      <c r="AB930" s="244"/>
      <c r="AC930" s="244"/>
      <c r="AD930" s="234"/>
      <c r="AE930" s="234"/>
      <c r="AF930" s="238"/>
      <c r="AG930" s="239"/>
      <c r="AH930" s="238"/>
      <c r="AI930" s="238"/>
      <c r="AJ930" s="234"/>
      <c r="AK930" s="234"/>
      <c r="AL930" s="234"/>
      <c r="AM930" s="234"/>
      <c r="AN930" s="234"/>
      <c r="AO930" s="234"/>
    </row>
    <row r="931" ht="15.75" customHeight="1">
      <c r="A931" s="91"/>
      <c r="B931" s="91"/>
      <c r="C931" s="220"/>
      <c r="D931" s="91"/>
      <c r="E931" s="221"/>
      <c r="F931" s="91"/>
      <c r="G931" s="91"/>
      <c r="H931" s="242"/>
      <c r="I931" s="223"/>
      <c r="J931" s="57"/>
      <c r="K931" s="153"/>
      <c r="L931" s="243"/>
      <c r="M931" s="234"/>
      <c r="N931" s="235"/>
      <c r="O931" s="236"/>
      <c r="P931" s="236"/>
      <c r="Q931" s="236"/>
      <c r="R931" s="236"/>
      <c r="S931" s="236"/>
      <c r="T931" s="236"/>
      <c r="U931" s="236"/>
      <c r="V931" s="236"/>
      <c r="W931" s="244"/>
      <c r="X931" s="244"/>
      <c r="Y931" s="237"/>
      <c r="Z931" s="244"/>
      <c r="AA931" s="244"/>
      <c r="AB931" s="244"/>
      <c r="AC931" s="244"/>
      <c r="AD931" s="234"/>
      <c r="AE931" s="234"/>
      <c r="AF931" s="238"/>
      <c r="AG931" s="239"/>
      <c r="AH931" s="238"/>
      <c r="AI931" s="238"/>
      <c r="AJ931" s="234"/>
      <c r="AK931" s="234"/>
      <c r="AL931" s="234"/>
      <c r="AM931" s="234"/>
      <c r="AN931" s="234"/>
      <c r="AO931" s="234"/>
    </row>
    <row r="932" ht="15.75" customHeight="1">
      <c r="A932" s="91"/>
      <c r="B932" s="91"/>
      <c r="C932" s="220"/>
      <c r="D932" s="91"/>
      <c r="E932" s="221"/>
      <c r="F932" s="91"/>
      <c r="G932" s="91"/>
      <c r="H932" s="242"/>
      <c r="I932" s="223"/>
      <c r="J932" s="57"/>
      <c r="K932" s="153"/>
      <c r="L932" s="243"/>
      <c r="M932" s="234"/>
      <c r="N932" s="235"/>
      <c r="O932" s="236"/>
      <c r="P932" s="236"/>
      <c r="Q932" s="236"/>
      <c r="R932" s="236"/>
      <c r="S932" s="236"/>
      <c r="T932" s="236"/>
      <c r="U932" s="236"/>
      <c r="V932" s="236"/>
      <c r="W932" s="244"/>
      <c r="X932" s="244"/>
      <c r="Y932" s="237"/>
      <c r="Z932" s="244"/>
      <c r="AA932" s="244"/>
      <c r="AB932" s="244"/>
      <c r="AC932" s="244"/>
      <c r="AD932" s="234"/>
      <c r="AE932" s="234"/>
      <c r="AF932" s="238"/>
      <c r="AG932" s="239"/>
      <c r="AH932" s="238"/>
      <c r="AI932" s="238"/>
      <c r="AJ932" s="234"/>
      <c r="AK932" s="234"/>
      <c r="AL932" s="234"/>
      <c r="AM932" s="234"/>
      <c r="AN932" s="234"/>
      <c r="AO932" s="234"/>
    </row>
    <row r="933" ht="15.75" customHeight="1">
      <c r="A933" s="91"/>
      <c r="B933" s="91"/>
      <c r="C933" s="220"/>
      <c r="D933" s="91"/>
      <c r="E933" s="221"/>
      <c r="F933" s="91"/>
      <c r="G933" s="91"/>
      <c r="H933" s="242"/>
      <c r="I933" s="223"/>
      <c r="J933" s="57"/>
      <c r="K933" s="153"/>
      <c r="L933" s="243"/>
      <c r="M933" s="234"/>
      <c r="N933" s="235"/>
      <c r="O933" s="236"/>
      <c r="P933" s="236"/>
      <c r="Q933" s="236"/>
      <c r="R933" s="236"/>
      <c r="S933" s="236"/>
      <c r="T933" s="236"/>
      <c r="U933" s="236"/>
      <c r="V933" s="236"/>
      <c r="W933" s="244"/>
      <c r="X933" s="244"/>
      <c r="Y933" s="237"/>
      <c r="Z933" s="244"/>
      <c r="AA933" s="244"/>
      <c r="AB933" s="244"/>
      <c r="AC933" s="244"/>
      <c r="AD933" s="234"/>
      <c r="AE933" s="234"/>
      <c r="AF933" s="238"/>
      <c r="AG933" s="239"/>
      <c r="AH933" s="238"/>
      <c r="AI933" s="238"/>
      <c r="AJ933" s="234"/>
      <c r="AK933" s="234"/>
      <c r="AL933" s="234"/>
      <c r="AM933" s="234"/>
      <c r="AN933" s="234"/>
      <c r="AO933" s="234"/>
    </row>
    <row r="934" ht="15.75" customHeight="1">
      <c r="A934" s="91"/>
      <c r="B934" s="91"/>
      <c r="C934" s="220"/>
      <c r="D934" s="91"/>
      <c r="E934" s="221"/>
      <c r="F934" s="91"/>
      <c r="G934" s="91"/>
      <c r="H934" s="242"/>
      <c r="I934" s="223"/>
      <c r="J934" s="57"/>
      <c r="K934" s="153"/>
      <c r="L934" s="243"/>
      <c r="M934" s="234"/>
      <c r="N934" s="235"/>
      <c r="O934" s="236"/>
      <c r="P934" s="236"/>
      <c r="Q934" s="236"/>
      <c r="R934" s="236"/>
      <c r="S934" s="236"/>
      <c r="T934" s="236"/>
      <c r="U934" s="236"/>
      <c r="V934" s="236"/>
      <c r="W934" s="244"/>
      <c r="X934" s="244"/>
      <c r="Y934" s="237"/>
      <c r="Z934" s="244"/>
      <c r="AA934" s="244"/>
      <c r="AB934" s="244"/>
      <c r="AC934" s="244"/>
      <c r="AD934" s="234"/>
      <c r="AE934" s="234"/>
      <c r="AF934" s="238"/>
      <c r="AG934" s="239"/>
      <c r="AH934" s="238"/>
      <c r="AI934" s="238"/>
      <c r="AJ934" s="234"/>
      <c r="AK934" s="234"/>
      <c r="AL934" s="234"/>
      <c r="AM934" s="234"/>
      <c r="AN934" s="234"/>
      <c r="AO934" s="234"/>
    </row>
    <row r="935" ht="15.75" customHeight="1">
      <c r="A935" s="91"/>
      <c r="B935" s="91"/>
      <c r="C935" s="220"/>
      <c r="D935" s="91"/>
      <c r="E935" s="221"/>
      <c r="F935" s="91"/>
      <c r="G935" s="91"/>
      <c r="H935" s="242"/>
      <c r="I935" s="223"/>
      <c r="J935" s="57"/>
      <c r="K935" s="153"/>
      <c r="L935" s="243"/>
      <c r="M935" s="234"/>
      <c r="N935" s="235"/>
      <c r="O935" s="236"/>
      <c r="P935" s="236"/>
      <c r="Q935" s="236"/>
      <c r="R935" s="236"/>
      <c r="S935" s="236"/>
      <c r="T935" s="236"/>
      <c r="U935" s="236"/>
      <c r="V935" s="236"/>
      <c r="W935" s="244"/>
      <c r="X935" s="244"/>
      <c r="Y935" s="237"/>
      <c r="Z935" s="244"/>
      <c r="AA935" s="244"/>
      <c r="AB935" s="244"/>
      <c r="AC935" s="244"/>
      <c r="AD935" s="234"/>
      <c r="AE935" s="234"/>
      <c r="AF935" s="238"/>
      <c r="AG935" s="239"/>
      <c r="AH935" s="238"/>
      <c r="AI935" s="238"/>
      <c r="AJ935" s="234"/>
      <c r="AK935" s="234"/>
      <c r="AL935" s="234"/>
      <c r="AM935" s="234"/>
      <c r="AN935" s="234"/>
      <c r="AO935" s="234"/>
    </row>
    <row r="936" ht="15.75" customHeight="1">
      <c r="A936" s="91"/>
      <c r="B936" s="91"/>
      <c r="C936" s="220"/>
      <c r="D936" s="91"/>
      <c r="E936" s="221"/>
      <c r="F936" s="91"/>
      <c r="G936" s="91"/>
      <c r="H936" s="242"/>
      <c r="I936" s="223"/>
      <c r="J936" s="57"/>
      <c r="K936" s="153"/>
      <c r="L936" s="243"/>
      <c r="M936" s="234"/>
      <c r="N936" s="235"/>
      <c r="O936" s="236"/>
      <c r="P936" s="236"/>
      <c r="Q936" s="236"/>
      <c r="R936" s="236"/>
      <c r="S936" s="236"/>
      <c r="T936" s="236"/>
      <c r="U936" s="236"/>
      <c r="V936" s="236"/>
      <c r="W936" s="244"/>
      <c r="X936" s="244"/>
      <c r="Y936" s="237"/>
      <c r="Z936" s="244"/>
      <c r="AA936" s="244"/>
      <c r="AB936" s="244"/>
      <c r="AC936" s="244"/>
      <c r="AD936" s="234"/>
      <c r="AE936" s="234"/>
      <c r="AF936" s="238"/>
      <c r="AG936" s="239"/>
      <c r="AH936" s="238"/>
      <c r="AI936" s="238"/>
      <c r="AJ936" s="234"/>
      <c r="AK936" s="234"/>
      <c r="AL936" s="234"/>
      <c r="AM936" s="234"/>
      <c r="AN936" s="234"/>
      <c r="AO936" s="234"/>
    </row>
    <row r="937" ht="15.75" customHeight="1">
      <c r="A937" s="91"/>
      <c r="B937" s="91"/>
      <c r="C937" s="220"/>
      <c r="D937" s="91"/>
      <c r="E937" s="221"/>
      <c r="F937" s="91"/>
      <c r="G937" s="91"/>
      <c r="H937" s="242"/>
      <c r="I937" s="223"/>
      <c r="J937" s="57"/>
      <c r="K937" s="153"/>
      <c r="L937" s="243"/>
      <c r="M937" s="234"/>
      <c r="N937" s="235"/>
      <c r="O937" s="236"/>
      <c r="P937" s="236"/>
      <c r="Q937" s="236"/>
      <c r="R937" s="236"/>
      <c r="S937" s="236"/>
      <c r="T937" s="236"/>
      <c r="U937" s="236"/>
      <c r="V937" s="236"/>
      <c r="W937" s="244"/>
      <c r="X937" s="244"/>
      <c r="Y937" s="237"/>
      <c r="Z937" s="244"/>
      <c r="AA937" s="244"/>
      <c r="AB937" s="244"/>
      <c r="AC937" s="244"/>
      <c r="AD937" s="234"/>
      <c r="AE937" s="234"/>
      <c r="AF937" s="238"/>
      <c r="AG937" s="239"/>
      <c r="AH937" s="238"/>
      <c r="AI937" s="238"/>
      <c r="AJ937" s="234"/>
      <c r="AK937" s="234"/>
      <c r="AL937" s="234"/>
      <c r="AM937" s="234"/>
      <c r="AN937" s="234"/>
      <c r="AO937" s="234"/>
    </row>
    <row r="938" ht="15.75" customHeight="1">
      <c r="A938" s="91"/>
      <c r="B938" s="91"/>
      <c r="C938" s="220"/>
      <c r="D938" s="91"/>
      <c r="E938" s="221"/>
      <c r="F938" s="91"/>
      <c r="G938" s="91"/>
      <c r="H938" s="242"/>
      <c r="I938" s="223"/>
      <c r="J938" s="57"/>
      <c r="K938" s="153"/>
      <c r="L938" s="243"/>
      <c r="M938" s="234"/>
      <c r="N938" s="235"/>
      <c r="O938" s="236"/>
      <c r="P938" s="236"/>
      <c r="Q938" s="236"/>
      <c r="R938" s="236"/>
      <c r="S938" s="236"/>
      <c r="T938" s="236"/>
      <c r="U938" s="236"/>
      <c r="V938" s="236"/>
      <c r="W938" s="244"/>
      <c r="X938" s="244"/>
      <c r="Y938" s="237"/>
      <c r="Z938" s="244"/>
      <c r="AA938" s="244"/>
      <c r="AB938" s="244"/>
      <c r="AC938" s="244"/>
      <c r="AD938" s="234"/>
      <c r="AE938" s="234"/>
      <c r="AF938" s="238"/>
      <c r="AG938" s="239"/>
      <c r="AH938" s="238"/>
      <c r="AI938" s="238"/>
      <c r="AJ938" s="234"/>
      <c r="AK938" s="234"/>
      <c r="AL938" s="234"/>
      <c r="AM938" s="234"/>
      <c r="AN938" s="234"/>
      <c r="AO938" s="234"/>
    </row>
    <row r="939" ht="15.75" customHeight="1">
      <c r="A939" s="91"/>
      <c r="B939" s="91"/>
      <c r="C939" s="220"/>
      <c r="D939" s="91"/>
      <c r="E939" s="221"/>
      <c r="F939" s="91"/>
      <c r="G939" s="91"/>
      <c r="H939" s="242"/>
      <c r="I939" s="223"/>
      <c r="J939" s="57"/>
      <c r="K939" s="153"/>
      <c r="L939" s="243"/>
      <c r="M939" s="234"/>
      <c r="N939" s="235"/>
      <c r="O939" s="236"/>
      <c r="P939" s="236"/>
      <c r="Q939" s="236"/>
      <c r="R939" s="236"/>
      <c r="S939" s="236"/>
      <c r="T939" s="236"/>
      <c r="U939" s="236"/>
      <c r="V939" s="236"/>
      <c r="W939" s="244"/>
      <c r="X939" s="244"/>
      <c r="Y939" s="237"/>
      <c r="Z939" s="244"/>
      <c r="AA939" s="244"/>
      <c r="AB939" s="244"/>
      <c r="AC939" s="244"/>
      <c r="AD939" s="234"/>
      <c r="AE939" s="234"/>
      <c r="AF939" s="238"/>
      <c r="AG939" s="239"/>
      <c r="AH939" s="238"/>
      <c r="AI939" s="238"/>
      <c r="AJ939" s="234"/>
      <c r="AK939" s="234"/>
      <c r="AL939" s="234"/>
      <c r="AM939" s="234"/>
      <c r="AN939" s="234"/>
      <c r="AO939" s="234"/>
    </row>
    <row r="940" ht="15.75" customHeight="1">
      <c r="A940" s="91"/>
      <c r="B940" s="91"/>
      <c r="C940" s="220"/>
      <c r="D940" s="91"/>
      <c r="E940" s="221"/>
      <c r="F940" s="91"/>
      <c r="G940" s="91"/>
      <c r="H940" s="242"/>
      <c r="I940" s="223"/>
      <c r="J940" s="57"/>
      <c r="K940" s="153"/>
      <c r="L940" s="243"/>
      <c r="M940" s="234"/>
      <c r="N940" s="235"/>
      <c r="O940" s="236"/>
      <c r="P940" s="236"/>
      <c r="Q940" s="236"/>
      <c r="R940" s="236"/>
      <c r="S940" s="236"/>
      <c r="T940" s="236"/>
      <c r="U940" s="236"/>
      <c r="V940" s="236"/>
      <c r="W940" s="244"/>
      <c r="X940" s="244"/>
      <c r="Y940" s="237"/>
      <c r="Z940" s="244"/>
      <c r="AA940" s="244"/>
      <c r="AB940" s="244"/>
      <c r="AC940" s="244"/>
      <c r="AD940" s="234"/>
      <c r="AE940" s="234"/>
      <c r="AF940" s="238"/>
      <c r="AG940" s="239"/>
      <c r="AH940" s="238"/>
      <c r="AI940" s="238"/>
      <c r="AJ940" s="234"/>
      <c r="AK940" s="234"/>
      <c r="AL940" s="234"/>
      <c r="AM940" s="234"/>
      <c r="AN940" s="234"/>
      <c r="AO940" s="234"/>
    </row>
    <row r="941" ht="15.75" customHeight="1">
      <c r="A941" s="91"/>
      <c r="B941" s="91"/>
      <c r="C941" s="220"/>
      <c r="D941" s="91"/>
      <c r="E941" s="221"/>
      <c r="F941" s="91"/>
      <c r="G941" s="91"/>
      <c r="H941" s="242"/>
      <c r="I941" s="223"/>
      <c r="J941" s="57"/>
      <c r="K941" s="153"/>
      <c r="L941" s="243"/>
      <c r="M941" s="234"/>
      <c r="N941" s="235"/>
      <c r="O941" s="236"/>
      <c r="P941" s="236"/>
      <c r="Q941" s="236"/>
      <c r="R941" s="236"/>
      <c r="S941" s="236"/>
      <c r="T941" s="236"/>
      <c r="U941" s="236"/>
      <c r="V941" s="236"/>
      <c r="W941" s="244"/>
      <c r="X941" s="244"/>
      <c r="Y941" s="237"/>
      <c r="Z941" s="244"/>
      <c r="AA941" s="244"/>
      <c r="AB941" s="244"/>
      <c r="AC941" s="244"/>
      <c r="AD941" s="234"/>
      <c r="AE941" s="234"/>
      <c r="AF941" s="238"/>
      <c r="AG941" s="239"/>
      <c r="AH941" s="238"/>
      <c r="AI941" s="238"/>
      <c r="AJ941" s="234"/>
      <c r="AK941" s="234"/>
      <c r="AL941" s="234"/>
      <c r="AM941" s="234"/>
      <c r="AN941" s="234"/>
      <c r="AO941" s="234"/>
    </row>
    <row r="942" ht="15.75" customHeight="1">
      <c r="A942" s="91"/>
      <c r="B942" s="91"/>
      <c r="C942" s="220"/>
      <c r="D942" s="91"/>
      <c r="E942" s="221"/>
      <c r="F942" s="91"/>
      <c r="G942" s="91"/>
      <c r="H942" s="242"/>
      <c r="I942" s="223"/>
      <c r="J942" s="57"/>
      <c r="K942" s="153"/>
      <c r="L942" s="243"/>
      <c r="M942" s="234"/>
      <c r="N942" s="235"/>
      <c r="O942" s="236"/>
      <c r="P942" s="236"/>
      <c r="Q942" s="236"/>
      <c r="R942" s="236"/>
      <c r="S942" s="236"/>
      <c r="T942" s="236"/>
      <c r="U942" s="236"/>
      <c r="V942" s="236"/>
      <c r="W942" s="244"/>
      <c r="X942" s="244"/>
      <c r="Y942" s="237"/>
      <c r="Z942" s="244"/>
      <c r="AA942" s="244"/>
      <c r="AB942" s="244"/>
      <c r="AC942" s="244"/>
      <c r="AD942" s="234"/>
      <c r="AE942" s="234"/>
      <c r="AF942" s="238"/>
      <c r="AG942" s="239"/>
      <c r="AH942" s="238"/>
      <c r="AI942" s="238"/>
      <c r="AJ942" s="234"/>
      <c r="AK942" s="234"/>
      <c r="AL942" s="234"/>
      <c r="AM942" s="234"/>
      <c r="AN942" s="234"/>
      <c r="AO942" s="234"/>
    </row>
    <row r="943" ht="15.75" customHeight="1">
      <c r="A943" s="91"/>
      <c r="B943" s="91"/>
      <c r="C943" s="220"/>
      <c r="D943" s="91"/>
      <c r="E943" s="221"/>
      <c r="F943" s="91"/>
      <c r="G943" s="91"/>
      <c r="H943" s="242"/>
      <c r="I943" s="223"/>
      <c r="J943" s="57"/>
      <c r="K943" s="153"/>
      <c r="L943" s="243"/>
      <c r="M943" s="234"/>
      <c r="N943" s="235"/>
      <c r="O943" s="236"/>
      <c r="P943" s="236"/>
      <c r="Q943" s="236"/>
      <c r="R943" s="236"/>
      <c r="S943" s="236"/>
      <c r="T943" s="236"/>
      <c r="U943" s="236"/>
      <c r="V943" s="236"/>
      <c r="W943" s="244"/>
      <c r="X943" s="244"/>
      <c r="Y943" s="237"/>
      <c r="Z943" s="244"/>
      <c r="AA943" s="244"/>
      <c r="AB943" s="244"/>
      <c r="AC943" s="244"/>
      <c r="AD943" s="234"/>
      <c r="AE943" s="234"/>
      <c r="AF943" s="238"/>
      <c r="AG943" s="239"/>
      <c r="AH943" s="238"/>
      <c r="AI943" s="238"/>
      <c r="AJ943" s="234"/>
      <c r="AK943" s="234"/>
      <c r="AL943" s="234"/>
      <c r="AM943" s="234"/>
      <c r="AN943" s="234"/>
      <c r="AO943" s="234"/>
    </row>
    <row r="944" ht="15.75" customHeight="1">
      <c r="A944" s="91"/>
      <c r="B944" s="91"/>
      <c r="C944" s="220"/>
      <c r="D944" s="91"/>
      <c r="E944" s="221"/>
      <c r="F944" s="91"/>
      <c r="G944" s="91"/>
      <c r="H944" s="242"/>
      <c r="I944" s="223"/>
      <c r="J944" s="57"/>
      <c r="K944" s="153"/>
      <c r="L944" s="243"/>
      <c r="M944" s="234"/>
      <c r="N944" s="235"/>
      <c r="O944" s="236"/>
      <c r="P944" s="236"/>
      <c r="Q944" s="236"/>
      <c r="R944" s="236"/>
      <c r="S944" s="236"/>
      <c r="T944" s="236"/>
      <c r="U944" s="236"/>
      <c r="V944" s="236"/>
      <c r="W944" s="244"/>
      <c r="X944" s="244"/>
      <c r="Y944" s="237"/>
      <c r="Z944" s="244"/>
      <c r="AA944" s="244"/>
      <c r="AB944" s="244"/>
      <c r="AC944" s="244"/>
      <c r="AD944" s="234"/>
      <c r="AE944" s="234"/>
      <c r="AF944" s="238"/>
      <c r="AG944" s="239"/>
      <c r="AH944" s="238"/>
      <c r="AI944" s="238"/>
      <c r="AJ944" s="234"/>
      <c r="AK944" s="234"/>
      <c r="AL944" s="234"/>
      <c r="AM944" s="234"/>
      <c r="AN944" s="234"/>
      <c r="AO944" s="234"/>
    </row>
    <row r="945" ht="15.75" customHeight="1">
      <c r="A945" s="91"/>
      <c r="B945" s="91"/>
      <c r="C945" s="220"/>
      <c r="D945" s="91"/>
      <c r="E945" s="221"/>
      <c r="F945" s="91"/>
      <c r="G945" s="91"/>
      <c r="H945" s="242"/>
      <c r="I945" s="223"/>
      <c r="J945" s="57"/>
      <c r="K945" s="153"/>
      <c r="L945" s="243"/>
      <c r="M945" s="234"/>
      <c r="N945" s="235"/>
      <c r="O945" s="236"/>
      <c r="P945" s="236"/>
      <c r="Q945" s="236"/>
      <c r="R945" s="236"/>
      <c r="S945" s="236"/>
      <c r="T945" s="236"/>
      <c r="U945" s="236"/>
      <c r="V945" s="236"/>
      <c r="W945" s="244"/>
      <c r="X945" s="244"/>
      <c r="Y945" s="237"/>
      <c r="Z945" s="244"/>
      <c r="AA945" s="244"/>
      <c r="AB945" s="244"/>
      <c r="AC945" s="244"/>
      <c r="AD945" s="234"/>
      <c r="AE945" s="234"/>
      <c r="AF945" s="238"/>
      <c r="AG945" s="239"/>
      <c r="AH945" s="238"/>
      <c r="AI945" s="238"/>
      <c r="AJ945" s="234"/>
      <c r="AK945" s="234"/>
      <c r="AL945" s="234"/>
      <c r="AM945" s="234"/>
      <c r="AN945" s="234"/>
      <c r="AO945" s="234"/>
    </row>
    <row r="946" ht="15.75" customHeight="1">
      <c r="A946" s="91"/>
      <c r="B946" s="91"/>
      <c r="C946" s="220"/>
      <c r="D946" s="91"/>
      <c r="E946" s="221"/>
      <c r="F946" s="91"/>
      <c r="G946" s="91"/>
      <c r="H946" s="242"/>
      <c r="I946" s="223"/>
      <c r="J946" s="57"/>
      <c r="K946" s="153"/>
      <c r="L946" s="243"/>
      <c r="M946" s="234"/>
      <c r="N946" s="235"/>
      <c r="O946" s="236"/>
      <c r="P946" s="236"/>
      <c r="Q946" s="236"/>
      <c r="R946" s="236"/>
      <c r="S946" s="236"/>
      <c r="T946" s="236"/>
      <c r="U946" s="236"/>
      <c r="V946" s="236"/>
      <c r="W946" s="244"/>
      <c r="X946" s="244"/>
      <c r="Y946" s="237"/>
      <c r="Z946" s="244"/>
      <c r="AA946" s="244"/>
      <c r="AB946" s="244"/>
      <c r="AC946" s="244"/>
      <c r="AD946" s="234"/>
      <c r="AE946" s="234"/>
      <c r="AF946" s="238"/>
      <c r="AG946" s="239"/>
      <c r="AH946" s="238"/>
      <c r="AI946" s="238"/>
      <c r="AJ946" s="234"/>
      <c r="AK946" s="234"/>
      <c r="AL946" s="234"/>
      <c r="AM946" s="234"/>
      <c r="AN946" s="234"/>
      <c r="AO946" s="234"/>
    </row>
    <row r="947" ht="15.75" customHeight="1">
      <c r="A947" s="91"/>
      <c r="B947" s="91"/>
      <c r="C947" s="220"/>
      <c r="D947" s="91"/>
      <c r="E947" s="221"/>
      <c r="F947" s="91"/>
      <c r="G947" s="91"/>
      <c r="H947" s="242"/>
      <c r="I947" s="223"/>
      <c r="J947" s="57"/>
      <c r="K947" s="153"/>
      <c r="L947" s="243"/>
      <c r="M947" s="234"/>
      <c r="N947" s="235"/>
      <c r="O947" s="236"/>
      <c r="P947" s="236"/>
      <c r="Q947" s="236"/>
      <c r="R947" s="236"/>
      <c r="S947" s="236"/>
      <c r="T947" s="236"/>
      <c r="U947" s="236"/>
      <c r="V947" s="236"/>
      <c r="W947" s="244"/>
      <c r="X947" s="244"/>
      <c r="Y947" s="237"/>
      <c r="Z947" s="244"/>
      <c r="AA947" s="244"/>
      <c r="AB947" s="244"/>
      <c r="AC947" s="244"/>
      <c r="AD947" s="234"/>
      <c r="AE947" s="234"/>
      <c r="AF947" s="238"/>
      <c r="AG947" s="239"/>
      <c r="AH947" s="238"/>
      <c r="AI947" s="238"/>
      <c r="AJ947" s="234"/>
      <c r="AK947" s="234"/>
      <c r="AL947" s="234"/>
      <c r="AM947" s="234"/>
      <c r="AN947" s="234"/>
      <c r="AO947" s="234"/>
    </row>
    <row r="948" ht="15.75" customHeight="1">
      <c r="A948" s="91"/>
      <c r="B948" s="91"/>
      <c r="C948" s="220"/>
      <c r="D948" s="91"/>
      <c r="E948" s="221"/>
      <c r="F948" s="91"/>
      <c r="G948" s="91"/>
      <c r="H948" s="242"/>
      <c r="I948" s="223"/>
      <c r="J948" s="57"/>
      <c r="K948" s="153"/>
      <c r="L948" s="243"/>
      <c r="M948" s="234"/>
      <c r="N948" s="235"/>
      <c r="O948" s="236"/>
      <c r="P948" s="236"/>
      <c r="Q948" s="236"/>
      <c r="R948" s="236"/>
      <c r="S948" s="236"/>
      <c r="T948" s="236"/>
      <c r="U948" s="236"/>
      <c r="V948" s="236"/>
      <c r="W948" s="244"/>
      <c r="X948" s="244"/>
      <c r="Y948" s="237"/>
      <c r="Z948" s="244"/>
      <c r="AA948" s="244"/>
      <c r="AB948" s="244"/>
      <c r="AC948" s="244"/>
      <c r="AD948" s="234"/>
      <c r="AE948" s="234"/>
      <c r="AF948" s="238"/>
      <c r="AG948" s="239"/>
      <c r="AH948" s="238"/>
      <c r="AI948" s="238"/>
      <c r="AJ948" s="234"/>
      <c r="AK948" s="234"/>
      <c r="AL948" s="234"/>
      <c r="AM948" s="234"/>
      <c r="AN948" s="234"/>
      <c r="AO948" s="234"/>
    </row>
    <row r="949" ht="15.75" customHeight="1">
      <c r="A949" s="91"/>
      <c r="B949" s="91"/>
      <c r="C949" s="220"/>
      <c r="D949" s="91"/>
      <c r="E949" s="221"/>
      <c r="F949" s="91"/>
      <c r="G949" s="91"/>
      <c r="H949" s="242"/>
      <c r="I949" s="223"/>
      <c r="J949" s="57"/>
      <c r="K949" s="153"/>
      <c r="L949" s="243"/>
      <c r="M949" s="234"/>
      <c r="N949" s="235"/>
      <c r="O949" s="236"/>
      <c r="P949" s="236"/>
      <c r="Q949" s="236"/>
      <c r="R949" s="236"/>
      <c r="S949" s="236"/>
      <c r="T949" s="236"/>
      <c r="U949" s="236"/>
      <c r="V949" s="236"/>
      <c r="W949" s="244"/>
      <c r="X949" s="244"/>
      <c r="Y949" s="237"/>
      <c r="Z949" s="244"/>
      <c r="AA949" s="244"/>
      <c r="AB949" s="244"/>
      <c r="AC949" s="244"/>
      <c r="AD949" s="234"/>
      <c r="AE949" s="234"/>
      <c r="AF949" s="238"/>
      <c r="AG949" s="239"/>
      <c r="AH949" s="238"/>
      <c r="AI949" s="238"/>
      <c r="AJ949" s="234"/>
      <c r="AK949" s="234"/>
      <c r="AL949" s="234"/>
      <c r="AM949" s="234"/>
      <c r="AN949" s="234"/>
      <c r="AO949" s="234"/>
    </row>
    <row r="950" ht="15.75" customHeight="1">
      <c r="A950" s="91"/>
      <c r="B950" s="91"/>
      <c r="C950" s="220"/>
      <c r="D950" s="91"/>
      <c r="E950" s="221"/>
      <c r="F950" s="91"/>
      <c r="G950" s="91"/>
      <c r="H950" s="242"/>
      <c r="I950" s="223"/>
      <c r="J950" s="57"/>
      <c r="K950" s="153"/>
      <c r="L950" s="243"/>
      <c r="M950" s="234"/>
      <c r="N950" s="235"/>
      <c r="O950" s="236"/>
      <c r="P950" s="236"/>
      <c r="Q950" s="236"/>
      <c r="R950" s="236"/>
      <c r="S950" s="236"/>
      <c r="T950" s="236"/>
      <c r="U950" s="236"/>
      <c r="V950" s="236"/>
      <c r="W950" s="244"/>
      <c r="X950" s="244"/>
      <c r="Y950" s="237"/>
      <c r="Z950" s="244"/>
      <c r="AA950" s="244"/>
      <c r="AB950" s="244"/>
      <c r="AC950" s="244"/>
      <c r="AD950" s="234"/>
      <c r="AE950" s="234"/>
      <c r="AF950" s="238"/>
      <c r="AG950" s="239"/>
      <c r="AH950" s="238"/>
      <c r="AI950" s="238"/>
      <c r="AJ950" s="234"/>
      <c r="AK950" s="234"/>
      <c r="AL950" s="234"/>
      <c r="AM950" s="234"/>
      <c r="AN950" s="234"/>
      <c r="AO950" s="234"/>
    </row>
    <row r="951" ht="15.75" customHeight="1">
      <c r="A951" s="91"/>
      <c r="B951" s="91"/>
      <c r="C951" s="220"/>
      <c r="D951" s="91"/>
      <c r="E951" s="221"/>
      <c r="F951" s="91"/>
      <c r="G951" s="91"/>
      <c r="H951" s="242"/>
      <c r="I951" s="223"/>
      <c r="J951" s="57"/>
      <c r="K951" s="153"/>
      <c r="L951" s="243"/>
      <c r="M951" s="234"/>
      <c r="N951" s="235"/>
      <c r="O951" s="236"/>
      <c r="P951" s="236"/>
      <c r="Q951" s="236"/>
      <c r="R951" s="236"/>
      <c r="S951" s="236"/>
      <c r="T951" s="236"/>
      <c r="U951" s="236"/>
      <c r="V951" s="236"/>
      <c r="W951" s="244"/>
      <c r="X951" s="244"/>
      <c r="Y951" s="237"/>
      <c r="Z951" s="244"/>
      <c r="AA951" s="244"/>
      <c r="AB951" s="244"/>
      <c r="AC951" s="244"/>
      <c r="AD951" s="234"/>
      <c r="AE951" s="234"/>
      <c r="AF951" s="238"/>
      <c r="AG951" s="239"/>
      <c r="AH951" s="238"/>
      <c r="AI951" s="238"/>
      <c r="AJ951" s="234"/>
      <c r="AK951" s="234"/>
      <c r="AL951" s="234"/>
      <c r="AM951" s="234"/>
      <c r="AN951" s="234"/>
      <c r="AO951" s="234"/>
    </row>
    <row r="952" ht="15.75" customHeight="1">
      <c r="A952" s="91"/>
      <c r="B952" s="91"/>
      <c r="C952" s="220"/>
      <c r="D952" s="91"/>
      <c r="E952" s="221"/>
      <c r="F952" s="91"/>
      <c r="G952" s="91"/>
      <c r="H952" s="242"/>
      <c r="I952" s="223"/>
      <c r="J952" s="57"/>
      <c r="K952" s="153"/>
      <c r="L952" s="243"/>
      <c r="M952" s="234"/>
      <c r="N952" s="235"/>
      <c r="O952" s="236"/>
      <c r="P952" s="236"/>
      <c r="Q952" s="236"/>
      <c r="R952" s="236"/>
      <c r="S952" s="236"/>
      <c r="T952" s="236"/>
      <c r="U952" s="236"/>
      <c r="V952" s="236"/>
      <c r="W952" s="244"/>
      <c r="X952" s="244"/>
      <c r="Y952" s="237"/>
      <c r="Z952" s="244"/>
      <c r="AA952" s="244"/>
      <c r="AB952" s="244"/>
      <c r="AC952" s="244"/>
      <c r="AD952" s="234"/>
      <c r="AE952" s="234"/>
      <c r="AF952" s="238"/>
      <c r="AG952" s="239"/>
      <c r="AH952" s="238"/>
      <c r="AI952" s="238"/>
      <c r="AJ952" s="234"/>
      <c r="AK952" s="234"/>
      <c r="AL952" s="234"/>
      <c r="AM952" s="234"/>
      <c r="AN952" s="234"/>
      <c r="AO952" s="234"/>
    </row>
    <row r="953" ht="15.75" customHeight="1">
      <c r="A953" s="91"/>
      <c r="B953" s="91"/>
      <c r="C953" s="220"/>
      <c r="D953" s="91"/>
      <c r="E953" s="221"/>
      <c r="F953" s="91"/>
      <c r="G953" s="91"/>
      <c r="H953" s="242"/>
      <c r="I953" s="223"/>
      <c r="J953" s="57"/>
      <c r="K953" s="153"/>
      <c r="L953" s="243"/>
      <c r="M953" s="234"/>
      <c r="N953" s="235"/>
      <c r="O953" s="236"/>
      <c r="P953" s="236"/>
      <c r="Q953" s="236"/>
      <c r="R953" s="236"/>
      <c r="S953" s="236"/>
      <c r="T953" s="236"/>
      <c r="U953" s="236"/>
      <c r="V953" s="236"/>
      <c r="W953" s="244"/>
      <c r="X953" s="244"/>
      <c r="Y953" s="237"/>
      <c r="Z953" s="244"/>
      <c r="AA953" s="244"/>
      <c r="AB953" s="244"/>
      <c r="AC953" s="244"/>
      <c r="AD953" s="234"/>
      <c r="AE953" s="234"/>
      <c r="AF953" s="238"/>
      <c r="AG953" s="239"/>
      <c r="AH953" s="238"/>
      <c r="AI953" s="238"/>
      <c r="AJ953" s="234"/>
      <c r="AK953" s="234"/>
      <c r="AL953" s="234"/>
      <c r="AM953" s="234"/>
      <c r="AN953" s="234"/>
      <c r="AO953" s="234"/>
    </row>
    <row r="954" ht="15.75" customHeight="1">
      <c r="A954" s="91"/>
      <c r="B954" s="91"/>
      <c r="C954" s="220"/>
      <c r="D954" s="91"/>
      <c r="E954" s="221"/>
      <c r="F954" s="91"/>
      <c r="G954" s="91"/>
      <c r="H954" s="242"/>
      <c r="I954" s="223"/>
      <c r="J954" s="57"/>
      <c r="K954" s="153"/>
      <c r="L954" s="243"/>
      <c r="M954" s="234"/>
      <c r="N954" s="235"/>
      <c r="O954" s="236"/>
      <c r="P954" s="236"/>
      <c r="Q954" s="236"/>
      <c r="R954" s="236"/>
      <c r="S954" s="236"/>
      <c r="T954" s="236"/>
      <c r="U954" s="236"/>
      <c r="V954" s="236"/>
      <c r="W954" s="244"/>
      <c r="X954" s="244"/>
      <c r="Y954" s="237"/>
      <c r="Z954" s="244"/>
      <c r="AA954" s="244"/>
      <c r="AB954" s="244"/>
      <c r="AC954" s="244"/>
      <c r="AD954" s="234"/>
      <c r="AE954" s="234"/>
      <c r="AF954" s="238"/>
      <c r="AG954" s="239"/>
      <c r="AH954" s="238"/>
      <c r="AI954" s="238"/>
      <c r="AJ954" s="234"/>
      <c r="AK954" s="234"/>
      <c r="AL954" s="234"/>
      <c r="AM954" s="234"/>
      <c r="AN954" s="234"/>
      <c r="AO954" s="234"/>
    </row>
    <row r="955" ht="15.75" customHeight="1">
      <c r="A955" s="91"/>
      <c r="B955" s="91"/>
      <c r="C955" s="220"/>
      <c r="D955" s="91"/>
      <c r="E955" s="221"/>
      <c r="F955" s="91"/>
      <c r="G955" s="91"/>
      <c r="H955" s="242"/>
      <c r="I955" s="223"/>
      <c r="J955" s="57"/>
      <c r="K955" s="153"/>
      <c r="L955" s="243"/>
      <c r="M955" s="234"/>
      <c r="N955" s="235"/>
      <c r="O955" s="236"/>
      <c r="P955" s="236"/>
      <c r="Q955" s="236"/>
      <c r="R955" s="236"/>
      <c r="S955" s="236"/>
      <c r="T955" s="236"/>
      <c r="U955" s="236"/>
      <c r="V955" s="236"/>
      <c r="W955" s="244"/>
      <c r="X955" s="244"/>
      <c r="Y955" s="237"/>
      <c r="Z955" s="244"/>
      <c r="AA955" s="244"/>
      <c r="AB955" s="244"/>
      <c r="AC955" s="244"/>
      <c r="AD955" s="234"/>
      <c r="AE955" s="234"/>
      <c r="AF955" s="238"/>
      <c r="AG955" s="239"/>
      <c r="AH955" s="238"/>
      <c r="AI955" s="238"/>
      <c r="AJ955" s="234"/>
      <c r="AK955" s="234"/>
      <c r="AL955" s="234"/>
      <c r="AM955" s="234"/>
      <c r="AN955" s="234"/>
      <c r="AO955" s="234"/>
    </row>
    <row r="956" ht="15.75" customHeight="1">
      <c r="A956" s="91"/>
      <c r="B956" s="91"/>
      <c r="C956" s="220"/>
      <c r="D956" s="91"/>
      <c r="E956" s="221"/>
      <c r="F956" s="91"/>
      <c r="G956" s="91"/>
      <c r="H956" s="242"/>
      <c r="I956" s="223"/>
      <c r="J956" s="57"/>
      <c r="K956" s="153"/>
      <c r="L956" s="243"/>
      <c r="M956" s="234"/>
      <c r="N956" s="235"/>
      <c r="O956" s="236"/>
      <c r="P956" s="236"/>
      <c r="Q956" s="236"/>
      <c r="R956" s="236"/>
      <c r="S956" s="236"/>
      <c r="T956" s="236"/>
      <c r="U956" s="236"/>
      <c r="V956" s="236"/>
      <c r="W956" s="244"/>
      <c r="X956" s="244"/>
      <c r="Y956" s="237"/>
      <c r="Z956" s="244"/>
      <c r="AA956" s="244"/>
      <c r="AB956" s="244"/>
      <c r="AC956" s="244"/>
      <c r="AD956" s="234"/>
      <c r="AE956" s="234"/>
      <c r="AF956" s="238"/>
      <c r="AG956" s="239"/>
      <c r="AH956" s="238"/>
      <c r="AI956" s="238"/>
      <c r="AJ956" s="234"/>
      <c r="AK956" s="234"/>
      <c r="AL956" s="234"/>
      <c r="AM956" s="234"/>
      <c r="AN956" s="234"/>
      <c r="AO956" s="234"/>
    </row>
    <row r="957" ht="15.75" customHeight="1">
      <c r="A957" s="91"/>
      <c r="B957" s="91"/>
      <c r="C957" s="220"/>
      <c r="D957" s="91"/>
      <c r="E957" s="221"/>
      <c r="F957" s="91"/>
      <c r="G957" s="91"/>
      <c r="H957" s="242"/>
      <c r="I957" s="223"/>
      <c r="J957" s="57"/>
      <c r="K957" s="153"/>
      <c r="L957" s="243"/>
      <c r="M957" s="234"/>
      <c r="N957" s="235"/>
      <c r="O957" s="236"/>
      <c r="P957" s="236"/>
      <c r="Q957" s="236"/>
      <c r="R957" s="236"/>
      <c r="S957" s="236"/>
      <c r="T957" s="236"/>
      <c r="U957" s="236"/>
      <c r="V957" s="236"/>
      <c r="W957" s="244"/>
      <c r="X957" s="244"/>
      <c r="Y957" s="237"/>
      <c r="Z957" s="244"/>
      <c r="AA957" s="244"/>
      <c r="AB957" s="244"/>
      <c r="AC957" s="244"/>
      <c r="AD957" s="234"/>
      <c r="AE957" s="234"/>
      <c r="AF957" s="238"/>
      <c r="AG957" s="239"/>
      <c r="AH957" s="238"/>
      <c r="AI957" s="238"/>
      <c r="AJ957" s="234"/>
      <c r="AK957" s="234"/>
      <c r="AL957" s="234"/>
      <c r="AM957" s="234"/>
      <c r="AN957" s="234"/>
      <c r="AO957" s="234"/>
    </row>
    <row r="958" ht="15.75" customHeight="1">
      <c r="A958" s="91"/>
      <c r="B958" s="91"/>
      <c r="C958" s="220"/>
      <c r="D958" s="91"/>
      <c r="E958" s="221"/>
      <c r="F958" s="91"/>
      <c r="G958" s="91"/>
      <c r="H958" s="242"/>
      <c r="I958" s="223"/>
      <c r="J958" s="57"/>
      <c r="K958" s="153"/>
      <c r="L958" s="243"/>
      <c r="M958" s="234"/>
      <c r="N958" s="235"/>
      <c r="O958" s="236"/>
      <c r="P958" s="236"/>
      <c r="Q958" s="236"/>
      <c r="R958" s="236"/>
      <c r="S958" s="236"/>
      <c r="T958" s="236"/>
      <c r="U958" s="236"/>
      <c r="V958" s="236"/>
      <c r="W958" s="244"/>
      <c r="X958" s="244"/>
      <c r="Y958" s="237"/>
      <c r="Z958" s="244"/>
      <c r="AA958" s="244"/>
      <c r="AB958" s="244"/>
      <c r="AC958" s="244"/>
      <c r="AD958" s="234"/>
      <c r="AE958" s="234"/>
      <c r="AF958" s="238"/>
      <c r="AG958" s="239"/>
      <c r="AH958" s="238"/>
      <c r="AI958" s="238"/>
      <c r="AJ958" s="234"/>
      <c r="AK958" s="234"/>
      <c r="AL958" s="234"/>
      <c r="AM958" s="234"/>
      <c r="AN958" s="234"/>
      <c r="AO958" s="234"/>
    </row>
    <row r="959" ht="15.75" customHeight="1">
      <c r="A959" s="91"/>
      <c r="B959" s="91"/>
      <c r="C959" s="220"/>
      <c r="D959" s="91"/>
      <c r="E959" s="221"/>
      <c r="F959" s="91"/>
      <c r="G959" s="91"/>
      <c r="H959" s="242"/>
      <c r="I959" s="223"/>
      <c r="J959" s="57"/>
      <c r="K959" s="153"/>
      <c r="L959" s="243"/>
      <c r="M959" s="234"/>
      <c r="N959" s="235"/>
      <c r="O959" s="236"/>
      <c r="P959" s="236"/>
      <c r="Q959" s="236"/>
      <c r="R959" s="236"/>
      <c r="S959" s="236"/>
      <c r="T959" s="236"/>
      <c r="U959" s="236"/>
      <c r="V959" s="236"/>
      <c r="W959" s="244"/>
      <c r="X959" s="244"/>
      <c r="Y959" s="237"/>
      <c r="Z959" s="244"/>
      <c r="AA959" s="244"/>
      <c r="AB959" s="244"/>
      <c r="AC959" s="244"/>
      <c r="AD959" s="234"/>
      <c r="AE959" s="234"/>
      <c r="AF959" s="238"/>
      <c r="AG959" s="239"/>
      <c r="AH959" s="238"/>
      <c r="AI959" s="238"/>
      <c r="AJ959" s="234"/>
      <c r="AK959" s="234"/>
      <c r="AL959" s="234"/>
      <c r="AM959" s="234"/>
      <c r="AN959" s="234"/>
      <c r="AO959" s="234"/>
    </row>
    <row r="960" ht="15.75" customHeight="1">
      <c r="A960" s="91"/>
      <c r="B960" s="91"/>
      <c r="C960" s="220"/>
      <c r="D960" s="91"/>
      <c r="E960" s="221"/>
      <c r="F960" s="91"/>
      <c r="G960" s="91"/>
      <c r="H960" s="242"/>
      <c r="I960" s="223"/>
      <c r="J960" s="57"/>
      <c r="K960" s="153"/>
      <c r="L960" s="243"/>
      <c r="M960" s="234"/>
      <c r="N960" s="235"/>
      <c r="O960" s="236"/>
      <c r="P960" s="236"/>
      <c r="Q960" s="236"/>
      <c r="R960" s="236"/>
      <c r="S960" s="236"/>
      <c r="T960" s="236"/>
      <c r="U960" s="236"/>
      <c r="V960" s="236"/>
      <c r="W960" s="244"/>
      <c r="X960" s="244"/>
      <c r="Y960" s="237"/>
      <c r="Z960" s="244"/>
      <c r="AA960" s="244"/>
      <c r="AB960" s="244"/>
      <c r="AC960" s="244"/>
      <c r="AD960" s="234"/>
      <c r="AE960" s="234"/>
      <c r="AF960" s="238"/>
      <c r="AG960" s="239"/>
      <c r="AH960" s="238"/>
      <c r="AI960" s="238"/>
      <c r="AJ960" s="234"/>
      <c r="AK960" s="234"/>
      <c r="AL960" s="234"/>
      <c r="AM960" s="234"/>
      <c r="AN960" s="234"/>
      <c r="AO960" s="234"/>
    </row>
    <row r="961" ht="15.75" customHeight="1">
      <c r="A961" s="91"/>
      <c r="B961" s="91"/>
      <c r="C961" s="220"/>
      <c r="D961" s="91"/>
      <c r="E961" s="221"/>
      <c r="F961" s="91"/>
      <c r="G961" s="91"/>
      <c r="H961" s="242"/>
      <c r="I961" s="223"/>
      <c r="J961" s="57"/>
      <c r="K961" s="153"/>
      <c r="L961" s="243"/>
      <c r="M961" s="234"/>
      <c r="N961" s="235"/>
      <c r="O961" s="236"/>
      <c r="P961" s="236"/>
      <c r="Q961" s="236"/>
      <c r="R961" s="236"/>
      <c r="S961" s="236"/>
      <c r="T961" s="236"/>
      <c r="U961" s="236"/>
      <c r="V961" s="236"/>
      <c r="W961" s="244"/>
      <c r="X961" s="244"/>
      <c r="Y961" s="237"/>
      <c r="Z961" s="244"/>
      <c r="AA961" s="244"/>
      <c r="AB961" s="244"/>
      <c r="AC961" s="244"/>
      <c r="AD961" s="234"/>
      <c r="AE961" s="234"/>
      <c r="AF961" s="238"/>
      <c r="AG961" s="239"/>
      <c r="AH961" s="238"/>
      <c r="AI961" s="238"/>
      <c r="AJ961" s="234"/>
      <c r="AK961" s="234"/>
      <c r="AL961" s="234"/>
      <c r="AM961" s="234"/>
      <c r="AN961" s="234"/>
      <c r="AO961" s="234"/>
    </row>
    <row r="962" ht="15.75" customHeight="1">
      <c r="A962" s="91"/>
      <c r="B962" s="91"/>
      <c r="C962" s="220"/>
      <c r="D962" s="91"/>
      <c r="E962" s="221"/>
      <c r="F962" s="91"/>
      <c r="G962" s="91"/>
      <c r="H962" s="242"/>
      <c r="I962" s="223"/>
      <c r="J962" s="57"/>
      <c r="K962" s="153"/>
      <c r="L962" s="243"/>
      <c r="M962" s="234"/>
      <c r="N962" s="235"/>
      <c r="O962" s="236"/>
      <c r="P962" s="236"/>
      <c r="Q962" s="236"/>
      <c r="R962" s="236"/>
      <c r="S962" s="236"/>
      <c r="T962" s="236"/>
      <c r="U962" s="236"/>
      <c r="V962" s="236"/>
      <c r="W962" s="244"/>
      <c r="X962" s="244"/>
      <c r="Y962" s="237"/>
      <c r="Z962" s="244"/>
      <c r="AA962" s="244"/>
      <c r="AB962" s="244"/>
      <c r="AC962" s="244"/>
      <c r="AD962" s="234"/>
      <c r="AE962" s="234"/>
      <c r="AF962" s="238"/>
      <c r="AG962" s="239"/>
      <c r="AH962" s="238"/>
      <c r="AI962" s="238"/>
      <c r="AJ962" s="234"/>
      <c r="AK962" s="234"/>
      <c r="AL962" s="234"/>
      <c r="AM962" s="234"/>
      <c r="AN962" s="234"/>
      <c r="AO962" s="234"/>
    </row>
    <row r="963" ht="15.75" customHeight="1">
      <c r="A963" s="91"/>
      <c r="B963" s="91"/>
      <c r="C963" s="220"/>
      <c r="D963" s="91"/>
      <c r="E963" s="221"/>
      <c r="F963" s="91"/>
      <c r="G963" s="91"/>
      <c r="H963" s="242"/>
      <c r="I963" s="223"/>
      <c r="J963" s="57"/>
      <c r="K963" s="153"/>
      <c r="L963" s="243"/>
      <c r="M963" s="234"/>
      <c r="N963" s="235"/>
      <c r="O963" s="236"/>
      <c r="P963" s="236"/>
      <c r="Q963" s="236"/>
      <c r="R963" s="236"/>
      <c r="S963" s="236"/>
      <c r="T963" s="236"/>
      <c r="U963" s="236"/>
      <c r="V963" s="236"/>
      <c r="W963" s="244"/>
      <c r="X963" s="244"/>
      <c r="Y963" s="237"/>
      <c r="Z963" s="244"/>
      <c r="AA963" s="244"/>
      <c r="AB963" s="244"/>
      <c r="AC963" s="244"/>
      <c r="AD963" s="234"/>
      <c r="AE963" s="234"/>
      <c r="AF963" s="238"/>
      <c r="AG963" s="239"/>
      <c r="AH963" s="238"/>
      <c r="AI963" s="238"/>
      <c r="AJ963" s="234"/>
      <c r="AK963" s="234"/>
      <c r="AL963" s="234"/>
      <c r="AM963" s="234"/>
      <c r="AN963" s="234"/>
      <c r="AO963" s="234"/>
    </row>
    <row r="964" ht="15.75" customHeight="1">
      <c r="A964" s="91"/>
      <c r="B964" s="91"/>
      <c r="C964" s="220"/>
      <c r="D964" s="91"/>
      <c r="E964" s="221"/>
      <c r="F964" s="91"/>
      <c r="G964" s="91"/>
      <c r="H964" s="242"/>
      <c r="I964" s="223"/>
      <c r="J964" s="57"/>
      <c r="K964" s="153"/>
      <c r="L964" s="243"/>
      <c r="M964" s="234"/>
      <c r="N964" s="235"/>
      <c r="O964" s="236"/>
      <c r="P964" s="236"/>
      <c r="Q964" s="236"/>
      <c r="R964" s="236"/>
      <c r="S964" s="236"/>
      <c r="T964" s="236"/>
      <c r="U964" s="236"/>
      <c r="V964" s="236"/>
      <c r="W964" s="244"/>
      <c r="X964" s="244"/>
      <c r="Y964" s="237"/>
      <c r="Z964" s="244"/>
      <c r="AA964" s="244"/>
      <c r="AB964" s="244"/>
      <c r="AC964" s="244"/>
      <c r="AD964" s="234"/>
      <c r="AE964" s="234"/>
      <c r="AF964" s="238"/>
      <c r="AG964" s="239"/>
      <c r="AH964" s="238"/>
      <c r="AI964" s="238"/>
      <c r="AJ964" s="234"/>
      <c r="AK964" s="234"/>
      <c r="AL964" s="234"/>
      <c r="AM964" s="234"/>
      <c r="AN964" s="234"/>
      <c r="AO964" s="234"/>
    </row>
    <row r="965" ht="15.75" customHeight="1">
      <c r="A965" s="91"/>
      <c r="B965" s="91"/>
      <c r="C965" s="220"/>
      <c r="D965" s="91"/>
      <c r="E965" s="221"/>
      <c r="F965" s="91"/>
      <c r="G965" s="91"/>
      <c r="H965" s="242"/>
      <c r="I965" s="223"/>
      <c r="J965" s="57"/>
      <c r="K965" s="153"/>
      <c r="L965" s="243"/>
      <c r="M965" s="234"/>
      <c r="N965" s="235"/>
      <c r="O965" s="236"/>
      <c r="P965" s="236"/>
      <c r="Q965" s="236"/>
      <c r="R965" s="236"/>
      <c r="S965" s="236"/>
      <c r="T965" s="236"/>
      <c r="U965" s="236"/>
      <c r="V965" s="236"/>
      <c r="W965" s="244"/>
      <c r="X965" s="244"/>
      <c r="Y965" s="237"/>
      <c r="Z965" s="244"/>
      <c r="AA965" s="244"/>
      <c r="AB965" s="244"/>
      <c r="AC965" s="244"/>
      <c r="AD965" s="234"/>
      <c r="AE965" s="234"/>
      <c r="AF965" s="238"/>
      <c r="AG965" s="239"/>
      <c r="AH965" s="238"/>
      <c r="AI965" s="238"/>
      <c r="AJ965" s="234"/>
      <c r="AK965" s="234"/>
      <c r="AL965" s="234"/>
      <c r="AM965" s="234"/>
      <c r="AN965" s="234"/>
      <c r="AO965" s="234"/>
    </row>
    <row r="966" ht="15.75" customHeight="1">
      <c r="A966" s="91"/>
      <c r="B966" s="91"/>
      <c r="C966" s="220"/>
      <c r="D966" s="91"/>
      <c r="E966" s="221"/>
      <c r="F966" s="91"/>
      <c r="G966" s="91"/>
      <c r="H966" s="242"/>
      <c r="I966" s="223"/>
      <c r="J966" s="57"/>
      <c r="K966" s="153"/>
      <c r="L966" s="243"/>
      <c r="M966" s="234"/>
      <c r="N966" s="235"/>
      <c r="O966" s="236"/>
      <c r="P966" s="236"/>
      <c r="Q966" s="236"/>
      <c r="R966" s="236"/>
      <c r="S966" s="236"/>
      <c r="T966" s="236"/>
      <c r="U966" s="236"/>
      <c r="V966" s="236"/>
      <c r="W966" s="244"/>
      <c r="X966" s="244"/>
      <c r="Y966" s="237"/>
      <c r="Z966" s="244"/>
      <c r="AA966" s="244"/>
      <c r="AB966" s="244"/>
      <c r="AC966" s="244"/>
      <c r="AD966" s="234"/>
      <c r="AE966" s="234"/>
      <c r="AF966" s="238"/>
      <c r="AG966" s="239"/>
      <c r="AH966" s="238"/>
      <c r="AI966" s="238"/>
      <c r="AJ966" s="234"/>
      <c r="AK966" s="234"/>
      <c r="AL966" s="234"/>
      <c r="AM966" s="234"/>
      <c r="AN966" s="234"/>
      <c r="AO966" s="234"/>
    </row>
    <row r="967" ht="15.75" customHeight="1">
      <c r="A967" s="91"/>
      <c r="B967" s="91"/>
      <c r="C967" s="220"/>
      <c r="D967" s="91"/>
      <c r="E967" s="221"/>
      <c r="F967" s="91"/>
      <c r="G967" s="91"/>
      <c r="H967" s="242"/>
      <c r="I967" s="223"/>
      <c r="J967" s="57"/>
      <c r="K967" s="153"/>
      <c r="L967" s="243"/>
      <c r="M967" s="234"/>
      <c r="N967" s="235"/>
      <c r="O967" s="236"/>
      <c r="P967" s="236"/>
      <c r="Q967" s="236"/>
      <c r="R967" s="236"/>
      <c r="S967" s="236"/>
      <c r="T967" s="236"/>
      <c r="U967" s="236"/>
      <c r="V967" s="236"/>
      <c r="W967" s="244"/>
      <c r="X967" s="244"/>
      <c r="Y967" s="237"/>
      <c r="Z967" s="244"/>
      <c r="AA967" s="244"/>
      <c r="AB967" s="244"/>
      <c r="AC967" s="244"/>
      <c r="AD967" s="234"/>
      <c r="AE967" s="234"/>
      <c r="AF967" s="238"/>
      <c r="AG967" s="239"/>
      <c r="AH967" s="238"/>
      <c r="AI967" s="238"/>
      <c r="AJ967" s="234"/>
      <c r="AK967" s="234"/>
      <c r="AL967" s="234"/>
      <c r="AM967" s="234"/>
      <c r="AN967" s="234"/>
      <c r="AO967" s="234"/>
    </row>
    <row r="968" ht="15.75" customHeight="1">
      <c r="A968" s="91"/>
      <c r="B968" s="91"/>
      <c r="C968" s="220"/>
      <c r="D968" s="91"/>
      <c r="E968" s="221"/>
      <c r="F968" s="91"/>
      <c r="G968" s="91"/>
      <c r="H968" s="242"/>
      <c r="I968" s="223"/>
      <c r="J968" s="57"/>
      <c r="K968" s="153"/>
      <c r="L968" s="243"/>
      <c r="M968" s="234"/>
      <c r="N968" s="235"/>
      <c r="O968" s="236"/>
      <c r="P968" s="236"/>
      <c r="Q968" s="236"/>
      <c r="R968" s="236"/>
      <c r="S968" s="236"/>
      <c r="T968" s="236"/>
      <c r="U968" s="236"/>
      <c r="V968" s="236"/>
      <c r="W968" s="244"/>
      <c r="X968" s="244"/>
      <c r="Y968" s="237"/>
      <c r="Z968" s="244"/>
      <c r="AA968" s="244"/>
      <c r="AB968" s="244"/>
      <c r="AC968" s="244"/>
      <c r="AD968" s="234"/>
      <c r="AE968" s="234"/>
      <c r="AF968" s="238"/>
      <c r="AG968" s="239"/>
      <c r="AH968" s="238"/>
      <c r="AI968" s="238"/>
      <c r="AJ968" s="234"/>
      <c r="AK968" s="234"/>
      <c r="AL968" s="234"/>
      <c r="AM968" s="234"/>
      <c r="AN968" s="234"/>
      <c r="AO968" s="234"/>
    </row>
    <row r="969" ht="15.75" customHeight="1">
      <c r="A969" s="91"/>
      <c r="B969" s="91"/>
      <c r="C969" s="220"/>
      <c r="D969" s="91"/>
      <c r="E969" s="221"/>
      <c r="F969" s="91"/>
      <c r="G969" s="91"/>
      <c r="H969" s="242"/>
      <c r="I969" s="223"/>
      <c r="J969" s="57"/>
      <c r="K969" s="153"/>
      <c r="L969" s="243"/>
      <c r="M969" s="234"/>
      <c r="N969" s="235"/>
      <c r="O969" s="236"/>
      <c r="P969" s="236"/>
      <c r="Q969" s="236"/>
      <c r="R969" s="236"/>
      <c r="S969" s="236"/>
      <c r="T969" s="236"/>
      <c r="U969" s="236"/>
      <c r="V969" s="236"/>
      <c r="W969" s="244"/>
      <c r="X969" s="244"/>
      <c r="Y969" s="237"/>
      <c r="Z969" s="244"/>
      <c r="AA969" s="244"/>
      <c r="AB969" s="244"/>
      <c r="AC969" s="244"/>
      <c r="AD969" s="234"/>
      <c r="AE969" s="234"/>
      <c r="AF969" s="238"/>
      <c r="AG969" s="239"/>
      <c r="AH969" s="238"/>
      <c r="AI969" s="238"/>
      <c r="AJ969" s="234"/>
      <c r="AK969" s="234"/>
      <c r="AL969" s="234"/>
      <c r="AM969" s="234"/>
      <c r="AN969" s="234"/>
      <c r="AO969" s="234"/>
    </row>
    <row r="970" ht="15.75" customHeight="1">
      <c r="A970" s="91"/>
      <c r="B970" s="91"/>
      <c r="C970" s="220"/>
      <c r="D970" s="91"/>
      <c r="E970" s="221"/>
      <c r="F970" s="91"/>
      <c r="G970" s="91"/>
      <c r="H970" s="242"/>
      <c r="I970" s="223"/>
      <c r="J970" s="57"/>
      <c r="K970" s="153"/>
      <c r="L970" s="243"/>
      <c r="M970" s="234"/>
      <c r="N970" s="235"/>
      <c r="O970" s="236"/>
      <c r="P970" s="236"/>
      <c r="Q970" s="236"/>
      <c r="R970" s="236"/>
      <c r="S970" s="236"/>
      <c r="T970" s="236"/>
      <c r="U970" s="236"/>
      <c r="V970" s="236"/>
      <c r="W970" s="244"/>
      <c r="X970" s="244"/>
      <c r="Y970" s="237"/>
      <c r="Z970" s="244"/>
      <c r="AA970" s="244"/>
      <c r="AB970" s="244"/>
      <c r="AC970" s="244"/>
      <c r="AD970" s="234"/>
      <c r="AE970" s="234"/>
      <c r="AF970" s="238"/>
      <c r="AG970" s="239"/>
      <c r="AH970" s="238"/>
      <c r="AI970" s="238"/>
      <c r="AJ970" s="234"/>
      <c r="AK970" s="234"/>
      <c r="AL970" s="234"/>
      <c r="AM970" s="234"/>
      <c r="AN970" s="234"/>
      <c r="AO970" s="234"/>
    </row>
    <row r="971" ht="15.75" customHeight="1">
      <c r="A971" s="91"/>
      <c r="B971" s="91"/>
      <c r="C971" s="220"/>
      <c r="D971" s="91"/>
      <c r="E971" s="221"/>
      <c r="F971" s="91"/>
      <c r="G971" s="91"/>
      <c r="H971" s="242"/>
      <c r="I971" s="223"/>
      <c r="J971" s="57"/>
      <c r="K971" s="153"/>
      <c r="L971" s="243"/>
      <c r="M971" s="234"/>
      <c r="N971" s="235"/>
      <c r="O971" s="236"/>
      <c r="P971" s="236"/>
      <c r="Q971" s="236"/>
      <c r="R971" s="236"/>
      <c r="S971" s="236"/>
      <c r="T971" s="236"/>
      <c r="U971" s="236"/>
      <c r="V971" s="236"/>
      <c r="W971" s="244"/>
      <c r="X971" s="244"/>
      <c r="Y971" s="237"/>
      <c r="Z971" s="244"/>
      <c r="AA971" s="244"/>
      <c r="AB971" s="244"/>
      <c r="AC971" s="244"/>
      <c r="AD971" s="234"/>
      <c r="AE971" s="234"/>
      <c r="AF971" s="238"/>
      <c r="AG971" s="239"/>
      <c r="AH971" s="238"/>
      <c r="AI971" s="238"/>
      <c r="AJ971" s="234"/>
      <c r="AK971" s="234"/>
      <c r="AL971" s="234"/>
      <c r="AM971" s="234"/>
      <c r="AN971" s="234"/>
      <c r="AO971" s="234"/>
    </row>
    <row r="972" ht="15.75" customHeight="1">
      <c r="A972" s="91"/>
      <c r="B972" s="91"/>
      <c r="C972" s="220"/>
      <c r="D972" s="91"/>
      <c r="E972" s="221"/>
      <c r="F972" s="91"/>
      <c r="G972" s="91"/>
      <c r="H972" s="242"/>
      <c r="I972" s="223"/>
      <c r="J972" s="57"/>
      <c r="K972" s="153"/>
      <c r="L972" s="243"/>
      <c r="M972" s="234"/>
      <c r="N972" s="235"/>
      <c r="O972" s="236"/>
      <c r="P972" s="236"/>
      <c r="Q972" s="236"/>
      <c r="R972" s="236"/>
      <c r="S972" s="236"/>
      <c r="T972" s="236"/>
      <c r="U972" s="236"/>
      <c r="V972" s="236"/>
      <c r="W972" s="244"/>
      <c r="X972" s="244"/>
      <c r="Y972" s="237"/>
      <c r="Z972" s="244"/>
      <c r="AA972" s="244"/>
      <c r="AB972" s="244"/>
      <c r="AC972" s="244"/>
      <c r="AD972" s="234"/>
      <c r="AE972" s="234"/>
      <c r="AF972" s="238"/>
      <c r="AG972" s="239"/>
      <c r="AH972" s="238"/>
      <c r="AI972" s="238"/>
      <c r="AJ972" s="234"/>
      <c r="AK972" s="234"/>
      <c r="AL972" s="234"/>
      <c r="AM972" s="234"/>
      <c r="AN972" s="234"/>
      <c r="AO972" s="234"/>
    </row>
    <row r="973" ht="15.75" customHeight="1">
      <c r="A973" s="91"/>
      <c r="B973" s="91"/>
      <c r="C973" s="220"/>
      <c r="D973" s="91"/>
      <c r="E973" s="221"/>
      <c r="F973" s="91"/>
      <c r="G973" s="91"/>
      <c r="H973" s="242"/>
      <c r="I973" s="223"/>
      <c r="J973" s="57"/>
      <c r="K973" s="153"/>
      <c r="L973" s="243"/>
      <c r="M973" s="234"/>
      <c r="N973" s="235"/>
      <c r="O973" s="236"/>
      <c r="P973" s="236"/>
      <c r="Q973" s="236"/>
      <c r="R973" s="236"/>
      <c r="S973" s="236"/>
      <c r="T973" s="236"/>
      <c r="U973" s="236"/>
      <c r="V973" s="236"/>
      <c r="W973" s="244"/>
      <c r="X973" s="244"/>
      <c r="Y973" s="237"/>
      <c r="Z973" s="244"/>
      <c r="AA973" s="244"/>
      <c r="AB973" s="244"/>
      <c r="AC973" s="244"/>
      <c r="AD973" s="234"/>
      <c r="AE973" s="234"/>
      <c r="AF973" s="238"/>
      <c r="AG973" s="239"/>
      <c r="AH973" s="238"/>
      <c r="AI973" s="238"/>
      <c r="AJ973" s="234"/>
      <c r="AK973" s="234"/>
      <c r="AL973" s="234"/>
      <c r="AM973" s="234"/>
      <c r="AN973" s="234"/>
      <c r="AO973" s="234"/>
    </row>
    <row r="974" ht="15.75" customHeight="1">
      <c r="A974" s="91"/>
      <c r="B974" s="91"/>
      <c r="C974" s="220"/>
      <c r="D974" s="91"/>
      <c r="E974" s="221"/>
      <c r="F974" s="91"/>
      <c r="G974" s="91"/>
      <c r="H974" s="242"/>
      <c r="I974" s="223"/>
      <c r="J974" s="57"/>
      <c r="K974" s="153"/>
      <c r="L974" s="243"/>
      <c r="M974" s="234"/>
      <c r="N974" s="235"/>
      <c r="O974" s="236"/>
      <c r="P974" s="236"/>
      <c r="Q974" s="236"/>
      <c r="R974" s="236"/>
      <c r="S974" s="236"/>
      <c r="T974" s="236"/>
      <c r="U974" s="236"/>
      <c r="V974" s="236"/>
      <c r="W974" s="244"/>
      <c r="X974" s="244"/>
      <c r="Y974" s="237"/>
      <c r="Z974" s="244"/>
      <c r="AA974" s="244"/>
      <c r="AB974" s="244"/>
      <c r="AC974" s="244"/>
      <c r="AD974" s="234"/>
      <c r="AE974" s="234"/>
      <c r="AF974" s="238"/>
      <c r="AG974" s="239"/>
      <c r="AH974" s="238"/>
      <c r="AI974" s="238"/>
      <c r="AJ974" s="234"/>
      <c r="AK974" s="234"/>
      <c r="AL974" s="234"/>
      <c r="AM974" s="234"/>
      <c r="AN974" s="234"/>
      <c r="AO974" s="234"/>
    </row>
    <row r="975" ht="15.75" customHeight="1">
      <c r="A975" s="91"/>
      <c r="B975" s="91"/>
      <c r="C975" s="220"/>
      <c r="D975" s="91"/>
      <c r="E975" s="221"/>
      <c r="F975" s="91"/>
      <c r="G975" s="91"/>
      <c r="H975" s="242"/>
      <c r="I975" s="223"/>
      <c r="J975" s="57"/>
      <c r="K975" s="153"/>
      <c r="L975" s="243"/>
      <c r="M975" s="234"/>
      <c r="N975" s="235"/>
      <c r="O975" s="236"/>
      <c r="P975" s="236"/>
      <c r="Q975" s="236"/>
      <c r="R975" s="236"/>
      <c r="S975" s="236"/>
      <c r="T975" s="236"/>
      <c r="U975" s="236"/>
      <c r="V975" s="236"/>
      <c r="W975" s="244"/>
      <c r="X975" s="244"/>
      <c r="Y975" s="237"/>
      <c r="Z975" s="244"/>
      <c r="AA975" s="244"/>
      <c r="AB975" s="244"/>
      <c r="AC975" s="244"/>
      <c r="AD975" s="234"/>
      <c r="AE975" s="234"/>
      <c r="AF975" s="238"/>
      <c r="AG975" s="239"/>
      <c r="AH975" s="238"/>
      <c r="AI975" s="238"/>
      <c r="AJ975" s="234"/>
      <c r="AK975" s="234"/>
      <c r="AL975" s="234"/>
      <c r="AM975" s="234"/>
      <c r="AN975" s="234"/>
      <c r="AO975" s="234"/>
    </row>
    <row r="976" ht="15.75" customHeight="1">
      <c r="A976" s="91"/>
      <c r="B976" s="91"/>
      <c r="C976" s="220"/>
      <c r="D976" s="91"/>
      <c r="E976" s="221"/>
      <c r="F976" s="91"/>
      <c r="G976" s="91"/>
      <c r="H976" s="242"/>
      <c r="I976" s="223"/>
      <c r="J976" s="57"/>
      <c r="K976" s="153"/>
      <c r="L976" s="243"/>
      <c r="M976" s="234"/>
      <c r="N976" s="235"/>
      <c r="O976" s="236"/>
      <c r="P976" s="236"/>
      <c r="Q976" s="236"/>
      <c r="R976" s="236"/>
      <c r="S976" s="236"/>
      <c r="T976" s="236"/>
      <c r="U976" s="236"/>
      <c r="V976" s="236"/>
      <c r="W976" s="244"/>
      <c r="X976" s="244"/>
      <c r="Y976" s="237"/>
      <c r="Z976" s="244"/>
      <c r="AA976" s="244"/>
      <c r="AB976" s="244"/>
      <c r="AC976" s="244"/>
      <c r="AD976" s="234"/>
      <c r="AE976" s="234"/>
      <c r="AF976" s="238"/>
      <c r="AG976" s="239"/>
      <c r="AH976" s="238"/>
      <c r="AI976" s="238"/>
      <c r="AJ976" s="234"/>
      <c r="AK976" s="234"/>
      <c r="AL976" s="234"/>
      <c r="AM976" s="234"/>
      <c r="AN976" s="234"/>
      <c r="AO976" s="234"/>
    </row>
    <row r="977" ht="15.75" customHeight="1">
      <c r="A977" s="91"/>
      <c r="B977" s="91"/>
      <c r="C977" s="220"/>
      <c r="D977" s="91"/>
      <c r="E977" s="221"/>
      <c r="F977" s="91"/>
      <c r="G977" s="91"/>
      <c r="H977" s="242"/>
      <c r="I977" s="223"/>
      <c r="J977" s="57"/>
      <c r="K977" s="153"/>
      <c r="L977" s="243"/>
      <c r="M977" s="234"/>
      <c r="N977" s="235"/>
      <c r="O977" s="236"/>
      <c r="P977" s="236"/>
      <c r="Q977" s="236"/>
      <c r="R977" s="236"/>
      <c r="S977" s="236"/>
      <c r="T977" s="236"/>
      <c r="U977" s="236"/>
      <c r="V977" s="236"/>
      <c r="W977" s="244"/>
      <c r="X977" s="244"/>
      <c r="Y977" s="237"/>
      <c r="Z977" s="244"/>
      <c r="AA977" s="244"/>
      <c r="AB977" s="244"/>
      <c r="AC977" s="244"/>
      <c r="AD977" s="234"/>
      <c r="AE977" s="234"/>
      <c r="AF977" s="238"/>
      <c r="AG977" s="239"/>
      <c r="AH977" s="238"/>
      <c r="AI977" s="238"/>
      <c r="AJ977" s="234"/>
      <c r="AK977" s="234"/>
      <c r="AL977" s="234"/>
      <c r="AM977" s="234"/>
      <c r="AN977" s="234"/>
      <c r="AO977" s="234"/>
    </row>
    <row r="978" ht="15.75" customHeight="1">
      <c r="A978" s="91"/>
      <c r="B978" s="91"/>
      <c r="C978" s="220"/>
      <c r="D978" s="91"/>
      <c r="E978" s="221"/>
      <c r="F978" s="91"/>
      <c r="G978" s="91"/>
      <c r="H978" s="242"/>
      <c r="I978" s="223"/>
      <c r="J978" s="57"/>
      <c r="K978" s="153"/>
      <c r="L978" s="243"/>
      <c r="M978" s="234"/>
      <c r="N978" s="235"/>
      <c r="O978" s="236"/>
      <c r="P978" s="236"/>
      <c r="Q978" s="236"/>
      <c r="R978" s="236"/>
      <c r="S978" s="236"/>
      <c r="T978" s="236"/>
      <c r="U978" s="236"/>
      <c r="V978" s="236"/>
      <c r="W978" s="244"/>
      <c r="X978" s="244"/>
      <c r="Y978" s="237"/>
      <c r="Z978" s="244"/>
      <c r="AA978" s="244"/>
      <c r="AB978" s="244"/>
      <c r="AC978" s="244"/>
      <c r="AD978" s="234"/>
      <c r="AE978" s="234"/>
      <c r="AF978" s="238"/>
      <c r="AG978" s="239"/>
      <c r="AH978" s="238"/>
      <c r="AI978" s="238"/>
      <c r="AJ978" s="234"/>
      <c r="AK978" s="234"/>
      <c r="AL978" s="234"/>
      <c r="AM978" s="234"/>
      <c r="AN978" s="234"/>
      <c r="AO978" s="234"/>
    </row>
    <row r="979" ht="15.75" customHeight="1">
      <c r="A979" s="91"/>
      <c r="B979" s="91"/>
      <c r="C979" s="220"/>
      <c r="D979" s="91"/>
      <c r="E979" s="221"/>
      <c r="F979" s="91"/>
      <c r="G979" s="91"/>
      <c r="H979" s="242"/>
      <c r="I979" s="223"/>
      <c r="J979" s="57"/>
      <c r="K979" s="153"/>
      <c r="L979" s="243"/>
      <c r="M979" s="234"/>
      <c r="N979" s="235"/>
      <c r="O979" s="236"/>
      <c r="P979" s="236"/>
      <c r="Q979" s="236"/>
      <c r="R979" s="236"/>
      <c r="S979" s="236"/>
      <c r="T979" s="236"/>
      <c r="U979" s="236"/>
      <c r="V979" s="236"/>
      <c r="W979" s="244"/>
      <c r="X979" s="244"/>
      <c r="Y979" s="237"/>
      <c r="Z979" s="244"/>
      <c r="AA979" s="244"/>
      <c r="AB979" s="244"/>
      <c r="AC979" s="244"/>
      <c r="AD979" s="234"/>
      <c r="AE979" s="234"/>
      <c r="AF979" s="238"/>
      <c r="AG979" s="239"/>
      <c r="AH979" s="238"/>
      <c r="AI979" s="238"/>
      <c r="AJ979" s="234"/>
      <c r="AK979" s="234"/>
      <c r="AL979" s="234"/>
      <c r="AM979" s="234"/>
      <c r="AN979" s="234"/>
      <c r="AO979" s="234"/>
    </row>
    <row r="980" ht="15.75" customHeight="1">
      <c r="A980" s="91"/>
      <c r="B980" s="91"/>
      <c r="C980" s="220"/>
      <c r="D980" s="91"/>
      <c r="E980" s="221"/>
      <c r="F980" s="91"/>
      <c r="G980" s="91"/>
      <c r="H980" s="242"/>
      <c r="I980" s="223"/>
      <c r="J980" s="57"/>
      <c r="K980" s="153"/>
      <c r="L980" s="243"/>
      <c r="M980" s="234"/>
      <c r="N980" s="235"/>
      <c r="O980" s="236"/>
      <c r="P980" s="236"/>
      <c r="Q980" s="236"/>
      <c r="R980" s="236"/>
      <c r="S980" s="236"/>
      <c r="T980" s="236"/>
      <c r="U980" s="236"/>
      <c r="V980" s="236"/>
      <c r="W980" s="244"/>
      <c r="X980" s="244"/>
      <c r="Y980" s="237"/>
      <c r="Z980" s="244"/>
      <c r="AA980" s="244"/>
      <c r="AB980" s="244"/>
      <c r="AC980" s="244"/>
      <c r="AD980" s="234"/>
      <c r="AE980" s="234"/>
      <c r="AF980" s="238"/>
      <c r="AG980" s="239"/>
      <c r="AH980" s="238"/>
      <c r="AI980" s="238"/>
      <c r="AJ980" s="234"/>
      <c r="AK980" s="234"/>
      <c r="AL980" s="234"/>
      <c r="AM980" s="234"/>
      <c r="AN980" s="234"/>
      <c r="AO980" s="234"/>
    </row>
    <row r="981" ht="15.75" customHeight="1">
      <c r="A981" s="91"/>
      <c r="B981" s="91"/>
      <c r="C981" s="220"/>
      <c r="D981" s="91"/>
      <c r="E981" s="221"/>
      <c r="F981" s="91"/>
      <c r="G981" s="91"/>
      <c r="H981" s="242"/>
      <c r="I981" s="223"/>
      <c r="J981" s="57"/>
      <c r="K981" s="153"/>
      <c r="L981" s="243"/>
      <c r="M981" s="234"/>
      <c r="N981" s="235"/>
      <c r="O981" s="236"/>
      <c r="P981" s="236"/>
      <c r="Q981" s="236"/>
      <c r="R981" s="236"/>
      <c r="S981" s="236"/>
      <c r="T981" s="236"/>
      <c r="U981" s="236"/>
      <c r="V981" s="236"/>
      <c r="W981" s="244"/>
      <c r="X981" s="244"/>
      <c r="Y981" s="237"/>
      <c r="Z981" s="244"/>
      <c r="AA981" s="244"/>
      <c r="AB981" s="244"/>
      <c r="AC981" s="244"/>
      <c r="AD981" s="234"/>
      <c r="AE981" s="234"/>
      <c r="AF981" s="238"/>
      <c r="AG981" s="239"/>
      <c r="AH981" s="238"/>
      <c r="AI981" s="238"/>
      <c r="AJ981" s="234"/>
      <c r="AK981" s="234"/>
      <c r="AL981" s="234"/>
      <c r="AM981" s="234"/>
      <c r="AN981" s="234"/>
      <c r="AO981" s="234"/>
    </row>
    <row r="982" ht="15.75" customHeight="1">
      <c r="A982" s="91"/>
      <c r="B982" s="91"/>
      <c r="C982" s="220"/>
      <c r="D982" s="91"/>
      <c r="E982" s="221"/>
      <c r="F982" s="91"/>
      <c r="G982" s="91"/>
      <c r="H982" s="242"/>
      <c r="I982" s="223"/>
      <c r="J982" s="57"/>
      <c r="K982" s="153"/>
      <c r="L982" s="243"/>
      <c r="M982" s="234"/>
      <c r="N982" s="235"/>
      <c r="O982" s="236"/>
      <c r="P982" s="236"/>
      <c r="Q982" s="236"/>
      <c r="R982" s="236"/>
      <c r="S982" s="236"/>
      <c r="T982" s="236"/>
      <c r="U982" s="236"/>
      <c r="V982" s="236"/>
      <c r="W982" s="244"/>
      <c r="X982" s="244"/>
      <c r="Y982" s="237"/>
      <c r="Z982" s="244"/>
      <c r="AA982" s="244"/>
      <c r="AB982" s="244"/>
      <c r="AC982" s="244"/>
      <c r="AD982" s="234"/>
      <c r="AE982" s="234"/>
      <c r="AF982" s="238"/>
      <c r="AG982" s="239"/>
      <c r="AH982" s="238"/>
      <c r="AI982" s="238"/>
      <c r="AJ982" s="234"/>
      <c r="AK982" s="234"/>
      <c r="AL982" s="234"/>
      <c r="AM982" s="234"/>
      <c r="AN982" s="234"/>
      <c r="AO982" s="234"/>
    </row>
    <row r="983" ht="15.75" customHeight="1">
      <c r="A983" s="91"/>
      <c r="B983" s="91"/>
      <c r="C983" s="220"/>
      <c r="D983" s="91"/>
      <c r="E983" s="221"/>
      <c r="F983" s="91"/>
      <c r="G983" s="91"/>
      <c r="H983" s="242"/>
      <c r="I983" s="223"/>
      <c r="J983" s="57"/>
      <c r="K983" s="153"/>
      <c r="L983" s="243"/>
      <c r="M983" s="234"/>
      <c r="N983" s="235"/>
      <c r="O983" s="236"/>
      <c r="P983" s="236"/>
      <c r="Q983" s="236"/>
      <c r="R983" s="236"/>
      <c r="S983" s="236"/>
      <c r="T983" s="236"/>
      <c r="U983" s="236"/>
      <c r="V983" s="236"/>
      <c r="W983" s="244"/>
      <c r="X983" s="244"/>
      <c r="Y983" s="237"/>
      <c r="Z983" s="244"/>
      <c r="AA983" s="244"/>
      <c r="AB983" s="244"/>
      <c r="AC983" s="244"/>
      <c r="AD983" s="234"/>
      <c r="AE983" s="234"/>
      <c r="AF983" s="238"/>
      <c r="AG983" s="239"/>
      <c r="AH983" s="238"/>
      <c r="AI983" s="238"/>
      <c r="AJ983" s="234"/>
      <c r="AK983" s="234"/>
      <c r="AL983" s="234"/>
      <c r="AM983" s="234"/>
      <c r="AN983" s="234"/>
      <c r="AO983" s="234"/>
    </row>
    <row r="984" ht="15.75" customHeight="1">
      <c r="A984" s="91"/>
      <c r="B984" s="91"/>
      <c r="C984" s="220"/>
      <c r="D984" s="91"/>
      <c r="E984" s="221"/>
      <c r="F984" s="91"/>
      <c r="G984" s="91"/>
      <c r="H984" s="242"/>
      <c r="I984" s="223"/>
      <c r="J984" s="57"/>
      <c r="K984" s="153"/>
      <c r="L984" s="243"/>
      <c r="M984" s="234"/>
      <c r="N984" s="235"/>
      <c r="O984" s="236"/>
      <c r="P984" s="236"/>
      <c r="Q984" s="236"/>
      <c r="R984" s="236"/>
      <c r="S984" s="236"/>
      <c r="T984" s="236"/>
      <c r="U984" s="236"/>
      <c r="V984" s="236"/>
      <c r="W984" s="244"/>
      <c r="X984" s="244"/>
      <c r="Y984" s="237"/>
      <c r="Z984" s="244"/>
      <c r="AA984" s="244"/>
      <c r="AB984" s="244"/>
      <c r="AC984" s="244"/>
      <c r="AD984" s="234"/>
      <c r="AE984" s="234"/>
      <c r="AF984" s="238"/>
      <c r="AG984" s="239"/>
      <c r="AH984" s="238"/>
      <c r="AI984" s="238"/>
      <c r="AJ984" s="234"/>
      <c r="AK984" s="234"/>
      <c r="AL984" s="234"/>
      <c r="AM984" s="234"/>
      <c r="AN984" s="234"/>
      <c r="AO984" s="234"/>
    </row>
    <row r="985" ht="15.75" customHeight="1">
      <c r="A985" s="91"/>
      <c r="B985" s="91"/>
      <c r="C985" s="220"/>
      <c r="D985" s="91"/>
      <c r="E985" s="221"/>
      <c r="F985" s="91"/>
      <c r="G985" s="91"/>
      <c r="H985" s="242"/>
      <c r="I985" s="223"/>
      <c r="J985" s="57"/>
      <c r="K985" s="153"/>
      <c r="L985" s="243"/>
      <c r="M985" s="234"/>
      <c r="N985" s="235"/>
      <c r="O985" s="236"/>
      <c r="P985" s="236"/>
      <c r="Q985" s="236"/>
      <c r="R985" s="236"/>
      <c r="S985" s="236"/>
      <c r="T985" s="236"/>
      <c r="U985" s="236"/>
      <c r="V985" s="236"/>
      <c r="W985" s="244"/>
      <c r="X985" s="244"/>
      <c r="Y985" s="237"/>
      <c r="Z985" s="244"/>
      <c r="AA985" s="244"/>
      <c r="AB985" s="244"/>
      <c r="AC985" s="244"/>
      <c r="AD985" s="234"/>
      <c r="AE985" s="234"/>
      <c r="AF985" s="238"/>
      <c r="AG985" s="239"/>
      <c r="AH985" s="238"/>
      <c r="AI985" s="238"/>
      <c r="AJ985" s="234"/>
      <c r="AK985" s="234"/>
      <c r="AL985" s="234"/>
      <c r="AM985" s="234"/>
      <c r="AN985" s="234"/>
      <c r="AO985" s="234"/>
    </row>
    <row r="986" ht="15.75" customHeight="1">
      <c r="A986" s="91"/>
      <c r="B986" s="91"/>
      <c r="C986" s="220"/>
      <c r="D986" s="91"/>
      <c r="E986" s="221"/>
      <c r="F986" s="91"/>
      <c r="G986" s="91"/>
      <c r="H986" s="242"/>
      <c r="I986" s="223"/>
      <c r="J986" s="57"/>
      <c r="K986" s="153"/>
      <c r="L986" s="243"/>
      <c r="M986" s="234"/>
      <c r="N986" s="235"/>
      <c r="O986" s="236"/>
      <c r="P986" s="236"/>
      <c r="Q986" s="236"/>
      <c r="R986" s="236"/>
      <c r="S986" s="236"/>
      <c r="T986" s="236"/>
      <c r="U986" s="236"/>
      <c r="V986" s="236"/>
      <c r="W986" s="244"/>
      <c r="X986" s="244"/>
      <c r="Y986" s="237"/>
      <c r="Z986" s="244"/>
      <c r="AA986" s="244"/>
      <c r="AB986" s="244"/>
      <c r="AC986" s="244"/>
      <c r="AD986" s="234"/>
      <c r="AE986" s="234"/>
      <c r="AF986" s="238"/>
      <c r="AG986" s="239"/>
      <c r="AH986" s="238"/>
      <c r="AI986" s="238"/>
      <c r="AJ986" s="234"/>
      <c r="AK986" s="234"/>
      <c r="AL986" s="234"/>
      <c r="AM986" s="234"/>
      <c r="AN986" s="234"/>
      <c r="AO986" s="234"/>
    </row>
    <row r="987" ht="15.75" customHeight="1">
      <c r="A987" s="91"/>
      <c r="B987" s="91"/>
      <c r="C987" s="220"/>
      <c r="D987" s="91"/>
      <c r="E987" s="221"/>
      <c r="F987" s="91"/>
      <c r="G987" s="91"/>
      <c r="H987" s="242"/>
      <c r="I987" s="223"/>
      <c r="J987" s="57"/>
      <c r="K987" s="153"/>
      <c r="L987" s="243"/>
      <c r="M987" s="234"/>
      <c r="N987" s="235"/>
      <c r="O987" s="236"/>
      <c r="P987" s="236"/>
      <c r="Q987" s="236"/>
      <c r="R987" s="236"/>
      <c r="S987" s="236"/>
      <c r="T987" s="236"/>
      <c r="U987" s="236"/>
      <c r="V987" s="236"/>
      <c r="W987" s="244"/>
      <c r="X987" s="244"/>
      <c r="Y987" s="237"/>
      <c r="Z987" s="244"/>
      <c r="AA987" s="244"/>
      <c r="AB987" s="244"/>
      <c r="AC987" s="244"/>
      <c r="AD987" s="234"/>
      <c r="AE987" s="234"/>
      <c r="AF987" s="238"/>
      <c r="AG987" s="239"/>
      <c r="AH987" s="238"/>
      <c r="AI987" s="238"/>
      <c r="AJ987" s="234"/>
      <c r="AK987" s="234"/>
      <c r="AL987" s="234"/>
      <c r="AM987" s="234"/>
      <c r="AN987" s="234"/>
      <c r="AO987" s="234"/>
    </row>
    <row r="988" ht="15.75" customHeight="1">
      <c r="A988" s="91"/>
      <c r="B988" s="91"/>
      <c r="C988" s="220"/>
      <c r="D988" s="91"/>
      <c r="E988" s="221"/>
      <c r="F988" s="91"/>
      <c r="G988" s="91"/>
      <c r="H988" s="242"/>
      <c r="I988" s="223"/>
      <c r="J988" s="57"/>
      <c r="K988" s="153"/>
      <c r="L988" s="243"/>
      <c r="M988" s="234"/>
      <c r="N988" s="235"/>
      <c r="O988" s="236"/>
      <c r="P988" s="236"/>
      <c r="Q988" s="236"/>
      <c r="R988" s="236"/>
      <c r="S988" s="236"/>
      <c r="T988" s="236"/>
      <c r="U988" s="236"/>
      <c r="V988" s="236"/>
      <c r="W988" s="244"/>
      <c r="X988" s="244"/>
      <c r="Y988" s="237"/>
      <c r="Z988" s="244"/>
      <c r="AA988" s="244"/>
      <c r="AB988" s="244"/>
      <c r="AC988" s="244"/>
      <c r="AD988" s="234"/>
      <c r="AE988" s="234"/>
      <c r="AF988" s="238"/>
      <c r="AG988" s="239"/>
      <c r="AH988" s="238"/>
      <c r="AI988" s="238"/>
      <c r="AJ988" s="234"/>
      <c r="AK988" s="234"/>
      <c r="AL988" s="234"/>
      <c r="AM988" s="234"/>
      <c r="AN988" s="234"/>
      <c r="AO988" s="234"/>
    </row>
    <row r="989" ht="15.75" customHeight="1">
      <c r="A989" s="91"/>
      <c r="B989" s="91"/>
      <c r="C989" s="220"/>
      <c r="D989" s="91"/>
      <c r="E989" s="221"/>
      <c r="F989" s="91"/>
      <c r="G989" s="91"/>
      <c r="H989" s="242"/>
      <c r="I989" s="223"/>
      <c r="J989" s="57"/>
      <c r="K989" s="153"/>
      <c r="L989" s="243"/>
      <c r="M989" s="234"/>
      <c r="N989" s="235"/>
      <c r="O989" s="236"/>
      <c r="P989" s="236"/>
      <c r="Q989" s="236"/>
      <c r="R989" s="236"/>
      <c r="S989" s="236"/>
      <c r="T989" s="236"/>
      <c r="U989" s="236"/>
      <c r="V989" s="236"/>
      <c r="W989" s="244"/>
      <c r="X989" s="244"/>
      <c r="Y989" s="237"/>
      <c r="Z989" s="244"/>
      <c r="AA989" s="244"/>
      <c r="AB989" s="244"/>
      <c r="AC989" s="244"/>
      <c r="AD989" s="234"/>
      <c r="AE989" s="234"/>
      <c r="AF989" s="238"/>
      <c r="AG989" s="239"/>
      <c r="AH989" s="238"/>
      <c r="AI989" s="238"/>
      <c r="AJ989" s="234"/>
      <c r="AK989" s="234"/>
      <c r="AL989" s="234"/>
      <c r="AM989" s="234"/>
      <c r="AN989" s="234"/>
      <c r="AO989" s="234"/>
    </row>
    <row r="990" ht="15.75" customHeight="1">
      <c r="A990" s="91"/>
      <c r="B990" s="91"/>
      <c r="C990" s="220"/>
      <c r="D990" s="91"/>
      <c r="E990" s="221"/>
      <c r="F990" s="91"/>
      <c r="G990" s="91"/>
      <c r="H990" s="242"/>
      <c r="I990" s="223"/>
      <c r="J990" s="57"/>
      <c r="K990" s="153"/>
      <c r="L990" s="243"/>
      <c r="M990" s="234"/>
      <c r="N990" s="235"/>
      <c r="O990" s="236"/>
      <c r="P990" s="236"/>
      <c r="Q990" s="236"/>
      <c r="R990" s="236"/>
      <c r="S990" s="236"/>
      <c r="T990" s="236"/>
      <c r="U990" s="236"/>
      <c r="V990" s="236"/>
      <c r="W990" s="244"/>
      <c r="X990" s="244"/>
      <c r="Y990" s="237"/>
      <c r="Z990" s="244"/>
      <c r="AA990" s="244"/>
      <c r="AB990" s="244"/>
      <c r="AC990" s="244"/>
      <c r="AD990" s="234"/>
      <c r="AE990" s="234"/>
      <c r="AF990" s="238"/>
      <c r="AG990" s="239"/>
      <c r="AH990" s="238"/>
      <c r="AI990" s="238"/>
      <c r="AJ990" s="234"/>
      <c r="AK990" s="234"/>
      <c r="AL990" s="234"/>
      <c r="AM990" s="234"/>
      <c r="AN990" s="234"/>
      <c r="AO990" s="234"/>
    </row>
    <row r="991" ht="15.75" customHeight="1">
      <c r="A991" s="91"/>
      <c r="B991" s="91"/>
      <c r="C991" s="220"/>
      <c r="D991" s="91"/>
      <c r="E991" s="221"/>
      <c r="F991" s="91"/>
      <c r="G991" s="91"/>
      <c r="H991" s="242"/>
      <c r="I991" s="223"/>
      <c r="J991" s="57"/>
      <c r="K991" s="153"/>
      <c r="L991" s="243"/>
      <c r="M991" s="234"/>
      <c r="N991" s="235"/>
      <c r="O991" s="236"/>
      <c r="P991" s="236"/>
      <c r="Q991" s="236"/>
      <c r="R991" s="236"/>
      <c r="S991" s="236"/>
      <c r="T991" s="236"/>
      <c r="U991" s="236"/>
      <c r="V991" s="236"/>
      <c r="W991" s="244"/>
      <c r="X991" s="244"/>
      <c r="Y991" s="237"/>
      <c r="Z991" s="244"/>
      <c r="AA991" s="244"/>
      <c r="AB991" s="244"/>
      <c r="AC991" s="244"/>
      <c r="AD991" s="234"/>
      <c r="AE991" s="234"/>
      <c r="AF991" s="238"/>
      <c r="AG991" s="239"/>
      <c r="AH991" s="238"/>
      <c r="AI991" s="238"/>
      <c r="AJ991" s="234"/>
      <c r="AK991" s="234"/>
      <c r="AL991" s="234"/>
      <c r="AM991" s="234"/>
      <c r="AN991" s="234"/>
      <c r="AO991" s="234"/>
    </row>
    <row r="992" ht="15.75" customHeight="1">
      <c r="A992" s="91"/>
      <c r="B992" s="91"/>
      <c r="C992" s="220"/>
      <c r="D992" s="91"/>
      <c r="E992" s="221"/>
      <c r="F992" s="91"/>
      <c r="G992" s="91"/>
      <c r="H992" s="242"/>
      <c r="I992" s="223"/>
      <c r="J992" s="57"/>
      <c r="K992" s="153"/>
      <c r="L992" s="243"/>
      <c r="M992" s="234"/>
      <c r="N992" s="235"/>
      <c r="O992" s="236"/>
      <c r="P992" s="236"/>
      <c r="Q992" s="236"/>
      <c r="R992" s="236"/>
      <c r="S992" s="236"/>
      <c r="T992" s="236"/>
      <c r="U992" s="236"/>
      <c r="V992" s="236"/>
      <c r="W992" s="244"/>
      <c r="X992" s="244"/>
      <c r="Y992" s="237"/>
      <c r="Z992" s="244"/>
      <c r="AA992" s="244"/>
      <c r="AB992" s="244"/>
      <c r="AC992" s="244"/>
      <c r="AD992" s="234"/>
      <c r="AE992" s="234"/>
      <c r="AF992" s="238"/>
      <c r="AG992" s="239"/>
      <c r="AH992" s="238"/>
      <c r="AI992" s="238"/>
      <c r="AJ992" s="234"/>
      <c r="AK992" s="234"/>
      <c r="AL992" s="234"/>
      <c r="AM992" s="234"/>
      <c r="AN992" s="234"/>
      <c r="AO992" s="234"/>
    </row>
    <row r="993" ht="15.75" customHeight="1">
      <c r="A993" s="91"/>
      <c r="B993" s="91"/>
      <c r="C993" s="220"/>
      <c r="D993" s="91"/>
      <c r="E993" s="221"/>
      <c r="F993" s="91"/>
      <c r="G993" s="91"/>
      <c r="H993" s="242"/>
      <c r="I993" s="223"/>
      <c r="J993" s="57"/>
      <c r="K993" s="153"/>
      <c r="L993" s="243"/>
      <c r="M993" s="234"/>
      <c r="N993" s="235"/>
      <c r="O993" s="236"/>
      <c r="P993" s="236"/>
      <c r="Q993" s="236"/>
      <c r="R993" s="236"/>
      <c r="S993" s="236"/>
      <c r="T993" s="236"/>
      <c r="U993" s="236"/>
      <c r="V993" s="236"/>
      <c r="W993" s="244"/>
      <c r="X993" s="244"/>
      <c r="Y993" s="237"/>
      <c r="Z993" s="244"/>
      <c r="AA993" s="244"/>
      <c r="AB993" s="244"/>
      <c r="AC993" s="244"/>
      <c r="AD993" s="234"/>
      <c r="AE993" s="234"/>
      <c r="AF993" s="238"/>
      <c r="AG993" s="239"/>
      <c r="AH993" s="238"/>
      <c r="AI993" s="238"/>
      <c r="AJ993" s="234"/>
      <c r="AK993" s="234"/>
      <c r="AL993" s="234"/>
      <c r="AM993" s="234"/>
      <c r="AN993" s="234"/>
      <c r="AO993" s="234"/>
    </row>
    <row r="994" ht="15.75" customHeight="1">
      <c r="A994" s="91"/>
      <c r="B994" s="91"/>
      <c r="C994" s="220"/>
      <c r="D994" s="91"/>
      <c r="E994" s="221"/>
      <c r="F994" s="91"/>
      <c r="G994" s="91"/>
      <c r="H994" s="242"/>
      <c r="I994" s="223"/>
      <c r="J994" s="57"/>
      <c r="K994" s="153"/>
      <c r="L994" s="243"/>
      <c r="M994" s="234"/>
      <c r="N994" s="235"/>
      <c r="O994" s="236"/>
      <c r="P994" s="236"/>
      <c r="Q994" s="236"/>
      <c r="R994" s="236"/>
      <c r="S994" s="236"/>
      <c r="T994" s="236"/>
      <c r="U994" s="236"/>
      <c r="V994" s="236"/>
      <c r="W994" s="244"/>
      <c r="X994" s="244"/>
      <c r="Y994" s="237"/>
      <c r="Z994" s="244"/>
      <c r="AA994" s="244"/>
      <c r="AB994" s="244"/>
      <c r="AC994" s="244"/>
      <c r="AD994" s="234"/>
      <c r="AE994" s="234"/>
      <c r="AF994" s="238"/>
      <c r="AG994" s="239"/>
      <c r="AH994" s="238"/>
      <c r="AI994" s="238"/>
      <c r="AJ994" s="234"/>
      <c r="AK994" s="234"/>
      <c r="AL994" s="234"/>
      <c r="AM994" s="234"/>
      <c r="AN994" s="234"/>
      <c r="AO994" s="234"/>
    </row>
    <row r="995" ht="15.75" customHeight="1">
      <c r="A995" s="91"/>
      <c r="B995" s="91"/>
      <c r="C995" s="220"/>
      <c r="D995" s="91"/>
      <c r="E995" s="221"/>
      <c r="F995" s="91"/>
      <c r="G995" s="91"/>
      <c r="H995" s="242"/>
      <c r="I995" s="223"/>
      <c r="J995" s="57"/>
      <c r="K995" s="153"/>
      <c r="L995" s="243"/>
      <c r="M995" s="234"/>
      <c r="N995" s="235"/>
      <c r="O995" s="236"/>
      <c r="P995" s="236"/>
      <c r="Q995" s="236"/>
      <c r="R995" s="236"/>
      <c r="S995" s="236"/>
      <c r="T995" s="236"/>
      <c r="U995" s="236"/>
      <c r="V995" s="236"/>
      <c r="W995" s="244"/>
      <c r="X995" s="244"/>
      <c r="Y995" s="237"/>
      <c r="Z995" s="244"/>
      <c r="AA995" s="244"/>
      <c r="AB995" s="244"/>
      <c r="AC995" s="244"/>
      <c r="AD995" s="234"/>
      <c r="AE995" s="234"/>
      <c r="AF995" s="238"/>
      <c r="AG995" s="239"/>
      <c r="AH995" s="238"/>
      <c r="AI995" s="238"/>
      <c r="AJ995" s="234"/>
      <c r="AK995" s="234"/>
      <c r="AL995" s="234"/>
      <c r="AM995" s="234"/>
      <c r="AN995" s="234"/>
      <c r="AO995" s="234"/>
    </row>
    <row r="996" ht="15.75" customHeight="1">
      <c r="A996" s="91"/>
      <c r="B996" s="91"/>
      <c r="C996" s="220"/>
      <c r="D996" s="91"/>
      <c r="E996" s="221"/>
      <c r="F996" s="91"/>
      <c r="G996" s="91"/>
      <c r="H996" s="242"/>
      <c r="I996" s="223"/>
      <c r="J996" s="57"/>
      <c r="K996" s="153"/>
      <c r="L996" s="243"/>
      <c r="M996" s="234"/>
      <c r="N996" s="235"/>
      <c r="O996" s="236"/>
      <c r="P996" s="236"/>
      <c r="Q996" s="236"/>
      <c r="R996" s="236"/>
      <c r="S996" s="236"/>
      <c r="T996" s="236"/>
      <c r="U996" s="236"/>
      <c r="V996" s="236"/>
      <c r="W996" s="244"/>
      <c r="X996" s="244"/>
      <c r="Y996" s="237"/>
      <c r="Z996" s="244"/>
      <c r="AA996" s="244"/>
      <c r="AB996" s="244"/>
      <c r="AC996" s="244"/>
      <c r="AD996" s="234"/>
      <c r="AE996" s="234"/>
      <c r="AF996" s="238"/>
      <c r="AG996" s="239"/>
      <c r="AH996" s="238"/>
      <c r="AI996" s="238"/>
      <c r="AJ996" s="234"/>
      <c r="AK996" s="234"/>
      <c r="AL996" s="234"/>
      <c r="AM996" s="234"/>
      <c r="AN996" s="234"/>
      <c r="AO996" s="234"/>
    </row>
    <row r="997" ht="15.75" customHeight="1">
      <c r="A997" s="91"/>
      <c r="B997" s="91"/>
      <c r="C997" s="220"/>
      <c r="D997" s="91"/>
      <c r="E997" s="221"/>
      <c r="F997" s="91"/>
      <c r="G997" s="91"/>
      <c r="H997" s="242"/>
      <c r="I997" s="223"/>
      <c r="J997" s="57"/>
      <c r="K997" s="153"/>
      <c r="L997" s="243"/>
      <c r="M997" s="234"/>
      <c r="N997" s="235"/>
      <c r="O997" s="236"/>
      <c r="P997" s="236"/>
      <c r="Q997" s="236"/>
      <c r="R997" s="236"/>
      <c r="S997" s="236"/>
      <c r="T997" s="236"/>
      <c r="U997" s="236"/>
      <c r="V997" s="236"/>
      <c r="W997" s="244"/>
      <c r="X997" s="244"/>
      <c r="Y997" s="237"/>
      <c r="Z997" s="244"/>
      <c r="AA997" s="244"/>
      <c r="AB997" s="244"/>
      <c r="AC997" s="244"/>
      <c r="AD997" s="234"/>
      <c r="AE997" s="234"/>
      <c r="AF997" s="238"/>
      <c r="AG997" s="239"/>
      <c r="AH997" s="238"/>
      <c r="AI997" s="238"/>
      <c r="AJ997" s="234"/>
      <c r="AK997" s="234"/>
      <c r="AL997" s="234"/>
      <c r="AM997" s="234"/>
      <c r="AN997" s="234"/>
      <c r="AO997" s="234"/>
    </row>
    <row r="998" ht="15.75" customHeight="1">
      <c r="A998" s="91"/>
      <c r="B998" s="91"/>
      <c r="C998" s="220"/>
      <c r="D998" s="91"/>
      <c r="E998" s="221"/>
      <c r="F998" s="91"/>
      <c r="G998" s="91"/>
      <c r="H998" s="242"/>
      <c r="I998" s="223"/>
      <c r="J998" s="57"/>
      <c r="K998" s="153"/>
      <c r="L998" s="243"/>
      <c r="M998" s="234"/>
      <c r="N998" s="235"/>
      <c r="O998" s="236"/>
      <c r="P998" s="236"/>
      <c r="Q998" s="236"/>
      <c r="R998" s="236"/>
      <c r="S998" s="236"/>
      <c r="T998" s="236"/>
      <c r="U998" s="236"/>
      <c r="V998" s="236"/>
      <c r="W998" s="244"/>
      <c r="X998" s="244"/>
      <c r="Y998" s="237"/>
      <c r="Z998" s="244"/>
      <c r="AA998" s="244"/>
      <c r="AB998" s="244"/>
      <c r="AC998" s="244"/>
      <c r="AD998" s="234"/>
      <c r="AE998" s="234"/>
      <c r="AF998" s="238"/>
      <c r="AG998" s="239"/>
      <c r="AH998" s="238"/>
      <c r="AI998" s="238"/>
      <c r="AJ998" s="234"/>
      <c r="AK998" s="234"/>
      <c r="AL998" s="234"/>
      <c r="AM998" s="234"/>
      <c r="AN998" s="234"/>
      <c r="AO998" s="234"/>
    </row>
    <row r="999" ht="15.75" customHeight="1">
      <c r="A999" s="91"/>
      <c r="B999" s="91"/>
      <c r="C999" s="220"/>
      <c r="D999" s="91"/>
      <c r="E999" s="221"/>
      <c r="F999" s="91"/>
      <c r="G999" s="91"/>
      <c r="H999" s="242"/>
      <c r="I999" s="223"/>
      <c r="J999" s="57"/>
      <c r="K999" s="153"/>
      <c r="L999" s="243"/>
      <c r="M999" s="234"/>
      <c r="N999" s="235"/>
      <c r="O999" s="236"/>
      <c r="P999" s="236"/>
      <c r="Q999" s="236"/>
      <c r="R999" s="236"/>
      <c r="S999" s="236"/>
      <c r="T999" s="236"/>
      <c r="U999" s="236"/>
      <c r="V999" s="236"/>
      <c r="W999" s="244"/>
      <c r="X999" s="244"/>
      <c r="Y999" s="237"/>
      <c r="Z999" s="244"/>
      <c r="AA999" s="244"/>
      <c r="AB999" s="244"/>
      <c r="AC999" s="244"/>
      <c r="AD999" s="234"/>
      <c r="AE999" s="234"/>
      <c r="AF999" s="238"/>
      <c r="AG999" s="239"/>
      <c r="AH999" s="238"/>
      <c r="AI999" s="238"/>
      <c r="AJ999" s="234"/>
      <c r="AK999" s="234"/>
      <c r="AL999" s="234"/>
      <c r="AM999" s="234"/>
      <c r="AN999" s="234"/>
      <c r="AO999" s="234"/>
    </row>
    <row r="1000" ht="15.75" customHeight="1">
      <c r="A1000" s="91"/>
      <c r="B1000" s="91"/>
      <c r="C1000" s="220"/>
      <c r="D1000" s="91"/>
      <c r="E1000" s="221"/>
      <c r="F1000" s="91"/>
      <c r="G1000" s="91"/>
      <c r="H1000" s="242"/>
      <c r="I1000" s="223"/>
      <c r="J1000" s="57"/>
      <c r="K1000" s="153"/>
      <c r="L1000" s="243"/>
      <c r="M1000" s="234"/>
      <c r="N1000" s="235"/>
      <c r="O1000" s="236"/>
      <c r="P1000" s="236"/>
      <c r="Q1000" s="236"/>
      <c r="R1000" s="236"/>
      <c r="S1000" s="236"/>
      <c r="T1000" s="236"/>
      <c r="U1000" s="236"/>
      <c r="V1000" s="236"/>
      <c r="W1000" s="244"/>
      <c r="X1000" s="244"/>
      <c r="Y1000" s="237"/>
      <c r="Z1000" s="244"/>
      <c r="AA1000" s="244"/>
      <c r="AB1000" s="244"/>
      <c r="AC1000" s="244"/>
      <c r="AD1000" s="234"/>
      <c r="AE1000" s="234"/>
      <c r="AF1000" s="238"/>
      <c r="AG1000" s="239"/>
      <c r="AH1000" s="238"/>
      <c r="AI1000" s="238"/>
      <c r="AJ1000" s="234"/>
      <c r="AK1000" s="234"/>
      <c r="AL1000" s="234"/>
      <c r="AM1000" s="234"/>
      <c r="AN1000" s="234"/>
      <c r="AO1000" s="234"/>
    </row>
    <row r="1001" ht="15.75" customHeight="1">
      <c r="A1001" s="91"/>
      <c r="B1001" s="91"/>
      <c r="C1001" s="220"/>
      <c r="D1001" s="91"/>
      <c r="E1001" s="221"/>
      <c r="F1001" s="91"/>
      <c r="G1001" s="91"/>
      <c r="H1001" s="242"/>
      <c r="I1001" s="223"/>
      <c r="J1001" s="57"/>
      <c r="K1001" s="153"/>
      <c r="L1001" s="243"/>
      <c r="M1001" s="234"/>
      <c r="N1001" s="235"/>
      <c r="O1001" s="236"/>
      <c r="P1001" s="236"/>
      <c r="Q1001" s="236"/>
      <c r="R1001" s="236"/>
      <c r="S1001" s="236"/>
      <c r="T1001" s="236"/>
      <c r="U1001" s="236"/>
      <c r="V1001" s="236"/>
      <c r="W1001" s="244"/>
      <c r="X1001" s="244"/>
      <c r="Y1001" s="237"/>
      <c r="Z1001" s="244"/>
      <c r="AA1001" s="244"/>
      <c r="AB1001" s="244"/>
      <c r="AC1001" s="244"/>
      <c r="AD1001" s="234"/>
      <c r="AE1001" s="234"/>
      <c r="AF1001" s="238"/>
      <c r="AG1001" s="239"/>
      <c r="AH1001" s="238"/>
      <c r="AI1001" s="238"/>
      <c r="AJ1001" s="234"/>
      <c r="AK1001" s="234"/>
      <c r="AL1001" s="234"/>
      <c r="AM1001" s="234"/>
      <c r="AN1001" s="234"/>
      <c r="AO1001" s="234"/>
    </row>
    <row r="1002" ht="15.75" customHeight="1">
      <c r="A1002" s="91"/>
      <c r="B1002" s="91"/>
      <c r="C1002" s="220"/>
      <c r="D1002" s="91"/>
      <c r="E1002" s="221"/>
      <c r="F1002" s="91"/>
      <c r="G1002" s="91"/>
      <c r="H1002" s="242"/>
      <c r="I1002" s="223"/>
      <c r="J1002" s="57"/>
      <c r="K1002" s="153"/>
      <c r="L1002" s="243"/>
      <c r="M1002" s="234"/>
      <c r="N1002" s="235"/>
      <c r="O1002" s="236"/>
      <c r="P1002" s="236"/>
      <c r="Q1002" s="236"/>
      <c r="R1002" s="236"/>
      <c r="S1002" s="236"/>
      <c r="T1002" s="236"/>
      <c r="U1002" s="236"/>
      <c r="V1002" s="236"/>
      <c r="W1002" s="244"/>
      <c r="X1002" s="244"/>
      <c r="Y1002" s="237"/>
      <c r="Z1002" s="244"/>
      <c r="AA1002" s="244"/>
      <c r="AB1002" s="244"/>
      <c r="AC1002" s="244"/>
      <c r="AD1002" s="234"/>
      <c r="AE1002" s="234"/>
      <c r="AF1002" s="238"/>
      <c r="AG1002" s="239"/>
      <c r="AH1002" s="238"/>
      <c r="AI1002" s="238"/>
      <c r="AJ1002" s="234"/>
      <c r="AK1002" s="234"/>
      <c r="AL1002" s="234"/>
      <c r="AM1002" s="234"/>
      <c r="AN1002" s="234"/>
      <c r="AO1002" s="234"/>
    </row>
    <row r="1003" ht="15.75" customHeight="1">
      <c r="A1003" s="91"/>
      <c r="B1003" s="91"/>
      <c r="C1003" s="220"/>
      <c r="D1003" s="91"/>
      <c r="E1003" s="221"/>
      <c r="F1003" s="91"/>
      <c r="G1003" s="91"/>
      <c r="H1003" s="242"/>
      <c r="I1003" s="223"/>
      <c r="J1003" s="57"/>
      <c r="K1003" s="153"/>
      <c r="L1003" s="243"/>
      <c r="M1003" s="234"/>
      <c r="N1003" s="235"/>
      <c r="O1003" s="236"/>
      <c r="P1003" s="236"/>
      <c r="Q1003" s="236"/>
      <c r="R1003" s="236"/>
      <c r="S1003" s="236"/>
      <c r="T1003" s="236"/>
      <c r="U1003" s="236"/>
      <c r="V1003" s="236"/>
      <c r="W1003" s="244"/>
      <c r="X1003" s="244"/>
      <c r="Y1003" s="237"/>
      <c r="Z1003" s="244"/>
      <c r="AA1003" s="244"/>
      <c r="AB1003" s="244"/>
      <c r="AC1003" s="244"/>
      <c r="AD1003" s="234"/>
      <c r="AE1003" s="234"/>
      <c r="AF1003" s="238"/>
      <c r="AG1003" s="239"/>
      <c r="AH1003" s="238"/>
      <c r="AI1003" s="238"/>
      <c r="AJ1003" s="234"/>
      <c r="AK1003" s="234"/>
      <c r="AL1003" s="234"/>
      <c r="AM1003" s="234"/>
      <c r="AN1003" s="234"/>
      <c r="AO1003" s="234"/>
    </row>
    <row r="1004" ht="15.75" customHeight="1">
      <c r="A1004" s="91"/>
      <c r="B1004" s="91"/>
      <c r="C1004" s="220"/>
      <c r="D1004" s="91"/>
      <c r="E1004" s="221"/>
      <c r="F1004" s="91"/>
      <c r="G1004" s="91"/>
      <c r="H1004" s="242"/>
      <c r="I1004" s="223"/>
      <c r="J1004" s="57"/>
      <c r="K1004" s="153"/>
      <c r="L1004" s="243"/>
      <c r="M1004" s="234"/>
      <c r="N1004" s="235"/>
      <c r="O1004" s="236"/>
      <c r="P1004" s="236"/>
      <c r="Q1004" s="236"/>
      <c r="R1004" s="236"/>
      <c r="S1004" s="236"/>
      <c r="T1004" s="236"/>
      <c r="U1004" s="236"/>
      <c r="V1004" s="236"/>
      <c r="W1004" s="244"/>
      <c r="X1004" s="244"/>
      <c r="Y1004" s="237"/>
      <c r="Z1004" s="244"/>
      <c r="AA1004" s="244"/>
      <c r="AB1004" s="244"/>
      <c r="AC1004" s="244"/>
      <c r="AD1004" s="234"/>
      <c r="AE1004" s="234"/>
      <c r="AF1004" s="238"/>
      <c r="AG1004" s="239"/>
      <c r="AH1004" s="238"/>
      <c r="AI1004" s="238"/>
      <c r="AJ1004" s="234"/>
      <c r="AK1004" s="234"/>
      <c r="AL1004" s="234"/>
      <c r="AM1004" s="234"/>
      <c r="AN1004" s="234"/>
      <c r="AO1004" s="234"/>
    </row>
    <row r="1005" ht="15.75" customHeight="1">
      <c r="A1005" s="91"/>
      <c r="B1005" s="91"/>
      <c r="C1005" s="220"/>
      <c r="D1005" s="91"/>
      <c r="E1005" s="221"/>
      <c r="F1005" s="91"/>
      <c r="G1005" s="91"/>
      <c r="H1005" s="242"/>
      <c r="I1005" s="223"/>
      <c r="J1005" s="57"/>
      <c r="K1005" s="153"/>
      <c r="L1005" s="243"/>
      <c r="M1005" s="234"/>
      <c r="N1005" s="235"/>
      <c r="O1005" s="236"/>
      <c r="P1005" s="236"/>
      <c r="Q1005" s="236"/>
      <c r="R1005" s="236"/>
      <c r="S1005" s="236"/>
      <c r="T1005" s="236"/>
      <c r="U1005" s="236"/>
      <c r="V1005" s="236"/>
      <c r="W1005" s="244"/>
      <c r="X1005" s="244"/>
      <c r="Y1005" s="237"/>
      <c r="Z1005" s="244"/>
      <c r="AA1005" s="244"/>
      <c r="AB1005" s="244"/>
      <c r="AC1005" s="244"/>
      <c r="AD1005" s="234"/>
      <c r="AE1005" s="234"/>
      <c r="AF1005" s="238"/>
      <c r="AG1005" s="239"/>
      <c r="AH1005" s="238"/>
      <c r="AI1005" s="238"/>
      <c r="AJ1005" s="234"/>
      <c r="AK1005" s="234"/>
      <c r="AL1005" s="234"/>
      <c r="AM1005" s="234"/>
      <c r="AN1005" s="234"/>
      <c r="AO1005" s="234"/>
    </row>
    <row r="1006" ht="15.75" customHeight="1">
      <c r="A1006" s="91"/>
      <c r="B1006" s="91"/>
      <c r="C1006" s="220"/>
      <c r="D1006" s="91"/>
      <c r="E1006" s="221"/>
      <c r="F1006" s="91"/>
      <c r="G1006" s="91"/>
      <c r="H1006" s="242"/>
      <c r="I1006" s="223"/>
      <c r="J1006" s="57"/>
      <c r="K1006" s="153"/>
      <c r="L1006" s="243"/>
      <c r="M1006" s="234"/>
      <c r="N1006" s="235"/>
      <c r="O1006" s="236"/>
      <c r="P1006" s="236"/>
      <c r="Q1006" s="236"/>
      <c r="R1006" s="236"/>
      <c r="S1006" s="236"/>
      <c r="T1006" s="236"/>
      <c r="U1006" s="236"/>
      <c r="V1006" s="236"/>
      <c r="W1006" s="244"/>
      <c r="X1006" s="244"/>
      <c r="Y1006" s="237"/>
      <c r="Z1006" s="244"/>
      <c r="AA1006" s="244"/>
      <c r="AB1006" s="244"/>
      <c r="AC1006" s="244"/>
      <c r="AD1006" s="234"/>
      <c r="AE1006" s="234"/>
      <c r="AF1006" s="238"/>
      <c r="AG1006" s="239"/>
      <c r="AH1006" s="238"/>
      <c r="AI1006" s="238"/>
      <c r="AJ1006" s="234"/>
      <c r="AK1006" s="234"/>
      <c r="AL1006" s="234"/>
      <c r="AM1006" s="234"/>
      <c r="AN1006" s="234"/>
      <c r="AO1006" s="234"/>
    </row>
    <row r="1007" ht="15.75" customHeight="1">
      <c r="A1007" s="91"/>
      <c r="B1007" s="91"/>
      <c r="C1007" s="220"/>
      <c r="D1007" s="91"/>
      <c r="E1007" s="221"/>
      <c r="F1007" s="91"/>
      <c r="G1007" s="91"/>
      <c r="H1007" s="242"/>
      <c r="I1007" s="223"/>
      <c r="J1007" s="57"/>
      <c r="K1007" s="153"/>
      <c r="L1007" s="243"/>
      <c r="M1007" s="234"/>
      <c r="N1007" s="235"/>
      <c r="O1007" s="236"/>
      <c r="P1007" s="236"/>
      <c r="Q1007" s="236"/>
      <c r="R1007" s="236"/>
      <c r="S1007" s="236"/>
      <c r="T1007" s="236"/>
      <c r="U1007" s="236"/>
      <c r="V1007" s="236"/>
      <c r="W1007" s="244"/>
      <c r="X1007" s="244"/>
      <c r="Y1007" s="237"/>
      <c r="Z1007" s="244"/>
      <c r="AA1007" s="244"/>
      <c r="AB1007" s="244"/>
      <c r="AC1007" s="244"/>
      <c r="AD1007" s="234"/>
      <c r="AE1007" s="234"/>
      <c r="AF1007" s="238"/>
      <c r="AG1007" s="239"/>
      <c r="AH1007" s="238"/>
      <c r="AI1007" s="238"/>
      <c r="AJ1007" s="234"/>
      <c r="AK1007" s="234"/>
      <c r="AL1007" s="234"/>
      <c r="AM1007" s="234"/>
      <c r="AN1007" s="234"/>
      <c r="AO1007" s="234"/>
    </row>
    <row r="1008" ht="15.75" customHeight="1">
      <c r="A1008" s="91"/>
      <c r="B1008" s="91"/>
      <c r="C1008" s="220"/>
      <c r="D1008" s="91"/>
      <c r="E1008" s="221"/>
      <c r="F1008" s="91"/>
      <c r="G1008" s="91"/>
      <c r="H1008" s="242"/>
      <c r="I1008" s="223"/>
      <c r="J1008" s="57"/>
      <c r="K1008" s="153"/>
      <c r="L1008" s="243"/>
      <c r="M1008" s="234"/>
      <c r="N1008" s="235"/>
      <c r="O1008" s="236"/>
      <c r="P1008" s="236"/>
      <c r="Q1008" s="236"/>
      <c r="R1008" s="236"/>
      <c r="S1008" s="236"/>
      <c r="T1008" s="236"/>
      <c r="U1008" s="236"/>
      <c r="V1008" s="236"/>
      <c r="W1008" s="244"/>
      <c r="X1008" s="244"/>
      <c r="Y1008" s="237"/>
      <c r="Z1008" s="244"/>
      <c r="AA1008" s="244"/>
      <c r="AB1008" s="244"/>
      <c r="AC1008" s="244"/>
      <c r="AD1008" s="234"/>
      <c r="AE1008" s="234"/>
      <c r="AF1008" s="238"/>
      <c r="AG1008" s="239"/>
      <c r="AH1008" s="238"/>
      <c r="AI1008" s="238"/>
      <c r="AJ1008" s="234"/>
      <c r="AK1008" s="234"/>
      <c r="AL1008" s="234"/>
      <c r="AM1008" s="234"/>
      <c r="AN1008" s="234"/>
      <c r="AO1008" s="234"/>
    </row>
    <row r="1009" ht="15.75" customHeight="1">
      <c r="A1009" s="91"/>
      <c r="B1009" s="91"/>
      <c r="C1009" s="220"/>
      <c r="D1009" s="91"/>
      <c r="E1009" s="221"/>
      <c r="F1009" s="91"/>
      <c r="G1009" s="91"/>
      <c r="H1009" s="242"/>
      <c r="I1009" s="223"/>
      <c r="J1009" s="57"/>
      <c r="K1009" s="153"/>
      <c r="L1009" s="243"/>
      <c r="M1009" s="234"/>
      <c r="N1009" s="235"/>
      <c r="O1009" s="236"/>
      <c r="P1009" s="236"/>
      <c r="Q1009" s="236"/>
      <c r="R1009" s="236"/>
      <c r="S1009" s="236"/>
      <c r="T1009" s="236"/>
      <c r="U1009" s="236"/>
      <c r="V1009" s="236"/>
      <c r="W1009" s="244"/>
      <c r="X1009" s="244"/>
      <c r="Y1009" s="237"/>
      <c r="Z1009" s="244"/>
      <c r="AA1009" s="244"/>
      <c r="AB1009" s="244"/>
      <c r="AC1009" s="244"/>
      <c r="AD1009" s="234"/>
      <c r="AE1009" s="234"/>
      <c r="AF1009" s="238"/>
      <c r="AG1009" s="239"/>
      <c r="AH1009" s="238"/>
      <c r="AI1009" s="238"/>
      <c r="AJ1009" s="234"/>
      <c r="AK1009" s="234"/>
      <c r="AL1009" s="234"/>
      <c r="AM1009" s="234"/>
      <c r="AN1009" s="234"/>
      <c r="AO1009" s="234"/>
    </row>
    <row r="1010" ht="15.75" customHeight="1">
      <c r="A1010" s="91"/>
      <c r="B1010" s="91"/>
      <c r="C1010" s="220"/>
      <c r="D1010" s="91"/>
      <c r="E1010" s="221"/>
      <c r="F1010" s="91"/>
      <c r="G1010" s="91"/>
      <c r="H1010" s="242"/>
      <c r="I1010" s="223"/>
      <c r="J1010" s="57"/>
      <c r="K1010" s="153"/>
      <c r="L1010" s="243"/>
      <c r="M1010" s="234"/>
      <c r="N1010" s="235"/>
      <c r="O1010" s="236"/>
      <c r="P1010" s="236"/>
      <c r="Q1010" s="236"/>
      <c r="R1010" s="236"/>
      <c r="S1010" s="236"/>
      <c r="T1010" s="236"/>
      <c r="U1010" s="236"/>
      <c r="V1010" s="236"/>
      <c r="W1010" s="244"/>
      <c r="X1010" s="244"/>
      <c r="Y1010" s="237"/>
      <c r="Z1010" s="244"/>
      <c r="AA1010" s="244"/>
      <c r="AB1010" s="244"/>
      <c r="AC1010" s="244"/>
      <c r="AD1010" s="234"/>
      <c r="AE1010" s="234"/>
      <c r="AF1010" s="238"/>
      <c r="AG1010" s="239"/>
      <c r="AH1010" s="238"/>
      <c r="AI1010" s="238"/>
      <c r="AJ1010" s="234"/>
      <c r="AK1010" s="234"/>
      <c r="AL1010" s="234"/>
      <c r="AM1010" s="234"/>
      <c r="AN1010" s="234"/>
      <c r="AO1010" s="234"/>
    </row>
    <row r="1011" ht="15.75" customHeight="1">
      <c r="A1011" s="91"/>
      <c r="B1011" s="91"/>
      <c r="C1011" s="220"/>
      <c r="D1011" s="91"/>
      <c r="E1011" s="221"/>
      <c r="F1011" s="91"/>
      <c r="G1011" s="91"/>
      <c r="H1011" s="242"/>
      <c r="I1011" s="223"/>
      <c r="J1011" s="57"/>
      <c r="K1011" s="153"/>
      <c r="L1011" s="243"/>
      <c r="M1011" s="234"/>
      <c r="N1011" s="235"/>
      <c r="O1011" s="236"/>
      <c r="P1011" s="236"/>
      <c r="Q1011" s="236"/>
      <c r="R1011" s="236"/>
      <c r="S1011" s="236"/>
      <c r="T1011" s="236"/>
      <c r="U1011" s="236"/>
      <c r="V1011" s="236"/>
      <c r="W1011" s="244"/>
      <c r="X1011" s="244"/>
      <c r="Y1011" s="237"/>
      <c r="Z1011" s="244"/>
      <c r="AA1011" s="244"/>
      <c r="AB1011" s="244"/>
      <c r="AC1011" s="244"/>
      <c r="AD1011" s="234"/>
      <c r="AE1011" s="234"/>
      <c r="AF1011" s="238"/>
      <c r="AG1011" s="239"/>
      <c r="AH1011" s="238"/>
      <c r="AI1011" s="238"/>
      <c r="AJ1011" s="234"/>
      <c r="AK1011" s="234"/>
      <c r="AL1011" s="234"/>
      <c r="AM1011" s="234"/>
      <c r="AN1011" s="234"/>
      <c r="AO1011" s="234"/>
    </row>
    <row r="1012" ht="15.75" customHeight="1">
      <c r="A1012" s="91"/>
      <c r="B1012" s="91"/>
      <c r="C1012" s="220"/>
      <c r="D1012" s="91"/>
      <c r="E1012" s="221"/>
      <c r="F1012" s="91"/>
      <c r="G1012" s="91"/>
      <c r="H1012" s="242"/>
      <c r="I1012" s="223"/>
      <c r="J1012" s="57"/>
      <c r="K1012" s="153"/>
      <c r="L1012" s="243"/>
      <c r="M1012" s="234"/>
      <c r="N1012" s="235"/>
      <c r="O1012" s="236"/>
      <c r="P1012" s="236"/>
      <c r="Q1012" s="236"/>
      <c r="R1012" s="236"/>
      <c r="S1012" s="236"/>
      <c r="T1012" s="236"/>
      <c r="U1012" s="236"/>
      <c r="V1012" s="236"/>
      <c r="W1012" s="244"/>
      <c r="X1012" s="244"/>
      <c r="Y1012" s="237"/>
      <c r="Z1012" s="244"/>
      <c r="AA1012" s="244"/>
      <c r="AB1012" s="244"/>
      <c r="AC1012" s="244"/>
      <c r="AD1012" s="234"/>
      <c r="AE1012" s="234"/>
      <c r="AF1012" s="238"/>
      <c r="AG1012" s="239"/>
      <c r="AH1012" s="238"/>
      <c r="AI1012" s="238"/>
      <c r="AJ1012" s="234"/>
      <c r="AK1012" s="234"/>
      <c r="AL1012" s="234"/>
      <c r="AM1012" s="234"/>
      <c r="AN1012" s="234"/>
      <c r="AO1012" s="234"/>
    </row>
    <row r="1013" ht="15.75" customHeight="1">
      <c r="A1013" s="91"/>
      <c r="B1013" s="91"/>
      <c r="C1013" s="220"/>
      <c r="D1013" s="91"/>
      <c r="E1013" s="221"/>
      <c r="F1013" s="91"/>
      <c r="G1013" s="91"/>
      <c r="H1013" s="242"/>
      <c r="I1013" s="223"/>
      <c r="J1013" s="57"/>
      <c r="K1013" s="153"/>
      <c r="L1013" s="243"/>
      <c r="M1013" s="234"/>
      <c r="N1013" s="235"/>
      <c r="O1013" s="236"/>
      <c r="P1013" s="236"/>
      <c r="Q1013" s="236"/>
      <c r="R1013" s="236"/>
      <c r="S1013" s="236"/>
      <c r="T1013" s="236"/>
      <c r="U1013" s="236"/>
      <c r="V1013" s="236"/>
      <c r="W1013" s="244"/>
      <c r="X1013" s="244"/>
      <c r="Y1013" s="237"/>
      <c r="Z1013" s="244"/>
      <c r="AA1013" s="244"/>
      <c r="AB1013" s="244"/>
      <c r="AC1013" s="244"/>
      <c r="AD1013" s="234"/>
      <c r="AE1013" s="234"/>
      <c r="AF1013" s="238"/>
      <c r="AG1013" s="239"/>
      <c r="AH1013" s="238"/>
      <c r="AI1013" s="238"/>
      <c r="AJ1013" s="234"/>
      <c r="AK1013" s="234"/>
      <c r="AL1013" s="234"/>
      <c r="AM1013" s="234"/>
      <c r="AN1013" s="234"/>
      <c r="AO1013" s="234"/>
    </row>
    <row r="1014" ht="15.75" customHeight="1">
      <c r="A1014" s="91"/>
      <c r="B1014" s="91"/>
      <c r="C1014" s="220"/>
      <c r="D1014" s="91"/>
      <c r="E1014" s="221"/>
      <c r="F1014" s="91"/>
      <c r="G1014" s="91"/>
      <c r="H1014" s="242"/>
      <c r="I1014" s="223"/>
      <c r="J1014" s="57"/>
      <c r="K1014" s="153"/>
      <c r="L1014" s="243"/>
      <c r="M1014" s="234"/>
      <c r="N1014" s="235"/>
      <c r="O1014" s="236"/>
      <c r="P1014" s="236"/>
      <c r="Q1014" s="236"/>
      <c r="R1014" s="236"/>
      <c r="S1014" s="236"/>
      <c r="T1014" s="236"/>
      <c r="U1014" s="236"/>
      <c r="V1014" s="236"/>
      <c r="W1014" s="244"/>
      <c r="X1014" s="244"/>
      <c r="Y1014" s="237"/>
      <c r="Z1014" s="244"/>
      <c r="AA1014" s="244"/>
      <c r="AB1014" s="244"/>
      <c r="AC1014" s="244"/>
      <c r="AD1014" s="234"/>
      <c r="AE1014" s="234"/>
      <c r="AF1014" s="238"/>
      <c r="AG1014" s="239"/>
      <c r="AH1014" s="238"/>
      <c r="AI1014" s="238"/>
      <c r="AJ1014" s="234"/>
      <c r="AK1014" s="234"/>
      <c r="AL1014" s="234"/>
      <c r="AM1014" s="234"/>
      <c r="AN1014" s="234"/>
      <c r="AO1014" s="234"/>
    </row>
    <row r="1015" ht="15.75" customHeight="1">
      <c r="A1015" s="91"/>
      <c r="B1015" s="91"/>
      <c r="C1015" s="220"/>
      <c r="D1015" s="91"/>
      <c r="E1015" s="221"/>
      <c r="F1015" s="91"/>
      <c r="G1015" s="91"/>
      <c r="H1015" s="242"/>
      <c r="I1015" s="223"/>
      <c r="J1015" s="57"/>
      <c r="K1015" s="153"/>
      <c r="L1015" s="243"/>
      <c r="M1015" s="234"/>
      <c r="N1015" s="235"/>
      <c r="O1015" s="236"/>
      <c r="P1015" s="236"/>
      <c r="Q1015" s="236"/>
      <c r="R1015" s="236"/>
      <c r="S1015" s="236"/>
      <c r="T1015" s="236"/>
      <c r="U1015" s="236"/>
      <c r="V1015" s="236"/>
      <c r="W1015" s="244"/>
      <c r="X1015" s="244"/>
      <c r="Y1015" s="237"/>
      <c r="Z1015" s="244"/>
      <c r="AA1015" s="244"/>
      <c r="AB1015" s="244"/>
      <c r="AC1015" s="244"/>
      <c r="AD1015" s="234"/>
      <c r="AE1015" s="234"/>
      <c r="AF1015" s="238"/>
      <c r="AG1015" s="239"/>
      <c r="AH1015" s="238"/>
      <c r="AI1015" s="238"/>
      <c r="AJ1015" s="234"/>
      <c r="AK1015" s="234"/>
      <c r="AL1015" s="234"/>
      <c r="AM1015" s="234"/>
      <c r="AN1015" s="234"/>
      <c r="AO1015" s="234"/>
    </row>
    <row r="1016" ht="15.75" customHeight="1">
      <c r="A1016" s="91"/>
      <c r="B1016" s="91"/>
      <c r="C1016" s="220"/>
      <c r="D1016" s="91"/>
      <c r="E1016" s="221"/>
      <c r="F1016" s="91"/>
      <c r="G1016" s="91"/>
      <c r="H1016" s="242"/>
      <c r="I1016" s="223"/>
      <c r="J1016" s="57"/>
      <c r="K1016" s="153"/>
      <c r="L1016" s="243"/>
      <c r="M1016" s="234"/>
      <c r="N1016" s="235"/>
      <c r="O1016" s="236"/>
      <c r="P1016" s="236"/>
      <c r="Q1016" s="236"/>
      <c r="R1016" s="236"/>
      <c r="S1016" s="236"/>
      <c r="T1016" s="236"/>
      <c r="U1016" s="236"/>
      <c r="V1016" s="236"/>
      <c r="W1016" s="244"/>
      <c r="X1016" s="244"/>
      <c r="Y1016" s="237"/>
      <c r="Z1016" s="244"/>
      <c r="AA1016" s="244"/>
      <c r="AB1016" s="244"/>
      <c r="AC1016" s="244"/>
      <c r="AD1016" s="234"/>
      <c r="AE1016" s="234"/>
      <c r="AF1016" s="238"/>
      <c r="AG1016" s="239"/>
      <c r="AH1016" s="238"/>
      <c r="AI1016" s="238"/>
      <c r="AJ1016" s="234"/>
      <c r="AK1016" s="234"/>
      <c r="AL1016" s="234"/>
      <c r="AM1016" s="234"/>
      <c r="AN1016" s="234"/>
      <c r="AO1016" s="234"/>
    </row>
    <row r="1017" ht="15.75" customHeight="1">
      <c r="A1017" s="91"/>
      <c r="B1017" s="91"/>
      <c r="C1017" s="220"/>
      <c r="D1017" s="91"/>
      <c r="E1017" s="221"/>
      <c r="F1017" s="91"/>
      <c r="G1017" s="91"/>
      <c r="H1017" s="242"/>
      <c r="I1017" s="223"/>
      <c r="J1017" s="57"/>
      <c r="K1017" s="153"/>
      <c r="L1017" s="243"/>
      <c r="M1017" s="234"/>
      <c r="N1017" s="235"/>
      <c r="O1017" s="236"/>
      <c r="P1017" s="236"/>
      <c r="Q1017" s="236"/>
      <c r="R1017" s="236"/>
      <c r="S1017" s="236"/>
      <c r="T1017" s="236"/>
      <c r="U1017" s="236"/>
      <c r="V1017" s="236"/>
      <c r="W1017" s="244"/>
      <c r="X1017" s="244"/>
      <c r="Y1017" s="237"/>
      <c r="Z1017" s="244"/>
      <c r="AA1017" s="244"/>
      <c r="AB1017" s="244"/>
      <c r="AC1017" s="244"/>
      <c r="AD1017" s="234"/>
      <c r="AE1017" s="234"/>
      <c r="AF1017" s="238"/>
      <c r="AG1017" s="239"/>
      <c r="AH1017" s="238"/>
      <c r="AI1017" s="238"/>
      <c r="AJ1017" s="234"/>
      <c r="AK1017" s="234"/>
      <c r="AL1017" s="234"/>
      <c r="AM1017" s="234"/>
      <c r="AN1017" s="234"/>
      <c r="AO1017" s="234"/>
    </row>
    <row r="1018" ht="15.75" customHeight="1">
      <c r="A1018" s="91"/>
      <c r="B1018" s="91"/>
      <c r="C1018" s="220"/>
      <c r="D1018" s="91"/>
      <c r="E1018" s="221"/>
      <c r="F1018" s="91"/>
      <c r="G1018" s="91"/>
      <c r="H1018" s="242"/>
      <c r="I1018" s="223"/>
      <c r="J1018" s="57"/>
      <c r="K1018" s="153"/>
      <c r="L1018" s="243"/>
      <c r="M1018" s="234"/>
      <c r="N1018" s="235"/>
      <c r="O1018" s="236"/>
      <c r="P1018" s="236"/>
      <c r="Q1018" s="236"/>
      <c r="R1018" s="236"/>
      <c r="S1018" s="236"/>
      <c r="T1018" s="236"/>
      <c r="U1018" s="236"/>
      <c r="V1018" s="236"/>
      <c r="W1018" s="244"/>
      <c r="X1018" s="244"/>
      <c r="Y1018" s="237"/>
      <c r="Z1018" s="244"/>
      <c r="AA1018" s="244"/>
      <c r="AB1018" s="244"/>
      <c r="AC1018" s="244"/>
      <c r="AD1018" s="234"/>
      <c r="AE1018" s="234"/>
      <c r="AF1018" s="238"/>
      <c r="AG1018" s="239"/>
      <c r="AH1018" s="238"/>
      <c r="AI1018" s="238"/>
      <c r="AJ1018" s="234"/>
      <c r="AK1018" s="234"/>
      <c r="AL1018" s="234"/>
      <c r="AM1018" s="234"/>
      <c r="AN1018" s="234"/>
      <c r="AO1018" s="234"/>
    </row>
    <row r="1019" ht="15.75" customHeight="1">
      <c r="A1019" s="91"/>
      <c r="B1019" s="91"/>
      <c r="C1019" s="220"/>
      <c r="D1019" s="91"/>
      <c r="E1019" s="221"/>
      <c r="F1019" s="91"/>
      <c r="G1019" s="91"/>
      <c r="H1019" s="242"/>
      <c r="I1019" s="223"/>
      <c r="J1019" s="57"/>
      <c r="K1019" s="153"/>
      <c r="L1019" s="243"/>
      <c r="M1019" s="234"/>
      <c r="N1019" s="235"/>
      <c r="O1019" s="236"/>
      <c r="P1019" s="236"/>
      <c r="Q1019" s="236"/>
      <c r="R1019" s="236"/>
      <c r="S1019" s="236"/>
      <c r="T1019" s="236"/>
      <c r="U1019" s="236"/>
      <c r="V1019" s="236"/>
      <c r="W1019" s="244"/>
      <c r="X1019" s="244"/>
      <c r="Y1019" s="237"/>
      <c r="Z1019" s="244"/>
      <c r="AA1019" s="244"/>
      <c r="AB1019" s="244"/>
      <c r="AC1019" s="244"/>
      <c r="AD1019" s="234"/>
      <c r="AE1019" s="234"/>
      <c r="AF1019" s="238"/>
      <c r="AG1019" s="239"/>
      <c r="AH1019" s="238"/>
      <c r="AI1019" s="238"/>
      <c r="AJ1019" s="234"/>
      <c r="AK1019" s="234"/>
      <c r="AL1019" s="234"/>
      <c r="AM1019" s="234"/>
      <c r="AN1019" s="234"/>
      <c r="AO1019" s="234"/>
    </row>
    <row r="1020" ht="15.75" customHeight="1">
      <c r="A1020" s="91"/>
      <c r="B1020" s="91"/>
      <c r="C1020" s="220"/>
      <c r="D1020" s="91"/>
      <c r="E1020" s="221"/>
      <c r="F1020" s="91"/>
      <c r="G1020" s="91"/>
      <c r="H1020" s="242"/>
      <c r="I1020" s="223"/>
      <c r="J1020" s="57"/>
      <c r="K1020" s="153"/>
      <c r="L1020" s="243"/>
      <c r="M1020" s="234"/>
      <c r="N1020" s="235"/>
      <c r="O1020" s="236"/>
      <c r="P1020" s="236"/>
      <c r="Q1020" s="236"/>
      <c r="R1020" s="236"/>
      <c r="S1020" s="236"/>
      <c r="T1020" s="236"/>
      <c r="U1020" s="236"/>
      <c r="V1020" s="236"/>
      <c r="W1020" s="244"/>
      <c r="X1020" s="244"/>
      <c r="Y1020" s="237"/>
      <c r="Z1020" s="244"/>
      <c r="AA1020" s="244"/>
      <c r="AB1020" s="244"/>
      <c r="AC1020" s="244"/>
      <c r="AD1020" s="234"/>
      <c r="AE1020" s="234"/>
      <c r="AF1020" s="238"/>
      <c r="AG1020" s="239"/>
      <c r="AH1020" s="238"/>
      <c r="AI1020" s="238"/>
      <c r="AJ1020" s="234"/>
      <c r="AK1020" s="234"/>
      <c r="AL1020" s="234"/>
      <c r="AM1020" s="234"/>
      <c r="AN1020" s="234"/>
      <c r="AO1020" s="234"/>
    </row>
    <row r="1021" ht="15.75" customHeight="1">
      <c r="A1021" s="91"/>
      <c r="B1021" s="91"/>
      <c r="C1021" s="220"/>
      <c r="D1021" s="91"/>
      <c r="E1021" s="221"/>
      <c r="F1021" s="91"/>
      <c r="G1021" s="91"/>
      <c r="H1021" s="242"/>
      <c r="I1021" s="223"/>
      <c r="J1021" s="57"/>
      <c r="K1021" s="153"/>
      <c r="L1021" s="243"/>
      <c r="M1021" s="234"/>
      <c r="N1021" s="235"/>
      <c r="O1021" s="236"/>
      <c r="P1021" s="236"/>
      <c r="Q1021" s="236"/>
      <c r="R1021" s="236"/>
      <c r="S1021" s="236"/>
      <c r="T1021" s="236"/>
      <c r="U1021" s="236"/>
      <c r="V1021" s="236"/>
      <c r="W1021" s="244"/>
      <c r="X1021" s="244"/>
      <c r="Y1021" s="237"/>
      <c r="Z1021" s="244"/>
      <c r="AA1021" s="244"/>
      <c r="AB1021" s="244"/>
      <c r="AC1021" s="244"/>
      <c r="AD1021" s="234"/>
      <c r="AE1021" s="234"/>
      <c r="AF1021" s="238"/>
      <c r="AG1021" s="239"/>
      <c r="AH1021" s="238"/>
      <c r="AI1021" s="238"/>
      <c r="AJ1021" s="234"/>
      <c r="AK1021" s="234"/>
      <c r="AL1021" s="234"/>
      <c r="AM1021" s="234"/>
      <c r="AN1021" s="234"/>
      <c r="AO1021" s="234"/>
    </row>
    <row r="1022" ht="15.75" customHeight="1">
      <c r="A1022" s="91"/>
      <c r="B1022" s="91"/>
      <c r="C1022" s="220"/>
      <c r="D1022" s="91"/>
      <c r="E1022" s="221"/>
      <c r="F1022" s="91"/>
      <c r="G1022" s="91"/>
      <c r="H1022" s="242"/>
      <c r="I1022" s="223"/>
      <c r="J1022" s="57"/>
      <c r="K1022" s="153"/>
      <c r="L1022" s="243"/>
      <c r="M1022" s="234"/>
      <c r="N1022" s="235"/>
      <c r="O1022" s="236"/>
      <c r="P1022" s="236"/>
      <c r="Q1022" s="236"/>
      <c r="R1022" s="236"/>
      <c r="S1022" s="236"/>
      <c r="T1022" s="236"/>
      <c r="U1022" s="236"/>
      <c r="V1022" s="236"/>
      <c r="W1022" s="244"/>
      <c r="X1022" s="244"/>
      <c r="Y1022" s="237"/>
      <c r="Z1022" s="244"/>
      <c r="AA1022" s="244"/>
      <c r="AB1022" s="244"/>
      <c r="AC1022" s="244"/>
      <c r="AD1022" s="234"/>
      <c r="AE1022" s="234"/>
      <c r="AF1022" s="238"/>
      <c r="AG1022" s="239"/>
      <c r="AH1022" s="238"/>
      <c r="AI1022" s="238"/>
      <c r="AJ1022" s="234"/>
      <c r="AK1022" s="234"/>
      <c r="AL1022" s="234"/>
      <c r="AM1022" s="234"/>
      <c r="AN1022" s="234"/>
      <c r="AO1022" s="234"/>
    </row>
    <row r="1023" ht="15.75" customHeight="1">
      <c r="A1023" s="91"/>
      <c r="B1023" s="91"/>
      <c r="C1023" s="220"/>
      <c r="D1023" s="91"/>
      <c r="E1023" s="221"/>
      <c r="F1023" s="91"/>
      <c r="G1023" s="91"/>
      <c r="H1023" s="242"/>
      <c r="I1023" s="223"/>
      <c r="J1023" s="57"/>
      <c r="K1023" s="153"/>
      <c r="L1023" s="243"/>
      <c r="M1023" s="234"/>
      <c r="N1023" s="235"/>
      <c r="O1023" s="236"/>
      <c r="P1023" s="236"/>
      <c r="Q1023" s="236"/>
      <c r="R1023" s="236"/>
      <c r="S1023" s="236"/>
      <c r="T1023" s="236"/>
      <c r="U1023" s="236"/>
      <c r="V1023" s="236"/>
      <c r="W1023" s="244"/>
      <c r="X1023" s="244"/>
      <c r="Y1023" s="237"/>
      <c r="Z1023" s="244"/>
      <c r="AA1023" s="244"/>
      <c r="AB1023" s="244"/>
      <c r="AC1023" s="244"/>
      <c r="AD1023" s="234"/>
      <c r="AE1023" s="234"/>
      <c r="AF1023" s="238"/>
      <c r="AG1023" s="239"/>
      <c r="AH1023" s="238"/>
      <c r="AI1023" s="238"/>
      <c r="AJ1023" s="234"/>
      <c r="AK1023" s="234"/>
      <c r="AL1023" s="234"/>
      <c r="AM1023" s="234"/>
      <c r="AN1023" s="234"/>
      <c r="AO1023" s="234"/>
    </row>
    <row r="1024" ht="15.75" customHeight="1">
      <c r="A1024" s="91"/>
      <c r="B1024" s="91"/>
      <c r="C1024" s="220"/>
      <c r="D1024" s="91"/>
      <c r="E1024" s="221"/>
      <c r="F1024" s="91"/>
      <c r="G1024" s="91"/>
      <c r="H1024" s="242"/>
      <c r="I1024" s="223"/>
      <c r="J1024" s="57"/>
      <c r="K1024" s="153"/>
      <c r="L1024" s="243"/>
      <c r="M1024" s="234"/>
      <c r="N1024" s="235"/>
      <c r="O1024" s="236"/>
      <c r="P1024" s="236"/>
      <c r="Q1024" s="236"/>
      <c r="R1024" s="236"/>
      <c r="S1024" s="236"/>
      <c r="T1024" s="236"/>
      <c r="U1024" s="236"/>
      <c r="V1024" s="236"/>
      <c r="W1024" s="244"/>
      <c r="X1024" s="244"/>
      <c r="Y1024" s="237"/>
      <c r="Z1024" s="244"/>
      <c r="AA1024" s="244"/>
      <c r="AB1024" s="244"/>
      <c r="AC1024" s="244"/>
      <c r="AD1024" s="234"/>
      <c r="AE1024" s="234"/>
      <c r="AF1024" s="238"/>
      <c r="AG1024" s="239"/>
      <c r="AH1024" s="238"/>
      <c r="AI1024" s="238"/>
      <c r="AJ1024" s="234"/>
      <c r="AK1024" s="234"/>
      <c r="AL1024" s="234"/>
      <c r="AM1024" s="234"/>
      <c r="AN1024" s="234"/>
      <c r="AO1024" s="234"/>
    </row>
    <row r="1025" ht="15.75" customHeight="1">
      <c r="A1025" s="91"/>
      <c r="B1025" s="91"/>
      <c r="C1025" s="220"/>
      <c r="D1025" s="91"/>
      <c r="E1025" s="221"/>
      <c r="F1025" s="91"/>
      <c r="G1025" s="91"/>
      <c r="H1025" s="242"/>
      <c r="I1025" s="223"/>
      <c r="J1025" s="57"/>
      <c r="K1025" s="153"/>
      <c r="L1025" s="243"/>
      <c r="M1025" s="234"/>
      <c r="N1025" s="235"/>
      <c r="O1025" s="236"/>
      <c r="P1025" s="236"/>
      <c r="Q1025" s="236"/>
      <c r="R1025" s="236"/>
      <c r="S1025" s="236"/>
      <c r="T1025" s="236"/>
      <c r="U1025" s="236"/>
      <c r="V1025" s="236"/>
      <c r="W1025" s="244"/>
      <c r="X1025" s="244"/>
      <c r="Y1025" s="237"/>
      <c r="Z1025" s="244"/>
      <c r="AA1025" s="244"/>
      <c r="AB1025" s="244"/>
      <c r="AC1025" s="244"/>
      <c r="AD1025" s="234"/>
      <c r="AE1025" s="234"/>
      <c r="AF1025" s="238"/>
      <c r="AG1025" s="239"/>
      <c r="AH1025" s="238"/>
      <c r="AI1025" s="238"/>
      <c r="AJ1025" s="234"/>
      <c r="AK1025" s="234"/>
      <c r="AL1025" s="234"/>
      <c r="AM1025" s="234"/>
      <c r="AN1025" s="234"/>
      <c r="AO1025" s="234"/>
    </row>
    <row r="1026" ht="15.75" customHeight="1">
      <c r="A1026" s="91"/>
      <c r="B1026" s="91"/>
      <c r="C1026" s="220"/>
      <c r="D1026" s="91"/>
      <c r="E1026" s="221"/>
      <c r="F1026" s="91"/>
      <c r="G1026" s="91"/>
      <c r="H1026" s="242"/>
      <c r="I1026" s="223"/>
      <c r="J1026" s="57"/>
      <c r="K1026" s="153"/>
      <c r="L1026" s="243"/>
      <c r="M1026" s="234"/>
      <c r="N1026" s="235"/>
      <c r="O1026" s="236"/>
      <c r="P1026" s="236"/>
      <c r="Q1026" s="236"/>
      <c r="R1026" s="236"/>
      <c r="S1026" s="236"/>
      <c r="T1026" s="236"/>
      <c r="U1026" s="236"/>
      <c r="V1026" s="236"/>
      <c r="W1026" s="244"/>
      <c r="X1026" s="244"/>
      <c r="Y1026" s="237"/>
      <c r="Z1026" s="244"/>
      <c r="AA1026" s="244"/>
      <c r="AB1026" s="244"/>
      <c r="AC1026" s="244"/>
      <c r="AD1026" s="234"/>
      <c r="AE1026" s="234"/>
      <c r="AF1026" s="238"/>
      <c r="AG1026" s="239"/>
      <c r="AH1026" s="238"/>
      <c r="AI1026" s="238"/>
      <c r="AJ1026" s="234"/>
      <c r="AK1026" s="234"/>
      <c r="AL1026" s="234"/>
      <c r="AM1026" s="234"/>
      <c r="AN1026" s="234"/>
      <c r="AO1026" s="234"/>
    </row>
    <row r="1027" ht="15.75" customHeight="1">
      <c r="A1027" s="91"/>
      <c r="B1027" s="91"/>
      <c r="C1027" s="220"/>
      <c r="D1027" s="91"/>
      <c r="E1027" s="221"/>
      <c r="F1027" s="91"/>
      <c r="G1027" s="91"/>
      <c r="H1027" s="242"/>
      <c r="I1027" s="223"/>
      <c r="J1027" s="57"/>
      <c r="K1027" s="153"/>
      <c r="L1027" s="243"/>
      <c r="M1027" s="234"/>
      <c r="N1027" s="235"/>
      <c r="O1027" s="236"/>
      <c r="P1027" s="236"/>
      <c r="Q1027" s="236"/>
      <c r="R1027" s="236"/>
      <c r="S1027" s="236"/>
      <c r="T1027" s="236"/>
      <c r="U1027" s="236"/>
      <c r="V1027" s="236"/>
      <c r="W1027" s="244"/>
      <c r="X1027" s="244"/>
      <c r="Y1027" s="237"/>
      <c r="Z1027" s="244"/>
      <c r="AA1027" s="244"/>
      <c r="AB1027" s="244"/>
      <c r="AC1027" s="244"/>
      <c r="AD1027" s="234"/>
      <c r="AE1027" s="234"/>
      <c r="AF1027" s="238"/>
      <c r="AG1027" s="239"/>
      <c r="AH1027" s="238"/>
      <c r="AI1027" s="238"/>
      <c r="AJ1027" s="234"/>
      <c r="AK1027" s="234"/>
      <c r="AL1027" s="234"/>
      <c r="AM1027" s="234"/>
      <c r="AN1027" s="234"/>
      <c r="AO1027" s="234"/>
    </row>
    <row r="1028" ht="15.75" customHeight="1">
      <c r="A1028" s="91"/>
      <c r="B1028" s="91"/>
      <c r="C1028" s="220"/>
      <c r="D1028" s="91"/>
      <c r="E1028" s="221"/>
      <c r="F1028" s="91"/>
      <c r="G1028" s="91"/>
      <c r="H1028" s="242"/>
      <c r="I1028" s="223"/>
      <c r="J1028" s="57"/>
      <c r="K1028" s="153"/>
      <c r="L1028" s="243"/>
      <c r="M1028" s="234"/>
      <c r="N1028" s="235"/>
      <c r="O1028" s="236"/>
      <c r="P1028" s="236"/>
      <c r="Q1028" s="236"/>
      <c r="R1028" s="236"/>
      <c r="S1028" s="236"/>
      <c r="T1028" s="236"/>
      <c r="U1028" s="236"/>
      <c r="V1028" s="236"/>
      <c r="W1028" s="244"/>
      <c r="X1028" s="244"/>
      <c r="Y1028" s="237"/>
      <c r="Z1028" s="244"/>
      <c r="AA1028" s="244"/>
      <c r="AB1028" s="244"/>
      <c r="AC1028" s="244"/>
      <c r="AD1028" s="234"/>
      <c r="AE1028" s="234"/>
      <c r="AF1028" s="238"/>
      <c r="AG1028" s="239"/>
      <c r="AH1028" s="238"/>
      <c r="AI1028" s="238"/>
      <c r="AJ1028" s="234"/>
      <c r="AK1028" s="234"/>
      <c r="AL1028" s="234"/>
      <c r="AM1028" s="234"/>
      <c r="AN1028" s="234"/>
      <c r="AO1028" s="234"/>
    </row>
    <row r="1029" ht="15.75" customHeight="1">
      <c r="A1029" s="91"/>
      <c r="B1029" s="91"/>
      <c r="C1029" s="220"/>
      <c r="D1029" s="91"/>
      <c r="E1029" s="221"/>
      <c r="F1029" s="91"/>
      <c r="G1029" s="91"/>
      <c r="H1029" s="242"/>
      <c r="I1029" s="223"/>
      <c r="J1029" s="57"/>
      <c r="K1029" s="153"/>
      <c r="L1029" s="243"/>
      <c r="M1029" s="234"/>
      <c r="N1029" s="235"/>
      <c r="O1029" s="236"/>
      <c r="P1029" s="236"/>
      <c r="Q1029" s="236"/>
      <c r="R1029" s="236"/>
      <c r="S1029" s="236"/>
      <c r="T1029" s="236"/>
      <c r="U1029" s="236"/>
      <c r="V1029" s="236"/>
      <c r="W1029" s="244"/>
      <c r="X1029" s="244"/>
      <c r="Y1029" s="237"/>
      <c r="Z1029" s="244"/>
      <c r="AA1029" s="244"/>
      <c r="AB1029" s="244"/>
      <c r="AC1029" s="244"/>
      <c r="AD1029" s="234"/>
      <c r="AE1029" s="234"/>
      <c r="AF1029" s="238"/>
      <c r="AG1029" s="239"/>
      <c r="AH1029" s="238"/>
      <c r="AI1029" s="238"/>
      <c r="AJ1029" s="234"/>
      <c r="AK1029" s="234"/>
      <c r="AL1029" s="234"/>
      <c r="AM1029" s="234"/>
      <c r="AN1029" s="234"/>
      <c r="AO1029" s="234"/>
    </row>
    <row r="1030" ht="15.75" customHeight="1">
      <c r="A1030" s="91"/>
      <c r="B1030" s="91"/>
      <c r="C1030" s="220"/>
      <c r="D1030" s="91"/>
      <c r="E1030" s="221"/>
      <c r="F1030" s="91"/>
      <c r="G1030" s="91"/>
      <c r="H1030" s="242"/>
      <c r="I1030" s="223"/>
      <c r="J1030" s="57"/>
      <c r="K1030" s="153"/>
      <c r="L1030" s="243"/>
      <c r="M1030" s="234"/>
      <c r="N1030" s="235"/>
      <c r="O1030" s="236"/>
      <c r="P1030" s="236"/>
      <c r="Q1030" s="236"/>
      <c r="R1030" s="236"/>
      <c r="S1030" s="236"/>
      <c r="T1030" s="236"/>
      <c r="U1030" s="236"/>
      <c r="V1030" s="236"/>
      <c r="W1030" s="244"/>
      <c r="X1030" s="244"/>
      <c r="Y1030" s="237"/>
      <c r="Z1030" s="244"/>
      <c r="AA1030" s="244"/>
      <c r="AB1030" s="244"/>
      <c r="AC1030" s="244"/>
      <c r="AD1030" s="234"/>
      <c r="AE1030" s="234"/>
      <c r="AF1030" s="238"/>
      <c r="AG1030" s="239"/>
      <c r="AH1030" s="238"/>
      <c r="AI1030" s="238"/>
      <c r="AJ1030" s="234"/>
      <c r="AK1030" s="234"/>
      <c r="AL1030" s="234"/>
      <c r="AM1030" s="234"/>
      <c r="AN1030" s="234"/>
      <c r="AO1030" s="234"/>
    </row>
    <row r="1031" ht="15.75" customHeight="1">
      <c r="A1031" s="91"/>
      <c r="B1031" s="91"/>
      <c r="C1031" s="220"/>
      <c r="D1031" s="91"/>
      <c r="E1031" s="221"/>
      <c r="F1031" s="91"/>
      <c r="G1031" s="91"/>
      <c r="H1031" s="242"/>
      <c r="I1031" s="223"/>
      <c r="J1031" s="57"/>
      <c r="K1031" s="153"/>
      <c r="L1031" s="243"/>
      <c r="M1031" s="234"/>
      <c r="N1031" s="235"/>
      <c r="O1031" s="236"/>
      <c r="P1031" s="236"/>
      <c r="Q1031" s="236"/>
      <c r="R1031" s="236"/>
      <c r="S1031" s="236"/>
      <c r="T1031" s="236"/>
      <c r="U1031" s="236"/>
      <c r="V1031" s="236"/>
      <c r="W1031" s="244"/>
      <c r="X1031" s="244"/>
      <c r="Y1031" s="237"/>
      <c r="Z1031" s="244"/>
      <c r="AA1031" s="244"/>
      <c r="AB1031" s="244"/>
      <c r="AC1031" s="244"/>
      <c r="AD1031" s="234"/>
      <c r="AE1031" s="234"/>
      <c r="AF1031" s="238"/>
      <c r="AG1031" s="239"/>
      <c r="AH1031" s="238"/>
      <c r="AI1031" s="238"/>
      <c r="AJ1031" s="234"/>
      <c r="AK1031" s="234"/>
      <c r="AL1031" s="234"/>
      <c r="AM1031" s="234"/>
      <c r="AN1031" s="234"/>
      <c r="AO1031" s="234"/>
    </row>
    <row r="1032" ht="15.75" customHeight="1">
      <c r="A1032" s="91"/>
      <c r="B1032" s="91"/>
      <c r="C1032" s="220"/>
      <c r="D1032" s="91"/>
      <c r="E1032" s="221"/>
      <c r="F1032" s="91"/>
      <c r="G1032" s="91"/>
      <c r="H1032" s="242"/>
      <c r="I1032" s="223"/>
      <c r="J1032" s="57"/>
      <c r="K1032" s="153"/>
      <c r="L1032" s="243"/>
      <c r="M1032" s="234"/>
      <c r="N1032" s="235"/>
      <c r="O1032" s="236"/>
      <c r="P1032" s="236"/>
      <c r="Q1032" s="236"/>
      <c r="R1032" s="236"/>
      <c r="S1032" s="236"/>
      <c r="T1032" s="236"/>
      <c r="U1032" s="236"/>
      <c r="V1032" s="236"/>
      <c r="W1032" s="244"/>
      <c r="X1032" s="244"/>
      <c r="Y1032" s="237"/>
      <c r="Z1032" s="244"/>
      <c r="AA1032" s="244"/>
      <c r="AB1032" s="244"/>
      <c r="AC1032" s="244"/>
      <c r="AD1032" s="234"/>
      <c r="AE1032" s="234"/>
      <c r="AF1032" s="238"/>
      <c r="AG1032" s="239"/>
      <c r="AH1032" s="238"/>
      <c r="AI1032" s="238"/>
      <c r="AJ1032" s="234"/>
      <c r="AK1032" s="234"/>
      <c r="AL1032" s="234"/>
      <c r="AM1032" s="234"/>
      <c r="AN1032" s="234"/>
      <c r="AO1032" s="234"/>
    </row>
    <row r="1033" ht="15.75" customHeight="1">
      <c r="A1033" s="91"/>
      <c r="B1033" s="91"/>
      <c r="C1033" s="220"/>
      <c r="D1033" s="91"/>
      <c r="E1033" s="221"/>
      <c r="F1033" s="91"/>
      <c r="G1033" s="91"/>
      <c r="H1033" s="242"/>
      <c r="I1033" s="223"/>
      <c r="J1033" s="57"/>
      <c r="K1033" s="153"/>
      <c r="L1033" s="243"/>
      <c r="M1033" s="234"/>
      <c r="N1033" s="235"/>
      <c r="O1033" s="236"/>
      <c r="P1033" s="236"/>
      <c r="Q1033" s="236"/>
      <c r="R1033" s="236"/>
      <c r="S1033" s="236"/>
      <c r="T1033" s="236"/>
      <c r="U1033" s="236"/>
      <c r="V1033" s="236"/>
      <c r="W1033" s="244"/>
      <c r="X1033" s="244"/>
      <c r="Y1033" s="237"/>
      <c r="Z1033" s="244"/>
      <c r="AA1033" s="244"/>
      <c r="AB1033" s="244"/>
      <c r="AC1033" s="244"/>
      <c r="AD1033" s="234"/>
      <c r="AE1033" s="234"/>
      <c r="AF1033" s="238"/>
      <c r="AG1033" s="239"/>
      <c r="AH1033" s="238"/>
      <c r="AI1033" s="238"/>
      <c r="AJ1033" s="234"/>
      <c r="AK1033" s="234"/>
      <c r="AL1033" s="234"/>
      <c r="AM1033" s="234"/>
      <c r="AN1033" s="234"/>
      <c r="AO1033" s="234"/>
    </row>
    <row r="1034" ht="15.75" customHeight="1">
      <c r="A1034" s="91"/>
      <c r="B1034" s="91"/>
      <c r="C1034" s="220"/>
      <c r="D1034" s="91"/>
      <c r="E1034" s="221"/>
      <c r="F1034" s="91"/>
      <c r="G1034" s="91"/>
      <c r="H1034" s="242"/>
      <c r="I1034" s="223"/>
      <c r="J1034" s="57"/>
      <c r="K1034" s="153"/>
      <c r="L1034" s="243"/>
      <c r="M1034" s="234"/>
      <c r="N1034" s="235"/>
      <c r="O1034" s="236"/>
      <c r="P1034" s="236"/>
      <c r="Q1034" s="236"/>
      <c r="R1034" s="236"/>
      <c r="S1034" s="236"/>
      <c r="T1034" s="236"/>
      <c r="U1034" s="236"/>
      <c r="V1034" s="236"/>
      <c r="W1034" s="244"/>
      <c r="X1034" s="244"/>
      <c r="Y1034" s="237"/>
      <c r="Z1034" s="244"/>
      <c r="AA1034" s="244"/>
      <c r="AB1034" s="244"/>
      <c r="AC1034" s="244"/>
      <c r="AD1034" s="234"/>
      <c r="AE1034" s="234"/>
      <c r="AF1034" s="238"/>
      <c r="AG1034" s="239"/>
      <c r="AH1034" s="238"/>
      <c r="AI1034" s="238"/>
      <c r="AJ1034" s="234"/>
      <c r="AK1034" s="234"/>
      <c r="AL1034" s="234"/>
      <c r="AM1034" s="234"/>
      <c r="AN1034" s="234"/>
      <c r="AO1034" s="234"/>
    </row>
    <row r="1035" ht="15.75" customHeight="1">
      <c r="A1035" s="91"/>
      <c r="B1035" s="91"/>
      <c r="C1035" s="220"/>
      <c r="D1035" s="91"/>
      <c r="E1035" s="221"/>
      <c r="F1035" s="91"/>
      <c r="G1035" s="91"/>
      <c r="H1035" s="242"/>
      <c r="I1035" s="223"/>
      <c r="J1035" s="57"/>
      <c r="K1035" s="153"/>
      <c r="L1035" s="243"/>
      <c r="M1035" s="234"/>
      <c r="N1035" s="235"/>
      <c r="O1035" s="236"/>
      <c r="P1035" s="236"/>
      <c r="Q1035" s="236"/>
      <c r="R1035" s="236"/>
      <c r="S1035" s="236"/>
      <c r="T1035" s="236"/>
      <c r="U1035" s="236"/>
      <c r="V1035" s="236"/>
      <c r="W1035" s="244"/>
      <c r="X1035" s="244"/>
      <c r="Y1035" s="237"/>
      <c r="Z1035" s="244"/>
      <c r="AA1035" s="244"/>
      <c r="AB1035" s="244"/>
      <c r="AC1035" s="244"/>
      <c r="AD1035" s="234"/>
      <c r="AE1035" s="234"/>
      <c r="AF1035" s="238"/>
      <c r="AG1035" s="239"/>
      <c r="AH1035" s="238"/>
      <c r="AI1035" s="238"/>
      <c r="AJ1035" s="234"/>
      <c r="AK1035" s="234"/>
      <c r="AL1035" s="234"/>
      <c r="AM1035" s="234"/>
      <c r="AN1035" s="234"/>
      <c r="AO1035" s="234"/>
    </row>
    <row r="1036" ht="15.75" customHeight="1">
      <c r="A1036" s="91"/>
      <c r="B1036" s="91"/>
      <c r="C1036" s="220"/>
      <c r="D1036" s="91"/>
      <c r="E1036" s="221"/>
      <c r="F1036" s="91"/>
      <c r="G1036" s="91"/>
      <c r="H1036" s="242"/>
      <c r="I1036" s="223"/>
      <c r="J1036" s="57"/>
      <c r="K1036" s="153"/>
      <c r="L1036" s="243"/>
      <c r="M1036" s="234"/>
      <c r="N1036" s="235"/>
      <c r="O1036" s="236"/>
      <c r="P1036" s="236"/>
      <c r="Q1036" s="236"/>
      <c r="R1036" s="236"/>
      <c r="S1036" s="236"/>
      <c r="T1036" s="236"/>
      <c r="U1036" s="236"/>
      <c r="V1036" s="236"/>
      <c r="W1036" s="244"/>
      <c r="X1036" s="244"/>
      <c r="Y1036" s="237"/>
      <c r="Z1036" s="244"/>
      <c r="AA1036" s="244"/>
      <c r="AB1036" s="244"/>
      <c r="AC1036" s="244"/>
      <c r="AD1036" s="234"/>
      <c r="AE1036" s="234"/>
      <c r="AF1036" s="238"/>
      <c r="AG1036" s="239"/>
      <c r="AH1036" s="238"/>
      <c r="AI1036" s="238"/>
      <c r="AJ1036" s="234"/>
      <c r="AK1036" s="234"/>
      <c r="AL1036" s="234"/>
      <c r="AM1036" s="234"/>
      <c r="AN1036" s="234"/>
      <c r="AO1036" s="234"/>
    </row>
    <row r="1037" ht="15.75" customHeight="1">
      <c r="A1037" s="91"/>
      <c r="B1037" s="91"/>
      <c r="C1037" s="220"/>
      <c r="D1037" s="91"/>
      <c r="E1037" s="221"/>
      <c r="F1037" s="91"/>
      <c r="G1037" s="91"/>
      <c r="H1037" s="242"/>
      <c r="I1037" s="223"/>
      <c r="J1037" s="57"/>
      <c r="K1037" s="153"/>
      <c r="L1037" s="243"/>
      <c r="M1037" s="234"/>
      <c r="N1037" s="235"/>
      <c r="O1037" s="236"/>
      <c r="P1037" s="236"/>
      <c r="Q1037" s="236"/>
      <c r="R1037" s="236"/>
      <c r="S1037" s="236"/>
      <c r="T1037" s="236"/>
      <c r="U1037" s="236"/>
      <c r="V1037" s="236"/>
      <c r="W1037" s="244"/>
      <c r="X1037" s="244"/>
      <c r="Y1037" s="237"/>
      <c r="Z1037" s="244"/>
      <c r="AA1037" s="244"/>
      <c r="AB1037" s="244"/>
      <c r="AC1037" s="244"/>
      <c r="AD1037" s="234"/>
      <c r="AE1037" s="234"/>
      <c r="AF1037" s="238"/>
      <c r="AG1037" s="239"/>
      <c r="AH1037" s="238"/>
      <c r="AI1037" s="238"/>
      <c r="AJ1037" s="234"/>
      <c r="AK1037" s="234"/>
      <c r="AL1037" s="234"/>
      <c r="AM1037" s="234"/>
      <c r="AN1037" s="234"/>
      <c r="AO1037" s="234"/>
    </row>
    <row r="1038" ht="15.75" customHeight="1">
      <c r="A1038" s="91"/>
      <c r="B1038" s="91"/>
      <c r="C1038" s="220"/>
      <c r="D1038" s="91"/>
      <c r="E1038" s="221"/>
      <c r="F1038" s="91"/>
      <c r="G1038" s="91"/>
      <c r="H1038" s="242"/>
      <c r="I1038" s="223"/>
      <c r="J1038" s="57"/>
      <c r="K1038" s="153"/>
      <c r="L1038" s="243"/>
      <c r="M1038" s="234"/>
      <c r="N1038" s="235"/>
      <c r="O1038" s="236"/>
      <c r="P1038" s="236"/>
      <c r="Q1038" s="236"/>
      <c r="R1038" s="236"/>
      <c r="S1038" s="236"/>
      <c r="T1038" s="236"/>
      <c r="U1038" s="236"/>
      <c r="V1038" s="236"/>
      <c r="W1038" s="244"/>
      <c r="X1038" s="244"/>
      <c r="Y1038" s="237"/>
      <c r="Z1038" s="244"/>
      <c r="AA1038" s="244"/>
      <c r="AB1038" s="244"/>
      <c r="AC1038" s="244"/>
      <c r="AD1038" s="234"/>
      <c r="AE1038" s="234"/>
      <c r="AF1038" s="238"/>
      <c r="AG1038" s="239"/>
      <c r="AH1038" s="238"/>
      <c r="AI1038" s="238"/>
      <c r="AJ1038" s="234"/>
      <c r="AK1038" s="234"/>
      <c r="AL1038" s="234"/>
      <c r="AM1038" s="234"/>
      <c r="AN1038" s="234"/>
      <c r="AO1038" s="234"/>
    </row>
    <row r="1039" ht="15.75" customHeight="1">
      <c r="A1039" s="91"/>
      <c r="B1039" s="91"/>
      <c r="C1039" s="220"/>
      <c r="D1039" s="91"/>
      <c r="E1039" s="221"/>
      <c r="F1039" s="91"/>
      <c r="G1039" s="91"/>
      <c r="H1039" s="242"/>
      <c r="I1039" s="132" t="s">
        <v>0</v>
      </c>
      <c r="J1039" s="57"/>
      <c r="K1039" s="153"/>
      <c r="L1039" s="243"/>
      <c r="M1039" s="234"/>
      <c r="N1039" s="235"/>
      <c r="O1039" s="236"/>
      <c r="P1039" s="236"/>
      <c r="Q1039" s="236"/>
      <c r="R1039" s="236"/>
      <c r="S1039" s="236"/>
      <c r="T1039" s="236"/>
      <c r="U1039" s="236"/>
      <c r="V1039" s="236"/>
      <c r="W1039" s="244"/>
      <c r="X1039" s="244"/>
      <c r="Y1039" s="237"/>
      <c r="Z1039" s="244"/>
      <c r="AA1039" s="244"/>
      <c r="AB1039" s="244"/>
      <c r="AC1039" s="244"/>
      <c r="AD1039" s="234"/>
      <c r="AE1039" s="234"/>
      <c r="AF1039" s="238"/>
      <c r="AG1039" s="239"/>
      <c r="AH1039" s="238"/>
      <c r="AI1039" s="238"/>
      <c r="AJ1039" s="234"/>
      <c r="AK1039" s="234"/>
      <c r="AL1039" s="234"/>
      <c r="AM1039" s="234"/>
      <c r="AN1039" s="234"/>
      <c r="AO1039" s="234"/>
    </row>
  </sheetData>
  <customSheetViews>
    <customSheetView guid="{8798D8E6-08A3-4DF0-BF38-B8A7A8E14894}" filter="1" showAutoFilter="1">
      <autoFilter ref="$A$1:$AM$9"/>
      <extLst>
        <ext uri="GoogleSheetsCustomDataVersion1">
          <go:sheetsCustomData xmlns:go="http://customooxmlschemas.google.com/" filterViewId="2071636174"/>
        </ext>
      </extLst>
    </customSheetView>
    <customSheetView guid="{C9A0C243-7E73-4FE7-8E7C-67ABE88D82FD}" filter="1" showAutoFilter="1">
      <autoFilter ref="$A$1:$AM$9"/>
      <extLst>
        <ext uri="GoogleSheetsCustomDataVersion1">
          <go:sheetsCustomData xmlns:go="http://customooxmlschemas.google.com/" filterViewId="322794188"/>
        </ext>
      </extLst>
    </customSheetView>
    <customSheetView guid="{CF86F120-DE02-4EBC-8B6A-E39704F3764C}" filter="1" showAutoFilter="1">
      <autoFilter ref="$A$1:$AN$9"/>
      <extLst>
        <ext uri="GoogleSheetsCustomDataVersion1">
          <go:sheetsCustomData xmlns:go="http://customooxmlschemas.google.com/" filterViewId="691959877"/>
        </ext>
      </extLst>
    </customSheetView>
  </customSheetViews>
  <printOptions/>
  <pageMargins bottom="0.75" footer="0.0" header="0.0" left="0.7" right="0.7" top="0.75"/>
  <pageSetup paperSize="8" scale="3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14.0"/>
    <col customWidth="1" min="2" max="2" width="18.43"/>
    <col customWidth="1" min="3" max="3" width="16.43"/>
    <col customWidth="1" min="4" max="4" width="18.43"/>
    <col customWidth="1" min="5" max="5" width="31.43"/>
    <col customWidth="1" min="6" max="6" width="7.14"/>
    <col customWidth="1" min="7" max="7" width="10.14"/>
    <col customWidth="1" min="8" max="8" width="16.0"/>
    <col customWidth="1" min="9" max="9" width="13.0"/>
    <col customWidth="1" min="10" max="10" width="13.29"/>
    <col customWidth="1" min="11" max="11" width="12.43"/>
    <col customWidth="1" min="12" max="12" width="15.0"/>
    <col customWidth="1" min="13" max="13" width="15.29"/>
    <col customWidth="1" min="14" max="14" width="18.43"/>
    <col customWidth="1" min="15" max="15" width="15.14"/>
    <col customWidth="1" min="16" max="16" width="17.29"/>
    <col customWidth="1" min="17" max="22" width="12.29"/>
    <col customWidth="1" min="23" max="23" width="13.71"/>
    <col customWidth="1" min="24" max="27" width="12.29"/>
  </cols>
  <sheetData>
    <row r="1" ht="43.5" customHeight="1">
      <c r="A1" s="1" t="s">
        <v>279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250" t="s">
        <v>9</v>
      </c>
      <c r="K1" s="6" t="s">
        <v>10</v>
      </c>
      <c r="L1" s="13" t="s">
        <v>19</v>
      </c>
      <c r="M1" s="13" t="s">
        <v>20</v>
      </c>
      <c r="N1" s="13" t="s">
        <v>21</v>
      </c>
      <c r="O1" s="13" t="s">
        <v>22</v>
      </c>
      <c r="P1" s="13" t="s">
        <v>23</v>
      </c>
      <c r="Q1" s="13" t="s">
        <v>29</v>
      </c>
      <c r="R1" s="13" t="s">
        <v>30</v>
      </c>
      <c r="S1" s="16" t="s">
        <v>31</v>
      </c>
      <c r="T1" s="251" t="s">
        <v>32</v>
      </c>
      <c r="U1" s="16" t="s">
        <v>33</v>
      </c>
      <c r="V1" s="16" t="s">
        <v>34</v>
      </c>
      <c r="W1" s="13" t="s">
        <v>35</v>
      </c>
      <c r="X1" s="13" t="s">
        <v>36</v>
      </c>
      <c r="Y1" s="13" t="s">
        <v>37</v>
      </c>
      <c r="Z1" s="13" t="s">
        <v>38</v>
      </c>
      <c r="AA1" s="18" t="s">
        <v>39</v>
      </c>
    </row>
    <row r="2" ht="15.75" customHeight="1">
      <c r="A2" s="69">
        <v>43334.0</v>
      </c>
      <c r="B2" s="144" t="s">
        <v>101</v>
      </c>
      <c r="C2" s="252"/>
      <c r="D2" s="252" t="s">
        <v>280</v>
      </c>
      <c r="E2" s="246" t="s">
        <v>281</v>
      </c>
      <c r="F2" s="253">
        <v>90.0</v>
      </c>
      <c r="G2" s="254">
        <v>2.6</v>
      </c>
      <c r="H2" s="255">
        <v>234.0</v>
      </c>
      <c r="I2" s="256" t="s">
        <v>171</v>
      </c>
      <c r="J2" s="257" t="s">
        <v>282</v>
      </c>
      <c r="K2" s="258"/>
      <c r="L2" s="259"/>
      <c r="M2" s="260">
        <v>43350.0</v>
      </c>
      <c r="N2" s="261" t="s">
        <v>283</v>
      </c>
      <c r="O2" s="261"/>
      <c r="P2" s="260">
        <v>43348.0</v>
      </c>
      <c r="Q2" s="253" t="s">
        <v>284</v>
      </c>
      <c r="R2" s="253"/>
      <c r="S2" s="262"/>
      <c r="T2" s="263">
        <v>43469.0</v>
      </c>
      <c r="U2" s="262"/>
      <c r="V2" s="262"/>
      <c r="W2" s="253" t="s">
        <v>50</v>
      </c>
      <c r="X2" s="253" t="s">
        <v>285</v>
      </c>
      <c r="Y2" s="253" t="s">
        <v>286</v>
      </c>
      <c r="Z2" s="253" t="s">
        <v>52</v>
      </c>
      <c r="AA2" s="264"/>
    </row>
    <row r="3" ht="15.75" customHeight="1">
      <c r="A3" s="69">
        <v>43349.0</v>
      </c>
      <c r="B3" s="265" t="s">
        <v>101</v>
      </c>
      <c r="C3" s="252" t="s">
        <v>287</v>
      </c>
      <c r="D3" s="252" t="s">
        <v>288</v>
      </c>
      <c r="E3" s="32" t="s">
        <v>289</v>
      </c>
      <c r="F3" s="266">
        <v>3.0</v>
      </c>
      <c r="G3" s="267">
        <v>847.0</v>
      </c>
      <c r="H3" s="268">
        <v>2541.0</v>
      </c>
      <c r="I3" s="256" t="s">
        <v>171</v>
      </c>
      <c r="J3" s="269" t="s">
        <v>290</v>
      </c>
      <c r="K3" s="258">
        <v>43482.0</v>
      </c>
      <c r="L3" s="270">
        <v>43524.0</v>
      </c>
      <c r="M3" s="271">
        <v>43475.0</v>
      </c>
      <c r="N3" s="261" t="s">
        <v>291</v>
      </c>
      <c r="O3" s="272">
        <v>79911.0</v>
      </c>
      <c r="P3" s="260">
        <v>43524.0</v>
      </c>
      <c r="Q3" s="253" t="s">
        <v>284</v>
      </c>
      <c r="R3" s="253"/>
      <c r="S3" s="262"/>
      <c r="T3" s="263">
        <v>43530.0</v>
      </c>
      <c r="U3" s="262"/>
      <c r="V3" s="262"/>
      <c r="W3" s="253" t="s">
        <v>50</v>
      </c>
      <c r="X3" s="253" t="s">
        <v>285</v>
      </c>
      <c r="Y3" s="253" t="s">
        <v>51</v>
      </c>
      <c r="Z3" s="253" t="s">
        <v>52</v>
      </c>
      <c r="AA3" s="264"/>
    </row>
    <row r="4" ht="15.75" customHeight="1">
      <c r="A4" s="69">
        <v>43349.0</v>
      </c>
      <c r="B4" s="265" t="s">
        <v>101</v>
      </c>
      <c r="C4" s="252" t="s">
        <v>287</v>
      </c>
      <c r="D4" s="252" t="s">
        <v>288</v>
      </c>
      <c r="E4" s="35" t="s">
        <v>292</v>
      </c>
      <c r="F4" s="266">
        <v>3.0</v>
      </c>
      <c r="G4" s="267">
        <v>2.0</v>
      </c>
      <c r="H4" s="268">
        <v>6.0</v>
      </c>
      <c r="I4" s="256" t="s">
        <v>171</v>
      </c>
      <c r="J4" s="269" t="s">
        <v>290</v>
      </c>
      <c r="K4" s="258">
        <v>43482.0</v>
      </c>
      <c r="L4" s="270">
        <v>43524.0</v>
      </c>
      <c r="M4" s="271">
        <v>43475.0</v>
      </c>
      <c r="N4" s="261" t="s">
        <v>291</v>
      </c>
      <c r="O4" s="261"/>
      <c r="P4" s="260">
        <v>43524.0</v>
      </c>
      <c r="Q4" s="253" t="s">
        <v>284</v>
      </c>
      <c r="R4" s="253"/>
      <c r="S4" s="262"/>
      <c r="T4" s="263">
        <v>43530.0</v>
      </c>
      <c r="U4" s="262"/>
      <c r="V4" s="262"/>
      <c r="W4" s="253" t="s">
        <v>50</v>
      </c>
      <c r="X4" s="253" t="s">
        <v>285</v>
      </c>
      <c r="Y4" s="253" t="s">
        <v>51</v>
      </c>
      <c r="Z4" s="253" t="s">
        <v>52</v>
      </c>
      <c r="AA4" s="264"/>
    </row>
    <row r="5" ht="15.75" customHeight="1">
      <c r="A5" s="273">
        <v>429.0</v>
      </c>
      <c r="B5" s="265" t="s">
        <v>101</v>
      </c>
      <c r="C5" s="252" t="s">
        <v>287</v>
      </c>
      <c r="D5" s="252" t="s">
        <v>288</v>
      </c>
      <c r="E5" s="32" t="s">
        <v>293</v>
      </c>
      <c r="F5" s="266">
        <v>3.0</v>
      </c>
      <c r="G5" s="267">
        <v>84.7</v>
      </c>
      <c r="H5" s="268">
        <v>254.10000000000002</v>
      </c>
      <c r="I5" s="256" t="s">
        <v>171</v>
      </c>
      <c r="J5" s="269" t="s">
        <v>290</v>
      </c>
      <c r="K5" s="258">
        <v>43482.0</v>
      </c>
      <c r="L5" s="270">
        <v>43524.0</v>
      </c>
      <c r="M5" s="271">
        <v>43475.0</v>
      </c>
      <c r="N5" s="261" t="s">
        <v>291</v>
      </c>
      <c r="O5" s="261"/>
      <c r="P5" s="260">
        <v>43524.0</v>
      </c>
      <c r="Q5" s="253" t="s">
        <v>284</v>
      </c>
      <c r="R5" s="253"/>
      <c r="S5" s="262"/>
      <c r="T5" s="263">
        <v>43530.0</v>
      </c>
      <c r="U5" s="262"/>
      <c r="V5" s="262"/>
      <c r="W5" s="253" t="s">
        <v>50</v>
      </c>
      <c r="X5" s="253" t="s">
        <v>285</v>
      </c>
      <c r="Y5" s="253" t="s">
        <v>51</v>
      </c>
      <c r="Z5" s="253" t="s">
        <v>52</v>
      </c>
      <c r="AA5" s="264"/>
    </row>
    <row r="6" ht="15.75" customHeight="1">
      <c r="A6" s="274">
        <v>43390.0</v>
      </c>
      <c r="B6" s="275" t="s">
        <v>77</v>
      </c>
      <c r="C6" s="276">
        <v>1042.0</v>
      </c>
      <c r="D6" s="277" t="s">
        <v>294</v>
      </c>
      <c r="E6" s="278" t="s">
        <v>295</v>
      </c>
      <c r="F6" s="279"/>
      <c r="G6" s="280">
        <v>503.0</v>
      </c>
      <c r="H6" s="281">
        <v>0.0</v>
      </c>
      <c r="I6" s="282" t="s">
        <v>43</v>
      </c>
      <c r="J6" s="283"/>
      <c r="K6" s="284"/>
      <c r="L6" s="285"/>
      <c r="M6" s="286"/>
      <c r="N6" s="286"/>
      <c r="O6" s="286"/>
      <c r="P6" s="286"/>
      <c r="Q6" s="279"/>
      <c r="R6" s="279"/>
      <c r="S6" s="287"/>
      <c r="T6" s="279"/>
      <c r="U6" s="287"/>
      <c r="V6" s="287"/>
      <c r="W6" s="279" t="s">
        <v>50</v>
      </c>
      <c r="X6" s="279" t="s">
        <v>296</v>
      </c>
      <c r="Y6" s="279" t="s">
        <v>286</v>
      </c>
      <c r="Z6" s="279" t="s">
        <v>52</v>
      </c>
      <c r="AA6" s="288"/>
    </row>
    <row r="7" ht="15.75" customHeight="1">
      <c r="A7" s="274">
        <v>43390.0</v>
      </c>
      <c r="B7" s="275" t="s">
        <v>77</v>
      </c>
      <c r="C7" s="276">
        <v>1042.0</v>
      </c>
      <c r="D7" s="277" t="s">
        <v>294</v>
      </c>
      <c r="E7" s="278" t="s">
        <v>297</v>
      </c>
      <c r="F7" s="279"/>
      <c r="G7" s="280">
        <v>20.0</v>
      </c>
      <c r="H7" s="289">
        <v>0.0</v>
      </c>
      <c r="I7" s="282" t="s">
        <v>43</v>
      </c>
      <c r="J7" s="290"/>
      <c r="K7" s="284"/>
      <c r="L7" s="277"/>
      <c r="M7" s="286"/>
      <c r="N7" s="286"/>
      <c r="O7" s="286"/>
      <c r="P7" s="286"/>
      <c r="Q7" s="279"/>
      <c r="R7" s="279"/>
      <c r="S7" s="287"/>
      <c r="T7" s="279"/>
      <c r="U7" s="287"/>
      <c r="V7" s="287"/>
      <c r="W7" s="279" t="s">
        <v>50</v>
      </c>
      <c r="X7" s="279" t="s">
        <v>296</v>
      </c>
      <c r="Y7" s="279" t="s">
        <v>286</v>
      </c>
      <c r="Z7" s="279" t="s">
        <v>52</v>
      </c>
      <c r="AA7" s="288"/>
    </row>
    <row r="8" ht="15.75" customHeight="1">
      <c r="A8" s="274">
        <v>43390.0</v>
      </c>
      <c r="B8" s="275" t="s">
        <v>77</v>
      </c>
      <c r="C8" s="276">
        <v>1042.0</v>
      </c>
      <c r="D8" s="277" t="s">
        <v>298</v>
      </c>
      <c r="E8" s="278" t="s">
        <v>295</v>
      </c>
      <c r="F8" s="279"/>
      <c r="G8" s="280">
        <v>503.0</v>
      </c>
      <c r="H8" s="289">
        <v>0.0</v>
      </c>
      <c r="I8" s="282" t="s">
        <v>43</v>
      </c>
      <c r="J8" s="290" t="s">
        <v>299</v>
      </c>
      <c r="K8" s="291"/>
      <c r="L8" s="277"/>
      <c r="M8" s="286"/>
      <c r="N8" s="286"/>
      <c r="O8" s="286"/>
      <c r="P8" s="286"/>
      <c r="Q8" s="279"/>
      <c r="R8" s="279"/>
      <c r="S8" s="287"/>
      <c r="T8" s="279"/>
      <c r="U8" s="287"/>
      <c r="V8" s="287"/>
      <c r="W8" s="279" t="s">
        <v>50</v>
      </c>
      <c r="X8" s="279" t="s">
        <v>296</v>
      </c>
      <c r="Y8" s="279" t="s">
        <v>286</v>
      </c>
      <c r="Z8" s="279" t="s">
        <v>52</v>
      </c>
      <c r="AA8" s="288"/>
    </row>
    <row r="9" ht="15.75" customHeight="1">
      <c r="A9" s="274">
        <v>43390.0</v>
      </c>
      <c r="B9" s="275" t="s">
        <v>77</v>
      </c>
      <c r="C9" s="276">
        <v>1042.0</v>
      </c>
      <c r="D9" s="277" t="s">
        <v>298</v>
      </c>
      <c r="E9" s="278" t="s">
        <v>297</v>
      </c>
      <c r="F9" s="279"/>
      <c r="G9" s="280">
        <v>20.0</v>
      </c>
      <c r="H9" s="289">
        <v>0.0</v>
      </c>
      <c r="I9" s="282" t="s">
        <v>43</v>
      </c>
      <c r="J9" s="290"/>
      <c r="K9" s="291"/>
      <c r="L9" s="277"/>
      <c r="M9" s="286"/>
      <c r="N9" s="286"/>
      <c r="O9" s="286"/>
      <c r="P9" s="286"/>
      <c r="Q9" s="279"/>
      <c r="R9" s="279"/>
      <c r="S9" s="287"/>
      <c r="T9" s="279"/>
      <c r="U9" s="287"/>
      <c r="V9" s="287"/>
      <c r="W9" s="279" t="s">
        <v>50</v>
      </c>
      <c r="X9" s="279" t="s">
        <v>296</v>
      </c>
      <c r="Y9" s="279" t="s">
        <v>286</v>
      </c>
      <c r="Z9" s="279" t="s">
        <v>52</v>
      </c>
      <c r="AA9" s="288"/>
    </row>
    <row r="10" ht="33.75" customHeight="1">
      <c r="A10" s="69">
        <v>43395.0</v>
      </c>
      <c r="B10" s="70" t="s">
        <v>101</v>
      </c>
      <c r="C10" s="292" t="s">
        <v>300</v>
      </c>
      <c r="D10" s="32" t="s">
        <v>301</v>
      </c>
      <c r="E10" s="246" t="s">
        <v>302</v>
      </c>
      <c r="F10" s="54">
        <v>10.0</v>
      </c>
      <c r="G10" s="48">
        <v>85.0</v>
      </c>
      <c r="H10" s="26">
        <v>850.0</v>
      </c>
      <c r="I10" s="61" t="s">
        <v>303</v>
      </c>
      <c r="J10" s="293"/>
      <c r="K10" s="30">
        <v>43536.0</v>
      </c>
      <c r="L10" s="294">
        <v>43450.0</v>
      </c>
      <c r="M10" s="295">
        <v>43420.0</v>
      </c>
      <c r="N10" s="296" t="s">
        <v>304</v>
      </c>
      <c r="O10" s="297">
        <v>62685.0</v>
      </c>
      <c r="P10" s="295">
        <v>43445.0</v>
      </c>
      <c r="Q10" s="298"/>
      <c r="R10" s="298">
        <v>30.79</v>
      </c>
      <c r="S10" s="299"/>
      <c r="T10" s="300">
        <v>43587.0</v>
      </c>
      <c r="U10" s="299">
        <f>21441.77*30.84</f>
        <v>661264.1868</v>
      </c>
      <c r="V10" s="299">
        <f>(10+10.73)*30.84</f>
        <v>639.3132</v>
      </c>
      <c r="W10" s="298" t="s">
        <v>50</v>
      </c>
      <c r="X10" s="24" t="s">
        <v>285</v>
      </c>
      <c r="Y10" s="298" t="s">
        <v>286</v>
      </c>
      <c r="Z10" s="298" t="s">
        <v>52</v>
      </c>
      <c r="AA10" s="234" t="s">
        <v>305</v>
      </c>
    </row>
    <row r="11" ht="15.75" customHeight="1">
      <c r="A11" s="69">
        <v>43395.0</v>
      </c>
      <c r="B11" s="70" t="s">
        <v>101</v>
      </c>
      <c r="C11" s="292" t="s">
        <v>300</v>
      </c>
      <c r="D11" s="301" t="s">
        <v>306</v>
      </c>
      <c r="E11" s="246" t="s">
        <v>307</v>
      </c>
      <c r="F11" s="54">
        <v>10.0</v>
      </c>
      <c r="G11" s="48">
        <v>847.0</v>
      </c>
      <c r="H11" s="26">
        <v>8470.0</v>
      </c>
      <c r="I11" s="61" t="s">
        <v>303</v>
      </c>
      <c r="J11" s="293"/>
      <c r="K11" s="30">
        <v>43536.0</v>
      </c>
      <c r="L11" s="294">
        <v>43585.0</v>
      </c>
      <c r="M11" s="295">
        <v>43531.0</v>
      </c>
      <c r="N11" s="296" t="s">
        <v>308</v>
      </c>
      <c r="O11" s="297">
        <v>266805.0</v>
      </c>
      <c r="P11" s="302">
        <v>43586.0</v>
      </c>
      <c r="Q11" s="298"/>
      <c r="R11" s="298">
        <v>30.79</v>
      </c>
      <c r="S11" s="299"/>
      <c r="T11" s="300">
        <v>43587.0</v>
      </c>
      <c r="U11" s="299"/>
      <c r="V11" s="299"/>
      <c r="W11" s="298" t="s">
        <v>50</v>
      </c>
      <c r="X11" s="24" t="s">
        <v>285</v>
      </c>
      <c r="Y11" s="298" t="s">
        <v>286</v>
      </c>
      <c r="Z11" s="298" t="s">
        <v>52</v>
      </c>
      <c r="AA11" s="234" t="s">
        <v>305</v>
      </c>
    </row>
    <row r="12" ht="42.75" customHeight="1">
      <c r="A12" s="69">
        <v>43395.0</v>
      </c>
      <c r="B12" s="70" t="s">
        <v>101</v>
      </c>
      <c r="C12" s="292" t="s">
        <v>300</v>
      </c>
      <c r="D12" s="21" t="s">
        <v>309</v>
      </c>
      <c r="E12" s="246" t="s">
        <v>310</v>
      </c>
      <c r="F12" s="54">
        <v>10.0</v>
      </c>
      <c r="G12" s="48">
        <v>6.0</v>
      </c>
      <c r="H12" s="26">
        <v>60.0</v>
      </c>
      <c r="I12" s="61" t="s">
        <v>303</v>
      </c>
      <c r="J12" s="293"/>
      <c r="K12" s="30">
        <v>43536.0</v>
      </c>
      <c r="L12" s="294">
        <v>43585.0</v>
      </c>
      <c r="M12" s="295">
        <v>43531.0</v>
      </c>
      <c r="N12" s="296" t="s">
        <v>308</v>
      </c>
      <c r="O12" s="296"/>
      <c r="P12" s="302">
        <v>43586.0</v>
      </c>
      <c r="Q12" s="298"/>
      <c r="R12" s="298">
        <v>30.79</v>
      </c>
      <c r="S12" s="299"/>
      <c r="T12" s="300">
        <v>43587.0</v>
      </c>
      <c r="U12" s="299"/>
      <c r="V12" s="299"/>
      <c r="W12" s="298" t="s">
        <v>50</v>
      </c>
      <c r="X12" s="24" t="s">
        <v>285</v>
      </c>
      <c r="Y12" s="298" t="s">
        <v>286</v>
      </c>
      <c r="Z12" s="298" t="s">
        <v>52</v>
      </c>
      <c r="AA12" s="234" t="s">
        <v>305</v>
      </c>
    </row>
    <row r="13" ht="15.75" customHeight="1">
      <c r="A13" s="69">
        <v>43395.0</v>
      </c>
      <c r="B13" s="70" t="s">
        <v>101</v>
      </c>
      <c r="C13" s="292" t="s">
        <v>300</v>
      </c>
      <c r="D13" s="21" t="s">
        <v>309</v>
      </c>
      <c r="E13" s="246" t="s">
        <v>293</v>
      </c>
      <c r="F13" s="54">
        <v>10.0</v>
      </c>
      <c r="G13" s="48">
        <v>84.7</v>
      </c>
      <c r="H13" s="26">
        <v>847.0</v>
      </c>
      <c r="I13" s="61" t="s">
        <v>303</v>
      </c>
      <c r="J13" s="293"/>
      <c r="K13" s="30">
        <v>43536.0</v>
      </c>
      <c r="L13" s="294">
        <v>43585.0</v>
      </c>
      <c r="M13" s="295">
        <v>43531.0</v>
      </c>
      <c r="N13" s="296" t="s">
        <v>308</v>
      </c>
      <c r="O13" s="296"/>
      <c r="P13" s="302">
        <v>43586.0</v>
      </c>
      <c r="Q13" s="298"/>
      <c r="R13" s="298">
        <v>30.79</v>
      </c>
      <c r="S13" s="299"/>
      <c r="T13" s="300">
        <v>43587.0</v>
      </c>
      <c r="U13" s="299"/>
      <c r="V13" s="299"/>
      <c r="W13" s="298" t="s">
        <v>50</v>
      </c>
      <c r="X13" s="24" t="s">
        <v>285</v>
      </c>
      <c r="Y13" s="298" t="s">
        <v>286</v>
      </c>
      <c r="Z13" s="298" t="s">
        <v>52</v>
      </c>
      <c r="AA13" s="234" t="s">
        <v>305</v>
      </c>
    </row>
    <row r="14" ht="15.75" customHeight="1">
      <c r="A14" s="69">
        <v>43395.0</v>
      </c>
      <c r="B14" s="70" t="s">
        <v>101</v>
      </c>
      <c r="C14" s="292" t="s">
        <v>300</v>
      </c>
      <c r="D14" s="21" t="s">
        <v>311</v>
      </c>
      <c r="E14" s="246" t="s">
        <v>302</v>
      </c>
      <c r="F14" s="54">
        <v>10.0</v>
      </c>
      <c r="G14" s="48">
        <v>85.0</v>
      </c>
      <c r="H14" s="26">
        <v>850.0</v>
      </c>
      <c r="I14" s="61" t="s">
        <v>303</v>
      </c>
      <c r="J14" s="293"/>
      <c r="K14" s="30">
        <v>43566.0</v>
      </c>
      <c r="L14" s="294">
        <v>43450.0</v>
      </c>
      <c r="M14" s="295">
        <v>43420.0</v>
      </c>
      <c r="N14" s="296" t="s">
        <v>304</v>
      </c>
      <c r="O14" s="297"/>
      <c r="P14" s="295">
        <v>43445.0</v>
      </c>
      <c r="Q14" s="298"/>
      <c r="R14" s="298">
        <v>30.77</v>
      </c>
      <c r="S14" s="299">
        <f t="shared" ref="S14:S17" si="1">R14*H14</f>
        <v>26154.5</v>
      </c>
      <c r="T14" s="300">
        <v>43602.0</v>
      </c>
      <c r="U14" s="299"/>
      <c r="V14" s="299"/>
      <c r="W14" s="298" t="s">
        <v>50</v>
      </c>
      <c r="X14" s="24" t="s">
        <v>285</v>
      </c>
      <c r="Y14" s="298" t="s">
        <v>286</v>
      </c>
      <c r="Z14" s="298" t="s">
        <v>52</v>
      </c>
      <c r="AA14" s="234" t="s">
        <v>305</v>
      </c>
    </row>
    <row r="15" ht="15.75" customHeight="1">
      <c r="A15" s="69">
        <v>43395.0</v>
      </c>
      <c r="B15" s="70" t="s">
        <v>101</v>
      </c>
      <c r="C15" s="292" t="s">
        <v>300</v>
      </c>
      <c r="D15" s="303" t="s">
        <v>311</v>
      </c>
      <c r="E15" s="246" t="s">
        <v>312</v>
      </c>
      <c r="F15" s="54">
        <v>10.0</v>
      </c>
      <c r="G15" s="48">
        <v>847.0</v>
      </c>
      <c r="H15" s="26">
        <v>8470.0</v>
      </c>
      <c r="I15" s="61" t="s">
        <v>303</v>
      </c>
      <c r="J15" s="58"/>
      <c r="K15" s="30">
        <v>43566.0</v>
      </c>
      <c r="L15" s="304">
        <v>43616.0</v>
      </c>
      <c r="M15" s="305">
        <v>43563.0</v>
      </c>
      <c r="N15" s="306" t="s">
        <v>313</v>
      </c>
      <c r="O15" s="306">
        <v>266805.0</v>
      </c>
      <c r="P15" s="305">
        <v>43616.0</v>
      </c>
      <c r="Q15" s="298"/>
      <c r="R15" s="298">
        <v>30.77</v>
      </c>
      <c r="S15" s="299">
        <f t="shared" si="1"/>
        <v>260621.9</v>
      </c>
      <c r="T15" s="300">
        <v>43602.0</v>
      </c>
      <c r="U15" s="299">
        <f>19748.12*31.16</f>
        <v>615351.4192</v>
      </c>
      <c r="V15" s="299">
        <f>(19768-19748.12)*31.16</f>
        <v>619.4608</v>
      </c>
      <c r="W15" s="298" t="s">
        <v>50</v>
      </c>
      <c r="X15" s="24" t="s">
        <v>285</v>
      </c>
      <c r="Y15" s="298" t="s">
        <v>286</v>
      </c>
      <c r="Z15" s="298" t="s">
        <v>52</v>
      </c>
      <c r="AA15" s="234" t="s">
        <v>305</v>
      </c>
    </row>
    <row r="16" ht="15.75" customHeight="1">
      <c r="A16" s="69">
        <v>43395.0</v>
      </c>
      <c r="B16" s="70" t="s">
        <v>101</v>
      </c>
      <c r="C16" s="292" t="s">
        <v>300</v>
      </c>
      <c r="D16" s="21" t="s">
        <v>311</v>
      </c>
      <c r="E16" s="246" t="s">
        <v>310</v>
      </c>
      <c r="F16" s="54">
        <v>10.0</v>
      </c>
      <c r="G16" s="48">
        <v>6.0</v>
      </c>
      <c r="H16" s="26">
        <v>60.0</v>
      </c>
      <c r="I16" s="61" t="s">
        <v>303</v>
      </c>
      <c r="J16" s="293"/>
      <c r="K16" s="30">
        <v>43566.0</v>
      </c>
      <c r="L16" s="304">
        <v>43616.0</v>
      </c>
      <c r="M16" s="305">
        <v>43563.0</v>
      </c>
      <c r="N16" s="306" t="s">
        <v>313</v>
      </c>
      <c r="O16" s="306"/>
      <c r="P16" s="305">
        <v>43616.0</v>
      </c>
      <c r="Q16" s="298"/>
      <c r="R16" s="298">
        <v>30.77</v>
      </c>
      <c r="S16" s="299">
        <f t="shared" si="1"/>
        <v>1846.2</v>
      </c>
      <c r="T16" s="300">
        <v>43602.0</v>
      </c>
      <c r="U16" s="299"/>
      <c r="V16" s="299"/>
      <c r="W16" s="298" t="s">
        <v>50</v>
      </c>
      <c r="X16" s="24" t="s">
        <v>285</v>
      </c>
      <c r="Y16" s="298" t="s">
        <v>286</v>
      </c>
      <c r="Z16" s="298" t="s">
        <v>52</v>
      </c>
      <c r="AA16" s="234" t="s">
        <v>305</v>
      </c>
    </row>
    <row r="17" ht="15.75" customHeight="1">
      <c r="A17" s="69">
        <v>43395.0</v>
      </c>
      <c r="B17" s="70" t="s">
        <v>101</v>
      </c>
      <c r="C17" s="292" t="s">
        <v>300</v>
      </c>
      <c r="D17" s="21" t="s">
        <v>311</v>
      </c>
      <c r="E17" s="246" t="s">
        <v>293</v>
      </c>
      <c r="F17" s="54">
        <v>10.0</v>
      </c>
      <c r="G17" s="48">
        <v>84.7</v>
      </c>
      <c r="H17" s="26">
        <v>847.0</v>
      </c>
      <c r="I17" s="61" t="s">
        <v>303</v>
      </c>
      <c r="J17" s="293"/>
      <c r="K17" s="30">
        <v>43566.0</v>
      </c>
      <c r="L17" s="304">
        <v>43616.0</v>
      </c>
      <c r="M17" s="305">
        <v>43563.0</v>
      </c>
      <c r="N17" s="306" t="s">
        <v>313</v>
      </c>
      <c r="O17" s="306"/>
      <c r="P17" s="305">
        <v>43616.0</v>
      </c>
      <c r="Q17" s="298"/>
      <c r="R17" s="298">
        <v>30.77</v>
      </c>
      <c r="S17" s="299">
        <f t="shared" si="1"/>
        <v>26062.19</v>
      </c>
      <c r="T17" s="300">
        <v>43602.0</v>
      </c>
      <c r="U17" s="299"/>
      <c r="V17" s="299"/>
      <c r="W17" s="298" t="s">
        <v>50</v>
      </c>
      <c r="X17" s="24" t="s">
        <v>285</v>
      </c>
      <c r="Y17" s="298" t="s">
        <v>286</v>
      </c>
      <c r="Z17" s="298" t="s">
        <v>52</v>
      </c>
      <c r="AA17" s="234" t="s">
        <v>305</v>
      </c>
    </row>
    <row r="18" ht="15.75" customHeight="1">
      <c r="A18" s="69">
        <v>43399.0</v>
      </c>
      <c r="B18" s="265" t="s">
        <v>77</v>
      </c>
      <c r="C18" s="252">
        <v>1069.0</v>
      </c>
      <c r="D18" s="252" t="s">
        <v>314</v>
      </c>
      <c r="E18" s="246" t="s">
        <v>315</v>
      </c>
      <c r="F18" s="253">
        <v>20.0</v>
      </c>
      <c r="G18" s="254">
        <v>285.0</v>
      </c>
      <c r="H18" s="255">
        <v>5700.0</v>
      </c>
      <c r="I18" s="256" t="s">
        <v>43</v>
      </c>
      <c r="J18" s="257" t="s">
        <v>316</v>
      </c>
      <c r="K18" s="258">
        <v>43475.0</v>
      </c>
      <c r="L18" s="260">
        <v>43555.0</v>
      </c>
      <c r="M18" s="260">
        <v>43472.0</v>
      </c>
      <c r="N18" s="261" t="s">
        <v>317</v>
      </c>
      <c r="O18" s="272">
        <v>375144.0</v>
      </c>
      <c r="P18" s="260">
        <v>43564.0</v>
      </c>
      <c r="Q18" s="253" t="s">
        <v>284</v>
      </c>
      <c r="R18" s="253"/>
      <c r="S18" s="262"/>
      <c r="T18" s="253"/>
      <c r="U18" s="262">
        <f>14150*30.76</f>
        <v>435254</v>
      </c>
      <c r="V18" s="262">
        <v>0.0</v>
      </c>
      <c r="W18" s="253" t="s">
        <v>50</v>
      </c>
      <c r="X18" s="253" t="s">
        <v>285</v>
      </c>
      <c r="Y18" s="253" t="s">
        <v>51</v>
      </c>
      <c r="Z18" s="253" t="s">
        <v>52</v>
      </c>
      <c r="AA18" s="264"/>
    </row>
    <row r="19" ht="15.75" customHeight="1">
      <c r="A19" s="69">
        <v>43399.0</v>
      </c>
      <c r="B19" s="265" t="s">
        <v>77</v>
      </c>
      <c r="C19" s="252">
        <v>1069.0</v>
      </c>
      <c r="D19" s="252" t="s">
        <v>314</v>
      </c>
      <c r="E19" s="246" t="s">
        <v>318</v>
      </c>
      <c r="F19" s="307">
        <v>30.0</v>
      </c>
      <c r="G19" s="254">
        <v>255.0</v>
      </c>
      <c r="H19" s="255">
        <v>7650.0</v>
      </c>
      <c r="I19" s="256" t="s">
        <v>43</v>
      </c>
      <c r="J19" s="257" t="s">
        <v>316</v>
      </c>
      <c r="K19" s="258">
        <v>43475.0</v>
      </c>
      <c r="L19" s="260">
        <v>43555.0</v>
      </c>
      <c r="M19" s="260">
        <v>43472.0</v>
      </c>
      <c r="N19" s="261" t="s">
        <v>317</v>
      </c>
      <c r="O19" s="261"/>
      <c r="P19" s="260">
        <v>43564.0</v>
      </c>
      <c r="Q19" s="253" t="s">
        <v>284</v>
      </c>
      <c r="R19" s="253"/>
      <c r="S19" s="262"/>
      <c r="T19" s="253"/>
      <c r="U19" s="262"/>
      <c r="V19" s="262"/>
      <c r="W19" s="253" t="s">
        <v>50</v>
      </c>
      <c r="X19" s="253" t="s">
        <v>285</v>
      </c>
      <c r="Y19" s="253" t="s">
        <v>51</v>
      </c>
      <c r="Z19" s="253" t="s">
        <v>52</v>
      </c>
      <c r="AA19" s="264"/>
    </row>
    <row r="20" ht="15.75" customHeight="1">
      <c r="A20" s="308">
        <v>43404.0</v>
      </c>
      <c r="B20" s="309" t="s">
        <v>101</v>
      </c>
      <c r="C20" s="310" t="s">
        <v>0</v>
      </c>
      <c r="D20" s="252" t="s">
        <v>319</v>
      </c>
      <c r="E20" s="35" t="s">
        <v>320</v>
      </c>
      <c r="F20" s="266">
        <v>100.0</v>
      </c>
      <c r="G20" s="267">
        <v>20.0</v>
      </c>
      <c r="H20" s="255">
        <v>2000.0</v>
      </c>
      <c r="I20" s="256" t="s">
        <v>303</v>
      </c>
      <c r="J20" s="257" t="s">
        <v>282</v>
      </c>
      <c r="K20" s="258"/>
      <c r="L20" s="311">
        <v>43560.0</v>
      </c>
      <c r="M20" s="260">
        <v>43522.0</v>
      </c>
      <c r="N20" s="261" t="s">
        <v>321</v>
      </c>
      <c r="O20" s="272">
        <v>52500.0</v>
      </c>
      <c r="P20" s="260">
        <v>43564.0</v>
      </c>
      <c r="Q20" s="253"/>
      <c r="R20" s="253"/>
      <c r="S20" s="262"/>
      <c r="T20" s="263">
        <v>43509.0</v>
      </c>
      <c r="U20" s="262">
        <f>1983.5*30.77</f>
        <v>61032.295</v>
      </c>
      <c r="V20" s="262">
        <f>(10+6.5)*30.77</f>
        <v>507.705</v>
      </c>
      <c r="W20" s="253" t="s">
        <v>50</v>
      </c>
      <c r="X20" s="253" t="s">
        <v>285</v>
      </c>
      <c r="Y20" s="253" t="s">
        <v>286</v>
      </c>
      <c r="Z20" s="253" t="s">
        <v>52</v>
      </c>
      <c r="AA20" s="264"/>
    </row>
    <row r="21" ht="15.75" customHeight="1">
      <c r="A21" s="69">
        <v>43441.0</v>
      </c>
      <c r="B21" s="265" t="s">
        <v>119</v>
      </c>
      <c r="C21" s="252" t="s">
        <v>322</v>
      </c>
      <c r="D21" s="252" t="s">
        <v>323</v>
      </c>
      <c r="E21" s="246" t="s">
        <v>152</v>
      </c>
      <c r="F21" s="264">
        <v>4.0</v>
      </c>
      <c r="G21" s="254">
        <v>1045.0</v>
      </c>
      <c r="H21" s="255">
        <v>4180.0</v>
      </c>
      <c r="I21" s="256" t="s">
        <v>171</v>
      </c>
      <c r="J21" s="256" t="s">
        <v>122</v>
      </c>
      <c r="K21" s="258">
        <v>43479.0</v>
      </c>
      <c r="L21" s="312">
        <v>43524.0</v>
      </c>
      <c r="M21" s="260">
        <v>43474.0</v>
      </c>
      <c r="N21" s="261" t="s">
        <v>324</v>
      </c>
      <c r="O21" s="272">
        <v>291492.0</v>
      </c>
      <c r="P21" s="260">
        <v>43522.0</v>
      </c>
      <c r="Q21" s="253" t="s">
        <v>284</v>
      </c>
      <c r="R21" s="253"/>
      <c r="S21" s="262"/>
      <c r="T21" s="307"/>
      <c r="U21" s="262"/>
      <c r="V21" s="262"/>
      <c r="W21" s="253" t="s">
        <v>50</v>
      </c>
      <c r="X21" s="253" t="s">
        <v>285</v>
      </c>
      <c r="Y21" s="253" t="s">
        <v>51</v>
      </c>
      <c r="Z21" s="253" t="s">
        <v>52</v>
      </c>
      <c r="AA21" s="264"/>
    </row>
    <row r="22" ht="15.75" customHeight="1">
      <c r="A22" s="69">
        <v>43441.0</v>
      </c>
      <c r="B22" s="265" t="s">
        <v>119</v>
      </c>
      <c r="C22" s="252" t="s">
        <v>322</v>
      </c>
      <c r="D22" s="252" t="s">
        <v>323</v>
      </c>
      <c r="E22" s="246" t="s">
        <v>121</v>
      </c>
      <c r="F22" s="253">
        <v>10.0</v>
      </c>
      <c r="G22" s="254">
        <v>359.0</v>
      </c>
      <c r="H22" s="255">
        <v>3590.0</v>
      </c>
      <c r="I22" s="256" t="s">
        <v>171</v>
      </c>
      <c r="J22" s="256" t="s">
        <v>122</v>
      </c>
      <c r="K22" s="258">
        <v>43479.0</v>
      </c>
      <c r="L22" s="312">
        <v>43524.0</v>
      </c>
      <c r="M22" s="260">
        <v>43474.0</v>
      </c>
      <c r="N22" s="261" t="s">
        <v>324</v>
      </c>
      <c r="O22" s="261"/>
      <c r="P22" s="260">
        <v>43522.0</v>
      </c>
      <c r="Q22" s="253" t="s">
        <v>284</v>
      </c>
      <c r="R22" s="253"/>
      <c r="S22" s="262"/>
      <c r="T22" s="307"/>
      <c r="U22" s="262"/>
      <c r="V22" s="262"/>
      <c r="W22" s="253" t="s">
        <v>50</v>
      </c>
      <c r="X22" s="253" t="s">
        <v>285</v>
      </c>
      <c r="Y22" s="253" t="s">
        <v>51</v>
      </c>
      <c r="Z22" s="253" t="s">
        <v>52</v>
      </c>
      <c r="AA22" s="264"/>
    </row>
    <row r="23" ht="15.75" customHeight="1">
      <c r="A23" s="313">
        <v>43441.0</v>
      </c>
      <c r="B23" s="314" t="s">
        <v>119</v>
      </c>
      <c r="C23" s="314" t="s">
        <v>322</v>
      </c>
      <c r="D23" s="252" t="s">
        <v>323</v>
      </c>
      <c r="E23" s="315" t="s">
        <v>325</v>
      </c>
      <c r="F23" s="253">
        <v>4.0</v>
      </c>
      <c r="G23" s="316">
        <v>577.0</v>
      </c>
      <c r="H23" s="255">
        <v>2308.0</v>
      </c>
      <c r="I23" s="266" t="s">
        <v>171</v>
      </c>
      <c r="J23" s="266" t="s">
        <v>122</v>
      </c>
      <c r="K23" s="258">
        <v>43479.0</v>
      </c>
      <c r="L23" s="317">
        <v>43524.0</v>
      </c>
      <c r="M23" s="318">
        <v>43474.0</v>
      </c>
      <c r="N23" s="319" t="s">
        <v>324</v>
      </c>
      <c r="O23" s="319"/>
      <c r="P23" s="260">
        <v>43522.0</v>
      </c>
      <c r="Q23" s="253" t="s">
        <v>284</v>
      </c>
      <c r="R23" s="253"/>
      <c r="S23" s="262"/>
      <c r="T23" s="307"/>
      <c r="U23" s="262"/>
      <c r="V23" s="262"/>
      <c r="W23" s="253" t="s">
        <v>50</v>
      </c>
      <c r="X23" s="253" t="s">
        <v>285</v>
      </c>
      <c r="Y23" s="253" t="s">
        <v>51</v>
      </c>
      <c r="Z23" s="253" t="s">
        <v>52</v>
      </c>
      <c r="AA23" s="264"/>
    </row>
    <row r="24" ht="15.75" customHeight="1">
      <c r="A24" s="19">
        <v>43444.0</v>
      </c>
      <c r="B24" s="320" t="s">
        <v>326</v>
      </c>
      <c r="C24" s="252">
        <v>2026605.0</v>
      </c>
      <c r="D24" s="310" t="s">
        <v>327</v>
      </c>
      <c r="E24" s="246" t="s">
        <v>328</v>
      </c>
      <c r="F24" s="253">
        <v>5.0</v>
      </c>
      <c r="G24" s="254">
        <v>607.0</v>
      </c>
      <c r="H24" s="255">
        <v>3035.0</v>
      </c>
      <c r="I24" s="256" t="s">
        <v>43</v>
      </c>
      <c r="J24" s="321" t="s">
        <v>329</v>
      </c>
      <c r="K24" s="258">
        <v>43475.0</v>
      </c>
      <c r="L24" s="322">
        <v>43524.0</v>
      </c>
      <c r="M24" s="260">
        <v>43479.0</v>
      </c>
      <c r="N24" s="261" t="s">
        <v>330</v>
      </c>
      <c r="O24" s="272">
        <v>267795.0</v>
      </c>
      <c r="P24" s="260">
        <v>43525.0</v>
      </c>
      <c r="Q24" s="253" t="s">
        <v>284</v>
      </c>
      <c r="R24" s="253"/>
      <c r="S24" s="262"/>
      <c r="T24" s="253"/>
      <c r="U24" s="262"/>
      <c r="V24" s="262"/>
      <c r="W24" s="253" t="s">
        <v>50</v>
      </c>
      <c r="X24" s="253" t="s">
        <v>285</v>
      </c>
      <c r="Y24" s="253" t="s">
        <v>51</v>
      </c>
      <c r="Z24" s="253" t="s">
        <v>52</v>
      </c>
      <c r="AA24" s="264"/>
    </row>
    <row r="25" ht="15.75" customHeight="1">
      <c r="A25" s="19">
        <v>43444.0</v>
      </c>
      <c r="B25" s="320" t="s">
        <v>326</v>
      </c>
      <c r="C25" s="252">
        <v>2026605.0</v>
      </c>
      <c r="D25" s="310" t="s">
        <v>327</v>
      </c>
      <c r="E25" s="246" t="s">
        <v>331</v>
      </c>
      <c r="F25" s="253">
        <v>5.0</v>
      </c>
      <c r="G25" s="254">
        <v>27.0</v>
      </c>
      <c r="H25" s="255">
        <v>135.0</v>
      </c>
      <c r="I25" s="256" t="s">
        <v>43</v>
      </c>
      <c r="J25" s="321" t="s">
        <v>329</v>
      </c>
      <c r="K25" s="258">
        <v>43475.0</v>
      </c>
      <c r="L25" s="322">
        <v>43524.0</v>
      </c>
      <c r="M25" s="260">
        <v>43479.0</v>
      </c>
      <c r="N25" s="261" t="s">
        <v>330</v>
      </c>
      <c r="O25" s="261"/>
      <c r="P25" s="260">
        <v>43525.0</v>
      </c>
      <c r="Q25" s="253" t="s">
        <v>284</v>
      </c>
      <c r="R25" s="253"/>
      <c r="S25" s="262"/>
      <c r="T25" s="253"/>
      <c r="U25" s="262"/>
      <c r="V25" s="262"/>
      <c r="W25" s="253" t="s">
        <v>50</v>
      </c>
      <c r="X25" s="253" t="s">
        <v>285</v>
      </c>
      <c r="Y25" s="253" t="s">
        <v>51</v>
      </c>
      <c r="Z25" s="253" t="s">
        <v>52</v>
      </c>
      <c r="AA25" s="264"/>
    </row>
    <row r="26" ht="15.75" customHeight="1">
      <c r="A26" s="19">
        <v>43444.0</v>
      </c>
      <c r="B26" s="320" t="s">
        <v>326</v>
      </c>
      <c r="C26" s="252">
        <v>2026605.0</v>
      </c>
      <c r="D26" s="310" t="s">
        <v>327</v>
      </c>
      <c r="E26" s="246" t="s">
        <v>53</v>
      </c>
      <c r="F26" s="253">
        <v>10.0</v>
      </c>
      <c r="G26" s="254">
        <v>31.0</v>
      </c>
      <c r="H26" s="255">
        <v>310.0</v>
      </c>
      <c r="I26" s="256" t="s">
        <v>43</v>
      </c>
      <c r="J26" s="321" t="s">
        <v>329</v>
      </c>
      <c r="K26" s="258">
        <v>43475.0</v>
      </c>
      <c r="L26" s="322">
        <v>43524.0</v>
      </c>
      <c r="M26" s="260">
        <v>43479.0</v>
      </c>
      <c r="N26" s="261" t="s">
        <v>330</v>
      </c>
      <c r="O26" s="261"/>
      <c r="P26" s="260">
        <v>43525.0</v>
      </c>
      <c r="Q26" s="253" t="s">
        <v>284</v>
      </c>
      <c r="R26" s="253"/>
      <c r="S26" s="262"/>
      <c r="T26" s="253"/>
      <c r="U26" s="262"/>
      <c r="V26" s="262"/>
      <c r="W26" s="253" t="s">
        <v>50</v>
      </c>
      <c r="X26" s="253" t="s">
        <v>285</v>
      </c>
      <c r="Y26" s="253" t="s">
        <v>51</v>
      </c>
      <c r="Z26" s="253" t="s">
        <v>52</v>
      </c>
      <c r="AA26" s="264"/>
    </row>
    <row r="27" ht="15.75" customHeight="1">
      <c r="A27" s="19">
        <v>43444.0</v>
      </c>
      <c r="B27" s="320" t="s">
        <v>326</v>
      </c>
      <c r="C27" s="252">
        <v>2026605.0</v>
      </c>
      <c r="D27" s="310" t="s">
        <v>327</v>
      </c>
      <c r="E27" s="246" t="s">
        <v>59</v>
      </c>
      <c r="F27" s="253">
        <v>10.0</v>
      </c>
      <c r="G27" s="254">
        <v>4.0</v>
      </c>
      <c r="H27" s="255">
        <v>40.0</v>
      </c>
      <c r="I27" s="256" t="s">
        <v>43</v>
      </c>
      <c r="J27" s="269" t="s">
        <v>329</v>
      </c>
      <c r="K27" s="258">
        <v>43475.0</v>
      </c>
      <c r="L27" s="322">
        <v>43524.0</v>
      </c>
      <c r="M27" s="260">
        <v>43479.0</v>
      </c>
      <c r="N27" s="261" t="s">
        <v>330</v>
      </c>
      <c r="O27" s="261"/>
      <c r="P27" s="260">
        <v>43525.0</v>
      </c>
      <c r="Q27" s="253" t="s">
        <v>284</v>
      </c>
      <c r="R27" s="253"/>
      <c r="S27" s="262"/>
      <c r="T27" s="253"/>
      <c r="U27" s="262"/>
      <c r="V27" s="262"/>
      <c r="W27" s="253" t="s">
        <v>50</v>
      </c>
      <c r="X27" s="253" t="s">
        <v>285</v>
      </c>
      <c r="Y27" s="253" t="s">
        <v>51</v>
      </c>
      <c r="Z27" s="253" t="s">
        <v>52</v>
      </c>
      <c r="AA27" s="264"/>
    </row>
    <row r="28" ht="15.75" customHeight="1">
      <c r="A28" s="19">
        <v>43444.0</v>
      </c>
      <c r="B28" s="320" t="s">
        <v>326</v>
      </c>
      <c r="C28" s="252">
        <v>2026605.0</v>
      </c>
      <c r="D28" s="310" t="s">
        <v>327</v>
      </c>
      <c r="E28" s="246" t="s">
        <v>42</v>
      </c>
      <c r="F28" s="253">
        <v>10.0</v>
      </c>
      <c r="G28" s="254">
        <v>273.0</v>
      </c>
      <c r="H28" s="255">
        <v>2730.0</v>
      </c>
      <c r="I28" s="256" t="s">
        <v>43</v>
      </c>
      <c r="J28" s="269" t="s">
        <v>329</v>
      </c>
      <c r="K28" s="258">
        <v>43475.0</v>
      </c>
      <c r="L28" s="323">
        <v>43497.0</v>
      </c>
      <c r="M28" s="260">
        <v>43467.0</v>
      </c>
      <c r="N28" s="261" t="s">
        <v>332</v>
      </c>
      <c r="O28" s="272">
        <v>67121.0</v>
      </c>
      <c r="P28" s="260">
        <v>43523.0</v>
      </c>
      <c r="Q28" s="253" t="s">
        <v>284</v>
      </c>
      <c r="R28" s="253"/>
      <c r="S28" s="262"/>
      <c r="T28" s="253"/>
      <c r="U28" s="262"/>
      <c r="V28" s="262"/>
      <c r="W28" s="253" t="s">
        <v>50</v>
      </c>
      <c r="X28" s="253" t="s">
        <v>285</v>
      </c>
      <c r="Y28" s="253" t="s">
        <v>51</v>
      </c>
      <c r="Z28" s="253" t="s">
        <v>52</v>
      </c>
      <c r="AA28" s="264"/>
    </row>
    <row r="29" ht="15.75" customHeight="1">
      <c r="A29" s="19">
        <v>43444.0</v>
      </c>
      <c r="B29" s="320" t="s">
        <v>326</v>
      </c>
      <c r="C29" s="252">
        <v>2026605.0</v>
      </c>
      <c r="D29" s="310" t="s">
        <v>333</v>
      </c>
      <c r="E29" s="324" t="s">
        <v>61</v>
      </c>
      <c r="F29" s="253">
        <v>10.0</v>
      </c>
      <c r="G29" s="325">
        <v>567.0</v>
      </c>
      <c r="H29" s="255">
        <v>5670.0</v>
      </c>
      <c r="I29" s="256" t="s">
        <v>43</v>
      </c>
      <c r="J29" s="269" t="s">
        <v>329</v>
      </c>
      <c r="K29" s="258">
        <v>43475.0</v>
      </c>
      <c r="L29" s="322">
        <v>43524.0</v>
      </c>
      <c r="M29" s="260">
        <v>43479.0</v>
      </c>
      <c r="N29" s="261" t="s">
        <v>330</v>
      </c>
      <c r="O29" s="261"/>
      <c r="P29" s="260">
        <v>43525.0</v>
      </c>
      <c r="Q29" s="253" t="s">
        <v>284</v>
      </c>
      <c r="R29" s="253"/>
      <c r="S29" s="262"/>
      <c r="T29" s="253"/>
      <c r="U29" s="262"/>
      <c r="V29" s="262"/>
      <c r="W29" s="253" t="s">
        <v>50</v>
      </c>
      <c r="X29" s="253" t="s">
        <v>285</v>
      </c>
      <c r="Y29" s="253" t="s">
        <v>51</v>
      </c>
      <c r="Z29" s="253" t="s">
        <v>52</v>
      </c>
      <c r="AA29" s="264"/>
    </row>
    <row r="30" ht="15.75" customHeight="1">
      <c r="A30" s="69">
        <v>43446.0</v>
      </c>
      <c r="B30" s="265" t="s">
        <v>101</v>
      </c>
      <c r="C30" s="252" t="s">
        <v>334</v>
      </c>
      <c r="D30" s="252" t="s">
        <v>335</v>
      </c>
      <c r="E30" s="324" t="s">
        <v>336</v>
      </c>
      <c r="F30" s="253">
        <v>1.0</v>
      </c>
      <c r="G30" s="325">
        <v>178.0</v>
      </c>
      <c r="H30" s="255">
        <v>178.0</v>
      </c>
      <c r="I30" s="256" t="s">
        <v>303</v>
      </c>
      <c r="J30" s="269" t="s">
        <v>290</v>
      </c>
      <c r="K30" s="258">
        <v>43475.0</v>
      </c>
      <c r="L30" s="326">
        <v>43120.0</v>
      </c>
      <c r="M30" s="260">
        <v>43454.0</v>
      </c>
      <c r="N30" s="261" t="s">
        <v>337</v>
      </c>
      <c r="O30" s="272">
        <v>42305.0</v>
      </c>
      <c r="P30" s="260">
        <v>43528.0</v>
      </c>
      <c r="Q30" s="253" t="s">
        <v>284</v>
      </c>
      <c r="R30" s="253"/>
      <c r="S30" s="262"/>
      <c r="T30" s="263">
        <v>43521.0</v>
      </c>
      <c r="U30" s="262"/>
      <c r="V30" s="262"/>
      <c r="W30" s="253" t="s">
        <v>50</v>
      </c>
      <c r="X30" s="253" t="s">
        <v>285</v>
      </c>
      <c r="Y30" s="253" t="s">
        <v>51</v>
      </c>
      <c r="Z30" s="253" t="s">
        <v>52</v>
      </c>
      <c r="AA30" s="264"/>
    </row>
    <row r="31" ht="15.75" customHeight="1">
      <c r="A31" s="69">
        <v>43446.0</v>
      </c>
      <c r="B31" s="265" t="s">
        <v>101</v>
      </c>
      <c r="C31" s="252" t="s">
        <v>334</v>
      </c>
      <c r="D31" s="252" t="s">
        <v>335</v>
      </c>
      <c r="E31" s="327" t="s">
        <v>338</v>
      </c>
      <c r="F31" s="253">
        <v>1.0</v>
      </c>
      <c r="G31" s="325">
        <v>42.0</v>
      </c>
      <c r="H31" s="255">
        <v>42.0</v>
      </c>
      <c r="I31" s="256" t="s">
        <v>303</v>
      </c>
      <c r="J31" s="269" t="s">
        <v>290</v>
      </c>
      <c r="K31" s="258">
        <v>43475.0</v>
      </c>
      <c r="L31" s="323">
        <v>43496.0</v>
      </c>
      <c r="M31" s="260">
        <v>43454.0</v>
      </c>
      <c r="N31" s="261" t="s">
        <v>339</v>
      </c>
      <c r="O31" s="272">
        <v>1134.0</v>
      </c>
      <c r="P31" s="260">
        <v>43495.0</v>
      </c>
      <c r="Q31" s="253" t="s">
        <v>284</v>
      </c>
      <c r="R31" s="253"/>
      <c r="S31" s="262"/>
      <c r="T31" s="263">
        <v>43521.0</v>
      </c>
      <c r="U31" s="262"/>
      <c r="V31" s="262"/>
      <c r="W31" s="253" t="s">
        <v>50</v>
      </c>
      <c r="X31" s="253" t="s">
        <v>285</v>
      </c>
      <c r="Y31" s="253" t="s">
        <v>51</v>
      </c>
      <c r="Z31" s="253" t="s">
        <v>52</v>
      </c>
      <c r="AA31" s="264"/>
    </row>
    <row r="32" ht="15.75" customHeight="1">
      <c r="A32" s="69">
        <v>43446.0</v>
      </c>
      <c r="B32" s="265" t="s">
        <v>101</v>
      </c>
      <c r="C32" s="252" t="s">
        <v>334</v>
      </c>
      <c r="D32" s="252" t="s">
        <v>335</v>
      </c>
      <c r="E32" s="324" t="s">
        <v>340</v>
      </c>
      <c r="F32" s="253">
        <v>1.0</v>
      </c>
      <c r="G32" s="325">
        <v>341.0</v>
      </c>
      <c r="H32" s="255">
        <v>341.0</v>
      </c>
      <c r="I32" s="256" t="s">
        <v>303</v>
      </c>
      <c r="J32" s="269" t="s">
        <v>290</v>
      </c>
      <c r="K32" s="258">
        <v>43475.0</v>
      </c>
      <c r="L32" s="323">
        <v>43118.0</v>
      </c>
      <c r="M32" s="260">
        <v>43453.0</v>
      </c>
      <c r="N32" s="261" t="s">
        <v>341</v>
      </c>
      <c r="O32" s="272">
        <v>9400.0</v>
      </c>
      <c r="P32" s="260">
        <v>43483.0</v>
      </c>
      <c r="Q32" s="253" t="s">
        <v>284</v>
      </c>
      <c r="R32" s="253"/>
      <c r="S32" s="262"/>
      <c r="T32" s="263">
        <v>43521.0</v>
      </c>
      <c r="U32" s="262"/>
      <c r="V32" s="262"/>
      <c r="W32" s="253" t="s">
        <v>50</v>
      </c>
      <c r="X32" s="253" t="s">
        <v>285</v>
      </c>
      <c r="Y32" s="253" t="s">
        <v>51</v>
      </c>
      <c r="Z32" s="253" t="s">
        <v>52</v>
      </c>
      <c r="AA32" s="264"/>
    </row>
    <row r="33" ht="15.75" customHeight="1">
      <c r="A33" s="69">
        <v>43446.0</v>
      </c>
      <c r="B33" s="265" t="s">
        <v>101</v>
      </c>
      <c r="C33" s="252" t="s">
        <v>334</v>
      </c>
      <c r="D33" s="252" t="s">
        <v>335</v>
      </c>
      <c r="E33" s="246" t="s">
        <v>342</v>
      </c>
      <c r="F33" s="253">
        <v>1.0</v>
      </c>
      <c r="G33" s="254">
        <v>45.0</v>
      </c>
      <c r="H33" s="255">
        <v>45.0</v>
      </c>
      <c r="I33" s="256" t="s">
        <v>303</v>
      </c>
      <c r="J33" s="269" t="s">
        <v>290</v>
      </c>
      <c r="K33" s="258">
        <v>43475.0</v>
      </c>
      <c r="L33" s="326">
        <v>43524.0</v>
      </c>
      <c r="M33" s="260">
        <v>43472.0</v>
      </c>
      <c r="N33" s="261" t="s">
        <v>343</v>
      </c>
      <c r="O33" s="261"/>
      <c r="P33" s="260">
        <v>43524.0</v>
      </c>
      <c r="Q33" s="253" t="s">
        <v>284</v>
      </c>
      <c r="R33" s="253"/>
      <c r="S33" s="262"/>
      <c r="T33" s="263">
        <v>43521.0</v>
      </c>
      <c r="U33" s="262"/>
      <c r="V33" s="262"/>
      <c r="W33" s="253" t="s">
        <v>50</v>
      </c>
      <c r="X33" s="253" t="s">
        <v>285</v>
      </c>
      <c r="Y33" s="253" t="s">
        <v>51</v>
      </c>
      <c r="Z33" s="253" t="s">
        <v>52</v>
      </c>
      <c r="AA33" s="264"/>
    </row>
    <row r="34" ht="15.75" customHeight="1">
      <c r="A34" s="69">
        <v>43446.0</v>
      </c>
      <c r="B34" s="265" t="s">
        <v>101</v>
      </c>
      <c r="C34" s="252" t="s">
        <v>334</v>
      </c>
      <c r="D34" s="328" t="s">
        <v>344</v>
      </c>
      <c r="E34" s="246" t="s">
        <v>345</v>
      </c>
      <c r="F34" s="253">
        <v>1.0</v>
      </c>
      <c r="G34" s="254">
        <v>592.0</v>
      </c>
      <c r="H34" s="255">
        <v>592.0</v>
      </c>
      <c r="I34" s="256" t="s">
        <v>303</v>
      </c>
      <c r="J34" s="269" t="s">
        <v>290</v>
      </c>
      <c r="K34" s="258">
        <v>43475.0</v>
      </c>
      <c r="L34" s="326">
        <v>43524.0</v>
      </c>
      <c r="M34" s="260">
        <v>43472.0</v>
      </c>
      <c r="N34" s="261" t="s">
        <v>343</v>
      </c>
      <c r="O34" s="272">
        <v>18468.0</v>
      </c>
      <c r="P34" s="260">
        <v>43524.0</v>
      </c>
      <c r="Q34" s="253" t="s">
        <v>284</v>
      </c>
      <c r="R34" s="253"/>
      <c r="S34" s="262"/>
      <c r="T34" s="263">
        <v>43521.0</v>
      </c>
      <c r="U34" s="262">
        <f>5931.5*30.76</f>
        <v>182452.94</v>
      </c>
      <c r="V34" s="262">
        <f>(5938-5931.5)*30.76+(5949-5938)*30.76</f>
        <v>538.3</v>
      </c>
      <c r="W34" s="253" t="s">
        <v>50</v>
      </c>
      <c r="X34" s="253" t="s">
        <v>285</v>
      </c>
      <c r="Y34" s="253" t="s">
        <v>51</v>
      </c>
      <c r="Z34" s="253" t="s">
        <v>52</v>
      </c>
      <c r="AA34" s="264"/>
    </row>
    <row r="35" ht="15.75" customHeight="1">
      <c r="A35" s="69">
        <v>43446.0</v>
      </c>
      <c r="B35" s="265" t="s">
        <v>101</v>
      </c>
      <c r="C35" s="252" t="s">
        <v>334</v>
      </c>
      <c r="D35" s="252" t="s">
        <v>346</v>
      </c>
      <c r="E35" s="35" t="s">
        <v>347</v>
      </c>
      <c r="F35" s="253">
        <v>1.0</v>
      </c>
      <c r="G35" s="254">
        <v>1500.0</v>
      </c>
      <c r="H35" s="255">
        <v>1500.0</v>
      </c>
      <c r="I35" s="256" t="s">
        <v>303</v>
      </c>
      <c r="J35" s="269" t="s">
        <v>290</v>
      </c>
      <c r="K35" s="258">
        <v>43475.0</v>
      </c>
      <c r="L35" s="326">
        <v>43513.0</v>
      </c>
      <c r="M35" s="260">
        <v>43483.0</v>
      </c>
      <c r="N35" s="261" t="s">
        <v>348</v>
      </c>
      <c r="O35" s="272">
        <v>40646.0</v>
      </c>
      <c r="P35" s="260">
        <v>43526.0</v>
      </c>
      <c r="Q35" s="253" t="s">
        <v>284</v>
      </c>
      <c r="R35" s="253"/>
      <c r="S35" s="262"/>
      <c r="T35" s="263">
        <v>43521.0</v>
      </c>
      <c r="U35" s="262"/>
      <c r="V35" s="262"/>
      <c r="W35" s="253" t="s">
        <v>50</v>
      </c>
      <c r="X35" s="253" t="s">
        <v>285</v>
      </c>
      <c r="Y35" s="253" t="s">
        <v>51</v>
      </c>
      <c r="Z35" s="253" t="s">
        <v>52</v>
      </c>
      <c r="AA35" s="264"/>
    </row>
    <row r="36" ht="15.75" customHeight="1">
      <c r="A36" s="69">
        <v>43446.0</v>
      </c>
      <c r="B36" s="265" t="s">
        <v>101</v>
      </c>
      <c r="C36" s="252" t="s">
        <v>349</v>
      </c>
      <c r="D36" s="328" t="s">
        <v>350</v>
      </c>
      <c r="E36" s="246" t="s">
        <v>351</v>
      </c>
      <c r="F36" s="253">
        <v>10.0</v>
      </c>
      <c r="G36" s="254">
        <v>93.0</v>
      </c>
      <c r="H36" s="255">
        <v>930.0</v>
      </c>
      <c r="I36" s="256" t="s">
        <v>303</v>
      </c>
      <c r="J36" s="269" t="s">
        <v>290</v>
      </c>
      <c r="K36" s="258">
        <v>43475.0</v>
      </c>
      <c r="L36" s="326">
        <v>43521.0</v>
      </c>
      <c r="M36" s="260">
        <v>43459.0</v>
      </c>
      <c r="N36" s="261" t="s">
        <v>352</v>
      </c>
      <c r="O36" s="272">
        <v>94772.0</v>
      </c>
      <c r="P36" s="260">
        <v>43524.0</v>
      </c>
      <c r="Q36" s="253" t="s">
        <v>284</v>
      </c>
      <c r="R36" s="253"/>
      <c r="S36" s="262"/>
      <c r="T36" s="263">
        <v>43521.0</v>
      </c>
      <c r="U36" s="262"/>
      <c r="V36" s="262"/>
      <c r="W36" s="253" t="s">
        <v>50</v>
      </c>
      <c r="X36" s="253" t="s">
        <v>285</v>
      </c>
      <c r="Y36" s="253" t="s">
        <v>51</v>
      </c>
      <c r="Z36" s="253" t="s">
        <v>52</v>
      </c>
      <c r="AA36" s="264"/>
    </row>
    <row r="37" ht="15.75" customHeight="1">
      <c r="A37" s="69">
        <v>43446.0</v>
      </c>
      <c r="B37" s="265" t="s">
        <v>101</v>
      </c>
      <c r="C37" s="252" t="s">
        <v>349</v>
      </c>
      <c r="D37" s="328" t="s">
        <v>350</v>
      </c>
      <c r="E37" s="329" t="s">
        <v>353</v>
      </c>
      <c r="F37" s="253">
        <v>10.0</v>
      </c>
      <c r="G37" s="254">
        <v>73.0</v>
      </c>
      <c r="H37" s="255">
        <v>730.0</v>
      </c>
      <c r="I37" s="256" t="s">
        <v>303</v>
      </c>
      <c r="J37" s="269" t="s">
        <v>290</v>
      </c>
      <c r="K37" s="258">
        <v>43475.0</v>
      </c>
      <c r="L37" s="326">
        <v>43521.0</v>
      </c>
      <c r="M37" s="260">
        <v>43459.0</v>
      </c>
      <c r="N37" s="261" t="s">
        <v>352</v>
      </c>
      <c r="O37" s="261"/>
      <c r="P37" s="260">
        <v>43524.0</v>
      </c>
      <c r="Q37" s="253" t="s">
        <v>284</v>
      </c>
      <c r="R37" s="253"/>
      <c r="S37" s="262"/>
      <c r="T37" s="263">
        <v>43521.0</v>
      </c>
      <c r="U37" s="262"/>
      <c r="V37" s="262"/>
      <c r="W37" s="253" t="s">
        <v>50</v>
      </c>
      <c r="X37" s="253" t="s">
        <v>285</v>
      </c>
      <c r="Y37" s="253" t="s">
        <v>51</v>
      </c>
      <c r="Z37" s="253" t="s">
        <v>52</v>
      </c>
      <c r="AA37" s="264"/>
    </row>
    <row r="38" ht="15.75" customHeight="1">
      <c r="A38" s="69">
        <v>43446.0</v>
      </c>
      <c r="B38" s="265" t="s">
        <v>101</v>
      </c>
      <c r="C38" s="252" t="s">
        <v>349</v>
      </c>
      <c r="D38" s="328" t="s">
        <v>350</v>
      </c>
      <c r="E38" s="246" t="s">
        <v>354</v>
      </c>
      <c r="F38" s="253">
        <v>10.0</v>
      </c>
      <c r="G38" s="254">
        <v>140.0</v>
      </c>
      <c r="H38" s="255">
        <v>1400.0</v>
      </c>
      <c r="I38" s="256" t="s">
        <v>303</v>
      </c>
      <c r="J38" s="269" t="s">
        <v>290</v>
      </c>
      <c r="K38" s="258">
        <v>43475.0</v>
      </c>
      <c r="L38" s="326">
        <v>43521.0</v>
      </c>
      <c r="M38" s="260">
        <v>43459.0</v>
      </c>
      <c r="N38" s="261" t="s">
        <v>352</v>
      </c>
      <c r="O38" s="261"/>
      <c r="P38" s="260">
        <v>43524.0</v>
      </c>
      <c r="Q38" s="253" t="s">
        <v>284</v>
      </c>
      <c r="R38" s="253"/>
      <c r="S38" s="262"/>
      <c r="T38" s="263">
        <v>43521.0</v>
      </c>
      <c r="U38" s="262"/>
      <c r="V38" s="262"/>
      <c r="W38" s="253" t="s">
        <v>50</v>
      </c>
      <c r="X38" s="253" t="s">
        <v>285</v>
      </c>
      <c r="Y38" s="253" t="s">
        <v>51</v>
      </c>
      <c r="Z38" s="253" t="s">
        <v>52</v>
      </c>
      <c r="AA38" s="264"/>
    </row>
    <row r="39" ht="27.75" customHeight="1">
      <c r="A39" s="69">
        <v>43446.0</v>
      </c>
      <c r="B39" s="265" t="s">
        <v>101</v>
      </c>
      <c r="C39" s="252" t="s">
        <v>349</v>
      </c>
      <c r="D39" s="328" t="s">
        <v>350</v>
      </c>
      <c r="E39" s="246" t="s">
        <v>355</v>
      </c>
      <c r="F39" s="253">
        <v>10.0</v>
      </c>
      <c r="G39" s="254">
        <v>4.0</v>
      </c>
      <c r="H39" s="255">
        <v>40.0</v>
      </c>
      <c r="I39" s="256" t="s">
        <v>303</v>
      </c>
      <c r="J39" s="269" t="s">
        <v>290</v>
      </c>
      <c r="K39" s="258">
        <v>43475.0</v>
      </c>
      <c r="L39" s="326">
        <v>43521.0</v>
      </c>
      <c r="M39" s="260">
        <v>43459.0</v>
      </c>
      <c r="N39" s="261" t="s">
        <v>352</v>
      </c>
      <c r="O39" s="261"/>
      <c r="P39" s="260">
        <v>43524.0</v>
      </c>
      <c r="Q39" s="253" t="s">
        <v>284</v>
      </c>
      <c r="R39" s="253"/>
      <c r="S39" s="262"/>
      <c r="T39" s="263">
        <v>43521.0</v>
      </c>
      <c r="U39" s="262"/>
      <c r="V39" s="262"/>
      <c r="W39" s="253" t="s">
        <v>50</v>
      </c>
      <c r="X39" s="253" t="s">
        <v>285</v>
      </c>
      <c r="Y39" s="253" t="s">
        <v>51</v>
      </c>
      <c r="Z39" s="253" t="s">
        <v>52</v>
      </c>
      <c r="AA39" s="264"/>
    </row>
    <row r="40" ht="33.0" customHeight="1">
      <c r="A40" s="69">
        <v>43446.0</v>
      </c>
      <c r="B40" s="265" t="s">
        <v>101</v>
      </c>
      <c r="C40" s="252" t="s">
        <v>349</v>
      </c>
      <c r="D40" s="328" t="s">
        <v>350</v>
      </c>
      <c r="E40" s="246" t="s">
        <v>356</v>
      </c>
      <c r="F40" s="253">
        <v>10.0</v>
      </c>
      <c r="G40" s="254">
        <v>2.0</v>
      </c>
      <c r="H40" s="255">
        <v>20.0</v>
      </c>
      <c r="I40" s="256" t="s">
        <v>303</v>
      </c>
      <c r="J40" s="269" t="s">
        <v>290</v>
      </c>
      <c r="K40" s="258">
        <v>43475.0</v>
      </c>
      <c r="L40" s="330"/>
      <c r="M40" s="331"/>
      <c r="N40" s="331"/>
      <c r="O40" s="331"/>
      <c r="P40" s="331"/>
      <c r="Q40" s="253" t="s">
        <v>284</v>
      </c>
      <c r="R40" s="253"/>
      <c r="S40" s="262"/>
      <c r="T40" s="263">
        <v>43521.0</v>
      </c>
      <c r="U40" s="262"/>
      <c r="V40" s="262"/>
      <c r="W40" s="253" t="s">
        <v>50</v>
      </c>
      <c r="X40" s="253" t="s">
        <v>285</v>
      </c>
      <c r="Y40" s="253" t="s">
        <v>51</v>
      </c>
      <c r="Z40" s="253" t="s">
        <v>52</v>
      </c>
      <c r="AA40" s="264"/>
    </row>
    <row r="41" ht="15.75" customHeight="1">
      <c r="A41" s="69">
        <v>43446.0</v>
      </c>
      <c r="B41" s="265" t="s">
        <v>101</v>
      </c>
      <c r="C41" s="252" t="s">
        <v>349</v>
      </c>
      <c r="D41" s="328" t="s">
        <v>350</v>
      </c>
      <c r="E41" s="246" t="s">
        <v>357</v>
      </c>
      <c r="F41" s="253">
        <v>10.0</v>
      </c>
      <c r="G41" s="254">
        <v>2.5</v>
      </c>
      <c r="H41" s="255">
        <v>25.0</v>
      </c>
      <c r="I41" s="256" t="s">
        <v>303</v>
      </c>
      <c r="J41" s="269" t="s">
        <v>290</v>
      </c>
      <c r="K41" s="258">
        <v>43475.0</v>
      </c>
      <c r="L41" s="330"/>
      <c r="M41" s="331"/>
      <c r="N41" s="331"/>
      <c r="O41" s="331"/>
      <c r="P41" s="331"/>
      <c r="Q41" s="253" t="s">
        <v>284</v>
      </c>
      <c r="R41" s="253"/>
      <c r="S41" s="262"/>
      <c r="T41" s="263">
        <v>43521.0</v>
      </c>
      <c r="U41" s="262"/>
      <c r="V41" s="262"/>
      <c r="W41" s="253" t="s">
        <v>50</v>
      </c>
      <c r="X41" s="253" t="s">
        <v>285</v>
      </c>
      <c r="Y41" s="253" t="s">
        <v>51</v>
      </c>
      <c r="Z41" s="253" t="s">
        <v>52</v>
      </c>
      <c r="AA41" s="264"/>
    </row>
    <row r="42" ht="15.75" customHeight="1">
      <c r="A42" s="69">
        <v>43446.0</v>
      </c>
      <c r="B42" s="265" t="s">
        <v>101</v>
      </c>
      <c r="C42" s="252" t="s">
        <v>349</v>
      </c>
      <c r="D42" s="328" t="s">
        <v>350</v>
      </c>
      <c r="E42" s="246" t="s">
        <v>358</v>
      </c>
      <c r="F42" s="253">
        <v>10.0</v>
      </c>
      <c r="G42" s="254">
        <v>2.6</v>
      </c>
      <c r="H42" s="332">
        <v>26.0</v>
      </c>
      <c r="I42" s="256" t="s">
        <v>303</v>
      </c>
      <c r="J42" s="269" t="s">
        <v>290</v>
      </c>
      <c r="K42" s="258">
        <v>43475.0</v>
      </c>
      <c r="L42" s="330"/>
      <c r="M42" s="331"/>
      <c r="N42" s="331"/>
      <c r="O42" s="331"/>
      <c r="P42" s="331"/>
      <c r="Q42" s="253" t="s">
        <v>284</v>
      </c>
      <c r="R42" s="253"/>
      <c r="S42" s="262"/>
      <c r="T42" s="263">
        <v>43521.0</v>
      </c>
      <c r="U42" s="262"/>
      <c r="V42" s="262"/>
      <c r="W42" s="253" t="s">
        <v>50</v>
      </c>
      <c r="X42" s="253" t="s">
        <v>285</v>
      </c>
      <c r="Y42" s="253" t="s">
        <v>51</v>
      </c>
      <c r="Z42" s="253" t="s">
        <v>52</v>
      </c>
      <c r="AA42" s="264"/>
    </row>
    <row r="43" ht="15.75" customHeight="1">
      <c r="A43" s="69">
        <v>43446.0</v>
      </c>
      <c r="B43" s="265" t="s">
        <v>101</v>
      </c>
      <c r="C43" s="252" t="s">
        <v>349</v>
      </c>
      <c r="D43" s="328" t="s">
        <v>350</v>
      </c>
      <c r="E43" s="246" t="s">
        <v>359</v>
      </c>
      <c r="F43" s="253">
        <v>10.0</v>
      </c>
      <c r="G43" s="254">
        <v>8.0</v>
      </c>
      <c r="H43" s="255">
        <v>80.0</v>
      </c>
      <c r="I43" s="256" t="s">
        <v>303</v>
      </c>
      <c r="J43" s="269" t="s">
        <v>290</v>
      </c>
      <c r="K43" s="258">
        <v>43475.0</v>
      </c>
      <c r="L43" s="330"/>
      <c r="M43" s="331"/>
      <c r="N43" s="331"/>
      <c r="O43" s="331"/>
      <c r="P43" s="331"/>
      <c r="Q43" s="253" t="s">
        <v>284</v>
      </c>
      <c r="R43" s="253"/>
      <c r="S43" s="262"/>
      <c r="T43" s="263">
        <v>43521.0</v>
      </c>
      <c r="U43" s="262"/>
      <c r="V43" s="262"/>
      <c r="W43" s="253" t="s">
        <v>50</v>
      </c>
      <c r="X43" s="253" t="s">
        <v>285</v>
      </c>
      <c r="Y43" s="253" t="s">
        <v>51</v>
      </c>
      <c r="Z43" s="253" t="s">
        <v>52</v>
      </c>
      <c r="AA43" s="264"/>
    </row>
    <row r="44" ht="15.75" customHeight="1">
      <c r="A44" s="69">
        <v>43446.0</v>
      </c>
      <c r="B44" s="265" t="s">
        <v>77</v>
      </c>
      <c r="C44" s="252"/>
      <c r="D44" s="252" t="s">
        <v>360</v>
      </c>
      <c r="E44" s="246" t="s">
        <v>361</v>
      </c>
      <c r="F44" s="253">
        <v>1.0</v>
      </c>
      <c r="G44" s="254">
        <v>0.0</v>
      </c>
      <c r="H44" s="255">
        <v>0.0</v>
      </c>
      <c r="I44" s="256" t="s">
        <v>43</v>
      </c>
      <c r="J44" s="333" t="s">
        <v>316</v>
      </c>
      <c r="K44" s="258">
        <v>43469.0</v>
      </c>
      <c r="L44" s="334"/>
      <c r="M44" s="331"/>
      <c r="N44" s="331"/>
      <c r="O44" s="331"/>
      <c r="P44" s="331"/>
      <c r="Q44" s="253"/>
      <c r="R44" s="253"/>
      <c r="S44" s="262"/>
      <c r="T44" s="253"/>
      <c r="U44" s="262"/>
      <c r="V44" s="262"/>
      <c r="W44" s="253" t="s">
        <v>50</v>
      </c>
      <c r="X44" s="253" t="s">
        <v>285</v>
      </c>
      <c r="Y44" s="253" t="s">
        <v>51</v>
      </c>
      <c r="Z44" s="253" t="s">
        <v>52</v>
      </c>
      <c r="AA44" s="264"/>
    </row>
    <row r="45" ht="15.75" customHeight="1">
      <c r="A45" s="69">
        <v>43446.0</v>
      </c>
      <c r="B45" s="265" t="s">
        <v>77</v>
      </c>
      <c r="C45" s="252">
        <v>1314.0</v>
      </c>
      <c r="D45" s="252" t="s">
        <v>360</v>
      </c>
      <c r="E45" s="246" t="s">
        <v>362</v>
      </c>
      <c r="F45" s="307">
        <v>40.0</v>
      </c>
      <c r="G45" s="254">
        <v>20.0</v>
      </c>
      <c r="H45" s="255">
        <v>800.0</v>
      </c>
      <c r="I45" s="256" t="s">
        <v>43</v>
      </c>
      <c r="J45" s="333" t="s">
        <v>316</v>
      </c>
      <c r="K45" s="258">
        <v>43469.0</v>
      </c>
      <c r="L45" s="260">
        <v>43460.0</v>
      </c>
      <c r="M45" s="271">
        <v>43448.0</v>
      </c>
      <c r="N45" s="261" t="s">
        <v>363</v>
      </c>
      <c r="O45" s="272">
        <v>22546.0</v>
      </c>
      <c r="P45" s="260">
        <v>43472.0</v>
      </c>
      <c r="Q45" s="253"/>
      <c r="R45" s="253"/>
      <c r="S45" s="262"/>
      <c r="T45" s="253"/>
      <c r="U45" s="262"/>
      <c r="V45" s="262"/>
      <c r="W45" s="253" t="s">
        <v>50</v>
      </c>
      <c r="X45" s="253" t="s">
        <v>285</v>
      </c>
      <c r="Y45" s="253" t="s">
        <v>51</v>
      </c>
      <c r="Z45" s="253" t="s">
        <v>52</v>
      </c>
      <c r="AA45" s="264"/>
    </row>
    <row r="46" ht="15.75" customHeight="1">
      <c r="A46" s="69">
        <v>43446.0</v>
      </c>
      <c r="B46" s="265" t="s">
        <v>101</v>
      </c>
      <c r="C46" s="252" t="s">
        <v>364</v>
      </c>
      <c r="D46" s="252" t="s">
        <v>365</v>
      </c>
      <c r="E46" s="246" t="s">
        <v>366</v>
      </c>
      <c r="F46" s="307">
        <v>22.0</v>
      </c>
      <c r="G46" s="254">
        <v>140.0</v>
      </c>
      <c r="H46" s="255">
        <v>3080.0</v>
      </c>
      <c r="I46" s="256" t="s">
        <v>303</v>
      </c>
      <c r="J46" s="269" t="s">
        <v>290</v>
      </c>
      <c r="K46" s="258">
        <v>43482.0</v>
      </c>
      <c r="L46" s="326">
        <v>43524.0</v>
      </c>
      <c r="M46" s="260">
        <v>43474.0</v>
      </c>
      <c r="N46" s="261" t="s">
        <v>367</v>
      </c>
      <c r="O46" s="272">
        <v>78136.0</v>
      </c>
      <c r="P46" s="260">
        <v>43522.0</v>
      </c>
      <c r="Q46" s="253" t="s">
        <v>284</v>
      </c>
      <c r="R46" s="253"/>
      <c r="S46" s="262"/>
      <c r="T46" s="263">
        <v>43530.0</v>
      </c>
      <c r="U46" s="262"/>
      <c r="V46" s="262"/>
      <c r="W46" s="253" t="s">
        <v>50</v>
      </c>
      <c r="X46" s="253" t="s">
        <v>285</v>
      </c>
      <c r="Y46" s="253" t="s">
        <v>51</v>
      </c>
      <c r="Z46" s="253" t="s">
        <v>52</v>
      </c>
      <c r="AA46" s="264"/>
    </row>
    <row r="47" ht="15.75" customHeight="1">
      <c r="A47" s="69">
        <v>43446.0</v>
      </c>
      <c r="B47" s="265" t="s">
        <v>101</v>
      </c>
      <c r="C47" s="252" t="s">
        <v>364</v>
      </c>
      <c r="D47" s="328" t="s">
        <v>368</v>
      </c>
      <c r="E47" s="246" t="s">
        <v>369</v>
      </c>
      <c r="F47" s="307">
        <v>20.0</v>
      </c>
      <c r="G47" s="254">
        <v>76.0</v>
      </c>
      <c r="H47" s="255">
        <v>1520.0</v>
      </c>
      <c r="I47" s="256" t="s">
        <v>303</v>
      </c>
      <c r="J47" s="269" t="s">
        <v>290</v>
      </c>
      <c r="K47" s="258">
        <v>43482.0</v>
      </c>
      <c r="L47" s="326">
        <v>43120.0</v>
      </c>
      <c r="M47" s="260">
        <v>43454.0</v>
      </c>
      <c r="N47" s="261" t="s">
        <v>337</v>
      </c>
      <c r="O47" s="261"/>
      <c r="P47" s="260">
        <v>43528.0</v>
      </c>
      <c r="Q47" s="253" t="s">
        <v>284</v>
      </c>
      <c r="R47" s="253"/>
      <c r="S47" s="262"/>
      <c r="T47" s="263">
        <v>43530.0</v>
      </c>
      <c r="U47" s="262"/>
      <c r="V47" s="262"/>
      <c r="W47" s="253" t="s">
        <v>50</v>
      </c>
      <c r="X47" s="253" t="s">
        <v>285</v>
      </c>
      <c r="Y47" s="253" t="s">
        <v>51</v>
      </c>
      <c r="Z47" s="253" t="s">
        <v>52</v>
      </c>
      <c r="AA47" s="264"/>
    </row>
    <row r="48" ht="15.75" customHeight="1">
      <c r="A48" s="69">
        <v>43446.0</v>
      </c>
      <c r="B48" s="265" t="s">
        <v>101</v>
      </c>
      <c r="C48" s="252" t="s">
        <v>364</v>
      </c>
      <c r="D48" s="335" t="s">
        <v>370</v>
      </c>
      <c r="E48" s="246" t="s">
        <v>371</v>
      </c>
      <c r="F48" s="253">
        <v>20.0</v>
      </c>
      <c r="G48" s="254">
        <v>331.0</v>
      </c>
      <c r="H48" s="255">
        <v>6620.0</v>
      </c>
      <c r="I48" s="256" t="s">
        <v>303</v>
      </c>
      <c r="J48" s="269" t="s">
        <v>290</v>
      </c>
      <c r="K48" s="258">
        <v>43482.0</v>
      </c>
      <c r="L48" s="326">
        <v>43524.0</v>
      </c>
      <c r="M48" s="260">
        <v>43479.0</v>
      </c>
      <c r="N48" s="261" t="s">
        <v>372</v>
      </c>
      <c r="O48" s="272">
        <v>175443.0</v>
      </c>
      <c r="P48" s="260">
        <v>43524.0</v>
      </c>
      <c r="Q48" s="253" t="s">
        <v>284</v>
      </c>
      <c r="R48" s="253"/>
      <c r="S48" s="262"/>
      <c r="T48" s="263">
        <v>43530.0</v>
      </c>
      <c r="U48" s="262"/>
      <c r="V48" s="262"/>
      <c r="W48" s="253" t="s">
        <v>50</v>
      </c>
      <c r="X48" s="253" t="s">
        <v>285</v>
      </c>
      <c r="Y48" s="253" t="s">
        <v>51</v>
      </c>
      <c r="Z48" s="253" t="s">
        <v>52</v>
      </c>
      <c r="AA48" s="264"/>
    </row>
    <row r="49" ht="15.75" customHeight="1">
      <c r="A49" s="69">
        <v>43446.0</v>
      </c>
      <c r="B49" s="265" t="s">
        <v>101</v>
      </c>
      <c r="C49" s="252" t="s">
        <v>364</v>
      </c>
      <c r="D49" s="328" t="s">
        <v>368</v>
      </c>
      <c r="E49" s="246" t="s">
        <v>292</v>
      </c>
      <c r="F49" s="253">
        <v>20.0</v>
      </c>
      <c r="G49" s="254">
        <v>9.0</v>
      </c>
      <c r="H49" s="255">
        <v>180.0</v>
      </c>
      <c r="I49" s="256" t="s">
        <v>303</v>
      </c>
      <c r="J49" s="269" t="s">
        <v>290</v>
      </c>
      <c r="K49" s="258">
        <v>43482.0</v>
      </c>
      <c r="L49" s="326">
        <v>43524.0</v>
      </c>
      <c r="M49" s="260">
        <v>43479.0</v>
      </c>
      <c r="N49" s="261" t="s">
        <v>372</v>
      </c>
      <c r="O49" s="261"/>
      <c r="P49" s="260">
        <v>43524.0</v>
      </c>
      <c r="Q49" s="253" t="s">
        <v>284</v>
      </c>
      <c r="R49" s="253"/>
      <c r="S49" s="262"/>
      <c r="T49" s="263">
        <v>43530.0</v>
      </c>
      <c r="U49" s="262"/>
      <c r="V49" s="262"/>
      <c r="W49" s="253" t="s">
        <v>50</v>
      </c>
      <c r="X49" s="253" t="s">
        <v>285</v>
      </c>
      <c r="Y49" s="253" t="s">
        <v>51</v>
      </c>
      <c r="Z49" s="253" t="s">
        <v>52</v>
      </c>
      <c r="AA49" s="264"/>
    </row>
    <row r="50" ht="15.75" customHeight="1">
      <c r="A50" s="69">
        <v>43452.0</v>
      </c>
      <c r="B50" s="265" t="s">
        <v>373</v>
      </c>
      <c r="C50" s="252">
        <v>2.01812170017E11</v>
      </c>
      <c r="D50" s="252" t="s">
        <v>374</v>
      </c>
      <c r="E50" s="246" t="s">
        <v>375</v>
      </c>
      <c r="F50" s="307">
        <v>40.0</v>
      </c>
      <c r="G50" s="254">
        <v>63.0</v>
      </c>
      <c r="H50" s="336">
        <v>2520.0</v>
      </c>
      <c r="I50" s="256" t="s">
        <v>43</v>
      </c>
      <c r="J50" s="256" t="s">
        <v>90</v>
      </c>
      <c r="K50" s="337">
        <v>43469.0</v>
      </c>
      <c r="L50" s="326">
        <v>43524.0</v>
      </c>
      <c r="M50" s="260">
        <v>43468.0</v>
      </c>
      <c r="N50" s="261" t="s">
        <v>376</v>
      </c>
      <c r="O50" s="272">
        <v>72324.0</v>
      </c>
      <c r="P50" s="260">
        <v>43522.0</v>
      </c>
      <c r="Q50" s="253" t="s">
        <v>377</v>
      </c>
      <c r="R50" s="253"/>
      <c r="S50" s="262"/>
      <c r="T50" s="253"/>
      <c r="U50" s="262"/>
      <c r="V50" s="262"/>
      <c r="W50" s="253" t="s">
        <v>50</v>
      </c>
      <c r="X50" s="253" t="s">
        <v>285</v>
      </c>
      <c r="Y50" s="253" t="s">
        <v>51</v>
      </c>
      <c r="Z50" s="253" t="s">
        <v>377</v>
      </c>
      <c r="AA50" s="264"/>
    </row>
    <row r="51" ht="15.75" customHeight="1">
      <c r="A51" s="69">
        <v>43452.0</v>
      </c>
      <c r="B51" s="144" t="s">
        <v>378</v>
      </c>
      <c r="C51" s="252">
        <v>8730.0</v>
      </c>
      <c r="D51" s="252" t="s">
        <v>379</v>
      </c>
      <c r="E51" s="23" t="s">
        <v>380</v>
      </c>
      <c r="F51" s="307">
        <v>187.0</v>
      </c>
      <c r="G51" s="338">
        <v>62.0</v>
      </c>
      <c r="H51" s="255">
        <v>11594.0</v>
      </c>
      <c r="I51" s="256" t="s">
        <v>171</v>
      </c>
      <c r="J51" s="269" t="s">
        <v>381</v>
      </c>
      <c r="K51" s="258">
        <v>43514.0</v>
      </c>
      <c r="L51" s="260">
        <v>43529.0</v>
      </c>
      <c r="M51" s="260">
        <v>43508.0</v>
      </c>
      <c r="N51" s="261" t="s">
        <v>382</v>
      </c>
      <c r="O51" s="272">
        <v>266643.0</v>
      </c>
      <c r="P51" s="260">
        <v>43531.0</v>
      </c>
      <c r="Q51" s="253" t="s">
        <v>284</v>
      </c>
      <c r="R51" s="253"/>
      <c r="S51" s="262"/>
      <c r="T51" s="253"/>
      <c r="U51" s="262">
        <f>(11584-6.5)*30.79</f>
        <v>356471.225</v>
      </c>
      <c r="V51" s="262">
        <f>6.5*30.79+10*30.79</f>
        <v>508.035</v>
      </c>
      <c r="W51" s="253" t="s">
        <v>50</v>
      </c>
      <c r="X51" s="253" t="s">
        <v>285</v>
      </c>
      <c r="Y51" s="253" t="s">
        <v>286</v>
      </c>
      <c r="Z51" s="253" t="s">
        <v>52</v>
      </c>
      <c r="AA51" s="264"/>
    </row>
    <row r="52" ht="15.75" customHeight="1">
      <c r="A52" s="69">
        <v>43452.0</v>
      </c>
      <c r="B52" s="144" t="s">
        <v>378</v>
      </c>
      <c r="C52" s="252">
        <v>8730.0</v>
      </c>
      <c r="D52" s="252" t="s">
        <v>379</v>
      </c>
      <c r="E52" s="23" t="s">
        <v>383</v>
      </c>
      <c r="F52" s="307">
        <v>187.0</v>
      </c>
      <c r="G52" s="338">
        <v>0.0</v>
      </c>
      <c r="H52" s="255">
        <v>0.0</v>
      </c>
      <c r="I52" s="256" t="s">
        <v>171</v>
      </c>
      <c r="J52" s="269" t="s">
        <v>381</v>
      </c>
      <c r="K52" s="258">
        <v>43514.0</v>
      </c>
      <c r="L52" s="339"/>
      <c r="M52" s="331"/>
      <c r="N52" s="331"/>
      <c r="O52" s="331"/>
      <c r="P52" s="331"/>
      <c r="Q52" s="253" t="s">
        <v>284</v>
      </c>
      <c r="R52" s="253"/>
      <c r="S52" s="262"/>
      <c r="T52" s="253"/>
      <c r="U52" s="262"/>
      <c r="V52" s="262"/>
      <c r="W52" s="253" t="s">
        <v>50</v>
      </c>
      <c r="X52" s="253" t="s">
        <v>285</v>
      </c>
      <c r="Y52" s="253" t="s">
        <v>286</v>
      </c>
      <c r="Z52" s="253" t="s">
        <v>52</v>
      </c>
      <c r="AA52" s="264"/>
    </row>
    <row r="53" ht="15.75" customHeight="1">
      <c r="A53" s="19">
        <v>43453.0</v>
      </c>
      <c r="B53" s="340" t="s">
        <v>54</v>
      </c>
      <c r="C53" s="252" t="s">
        <v>384</v>
      </c>
      <c r="D53" s="310" t="s">
        <v>385</v>
      </c>
      <c r="E53" s="23" t="s">
        <v>386</v>
      </c>
      <c r="F53" s="253">
        <v>10.0</v>
      </c>
      <c r="G53" s="254">
        <v>150.15</v>
      </c>
      <c r="H53" s="267">
        <v>1501.5</v>
      </c>
      <c r="I53" s="266" t="s">
        <v>43</v>
      </c>
      <c r="J53" s="269" t="s">
        <v>90</v>
      </c>
      <c r="K53" s="258">
        <v>43479.0</v>
      </c>
      <c r="L53" s="326">
        <v>43524.0</v>
      </c>
      <c r="M53" s="260">
        <v>43479.0</v>
      </c>
      <c r="N53" s="261" t="s">
        <v>387</v>
      </c>
      <c r="O53" s="272">
        <v>41402.0</v>
      </c>
      <c r="P53" s="260">
        <v>43522.0</v>
      </c>
      <c r="Q53" s="253"/>
      <c r="R53" s="253"/>
      <c r="S53" s="262"/>
      <c r="T53" s="253"/>
      <c r="U53" s="262"/>
      <c r="V53" s="262"/>
      <c r="W53" s="253" t="s">
        <v>50</v>
      </c>
      <c r="X53" s="253" t="s">
        <v>285</v>
      </c>
      <c r="Y53" s="253" t="s">
        <v>51</v>
      </c>
      <c r="Z53" s="253" t="s">
        <v>377</v>
      </c>
      <c r="AA53" s="264"/>
    </row>
    <row r="54" ht="15.75" customHeight="1">
      <c r="A54" s="19">
        <v>43455.0</v>
      </c>
      <c r="B54" s="51" t="s">
        <v>101</v>
      </c>
      <c r="C54" s="22" t="s">
        <v>388</v>
      </c>
      <c r="D54" s="341" t="s">
        <v>389</v>
      </c>
      <c r="E54" s="23" t="s">
        <v>390</v>
      </c>
      <c r="F54" s="82">
        <v>3.0</v>
      </c>
      <c r="G54" s="47">
        <v>620.0</v>
      </c>
      <c r="H54" s="26">
        <v>1860.0</v>
      </c>
      <c r="I54" s="61" t="s">
        <v>303</v>
      </c>
      <c r="J54" s="58" t="s">
        <v>290</v>
      </c>
      <c r="K54" s="30">
        <v>43522.0</v>
      </c>
      <c r="L54" s="294">
        <v>43555.0</v>
      </c>
      <c r="M54" s="295">
        <v>43519.0</v>
      </c>
      <c r="N54" s="296" t="s">
        <v>391</v>
      </c>
      <c r="O54" s="297">
        <v>73747.0</v>
      </c>
      <c r="P54" s="295">
        <v>43557.0</v>
      </c>
      <c r="Q54" s="298"/>
      <c r="R54" s="298"/>
      <c r="S54" s="299"/>
      <c r="T54" s="300">
        <v>43602.0</v>
      </c>
      <c r="U54" s="299"/>
      <c r="V54" s="299"/>
      <c r="W54" s="298" t="s">
        <v>50</v>
      </c>
      <c r="X54" s="24" t="s">
        <v>285</v>
      </c>
      <c r="Y54" s="298" t="s">
        <v>51</v>
      </c>
      <c r="Z54" s="298" t="s">
        <v>52</v>
      </c>
      <c r="AA54" s="234" t="s">
        <v>305</v>
      </c>
    </row>
    <row r="55" ht="15.75" customHeight="1">
      <c r="A55" s="19">
        <v>43455.0</v>
      </c>
      <c r="B55" s="51" t="s">
        <v>101</v>
      </c>
      <c r="C55" s="22" t="s">
        <v>388</v>
      </c>
      <c r="D55" s="22" t="s">
        <v>392</v>
      </c>
      <c r="E55" s="23" t="s">
        <v>393</v>
      </c>
      <c r="F55" s="82">
        <v>3.0</v>
      </c>
      <c r="G55" s="47">
        <v>219.0</v>
      </c>
      <c r="H55" s="26">
        <v>657.0</v>
      </c>
      <c r="I55" s="61" t="s">
        <v>303</v>
      </c>
      <c r="J55" s="58" t="s">
        <v>290</v>
      </c>
      <c r="K55" s="30">
        <v>43522.0</v>
      </c>
      <c r="L55" s="294">
        <v>43555.0</v>
      </c>
      <c r="M55" s="295">
        <v>43519.0</v>
      </c>
      <c r="N55" s="296" t="s">
        <v>391</v>
      </c>
      <c r="O55" s="296"/>
      <c r="P55" s="295">
        <v>43557.0</v>
      </c>
      <c r="Q55" s="298"/>
      <c r="R55" s="298"/>
      <c r="S55" s="299"/>
      <c r="T55" s="300">
        <v>43602.0</v>
      </c>
      <c r="U55" s="299"/>
      <c r="V55" s="299"/>
      <c r="W55" s="298" t="s">
        <v>50</v>
      </c>
      <c r="X55" s="24" t="s">
        <v>285</v>
      </c>
      <c r="Y55" s="298" t="s">
        <v>51</v>
      </c>
      <c r="Z55" s="298" t="s">
        <v>52</v>
      </c>
      <c r="AA55" s="234" t="s">
        <v>305</v>
      </c>
    </row>
    <row r="56" ht="15.75" customHeight="1">
      <c r="A56" s="19">
        <v>43455.0</v>
      </c>
      <c r="B56" s="51" t="s">
        <v>101</v>
      </c>
      <c r="C56" s="22" t="s">
        <v>388</v>
      </c>
      <c r="D56" s="22" t="s">
        <v>392</v>
      </c>
      <c r="E56" s="23" t="s">
        <v>394</v>
      </c>
      <c r="F56" s="82">
        <v>3.0</v>
      </c>
      <c r="G56" s="47">
        <v>85.0</v>
      </c>
      <c r="H56" s="47">
        <v>255.0</v>
      </c>
      <c r="I56" s="87" t="s">
        <v>303</v>
      </c>
      <c r="J56" s="31" t="s">
        <v>290</v>
      </c>
      <c r="K56" s="30">
        <v>43522.0</v>
      </c>
      <c r="L56" s="342" t="s">
        <v>395</v>
      </c>
      <c r="M56" s="342"/>
      <c r="N56" s="342"/>
      <c r="O56" s="342"/>
      <c r="P56" s="342"/>
      <c r="Q56" s="298"/>
      <c r="R56" s="298"/>
      <c r="S56" s="299"/>
      <c r="T56" s="300">
        <v>43602.0</v>
      </c>
      <c r="U56" s="299"/>
      <c r="V56" s="299"/>
      <c r="W56" s="298" t="s">
        <v>50</v>
      </c>
      <c r="X56" s="24" t="s">
        <v>285</v>
      </c>
      <c r="Y56" s="298" t="s">
        <v>51</v>
      </c>
      <c r="Z56" s="298" t="s">
        <v>52</v>
      </c>
      <c r="AA56" s="234" t="s">
        <v>305</v>
      </c>
    </row>
    <row r="57" ht="15.75" customHeight="1">
      <c r="A57" s="343">
        <v>43455.0</v>
      </c>
      <c r="B57" s="344" t="s">
        <v>101</v>
      </c>
      <c r="C57" s="345" t="s">
        <v>388</v>
      </c>
      <c r="D57" s="345" t="s">
        <v>396</v>
      </c>
      <c r="E57" s="23" t="s">
        <v>393</v>
      </c>
      <c r="F57" s="346">
        <v>3.0</v>
      </c>
      <c r="G57" s="347">
        <v>219.0</v>
      </c>
      <c r="H57" s="26">
        <v>657.0</v>
      </c>
      <c r="I57" s="348" t="s">
        <v>303</v>
      </c>
      <c r="J57" s="349" t="s">
        <v>290</v>
      </c>
      <c r="K57" s="30">
        <v>43563.0</v>
      </c>
      <c r="L57" s="350">
        <v>43616.0</v>
      </c>
      <c r="M57" s="351">
        <v>43557.0</v>
      </c>
      <c r="N57" s="352" t="s">
        <v>397</v>
      </c>
      <c r="O57" s="352"/>
      <c r="P57" s="305">
        <v>43616.0</v>
      </c>
      <c r="Q57" s="24"/>
      <c r="R57" s="24">
        <v>30.77</v>
      </c>
      <c r="S57" s="55">
        <f t="shared" ref="S57:S59" si="2">H57*R57</f>
        <v>20215.89</v>
      </c>
      <c r="T57" s="56">
        <v>43565.0</v>
      </c>
      <c r="U57" s="38">
        <f>11409.5*30.78</f>
        <v>351184.41</v>
      </c>
      <c r="V57" s="38">
        <f>(11426-11409.5)*30.78</f>
        <v>507.87</v>
      </c>
      <c r="W57" s="24" t="s">
        <v>50</v>
      </c>
      <c r="X57" s="24" t="s">
        <v>285</v>
      </c>
      <c r="Y57" s="24" t="s">
        <v>51</v>
      </c>
      <c r="Z57" s="54" t="s">
        <v>52</v>
      </c>
      <c r="AA57" s="57" t="s">
        <v>398</v>
      </c>
    </row>
    <row r="58" ht="15.75" customHeight="1">
      <c r="A58" s="343">
        <v>43455.0</v>
      </c>
      <c r="B58" s="344" t="s">
        <v>101</v>
      </c>
      <c r="C58" s="345" t="s">
        <v>388</v>
      </c>
      <c r="D58" s="353" t="s">
        <v>396</v>
      </c>
      <c r="E58" s="23" t="s">
        <v>399</v>
      </c>
      <c r="F58" s="346">
        <v>3.0</v>
      </c>
      <c r="G58" s="347">
        <v>620.0</v>
      </c>
      <c r="H58" s="26">
        <v>1860.0</v>
      </c>
      <c r="I58" s="348" t="s">
        <v>303</v>
      </c>
      <c r="J58" s="349" t="s">
        <v>290</v>
      </c>
      <c r="K58" s="30">
        <v>43563.0</v>
      </c>
      <c r="L58" s="354">
        <v>43616.0</v>
      </c>
      <c r="M58" s="351">
        <v>43557.0</v>
      </c>
      <c r="N58" s="352" t="s">
        <v>397</v>
      </c>
      <c r="O58" s="352">
        <v>73747.0</v>
      </c>
      <c r="P58" s="305">
        <v>43616.0</v>
      </c>
      <c r="Q58" s="24"/>
      <c r="R58" s="24">
        <v>30.77</v>
      </c>
      <c r="S58" s="55">
        <f t="shared" si="2"/>
        <v>57232.2</v>
      </c>
      <c r="T58" s="56">
        <v>43565.0</v>
      </c>
      <c r="U58" s="38"/>
      <c r="V58" s="38"/>
      <c r="W58" s="24" t="s">
        <v>50</v>
      </c>
      <c r="X58" s="24" t="s">
        <v>285</v>
      </c>
      <c r="Y58" s="24" t="s">
        <v>51</v>
      </c>
      <c r="Z58" s="54" t="s">
        <v>52</v>
      </c>
      <c r="AA58" s="57" t="s">
        <v>398</v>
      </c>
    </row>
    <row r="59" ht="15.75" customHeight="1">
      <c r="A59" s="343">
        <v>43455.0</v>
      </c>
      <c r="B59" s="344" t="s">
        <v>101</v>
      </c>
      <c r="C59" s="345" t="s">
        <v>388</v>
      </c>
      <c r="D59" s="345" t="s">
        <v>396</v>
      </c>
      <c r="E59" s="23" t="s">
        <v>394</v>
      </c>
      <c r="F59" s="346">
        <v>3.0</v>
      </c>
      <c r="G59" s="347">
        <v>85.0</v>
      </c>
      <c r="H59" s="26">
        <v>255.0</v>
      </c>
      <c r="I59" s="348" t="s">
        <v>303</v>
      </c>
      <c r="J59" s="349" t="s">
        <v>290</v>
      </c>
      <c r="K59" s="30">
        <v>43563.0</v>
      </c>
      <c r="L59" s="355"/>
      <c r="M59" s="46"/>
      <c r="N59" s="37"/>
      <c r="O59" s="356"/>
      <c r="P59" s="37"/>
      <c r="Q59" s="24"/>
      <c r="R59" s="24">
        <v>30.77</v>
      </c>
      <c r="S59" s="55">
        <f t="shared" si="2"/>
        <v>7846.35</v>
      </c>
      <c r="T59" s="56">
        <v>43565.0</v>
      </c>
      <c r="U59" s="38"/>
      <c r="V59" s="38"/>
      <c r="W59" s="24" t="s">
        <v>50</v>
      </c>
      <c r="X59" s="24" t="s">
        <v>285</v>
      </c>
      <c r="Y59" s="24" t="s">
        <v>51</v>
      </c>
      <c r="Z59" s="24" t="s">
        <v>52</v>
      </c>
      <c r="AA59" s="40" t="s">
        <v>398</v>
      </c>
    </row>
    <row r="60" ht="15.75" customHeight="1">
      <c r="A60" s="110">
        <v>43458.0</v>
      </c>
      <c r="B60" s="357" t="s">
        <v>400</v>
      </c>
      <c r="C60" s="358" t="s">
        <v>401</v>
      </c>
      <c r="D60" s="358" t="s">
        <v>402</v>
      </c>
      <c r="E60" s="23" t="s">
        <v>403</v>
      </c>
      <c r="F60" s="359">
        <v>5.0</v>
      </c>
      <c r="G60" s="357">
        <v>231.0</v>
      </c>
      <c r="H60" s="255">
        <v>1155.0</v>
      </c>
      <c r="I60" s="266" t="s">
        <v>303</v>
      </c>
      <c r="J60" s="269" t="s">
        <v>404</v>
      </c>
      <c r="K60" s="258">
        <v>43482.0</v>
      </c>
      <c r="L60" s="326">
        <v>43524.0</v>
      </c>
      <c r="M60" s="260">
        <v>43479.0</v>
      </c>
      <c r="N60" s="261" t="s">
        <v>405</v>
      </c>
      <c r="O60" s="272">
        <v>27493.0</v>
      </c>
      <c r="P60" s="260">
        <v>43522.0</v>
      </c>
      <c r="Q60" s="253" t="s">
        <v>284</v>
      </c>
      <c r="R60" s="253"/>
      <c r="S60" s="262"/>
      <c r="T60" s="253"/>
      <c r="U60" s="262"/>
      <c r="V60" s="262"/>
      <c r="W60" s="253" t="s">
        <v>50</v>
      </c>
      <c r="X60" s="253" t="s">
        <v>285</v>
      </c>
      <c r="Y60" s="253" t="s">
        <v>51</v>
      </c>
      <c r="Z60" s="253" t="s">
        <v>52</v>
      </c>
      <c r="AA60" s="264"/>
    </row>
    <row r="61" ht="15.75" customHeight="1">
      <c r="A61" s="110">
        <v>43458.0</v>
      </c>
      <c r="B61" s="360" t="s">
        <v>406</v>
      </c>
      <c r="C61" s="360">
        <v>7.000143878E9</v>
      </c>
      <c r="D61" s="360" t="s">
        <v>407</v>
      </c>
      <c r="E61" s="23" t="s">
        <v>408</v>
      </c>
      <c r="F61" s="361">
        <v>1.0</v>
      </c>
      <c r="G61" s="362">
        <v>54.0</v>
      </c>
      <c r="H61" s="255">
        <v>54.0</v>
      </c>
      <c r="I61" s="256" t="s">
        <v>43</v>
      </c>
      <c r="J61" s="256" t="s">
        <v>409</v>
      </c>
      <c r="K61" s="258">
        <v>43472.0</v>
      </c>
      <c r="L61" s="260">
        <v>43524.0</v>
      </c>
      <c r="M61" s="260">
        <v>43468.0</v>
      </c>
      <c r="N61" s="261" t="s">
        <v>410</v>
      </c>
      <c r="O61" s="272">
        <v>1491.0</v>
      </c>
      <c r="P61" s="260">
        <v>43523.0</v>
      </c>
      <c r="Q61" s="253" t="s">
        <v>284</v>
      </c>
      <c r="R61" s="253"/>
      <c r="S61" s="262"/>
      <c r="T61" s="253"/>
      <c r="U61" s="262"/>
      <c r="V61" s="262"/>
      <c r="W61" s="253" t="s">
        <v>50</v>
      </c>
      <c r="X61" s="253" t="s">
        <v>285</v>
      </c>
      <c r="Y61" s="253" t="s">
        <v>51</v>
      </c>
      <c r="Z61" s="253" t="s">
        <v>52</v>
      </c>
      <c r="AA61" s="264"/>
    </row>
    <row r="62" ht="15.75" customHeight="1">
      <c r="A62" s="110">
        <v>43458.0</v>
      </c>
      <c r="B62" s="360" t="s">
        <v>119</v>
      </c>
      <c r="C62" s="360" t="s">
        <v>411</v>
      </c>
      <c r="D62" s="360" t="s">
        <v>412</v>
      </c>
      <c r="E62" s="23" t="s">
        <v>161</v>
      </c>
      <c r="F62" s="363">
        <v>4.0</v>
      </c>
      <c r="G62" s="362">
        <v>485.0</v>
      </c>
      <c r="H62" s="364">
        <v>1940.0</v>
      </c>
      <c r="I62" s="256" t="s">
        <v>171</v>
      </c>
      <c r="J62" s="256" t="s">
        <v>122</v>
      </c>
      <c r="K62" s="258">
        <v>43494.0</v>
      </c>
      <c r="L62" s="326">
        <v>43555.0</v>
      </c>
      <c r="M62" s="260">
        <v>43493.0</v>
      </c>
      <c r="N62" s="261" t="s">
        <v>413</v>
      </c>
      <c r="O62" s="272">
        <v>985443.0</v>
      </c>
      <c r="P62" s="260">
        <v>43532.0</v>
      </c>
      <c r="Q62" s="253" t="s">
        <v>284</v>
      </c>
      <c r="R62" s="253"/>
      <c r="S62" s="262"/>
      <c r="T62" s="307"/>
      <c r="U62" s="262"/>
      <c r="V62" s="262"/>
      <c r="W62" s="253" t="s">
        <v>50</v>
      </c>
      <c r="X62" s="253" t="s">
        <v>285</v>
      </c>
      <c r="Y62" s="253" t="s">
        <v>51</v>
      </c>
      <c r="Z62" s="253" t="s">
        <v>52</v>
      </c>
      <c r="AA62" s="264"/>
    </row>
    <row r="63" ht="15.75" customHeight="1">
      <c r="A63" s="110">
        <v>43458.0</v>
      </c>
      <c r="B63" s="360" t="s">
        <v>119</v>
      </c>
      <c r="C63" s="360" t="s">
        <v>411</v>
      </c>
      <c r="D63" s="360" t="s">
        <v>412</v>
      </c>
      <c r="E63" s="23" t="s">
        <v>162</v>
      </c>
      <c r="F63" s="365">
        <v>15.0</v>
      </c>
      <c r="G63" s="366">
        <v>738.0</v>
      </c>
      <c r="H63" s="364">
        <v>11070.0</v>
      </c>
      <c r="I63" s="256" t="s">
        <v>171</v>
      </c>
      <c r="J63" s="256" t="s">
        <v>122</v>
      </c>
      <c r="K63" s="258">
        <v>43494.0</v>
      </c>
      <c r="L63" s="326">
        <v>43555.0</v>
      </c>
      <c r="M63" s="260">
        <v>43493.0</v>
      </c>
      <c r="N63" s="261" t="s">
        <v>413</v>
      </c>
      <c r="O63" s="272"/>
      <c r="P63" s="260">
        <v>43532.0</v>
      </c>
      <c r="Q63" s="253" t="s">
        <v>284</v>
      </c>
      <c r="R63" s="253"/>
      <c r="S63" s="262"/>
      <c r="T63" s="307"/>
      <c r="U63" s="262"/>
      <c r="V63" s="262"/>
      <c r="W63" s="253" t="s">
        <v>50</v>
      </c>
      <c r="X63" s="253" t="s">
        <v>285</v>
      </c>
      <c r="Y63" s="253" t="s">
        <v>51</v>
      </c>
      <c r="Z63" s="253" t="s">
        <v>52</v>
      </c>
      <c r="AA63" s="264"/>
    </row>
    <row r="64" ht="15.75" customHeight="1">
      <c r="A64" s="69">
        <v>43458.0</v>
      </c>
      <c r="B64" s="360" t="s">
        <v>119</v>
      </c>
      <c r="C64" s="360" t="s">
        <v>411</v>
      </c>
      <c r="D64" s="360" t="s">
        <v>412</v>
      </c>
      <c r="E64" s="23" t="s">
        <v>121</v>
      </c>
      <c r="F64" s="361">
        <v>50.0</v>
      </c>
      <c r="G64" s="367">
        <v>359.0</v>
      </c>
      <c r="H64" s="364">
        <v>17950.0</v>
      </c>
      <c r="I64" s="266" t="s">
        <v>171</v>
      </c>
      <c r="J64" s="256" t="s">
        <v>122</v>
      </c>
      <c r="K64" s="258">
        <v>43494.0</v>
      </c>
      <c r="L64" s="326">
        <v>43555.0</v>
      </c>
      <c r="M64" s="260">
        <v>43493.0</v>
      </c>
      <c r="N64" s="261" t="s">
        <v>413</v>
      </c>
      <c r="O64" s="272"/>
      <c r="P64" s="260">
        <v>43532.0</v>
      </c>
      <c r="Q64" s="253" t="s">
        <v>284</v>
      </c>
      <c r="R64" s="253"/>
      <c r="S64" s="262"/>
      <c r="T64" s="307"/>
      <c r="U64" s="262"/>
      <c r="V64" s="262"/>
      <c r="W64" s="253" t="s">
        <v>50</v>
      </c>
      <c r="X64" s="253" t="s">
        <v>285</v>
      </c>
      <c r="Y64" s="253" t="s">
        <v>51</v>
      </c>
      <c r="Z64" s="253" t="s">
        <v>52</v>
      </c>
      <c r="AA64" s="264"/>
    </row>
    <row r="65" ht="15.75" customHeight="1">
      <c r="A65" s="69">
        <v>43458.0</v>
      </c>
      <c r="B65" s="368" t="s">
        <v>119</v>
      </c>
      <c r="C65" s="368" t="s">
        <v>411</v>
      </c>
      <c r="D65" s="368" t="s">
        <v>412</v>
      </c>
      <c r="E65" s="23" t="s">
        <v>414</v>
      </c>
      <c r="F65" s="361">
        <v>4.0</v>
      </c>
      <c r="G65" s="367">
        <v>118.0</v>
      </c>
      <c r="H65" s="364">
        <v>472.0</v>
      </c>
      <c r="I65" s="256" t="s">
        <v>171</v>
      </c>
      <c r="J65" s="256" t="s">
        <v>122</v>
      </c>
      <c r="K65" s="258">
        <v>43494.0</v>
      </c>
      <c r="L65" s="326">
        <v>43555.0</v>
      </c>
      <c r="M65" s="260">
        <v>43493.0</v>
      </c>
      <c r="N65" s="261" t="s">
        <v>413</v>
      </c>
      <c r="O65" s="272"/>
      <c r="P65" s="260">
        <v>43532.0</v>
      </c>
      <c r="Q65" s="253" t="s">
        <v>284</v>
      </c>
      <c r="R65" s="253"/>
      <c r="S65" s="262"/>
      <c r="T65" s="307"/>
      <c r="U65" s="262"/>
      <c r="V65" s="262"/>
      <c r="W65" s="253" t="s">
        <v>50</v>
      </c>
      <c r="X65" s="253" t="s">
        <v>285</v>
      </c>
      <c r="Y65" s="253" t="s">
        <v>51</v>
      </c>
      <c r="Z65" s="253" t="s">
        <v>52</v>
      </c>
      <c r="AA65" s="264"/>
    </row>
    <row r="66" ht="15.75" customHeight="1">
      <c r="A66" s="69">
        <v>43458.0</v>
      </c>
      <c r="B66" s="265" t="s">
        <v>119</v>
      </c>
      <c r="C66" s="252" t="s">
        <v>411</v>
      </c>
      <c r="D66" s="252" t="s">
        <v>412</v>
      </c>
      <c r="E66" s="23" t="s">
        <v>415</v>
      </c>
      <c r="F66" s="253">
        <v>8.0</v>
      </c>
      <c r="G66" s="254">
        <v>335.0</v>
      </c>
      <c r="H66" s="364">
        <v>2680.0</v>
      </c>
      <c r="I66" s="256" t="s">
        <v>171</v>
      </c>
      <c r="J66" s="256" t="s">
        <v>122</v>
      </c>
      <c r="K66" s="258">
        <v>43494.0</v>
      </c>
      <c r="L66" s="326">
        <v>43555.0</v>
      </c>
      <c r="M66" s="260">
        <v>43493.0</v>
      </c>
      <c r="N66" s="261" t="s">
        <v>413</v>
      </c>
      <c r="O66" s="272"/>
      <c r="P66" s="260">
        <v>43532.0</v>
      </c>
      <c r="Q66" s="253" t="s">
        <v>284</v>
      </c>
      <c r="R66" s="253"/>
      <c r="S66" s="262"/>
      <c r="T66" s="307"/>
      <c r="U66" s="262"/>
      <c r="V66" s="262"/>
      <c r="W66" s="253" t="s">
        <v>50</v>
      </c>
      <c r="X66" s="253" t="s">
        <v>285</v>
      </c>
      <c r="Y66" s="253" t="s">
        <v>51</v>
      </c>
      <c r="Z66" s="253" t="s">
        <v>52</v>
      </c>
      <c r="AA66" s="264"/>
    </row>
    <row r="67" ht="15.75" customHeight="1">
      <c r="A67" s="69">
        <v>43458.0</v>
      </c>
      <c r="B67" s="265" t="s">
        <v>416</v>
      </c>
      <c r="C67" s="252" t="s">
        <v>417</v>
      </c>
      <c r="D67" s="252" t="s">
        <v>418</v>
      </c>
      <c r="E67" s="23" t="s">
        <v>419</v>
      </c>
      <c r="F67" s="253">
        <v>4.0</v>
      </c>
      <c r="G67" s="254">
        <v>55.0</v>
      </c>
      <c r="H67" s="255">
        <v>220.0</v>
      </c>
      <c r="I67" s="256" t="s">
        <v>420</v>
      </c>
      <c r="J67" s="257" t="s">
        <v>421</v>
      </c>
      <c r="K67" s="258">
        <v>43489.0</v>
      </c>
      <c r="L67" s="261" t="s">
        <v>422</v>
      </c>
      <c r="M67" s="260">
        <v>43486.0</v>
      </c>
      <c r="N67" s="261" t="s">
        <v>423</v>
      </c>
      <c r="O67" s="272">
        <v>5040.0</v>
      </c>
      <c r="P67" s="260">
        <v>43494.0</v>
      </c>
      <c r="Q67" s="253" t="s">
        <v>284</v>
      </c>
      <c r="R67" s="253"/>
      <c r="S67" s="262"/>
      <c r="T67" s="253"/>
      <c r="U67" s="262"/>
      <c r="V67" s="262"/>
      <c r="W67" s="253" t="s">
        <v>50</v>
      </c>
      <c r="X67" s="253" t="s">
        <v>285</v>
      </c>
      <c r="Y67" s="253" t="s">
        <v>51</v>
      </c>
      <c r="Z67" s="253" t="s">
        <v>52</v>
      </c>
      <c r="AA67" s="264"/>
    </row>
    <row r="68" ht="15.75" customHeight="1">
      <c r="A68" s="69">
        <v>43458.0</v>
      </c>
      <c r="B68" s="265" t="s">
        <v>416</v>
      </c>
      <c r="C68" s="252" t="s">
        <v>417</v>
      </c>
      <c r="D68" s="252" t="s">
        <v>418</v>
      </c>
      <c r="E68" s="23" t="s">
        <v>424</v>
      </c>
      <c r="F68" s="253">
        <v>4.0</v>
      </c>
      <c r="G68" s="254">
        <v>352.0</v>
      </c>
      <c r="H68" s="255">
        <v>1408.0</v>
      </c>
      <c r="I68" s="256" t="s">
        <v>420</v>
      </c>
      <c r="J68" s="257" t="s">
        <v>421</v>
      </c>
      <c r="K68" s="258">
        <v>43489.0</v>
      </c>
      <c r="L68" s="271">
        <v>43524.0</v>
      </c>
      <c r="M68" s="271">
        <v>43480.0</v>
      </c>
      <c r="N68" s="261" t="s">
        <v>425</v>
      </c>
      <c r="O68" s="272">
        <v>42672.0</v>
      </c>
      <c r="P68" s="260">
        <v>43523.0</v>
      </c>
      <c r="Q68" s="253" t="s">
        <v>284</v>
      </c>
      <c r="R68" s="253"/>
      <c r="S68" s="262"/>
      <c r="T68" s="253"/>
      <c r="U68" s="262"/>
      <c r="V68" s="262"/>
      <c r="W68" s="253" t="s">
        <v>50</v>
      </c>
      <c r="X68" s="253" t="s">
        <v>285</v>
      </c>
      <c r="Y68" s="253" t="s">
        <v>51</v>
      </c>
      <c r="Z68" s="253" t="s">
        <v>52</v>
      </c>
      <c r="AA68" s="264"/>
    </row>
    <row r="69" ht="15.75" customHeight="1">
      <c r="A69" s="69">
        <v>43458.0</v>
      </c>
      <c r="B69" s="265" t="s">
        <v>416</v>
      </c>
      <c r="C69" s="252" t="s">
        <v>417</v>
      </c>
      <c r="D69" s="252" t="s">
        <v>418</v>
      </c>
      <c r="E69" s="23" t="s">
        <v>426</v>
      </c>
      <c r="F69" s="253">
        <v>1.0</v>
      </c>
      <c r="G69" s="254">
        <v>264.0</v>
      </c>
      <c r="H69" s="255">
        <v>264.0</v>
      </c>
      <c r="I69" s="256" t="s">
        <v>420</v>
      </c>
      <c r="J69" s="257" t="s">
        <v>421</v>
      </c>
      <c r="K69" s="258">
        <v>43489.0</v>
      </c>
      <c r="L69" s="260">
        <v>43524.0</v>
      </c>
      <c r="M69" s="260">
        <v>43474.0</v>
      </c>
      <c r="N69" s="261" t="s">
        <v>427</v>
      </c>
      <c r="O69" s="272">
        <v>7362.0</v>
      </c>
      <c r="P69" s="260">
        <v>43522.0</v>
      </c>
      <c r="Q69" s="253" t="s">
        <v>284</v>
      </c>
      <c r="R69" s="253"/>
      <c r="S69" s="262"/>
      <c r="T69" s="253"/>
      <c r="U69" s="262"/>
      <c r="V69" s="262"/>
      <c r="W69" s="253" t="s">
        <v>50</v>
      </c>
      <c r="X69" s="253" t="s">
        <v>285</v>
      </c>
      <c r="Y69" s="253" t="s">
        <v>51</v>
      </c>
      <c r="Z69" s="253" t="s">
        <v>52</v>
      </c>
      <c r="AA69" s="264"/>
    </row>
    <row r="70" ht="15.75" customHeight="1">
      <c r="A70" s="69">
        <v>43467.0</v>
      </c>
      <c r="B70" s="70" t="s">
        <v>77</v>
      </c>
      <c r="C70" s="292">
        <v>1.0</v>
      </c>
      <c r="D70" s="292" t="s">
        <v>428</v>
      </c>
      <c r="E70" s="23" t="s">
        <v>429</v>
      </c>
      <c r="F70" s="54">
        <v>1.0</v>
      </c>
      <c r="G70" s="48">
        <v>133.0</v>
      </c>
      <c r="H70" s="26">
        <v>133.0</v>
      </c>
      <c r="I70" s="348" t="s">
        <v>43</v>
      </c>
      <c r="J70" s="293" t="s">
        <v>316</v>
      </c>
      <c r="K70" s="29">
        <v>43531.0</v>
      </c>
      <c r="L70" s="295">
        <v>43585.0</v>
      </c>
      <c r="M70" s="295">
        <v>43528.0</v>
      </c>
      <c r="N70" s="296" t="s">
        <v>430</v>
      </c>
      <c r="O70" s="297">
        <v>3776.0</v>
      </c>
      <c r="P70" s="295">
        <v>43557.0</v>
      </c>
      <c r="Q70" s="54"/>
      <c r="R70" s="54"/>
      <c r="S70" s="55"/>
      <c r="T70" s="54"/>
      <c r="U70" s="55"/>
      <c r="V70" s="55"/>
      <c r="W70" s="54" t="s">
        <v>50</v>
      </c>
      <c r="X70" s="24" t="s">
        <v>285</v>
      </c>
      <c r="Y70" s="54" t="s">
        <v>51</v>
      </c>
      <c r="Z70" s="54" t="s">
        <v>52</v>
      </c>
      <c r="AA70" s="57" t="s">
        <v>398</v>
      </c>
    </row>
    <row r="71" ht="15.75" customHeight="1">
      <c r="A71" s="19">
        <v>43469.0</v>
      </c>
      <c r="B71" s="320" t="s">
        <v>326</v>
      </c>
      <c r="C71" s="252">
        <v>2026895.0</v>
      </c>
      <c r="D71" s="310" t="s">
        <v>431</v>
      </c>
      <c r="E71" s="23" t="s">
        <v>53</v>
      </c>
      <c r="F71" s="253">
        <v>10.0</v>
      </c>
      <c r="G71" s="254">
        <v>31.0</v>
      </c>
      <c r="H71" s="255">
        <v>310.0</v>
      </c>
      <c r="I71" s="266" t="s">
        <v>43</v>
      </c>
      <c r="J71" s="369" t="s">
        <v>329</v>
      </c>
      <c r="K71" s="258">
        <v>43496.0</v>
      </c>
      <c r="L71" s="260">
        <v>43555.0</v>
      </c>
      <c r="M71" s="370">
        <v>43494.0</v>
      </c>
      <c r="N71" s="261" t="s">
        <v>432</v>
      </c>
      <c r="O71" s="272"/>
      <c r="P71" s="260">
        <v>43557.0</v>
      </c>
      <c r="Q71" s="253" t="s">
        <v>284</v>
      </c>
      <c r="R71" s="253"/>
      <c r="S71" s="262"/>
      <c r="T71" s="253"/>
      <c r="U71" s="262"/>
      <c r="V71" s="262"/>
      <c r="W71" s="253" t="s">
        <v>50</v>
      </c>
      <c r="X71" s="253" t="s">
        <v>285</v>
      </c>
      <c r="Y71" s="253" t="s">
        <v>51</v>
      </c>
      <c r="Z71" s="253" t="s">
        <v>52</v>
      </c>
      <c r="AA71" s="264"/>
    </row>
    <row r="72" ht="15.75" customHeight="1">
      <c r="A72" s="19">
        <v>43469.0</v>
      </c>
      <c r="B72" s="320" t="s">
        <v>326</v>
      </c>
      <c r="C72" s="265">
        <v>2026895.0</v>
      </c>
      <c r="D72" s="320" t="s">
        <v>431</v>
      </c>
      <c r="E72" s="23" t="s">
        <v>59</v>
      </c>
      <c r="F72" s="253">
        <v>10.0</v>
      </c>
      <c r="G72" s="254">
        <v>4.0</v>
      </c>
      <c r="H72" s="255">
        <v>40.0</v>
      </c>
      <c r="I72" s="266" t="s">
        <v>43</v>
      </c>
      <c r="J72" s="369" t="s">
        <v>329</v>
      </c>
      <c r="K72" s="258">
        <v>43496.0</v>
      </c>
      <c r="L72" s="260">
        <v>43555.0</v>
      </c>
      <c r="M72" s="370">
        <v>43494.0</v>
      </c>
      <c r="N72" s="261" t="s">
        <v>432</v>
      </c>
      <c r="O72" s="272"/>
      <c r="P72" s="260">
        <v>43557.0</v>
      </c>
      <c r="Q72" s="253" t="s">
        <v>284</v>
      </c>
      <c r="R72" s="253"/>
      <c r="S72" s="262"/>
      <c r="T72" s="253"/>
      <c r="U72" s="262"/>
      <c r="V72" s="262"/>
      <c r="W72" s="253" t="s">
        <v>50</v>
      </c>
      <c r="X72" s="253" t="s">
        <v>285</v>
      </c>
      <c r="Y72" s="253" t="s">
        <v>51</v>
      </c>
      <c r="Z72" s="253" t="s">
        <v>52</v>
      </c>
      <c r="AA72" s="264"/>
    </row>
    <row r="73" ht="15.75" customHeight="1">
      <c r="A73" s="19">
        <v>43469.0</v>
      </c>
      <c r="B73" s="320" t="s">
        <v>326</v>
      </c>
      <c r="C73" s="265">
        <v>2026895.0</v>
      </c>
      <c r="D73" s="320" t="s">
        <v>433</v>
      </c>
      <c r="E73" s="23" t="s">
        <v>42</v>
      </c>
      <c r="F73" s="253">
        <v>10.0</v>
      </c>
      <c r="G73" s="254">
        <v>273.0</v>
      </c>
      <c r="H73" s="255">
        <v>2730.0</v>
      </c>
      <c r="I73" s="266" t="s">
        <v>43</v>
      </c>
      <c r="J73" s="369" t="s">
        <v>329</v>
      </c>
      <c r="K73" s="258">
        <v>43496.0</v>
      </c>
      <c r="L73" s="260">
        <v>43514.0</v>
      </c>
      <c r="M73" s="271">
        <v>43481.0</v>
      </c>
      <c r="N73" s="261" t="s">
        <v>434</v>
      </c>
      <c r="O73" s="272">
        <v>67311.0</v>
      </c>
      <c r="P73" s="260">
        <v>43523.0</v>
      </c>
      <c r="Q73" s="253" t="s">
        <v>284</v>
      </c>
      <c r="R73" s="253"/>
      <c r="S73" s="262"/>
      <c r="T73" s="253"/>
      <c r="U73" s="262"/>
      <c r="V73" s="262"/>
      <c r="W73" s="253" t="s">
        <v>50</v>
      </c>
      <c r="X73" s="253" t="s">
        <v>285</v>
      </c>
      <c r="Y73" s="253" t="s">
        <v>51</v>
      </c>
      <c r="Z73" s="253" t="s">
        <v>52</v>
      </c>
      <c r="AA73" s="264"/>
    </row>
    <row r="74" ht="15.75" customHeight="1">
      <c r="A74" s="19">
        <v>43469.0</v>
      </c>
      <c r="B74" s="320" t="s">
        <v>326</v>
      </c>
      <c r="C74" s="265">
        <v>2026895.0</v>
      </c>
      <c r="D74" s="320" t="s">
        <v>435</v>
      </c>
      <c r="E74" s="23" t="s">
        <v>61</v>
      </c>
      <c r="F74" s="253">
        <v>10.0</v>
      </c>
      <c r="G74" s="254">
        <v>567.0</v>
      </c>
      <c r="H74" s="255">
        <v>5670.0</v>
      </c>
      <c r="I74" s="266" t="s">
        <v>43</v>
      </c>
      <c r="J74" s="369" t="s">
        <v>329</v>
      </c>
      <c r="K74" s="258">
        <v>43496.0</v>
      </c>
      <c r="L74" s="260">
        <v>43555.0</v>
      </c>
      <c r="M74" s="370">
        <v>43494.0</v>
      </c>
      <c r="N74" s="261" t="s">
        <v>432</v>
      </c>
      <c r="O74" s="272">
        <v>172763.0</v>
      </c>
      <c r="P74" s="260">
        <v>43557.0</v>
      </c>
      <c r="Q74" s="253" t="s">
        <v>284</v>
      </c>
      <c r="R74" s="253"/>
      <c r="S74" s="262"/>
      <c r="T74" s="253"/>
      <c r="U74" s="262"/>
      <c r="V74" s="262"/>
      <c r="W74" s="253" t="s">
        <v>50</v>
      </c>
      <c r="X74" s="253" t="s">
        <v>285</v>
      </c>
      <c r="Y74" s="253" t="s">
        <v>51</v>
      </c>
      <c r="Z74" s="253" t="s">
        <v>52</v>
      </c>
      <c r="AA74" s="264"/>
    </row>
    <row r="75" ht="15.75" customHeight="1">
      <c r="A75" s="19">
        <v>43472.0</v>
      </c>
      <c r="B75" s="144" t="s">
        <v>101</v>
      </c>
      <c r="C75" s="21"/>
      <c r="D75" s="21" t="s">
        <v>436</v>
      </c>
      <c r="E75" s="23" t="s">
        <v>437</v>
      </c>
      <c r="F75" s="298">
        <v>1.0</v>
      </c>
      <c r="G75" s="48">
        <v>92.0</v>
      </c>
      <c r="H75" s="26">
        <v>92.0</v>
      </c>
      <c r="I75" s="49" t="s">
        <v>303</v>
      </c>
      <c r="J75" s="349" t="s">
        <v>438</v>
      </c>
      <c r="K75" s="30">
        <v>43539.0</v>
      </c>
      <c r="L75" s="295">
        <v>43547.0</v>
      </c>
      <c r="M75" s="295">
        <v>43517.0</v>
      </c>
      <c r="N75" s="296" t="s">
        <v>439</v>
      </c>
      <c r="O75" s="297">
        <v>1165.0</v>
      </c>
      <c r="P75" s="295">
        <v>43558.0</v>
      </c>
      <c r="Q75" s="371"/>
      <c r="R75" s="371">
        <v>30.79</v>
      </c>
      <c r="S75" s="372"/>
      <c r="T75" s="373">
        <v>43636.0</v>
      </c>
      <c r="U75" s="372"/>
      <c r="V75" s="372"/>
      <c r="W75" s="371" t="s">
        <v>50</v>
      </c>
      <c r="X75" s="371" t="s">
        <v>285</v>
      </c>
      <c r="Y75" s="371" t="s">
        <v>286</v>
      </c>
      <c r="Z75" s="371" t="s">
        <v>52</v>
      </c>
      <c r="AA75" s="374" t="s">
        <v>440</v>
      </c>
    </row>
    <row r="76" ht="15.75" customHeight="1">
      <c r="A76" s="19">
        <v>43472.0</v>
      </c>
      <c r="B76" s="144" t="s">
        <v>101</v>
      </c>
      <c r="C76" s="21"/>
      <c r="D76" s="21" t="s">
        <v>436</v>
      </c>
      <c r="E76" s="23" t="s">
        <v>441</v>
      </c>
      <c r="F76" s="298">
        <v>1.0</v>
      </c>
      <c r="G76" s="25">
        <v>1357.0</v>
      </c>
      <c r="H76" s="26">
        <v>1357.0</v>
      </c>
      <c r="I76" s="49" t="s">
        <v>303</v>
      </c>
      <c r="J76" s="349" t="s">
        <v>438</v>
      </c>
      <c r="K76" s="30">
        <v>43539.0</v>
      </c>
      <c r="L76" s="296"/>
      <c r="M76" s="296"/>
      <c r="N76" s="296"/>
      <c r="O76" s="297"/>
      <c r="P76" s="296"/>
      <c r="Q76" s="371"/>
      <c r="R76" s="371">
        <v>30.79</v>
      </c>
      <c r="S76" s="372"/>
      <c r="T76" s="373">
        <v>43636.0</v>
      </c>
      <c r="U76" s="372"/>
      <c r="V76" s="372"/>
      <c r="W76" s="371" t="s">
        <v>50</v>
      </c>
      <c r="X76" s="371" t="s">
        <v>285</v>
      </c>
      <c r="Y76" s="371" t="s">
        <v>286</v>
      </c>
      <c r="Z76" s="371" t="s">
        <v>52</v>
      </c>
      <c r="AA76" s="374" t="s">
        <v>440</v>
      </c>
    </row>
    <row r="77" ht="15.75" customHeight="1">
      <c r="A77" s="19">
        <v>43472.0</v>
      </c>
      <c r="B77" s="144" t="s">
        <v>101</v>
      </c>
      <c r="C77" s="21"/>
      <c r="D77" s="21" t="s">
        <v>436</v>
      </c>
      <c r="E77" s="23" t="s">
        <v>442</v>
      </c>
      <c r="F77" s="298">
        <v>1.0</v>
      </c>
      <c r="G77" s="25">
        <v>38.0</v>
      </c>
      <c r="H77" s="26">
        <v>38.0</v>
      </c>
      <c r="I77" s="49" t="s">
        <v>303</v>
      </c>
      <c r="J77" s="349" t="s">
        <v>438</v>
      </c>
      <c r="K77" s="30">
        <v>43539.0</v>
      </c>
      <c r="L77" s="296"/>
      <c r="M77" s="296"/>
      <c r="N77" s="296"/>
      <c r="O77" s="297"/>
      <c r="P77" s="296"/>
      <c r="Q77" s="371"/>
      <c r="R77" s="371">
        <v>30.79</v>
      </c>
      <c r="S77" s="372"/>
      <c r="T77" s="373">
        <v>43636.0</v>
      </c>
      <c r="U77" s="372"/>
      <c r="V77" s="372"/>
      <c r="W77" s="371" t="s">
        <v>50</v>
      </c>
      <c r="X77" s="371" t="s">
        <v>285</v>
      </c>
      <c r="Y77" s="371" t="s">
        <v>286</v>
      </c>
      <c r="Z77" s="371" t="s">
        <v>52</v>
      </c>
      <c r="AA77" s="374" t="s">
        <v>440</v>
      </c>
    </row>
    <row r="78" ht="15.75" customHeight="1">
      <c r="A78" s="19">
        <v>43472.0</v>
      </c>
      <c r="B78" s="144" t="s">
        <v>101</v>
      </c>
      <c r="C78" s="21"/>
      <c r="D78" s="21" t="s">
        <v>436</v>
      </c>
      <c r="E78" s="23" t="s">
        <v>443</v>
      </c>
      <c r="F78" s="298">
        <v>1.0</v>
      </c>
      <c r="G78" s="25">
        <v>85.0</v>
      </c>
      <c r="H78" s="26">
        <v>85.0</v>
      </c>
      <c r="I78" s="49" t="s">
        <v>303</v>
      </c>
      <c r="J78" s="349" t="s">
        <v>438</v>
      </c>
      <c r="K78" s="30">
        <v>43539.0</v>
      </c>
      <c r="L78" s="296"/>
      <c r="M78" s="296"/>
      <c r="N78" s="296"/>
      <c r="O78" s="297"/>
      <c r="P78" s="296"/>
      <c r="Q78" s="371"/>
      <c r="R78" s="371">
        <v>30.79</v>
      </c>
      <c r="S78" s="372"/>
      <c r="T78" s="373">
        <v>43636.0</v>
      </c>
      <c r="U78" s="372"/>
      <c r="V78" s="372"/>
      <c r="W78" s="371" t="s">
        <v>50</v>
      </c>
      <c r="X78" s="371" t="s">
        <v>285</v>
      </c>
      <c r="Y78" s="371" t="s">
        <v>286</v>
      </c>
      <c r="Z78" s="371" t="s">
        <v>52</v>
      </c>
      <c r="AA78" s="374" t="s">
        <v>440</v>
      </c>
    </row>
    <row r="79" ht="15.75" customHeight="1">
      <c r="A79" s="19">
        <v>43472.0</v>
      </c>
      <c r="B79" s="144" t="s">
        <v>101</v>
      </c>
      <c r="C79" s="21"/>
      <c r="D79" s="21" t="s">
        <v>436</v>
      </c>
      <c r="E79" s="23" t="s">
        <v>444</v>
      </c>
      <c r="F79" s="298">
        <v>1.0</v>
      </c>
      <c r="G79" s="25">
        <v>140.0</v>
      </c>
      <c r="H79" s="26">
        <v>140.0</v>
      </c>
      <c r="I79" s="49" t="s">
        <v>303</v>
      </c>
      <c r="J79" s="349" t="s">
        <v>438</v>
      </c>
      <c r="K79" s="30">
        <v>43539.0</v>
      </c>
      <c r="L79" s="296"/>
      <c r="M79" s="296"/>
      <c r="N79" s="296"/>
      <c r="O79" s="297"/>
      <c r="P79" s="296"/>
      <c r="Q79" s="371"/>
      <c r="R79" s="371">
        <v>30.79</v>
      </c>
      <c r="S79" s="372"/>
      <c r="T79" s="373">
        <v>43636.0</v>
      </c>
      <c r="U79" s="372"/>
      <c r="V79" s="372"/>
      <c r="W79" s="371" t="s">
        <v>50</v>
      </c>
      <c r="X79" s="371" t="s">
        <v>285</v>
      </c>
      <c r="Y79" s="371" t="s">
        <v>286</v>
      </c>
      <c r="Z79" s="371" t="s">
        <v>52</v>
      </c>
      <c r="AA79" s="374" t="s">
        <v>440</v>
      </c>
    </row>
    <row r="80" ht="15.75" customHeight="1">
      <c r="A80" s="19">
        <v>43472.0</v>
      </c>
      <c r="B80" s="144" t="s">
        <v>101</v>
      </c>
      <c r="C80" s="70"/>
      <c r="D80" s="70" t="s">
        <v>436</v>
      </c>
      <c r="E80" s="23" t="s">
        <v>445</v>
      </c>
      <c r="F80" s="375">
        <v>1.0</v>
      </c>
      <c r="G80" s="25">
        <v>10.0</v>
      </c>
      <c r="H80" s="26">
        <v>10.0</v>
      </c>
      <c r="I80" s="49" t="s">
        <v>303</v>
      </c>
      <c r="J80" s="161" t="s">
        <v>438</v>
      </c>
      <c r="K80" s="30">
        <v>43539.0</v>
      </c>
      <c r="L80" s="296"/>
      <c r="M80" s="296"/>
      <c r="N80" s="296"/>
      <c r="O80" s="297"/>
      <c r="P80" s="296"/>
      <c r="Q80" s="371"/>
      <c r="R80" s="371"/>
      <c r="S80" s="372"/>
      <c r="T80" s="373">
        <v>43636.0</v>
      </c>
      <c r="U80" s="372"/>
      <c r="V80" s="372"/>
      <c r="W80" s="371" t="s">
        <v>50</v>
      </c>
      <c r="X80" s="371" t="s">
        <v>285</v>
      </c>
      <c r="Y80" s="371" t="s">
        <v>286</v>
      </c>
      <c r="Z80" s="371" t="s">
        <v>52</v>
      </c>
      <c r="AA80" s="374" t="s">
        <v>440</v>
      </c>
    </row>
    <row r="81" ht="15.75" customHeight="1">
      <c r="A81" s="376">
        <v>43472.0</v>
      </c>
      <c r="B81" s="275" t="s">
        <v>101</v>
      </c>
      <c r="C81" s="377"/>
      <c r="D81" s="377" t="s">
        <v>446</v>
      </c>
      <c r="E81" s="378" t="s">
        <v>447</v>
      </c>
      <c r="F81" s="379">
        <v>1.0</v>
      </c>
      <c r="G81" s="380">
        <v>0.0</v>
      </c>
      <c r="H81" s="381">
        <v>0.0</v>
      </c>
      <c r="I81" s="382" t="s">
        <v>303</v>
      </c>
      <c r="J81" s="383" t="s">
        <v>438</v>
      </c>
      <c r="K81" s="384">
        <v>43539.0</v>
      </c>
      <c r="L81" s="195"/>
      <c r="M81" s="199"/>
      <c r="N81" s="199"/>
      <c r="O81" s="385"/>
      <c r="P81" s="199"/>
      <c r="Q81" s="200"/>
      <c r="R81" s="200"/>
      <c r="S81" s="201"/>
      <c r="T81" s="200"/>
      <c r="U81" s="201"/>
      <c r="V81" s="201"/>
      <c r="W81" s="200" t="s">
        <v>50</v>
      </c>
      <c r="X81" s="200" t="s">
        <v>285</v>
      </c>
      <c r="Y81" s="200" t="s">
        <v>286</v>
      </c>
      <c r="Z81" s="200" t="s">
        <v>52</v>
      </c>
      <c r="AA81" s="203"/>
    </row>
    <row r="82" ht="15.75" customHeight="1">
      <c r="A82" s="19">
        <v>43472.0</v>
      </c>
      <c r="B82" s="144" t="s">
        <v>101</v>
      </c>
      <c r="C82" s="70"/>
      <c r="D82" s="70" t="s">
        <v>448</v>
      </c>
      <c r="E82" s="23" t="s">
        <v>449</v>
      </c>
      <c r="F82" s="375">
        <v>2.0</v>
      </c>
      <c r="G82" s="143">
        <v>892.0</v>
      </c>
      <c r="H82" s="26">
        <v>1784.0</v>
      </c>
      <c r="I82" s="49" t="s">
        <v>303</v>
      </c>
      <c r="J82" s="161" t="s">
        <v>438</v>
      </c>
      <c r="K82" s="30">
        <v>43522.0</v>
      </c>
      <c r="L82" s="52"/>
      <c r="M82" s="53"/>
      <c r="N82" s="53"/>
      <c r="O82" s="386"/>
      <c r="P82" s="53"/>
      <c r="Q82" s="54"/>
      <c r="R82" s="54">
        <v>30.8</v>
      </c>
      <c r="S82" s="55"/>
      <c r="T82" s="56">
        <v>43565.0</v>
      </c>
      <c r="U82" s="38"/>
      <c r="V82" s="38"/>
      <c r="W82" s="54" t="s">
        <v>50</v>
      </c>
      <c r="X82" s="24" t="s">
        <v>285</v>
      </c>
      <c r="Y82" s="54" t="s">
        <v>286</v>
      </c>
      <c r="Z82" s="54" t="s">
        <v>52</v>
      </c>
      <c r="AA82" s="57" t="s">
        <v>398</v>
      </c>
    </row>
    <row r="83" ht="15.75" customHeight="1">
      <c r="A83" s="19">
        <v>43472.0</v>
      </c>
      <c r="B83" s="144" t="s">
        <v>101</v>
      </c>
      <c r="C83" s="70"/>
      <c r="D83" s="70" t="s">
        <v>448</v>
      </c>
      <c r="E83" s="23" t="s">
        <v>442</v>
      </c>
      <c r="F83" s="375">
        <v>2.0</v>
      </c>
      <c r="G83" s="143">
        <v>38.0</v>
      </c>
      <c r="H83" s="26">
        <v>76.0</v>
      </c>
      <c r="I83" s="49" t="s">
        <v>303</v>
      </c>
      <c r="J83" s="161" t="s">
        <v>438</v>
      </c>
      <c r="K83" s="30">
        <v>43522.0</v>
      </c>
      <c r="L83" s="52"/>
      <c r="M83" s="53"/>
      <c r="N83" s="53"/>
      <c r="O83" s="386"/>
      <c r="P83" s="53"/>
      <c r="Q83" s="54"/>
      <c r="R83" s="54">
        <v>30.8</v>
      </c>
      <c r="S83" s="55"/>
      <c r="T83" s="56">
        <v>43565.0</v>
      </c>
      <c r="U83" s="38"/>
      <c r="V83" s="38"/>
      <c r="W83" s="54" t="s">
        <v>50</v>
      </c>
      <c r="X83" s="24" t="s">
        <v>285</v>
      </c>
      <c r="Y83" s="54" t="s">
        <v>286</v>
      </c>
      <c r="Z83" s="54" t="s">
        <v>52</v>
      </c>
      <c r="AA83" s="57" t="s">
        <v>398</v>
      </c>
    </row>
    <row r="84" ht="15.75" customHeight="1">
      <c r="A84" s="19">
        <v>43472.0</v>
      </c>
      <c r="B84" s="144" t="s">
        <v>101</v>
      </c>
      <c r="C84" s="70"/>
      <c r="D84" s="70" t="s">
        <v>448</v>
      </c>
      <c r="E84" s="23" t="s">
        <v>450</v>
      </c>
      <c r="F84" s="375">
        <v>2.0</v>
      </c>
      <c r="G84" s="143">
        <v>79.0</v>
      </c>
      <c r="H84" s="26">
        <v>158.0</v>
      </c>
      <c r="I84" s="49" t="s">
        <v>303</v>
      </c>
      <c r="J84" s="161" t="s">
        <v>438</v>
      </c>
      <c r="K84" s="30">
        <v>43522.0</v>
      </c>
      <c r="L84" s="52"/>
      <c r="M84" s="53"/>
      <c r="N84" s="53"/>
      <c r="O84" s="386"/>
      <c r="P84" s="53"/>
      <c r="Q84" s="54"/>
      <c r="R84" s="54">
        <v>30.8</v>
      </c>
      <c r="S84" s="55"/>
      <c r="T84" s="56">
        <v>43565.0</v>
      </c>
      <c r="U84" s="38"/>
      <c r="V84" s="38"/>
      <c r="W84" s="54" t="s">
        <v>50</v>
      </c>
      <c r="X84" s="24" t="s">
        <v>285</v>
      </c>
      <c r="Y84" s="54" t="s">
        <v>286</v>
      </c>
      <c r="Z84" s="54" t="s">
        <v>52</v>
      </c>
      <c r="AA84" s="57" t="s">
        <v>398</v>
      </c>
    </row>
    <row r="85" ht="15.75" customHeight="1">
      <c r="A85" s="19">
        <v>43472.0</v>
      </c>
      <c r="B85" s="144" t="s">
        <v>101</v>
      </c>
      <c r="C85" s="70"/>
      <c r="D85" s="70" t="s">
        <v>448</v>
      </c>
      <c r="E85" s="23" t="s">
        <v>444</v>
      </c>
      <c r="F85" s="375">
        <v>2.0</v>
      </c>
      <c r="G85" s="143">
        <v>140.0</v>
      </c>
      <c r="H85" s="26">
        <v>280.0</v>
      </c>
      <c r="I85" s="49" t="s">
        <v>303</v>
      </c>
      <c r="J85" s="161" t="s">
        <v>438</v>
      </c>
      <c r="K85" s="30">
        <v>43522.0</v>
      </c>
      <c r="L85" s="52"/>
      <c r="M85" s="53"/>
      <c r="N85" s="53"/>
      <c r="O85" s="386"/>
      <c r="P85" s="53"/>
      <c r="Q85" s="54"/>
      <c r="R85" s="54">
        <v>30.8</v>
      </c>
      <c r="S85" s="55"/>
      <c r="T85" s="56">
        <v>43565.0</v>
      </c>
      <c r="U85" s="38"/>
      <c r="V85" s="38"/>
      <c r="W85" s="54" t="s">
        <v>50</v>
      </c>
      <c r="X85" s="24" t="s">
        <v>285</v>
      </c>
      <c r="Y85" s="54" t="s">
        <v>286</v>
      </c>
      <c r="Z85" s="54" t="s">
        <v>52</v>
      </c>
      <c r="AA85" s="57" t="s">
        <v>398</v>
      </c>
    </row>
    <row r="86" ht="15.75" customHeight="1">
      <c r="A86" s="19">
        <v>43472.0</v>
      </c>
      <c r="B86" s="144" t="s">
        <v>101</v>
      </c>
      <c r="C86" s="70"/>
      <c r="D86" s="70" t="s">
        <v>448</v>
      </c>
      <c r="E86" s="23" t="s">
        <v>437</v>
      </c>
      <c r="F86" s="375">
        <v>2.0</v>
      </c>
      <c r="G86" s="143">
        <v>92.0</v>
      </c>
      <c r="H86" s="26">
        <v>184.0</v>
      </c>
      <c r="I86" s="49" t="s">
        <v>303</v>
      </c>
      <c r="J86" s="161" t="s">
        <v>438</v>
      </c>
      <c r="K86" s="30">
        <v>43522.0</v>
      </c>
      <c r="L86" s="52"/>
      <c r="M86" s="53"/>
      <c r="N86" s="53"/>
      <c r="O86" s="386"/>
      <c r="P86" s="53"/>
      <c r="Q86" s="54"/>
      <c r="R86" s="54">
        <v>30.8</v>
      </c>
      <c r="S86" s="55"/>
      <c r="T86" s="56">
        <v>43565.0</v>
      </c>
      <c r="U86" s="38"/>
      <c r="V86" s="38"/>
      <c r="W86" s="54" t="s">
        <v>50</v>
      </c>
      <c r="X86" s="24" t="s">
        <v>285</v>
      </c>
      <c r="Y86" s="54" t="s">
        <v>286</v>
      </c>
      <c r="Z86" s="54" t="s">
        <v>52</v>
      </c>
      <c r="AA86" s="57" t="s">
        <v>398</v>
      </c>
    </row>
    <row r="87" ht="15.75" customHeight="1">
      <c r="A87" s="19">
        <v>43472.0</v>
      </c>
      <c r="B87" s="144" t="s">
        <v>101</v>
      </c>
      <c r="C87" s="70"/>
      <c r="D87" s="70" t="s">
        <v>448</v>
      </c>
      <c r="E87" s="23" t="s">
        <v>445</v>
      </c>
      <c r="F87" s="375">
        <v>2.0</v>
      </c>
      <c r="G87" s="387">
        <v>10.0</v>
      </c>
      <c r="H87" s="26">
        <v>20.0</v>
      </c>
      <c r="I87" s="49" t="s">
        <v>303</v>
      </c>
      <c r="J87" s="161" t="s">
        <v>438</v>
      </c>
      <c r="K87" s="30">
        <v>43522.0</v>
      </c>
      <c r="L87" s="52"/>
      <c r="M87" s="53"/>
      <c r="N87" s="53"/>
      <c r="O87" s="386"/>
      <c r="P87" s="53"/>
      <c r="Q87" s="54"/>
      <c r="R87" s="54">
        <v>30.8</v>
      </c>
      <c r="S87" s="55"/>
      <c r="T87" s="56">
        <v>43565.0</v>
      </c>
      <c r="U87" s="38"/>
      <c r="V87" s="38"/>
      <c r="W87" s="54" t="s">
        <v>50</v>
      </c>
      <c r="X87" s="24" t="s">
        <v>285</v>
      </c>
      <c r="Y87" s="54" t="s">
        <v>286</v>
      </c>
      <c r="Z87" s="54" t="s">
        <v>52</v>
      </c>
      <c r="AA87" s="57" t="s">
        <v>398</v>
      </c>
    </row>
    <row r="88" ht="15.75" customHeight="1">
      <c r="A88" s="69">
        <v>43472.0</v>
      </c>
      <c r="B88" s="388" t="s">
        <v>130</v>
      </c>
      <c r="C88" s="389" t="s">
        <v>451</v>
      </c>
      <c r="D88" s="265" t="s">
        <v>452</v>
      </c>
      <c r="E88" s="23" t="s">
        <v>453</v>
      </c>
      <c r="F88" s="390">
        <v>20.0</v>
      </c>
      <c r="G88" s="391">
        <v>58.0</v>
      </c>
      <c r="H88" s="255">
        <v>1160.0</v>
      </c>
      <c r="I88" s="266" t="s">
        <v>420</v>
      </c>
      <c r="J88" s="259" t="s">
        <v>454</v>
      </c>
      <c r="K88" s="258">
        <v>43494.0</v>
      </c>
      <c r="L88" s="260">
        <v>43524.0</v>
      </c>
      <c r="M88" s="260">
        <v>43490.0</v>
      </c>
      <c r="N88" s="261" t="s">
        <v>455</v>
      </c>
      <c r="O88" s="272">
        <v>33595.0</v>
      </c>
      <c r="P88" s="260">
        <v>43522.0</v>
      </c>
      <c r="Q88" s="253" t="s">
        <v>284</v>
      </c>
      <c r="R88" s="253"/>
      <c r="S88" s="262"/>
      <c r="T88" s="253"/>
      <c r="U88" s="262"/>
      <c r="V88" s="262"/>
      <c r="W88" s="253" t="s">
        <v>50</v>
      </c>
      <c r="X88" s="253" t="s">
        <v>285</v>
      </c>
      <c r="Y88" s="253" t="s">
        <v>51</v>
      </c>
      <c r="Z88" s="253" t="s">
        <v>52</v>
      </c>
      <c r="AA88" s="264"/>
    </row>
    <row r="89" ht="15.75" customHeight="1">
      <c r="A89" s="69">
        <v>43473.0</v>
      </c>
      <c r="B89" s="265" t="s">
        <v>119</v>
      </c>
      <c r="C89" s="265" t="s">
        <v>456</v>
      </c>
      <c r="D89" s="265" t="s">
        <v>457</v>
      </c>
      <c r="E89" s="23" t="s">
        <v>458</v>
      </c>
      <c r="F89" s="392">
        <v>3.0</v>
      </c>
      <c r="G89" s="391">
        <v>1209.0</v>
      </c>
      <c r="H89" s="364">
        <v>3627.0</v>
      </c>
      <c r="I89" s="266" t="s">
        <v>171</v>
      </c>
      <c r="J89" s="266" t="s">
        <v>122</v>
      </c>
      <c r="K89" s="258">
        <v>43494.0</v>
      </c>
      <c r="L89" s="260">
        <v>43555.0</v>
      </c>
      <c r="M89" s="260">
        <v>43493.0</v>
      </c>
      <c r="N89" s="261" t="s">
        <v>459</v>
      </c>
      <c r="O89" s="272">
        <v>401013.0</v>
      </c>
      <c r="P89" s="260">
        <v>43536.0</v>
      </c>
      <c r="Q89" s="253" t="s">
        <v>284</v>
      </c>
      <c r="R89" s="253"/>
      <c r="S89" s="262"/>
      <c r="T89" s="307"/>
      <c r="U89" s="262"/>
      <c r="V89" s="262"/>
      <c r="W89" s="253" t="s">
        <v>50</v>
      </c>
      <c r="X89" s="253" t="s">
        <v>285</v>
      </c>
      <c r="Y89" s="253" t="s">
        <v>51</v>
      </c>
      <c r="Z89" s="253" t="s">
        <v>52</v>
      </c>
      <c r="AA89" s="264"/>
    </row>
    <row r="90" ht="15.75" customHeight="1">
      <c r="A90" s="69">
        <v>43473.0</v>
      </c>
      <c r="B90" s="265" t="s">
        <v>119</v>
      </c>
      <c r="C90" s="265" t="s">
        <v>456</v>
      </c>
      <c r="D90" s="265" t="s">
        <v>457</v>
      </c>
      <c r="E90" s="23" t="s">
        <v>162</v>
      </c>
      <c r="F90" s="392">
        <v>15.0</v>
      </c>
      <c r="G90" s="391">
        <v>738.0</v>
      </c>
      <c r="H90" s="364">
        <v>11070.0</v>
      </c>
      <c r="I90" s="266" t="s">
        <v>171</v>
      </c>
      <c r="J90" s="266" t="s">
        <v>122</v>
      </c>
      <c r="K90" s="258">
        <v>43494.0</v>
      </c>
      <c r="L90" s="260">
        <v>43555.0</v>
      </c>
      <c r="M90" s="260">
        <v>43493.0</v>
      </c>
      <c r="N90" s="261" t="s">
        <v>459</v>
      </c>
      <c r="O90" s="272"/>
      <c r="P90" s="260">
        <v>43536.0</v>
      </c>
      <c r="Q90" s="253" t="s">
        <v>284</v>
      </c>
      <c r="R90" s="253"/>
      <c r="S90" s="262"/>
      <c r="T90" s="307"/>
      <c r="U90" s="262"/>
      <c r="V90" s="262"/>
      <c r="W90" s="253" t="s">
        <v>50</v>
      </c>
      <c r="X90" s="253" t="s">
        <v>285</v>
      </c>
      <c r="Y90" s="253" t="s">
        <v>51</v>
      </c>
      <c r="Z90" s="253" t="s">
        <v>52</v>
      </c>
      <c r="AA90" s="264"/>
    </row>
    <row r="91" ht="15.75" customHeight="1">
      <c r="A91" s="69">
        <v>43473.0</v>
      </c>
      <c r="B91" s="265" t="s">
        <v>229</v>
      </c>
      <c r="C91" s="265" t="s">
        <v>460</v>
      </c>
      <c r="D91" s="265" t="s">
        <v>461</v>
      </c>
      <c r="E91" s="23" t="s">
        <v>462</v>
      </c>
      <c r="F91" s="393">
        <v>35.0</v>
      </c>
      <c r="G91" s="391">
        <v>407.4</v>
      </c>
      <c r="H91" s="255">
        <v>14259.0</v>
      </c>
      <c r="I91" s="266" t="s">
        <v>171</v>
      </c>
      <c r="J91" s="253" t="s">
        <v>90</v>
      </c>
      <c r="K91" s="258">
        <v>43487.0</v>
      </c>
      <c r="L91" s="260">
        <v>43524.0</v>
      </c>
      <c r="M91" s="260">
        <v>43487.0</v>
      </c>
      <c r="N91" s="261" t="s">
        <v>463</v>
      </c>
      <c r="O91" s="272">
        <v>401368.0</v>
      </c>
      <c r="P91" s="260">
        <v>43522.0</v>
      </c>
      <c r="Q91" s="253"/>
      <c r="R91" s="253"/>
      <c r="S91" s="262"/>
      <c r="T91" s="253"/>
      <c r="U91" s="262"/>
      <c r="V91" s="262"/>
      <c r="W91" s="253" t="s">
        <v>50</v>
      </c>
      <c r="X91" s="253" t="s">
        <v>285</v>
      </c>
      <c r="Y91" s="253" t="s">
        <v>51</v>
      </c>
      <c r="Z91" s="253" t="s">
        <v>377</v>
      </c>
      <c r="AA91" s="264"/>
    </row>
    <row r="92" ht="15.75" customHeight="1">
      <c r="A92" s="69">
        <v>43476.0</v>
      </c>
      <c r="B92" s="265" t="s">
        <v>464</v>
      </c>
      <c r="C92" s="265">
        <v>503704.0</v>
      </c>
      <c r="D92" s="394" t="s">
        <v>465</v>
      </c>
      <c r="E92" s="23" t="s">
        <v>466</v>
      </c>
      <c r="F92" s="393">
        <v>1.0</v>
      </c>
      <c r="G92" s="391">
        <v>100.0</v>
      </c>
      <c r="H92" s="255">
        <v>100.0</v>
      </c>
      <c r="I92" s="266" t="s">
        <v>171</v>
      </c>
      <c r="J92" s="253" t="s">
        <v>467</v>
      </c>
      <c r="K92" s="258">
        <v>43539.0</v>
      </c>
      <c r="L92" s="260">
        <v>43555.0</v>
      </c>
      <c r="M92" s="260">
        <v>43518.0</v>
      </c>
      <c r="N92" s="261" t="s">
        <v>468</v>
      </c>
      <c r="O92" s="272"/>
      <c r="P92" s="260">
        <v>43557.0</v>
      </c>
      <c r="Q92" s="253"/>
      <c r="R92" s="253">
        <v>30.79</v>
      </c>
      <c r="S92" s="262"/>
      <c r="T92" s="253"/>
      <c r="U92" s="262"/>
      <c r="V92" s="262"/>
      <c r="W92" s="253" t="s">
        <v>50</v>
      </c>
      <c r="X92" s="253" t="s">
        <v>285</v>
      </c>
      <c r="Y92" s="253" t="s">
        <v>51</v>
      </c>
      <c r="Z92" s="253" t="s">
        <v>52</v>
      </c>
      <c r="AA92" s="264"/>
    </row>
    <row r="93" ht="15.75" customHeight="1">
      <c r="A93" s="69">
        <v>43476.0</v>
      </c>
      <c r="B93" s="265" t="s">
        <v>464</v>
      </c>
      <c r="C93" s="265">
        <v>503704.0</v>
      </c>
      <c r="D93" s="394" t="s">
        <v>469</v>
      </c>
      <c r="E93" s="23" t="s">
        <v>470</v>
      </c>
      <c r="F93" s="393">
        <v>1.0</v>
      </c>
      <c r="G93" s="391">
        <v>80.0</v>
      </c>
      <c r="H93" s="255">
        <v>80.0</v>
      </c>
      <c r="I93" s="266" t="s">
        <v>171</v>
      </c>
      <c r="J93" s="253" t="s">
        <v>467</v>
      </c>
      <c r="K93" s="258">
        <v>43539.0</v>
      </c>
      <c r="L93" s="261" t="s">
        <v>422</v>
      </c>
      <c r="M93" s="260">
        <v>43510.0</v>
      </c>
      <c r="N93" s="261" t="s">
        <v>471</v>
      </c>
      <c r="O93" s="272">
        <v>3766.0</v>
      </c>
      <c r="P93" s="260">
        <v>43512.0</v>
      </c>
      <c r="Q93" s="253"/>
      <c r="R93" s="253">
        <v>30.79</v>
      </c>
      <c r="S93" s="262"/>
      <c r="T93" s="253"/>
      <c r="U93" s="262"/>
      <c r="V93" s="262"/>
      <c r="W93" s="253" t="s">
        <v>50</v>
      </c>
      <c r="X93" s="253" t="s">
        <v>285</v>
      </c>
      <c r="Y93" s="253" t="s">
        <v>51</v>
      </c>
      <c r="Z93" s="253" t="s">
        <v>52</v>
      </c>
      <c r="AA93" s="264"/>
    </row>
    <row r="94" ht="15.75" customHeight="1">
      <c r="A94" s="110">
        <v>43476.0</v>
      </c>
      <c r="B94" s="252" t="s">
        <v>464</v>
      </c>
      <c r="C94" s="252">
        <v>503704.0</v>
      </c>
      <c r="D94" s="328" t="s">
        <v>469</v>
      </c>
      <c r="E94" s="23" t="s">
        <v>472</v>
      </c>
      <c r="F94" s="253">
        <v>1.0</v>
      </c>
      <c r="G94" s="267">
        <v>118.0</v>
      </c>
      <c r="H94" s="255">
        <v>118.0</v>
      </c>
      <c r="I94" s="266" t="s">
        <v>171</v>
      </c>
      <c r="J94" s="253" t="s">
        <v>467</v>
      </c>
      <c r="K94" s="258">
        <v>43539.0</v>
      </c>
      <c r="L94" s="261" t="s">
        <v>422</v>
      </c>
      <c r="M94" s="260">
        <v>43510.0</v>
      </c>
      <c r="N94" s="261" t="s">
        <v>471</v>
      </c>
      <c r="O94" s="272"/>
      <c r="P94" s="260">
        <v>43512.0</v>
      </c>
      <c r="Q94" s="253"/>
      <c r="R94" s="253">
        <v>30.79</v>
      </c>
      <c r="S94" s="262"/>
      <c r="T94" s="253"/>
      <c r="U94" s="262"/>
      <c r="V94" s="262"/>
      <c r="W94" s="253" t="s">
        <v>50</v>
      </c>
      <c r="X94" s="253" t="s">
        <v>285</v>
      </c>
      <c r="Y94" s="253" t="s">
        <v>51</v>
      </c>
      <c r="Z94" s="253" t="s">
        <v>52</v>
      </c>
      <c r="AA94" s="264"/>
    </row>
    <row r="95" ht="15.75" customHeight="1">
      <c r="A95" s="110">
        <v>43476.0</v>
      </c>
      <c r="B95" s="265" t="s">
        <v>464</v>
      </c>
      <c r="C95" s="252">
        <v>503704.0</v>
      </c>
      <c r="D95" s="328" t="s">
        <v>469</v>
      </c>
      <c r="E95" s="23" t="s">
        <v>473</v>
      </c>
      <c r="F95" s="253">
        <v>1.0</v>
      </c>
      <c r="G95" s="267">
        <v>160.0</v>
      </c>
      <c r="H95" s="255">
        <v>160.0</v>
      </c>
      <c r="I95" s="266" t="s">
        <v>171</v>
      </c>
      <c r="J95" s="253" t="s">
        <v>467</v>
      </c>
      <c r="K95" s="258">
        <v>43539.0</v>
      </c>
      <c r="L95" s="260">
        <v>43541.0</v>
      </c>
      <c r="M95" s="260">
        <v>43511.0</v>
      </c>
      <c r="N95" s="261" t="s">
        <v>474</v>
      </c>
      <c r="O95" s="272">
        <v>4176.0</v>
      </c>
      <c r="P95" s="260">
        <v>43558.0</v>
      </c>
      <c r="Q95" s="253"/>
      <c r="R95" s="253">
        <v>30.79</v>
      </c>
      <c r="S95" s="262"/>
      <c r="T95" s="253"/>
      <c r="U95" s="262"/>
      <c r="V95" s="262"/>
      <c r="W95" s="253" t="s">
        <v>50</v>
      </c>
      <c r="X95" s="253" t="s">
        <v>285</v>
      </c>
      <c r="Y95" s="253" t="s">
        <v>51</v>
      </c>
      <c r="Z95" s="253" t="s">
        <v>52</v>
      </c>
      <c r="AA95" s="264"/>
    </row>
    <row r="96" ht="15.75" customHeight="1">
      <c r="A96" s="110">
        <v>43476.0</v>
      </c>
      <c r="B96" s="265" t="s">
        <v>464</v>
      </c>
      <c r="C96" s="252">
        <v>503704.0</v>
      </c>
      <c r="D96" s="328" t="s">
        <v>475</v>
      </c>
      <c r="E96" s="23" t="s">
        <v>476</v>
      </c>
      <c r="F96" s="253">
        <v>1.0</v>
      </c>
      <c r="G96" s="267">
        <v>4120.0</v>
      </c>
      <c r="H96" s="255">
        <v>4120.0</v>
      </c>
      <c r="I96" s="266" t="s">
        <v>171</v>
      </c>
      <c r="J96" s="395" t="s">
        <v>467</v>
      </c>
      <c r="K96" s="258">
        <v>43539.0</v>
      </c>
      <c r="L96" s="260">
        <v>43555.0</v>
      </c>
      <c r="M96" s="260">
        <v>43518.0</v>
      </c>
      <c r="N96" s="261" t="s">
        <v>468</v>
      </c>
      <c r="O96" s="272">
        <v>121734.0</v>
      </c>
      <c r="P96" s="260">
        <v>43557.0</v>
      </c>
      <c r="Q96" s="253"/>
      <c r="R96" s="253">
        <v>30.79</v>
      </c>
      <c r="S96" s="262"/>
      <c r="T96" s="307"/>
      <c r="U96" s="262">
        <f>4578*30.73-200</f>
        <v>140481.94</v>
      </c>
      <c r="V96" s="262">
        <v>200.0</v>
      </c>
      <c r="W96" s="253" t="s">
        <v>50</v>
      </c>
      <c r="X96" s="253" t="s">
        <v>285</v>
      </c>
      <c r="Y96" s="253" t="s">
        <v>51</v>
      </c>
      <c r="Z96" s="253" t="s">
        <v>52</v>
      </c>
      <c r="AA96" s="264"/>
    </row>
    <row r="97" ht="15.75" customHeight="1">
      <c r="A97" s="110">
        <v>43479.0</v>
      </c>
      <c r="B97" s="70" t="s">
        <v>77</v>
      </c>
      <c r="C97" s="21">
        <v>14.0</v>
      </c>
      <c r="D97" s="21" t="s">
        <v>477</v>
      </c>
      <c r="E97" s="23" t="s">
        <v>478</v>
      </c>
      <c r="F97" s="82">
        <v>30.0</v>
      </c>
      <c r="G97" s="48">
        <v>2.25</v>
      </c>
      <c r="H97" s="60">
        <v>67.5</v>
      </c>
      <c r="I97" s="348" t="s">
        <v>43</v>
      </c>
      <c r="J97" s="58" t="s">
        <v>479</v>
      </c>
      <c r="K97" s="29">
        <v>43522.0</v>
      </c>
      <c r="L97" s="52"/>
      <c r="M97" s="53"/>
      <c r="N97" s="53"/>
      <c r="O97" s="386"/>
      <c r="P97" s="53"/>
      <c r="Q97" s="54"/>
      <c r="R97" s="54"/>
      <c r="S97" s="55"/>
      <c r="T97" s="54"/>
      <c r="U97" s="55"/>
      <c r="V97" s="55"/>
      <c r="W97" s="54" t="s">
        <v>50</v>
      </c>
      <c r="X97" s="24" t="s">
        <v>285</v>
      </c>
      <c r="Y97" s="54" t="s">
        <v>51</v>
      </c>
      <c r="Z97" s="54" t="s">
        <v>52</v>
      </c>
      <c r="AA97" s="57" t="s">
        <v>398</v>
      </c>
    </row>
    <row r="98" ht="15.75" customHeight="1">
      <c r="A98" s="110">
        <v>43479.0</v>
      </c>
      <c r="B98" s="70" t="s">
        <v>77</v>
      </c>
      <c r="C98" s="21">
        <v>14.0</v>
      </c>
      <c r="D98" s="21" t="s">
        <v>477</v>
      </c>
      <c r="E98" s="23" t="s">
        <v>478</v>
      </c>
      <c r="F98" s="82">
        <v>20.0</v>
      </c>
      <c r="G98" s="48">
        <v>2.25</v>
      </c>
      <c r="H98" s="60">
        <v>45.0</v>
      </c>
      <c r="I98" s="348" t="s">
        <v>43</v>
      </c>
      <c r="J98" s="58" t="s">
        <v>479</v>
      </c>
      <c r="K98" s="29">
        <v>43522.0</v>
      </c>
      <c r="L98" s="52"/>
      <c r="M98" s="53"/>
      <c r="N98" s="53"/>
      <c r="O98" s="386"/>
      <c r="P98" s="53"/>
      <c r="Q98" s="54"/>
      <c r="R98" s="54"/>
      <c r="S98" s="55"/>
      <c r="T98" s="54"/>
      <c r="U98" s="55"/>
      <c r="V98" s="55"/>
      <c r="W98" s="54" t="s">
        <v>50</v>
      </c>
      <c r="X98" s="24" t="s">
        <v>285</v>
      </c>
      <c r="Y98" s="54" t="s">
        <v>51</v>
      </c>
      <c r="Z98" s="54" t="s">
        <v>52</v>
      </c>
      <c r="AA98" s="57" t="s">
        <v>398</v>
      </c>
    </row>
    <row r="99" ht="15.75" customHeight="1">
      <c r="A99" s="110">
        <v>43481.0</v>
      </c>
      <c r="B99" s="265" t="s">
        <v>406</v>
      </c>
      <c r="C99" s="252">
        <v>7.000144298E9</v>
      </c>
      <c r="D99" s="252" t="s">
        <v>480</v>
      </c>
      <c r="E99" s="23" t="s">
        <v>481</v>
      </c>
      <c r="F99" s="266">
        <v>2.0</v>
      </c>
      <c r="G99" s="330">
        <v>137.0</v>
      </c>
      <c r="H99" s="336">
        <v>274.0</v>
      </c>
      <c r="I99" s="256" t="s">
        <v>43</v>
      </c>
      <c r="J99" s="266" t="s">
        <v>482</v>
      </c>
      <c r="K99" s="258">
        <v>43489.0</v>
      </c>
      <c r="L99" s="260">
        <v>43524.0</v>
      </c>
      <c r="M99" s="370">
        <v>43487.0</v>
      </c>
      <c r="N99" s="261" t="s">
        <v>483</v>
      </c>
      <c r="O99" s="272">
        <v>14867.0</v>
      </c>
      <c r="P99" s="260">
        <v>43523.0</v>
      </c>
      <c r="Q99" s="253" t="s">
        <v>284</v>
      </c>
      <c r="R99" s="253"/>
      <c r="S99" s="262"/>
      <c r="T99" s="253"/>
      <c r="U99" s="262"/>
      <c r="V99" s="262"/>
      <c r="W99" s="253" t="s">
        <v>50</v>
      </c>
      <c r="X99" s="253" t="s">
        <v>285</v>
      </c>
      <c r="Y99" s="253" t="s">
        <v>51</v>
      </c>
      <c r="Z99" s="253" t="s">
        <v>52</v>
      </c>
      <c r="AA99" s="264"/>
    </row>
    <row r="100" ht="15.75" customHeight="1">
      <c r="A100" s="110">
        <v>43481.0</v>
      </c>
      <c r="B100" s="265" t="s">
        <v>406</v>
      </c>
      <c r="C100" s="252">
        <v>7.000144298E9</v>
      </c>
      <c r="D100" s="252" t="s">
        <v>480</v>
      </c>
      <c r="E100" s="23" t="s">
        <v>484</v>
      </c>
      <c r="F100" s="266">
        <v>1.0</v>
      </c>
      <c r="G100" s="330">
        <v>87.0</v>
      </c>
      <c r="H100" s="336">
        <v>87.0</v>
      </c>
      <c r="I100" s="256" t="s">
        <v>43</v>
      </c>
      <c r="J100" s="266" t="s">
        <v>482</v>
      </c>
      <c r="K100" s="258">
        <v>43489.0</v>
      </c>
      <c r="L100" s="260">
        <v>43524.0</v>
      </c>
      <c r="M100" s="370">
        <v>43487.0</v>
      </c>
      <c r="N100" s="261" t="s">
        <v>483</v>
      </c>
      <c r="O100" s="261"/>
      <c r="P100" s="260">
        <v>43523.0</v>
      </c>
      <c r="Q100" s="253" t="s">
        <v>284</v>
      </c>
      <c r="R100" s="253"/>
      <c r="S100" s="262"/>
      <c r="T100" s="253"/>
      <c r="U100" s="262"/>
      <c r="V100" s="262"/>
      <c r="W100" s="253" t="s">
        <v>50</v>
      </c>
      <c r="X100" s="253" t="s">
        <v>285</v>
      </c>
      <c r="Y100" s="253" t="s">
        <v>51</v>
      </c>
      <c r="Z100" s="253" t="s">
        <v>52</v>
      </c>
      <c r="AA100" s="264"/>
    </row>
    <row r="101" ht="15.75" customHeight="1">
      <c r="A101" s="110">
        <v>43481.0</v>
      </c>
      <c r="B101" s="265" t="s">
        <v>406</v>
      </c>
      <c r="C101" s="252">
        <v>7.000144298E9</v>
      </c>
      <c r="D101" s="252" t="s">
        <v>480</v>
      </c>
      <c r="E101" s="23" t="s">
        <v>485</v>
      </c>
      <c r="F101" s="266">
        <v>1.0</v>
      </c>
      <c r="G101" s="330">
        <v>178.0</v>
      </c>
      <c r="H101" s="336">
        <v>178.0</v>
      </c>
      <c r="I101" s="256" t="s">
        <v>43</v>
      </c>
      <c r="J101" s="266" t="s">
        <v>482</v>
      </c>
      <c r="K101" s="258">
        <v>43489.0</v>
      </c>
      <c r="L101" s="260">
        <v>43524.0</v>
      </c>
      <c r="M101" s="370">
        <v>43487.0</v>
      </c>
      <c r="N101" s="261" t="s">
        <v>483</v>
      </c>
      <c r="O101" s="261"/>
      <c r="P101" s="260">
        <v>43523.0</v>
      </c>
      <c r="Q101" s="253" t="s">
        <v>284</v>
      </c>
      <c r="R101" s="253"/>
      <c r="S101" s="262"/>
      <c r="T101" s="253"/>
      <c r="U101" s="262"/>
      <c r="V101" s="262"/>
      <c r="W101" s="253" t="s">
        <v>50</v>
      </c>
      <c r="X101" s="253" t="s">
        <v>285</v>
      </c>
      <c r="Y101" s="253" t="s">
        <v>51</v>
      </c>
      <c r="Z101" s="253" t="s">
        <v>52</v>
      </c>
      <c r="AA101" s="264"/>
    </row>
    <row r="102" ht="15.75" customHeight="1">
      <c r="A102" s="110">
        <v>43482.0</v>
      </c>
      <c r="B102" s="265" t="s">
        <v>101</v>
      </c>
      <c r="C102" s="252"/>
      <c r="D102" s="252" t="s">
        <v>486</v>
      </c>
      <c r="E102" s="23" t="s">
        <v>347</v>
      </c>
      <c r="F102" s="253">
        <v>1.0</v>
      </c>
      <c r="G102" s="254">
        <v>278.0</v>
      </c>
      <c r="H102" s="268">
        <v>278.0</v>
      </c>
      <c r="I102" s="266" t="s">
        <v>105</v>
      </c>
      <c r="J102" s="369" t="s">
        <v>290</v>
      </c>
      <c r="K102" s="258">
        <v>43482.0</v>
      </c>
      <c r="L102" s="396">
        <v>43520.0</v>
      </c>
      <c r="M102" s="271">
        <v>43490.0</v>
      </c>
      <c r="N102" s="261" t="s">
        <v>487</v>
      </c>
      <c r="O102" s="272">
        <v>9218.0</v>
      </c>
      <c r="P102" s="260">
        <v>43526.0</v>
      </c>
      <c r="Q102" s="253" t="s">
        <v>284</v>
      </c>
      <c r="R102" s="253"/>
      <c r="S102" s="262"/>
      <c r="T102" s="263">
        <v>43530.0</v>
      </c>
      <c r="U102" s="262"/>
      <c r="V102" s="262"/>
      <c r="W102" s="253" t="s">
        <v>50</v>
      </c>
      <c r="X102" s="253" t="s">
        <v>285</v>
      </c>
      <c r="Y102" s="253" t="s">
        <v>51</v>
      </c>
      <c r="Z102" s="253" t="s">
        <v>52</v>
      </c>
      <c r="AA102" s="264"/>
    </row>
    <row r="103" ht="15.75" customHeight="1">
      <c r="A103" s="69">
        <v>43483.0</v>
      </c>
      <c r="B103" s="70" t="s">
        <v>101</v>
      </c>
      <c r="C103" s="21" t="s">
        <v>488</v>
      </c>
      <c r="D103" s="21" t="s">
        <v>489</v>
      </c>
      <c r="E103" s="23" t="s">
        <v>490</v>
      </c>
      <c r="F103" s="58">
        <v>1.0</v>
      </c>
      <c r="G103" s="47">
        <v>650.0</v>
      </c>
      <c r="H103" s="48">
        <v>650.0</v>
      </c>
      <c r="I103" s="87" t="s">
        <v>105</v>
      </c>
      <c r="J103" s="31" t="s">
        <v>290</v>
      </c>
      <c r="K103" s="29">
        <v>43522.0</v>
      </c>
      <c r="L103" s="397" t="s">
        <v>491</v>
      </c>
      <c r="M103" s="295">
        <v>43521.0</v>
      </c>
      <c r="N103" s="296" t="s">
        <v>492</v>
      </c>
      <c r="O103" s="297">
        <v>28294.0</v>
      </c>
      <c r="P103" s="295">
        <v>43512.0</v>
      </c>
      <c r="Q103" s="298"/>
      <c r="R103" s="298"/>
      <c r="S103" s="299"/>
      <c r="T103" s="300">
        <v>43587.0</v>
      </c>
      <c r="U103" s="299"/>
      <c r="V103" s="299"/>
      <c r="W103" s="298" t="s">
        <v>50</v>
      </c>
      <c r="X103" s="24" t="s">
        <v>285</v>
      </c>
      <c r="Y103" s="298" t="s">
        <v>51</v>
      </c>
      <c r="Z103" s="298" t="s">
        <v>52</v>
      </c>
      <c r="AA103" s="234" t="s">
        <v>305</v>
      </c>
    </row>
    <row r="104" ht="15.75" customHeight="1">
      <c r="A104" s="69">
        <v>43483.0</v>
      </c>
      <c r="B104" s="70" t="s">
        <v>101</v>
      </c>
      <c r="C104" s="21" t="s">
        <v>488</v>
      </c>
      <c r="D104" s="398" t="s">
        <v>489</v>
      </c>
      <c r="E104" s="23" t="s">
        <v>493</v>
      </c>
      <c r="F104" s="58">
        <v>1.0</v>
      </c>
      <c r="G104" s="47">
        <v>309.0</v>
      </c>
      <c r="H104" s="48">
        <v>309.0</v>
      </c>
      <c r="I104" s="87" t="s">
        <v>105</v>
      </c>
      <c r="J104" s="31" t="s">
        <v>290</v>
      </c>
      <c r="K104" s="29">
        <v>43522.0</v>
      </c>
      <c r="L104" s="397" t="s">
        <v>491</v>
      </c>
      <c r="M104" s="295">
        <v>43521.0</v>
      </c>
      <c r="N104" s="296" t="s">
        <v>492</v>
      </c>
      <c r="O104" s="296"/>
      <c r="P104" s="295">
        <v>43512.0</v>
      </c>
      <c r="Q104" s="298"/>
      <c r="R104" s="298"/>
      <c r="S104" s="299"/>
      <c r="T104" s="300">
        <v>43587.0</v>
      </c>
      <c r="U104" s="299"/>
      <c r="V104" s="299"/>
      <c r="W104" s="298" t="s">
        <v>50</v>
      </c>
      <c r="X104" s="24" t="s">
        <v>285</v>
      </c>
      <c r="Y104" s="298" t="s">
        <v>51</v>
      </c>
      <c r="Z104" s="298" t="s">
        <v>52</v>
      </c>
      <c r="AA104" s="234" t="s">
        <v>305</v>
      </c>
    </row>
    <row r="105" ht="15.75" customHeight="1">
      <c r="A105" s="399">
        <v>43483.0</v>
      </c>
      <c r="B105" s="377" t="s">
        <v>101</v>
      </c>
      <c r="C105" s="183" t="s">
        <v>488</v>
      </c>
      <c r="D105" s="183" t="s">
        <v>489</v>
      </c>
      <c r="E105" s="23" t="s">
        <v>494</v>
      </c>
      <c r="F105" s="400">
        <v>0.0</v>
      </c>
      <c r="G105" s="401">
        <v>309.0</v>
      </c>
      <c r="H105" s="401">
        <v>0.0</v>
      </c>
      <c r="I105" s="402" t="s">
        <v>105</v>
      </c>
      <c r="J105" s="383" t="s">
        <v>290</v>
      </c>
      <c r="K105" s="191">
        <v>43518.0</v>
      </c>
      <c r="L105" s="195"/>
      <c r="M105" s="199"/>
      <c r="N105" s="199"/>
      <c r="O105" s="385"/>
      <c r="P105" s="199"/>
      <c r="Q105" s="200"/>
      <c r="R105" s="200"/>
      <c r="S105" s="201"/>
      <c r="T105" s="200"/>
      <c r="U105" s="201"/>
      <c r="V105" s="201"/>
      <c r="W105" s="200" t="s">
        <v>50</v>
      </c>
      <c r="X105" s="200" t="s">
        <v>296</v>
      </c>
      <c r="Y105" s="200" t="s">
        <v>51</v>
      </c>
      <c r="Z105" s="200" t="s">
        <v>52</v>
      </c>
      <c r="AA105" s="203"/>
    </row>
    <row r="106" ht="15.75" customHeight="1">
      <c r="A106" s="69">
        <v>43484.0</v>
      </c>
      <c r="B106" s="144" t="s">
        <v>167</v>
      </c>
      <c r="C106" s="252"/>
      <c r="D106" s="252" t="s">
        <v>495</v>
      </c>
      <c r="E106" s="23" t="s">
        <v>496</v>
      </c>
      <c r="F106" s="403">
        <v>3.0</v>
      </c>
      <c r="G106" s="267">
        <v>1155.0</v>
      </c>
      <c r="H106" s="267">
        <v>3465.0</v>
      </c>
      <c r="I106" s="266" t="s">
        <v>105</v>
      </c>
      <c r="J106" s="403" t="s">
        <v>172</v>
      </c>
      <c r="K106" s="258">
        <v>43517.0</v>
      </c>
      <c r="L106" s="339"/>
      <c r="M106" s="331"/>
      <c r="N106" s="331"/>
      <c r="O106" s="404"/>
      <c r="P106" s="331"/>
      <c r="Q106" s="253" t="s">
        <v>284</v>
      </c>
      <c r="R106" s="253">
        <v>30.8</v>
      </c>
      <c r="S106" s="262"/>
      <c r="T106" s="253"/>
      <c r="U106" s="262"/>
      <c r="V106" s="262"/>
      <c r="W106" s="253" t="s">
        <v>50</v>
      </c>
      <c r="X106" s="253" t="s">
        <v>285</v>
      </c>
      <c r="Y106" s="253" t="s">
        <v>286</v>
      </c>
      <c r="Z106" s="253" t="s">
        <v>52</v>
      </c>
      <c r="AA106" s="264"/>
    </row>
    <row r="107" ht="15.75" customHeight="1">
      <c r="A107" s="69">
        <v>43484.0</v>
      </c>
      <c r="B107" s="144" t="s">
        <v>167</v>
      </c>
      <c r="C107" s="252"/>
      <c r="D107" s="252" t="s">
        <v>495</v>
      </c>
      <c r="E107" s="23" t="s">
        <v>497</v>
      </c>
      <c r="F107" s="403">
        <v>3.0</v>
      </c>
      <c r="G107" s="267">
        <v>132.0</v>
      </c>
      <c r="H107" s="267">
        <v>396.0</v>
      </c>
      <c r="I107" s="266" t="s">
        <v>105</v>
      </c>
      <c r="J107" s="330"/>
      <c r="K107" s="258">
        <v>43517.0</v>
      </c>
      <c r="L107" s="339"/>
      <c r="M107" s="331"/>
      <c r="N107" s="405"/>
      <c r="O107" s="404"/>
      <c r="P107" s="331"/>
      <c r="Q107" s="253" t="s">
        <v>284</v>
      </c>
      <c r="R107" s="253">
        <v>30.8</v>
      </c>
      <c r="S107" s="262"/>
      <c r="T107" s="253"/>
      <c r="U107" s="262"/>
      <c r="V107" s="262"/>
      <c r="W107" s="253" t="s">
        <v>50</v>
      </c>
      <c r="X107" s="253" t="s">
        <v>285</v>
      </c>
      <c r="Y107" s="253" t="s">
        <v>286</v>
      </c>
      <c r="Z107" s="253" t="s">
        <v>52</v>
      </c>
      <c r="AA107" s="264"/>
    </row>
    <row r="108" ht="15.75" customHeight="1">
      <c r="A108" s="110">
        <v>43484.0</v>
      </c>
      <c r="B108" s="147" t="s">
        <v>167</v>
      </c>
      <c r="C108" s="252"/>
      <c r="D108" s="252" t="s">
        <v>495</v>
      </c>
      <c r="E108" s="23" t="s">
        <v>498</v>
      </c>
      <c r="F108" s="403">
        <v>3.0</v>
      </c>
      <c r="G108" s="267">
        <v>28.0</v>
      </c>
      <c r="H108" s="255">
        <v>84.0</v>
      </c>
      <c r="I108" s="266" t="s">
        <v>105</v>
      </c>
      <c r="J108" s="333" t="s">
        <v>172</v>
      </c>
      <c r="K108" s="258">
        <v>43517.0</v>
      </c>
      <c r="L108" s="339"/>
      <c r="M108" s="331"/>
      <c r="N108" s="331"/>
      <c r="O108" s="404"/>
      <c r="P108" s="331"/>
      <c r="Q108" s="253" t="s">
        <v>284</v>
      </c>
      <c r="R108" s="253">
        <v>30.8</v>
      </c>
      <c r="S108" s="262"/>
      <c r="T108" s="253"/>
      <c r="U108" s="262"/>
      <c r="V108" s="262"/>
      <c r="W108" s="253" t="s">
        <v>50</v>
      </c>
      <c r="X108" s="253" t="s">
        <v>285</v>
      </c>
      <c r="Y108" s="253" t="s">
        <v>286</v>
      </c>
      <c r="Z108" s="253" t="s">
        <v>52</v>
      </c>
      <c r="AA108" s="264"/>
    </row>
    <row r="109" ht="15.75" customHeight="1">
      <c r="A109" s="110">
        <v>43484.0</v>
      </c>
      <c r="B109" s="147" t="s">
        <v>167</v>
      </c>
      <c r="C109" s="252"/>
      <c r="D109" s="252" t="s">
        <v>499</v>
      </c>
      <c r="E109" s="23" t="s">
        <v>500</v>
      </c>
      <c r="F109" s="403">
        <v>1.0</v>
      </c>
      <c r="G109" s="267">
        <v>1155.0</v>
      </c>
      <c r="H109" s="255">
        <v>1155.0</v>
      </c>
      <c r="I109" s="266" t="s">
        <v>105</v>
      </c>
      <c r="J109" s="333" t="s">
        <v>172</v>
      </c>
      <c r="K109" s="258">
        <v>43517.0</v>
      </c>
      <c r="L109" s="339"/>
      <c r="M109" s="331"/>
      <c r="N109" s="331"/>
      <c r="O109" s="404"/>
      <c r="P109" s="331"/>
      <c r="Q109" s="253" t="s">
        <v>284</v>
      </c>
      <c r="R109" s="253">
        <v>30.8</v>
      </c>
      <c r="S109" s="262"/>
      <c r="T109" s="253"/>
      <c r="U109" s="262"/>
      <c r="V109" s="262"/>
      <c r="W109" s="253" t="s">
        <v>50</v>
      </c>
      <c r="X109" s="253" t="s">
        <v>285</v>
      </c>
      <c r="Y109" s="253" t="s">
        <v>286</v>
      </c>
      <c r="Z109" s="253" t="s">
        <v>52</v>
      </c>
      <c r="AA109" s="264"/>
    </row>
    <row r="110" ht="15.75" customHeight="1">
      <c r="A110" s="110">
        <v>43484.0</v>
      </c>
      <c r="B110" s="147" t="s">
        <v>167</v>
      </c>
      <c r="C110" s="252"/>
      <c r="D110" s="252" t="s">
        <v>499</v>
      </c>
      <c r="E110" s="23" t="s">
        <v>501</v>
      </c>
      <c r="F110" s="403">
        <v>1.0</v>
      </c>
      <c r="G110" s="267">
        <v>132.0</v>
      </c>
      <c r="H110" s="255">
        <v>132.0</v>
      </c>
      <c r="I110" s="266" t="s">
        <v>105</v>
      </c>
      <c r="J110" s="333" t="s">
        <v>172</v>
      </c>
      <c r="K110" s="258">
        <v>43517.0</v>
      </c>
      <c r="L110" s="339"/>
      <c r="M110" s="331"/>
      <c r="N110" s="331"/>
      <c r="O110" s="404"/>
      <c r="P110" s="331"/>
      <c r="Q110" s="253" t="s">
        <v>284</v>
      </c>
      <c r="R110" s="253">
        <v>30.8</v>
      </c>
      <c r="S110" s="262"/>
      <c r="T110" s="253"/>
      <c r="U110" s="262"/>
      <c r="V110" s="262"/>
      <c r="W110" s="253" t="s">
        <v>50</v>
      </c>
      <c r="X110" s="253" t="s">
        <v>285</v>
      </c>
      <c r="Y110" s="253" t="s">
        <v>286</v>
      </c>
      <c r="Z110" s="253" t="s">
        <v>52</v>
      </c>
      <c r="AA110" s="264"/>
    </row>
    <row r="111" ht="15.75" customHeight="1">
      <c r="A111" s="110">
        <v>43484.0</v>
      </c>
      <c r="B111" s="147" t="s">
        <v>167</v>
      </c>
      <c r="C111" s="252"/>
      <c r="D111" s="252" t="s">
        <v>499</v>
      </c>
      <c r="E111" s="23" t="s">
        <v>498</v>
      </c>
      <c r="F111" s="403">
        <v>1.0</v>
      </c>
      <c r="G111" s="267">
        <v>28.0</v>
      </c>
      <c r="H111" s="255">
        <v>28.0</v>
      </c>
      <c r="I111" s="266" t="s">
        <v>105</v>
      </c>
      <c r="J111" s="333" t="s">
        <v>172</v>
      </c>
      <c r="K111" s="258">
        <v>43517.0</v>
      </c>
      <c r="L111" s="339"/>
      <c r="M111" s="331"/>
      <c r="N111" s="331"/>
      <c r="O111" s="404"/>
      <c r="P111" s="331"/>
      <c r="Q111" s="253" t="s">
        <v>284</v>
      </c>
      <c r="R111" s="253">
        <v>30.8</v>
      </c>
      <c r="S111" s="262"/>
      <c r="T111" s="253"/>
      <c r="U111" s="262"/>
      <c r="V111" s="262"/>
      <c r="W111" s="253" t="s">
        <v>50</v>
      </c>
      <c r="X111" s="253" t="s">
        <v>285</v>
      </c>
      <c r="Y111" s="253" t="s">
        <v>286</v>
      </c>
      <c r="Z111" s="253" t="s">
        <v>52</v>
      </c>
      <c r="AA111" s="264"/>
    </row>
    <row r="112" ht="15.75" customHeight="1">
      <c r="A112" s="110">
        <v>43486.0</v>
      </c>
      <c r="B112" s="147" t="s">
        <v>140</v>
      </c>
      <c r="C112" s="21" t="s">
        <v>502</v>
      </c>
      <c r="D112" s="21" t="s">
        <v>503</v>
      </c>
      <c r="E112" s="23" t="s">
        <v>504</v>
      </c>
      <c r="F112" s="58">
        <v>1.0</v>
      </c>
      <c r="G112" s="76">
        <v>63.0</v>
      </c>
      <c r="H112" s="26">
        <v>63.0</v>
      </c>
      <c r="I112" s="87" t="s">
        <v>105</v>
      </c>
      <c r="J112" s="31" t="s">
        <v>505</v>
      </c>
      <c r="K112" s="29">
        <v>43510.0</v>
      </c>
      <c r="L112" s="305">
        <v>43529.0</v>
      </c>
      <c r="M112" s="305">
        <v>43507.0</v>
      </c>
      <c r="N112" s="306" t="s">
        <v>506</v>
      </c>
      <c r="O112" s="406">
        <v>6867.0</v>
      </c>
      <c r="P112" s="305">
        <v>43557.0</v>
      </c>
      <c r="Q112" s="298"/>
      <c r="R112" s="298"/>
      <c r="S112" s="299"/>
      <c r="T112" s="300">
        <v>43676.0</v>
      </c>
      <c r="U112" s="299">
        <f>1074.55*31.03</f>
        <v>33343.2865</v>
      </c>
      <c r="V112" s="299">
        <f>(1121-1074.55)*31.03</f>
        <v>1441.3435</v>
      </c>
      <c r="W112" s="298" t="s">
        <v>50</v>
      </c>
      <c r="X112" s="298" t="s">
        <v>285</v>
      </c>
      <c r="Y112" s="298" t="s">
        <v>286</v>
      </c>
      <c r="Z112" s="298" t="s">
        <v>52</v>
      </c>
      <c r="AA112" s="234" t="s">
        <v>507</v>
      </c>
    </row>
    <row r="113" ht="15.75" customHeight="1">
      <c r="A113" s="110">
        <v>43486.0</v>
      </c>
      <c r="B113" s="147" t="s">
        <v>140</v>
      </c>
      <c r="C113" s="21" t="s">
        <v>502</v>
      </c>
      <c r="D113" s="21" t="s">
        <v>503</v>
      </c>
      <c r="E113" s="23" t="s">
        <v>508</v>
      </c>
      <c r="F113" s="58">
        <v>1.0</v>
      </c>
      <c r="G113" s="76">
        <v>93.0</v>
      </c>
      <c r="H113" s="26">
        <v>93.0</v>
      </c>
      <c r="I113" s="87" t="s">
        <v>105</v>
      </c>
      <c r="J113" s="58" t="s">
        <v>505</v>
      </c>
      <c r="K113" s="29">
        <v>43510.0</v>
      </c>
      <c r="L113" s="305">
        <v>43529.0</v>
      </c>
      <c r="M113" s="305">
        <v>43507.0</v>
      </c>
      <c r="N113" s="306" t="s">
        <v>506</v>
      </c>
      <c r="O113" s="406"/>
      <c r="P113" s="305">
        <v>43557.0</v>
      </c>
      <c r="Q113" s="298"/>
      <c r="R113" s="298"/>
      <c r="S113" s="299"/>
      <c r="T113" s="300">
        <v>43676.0</v>
      </c>
      <c r="U113" s="299"/>
      <c r="V113" s="299"/>
      <c r="W113" s="298" t="s">
        <v>50</v>
      </c>
      <c r="X113" s="298" t="s">
        <v>285</v>
      </c>
      <c r="Y113" s="298" t="s">
        <v>286</v>
      </c>
      <c r="Z113" s="298" t="s">
        <v>52</v>
      </c>
      <c r="AA113" s="234" t="s">
        <v>507</v>
      </c>
    </row>
    <row r="114" ht="15.75" customHeight="1">
      <c r="A114" s="110">
        <v>43486.0</v>
      </c>
      <c r="B114" s="147" t="s">
        <v>140</v>
      </c>
      <c r="C114" s="21" t="s">
        <v>502</v>
      </c>
      <c r="D114" s="21" t="s">
        <v>503</v>
      </c>
      <c r="E114" s="23" t="s">
        <v>509</v>
      </c>
      <c r="F114" s="58">
        <v>1.0</v>
      </c>
      <c r="G114" s="76">
        <v>93.0</v>
      </c>
      <c r="H114" s="26">
        <v>93.0</v>
      </c>
      <c r="I114" s="87" t="s">
        <v>105</v>
      </c>
      <c r="J114" s="31" t="s">
        <v>505</v>
      </c>
      <c r="K114" s="29">
        <v>43510.0</v>
      </c>
      <c r="L114" s="305">
        <v>43529.0</v>
      </c>
      <c r="M114" s="305">
        <v>43507.0</v>
      </c>
      <c r="N114" s="306" t="s">
        <v>506</v>
      </c>
      <c r="O114" s="406"/>
      <c r="P114" s="305">
        <v>43557.0</v>
      </c>
      <c r="Q114" s="298"/>
      <c r="R114" s="298"/>
      <c r="S114" s="299"/>
      <c r="T114" s="300">
        <v>43676.0</v>
      </c>
      <c r="U114" s="299"/>
      <c r="V114" s="299"/>
      <c r="W114" s="298" t="s">
        <v>50</v>
      </c>
      <c r="X114" s="298" t="s">
        <v>285</v>
      </c>
      <c r="Y114" s="298" t="s">
        <v>286</v>
      </c>
      <c r="Z114" s="298" t="s">
        <v>52</v>
      </c>
      <c r="AA114" s="234" t="s">
        <v>507</v>
      </c>
    </row>
    <row r="115" ht="15.75" customHeight="1">
      <c r="A115" s="110">
        <v>43486.0</v>
      </c>
      <c r="B115" s="147" t="s">
        <v>140</v>
      </c>
      <c r="C115" s="21" t="s">
        <v>502</v>
      </c>
      <c r="D115" s="21" t="s">
        <v>503</v>
      </c>
      <c r="E115" s="23" t="s">
        <v>510</v>
      </c>
      <c r="F115" s="58">
        <v>1.0</v>
      </c>
      <c r="G115" s="76">
        <v>63.0</v>
      </c>
      <c r="H115" s="26">
        <v>63.0</v>
      </c>
      <c r="I115" s="87" t="s">
        <v>105</v>
      </c>
      <c r="J115" s="31" t="s">
        <v>505</v>
      </c>
      <c r="K115" s="29">
        <v>43510.0</v>
      </c>
      <c r="L115" s="305">
        <v>43529.0</v>
      </c>
      <c r="M115" s="305">
        <v>43507.0</v>
      </c>
      <c r="N115" s="306" t="s">
        <v>506</v>
      </c>
      <c r="O115" s="406"/>
      <c r="P115" s="305">
        <v>43557.0</v>
      </c>
      <c r="Q115" s="298"/>
      <c r="R115" s="298"/>
      <c r="S115" s="299"/>
      <c r="T115" s="300">
        <v>43676.0</v>
      </c>
      <c r="U115" s="299"/>
      <c r="V115" s="299"/>
      <c r="W115" s="298" t="s">
        <v>50</v>
      </c>
      <c r="X115" s="298" t="s">
        <v>285</v>
      </c>
      <c r="Y115" s="298" t="s">
        <v>286</v>
      </c>
      <c r="Z115" s="298" t="s">
        <v>52</v>
      </c>
      <c r="AA115" s="234" t="s">
        <v>507</v>
      </c>
    </row>
    <row r="116" ht="15.75" customHeight="1">
      <c r="A116" s="343">
        <v>43486.0</v>
      </c>
      <c r="B116" s="147" t="s">
        <v>406</v>
      </c>
      <c r="C116" s="292">
        <v>7.000144378E9</v>
      </c>
      <c r="D116" s="35" t="s">
        <v>511</v>
      </c>
      <c r="E116" s="23" t="s">
        <v>512</v>
      </c>
      <c r="F116" s="24">
        <v>5.0</v>
      </c>
      <c r="G116" s="48">
        <v>39.0</v>
      </c>
      <c r="H116" s="26">
        <v>195.0</v>
      </c>
      <c r="I116" s="82" t="s">
        <v>43</v>
      </c>
      <c r="J116" s="407" t="s">
        <v>513</v>
      </c>
      <c r="K116" s="29">
        <v>43529.0</v>
      </c>
      <c r="L116" s="306"/>
      <c r="M116" s="306"/>
      <c r="N116" s="306"/>
      <c r="O116" s="406"/>
      <c r="P116" s="306"/>
      <c r="Q116" s="298"/>
      <c r="R116" s="298">
        <v>30.74</v>
      </c>
      <c r="S116" s="299"/>
      <c r="T116" s="145">
        <v>43588.0</v>
      </c>
      <c r="U116" s="299"/>
      <c r="V116" s="299"/>
      <c r="W116" s="298" t="s">
        <v>50</v>
      </c>
      <c r="X116" s="24" t="s">
        <v>285</v>
      </c>
      <c r="Y116" s="298" t="s">
        <v>286</v>
      </c>
      <c r="Z116" s="298" t="s">
        <v>52</v>
      </c>
      <c r="AA116" s="234" t="s">
        <v>305</v>
      </c>
    </row>
    <row r="117" ht="15.75" customHeight="1">
      <c r="A117" s="343">
        <v>43486.0</v>
      </c>
      <c r="B117" s="147" t="s">
        <v>406</v>
      </c>
      <c r="C117" s="292">
        <v>7.000144378E9</v>
      </c>
      <c r="D117" s="22" t="s">
        <v>514</v>
      </c>
      <c r="E117" s="23" t="s">
        <v>515</v>
      </c>
      <c r="F117" s="24">
        <v>5.0</v>
      </c>
      <c r="G117" s="48">
        <v>43.0</v>
      </c>
      <c r="H117" s="26">
        <v>215.0</v>
      </c>
      <c r="I117" s="82" t="s">
        <v>43</v>
      </c>
      <c r="J117" s="407" t="s">
        <v>513</v>
      </c>
      <c r="K117" s="29">
        <v>43529.0</v>
      </c>
      <c r="L117" s="306"/>
      <c r="M117" s="306"/>
      <c r="N117" s="306"/>
      <c r="O117" s="406"/>
      <c r="P117" s="306"/>
      <c r="Q117" s="298"/>
      <c r="R117" s="298">
        <v>30.74</v>
      </c>
      <c r="S117" s="299"/>
      <c r="T117" s="145">
        <v>43588.0</v>
      </c>
      <c r="U117" s="299"/>
      <c r="V117" s="299"/>
      <c r="W117" s="298" t="s">
        <v>50</v>
      </c>
      <c r="X117" s="24" t="s">
        <v>285</v>
      </c>
      <c r="Y117" s="298" t="s">
        <v>286</v>
      </c>
      <c r="Z117" s="298" t="s">
        <v>52</v>
      </c>
      <c r="AA117" s="234" t="s">
        <v>305</v>
      </c>
    </row>
    <row r="118" ht="15.75" customHeight="1">
      <c r="A118" s="343">
        <v>43486.0</v>
      </c>
      <c r="B118" s="147" t="s">
        <v>406</v>
      </c>
      <c r="C118" s="292">
        <v>7.000144378E9</v>
      </c>
      <c r="D118" s="22" t="s">
        <v>516</v>
      </c>
      <c r="E118" s="23" t="s">
        <v>517</v>
      </c>
      <c r="F118" s="24">
        <v>5.0</v>
      </c>
      <c r="G118" s="48">
        <v>685.0</v>
      </c>
      <c r="H118" s="26">
        <v>3425.0</v>
      </c>
      <c r="I118" s="82" t="s">
        <v>43</v>
      </c>
      <c r="J118" s="50" t="s">
        <v>513</v>
      </c>
      <c r="K118" s="29">
        <v>43529.0</v>
      </c>
      <c r="L118" s="306"/>
      <c r="M118" s="306"/>
      <c r="N118" s="306"/>
      <c r="O118" s="406"/>
      <c r="P118" s="306"/>
      <c r="Q118" s="298"/>
      <c r="R118" s="298">
        <v>30.74</v>
      </c>
      <c r="S118" s="299"/>
      <c r="T118" s="145">
        <v>43588.0</v>
      </c>
      <c r="U118" s="299">
        <f>12939.02*30.87</f>
        <v>399427.5474</v>
      </c>
      <c r="V118" s="299">
        <f>(20+6.48)*30.87</f>
        <v>817.4376</v>
      </c>
      <c r="W118" s="298" t="s">
        <v>50</v>
      </c>
      <c r="X118" s="24" t="s">
        <v>285</v>
      </c>
      <c r="Y118" s="298" t="s">
        <v>286</v>
      </c>
      <c r="Z118" s="298" t="s">
        <v>52</v>
      </c>
      <c r="AA118" s="234" t="s">
        <v>305</v>
      </c>
    </row>
    <row r="119" ht="15.75" customHeight="1">
      <c r="A119" s="110">
        <v>43488.0</v>
      </c>
      <c r="B119" s="252" t="s">
        <v>406</v>
      </c>
      <c r="C119" s="252">
        <v>7.000144486E9</v>
      </c>
      <c r="D119" s="252" t="s">
        <v>518</v>
      </c>
      <c r="E119" s="23" t="s">
        <v>519</v>
      </c>
      <c r="F119" s="253">
        <v>270.0</v>
      </c>
      <c r="G119" s="254">
        <v>141.8</v>
      </c>
      <c r="H119" s="255">
        <v>38286.0</v>
      </c>
      <c r="I119" s="266" t="s">
        <v>43</v>
      </c>
      <c r="J119" s="266" t="s">
        <v>520</v>
      </c>
      <c r="K119" s="258">
        <v>43496.0</v>
      </c>
      <c r="L119" s="260">
        <v>43585.0</v>
      </c>
      <c r="M119" s="370">
        <v>43495.0</v>
      </c>
      <c r="N119" s="261" t="s">
        <v>521</v>
      </c>
      <c r="O119" s="272">
        <v>1109619.0</v>
      </c>
      <c r="P119" s="370">
        <v>43588.0</v>
      </c>
      <c r="Q119" s="253" t="s">
        <v>284</v>
      </c>
      <c r="R119" s="253"/>
      <c r="S119" s="262"/>
      <c r="T119" s="263">
        <v>43497.0</v>
      </c>
      <c r="U119" s="262">
        <f>38246.87*30.69</f>
        <v>1173796.44</v>
      </c>
      <c r="V119" s="262">
        <f>(19.13+20)*30.69</f>
        <v>1200.8997</v>
      </c>
      <c r="W119" s="253" t="s">
        <v>50</v>
      </c>
      <c r="X119" s="253" t="s">
        <v>285</v>
      </c>
      <c r="Y119" s="253" t="s">
        <v>51</v>
      </c>
      <c r="Z119" s="253" t="s">
        <v>52</v>
      </c>
      <c r="AA119" s="264"/>
    </row>
    <row r="120" ht="15.75" customHeight="1">
      <c r="A120" s="343">
        <v>43488.0</v>
      </c>
      <c r="B120" s="22" t="s">
        <v>101</v>
      </c>
      <c r="C120" s="408" t="s">
        <v>522</v>
      </c>
      <c r="D120" s="409" t="s">
        <v>523</v>
      </c>
      <c r="E120" s="23" t="s">
        <v>524</v>
      </c>
      <c r="F120" s="58">
        <v>6.0</v>
      </c>
      <c r="G120" s="47">
        <v>48.0</v>
      </c>
      <c r="H120" s="26">
        <v>288.0</v>
      </c>
      <c r="I120" s="298" t="s">
        <v>105</v>
      </c>
      <c r="J120" s="161" t="s">
        <v>290</v>
      </c>
      <c r="K120" s="29">
        <v>43518.0</v>
      </c>
      <c r="L120" s="410">
        <v>43555.0</v>
      </c>
      <c r="M120" s="295">
        <v>43510.0</v>
      </c>
      <c r="N120" s="296" t="s">
        <v>525</v>
      </c>
      <c r="O120" s="297"/>
      <c r="P120" s="295">
        <v>43564.0</v>
      </c>
      <c r="Q120" s="54"/>
      <c r="R120" s="54"/>
      <c r="S120" s="55"/>
      <c r="T120" s="56">
        <v>43565.0</v>
      </c>
      <c r="U120" s="38"/>
      <c r="V120" s="38"/>
      <c r="W120" s="54" t="s">
        <v>50</v>
      </c>
      <c r="X120" s="24" t="s">
        <v>285</v>
      </c>
      <c r="Y120" s="54" t="s">
        <v>51</v>
      </c>
      <c r="Z120" s="54" t="s">
        <v>52</v>
      </c>
      <c r="AA120" s="57" t="s">
        <v>398</v>
      </c>
    </row>
    <row r="121" ht="15.75" customHeight="1">
      <c r="A121" s="343">
        <v>43488.0</v>
      </c>
      <c r="B121" s="22" t="s">
        <v>101</v>
      </c>
      <c r="C121" s="408" t="s">
        <v>522</v>
      </c>
      <c r="D121" s="409" t="s">
        <v>526</v>
      </c>
      <c r="E121" s="23" t="s">
        <v>527</v>
      </c>
      <c r="F121" s="58">
        <v>6.0</v>
      </c>
      <c r="G121" s="47">
        <v>322.0</v>
      </c>
      <c r="H121" s="26">
        <v>1932.0</v>
      </c>
      <c r="I121" s="298" t="s">
        <v>105</v>
      </c>
      <c r="J121" s="161" t="s">
        <v>290</v>
      </c>
      <c r="K121" s="29">
        <v>43518.0</v>
      </c>
      <c r="L121" s="410">
        <v>43555.0</v>
      </c>
      <c r="M121" s="295">
        <v>43510.0</v>
      </c>
      <c r="N121" s="296" t="s">
        <v>525</v>
      </c>
      <c r="O121" s="297">
        <v>63315.0</v>
      </c>
      <c r="P121" s="295">
        <v>43564.0</v>
      </c>
      <c r="Q121" s="54"/>
      <c r="R121" s="54"/>
      <c r="S121" s="55"/>
      <c r="T121" s="56">
        <v>43565.0</v>
      </c>
      <c r="U121" s="38"/>
      <c r="V121" s="38"/>
      <c r="W121" s="54" t="s">
        <v>50</v>
      </c>
      <c r="X121" s="24" t="s">
        <v>285</v>
      </c>
      <c r="Y121" s="54" t="s">
        <v>51</v>
      </c>
      <c r="Z121" s="54" t="s">
        <v>52</v>
      </c>
      <c r="AA121" s="57" t="s">
        <v>398</v>
      </c>
    </row>
    <row r="122" ht="15.75" customHeight="1">
      <c r="A122" s="343">
        <v>43488.0</v>
      </c>
      <c r="B122" s="20" t="s">
        <v>101</v>
      </c>
      <c r="C122" s="411" t="s">
        <v>522</v>
      </c>
      <c r="D122" s="412" t="s">
        <v>528</v>
      </c>
      <c r="E122" s="23" t="s">
        <v>529</v>
      </c>
      <c r="F122" s="58">
        <v>6.0</v>
      </c>
      <c r="G122" s="47">
        <v>56.0</v>
      </c>
      <c r="H122" s="47">
        <v>336.0</v>
      </c>
      <c r="I122" s="298" t="s">
        <v>105</v>
      </c>
      <c r="J122" s="161" t="s">
        <v>290</v>
      </c>
      <c r="K122" s="29">
        <v>43518.0</v>
      </c>
      <c r="L122" s="296" t="s">
        <v>422</v>
      </c>
      <c r="M122" s="413">
        <v>43508.0</v>
      </c>
      <c r="N122" s="342" t="s">
        <v>530</v>
      </c>
      <c r="O122" s="414">
        <v>17850.0</v>
      </c>
      <c r="P122" s="295">
        <v>43495.0</v>
      </c>
      <c r="Q122" s="54"/>
      <c r="R122" s="54"/>
      <c r="S122" s="55"/>
      <c r="T122" s="56">
        <v>43565.0</v>
      </c>
      <c r="U122" s="38"/>
      <c r="V122" s="38"/>
      <c r="W122" s="54" t="s">
        <v>50</v>
      </c>
      <c r="X122" s="24" t="s">
        <v>285</v>
      </c>
      <c r="Y122" s="54" t="s">
        <v>51</v>
      </c>
      <c r="Z122" s="54" t="s">
        <v>52</v>
      </c>
      <c r="AA122" s="57" t="s">
        <v>398</v>
      </c>
    </row>
    <row r="123" ht="15.75" customHeight="1">
      <c r="A123" s="343">
        <v>43488.0</v>
      </c>
      <c r="B123" s="20" t="s">
        <v>101</v>
      </c>
      <c r="C123" s="411" t="s">
        <v>522</v>
      </c>
      <c r="D123" s="412" t="s">
        <v>531</v>
      </c>
      <c r="E123" s="23" t="s">
        <v>532</v>
      </c>
      <c r="F123" s="58">
        <v>6.0</v>
      </c>
      <c r="G123" s="47">
        <v>85.0</v>
      </c>
      <c r="H123" s="47">
        <v>510.0</v>
      </c>
      <c r="I123" s="298" t="s">
        <v>105</v>
      </c>
      <c r="J123" s="161" t="s">
        <v>290</v>
      </c>
      <c r="K123" s="29">
        <v>43518.0</v>
      </c>
      <c r="L123" s="296" t="s">
        <v>422</v>
      </c>
      <c r="M123" s="413">
        <v>43508.0</v>
      </c>
      <c r="N123" s="342" t="s">
        <v>530</v>
      </c>
      <c r="O123" s="414"/>
      <c r="P123" s="295">
        <v>43495.0</v>
      </c>
      <c r="Q123" s="54"/>
      <c r="R123" s="54"/>
      <c r="S123" s="55"/>
      <c r="T123" s="56">
        <v>43565.0</v>
      </c>
      <c r="U123" s="38"/>
      <c r="V123" s="38"/>
      <c r="W123" s="54" t="s">
        <v>50</v>
      </c>
      <c r="X123" s="24" t="s">
        <v>285</v>
      </c>
      <c r="Y123" s="54" t="s">
        <v>51</v>
      </c>
      <c r="Z123" s="54" t="s">
        <v>52</v>
      </c>
      <c r="AA123" s="57" t="s">
        <v>398</v>
      </c>
    </row>
    <row r="124" ht="15.75" customHeight="1">
      <c r="A124" s="343">
        <v>43488.0</v>
      </c>
      <c r="B124" s="20" t="s">
        <v>101</v>
      </c>
      <c r="C124" s="411" t="s">
        <v>522</v>
      </c>
      <c r="D124" s="412" t="s">
        <v>533</v>
      </c>
      <c r="E124" s="23" t="s">
        <v>347</v>
      </c>
      <c r="F124" s="58">
        <v>1.0</v>
      </c>
      <c r="G124" s="47">
        <v>103.0</v>
      </c>
      <c r="H124" s="47">
        <v>103.0</v>
      </c>
      <c r="I124" s="298" t="s">
        <v>105</v>
      </c>
      <c r="J124" s="82" t="s">
        <v>534</v>
      </c>
      <c r="K124" s="29">
        <v>43518.0</v>
      </c>
      <c r="L124" s="295">
        <v>43554.0</v>
      </c>
      <c r="M124" s="295">
        <v>43524.0</v>
      </c>
      <c r="N124" s="296" t="s">
        <v>535</v>
      </c>
      <c r="O124" s="297">
        <v>9780.0</v>
      </c>
      <c r="P124" s="413">
        <v>43557.0</v>
      </c>
      <c r="Q124" s="54"/>
      <c r="R124" s="54"/>
      <c r="S124" s="55"/>
      <c r="T124" s="56">
        <v>43565.0</v>
      </c>
      <c r="U124" s="38"/>
      <c r="V124" s="38"/>
      <c r="W124" s="54" t="s">
        <v>50</v>
      </c>
      <c r="X124" s="24" t="s">
        <v>285</v>
      </c>
      <c r="Y124" s="54" t="s">
        <v>51</v>
      </c>
      <c r="Z124" s="54" t="s">
        <v>52</v>
      </c>
      <c r="AA124" s="57" t="s">
        <v>398</v>
      </c>
    </row>
    <row r="125" ht="15.75" customHeight="1">
      <c r="A125" s="69">
        <v>43488.0</v>
      </c>
      <c r="B125" s="265" t="s">
        <v>119</v>
      </c>
      <c r="C125" s="252" t="s">
        <v>536</v>
      </c>
      <c r="D125" s="252" t="s">
        <v>537</v>
      </c>
      <c r="E125" s="23" t="s">
        <v>538</v>
      </c>
      <c r="F125" s="253">
        <v>11.0</v>
      </c>
      <c r="G125" s="254">
        <v>44.0</v>
      </c>
      <c r="H125" s="267">
        <v>484.0</v>
      </c>
      <c r="I125" s="266" t="s">
        <v>171</v>
      </c>
      <c r="J125" s="266" t="s">
        <v>122</v>
      </c>
      <c r="K125" s="258">
        <v>43510.0</v>
      </c>
      <c r="L125" s="260">
        <v>43555.0</v>
      </c>
      <c r="M125" s="260">
        <v>43509.0</v>
      </c>
      <c r="N125" s="261" t="s">
        <v>539</v>
      </c>
      <c r="O125" s="272">
        <v>784990.0</v>
      </c>
      <c r="P125" s="260">
        <v>43536.0</v>
      </c>
      <c r="Q125" s="253" t="s">
        <v>540</v>
      </c>
      <c r="R125" s="253"/>
      <c r="S125" s="262"/>
      <c r="T125" s="263">
        <v>43511.0</v>
      </c>
      <c r="U125" s="262">
        <f>21594.18*30.787+6983.5*30.784</f>
        <v>879800.0837</v>
      </c>
      <c r="V125" s="262">
        <f>10.82*30.787+6.5*30.784+20*30.787</f>
        <v>1148.95134</v>
      </c>
      <c r="W125" s="253" t="s">
        <v>50</v>
      </c>
      <c r="X125" s="253" t="s">
        <v>285</v>
      </c>
      <c r="Y125" s="253" t="s">
        <v>51</v>
      </c>
      <c r="Z125" s="253" t="s">
        <v>52</v>
      </c>
      <c r="AA125" s="264"/>
    </row>
    <row r="126" ht="15.75" customHeight="1">
      <c r="A126" s="110">
        <v>43488.0</v>
      </c>
      <c r="B126" s="368" t="s">
        <v>119</v>
      </c>
      <c r="C126" s="368" t="s">
        <v>536</v>
      </c>
      <c r="D126" s="368" t="s">
        <v>537</v>
      </c>
      <c r="E126" s="23" t="s">
        <v>161</v>
      </c>
      <c r="F126" s="369">
        <v>25.0</v>
      </c>
      <c r="G126" s="254">
        <v>485.0</v>
      </c>
      <c r="H126" s="255">
        <v>12125.0</v>
      </c>
      <c r="I126" s="266" t="s">
        <v>171</v>
      </c>
      <c r="J126" s="266" t="s">
        <v>122</v>
      </c>
      <c r="K126" s="258">
        <v>43510.0</v>
      </c>
      <c r="L126" s="260">
        <v>43555.0</v>
      </c>
      <c r="M126" s="260">
        <v>43509.0</v>
      </c>
      <c r="N126" s="261" t="s">
        <v>539</v>
      </c>
      <c r="O126" s="272"/>
      <c r="P126" s="260">
        <v>43536.0</v>
      </c>
      <c r="Q126" s="253" t="s">
        <v>540</v>
      </c>
      <c r="R126" s="253"/>
      <c r="S126" s="262"/>
      <c r="T126" s="263">
        <v>43511.0</v>
      </c>
      <c r="U126" s="262"/>
      <c r="V126" s="262"/>
      <c r="W126" s="253" t="s">
        <v>50</v>
      </c>
      <c r="X126" s="253" t="s">
        <v>285</v>
      </c>
      <c r="Y126" s="253" t="s">
        <v>51</v>
      </c>
      <c r="Z126" s="253" t="s">
        <v>52</v>
      </c>
      <c r="AA126" s="264"/>
    </row>
    <row r="127" ht="15.75" customHeight="1">
      <c r="A127" s="110">
        <v>43488.0</v>
      </c>
      <c r="B127" s="368" t="s">
        <v>119</v>
      </c>
      <c r="C127" s="368" t="s">
        <v>536</v>
      </c>
      <c r="D127" s="368" t="s">
        <v>537</v>
      </c>
      <c r="E127" s="23" t="s">
        <v>158</v>
      </c>
      <c r="F127" s="253">
        <v>6.0</v>
      </c>
      <c r="G127" s="267">
        <v>979.0</v>
      </c>
      <c r="H127" s="255">
        <v>5874.0</v>
      </c>
      <c r="I127" s="266" t="s">
        <v>171</v>
      </c>
      <c r="J127" s="266" t="s">
        <v>122</v>
      </c>
      <c r="K127" s="258">
        <v>43510.0</v>
      </c>
      <c r="L127" s="260">
        <v>43555.0</v>
      </c>
      <c r="M127" s="260">
        <v>43509.0</v>
      </c>
      <c r="N127" s="261" t="s">
        <v>539</v>
      </c>
      <c r="O127" s="272"/>
      <c r="P127" s="260">
        <v>43536.0</v>
      </c>
      <c r="Q127" s="253" t="s">
        <v>540</v>
      </c>
      <c r="R127" s="253"/>
      <c r="S127" s="262"/>
      <c r="T127" s="263">
        <v>43511.0</v>
      </c>
      <c r="U127" s="262"/>
      <c r="V127" s="262"/>
      <c r="W127" s="253" t="s">
        <v>50</v>
      </c>
      <c r="X127" s="253" t="s">
        <v>285</v>
      </c>
      <c r="Y127" s="253" t="s">
        <v>51</v>
      </c>
      <c r="Z127" s="253" t="s">
        <v>52</v>
      </c>
      <c r="AA127" s="264"/>
    </row>
    <row r="128" ht="15.75" customHeight="1">
      <c r="A128" s="110">
        <v>43488.0</v>
      </c>
      <c r="B128" s="368" t="s">
        <v>119</v>
      </c>
      <c r="C128" s="368" t="s">
        <v>536</v>
      </c>
      <c r="D128" s="368" t="s">
        <v>537</v>
      </c>
      <c r="E128" s="23" t="s">
        <v>162</v>
      </c>
      <c r="F128" s="369">
        <v>4.0</v>
      </c>
      <c r="G128" s="267">
        <v>738.0</v>
      </c>
      <c r="H128" s="255">
        <v>2952.0</v>
      </c>
      <c r="I128" s="266" t="s">
        <v>171</v>
      </c>
      <c r="J128" s="266" t="s">
        <v>122</v>
      </c>
      <c r="K128" s="258">
        <v>43510.0</v>
      </c>
      <c r="L128" s="260">
        <v>43555.0</v>
      </c>
      <c r="M128" s="260">
        <v>43509.0</v>
      </c>
      <c r="N128" s="261" t="s">
        <v>539</v>
      </c>
      <c r="O128" s="272"/>
      <c r="P128" s="260">
        <v>43536.0</v>
      </c>
      <c r="Q128" s="253" t="s">
        <v>540</v>
      </c>
      <c r="R128" s="253"/>
      <c r="S128" s="262"/>
      <c r="T128" s="263">
        <v>43511.0</v>
      </c>
      <c r="U128" s="262"/>
      <c r="V128" s="262"/>
      <c r="W128" s="253" t="s">
        <v>50</v>
      </c>
      <c r="X128" s="253" t="s">
        <v>285</v>
      </c>
      <c r="Y128" s="253" t="s">
        <v>51</v>
      </c>
      <c r="Z128" s="253" t="s">
        <v>52</v>
      </c>
      <c r="AA128" s="264"/>
    </row>
    <row r="129" ht="15.75" customHeight="1">
      <c r="A129" s="110">
        <v>43488.0</v>
      </c>
      <c r="B129" s="368" t="s">
        <v>119</v>
      </c>
      <c r="C129" s="368" t="s">
        <v>536</v>
      </c>
      <c r="D129" s="368" t="s">
        <v>537</v>
      </c>
      <c r="E129" s="23" t="s">
        <v>121</v>
      </c>
      <c r="F129" s="253">
        <v>20.0</v>
      </c>
      <c r="G129" s="330">
        <v>359.0</v>
      </c>
      <c r="H129" s="255">
        <v>7180.0</v>
      </c>
      <c r="I129" s="266" t="s">
        <v>171</v>
      </c>
      <c r="J129" s="266" t="s">
        <v>122</v>
      </c>
      <c r="K129" s="258">
        <v>43510.0</v>
      </c>
      <c r="L129" s="260">
        <v>43555.0</v>
      </c>
      <c r="M129" s="260">
        <v>43509.0</v>
      </c>
      <c r="N129" s="261" t="s">
        <v>539</v>
      </c>
      <c r="O129" s="272"/>
      <c r="P129" s="260">
        <v>43536.0</v>
      </c>
      <c r="Q129" s="253" t="s">
        <v>540</v>
      </c>
      <c r="R129" s="253"/>
      <c r="S129" s="262"/>
      <c r="T129" s="263">
        <v>43511.0</v>
      </c>
      <c r="U129" s="262"/>
      <c r="V129" s="262"/>
      <c r="W129" s="253" t="s">
        <v>50</v>
      </c>
      <c r="X129" s="253" t="s">
        <v>285</v>
      </c>
      <c r="Y129" s="253" t="s">
        <v>51</v>
      </c>
      <c r="Z129" s="253" t="s">
        <v>52</v>
      </c>
      <c r="AA129" s="264"/>
    </row>
    <row r="130" ht="15.75" customHeight="1">
      <c r="A130" s="110">
        <v>43488.0</v>
      </c>
      <c r="B130" s="71" t="s">
        <v>119</v>
      </c>
      <c r="C130" s="71" t="s">
        <v>536</v>
      </c>
      <c r="D130" s="71" t="s">
        <v>541</v>
      </c>
      <c r="E130" s="23" t="s">
        <v>121</v>
      </c>
      <c r="F130" s="24">
        <v>68.0</v>
      </c>
      <c r="G130" s="150">
        <v>359.0</v>
      </c>
      <c r="H130" s="26">
        <v>24412.0</v>
      </c>
      <c r="I130" s="298" t="s">
        <v>171</v>
      </c>
      <c r="J130" s="82" t="s">
        <v>122</v>
      </c>
      <c r="K130" s="29">
        <v>43532.0</v>
      </c>
      <c r="L130" s="295">
        <v>43585.0</v>
      </c>
      <c r="M130" s="295">
        <v>43531.0</v>
      </c>
      <c r="N130" s="296" t="s">
        <v>542</v>
      </c>
      <c r="O130" s="297">
        <v>728686.0</v>
      </c>
      <c r="P130" s="295">
        <v>43557.0</v>
      </c>
      <c r="Q130" s="54" t="s">
        <v>540</v>
      </c>
      <c r="R130" s="54">
        <v>30.74</v>
      </c>
      <c r="S130" s="55"/>
      <c r="T130" s="56">
        <v>43551.0</v>
      </c>
      <c r="U130" s="55"/>
      <c r="V130" s="55"/>
      <c r="W130" s="54" t="s">
        <v>50</v>
      </c>
      <c r="X130" s="24" t="s">
        <v>285</v>
      </c>
      <c r="Y130" s="54" t="s">
        <v>51</v>
      </c>
      <c r="Z130" s="54" t="s">
        <v>52</v>
      </c>
      <c r="AA130" s="57" t="s">
        <v>398</v>
      </c>
    </row>
    <row r="131" ht="15.75" customHeight="1">
      <c r="A131" s="110">
        <v>43489.0</v>
      </c>
      <c r="B131" s="415" t="s">
        <v>101</v>
      </c>
      <c r="C131" s="408" t="s">
        <v>0</v>
      </c>
      <c r="D131" s="408" t="s">
        <v>543</v>
      </c>
      <c r="E131" s="23" t="s">
        <v>544</v>
      </c>
      <c r="F131" s="298">
        <v>8.0</v>
      </c>
      <c r="G131" s="47">
        <f>592</f>
        <v>592</v>
      </c>
      <c r="H131" s="26">
        <v>4736.0</v>
      </c>
      <c r="I131" s="82" t="s">
        <v>303</v>
      </c>
      <c r="J131" s="58" t="s">
        <v>438</v>
      </c>
      <c r="K131" s="29">
        <v>43536.0</v>
      </c>
      <c r="L131" s="306"/>
      <c r="M131" s="306"/>
      <c r="N131" s="306"/>
      <c r="O131" s="406"/>
      <c r="P131" s="306"/>
      <c r="Q131" s="298"/>
      <c r="R131" s="298">
        <v>30.79</v>
      </c>
      <c r="S131" s="299"/>
      <c r="T131" s="300">
        <v>43587.0</v>
      </c>
      <c r="U131" s="299"/>
      <c r="V131" s="299"/>
      <c r="W131" s="298" t="s">
        <v>50</v>
      </c>
      <c r="X131" s="24" t="s">
        <v>285</v>
      </c>
      <c r="Y131" s="298" t="s">
        <v>286</v>
      </c>
      <c r="Z131" s="298" t="s">
        <v>52</v>
      </c>
      <c r="AA131" s="234" t="s">
        <v>305</v>
      </c>
    </row>
    <row r="132" ht="15.75" customHeight="1">
      <c r="A132" s="110">
        <v>43489.0</v>
      </c>
      <c r="B132" s="415" t="s">
        <v>101</v>
      </c>
      <c r="C132" s="408" t="s">
        <v>0</v>
      </c>
      <c r="D132" s="408" t="s">
        <v>543</v>
      </c>
      <c r="E132" s="23" t="s">
        <v>442</v>
      </c>
      <c r="F132" s="298">
        <v>8.0</v>
      </c>
      <c r="G132" s="47">
        <v>38.0</v>
      </c>
      <c r="H132" s="26">
        <v>304.0</v>
      </c>
      <c r="I132" s="82" t="s">
        <v>303</v>
      </c>
      <c r="J132" s="58" t="s">
        <v>438</v>
      </c>
      <c r="K132" s="29">
        <v>43536.0</v>
      </c>
      <c r="L132" s="306"/>
      <c r="M132" s="306"/>
      <c r="N132" s="306"/>
      <c r="O132" s="406"/>
      <c r="P132" s="306"/>
      <c r="Q132" s="298"/>
      <c r="R132" s="298">
        <v>30.79</v>
      </c>
      <c r="S132" s="299"/>
      <c r="T132" s="300">
        <v>43587.0</v>
      </c>
      <c r="U132" s="299"/>
      <c r="V132" s="299"/>
      <c r="W132" s="298" t="s">
        <v>50</v>
      </c>
      <c r="X132" s="24" t="s">
        <v>285</v>
      </c>
      <c r="Y132" s="298" t="s">
        <v>286</v>
      </c>
      <c r="Z132" s="298" t="s">
        <v>52</v>
      </c>
      <c r="AA132" s="234" t="s">
        <v>305</v>
      </c>
    </row>
    <row r="133" ht="15.75" customHeight="1">
      <c r="A133" s="110">
        <v>43489.0</v>
      </c>
      <c r="B133" s="415" t="s">
        <v>101</v>
      </c>
      <c r="C133" s="408" t="s">
        <v>0</v>
      </c>
      <c r="D133" s="408" t="s">
        <v>543</v>
      </c>
      <c r="E133" s="23" t="s">
        <v>545</v>
      </c>
      <c r="F133" s="298">
        <v>8.0</v>
      </c>
      <c r="G133" s="47">
        <v>76.0</v>
      </c>
      <c r="H133" s="26">
        <v>608.0</v>
      </c>
      <c r="I133" s="82" t="s">
        <v>303</v>
      </c>
      <c r="J133" s="58" t="s">
        <v>438</v>
      </c>
      <c r="K133" s="29">
        <v>43536.0</v>
      </c>
      <c r="L133" s="306"/>
      <c r="M133" s="306"/>
      <c r="N133" s="306"/>
      <c r="O133" s="406"/>
      <c r="P133" s="306"/>
      <c r="Q133" s="298"/>
      <c r="R133" s="298">
        <v>30.79</v>
      </c>
      <c r="S133" s="299"/>
      <c r="T133" s="300">
        <v>43587.0</v>
      </c>
      <c r="U133" s="299"/>
      <c r="V133" s="299"/>
      <c r="W133" s="298" t="s">
        <v>50</v>
      </c>
      <c r="X133" s="24" t="s">
        <v>285</v>
      </c>
      <c r="Y133" s="298" t="s">
        <v>286</v>
      </c>
      <c r="Z133" s="298" t="s">
        <v>52</v>
      </c>
      <c r="AA133" s="234" t="s">
        <v>305</v>
      </c>
    </row>
    <row r="134" ht="15.75" customHeight="1">
      <c r="A134" s="110">
        <v>43489.0</v>
      </c>
      <c r="B134" s="415" t="s">
        <v>101</v>
      </c>
      <c r="C134" s="408" t="s">
        <v>0</v>
      </c>
      <c r="D134" s="408" t="s">
        <v>543</v>
      </c>
      <c r="E134" s="23" t="s">
        <v>444</v>
      </c>
      <c r="F134" s="298">
        <v>8.0</v>
      </c>
      <c r="G134" s="47">
        <v>140.0</v>
      </c>
      <c r="H134" s="26">
        <v>1120.0</v>
      </c>
      <c r="I134" s="82" t="s">
        <v>303</v>
      </c>
      <c r="J134" s="58" t="s">
        <v>438</v>
      </c>
      <c r="K134" s="29">
        <v>43536.0</v>
      </c>
      <c r="L134" s="306"/>
      <c r="M134" s="306"/>
      <c r="N134" s="306"/>
      <c r="O134" s="406"/>
      <c r="P134" s="306"/>
      <c r="Q134" s="298"/>
      <c r="R134" s="298">
        <v>30.79</v>
      </c>
      <c r="S134" s="299"/>
      <c r="T134" s="300">
        <v>43587.0</v>
      </c>
      <c r="U134" s="299"/>
      <c r="V134" s="299"/>
      <c r="W134" s="298" t="s">
        <v>50</v>
      </c>
      <c r="X134" s="24" t="s">
        <v>285</v>
      </c>
      <c r="Y134" s="298" t="s">
        <v>286</v>
      </c>
      <c r="Z134" s="298" t="s">
        <v>52</v>
      </c>
      <c r="AA134" s="234" t="s">
        <v>305</v>
      </c>
    </row>
    <row r="135" ht="15.75" customHeight="1">
      <c r="A135" s="110">
        <v>43489.0</v>
      </c>
      <c r="B135" s="415" t="s">
        <v>101</v>
      </c>
      <c r="C135" s="408" t="s">
        <v>0</v>
      </c>
      <c r="D135" s="408" t="s">
        <v>543</v>
      </c>
      <c r="E135" s="23" t="s">
        <v>546</v>
      </c>
      <c r="F135" s="298">
        <v>8.0</v>
      </c>
      <c r="G135" s="47">
        <v>47.0</v>
      </c>
      <c r="H135" s="26">
        <v>376.0</v>
      </c>
      <c r="I135" s="82" t="s">
        <v>303</v>
      </c>
      <c r="J135" s="58" t="s">
        <v>438</v>
      </c>
      <c r="K135" s="29">
        <v>43536.0</v>
      </c>
      <c r="L135" s="306"/>
      <c r="M135" s="306"/>
      <c r="N135" s="306"/>
      <c r="O135" s="406"/>
      <c r="P135" s="306"/>
      <c r="Q135" s="298"/>
      <c r="R135" s="298">
        <v>30.79</v>
      </c>
      <c r="S135" s="299"/>
      <c r="T135" s="300">
        <v>43587.0</v>
      </c>
      <c r="U135" s="299"/>
      <c r="V135" s="299"/>
      <c r="W135" s="298" t="s">
        <v>50</v>
      </c>
      <c r="X135" s="24" t="s">
        <v>285</v>
      </c>
      <c r="Y135" s="298" t="s">
        <v>286</v>
      </c>
      <c r="Z135" s="298" t="s">
        <v>52</v>
      </c>
      <c r="AA135" s="234" t="s">
        <v>305</v>
      </c>
    </row>
    <row r="136" ht="15.75" customHeight="1">
      <c r="A136" s="110">
        <v>43489.0</v>
      </c>
      <c r="B136" s="415" t="s">
        <v>101</v>
      </c>
      <c r="C136" s="408" t="s">
        <v>0</v>
      </c>
      <c r="D136" s="408" t="s">
        <v>543</v>
      </c>
      <c r="E136" s="23" t="s">
        <v>445</v>
      </c>
      <c r="F136" s="298">
        <v>8.0</v>
      </c>
      <c r="G136" s="47">
        <v>10.0</v>
      </c>
      <c r="H136" s="26">
        <v>80.0</v>
      </c>
      <c r="I136" s="82" t="s">
        <v>303</v>
      </c>
      <c r="J136" s="58" t="s">
        <v>438</v>
      </c>
      <c r="K136" s="29">
        <v>43536.0</v>
      </c>
      <c r="L136" s="306"/>
      <c r="M136" s="306"/>
      <c r="N136" s="306"/>
      <c r="O136" s="406"/>
      <c r="P136" s="306"/>
      <c r="Q136" s="298"/>
      <c r="R136" s="298">
        <v>30.79</v>
      </c>
      <c r="S136" s="299"/>
      <c r="T136" s="300">
        <v>43587.0</v>
      </c>
      <c r="U136" s="299"/>
      <c r="V136" s="299"/>
      <c r="W136" s="298" t="s">
        <v>50</v>
      </c>
      <c r="X136" s="24" t="s">
        <v>285</v>
      </c>
      <c r="Y136" s="298" t="s">
        <v>286</v>
      </c>
      <c r="Z136" s="298" t="s">
        <v>52</v>
      </c>
      <c r="AA136" s="234" t="s">
        <v>305</v>
      </c>
    </row>
    <row r="137" ht="15.75" customHeight="1">
      <c r="A137" s="110">
        <v>43489.0</v>
      </c>
      <c r="B137" s="416" t="s">
        <v>101</v>
      </c>
      <c r="C137" s="417" t="s">
        <v>0</v>
      </c>
      <c r="D137" s="417" t="s">
        <v>543</v>
      </c>
      <c r="E137" s="23" t="s">
        <v>547</v>
      </c>
      <c r="F137" s="375">
        <v>8.0</v>
      </c>
      <c r="G137" s="387">
        <v>29.0</v>
      </c>
      <c r="H137" s="26">
        <v>232.0</v>
      </c>
      <c r="I137" s="82" t="s">
        <v>303</v>
      </c>
      <c r="J137" s="58" t="s">
        <v>438</v>
      </c>
      <c r="K137" s="29">
        <v>43536.0</v>
      </c>
      <c r="L137" s="306"/>
      <c r="M137" s="306"/>
      <c r="N137" s="306"/>
      <c r="O137" s="406"/>
      <c r="P137" s="306"/>
      <c r="Q137" s="298"/>
      <c r="R137" s="298">
        <v>30.79</v>
      </c>
      <c r="S137" s="299"/>
      <c r="T137" s="300">
        <v>43587.0</v>
      </c>
      <c r="U137" s="299"/>
      <c r="V137" s="299"/>
      <c r="W137" s="298" t="s">
        <v>50</v>
      </c>
      <c r="X137" s="24" t="s">
        <v>285</v>
      </c>
      <c r="Y137" s="298" t="s">
        <v>286</v>
      </c>
      <c r="Z137" s="298" t="s">
        <v>52</v>
      </c>
      <c r="AA137" s="234" t="s">
        <v>305</v>
      </c>
    </row>
    <row r="138" ht="15.75" customHeight="1">
      <c r="A138" s="110">
        <v>43489.0</v>
      </c>
      <c r="B138" s="314" t="s">
        <v>548</v>
      </c>
      <c r="C138" s="314" t="s">
        <v>549</v>
      </c>
      <c r="D138" s="314" t="s">
        <v>550</v>
      </c>
      <c r="E138" s="23" t="s">
        <v>551</v>
      </c>
      <c r="F138" s="390">
        <v>3.0</v>
      </c>
      <c r="G138" s="418">
        <v>2516.0</v>
      </c>
      <c r="H138" s="255">
        <v>7548.0</v>
      </c>
      <c r="I138" s="266" t="s">
        <v>303</v>
      </c>
      <c r="J138" s="369" t="s">
        <v>552</v>
      </c>
      <c r="K138" s="258">
        <v>43515.0</v>
      </c>
      <c r="L138" s="260">
        <v>43585.0</v>
      </c>
      <c r="M138" s="260">
        <v>43508.0</v>
      </c>
      <c r="N138" s="261" t="s">
        <v>553</v>
      </c>
      <c r="O138" s="272">
        <v>214011.0</v>
      </c>
      <c r="P138" s="370">
        <v>43588.0</v>
      </c>
      <c r="Q138" s="253"/>
      <c r="R138" s="253"/>
      <c r="S138" s="262"/>
      <c r="T138" s="253"/>
      <c r="U138" s="262"/>
      <c r="V138" s="262"/>
      <c r="W138" s="253" t="s">
        <v>50</v>
      </c>
      <c r="X138" s="253" t="s">
        <v>285</v>
      </c>
      <c r="Y138" s="253" t="s">
        <v>51</v>
      </c>
      <c r="Z138" s="253" t="s">
        <v>52</v>
      </c>
      <c r="AA138" s="264" t="s">
        <v>398</v>
      </c>
    </row>
    <row r="139" ht="15.75" customHeight="1">
      <c r="A139" s="110">
        <v>43490.0</v>
      </c>
      <c r="B139" s="419" t="s">
        <v>77</v>
      </c>
      <c r="C139" s="419">
        <v>53.0</v>
      </c>
      <c r="D139" s="419" t="s">
        <v>554</v>
      </c>
      <c r="E139" s="23" t="s">
        <v>555</v>
      </c>
      <c r="F139" s="375">
        <v>50.0</v>
      </c>
      <c r="G139" s="420">
        <v>2.5</v>
      </c>
      <c r="H139" s="26">
        <v>125.0</v>
      </c>
      <c r="I139" s="298" t="s">
        <v>43</v>
      </c>
      <c r="J139" s="58" t="s">
        <v>316</v>
      </c>
      <c r="K139" s="29">
        <v>43550.0</v>
      </c>
      <c r="L139" s="295">
        <v>43560.0</v>
      </c>
      <c r="M139" s="295">
        <v>43531.0</v>
      </c>
      <c r="N139" s="296" t="s">
        <v>556</v>
      </c>
      <c r="O139" s="297"/>
      <c r="P139" s="295">
        <v>43564.0</v>
      </c>
      <c r="Q139" s="298"/>
      <c r="R139" s="298">
        <v>30.825</v>
      </c>
      <c r="S139" s="299"/>
      <c r="T139" s="300">
        <v>43580.0</v>
      </c>
      <c r="U139" s="299">
        <f>1931*30.86</f>
        <v>59590.66</v>
      </c>
      <c r="V139" s="299">
        <v>0.0</v>
      </c>
      <c r="W139" s="298" t="s">
        <v>50</v>
      </c>
      <c r="X139" s="24" t="s">
        <v>285</v>
      </c>
      <c r="Y139" s="298" t="s">
        <v>51</v>
      </c>
      <c r="Z139" s="298" t="s">
        <v>52</v>
      </c>
      <c r="AA139" s="234" t="s">
        <v>305</v>
      </c>
    </row>
    <row r="140" ht="15.75" customHeight="1">
      <c r="A140" s="110">
        <v>43490.0</v>
      </c>
      <c r="B140" s="314" t="s">
        <v>406</v>
      </c>
      <c r="C140" s="314">
        <v>7.000144555E9</v>
      </c>
      <c r="D140" s="314" t="s">
        <v>557</v>
      </c>
      <c r="E140" s="23" t="s">
        <v>558</v>
      </c>
      <c r="F140" s="390">
        <v>2.0</v>
      </c>
      <c r="G140" s="418">
        <v>148.0</v>
      </c>
      <c r="H140" s="255">
        <v>296.0</v>
      </c>
      <c r="I140" s="266" t="s">
        <v>43</v>
      </c>
      <c r="J140" s="266" t="s">
        <v>520</v>
      </c>
      <c r="K140" s="258">
        <v>43496.0</v>
      </c>
      <c r="L140" s="260">
        <v>43585.0</v>
      </c>
      <c r="M140" s="260">
        <v>43494.0</v>
      </c>
      <c r="N140" s="261" t="s">
        <v>559</v>
      </c>
      <c r="O140" s="272">
        <v>14955.0</v>
      </c>
      <c r="P140" s="370">
        <v>43588.0</v>
      </c>
      <c r="Q140" s="253" t="s">
        <v>284</v>
      </c>
      <c r="R140" s="253"/>
      <c r="S140" s="262"/>
      <c r="T140" s="253"/>
      <c r="U140" s="262"/>
      <c r="V140" s="262"/>
      <c r="W140" s="253" t="s">
        <v>50</v>
      </c>
      <c r="X140" s="253" t="s">
        <v>285</v>
      </c>
      <c r="Y140" s="253" t="s">
        <v>51</v>
      </c>
      <c r="Z140" s="253" t="s">
        <v>52</v>
      </c>
      <c r="AA140" s="264"/>
    </row>
    <row r="141" ht="15.75" customHeight="1">
      <c r="A141" s="110">
        <v>43490.0</v>
      </c>
      <c r="B141" s="314" t="s">
        <v>406</v>
      </c>
      <c r="C141" s="314">
        <v>7.000144555E9</v>
      </c>
      <c r="D141" s="314" t="s">
        <v>557</v>
      </c>
      <c r="E141" s="23" t="s">
        <v>481</v>
      </c>
      <c r="F141" s="390">
        <v>1.0</v>
      </c>
      <c r="G141" s="418">
        <v>137.0</v>
      </c>
      <c r="H141" s="255">
        <v>137.0</v>
      </c>
      <c r="I141" s="266" t="s">
        <v>43</v>
      </c>
      <c r="J141" s="266" t="s">
        <v>520</v>
      </c>
      <c r="K141" s="258">
        <v>43496.0</v>
      </c>
      <c r="L141" s="260">
        <v>43585.0</v>
      </c>
      <c r="M141" s="260">
        <v>43494.0</v>
      </c>
      <c r="N141" s="261" t="s">
        <v>559</v>
      </c>
      <c r="O141" s="272"/>
      <c r="P141" s="370">
        <v>43588.0</v>
      </c>
      <c r="Q141" s="253" t="s">
        <v>284</v>
      </c>
      <c r="R141" s="253"/>
      <c r="S141" s="262"/>
      <c r="T141" s="253"/>
      <c r="U141" s="262"/>
      <c r="V141" s="262"/>
      <c r="W141" s="253" t="s">
        <v>50</v>
      </c>
      <c r="X141" s="253" t="s">
        <v>285</v>
      </c>
      <c r="Y141" s="253" t="s">
        <v>51</v>
      </c>
      <c r="Z141" s="253" t="s">
        <v>52</v>
      </c>
      <c r="AA141" s="264"/>
    </row>
    <row r="142" ht="15.75" customHeight="1">
      <c r="A142" s="110">
        <v>43490.0</v>
      </c>
      <c r="B142" s="314" t="s">
        <v>406</v>
      </c>
      <c r="C142" s="314">
        <v>7.000144555E9</v>
      </c>
      <c r="D142" s="314" t="s">
        <v>557</v>
      </c>
      <c r="E142" s="23" t="s">
        <v>408</v>
      </c>
      <c r="F142" s="390">
        <v>2.0</v>
      </c>
      <c r="G142" s="418">
        <v>54.0</v>
      </c>
      <c r="H142" s="255">
        <v>108.0</v>
      </c>
      <c r="I142" s="266" t="s">
        <v>43</v>
      </c>
      <c r="J142" s="266" t="s">
        <v>520</v>
      </c>
      <c r="K142" s="258">
        <v>43496.0</v>
      </c>
      <c r="L142" s="260">
        <v>43585.0</v>
      </c>
      <c r="M142" s="260">
        <v>43494.0</v>
      </c>
      <c r="N142" s="261" t="s">
        <v>559</v>
      </c>
      <c r="O142" s="272"/>
      <c r="P142" s="370">
        <v>43588.0</v>
      </c>
      <c r="Q142" s="253" t="s">
        <v>284</v>
      </c>
      <c r="R142" s="253"/>
      <c r="S142" s="262"/>
      <c r="T142" s="253"/>
      <c r="U142" s="262"/>
      <c r="V142" s="262"/>
      <c r="W142" s="253" t="s">
        <v>50</v>
      </c>
      <c r="X142" s="253" t="s">
        <v>285</v>
      </c>
      <c r="Y142" s="253" t="s">
        <v>51</v>
      </c>
      <c r="Z142" s="253" t="s">
        <v>52</v>
      </c>
      <c r="AA142" s="264"/>
    </row>
    <row r="143" ht="15.75" customHeight="1">
      <c r="A143" s="110">
        <v>43490.0</v>
      </c>
      <c r="B143" s="314" t="s">
        <v>560</v>
      </c>
      <c r="C143" s="314"/>
      <c r="D143" s="314" t="s">
        <v>561</v>
      </c>
      <c r="E143" s="23" t="s">
        <v>562</v>
      </c>
      <c r="F143" s="390">
        <v>1.0</v>
      </c>
      <c r="G143" s="418">
        <v>3497.6</v>
      </c>
      <c r="H143" s="255">
        <v>3497.6</v>
      </c>
      <c r="I143" s="266" t="s">
        <v>303</v>
      </c>
      <c r="J143" s="403" t="s">
        <v>563</v>
      </c>
      <c r="K143" s="258">
        <v>43496.0</v>
      </c>
      <c r="L143" s="339"/>
      <c r="M143" s="331"/>
      <c r="N143" s="331"/>
      <c r="O143" s="404"/>
      <c r="P143" s="331"/>
      <c r="Q143" s="253" t="s">
        <v>377</v>
      </c>
      <c r="R143" s="253"/>
      <c r="S143" s="262"/>
      <c r="T143" s="253"/>
      <c r="U143" s="262"/>
      <c r="V143" s="262"/>
      <c r="W143" s="253" t="s">
        <v>50</v>
      </c>
      <c r="X143" s="253" t="s">
        <v>285</v>
      </c>
      <c r="Y143" s="253" t="s">
        <v>51</v>
      </c>
      <c r="Z143" s="253" t="s">
        <v>377</v>
      </c>
      <c r="AA143" s="264"/>
    </row>
    <row r="144" ht="15.75" customHeight="1">
      <c r="A144" s="110">
        <v>43490.0</v>
      </c>
      <c r="B144" s="252" t="s">
        <v>119</v>
      </c>
      <c r="C144" s="252" t="s">
        <v>536</v>
      </c>
      <c r="D144" s="252" t="s">
        <v>564</v>
      </c>
      <c r="E144" s="23" t="s">
        <v>166</v>
      </c>
      <c r="F144" s="393">
        <v>4.0</v>
      </c>
      <c r="G144" s="254">
        <v>880.0</v>
      </c>
      <c r="H144" s="332">
        <v>3520.0</v>
      </c>
      <c r="I144" s="266" t="s">
        <v>171</v>
      </c>
      <c r="J144" s="266" t="s">
        <v>122</v>
      </c>
      <c r="K144" s="258">
        <v>43521.0</v>
      </c>
      <c r="L144" s="260">
        <v>43555.0</v>
      </c>
      <c r="M144" s="260">
        <v>43517.0</v>
      </c>
      <c r="N144" s="261" t="s">
        <v>565</v>
      </c>
      <c r="O144" s="272">
        <v>262277.0</v>
      </c>
      <c r="P144" s="260">
        <v>43557.0</v>
      </c>
      <c r="Q144" s="253" t="s">
        <v>284</v>
      </c>
      <c r="R144" s="253"/>
      <c r="S144" s="262"/>
      <c r="T144" s="307"/>
      <c r="U144" s="262"/>
      <c r="V144" s="262"/>
      <c r="W144" s="253" t="s">
        <v>50</v>
      </c>
      <c r="X144" s="253" t="s">
        <v>285</v>
      </c>
      <c r="Y144" s="253" t="s">
        <v>51</v>
      </c>
      <c r="Z144" s="253" t="s">
        <v>52</v>
      </c>
      <c r="AA144" s="264"/>
    </row>
    <row r="145" ht="15.75" customHeight="1">
      <c r="A145" s="110">
        <v>43490.0</v>
      </c>
      <c r="B145" s="265" t="s">
        <v>119</v>
      </c>
      <c r="C145" s="252" t="s">
        <v>536</v>
      </c>
      <c r="D145" s="252" t="s">
        <v>564</v>
      </c>
      <c r="E145" s="23" t="s">
        <v>566</v>
      </c>
      <c r="F145" s="393">
        <v>40.0</v>
      </c>
      <c r="G145" s="254">
        <v>105.0</v>
      </c>
      <c r="H145" s="332">
        <v>4200.0</v>
      </c>
      <c r="I145" s="266" t="s">
        <v>171</v>
      </c>
      <c r="J145" s="256" t="s">
        <v>122</v>
      </c>
      <c r="K145" s="258">
        <v>43521.0</v>
      </c>
      <c r="L145" s="260">
        <v>43555.0</v>
      </c>
      <c r="M145" s="260">
        <v>43517.0</v>
      </c>
      <c r="N145" s="261" t="s">
        <v>565</v>
      </c>
      <c r="O145" s="272"/>
      <c r="P145" s="260">
        <v>43557.0</v>
      </c>
      <c r="Q145" s="253" t="s">
        <v>284</v>
      </c>
      <c r="R145" s="253"/>
      <c r="S145" s="262"/>
      <c r="T145" s="307"/>
      <c r="U145" s="262"/>
      <c r="V145" s="262"/>
      <c r="W145" s="253" t="s">
        <v>50</v>
      </c>
      <c r="X145" s="253" t="s">
        <v>285</v>
      </c>
      <c r="Y145" s="253" t="s">
        <v>51</v>
      </c>
      <c r="Z145" s="253" t="s">
        <v>52</v>
      </c>
      <c r="AA145" s="264"/>
    </row>
    <row r="146" ht="15.75" customHeight="1">
      <c r="A146" s="110">
        <v>43490.0</v>
      </c>
      <c r="B146" s="265" t="s">
        <v>119</v>
      </c>
      <c r="C146" s="252" t="s">
        <v>536</v>
      </c>
      <c r="D146" s="252" t="s">
        <v>564</v>
      </c>
      <c r="E146" s="23" t="s">
        <v>152</v>
      </c>
      <c r="F146" s="393">
        <v>2.0</v>
      </c>
      <c r="G146" s="254">
        <v>1045.0</v>
      </c>
      <c r="H146" s="332">
        <v>2090.0</v>
      </c>
      <c r="I146" s="266" t="s">
        <v>171</v>
      </c>
      <c r="J146" s="266" t="s">
        <v>122</v>
      </c>
      <c r="K146" s="258">
        <v>43521.0</v>
      </c>
      <c r="L146" s="260">
        <v>43555.0</v>
      </c>
      <c r="M146" s="260">
        <v>43517.0</v>
      </c>
      <c r="N146" s="261" t="s">
        <v>565</v>
      </c>
      <c r="O146" s="272"/>
      <c r="P146" s="260">
        <v>43557.0</v>
      </c>
      <c r="Q146" s="253" t="s">
        <v>284</v>
      </c>
      <c r="R146" s="253"/>
      <c r="S146" s="262"/>
      <c r="T146" s="307"/>
      <c r="U146" s="262"/>
      <c r="V146" s="262"/>
      <c r="W146" s="253" t="s">
        <v>50</v>
      </c>
      <c r="X146" s="253" t="s">
        <v>285</v>
      </c>
      <c r="Y146" s="253" t="s">
        <v>51</v>
      </c>
      <c r="Z146" s="253" t="s">
        <v>52</v>
      </c>
      <c r="AA146" s="264"/>
    </row>
    <row r="147" ht="15.75" customHeight="1">
      <c r="A147" s="110">
        <v>43490.0</v>
      </c>
      <c r="B147" s="70" t="s">
        <v>119</v>
      </c>
      <c r="C147" s="21" t="s">
        <v>536</v>
      </c>
      <c r="D147" s="21" t="s">
        <v>567</v>
      </c>
      <c r="E147" s="23" t="s">
        <v>152</v>
      </c>
      <c r="F147" s="421">
        <v>4.0</v>
      </c>
      <c r="G147" s="48">
        <v>1045.0</v>
      </c>
      <c r="H147" s="26">
        <v>4180.0</v>
      </c>
      <c r="I147" s="298" t="s">
        <v>171</v>
      </c>
      <c r="J147" s="82" t="s">
        <v>122</v>
      </c>
      <c r="K147" s="29">
        <v>43532.0</v>
      </c>
      <c r="L147" s="295">
        <v>43585.0</v>
      </c>
      <c r="M147" s="295">
        <v>43531.0</v>
      </c>
      <c r="N147" s="296" t="s">
        <v>568</v>
      </c>
      <c r="O147" s="297">
        <v>118779.0</v>
      </c>
      <c r="P147" s="302">
        <v>43586.0</v>
      </c>
      <c r="Q147" s="54" t="s">
        <v>540</v>
      </c>
      <c r="R147" s="54">
        <v>30.74</v>
      </c>
      <c r="S147" s="55"/>
      <c r="T147" s="68" t="s">
        <v>569</v>
      </c>
      <c r="U147" s="55">
        <f>3931.5*30.783</f>
        <v>121023.3645</v>
      </c>
      <c r="V147" s="55">
        <f>(3950-3931.5)*30.783</f>
        <v>569.4855</v>
      </c>
      <c r="W147" s="54" t="s">
        <v>50</v>
      </c>
      <c r="X147" s="24" t="s">
        <v>285</v>
      </c>
      <c r="Y147" s="54" t="s">
        <v>51</v>
      </c>
      <c r="Z147" s="54" t="s">
        <v>52</v>
      </c>
      <c r="AA147" s="57" t="s">
        <v>398</v>
      </c>
    </row>
    <row r="148" ht="15.75" customHeight="1">
      <c r="A148" s="110">
        <v>43490.0</v>
      </c>
      <c r="B148" s="265" t="s">
        <v>119</v>
      </c>
      <c r="C148" s="252" t="s">
        <v>536</v>
      </c>
      <c r="D148" s="252" t="s">
        <v>570</v>
      </c>
      <c r="E148" s="23" t="s">
        <v>571</v>
      </c>
      <c r="F148" s="393">
        <v>20.0</v>
      </c>
      <c r="G148" s="254">
        <v>350.0</v>
      </c>
      <c r="H148" s="332">
        <v>7000.0</v>
      </c>
      <c r="I148" s="266" t="s">
        <v>171</v>
      </c>
      <c r="J148" s="266" t="s">
        <v>122</v>
      </c>
      <c r="K148" s="258">
        <v>43532.0</v>
      </c>
      <c r="L148" s="260">
        <v>43585.0</v>
      </c>
      <c r="M148" s="260">
        <v>43536.0</v>
      </c>
      <c r="N148" s="261" t="s">
        <v>572</v>
      </c>
      <c r="O148" s="272">
        <v>202424.0</v>
      </c>
      <c r="P148" s="370">
        <v>43588.0</v>
      </c>
      <c r="Q148" s="253" t="s">
        <v>284</v>
      </c>
      <c r="R148" s="253">
        <v>30.74</v>
      </c>
      <c r="S148" s="262"/>
      <c r="T148" s="307"/>
      <c r="U148" s="262"/>
      <c r="V148" s="262"/>
      <c r="W148" s="253" t="s">
        <v>50</v>
      </c>
      <c r="X148" s="253" t="s">
        <v>285</v>
      </c>
      <c r="Y148" s="253" t="s">
        <v>51</v>
      </c>
      <c r="Z148" s="253" t="s">
        <v>52</v>
      </c>
      <c r="AA148" s="264"/>
    </row>
    <row r="149" ht="15.75" customHeight="1">
      <c r="A149" s="110">
        <v>43490.0</v>
      </c>
      <c r="B149" s="265" t="s">
        <v>119</v>
      </c>
      <c r="C149" s="252" t="s">
        <v>536</v>
      </c>
      <c r="D149" s="252" t="s">
        <v>573</v>
      </c>
      <c r="E149" s="23" t="s">
        <v>571</v>
      </c>
      <c r="F149" s="393">
        <v>20.0</v>
      </c>
      <c r="G149" s="254">
        <v>350.0</v>
      </c>
      <c r="H149" s="332">
        <v>7000.0</v>
      </c>
      <c r="I149" s="266" t="s">
        <v>171</v>
      </c>
      <c r="J149" s="266" t="s">
        <v>122</v>
      </c>
      <c r="K149" s="258">
        <v>43532.0</v>
      </c>
      <c r="L149" s="260">
        <v>43585.0</v>
      </c>
      <c r="M149" s="260">
        <v>43536.0</v>
      </c>
      <c r="N149" s="261" t="s">
        <v>574</v>
      </c>
      <c r="O149" s="272">
        <v>202424.0</v>
      </c>
      <c r="P149" s="370">
        <v>43588.0</v>
      </c>
      <c r="Q149" s="253" t="s">
        <v>284</v>
      </c>
      <c r="R149" s="253">
        <v>30.74</v>
      </c>
      <c r="S149" s="262"/>
      <c r="T149" s="307"/>
      <c r="U149" s="262"/>
      <c r="V149" s="262"/>
      <c r="W149" s="253" t="s">
        <v>50</v>
      </c>
      <c r="X149" s="253" t="s">
        <v>285</v>
      </c>
      <c r="Y149" s="253" t="s">
        <v>51</v>
      </c>
      <c r="Z149" s="253" t="s">
        <v>52</v>
      </c>
      <c r="AA149" s="264"/>
    </row>
    <row r="150" ht="15.75" customHeight="1">
      <c r="A150" s="110">
        <v>43492.0</v>
      </c>
      <c r="B150" s="252" t="s">
        <v>77</v>
      </c>
      <c r="C150" s="252"/>
      <c r="D150" s="252" t="s">
        <v>575</v>
      </c>
      <c r="E150" s="23" t="s">
        <v>318</v>
      </c>
      <c r="F150" s="253">
        <v>10.0</v>
      </c>
      <c r="G150" s="254">
        <v>0.0</v>
      </c>
      <c r="H150" s="255">
        <v>0.0</v>
      </c>
      <c r="I150" s="266" t="s">
        <v>43</v>
      </c>
      <c r="J150" s="257" t="s">
        <v>576</v>
      </c>
      <c r="K150" s="258">
        <v>43496.0</v>
      </c>
      <c r="L150" s="260">
        <v>43555.0</v>
      </c>
      <c r="M150" s="260">
        <v>43495.0</v>
      </c>
      <c r="N150" s="261" t="s">
        <v>577</v>
      </c>
      <c r="O150" s="272">
        <v>71125.0</v>
      </c>
      <c r="P150" s="260">
        <v>43649.0</v>
      </c>
      <c r="Q150" s="253" t="s">
        <v>578</v>
      </c>
      <c r="R150" s="253"/>
      <c r="S150" s="262"/>
      <c r="T150" s="253"/>
      <c r="U150" s="262"/>
      <c r="V150" s="262"/>
      <c r="W150" s="253" t="s">
        <v>50</v>
      </c>
      <c r="X150" s="253" t="s">
        <v>285</v>
      </c>
      <c r="Y150" s="253" t="s">
        <v>51</v>
      </c>
      <c r="Z150" s="253" t="s">
        <v>52</v>
      </c>
      <c r="AA150" s="264"/>
    </row>
    <row r="151" ht="15.75" customHeight="1">
      <c r="A151" s="110">
        <v>43493.0</v>
      </c>
      <c r="B151" s="252" t="s">
        <v>579</v>
      </c>
      <c r="C151" s="252">
        <v>2.0190128001E10</v>
      </c>
      <c r="D151" s="252" t="s">
        <v>580</v>
      </c>
      <c r="E151" s="23" t="s">
        <v>581</v>
      </c>
      <c r="F151" s="253">
        <v>4.0</v>
      </c>
      <c r="G151" s="325">
        <v>96.6</v>
      </c>
      <c r="H151" s="255">
        <v>386.4</v>
      </c>
      <c r="I151" s="266" t="s">
        <v>171</v>
      </c>
      <c r="J151" s="321" t="s">
        <v>582</v>
      </c>
      <c r="K151" s="258">
        <v>43495.0</v>
      </c>
      <c r="L151" s="396">
        <v>43555.0</v>
      </c>
      <c r="M151" s="370">
        <v>43494.0</v>
      </c>
      <c r="N151" s="261" t="s">
        <v>583</v>
      </c>
      <c r="O151" s="272">
        <v>10346.0</v>
      </c>
      <c r="P151" s="260">
        <v>43557.0</v>
      </c>
      <c r="Q151" s="253"/>
      <c r="R151" s="253"/>
      <c r="S151" s="262"/>
      <c r="T151" s="253"/>
      <c r="U151" s="262"/>
      <c r="V151" s="262"/>
      <c r="W151" s="253" t="s">
        <v>50</v>
      </c>
      <c r="X151" s="253" t="s">
        <v>285</v>
      </c>
      <c r="Y151" s="253" t="s">
        <v>51</v>
      </c>
      <c r="Z151" s="253" t="s">
        <v>377</v>
      </c>
      <c r="AA151" s="264"/>
    </row>
    <row r="152" ht="15.75" customHeight="1">
      <c r="A152" s="110">
        <v>43493.0</v>
      </c>
      <c r="B152" s="252" t="s">
        <v>406</v>
      </c>
      <c r="C152" s="252">
        <v>7.000144606E9</v>
      </c>
      <c r="D152" s="252" t="s">
        <v>584</v>
      </c>
      <c r="E152" s="23" t="s">
        <v>585</v>
      </c>
      <c r="F152" s="253">
        <v>3.0</v>
      </c>
      <c r="G152" s="254">
        <v>1069.0</v>
      </c>
      <c r="H152" s="255">
        <v>3207.0</v>
      </c>
      <c r="I152" s="266" t="s">
        <v>43</v>
      </c>
      <c r="J152" s="257" t="s">
        <v>513</v>
      </c>
      <c r="K152" s="258">
        <v>43510.0</v>
      </c>
      <c r="L152" s="260">
        <v>43585.0</v>
      </c>
      <c r="M152" s="260">
        <v>43508.0</v>
      </c>
      <c r="N152" s="261" t="s">
        <v>586</v>
      </c>
      <c r="O152" s="272">
        <v>89813.0</v>
      </c>
      <c r="P152" s="370">
        <v>43588.0</v>
      </c>
      <c r="Q152" s="253" t="s">
        <v>284</v>
      </c>
      <c r="R152" s="253"/>
      <c r="S152" s="262"/>
      <c r="T152" s="253"/>
      <c r="U152" s="262"/>
      <c r="V152" s="262"/>
      <c r="W152" s="253" t="s">
        <v>50</v>
      </c>
      <c r="X152" s="253" t="s">
        <v>285</v>
      </c>
      <c r="Y152" s="253" t="s">
        <v>51</v>
      </c>
      <c r="Z152" s="253" t="s">
        <v>52</v>
      </c>
      <c r="AA152" s="264"/>
    </row>
    <row r="153" ht="15.75" customHeight="1">
      <c r="A153" s="110">
        <v>43493.0</v>
      </c>
      <c r="B153" s="252" t="s">
        <v>406</v>
      </c>
      <c r="C153" s="252">
        <v>7.000144606E9</v>
      </c>
      <c r="D153" s="252" t="s">
        <v>584</v>
      </c>
      <c r="E153" s="23" t="s">
        <v>587</v>
      </c>
      <c r="F153" s="253">
        <v>3.0</v>
      </c>
      <c r="G153" s="254">
        <v>15.0</v>
      </c>
      <c r="H153" s="255">
        <v>45.0</v>
      </c>
      <c r="I153" s="266" t="s">
        <v>43</v>
      </c>
      <c r="J153" s="257" t="s">
        <v>513</v>
      </c>
      <c r="K153" s="258">
        <v>43510.0</v>
      </c>
      <c r="L153" s="260">
        <v>43585.0</v>
      </c>
      <c r="M153" s="260">
        <v>43508.0</v>
      </c>
      <c r="N153" s="261" t="s">
        <v>586</v>
      </c>
      <c r="O153" s="272"/>
      <c r="P153" s="370">
        <v>43588.0</v>
      </c>
      <c r="Q153" s="253" t="s">
        <v>284</v>
      </c>
      <c r="R153" s="253"/>
      <c r="S153" s="262"/>
      <c r="T153" s="253"/>
      <c r="U153" s="262"/>
      <c r="V153" s="262"/>
      <c r="W153" s="253" t="s">
        <v>50</v>
      </c>
      <c r="X153" s="253" t="s">
        <v>285</v>
      </c>
      <c r="Y153" s="253" t="s">
        <v>51</v>
      </c>
      <c r="Z153" s="253" t="s">
        <v>52</v>
      </c>
      <c r="AA153" s="264"/>
    </row>
    <row r="154" ht="15.75" customHeight="1">
      <c r="A154" s="110">
        <v>43495.0</v>
      </c>
      <c r="B154" s="422" t="s">
        <v>77</v>
      </c>
      <c r="C154" s="252">
        <v>74.0</v>
      </c>
      <c r="D154" s="422" t="s">
        <v>588</v>
      </c>
      <c r="E154" s="23" t="s">
        <v>589</v>
      </c>
      <c r="F154" s="253">
        <v>2.0</v>
      </c>
      <c r="G154" s="254">
        <v>77.0</v>
      </c>
      <c r="H154" s="255">
        <v>154.0</v>
      </c>
      <c r="I154" s="266" t="s">
        <v>43</v>
      </c>
      <c r="J154" s="257" t="s">
        <v>316</v>
      </c>
      <c r="K154" s="258">
        <v>43496.0</v>
      </c>
      <c r="L154" s="260">
        <v>43524.0</v>
      </c>
      <c r="M154" s="260">
        <v>43495.0</v>
      </c>
      <c r="N154" s="261" t="s">
        <v>590</v>
      </c>
      <c r="O154" s="272">
        <v>1785.0</v>
      </c>
      <c r="P154" s="260">
        <v>43531.0</v>
      </c>
      <c r="Q154" s="253" t="s">
        <v>284</v>
      </c>
      <c r="R154" s="253"/>
      <c r="S154" s="262"/>
      <c r="T154" s="253"/>
      <c r="U154" s="262"/>
      <c r="V154" s="262"/>
      <c r="W154" s="253" t="s">
        <v>50</v>
      </c>
      <c r="X154" s="253" t="s">
        <v>285</v>
      </c>
      <c r="Y154" s="253" t="s">
        <v>51</v>
      </c>
      <c r="Z154" s="253" t="s">
        <v>52</v>
      </c>
      <c r="AA154" s="264"/>
    </row>
    <row r="155" ht="15.75" customHeight="1">
      <c r="A155" s="110">
        <v>43495.0</v>
      </c>
      <c r="B155" s="32" t="s">
        <v>591</v>
      </c>
      <c r="C155" s="21"/>
      <c r="D155" s="21" t="s">
        <v>592</v>
      </c>
      <c r="E155" s="23" t="s">
        <v>593</v>
      </c>
      <c r="F155" s="24">
        <v>2.0</v>
      </c>
      <c r="G155" s="48">
        <v>30.0</v>
      </c>
      <c r="H155" s="423">
        <v>60.0</v>
      </c>
      <c r="I155" s="298" t="s">
        <v>303</v>
      </c>
      <c r="J155" s="424" t="s">
        <v>594</v>
      </c>
      <c r="K155" s="29">
        <v>43522.0</v>
      </c>
      <c r="L155" s="295">
        <v>43534.0</v>
      </c>
      <c r="M155" s="295">
        <v>43522.0</v>
      </c>
      <c r="N155" s="296" t="s">
        <v>595</v>
      </c>
      <c r="O155" s="297">
        <v>1648.0</v>
      </c>
      <c r="P155" s="295">
        <v>43531.0</v>
      </c>
      <c r="Q155" s="371"/>
      <c r="R155" s="371"/>
      <c r="S155" s="372"/>
      <c r="T155" s="373">
        <v>43630.0</v>
      </c>
      <c r="U155" s="372">
        <f>1314.64*31.47</f>
        <v>41371.7208</v>
      </c>
      <c r="V155" s="372">
        <f>(1346-1314.64)*31.47</f>
        <v>986.8992</v>
      </c>
      <c r="W155" s="371" t="s">
        <v>50</v>
      </c>
      <c r="X155" s="371" t="s">
        <v>285</v>
      </c>
      <c r="Y155" s="371" t="s">
        <v>51</v>
      </c>
      <c r="Z155" s="371" t="s">
        <v>52</v>
      </c>
      <c r="AA155" s="374" t="s">
        <v>440</v>
      </c>
    </row>
    <row r="156" ht="15.75" customHeight="1">
      <c r="A156" s="110">
        <v>43496.0</v>
      </c>
      <c r="B156" s="21" t="s">
        <v>119</v>
      </c>
      <c r="C156" s="21" t="s">
        <v>596</v>
      </c>
      <c r="D156" s="21" t="s">
        <v>597</v>
      </c>
      <c r="E156" s="23" t="s">
        <v>121</v>
      </c>
      <c r="F156" s="24">
        <v>50.0</v>
      </c>
      <c r="G156" s="48">
        <v>359.0</v>
      </c>
      <c r="H156" s="26">
        <v>17950.0</v>
      </c>
      <c r="I156" s="298" t="s">
        <v>171</v>
      </c>
      <c r="J156" s="82" t="s">
        <v>122</v>
      </c>
      <c r="K156" s="29">
        <v>43539.0</v>
      </c>
      <c r="L156" s="295">
        <v>43585.0</v>
      </c>
      <c r="M156" s="295">
        <v>43538.0</v>
      </c>
      <c r="N156" s="296" t="s">
        <v>598</v>
      </c>
      <c r="O156" s="297">
        <v>536670.0</v>
      </c>
      <c r="P156" s="302">
        <v>43586.0</v>
      </c>
      <c r="Q156" s="54" t="s">
        <v>540</v>
      </c>
      <c r="R156" s="54">
        <v>30.79</v>
      </c>
      <c r="S156" s="55"/>
      <c r="T156" s="56">
        <v>43551.0</v>
      </c>
      <c r="U156" s="55">
        <f>42560.7*30.798</f>
        <v>1310784.439</v>
      </c>
      <c r="V156" s="55">
        <f>(42592-42560.7)*30.798</f>
        <v>963.9774</v>
      </c>
      <c r="W156" s="54" t="s">
        <v>50</v>
      </c>
      <c r="X156" s="24" t="s">
        <v>285</v>
      </c>
      <c r="Y156" s="54" t="s">
        <v>51</v>
      </c>
      <c r="Z156" s="54" t="s">
        <v>52</v>
      </c>
      <c r="AA156" s="57" t="s">
        <v>398</v>
      </c>
    </row>
    <row r="157" ht="15.75" customHeight="1">
      <c r="A157" s="110">
        <v>43496.0</v>
      </c>
      <c r="B157" s="252" t="s">
        <v>119</v>
      </c>
      <c r="C157" s="252" t="s">
        <v>596</v>
      </c>
      <c r="D157" s="252" t="s">
        <v>599</v>
      </c>
      <c r="E157" s="23" t="s">
        <v>156</v>
      </c>
      <c r="F157" s="253">
        <v>3.0</v>
      </c>
      <c r="G157" s="254">
        <v>335.0</v>
      </c>
      <c r="H157" s="332">
        <v>1005.0</v>
      </c>
      <c r="I157" s="266" t="s">
        <v>171</v>
      </c>
      <c r="J157" s="256" t="s">
        <v>122</v>
      </c>
      <c r="K157" s="258">
        <v>43521.0</v>
      </c>
      <c r="L157" s="260">
        <v>43555.0</v>
      </c>
      <c r="M157" s="260">
        <v>43516.0</v>
      </c>
      <c r="N157" s="261" t="s">
        <v>600</v>
      </c>
      <c r="O157" s="272"/>
      <c r="P157" s="260">
        <v>43532.0</v>
      </c>
      <c r="Q157" s="253" t="s">
        <v>284</v>
      </c>
      <c r="R157" s="253"/>
      <c r="S157" s="262"/>
      <c r="T157" s="307"/>
      <c r="U157" s="262"/>
      <c r="V157" s="262"/>
      <c r="W157" s="253" t="s">
        <v>50</v>
      </c>
      <c r="X157" s="253" t="s">
        <v>285</v>
      </c>
      <c r="Y157" s="253" t="s">
        <v>51</v>
      </c>
      <c r="Z157" s="253" t="s">
        <v>52</v>
      </c>
      <c r="AA157" s="264"/>
    </row>
    <row r="158" ht="15.75" customHeight="1">
      <c r="A158" s="110">
        <v>43496.0</v>
      </c>
      <c r="B158" s="252" t="s">
        <v>119</v>
      </c>
      <c r="C158" s="252" t="s">
        <v>596</v>
      </c>
      <c r="D158" s="252" t="s">
        <v>599</v>
      </c>
      <c r="E158" s="23" t="s">
        <v>414</v>
      </c>
      <c r="F158" s="253">
        <v>3.0</v>
      </c>
      <c r="G158" s="254">
        <v>118.0</v>
      </c>
      <c r="H158" s="332">
        <v>354.0</v>
      </c>
      <c r="I158" s="266" t="s">
        <v>171</v>
      </c>
      <c r="J158" s="266" t="s">
        <v>122</v>
      </c>
      <c r="K158" s="258">
        <v>43521.0</v>
      </c>
      <c r="L158" s="425">
        <v>43555.0</v>
      </c>
      <c r="M158" s="426">
        <v>43516.0</v>
      </c>
      <c r="N158" s="261" t="s">
        <v>600</v>
      </c>
      <c r="O158" s="272"/>
      <c r="P158" s="260">
        <v>43532.0</v>
      </c>
      <c r="Q158" s="253" t="s">
        <v>284</v>
      </c>
      <c r="R158" s="253"/>
      <c r="S158" s="262"/>
      <c r="T158" s="307"/>
      <c r="U158" s="262"/>
      <c r="V158" s="262"/>
      <c r="W158" s="253" t="s">
        <v>50</v>
      </c>
      <c r="X158" s="253" t="s">
        <v>285</v>
      </c>
      <c r="Y158" s="253" t="s">
        <v>51</v>
      </c>
      <c r="Z158" s="253" t="s">
        <v>52</v>
      </c>
      <c r="AA158" s="264"/>
    </row>
    <row r="159" ht="15.75" customHeight="1">
      <c r="A159" s="110">
        <v>43496.0</v>
      </c>
      <c r="B159" s="265" t="s">
        <v>119</v>
      </c>
      <c r="C159" s="252" t="s">
        <v>596</v>
      </c>
      <c r="D159" s="252" t="s">
        <v>599</v>
      </c>
      <c r="E159" s="23" t="s">
        <v>161</v>
      </c>
      <c r="F159" s="253">
        <v>5.0</v>
      </c>
      <c r="G159" s="254">
        <v>485.0</v>
      </c>
      <c r="H159" s="332">
        <v>2425.0</v>
      </c>
      <c r="I159" s="266" t="s">
        <v>171</v>
      </c>
      <c r="J159" s="266" t="s">
        <v>122</v>
      </c>
      <c r="K159" s="258">
        <v>43521.0</v>
      </c>
      <c r="L159" s="260">
        <v>43555.0</v>
      </c>
      <c r="M159" s="260">
        <v>43516.0</v>
      </c>
      <c r="N159" s="261" t="s">
        <v>600</v>
      </c>
      <c r="O159" s="272"/>
      <c r="P159" s="260">
        <v>43532.0</v>
      </c>
      <c r="Q159" s="253" t="s">
        <v>284</v>
      </c>
      <c r="R159" s="253"/>
      <c r="S159" s="262"/>
      <c r="T159" s="307"/>
      <c r="U159" s="262"/>
      <c r="V159" s="262"/>
      <c r="W159" s="253" t="s">
        <v>50</v>
      </c>
      <c r="X159" s="253" t="s">
        <v>285</v>
      </c>
      <c r="Y159" s="253" t="s">
        <v>51</v>
      </c>
      <c r="Z159" s="253" t="s">
        <v>52</v>
      </c>
      <c r="AA159" s="264"/>
    </row>
    <row r="160" ht="15.75" customHeight="1">
      <c r="A160" s="110">
        <v>43496.0</v>
      </c>
      <c r="B160" s="265" t="s">
        <v>119</v>
      </c>
      <c r="C160" s="252" t="s">
        <v>596</v>
      </c>
      <c r="D160" s="252" t="s">
        <v>599</v>
      </c>
      <c r="E160" s="23" t="s">
        <v>162</v>
      </c>
      <c r="F160" s="253">
        <v>10.0</v>
      </c>
      <c r="G160" s="254">
        <v>738.0</v>
      </c>
      <c r="H160" s="332">
        <v>7380.0</v>
      </c>
      <c r="I160" s="266" t="s">
        <v>171</v>
      </c>
      <c r="J160" s="266" t="s">
        <v>122</v>
      </c>
      <c r="K160" s="258">
        <v>43521.0</v>
      </c>
      <c r="L160" s="260">
        <v>43555.0</v>
      </c>
      <c r="M160" s="260">
        <v>43516.0</v>
      </c>
      <c r="N160" s="261" t="s">
        <v>600</v>
      </c>
      <c r="O160" s="272"/>
      <c r="P160" s="260">
        <v>43532.0</v>
      </c>
      <c r="Q160" s="253" t="s">
        <v>284</v>
      </c>
      <c r="R160" s="253"/>
      <c r="S160" s="262"/>
      <c r="T160" s="307"/>
      <c r="U160" s="262"/>
      <c r="V160" s="262"/>
      <c r="W160" s="253" t="s">
        <v>50</v>
      </c>
      <c r="X160" s="253" t="s">
        <v>285</v>
      </c>
      <c r="Y160" s="253" t="s">
        <v>51</v>
      </c>
      <c r="Z160" s="253" t="s">
        <v>52</v>
      </c>
      <c r="AA160" s="264"/>
    </row>
    <row r="161" ht="15.75" customHeight="1">
      <c r="A161" s="110">
        <v>43496.0</v>
      </c>
      <c r="B161" s="265" t="s">
        <v>601</v>
      </c>
      <c r="C161" s="252" t="s">
        <v>602</v>
      </c>
      <c r="D161" s="252" t="s">
        <v>603</v>
      </c>
      <c r="E161" s="23" t="s">
        <v>604</v>
      </c>
      <c r="F161" s="253">
        <v>5.0</v>
      </c>
      <c r="G161" s="254">
        <v>241.5</v>
      </c>
      <c r="H161" s="255">
        <v>1207.5</v>
      </c>
      <c r="I161" s="266" t="s">
        <v>43</v>
      </c>
      <c r="J161" s="333" t="s">
        <v>605</v>
      </c>
      <c r="K161" s="258">
        <v>43515.0</v>
      </c>
      <c r="L161" s="261" t="s">
        <v>422</v>
      </c>
      <c r="M161" s="271">
        <v>43510.0</v>
      </c>
      <c r="N161" s="261" t="s">
        <v>606</v>
      </c>
      <c r="O161" s="272">
        <v>43384.0</v>
      </c>
      <c r="P161" s="260">
        <v>43531.0</v>
      </c>
      <c r="Q161" s="253"/>
      <c r="R161" s="253"/>
      <c r="S161" s="262"/>
      <c r="T161" s="253"/>
      <c r="U161" s="262"/>
      <c r="V161" s="262"/>
      <c r="W161" s="253" t="s">
        <v>50</v>
      </c>
      <c r="X161" s="253" t="s">
        <v>285</v>
      </c>
      <c r="Y161" s="253" t="s">
        <v>51</v>
      </c>
      <c r="Z161" s="253" t="s">
        <v>377</v>
      </c>
      <c r="AA161" s="264"/>
    </row>
    <row r="162" ht="15.75" customHeight="1">
      <c r="A162" s="110">
        <v>43496.0</v>
      </c>
      <c r="B162" s="265" t="s">
        <v>601</v>
      </c>
      <c r="C162" s="252" t="s">
        <v>602</v>
      </c>
      <c r="D162" s="252" t="s">
        <v>603</v>
      </c>
      <c r="E162" s="23" t="s">
        <v>607</v>
      </c>
      <c r="F162" s="253">
        <v>5.0</v>
      </c>
      <c r="G162" s="254">
        <v>73.5</v>
      </c>
      <c r="H162" s="255">
        <v>367.5</v>
      </c>
      <c r="I162" s="266" t="s">
        <v>43</v>
      </c>
      <c r="J162" s="403" t="s">
        <v>605</v>
      </c>
      <c r="K162" s="258">
        <v>43515.0</v>
      </c>
      <c r="L162" s="261" t="s">
        <v>422</v>
      </c>
      <c r="M162" s="271">
        <v>43510.0</v>
      </c>
      <c r="N162" s="261" t="s">
        <v>606</v>
      </c>
      <c r="O162" s="261"/>
      <c r="P162" s="260">
        <v>43531.0</v>
      </c>
      <c r="Q162" s="253"/>
      <c r="R162" s="253"/>
      <c r="S162" s="262"/>
      <c r="T162" s="253"/>
      <c r="U162" s="262"/>
      <c r="V162" s="262"/>
      <c r="W162" s="253" t="s">
        <v>50</v>
      </c>
      <c r="X162" s="253" t="s">
        <v>285</v>
      </c>
      <c r="Y162" s="253" t="s">
        <v>51</v>
      </c>
      <c r="Z162" s="253" t="s">
        <v>377</v>
      </c>
      <c r="AA162" s="264"/>
    </row>
    <row r="163" ht="15.75" customHeight="1">
      <c r="A163" s="110">
        <v>43496.0</v>
      </c>
      <c r="B163" s="147" t="s">
        <v>406</v>
      </c>
      <c r="C163" s="21">
        <v>7.000145102E9</v>
      </c>
      <c r="D163" s="139" t="s">
        <v>608</v>
      </c>
      <c r="E163" s="23" t="s">
        <v>609</v>
      </c>
      <c r="F163" s="24">
        <v>5.0</v>
      </c>
      <c r="G163" s="48">
        <v>775.0</v>
      </c>
      <c r="H163" s="26">
        <v>3875.0</v>
      </c>
      <c r="I163" s="298" t="s">
        <v>43</v>
      </c>
      <c r="J163" s="427" t="s">
        <v>520</v>
      </c>
      <c r="K163" s="29">
        <v>43546.0</v>
      </c>
      <c r="L163" s="306"/>
      <c r="M163" s="306"/>
      <c r="N163" s="306"/>
      <c r="O163" s="406"/>
      <c r="P163" s="306"/>
      <c r="Q163" s="298"/>
      <c r="R163" s="298">
        <v>30.825</v>
      </c>
      <c r="S163" s="299"/>
      <c r="T163" s="145">
        <v>43588.0</v>
      </c>
      <c r="U163" s="299"/>
      <c r="V163" s="299"/>
      <c r="W163" s="298" t="s">
        <v>50</v>
      </c>
      <c r="X163" s="24" t="s">
        <v>285</v>
      </c>
      <c r="Y163" s="298" t="s">
        <v>286</v>
      </c>
      <c r="Z163" s="298" t="s">
        <v>52</v>
      </c>
      <c r="AA163" s="234" t="s">
        <v>305</v>
      </c>
    </row>
    <row r="164" ht="15.75" customHeight="1">
      <c r="A164" s="110">
        <v>43496.0</v>
      </c>
      <c r="B164" s="252" t="s">
        <v>119</v>
      </c>
      <c r="C164" s="252" t="s">
        <v>596</v>
      </c>
      <c r="D164" s="252"/>
      <c r="E164" s="23" t="s">
        <v>158</v>
      </c>
      <c r="F164" s="253">
        <v>5.0</v>
      </c>
      <c r="G164" s="254">
        <v>979.0</v>
      </c>
      <c r="H164" s="332">
        <v>4895.0</v>
      </c>
      <c r="I164" s="266" t="s">
        <v>171</v>
      </c>
      <c r="J164" s="428" t="s">
        <v>122</v>
      </c>
      <c r="K164" s="258">
        <v>43521.0</v>
      </c>
      <c r="L164" s="260">
        <v>43555.0</v>
      </c>
      <c r="M164" s="260">
        <v>43516.0</v>
      </c>
      <c r="N164" s="261" t="s">
        <v>600</v>
      </c>
      <c r="O164" s="272">
        <v>436313.0</v>
      </c>
      <c r="P164" s="260">
        <v>43532.0</v>
      </c>
      <c r="Q164" s="253" t="s">
        <v>284</v>
      </c>
      <c r="R164" s="253"/>
      <c r="S164" s="262"/>
      <c r="T164" s="307"/>
      <c r="U164" s="262"/>
      <c r="V164" s="262"/>
      <c r="W164" s="253" t="s">
        <v>50</v>
      </c>
      <c r="X164" s="253" t="s">
        <v>285</v>
      </c>
      <c r="Y164" s="253" t="s">
        <v>51</v>
      </c>
      <c r="Z164" s="253" t="s">
        <v>52</v>
      </c>
      <c r="AA164" s="264"/>
    </row>
    <row r="165" ht="15.75" customHeight="1">
      <c r="A165" s="110">
        <v>43497.0</v>
      </c>
      <c r="B165" s="252" t="s">
        <v>406</v>
      </c>
      <c r="C165" s="252">
        <v>7.000144687E9</v>
      </c>
      <c r="D165" s="252" t="s">
        <v>610</v>
      </c>
      <c r="E165" s="23" t="s">
        <v>611</v>
      </c>
      <c r="F165" s="253">
        <v>4.0</v>
      </c>
      <c r="G165" s="254">
        <v>148.0</v>
      </c>
      <c r="H165" s="255">
        <v>592.0</v>
      </c>
      <c r="I165" s="266" t="s">
        <v>43</v>
      </c>
      <c r="J165" s="257" t="s">
        <v>513</v>
      </c>
      <c r="K165" s="258">
        <v>43510.0</v>
      </c>
      <c r="L165" s="260">
        <v>43585.0</v>
      </c>
      <c r="M165" s="260">
        <v>43508.0</v>
      </c>
      <c r="N165" s="261" t="s">
        <v>612</v>
      </c>
      <c r="O165" s="272">
        <v>16388.0</v>
      </c>
      <c r="P165" s="370">
        <v>43588.0</v>
      </c>
      <c r="Q165" s="253" t="s">
        <v>284</v>
      </c>
      <c r="R165" s="253"/>
      <c r="S165" s="262"/>
      <c r="T165" s="253"/>
      <c r="U165" s="262"/>
      <c r="V165" s="262"/>
      <c r="W165" s="253" t="s">
        <v>50</v>
      </c>
      <c r="X165" s="253" t="s">
        <v>285</v>
      </c>
      <c r="Y165" s="253" t="s">
        <v>51</v>
      </c>
      <c r="Z165" s="253" t="s">
        <v>52</v>
      </c>
      <c r="AA165" s="264"/>
    </row>
    <row r="166" ht="15.75" customHeight="1">
      <c r="A166" s="110">
        <v>43497.0</v>
      </c>
      <c r="B166" s="252" t="s">
        <v>406</v>
      </c>
      <c r="C166" s="252">
        <v>7.000144687E9</v>
      </c>
      <c r="D166" s="252" t="s">
        <v>613</v>
      </c>
      <c r="E166" s="23" t="s">
        <v>614</v>
      </c>
      <c r="F166" s="253">
        <v>1.0</v>
      </c>
      <c r="G166" s="254">
        <v>298.0</v>
      </c>
      <c r="H166" s="255">
        <v>298.0</v>
      </c>
      <c r="I166" s="266" t="s">
        <v>43</v>
      </c>
      <c r="J166" s="257" t="s">
        <v>513</v>
      </c>
      <c r="K166" s="258">
        <v>43510.0</v>
      </c>
      <c r="L166" s="260">
        <v>43585.0</v>
      </c>
      <c r="M166" s="260">
        <v>43508.0</v>
      </c>
      <c r="N166" s="261" t="s">
        <v>615</v>
      </c>
      <c r="O166" s="272">
        <v>9074.0</v>
      </c>
      <c r="P166" s="370">
        <v>43588.0</v>
      </c>
      <c r="Q166" s="253" t="s">
        <v>284</v>
      </c>
      <c r="R166" s="253"/>
      <c r="S166" s="262"/>
      <c r="T166" s="253"/>
      <c r="U166" s="262"/>
      <c r="V166" s="262"/>
      <c r="W166" s="253" t="s">
        <v>50</v>
      </c>
      <c r="X166" s="253" t="s">
        <v>285</v>
      </c>
      <c r="Y166" s="253" t="s">
        <v>51</v>
      </c>
      <c r="Z166" s="253" t="s">
        <v>52</v>
      </c>
      <c r="AA166" s="264"/>
    </row>
    <row r="167" ht="15.75" customHeight="1">
      <c r="A167" s="110">
        <v>43497.0</v>
      </c>
      <c r="B167" s="252" t="s">
        <v>406</v>
      </c>
      <c r="C167" s="252">
        <v>7.000144687E9</v>
      </c>
      <c r="D167" s="252" t="s">
        <v>613</v>
      </c>
      <c r="E167" s="23" t="s">
        <v>616</v>
      </c>
      <c r="F167" s="253">
        <v>1.0</v>
      </c>
      <c r="G167" s="254">
        <v>23.0</v>
      </c>
      <c r="H167" s="255">
        <v>23.0</v>
      </c>
      <c r="I167" s="266" t="s">
        <v>43</v>
      </c>
      <c r="J167" s="257" t="s">
        <v>513</v>
      </c>
      <c r="K167" s="258">
        <v>43510.0</v>
      </c>
      <c r="L167" s="260">
        <v>43585.0</v>
      </c>
      <c r="M167" s="260">
        <v>43508.0</v>
      </c>
      <c r="N167" s="261" t="s">
        <v>615</v>
      </c>
      <c r="O167" s="272"/>
      <c r="P167" s="370">
        <v>43588.0</v>
      </c>
      <c r="Q167" s="253" t="s">
        <v>284</v>
      </c>
      <c r="R167" s="253"/>
      <c r="S167" s="262"/>
      <c r="T167" s="253"/>
      <c r="U167" s="262"/>
      <c r="V167" s="262"/>
      <c r="W167" s="253" t="s">
        <v>50</v>
      </c>
      <c r="X167" s="253" t="s">
        <v>285</v>
      </c>
      <c r="Y167" s="253" t="s">
        <v>51</v>
      </c>
      <c r="Z167" s="253" t="s">
        <v>52</v>
      </c>
      <c r="AA167" s="264"/>
    </row>
    <row r="168" ht="15.75" customHeight="1">
      <c r="A168" s="343">
        <v>43502.0</v>
      </c>
      <c r="B168" s="310" t="s">
        <v>326</v>
      </c>
      <c r="C168" s="252">
        <v>2027408.0</v>
      </c>
      <c r="D168" s="310" t="s">
        <v>617</v>
      </c>
      <c r="E168" s="23" t="s">
        <v>42</v>
      </c>
      <c r="F168" s="253">
        <v>10.0</v>
      </c>
      <c r="G168" s="254">
        <v>273.0</v>
      </c>
      <c r="H168" s="255">
        <v>2730.0</v>
      </c>
      <c r="I168" s="266" t="s">
        <v>43</v>
      </c>
      <c r="J168" s="321" t="s">
        <v>329</v>
      </c>
      <c r="K168" s="258">
        <v>43531.0</v>
      </c>
      <c r="L168" s="260">
        <v>43546.0</v>
      </c>
      <c r="M168" s="260">
        <v>43516.0</v>
      </c>
      <c r="N168" s="261" t="s">
        <v>618</v>
      </c>
      <c r="O168" s="272">
        <v>67368.0</v>
      </c>
      <c r="P168" s="260">
        <v>43558.0</v>
      </c>
      <c r="Q168" s="253" t="s">
        <v>284</v>
      </c>
      <c r="R168" s="253"/>
      <c r="S168" s="262"/>
      <c r="T168" s="253"/>
      <c r="U168" s="262"/>
      <c r="V168" s="262"/>
      <c r="W168" s="253" t="s">
        <v>50</v>
      </c>
      <c r="X168" s="253" t="s">
        <v>285</v>
      </c>
      <c r="Y168" s="253" t="s">
        <v>51</v>
      </c>
      <c r="Z168" s="253" t="s">
        <v>52</v>
      </c>
      <c r="AA168" s="264"/>
    </row>
    <row r="169" ht="15.75" customHeight="1">
      <c r="A169" s="343">
        <v>43502.0</v>
      </c>
      <c r="B169" s="310" t="s">
        <v>326</v>
      </c>
      <c r="C169" s="252">
        <v>2027408.0</v>
      </c>
      <c r="D169" s="310" t="s">
        <v>617</v>
      </c>
      <c r="E169" s="23" t="s">
        <v>53</v>
      </c>
      <c r="F169" s="253">
        <v>10.0</v>
      </c>
      <c r="G169" s="254">
        <v>31.0</v>
      </c>
      <c r="H169" s="255">
        <v>310.0</v>
      </c>
      <c r="I169" s="266" t="s">
        <v>43</v>
      </c>
      <c r="J169" s="369" t="s">
        <v>329</v>
      </c>
      <c r="K169" s="258">
        <v>43531.0</v>
      </c>
      <c r="L169" s="260">
        <v>43585.0</v>
      </c>
      <c r="M169" s="260">
        <v>43528.0</v>
      </c>
      <c r="N169" s="261" t="s">
        <v>619</v>
      </c>
      <c r="O169" s="261"/>
      <c r="P169" s="370">
        <v>43588.0</v>
      </c>
      <c r="Q169" s="253" t="s">
        <v>284</v>
      </c>
      <c r="R169" s="253"/>
      <c r="S169" s="262"/>
      <c r="T169" s="253"/>
      <c r="U169" s="262"/>
      <c r="V169" s="262"/>
      <c r="W169" s="253" t="s">
        <v>50</v>
      </c>
      <c r="X169" s="253" t="s">
        <v>285</v>
      </c>
      <c r="Y169" s="253" t="s">
        <v>51</v>
      </c>
      <c r="Z169" s="253" t="s">
        <v>52</v>
      </c>
      <c r="AA169" s="264"/>
    </row>
    <row r="170" ht="15.75" customHeight="1">
      <c r="A170" s="343">
        <v>43502.0</v>
      </c>
      <c r="B170" s="310" t="s">
        <v>326</v>
      </c>
      <c r="C170" s="252">
        <v>2027408.0</v>
      </c>
      <c r="D170" s="310" t="s">
        <v>617</v>
      </c>
      <c r="E170" s="23" t="s">
        <v>59</v>
      </c>
      <c r="F170" s="253">
        <v>10.0</v>
      </c>
      <c r="G170" s="254">
        <v>4.0</v>
      </c>
      <c r="H170" s="255">
        <v>40.0</v>
      </c>
      <c r="I170" s="266" t="s">
        <v>43</v>
      </c>
      <c r="J170" s="369" t="s">
        <v>329</v>
      </c>
      <c r="K170" s="258">
        <v>43531.0</v>
      </c>
      <c r="L170" s="260">
        <v>43585.0</v>
      </c>
      <c r="M170" s="260">
        <v>43528.0</v>
      </c>
      <c r="N170" s="261" t="s">
        <v>619</v>
      </c>
      <c r="O170" s="261"/>
      <c r="P170" s="370">
        <v>43588.0</v>
      </c>
      <c r="Q170" s="253" t="s">
        <v>284</v>
      </c>
      <c r="R170" s="253"/>
      <c r="S170" s="262"/>
      <c r="T170" s="253"/>
      <c r="U170" s="262"/>
      <c r="V170" s="262"/>
      <c r="W170" s="253" t="s">
        <v>50</v>
      </c>
      <c r="X170" s="253" t="s">
        <v>285</v>
      </c>
      <c r="Y170" s="253" t="s">
        <v>51</v>
      </c>
      <c r="Z170" s="253" t="s">
        <v>52</v>
      </c>
      <c r="AA170" s="264"/>
    </row>
    <row r="171" ht="15.75" customHeight="1">
      <c r="A171" s="343">
        <v>43502.0</v>
      </c>
      <c r="B171" s="320" t="s">
        <v>326</v>
      </c>
      <c r="C171" s="252">
        <v>2027408.0</v>
      </c>
      <c r="D171" s="310" t="s">
        <v>620</v>
      </c>
      <c r="E171" s="23" t="s">
        <v>61</v>
      </c>
      <c r="F171" s="253">
        <v>10.0</v>
      </c>
      <c r="G171" s="254">
        <v>567.0</v>
      </c>
      <c r="H171" s="255">
        <v>5670.0</v>
      </c>
      <c r="I171" s="266" t="s">
        <v>43</v>
      </c>
      <c r="J171" s="369" t="s">
        <v>329</v>
      </c>
      <c r="K171" s="258">
        <v>43531.0</v>
      </c>
      <c r="L171" s="260">
        <v>43585.0</v>
      </c>
      <c r="M171" s="260">
        <v>43528.0</v>
      </c>
      <c r="N171" s="261" t="s">
        <v>619</v>
      </c>
      <c r="O171" s="272">
        <v>172398.0</v>
      </c>
      <c r="P171" s="370">
        <v>43588.0</v>
      </c>
      <c r="Q171" s="253" t="s">
        <v>284</v>
      </c>
      <c r="R171" s="253"/>
      <c r="S171" s="262"/>
      <c r="T171" s="253"/>
      <c r="U171" s="262"/>
      <c r="V171" s="262"/>
      <c r="W171" s="253" t="s">
        <v>50</v>
      </c>
      <c r="X171" s="253" t="s">
        <v>285</v>
      </c>
      <c r="Y171" s="253" t="s">
        <v>51</v>
      </c>
      <c r="Z171" s="253" t="s">
        <v>52</v>
      </c>
      <c r="AA171" s="264"/>
    </row>
    <row r="172" ht="15.75" customHeight="1">
      <c r="A172" s="343">
        <v>43502.0</v>
      </c>
      <c r="B172" s="265" t="s">
        <v>621</v>
      </c>
      <c r="C172" s="252"/>
      <c r="D172" s="252" t="s">
        <v>622</v>
      </c>
      <c r="E172" s="23" t="s">
        <v>623</v>
      </c>
      <c r="F172" s="253">
        <v>1.0</v>
      </c>
      <c r="G172" s="254">
        <v>326.55</v>
      </c>
      <c r="H172" s="255">
        <v>326.55</v>
      </c>
      <c r="I172" s="266" t="s">
        <v>43</v>
      </c>
      <c r="J172" s="369" t="s">
        <v>90</v>
      </c>
      <c r="K172" s="258">
        <v>43516.0</v>
      </c>
      <c r="L172" s="260">
        <v>43555.0</v>
      </c>
      <c r="M172" s="260">
        <v>43515.0</v>
      </c>
      <c r="N172" s="261" t="s">
        <v>624</v>
      </c>
      <c r="O172" s="272">
        <v>9215.0</v>
      </c>
      <c r="P172" s="260">
        <v>43557.0</v>
      </c>
      <c r="Q172" s="253"/>
      <c r="R172" s="253"/>
      <c r="S172" s="262"/>
      <c r="T172" s="253"/>
      <c r="U172" s="262"/>
      <c r="V172" s="262"/>
      <c r="W172" s="253" t="s">
        <v>50</v>
      </c>
      <c r="X172" s="253" t="s">
        <v>285</v>
      </c>
      <c r="Y172" s="253" t="s">
        <v>51</v>
      </c>
      <c r="Z172" s="253" t="s">
        <v>377</v>
      </c>
      <c r="AA172" s="264"/>
    </row>
    <row r="173" ht="15.75" customHeight="1">
      <c r="A173" s="69">
        <v>43503.0</v>
      </c>
      <c r="B173" s="265" t="s">
        <v>406</v>
      </c>
      <c r="C173" s="252"/>
      <c r="D173" s="252" t="s">
        <v>584</v>
      </c>
      <c r="E173" s="23" t="s">
        <v>625</v>
      </c>
      <c r="F173" s="253">
        <v>5.0</v>
      </c>
      <c r="G173" s="254">
        <v>0.0</v>
      </c>
      <c r="H173" s="255">
        <v>0.0</v>
      </c>
      <c r="I173" s="266" t="s">
        <v>43</v>
      </c>
      <c r="J173" s="403" t="s">
        <v>513</v>
      </c>
      <c r="K173" s="258">
        <v>43510.0</v>
      </c>
      <c r="L173" s="339"/>
      <c r="M173" s="331" t="s">
        <v>578</v>
      </c>
      <c r="N173" s="331" t="s">
        <v>578</v>
      </c>
      <c r="O173" s="331"/>
      <c r="P173" s="331"/>
      <c r="Q173" s="253"/>
      <c r="R173" s="253"/>
      <c r="S173" s="262"/>
      <c r="T173" s="253"/>
      <c r="U173" s="262"/>
      <c r="V173" s="262"/>
      <c r="W173" s="253" t="s">
        <v>50</v>
      </c>
      <c r="X173" s="253" t="s">
        <v>285</v>
      </c>
      <c r="Y173" s="253" t="s">
        <v>51</v>
      </c>
      <c r="Z173" s="253" t="s">
        <v>52</v>
      </c>
      <c r="AA173" s="264"/>
    </row>
    <row r="174" ht="15.75" customHeight="1">
      <c r="A174" s="69">
        <v>43507.0</v>
      </c>
      <c r="B174" s="252" t="s">
        <v>579</v>
      </c>
      <c r="C174" s="21">
        <v>2.0190201001E10</v>
      </c>
      <c r="D174" s="429" t="s">
        <v>626</v>
      </c>
      <c r="E174" s="23" t="s">
        <v>627</v>
      </c>
      <c r="F174" s="24">
        <v>1.0</v>
      </c>
      <c r="G174" s="48">
        <v>1643.25</v>
      </c>
      <c r="H174" s="26">
        <v>1643.25</v>
      </c>
      <c r="I174" s="298" t="s">
        <v>171</v>
      </c>
      <c r="J174" s="63" t="s">
        <v>628</v>
      </c>
      <c r="K174" s="30">
        <v>43553.0</v>
      </c>
      <c r="L174" s="52"/>
      <c r="M174" s="53"/>
      <c r="N174" s="53"/>
      <c r="O174" s="53"/>
      <c r="P174" s="53"/>
      <c r="Q174" s="54"/>
      <c r="R174" s="54"/>
      <c r="S174" s="55"/>
      <c r="T174" s="54"/>
      <c r="U174" s="55"/>
      <c r="V174" s="55"/>
      <c r="W174" s="54" t="s">
        <v>50</v>
      </c>
      <c r="X174" s="24" t="s">
        <v>285</v>
      </c>
      <c r="Y174" s="54" t="s">
        <v>286</v>
      </c>
      <c r="Z174" s="54" t="s">
        <v>377</v>
      </c>
      <c r="AA174" s="57" t="s">
        <v>398</v>
      </c>
    </row>
    <row r="175" ht="15.75" customHeight="1">
      <c r="A175" s="69">
        <v>43507.0</v>
      </c>
      <c r="B175" s="147" t="s">
        <v>579</v>
      </c>
      <c r="C175" s="21">
        <v>2.0190201001E10</v>
      </c>
      <c r="D175" s="21" t="s">
        <v>629</v>
      </c>
      <c r="E175" s="23" t="s">
        <v>630</v>
      </c>
      <c r="F175" s="24">
        <v>2.0</v>
      </c>
      <c r="G175" s="48">
        <v>1888.95</v>
      </c>
      <c r="H175" s="26">
        <v>3777.9</v>
      </c>
      <c r="I175" s="298" t="s">
        <v>171</v>
      </c>
      <c r="J175" s="63" t="s">
        <v>628</v>
      </c>
      <c r="K175" s="29">
        <v>43542.0</v>
      </c>
      <c r="L175" s="52"/>
      <c r="M175" s="53"/>
      <c r="N175" s="53"/>
      <c r="O175" s="53"/>
      <c r="P175" s="53"/>
      <c r="Q175" s="54"/>
      <c r="R175" s="54"/>
      <c r="S175" s="55"/>
      <c r="T175" s="54"/>
      <c r="U175" s="55"/>
      <c r="V175" s="55"/>
      <c r="W175" s="54" t="s">
        <v>50</v>
      </c>
      <c r="X175" s="24" t="s">
        <v>285</v>
      </c>
      <c r="Y175" s="54" t="s">
        <v>286</v>
      </c>
      <c r="Z175" s="54" t="s">
        <v>377</v>
      </c>
      <c r="AA175" s="57" t="s">
        <v>398</v>
      </c>
    </row>
    <row r="176" ht="15.75" customHeight="1">
      <c r="A176" s="69">
        <v>43508.0</v>
      </c>
      <c r="B176" s="70" t="s">
        <v>631</v>
      </c>
      <c r="C176" s="292" t="s">
        <v>632</v>
      </c>
      <c r="D176" s="292" t="s">
        <v>633</v>
      </c>
      <c r="E176" s="23" t="s">
        <v>634</v>
      </c>
      <c r="F176" s="54">
        <v>25.0</v>
      </c>
      <c r="G176" s="47">
        <v>173.25</v>
      </c>
      <c r="H176" s="26">
        <v>4331.25</v>
      </c>
      <c r="I176" s="298" t="s">
        <v>171</v>
      </c>
      <c r="J176" s="63" t="s">
        <v>628</v>
      </c>
      <c r="K176" s="30">
        <v>43516.0</v>
      </c>
      <c r="L176" s="295">
        <v>43529.0</v>
      </c>
      <c r="M176" s="295">
        <v>43514.0</v>
      </c>
      <c r="N176" s="296" t="s">
        <v>635</v>
      </c>
      <c r="O176" s="297">
        <v>127313.0</v>
      </c>
      <c r="P176" s="295">
        <v>43531.0</v>
      </c>
      <c r="Q176" s="54"/>
      <c r="R176" s="54"/>
      <c r="S176" s="55"/>
      <c r="T176" s="54"/>
      <c r="U176" s="55"/>
      <c r="V176" s="55"/>
      <c r="W176" s="54" t="s">
        <v>50</v>
      </c>
      <c r="X176" s="24" t="s">
        <v>285</v>
      </c>
      <c r="Y176" s="54" t="s">
        <v>51</v>
      </c>
      <c r="Z176" s="54" t="s">
        <v>377</v>
      </c>
      <c r="AA176" s="57" t="s">
        <v>398</v>
      </c>
    </row>
    <row r="177" ht="15.75" customHeight="1">
      <c r="A177" s="69">
        <v>43508.0</v>
      </c>
      <c r="B177" s="265" t="s">
        <v>464</v>
      </c>
      <c r="C177" s="252" t="s">
        <v>636</v>
      </c>
      <c r="D177" s="328" t="s">
        <v>637</v>
      </c>
      <c r="E177" s="23" t="s">
        <v>638</v>
      </c>
      <c r="F177" s="253">
        <v>1.0</v>
      </c>
      <c r="G177" s="267">
        <v>80.0</v>
      </c>
      <c r="H177" s="255">
        <v>80.0</v>
      </c>
      <c r="I177" s="266" t="s">
        <v>171</v>
      </c>
      <c r="J177" s="253" t="s">
        <v>467</v>
      </c>
      <c r="K177" s="258">
        <v>43550.0</v>
      </c>
      <c r="L177" s="261" t="s">
        <v>422</v>
      </c>
      <c r="M177" s="260">
        <v>43537.0</v>
      </c>
      <c r="N177" s="261" t="s">
        <v>639</v>
      </c>
      <c r="O177" s="272">
        <v>3768.0</v>
      </c>
      <c r="P177" s="260">
        <v>43512.0</v>
      </c>
      <c r="Q177" s="253" t="s">
        <v>284</v>
      </c>
      <c r="R177" s="253">
        <v>30.825</v>
      </c>
      <c r="S177" s="262"/>
      <c r="T177" s="253"/>
      <c r="U177" s="262"/>
      <c r="V177" s="262"/>
      <c r="W177" s="253" t="s">
        <v>50</v>
      </c>
      <c r="X177" s="253" t="s">
        <v>285</v>
      </c>
      <c r="Y177" s="253" t="s">
        <v>51</v>
      </c>
      <c r="Z177" s="253" t="s">
        <v>52</v>
      </c>
      <c r="AA177" s="264"/>
    </row>
    <row r="178" ht="15.75" customHeight="1">
      <c r="A178" s="69">
        <v>43508.0</v>
      </c>
      <c r="B178" s="265" t="s">
        <v>464</v>
      </c>
      <c r="C178" s="252" t="s">
        <v>636</v>
      </c>
      <c r="D178" s="328" t="s">
        <v>637</v>
      </c>
      <c r="E178" s="23" t="s">
        <v>472</v>
      </c>
      <c r="F178" s="253">
        <v>1.0</v>
      </c>
      <c r="G178" s="267">
        <v>118.0</v>
      </c>
      <c r="H178" s="255">
        <v>118.0</v>
      </c>
      <c r="I178" s="266" t="s">
        <v>171</v>
      </c>
      <c r="J178" s="253" t="s">
        <v>467</v>
      </c>
      <c r="K178" s="258">
        <v>43550.0</v>
      </c>
      <c r="L178" s="261" t="s">
        <v>422</v>
      </c>
      <c r="M178" s="260">
        <v>43537.0</v>
      </c>
      <c r="N178" s="261" t="s">
        <v>639</v>
      </c>
      <c r="O178" s="261"/>
      <c r="P178" s="260">
        <v>43512.0</v>
      </c>
      <c r="Q178" s="253" t="s">
        <v>284</v>
      </c>
      <c r="R178" s="253">
        <v>30.825</v>
      </c>
      <c r="S178" s="262"/>
      <c r="T178" s="253"/>
      <c r="U178" s="262"/>
      <c r="V178" s="262"/>
      <c r="W178" s="253" t="s">
        <v>50</v>
      </c>
      <c r="X178" s="253" t="s">
        <v>285</v>
      </c>
      <c r="Y178" s="253" t="s">
        <v>51</v>
      </c>
      <c r="Z178" s="253" t="s">
        <v>52</v>
      </c>
      <c r="AA178" s="264"/>
    </row>
    <row r="179" ht="15.75" customHeight="1">
      <c r="A179" s="69">
        <v>43508.0</v>
      </c>
      <c r="B179" s="265" t="s">
        <v>464</v>
      </c>
      <c r="C179" s="252" t="s">
        <v>636</v>
      </c>
      <c r="D179" s="430" t="s">
        <v>637</v>
      </c>
      <c r="E179" s="32" t="s">
        <v>473</v>
      </c>
      <c r="F179" s="253">
        <v>1.0</v>
      </c>
      <c r="G179" s="267">
        <v>160.0</v>
      </c>
      <c r="H179" s="255">
        <v>160.0</v>
      </c>
      <c r="I179" s="256" t="s">
        <v>171</v>
      </c>
      <c r="J179" s="253" t="s">
        <v>467</v>
      </c>
      <c r="K179" s="258">
        <v>43550.0</v>
      </c>
      <c r="L179" s="271">
        <v>43568.0</v>
      </c>
      <c r="M179" s="260">
        <v>43538.0</v>
      </c>
      <c r="N179" s="261" t="s">
        <v>640</v>
      </c>
      <c r="O179" s="272">
        <v>41835.0</v>
      </c>
      <c r="P179" s="260">
        <v>43568.0</v>
      </c>
      <c r="Q179" s="253" t="s">
        <v>284</v>
      </c>
      <c r="R179" s="253">
        <v>30.825</v>
      </c>
      <c r="S179" s="262"/>
      <c r="T179" s="253"/>
      <c r="U179" s="262"/>
      <c r="V179" s="262"/>
      <c r="W179" s="253" t="s">
        <v>50</v>
      </c>
      <c r="X179" s="253" t="s">
        <v>285</v>
      </c>
      <c r="Y179" s="253" t="s">
        <v>51</v>
      </c>
      <c r="Z179" s="253" t="s">
        <v>52</v>
      </c>
      <c r="AA179" s="264"/>
    </row>
    <row r="180" ht="15.75" customHeight="1">
      <c r="A180" s="69">
        <v>43508.0</v>
      </c>
      <c r="B180" s="265" t="s">
        <v>464</v>
      </c>
      <c r="C180" s="252" t="s">
        <v>636</v>
      </c>
      <c r="D180" s="328" t="s">
        <v>637</v>
      </c>
      <c r="E180" s="23" t="s">
        <v>641</v>
      </c>
      <c r="F180" s="253">
        <v>1.0</v>
      </c>
      <c r="G180" s="267">
        <v>4120.0</v>
      </c>
      <c r="H180" s="255">
        <v>4120.0</v>
      </c>
      <c r="I180" s="266" t="s">
        <v>171</v>
      </c>
      <c r="J180" s="253" t="s">
        <v>467</v>
      </c>
      <c r="K180" s="258">
        <v>43550.0</v>
      </c>
      <c r="L180" s="271">
        <v>43585.0</v>
      </c>
      <c r="M180" s="260">
        <v>43545.0</v>
      </c>
      <c r="N180" s="261" t="s">
        <v>642</v>
      </c>
      <c r="O180" s="272">
        <v>121833.0</v>
      </c>
      <c r="P180" s="370">
        <v>43586.0</v>
      </c>
      <c r="Q180" s="253" t="s">
        <v>284</v>
      </c>
      <c r="R180" s="253">
        <v>30.825</v>
      </c>
      <c r="S180" s="262"/>
      <c r="T180" s="253"/>
      <c r="U180" s="262"/>
      <c r="V180" s="262"/>
      <c r="W180" s="253" t="s">
        <v>50</v>
      </c>
      <c r="X180" s="253" t="s">
        <v>285</v>
      </c>
      <c r="Y180" s="253" t="s">
        <v>51</v>
      </c>
      <c r="Z180" s="253" t="s">
        <v>52</v>
      </c>
      <c r="AA180" s="264"/>
    </row>
    <row r="181" ht="15.75" customHeight="1">
      <c r="A181" s="69">
        <v>43508.0</v>
      </c>
      <c r="B181" s="265" t="s">
        <v>464</v>
      </c>
      <c r="C181" s="252" t="s">
        <v>636</v>
      </c>
      <c r="D181" s="328" t="s">
        <v>637</v>
      </c>
      <c r="E181" s="23" t="s">
        <v>466</v>
      </c>
      <c r="F181" s="253">
        <v>1.0</v>
      </c>
      <c r="G181" s="267">
        <v>100.0</v>
      </c>
      <c r="H181" s="255">
        <v>100.0</v>
      </c>
      <c r="I181" s="266" t="s">
        <v>171</v>
      </c>
      <c r="J181" s="253" t="s">
        <v>467</v>
      </c>
      <c r="K181" s="258">
        <v>43550.0</v>
      </c>
      <c r="L181" s="271">
        <v>43585.0</v>
      </c>
      <c r="M181" s="260">
        <v>43545.0</v>
      </c>
      <c r="N181" s="261" t="s">
        <v>642</v>
      </c>
      <c r="O181" s="272"/>
      <c r="P181" s="370">
        <v>43586.0</v>
      </c>
      <c r="Q181" s="253" t="s">
        <v>284</v>
      </c>
      <c r="R181" s="253">
        <v>30.825</v>
      </c>
      <c r="S181" s="262"/>
      <c r="T181" s="253"/>
      <c r="U181" s="262"/>
      <c r="V181" s="262"/>
      <c r="W181" s="253" t="s">
        <v>50</v>
      </c>
      <c r="X181" s="253" t="s">
        <v>285</v>
      </c>
      <c r="Y181" s="253" t="s">
        <v>51</v>
      </c>
      <c r="Z181" s="253" t="s">
        <v>52</v>
      </c>
      <c r="AA181" s="264"/>
    </row>
    <row r="182" ht="15.75" customHeight="1">
      <c r="A182" s="69">
        <v>43508.0</v>
      </c>
      <c r="B182" s="144" t="s">
        <v>77</v>
      </c>
      <c r="C182" s="21">
        <v>87.0</v>
      </c>
      <c r="D182" s="21" t="s">
        <v>643</v>
      </c>
      <c r="E182" s="23" t="s">
        <v>644</v>
      </c>
      <c r="F182" s="24">
        <v>7.0</v>
      </c>
      <c r="G182" s="48">
        <v>200.0</v>
      </c>
      <c r="H182" s="26">
        <v>1400.0</v>
      </c>
      <c r="I182" s="298" t="s">
        <v>43</v>
      </c>
      <c r="J182" s="58" t="s">
        <v>316</v>
      </c>
      <c r="K182" s="29">
        <v>43550.0</v>
      </c>
      <c r="L182" s="295">
        <v>43560.0</v>
      </c>
      <c r="M182" s="295">
        <v>43542.0</v>
      </c>
      <c r="N182" s="296" t="s">
        <v>645</v>
      </c>
      <c r="O182" s="297">
        <v>58707.0</v>
      </c>
      <c r="P182" s="295">
        <v>43564.0</v>
      </c>
      <c r="Q182" s="298"/>
      <c r="R182" s="298">
        <v>30.825</v>
      </c>
      <c r="S182" s="299"/>
      <c r="T182" s="300">
        <v>43580.0</v>
      </c>
      <c r="U182" s="299"/>
      <c r="V182" s="299"/>
      <c r="W182" s="298" t="s">
        <v>50</v>
      </c>
      <c r="X182" s="24" t="s">
        <v>285</v>
      </c>
      <c r="Y182" s="298" t="s">
        <v>286</v>
      </c>
      <c r="Z182" s="298" t="s">
        <v>52</v>
      </c>
      <c r="AA182" s="234" t="s">
        <v>305</v>
      </c>
    </row>
    <row r="183" ht="15.75" customHeight="1">
      <c r="A183" s="69">
        <v>43508.0</v>
      </c>
      <c r="B183" s="144" t="s">
        <v>77</v>
      </c>
      <c r="C183" s="21">
        <v>87.0</v>
      </c>
      <c r="D183" s="21" t="s">
        <v>643</v>
      </c>
      <c r="E183" s="23" t="s">
        <v>646</v>
      </c>
      <c r="F183" s="24">
        <v>7.0</v>
      </c>
      <c r="G183" s="48">
        <v>0.0</v>
      </c>
      <c r="H183" s="26">
        <v>0.0</v>
      </c>
      <c r="I183" s="298" t="s">
        <v>43</v>
      </c>
      <c r="J183" s="58" t="s">
        <v>316</v>
      </c>
      <c r="K183" s="29">
        <v>43550.0</v>
      </c>
      <c r="L183" s="295">
        <v>43560.0</v>
      </c>
      <c r="M183" s="295">
        <v>43542.0</v>
      </c>
      <c r="N183" s="296" t="s">
        <v>645</v>
      </c>
      <c r="O183" s="296"/>
      <c r="P183" s="295">
        <v>43564.0</v>
      </c>
      <c r="Q183" s="298"/>
      <c r="R183" s="298">
        <v>30.825</v>
      </c>
      <c r="S183" s="299"/>
      <c r="T183" s="300">
        <v>43580.0</v>
      </c>
      <c r="U183" s="299"/>
      <c r="V183" s="299"/>
      <c r="W183" s="298" t="s">
        <v>50</v>
      </c>
      <c r="X183" s="24" t="s">
        <v>285</v>
      </c>
      <c r="Y183" s="298" t="s">
        <v>286</v>
      </c>
      <c r="Z183" s="298" t="s">
        <v>52</v>
      </c>
      <c r="AA183" s="234" t="s">
        <v>305</v>
      </c>
    </row>
    <row r="184" ht="15.75" customHeight="1">
      <c r="A184" s="69">
        <v>43508.0</v>
      </c>
      <c r="B184" s="144" t="s">
        <v>77</v>
      </c>
      <c r="C184" s="21">
        <v>87.0</v>
      </c>
      <c r="D184" s="21" t="s">
        <v>643</v>
      </c>
      <c r="E184" s="23" t="s">
        <v>647</v>
      </c>
      <c r="F184" s="24">
        <v>7.0</v>
      </c>
      <c r="G184" s="48">
        <v>0.0</v>
      </c>
      <c r="H184" s="26">
        <v>0.0</v>
      </c>
      <c r="I184" s="298" t="s">
        <v>43</v>
      </c>
      <c r="J184" s="58" t="s">
        <v>316</v>
      </c>
      <c r="K184" s="29">
        <v>43550.0</v>
      </c>
      <c r="L184" s="295">
        <v>43560.0</v>
      </c>
      <c r="M184" s="295">
        <v>43542.0</v>
      </c>
      <c r="N184" s="296" t="s">
        <v>645</v>
      </c>
      <c r="O184" s="296"/>
      <c r="P184" s="295">
        <v>43564.0</v>
      </c>
      <c r="Q184" s="298"/>
      <c r="R184" s="298">
        <v>30.825</v>
      </c>
      <c r="S184" s="299"/>
      <c r="T184" s="300">
        <v>43580.0</v>
      </c>
      <c r="U184" s="299"/>
      <c r="V184" s="299"/>
      <c r="W184" s="298" t="s">
        <v>50</v>
      </c>
      <c r="X184" s="24" t="s">
        <v>285</v>
      </c>
      <c r="Y184" s="298" t="s">
        <v>286</v>
      </c>
      <c r="Z184" s="298" t="s">
        <v>52</v>
      </c>
      <c r="AA184" s="234" t="s">
        <v>305</v>
      </c>
    </row>
    <row r="185" ht="15.75" customHeight="1">
      <c r="A185" s="69">
        <v>43508.0</v>
      </c>
      <c r="B185" s="144" t="s">
        <v>77</v>
      </c>
      <c r="C185" s="21">
        <v>87.0</v>
      </c>
      <c r="D185" s="21" t="s">
        <v>643</v>
      </c>
      <c r="E185" s="23" t="s">
        <v>648</v>
      </c>
      <c r="F185" s="24">
        <v>7.0</v>
      </c>
      <c r="G185" s="48">
        <v>0.0</v>
      </c>
      <c r="H185" s="26">
        <v>0.0</v>
      </c>
      <c r="I185" s="298" t="s">
        <v>43</v>
      </c>
      <c r="J185" s="58" t="s">
        <v>316</v>
      </c>
      <c r="K185" s="29">
        <v>43550.0</v>
      </c>
      <c r="L185" s="295">
        <v>43560.0</v>
      </c>
      <c r="M185" s="295">
        <v>43542.0</v>
      </c>
      <c r="N185" s="296" t="s">
        <v>645</v>
      </c>
      <c r="O185" s="296"/>
      <c r="P185" s="295">
        <v>43564.0</v>
      </c>
      <c r="Q185" s="298"/>
      <c r="R185" s="298">
        <v>30.825</v>
      </c>
      <c r="S185" s="299"/>
      <c r="T185" s="300">
        <v>43580.0</v>
      </c>
      <c r="U185" s="299"/>
      <c r="V185" s="299"/>
      <c r="W185" s="298" t="s">
        <v>50</v>
      </c>
      <c r="X185" s="24" t="s">
        <v>285</v>
      </c>
      <c r="Y185" s="298" t="s">
        <v>286</v>
      </c>
      <c r="Z185" s="298" t="s">
        <v>52</v>
      </c>
      <c r="AA185" s="234" t="s">
        <v>305</v>
      </c>
    </row>
    <row r="186" ht="15.75" customHeight="1">
      <c r="A186" s="69">
        <v>43508.0</v>
      </c>
      <c r="B186" s="144" t="s">
        <v>77</v>
      </c>
      <c r="C186" s="21">
        <v>87.0</v>
      </c>
      <c r="D186" s="21" t="s">
        <v>643</v>
      </c>
      <c r="E186" s="23" t="s">
        <v>649</v>
      </c>
      <c r="F186" s="24">
        <v>7.0</v>
      </c>
      <c r="G186" s="48">
        <v>0.0</v>
      </c>
      <c r="H186" s="26">
        <v>0.0</v>
      </c>
      <c r="I186" s="298" t="s">
        <v>43</v>
      </c>
      <c r="J186" s="58" t="s">
        <v>316</v>
      </c>
      <c r="K186" s="29">
        <v>43550.0</v>
      </c>
      <c r="L186" s="295">
        <v>43560.0</v>
      </c>
      <c r="M186" s="295">
        <v>43542.0</v>
      </c>
      <c r="N186" s="296" t="s">
        <v>645</v>
      </c>
      <c r="O186" s="296"/>
      <c r="P186" s="295">
        <v>43564.0</v>
      </c>
      <c r="Q186" s="298"/>
      <c r="R186" s="298">
        <v>30.825</v>
      </c>
      <c r="S186" s="299"/>
      <c r="T186" s="300">
        <v>43580.0</v>
      </c>
      <c r="U186" s="299"/>
      <c r="V186" s="299"/>
      <c r="W186" s="298" t="s">
        <v>50</v>
      </c>
      <c r="X186" s="24" t="s">
        <v>285</v>
      </c>
      <c r="Y186" s="298" t="s">
        <v>286</v>
      </c>
      <c r="Z186" s="298" t="s">
        <v>52</v>
      </c>
      <c r="AA186" s="234" t="s">
        <v>305</v>
      </c>
    </row>
    <row r="187" ht="15.75" customHeight="1">
      <c r="A187" s="69">
        <v>43508.0</v>
      </c>
      <c r="B187" s="144" t="s">
        <v>77</v>
      </c>
      <c r="C187" s="21">
        <v>87.0</v>
      </c>
      <c r="D187" s="21" t="s">
        <v>643</v>
      </c>
      <c r="E187" s="23" t="s">
        <v>650</v>
      </c>
      <c r="F187" s="24">
        <v>7.0</v>
      </c>
      <c r="G187" s="48">
        <v>2.0</v>
      </c>
      <c r="H187" s="26">
        <v>14.0</v>
      </c>
      <c r="I187" s="298" t="s">
        <v>43</v>
      </c>
      <c r="J187" s="58" t="s">
        <v>316</v>
      </c>
      <c r="K187" s="29">
        <v>43550.0</v>
      </c>
      <c r="L187" s="295">
        <v>43560.0</v>
      </c>
      <c r="M187" s="295">
        <v>43531.0</v>
      </c>
      <c r="N187" s="296" t="s">
        <v>556</v>
      </c>
      <c r="O187" s="297">
        <v>3788.0</v>
      </c>
      <c r="P187" s="295">
        <v>43564.0</v>
      </c>
      <c r="Q187" s="298"/>
      <c r="R187" s="298">
        <v>30.825</v>
      </c>
      <c r="S187" s="299"/>
      <c r="T187" s="300">
        <v>43580.0</v>
      </c>
      <c r="U187" s="299"/>
      <c r="V187" s="299"/>
      <c r="W187" s="298" t="s">
        <v>50</v>
      </c>
      <c r="X187" s="24" t="s">
        <v>285</v>
      </c>
      <c r="Y187" s="298" t="s">
        <v>286</v>
      </c>
      <c r="Z187" s="298" t="s">
        <v>52</v>
      </c>
      <c r="AA187" s="234" t="s">
        <v>305</v>
      </c>
    </row>
    <row r="188" ht="15.75" customHeight="1">
      <c r="A188" s="69">
        <v>43508.0</v>
      </c>
      <c r="B188" s="144" t="s">
        <v>77</v>
      </c>
      <c r="C188" s="21">
        <v>87.0</v>
      </c>
      <c r="D188" s="21" t="s">
        <v>643</v>
      </c>
      <c r="E188" s="23" t="s">
        <v>651</v>
      </c>
      <c r="F188" s="24">
        <v>7.0</v>
      </c>
      <c r="G188" s="48">
        <v>6.0</v>
      </c>
      <c r="H188" s="26">
        <v>42.0</v>
      </c>
      <c r="I188" s="298" t="s">
        <v>43</v>
      </c>
      <c r="J188" s="58" t="s">
        <v>316</v>
      </c>
      <c r="K188" s="29">
        <v>43550.0</v>
      </c>
      <c r="L188" s="295">
        <v>43560.0</v>
      </c>
      <c r="M188" s="295">
        <v>43531.0</v>
      </c>
      <c r="N188" s="296" t="s">
        <v>556</v>
      </c>
      <c r="O188" s="297"/>
      <c r="P188" s="295">
        <v>43564.0</v>
      </c>
      <c r="Q188" s="298"/>
      <c r="R188" s="298">
        <v>30.825</v>
      </c>
      <c r="S188" s="299"/>
      <c r="T188" s="300">
        <v>43580.0</v>
      </c>
      <c r="U188" s="299"/>
      <c r="V188" s="299"/>
      <c r="W188" s="298" t="s">
        <v>50</v>
      </c>
      <c r="X188" s="24" t="s">
        <v>285</v>
      </c>
      <c r="Y188" s="298" t="s">
        <v>286</v>
      </c>
      <c r="Z188" s="298" t="s">
        <v>52</v>
      </c>
      <c r="AA188" s="234" t="s">
        <v>305</v>
      </c>
    </row>
    <row r="189" ht="15.75" customHeight="1">
      <c r="A189" s="110">
        <v>43508.0</v>
      </c>
      <c r="B189" s="147" t="s">
        <v>77</v>
      </c>
      <c r="C189" s="21">
        <v>87.0</v>
      </c>
      <c r="D189" s="21" t="s">
        <v>643</v>
      </c>
      <c r="E189" s="23" t="s">
        <v>652</v>
      </c>
      <c r="F189" s="24">
        <v>7.0</v>
      </c>
      <c r="G189" s="48">
        <v>0.0</v>
      </c>
      <c r="H189" s="26">
        <v>0.0</v>
      </c>
      <c r="I189" s="298" t="s">
        <v>43</v>
      </c>
      <c r="J189" s="58" t="s">
        <v>316</v>
      </c>
      <c r="K189" s="29">
        <v>43550.0</v>
      </c>
      <c r="L189" s="295">
        <v>43560.0</v>
      </c>
      <c r="M189" s="295">
        <v>43531.0</v>
      </c>
      <c r="N189" s="296" t="s">
        <v>556</v>
      </c>
      <c r="O189" s="297"/>
      <c r="P189" s="295">
        <v>43564.0</v>
      </c>
      <c r="Q189" s="298"/>
      <c r="R189" s="298">
        <v>30.825</v>
      </c>
      <c r="S189" s="299"/>
      <c r="T189" s="300">
        <v>43580.0</v>
      </c>
      <c r="U189" s="299"/>
      <c r="V189" s="299"/>
      <c r="W189" s="298" t="s">
        <v>50</v>
      </c>
      <c r="X189" s="24" t="s">
        <v>285</v>
      </c>
      <c r="Y189" s="298" t="s">
        <v>286</v>
      </c>
      <c r="Z189" s="298" t="s">
        <v>52</v>
      </c>
      <c r="AA189" s="234" t="s">
        <v>305</v>
      </c>
    </row>
    <row r="190" ht="15.75" customHeight="1">
      <c r="A190" s="110">
        <v>43509.0</v>
      </c>
      <c r="B190" s="147" t="s">
        <v>406</v>
      </c>
      <c r="C190" s="21">
        <v>7.000145102E9</v>
      </c>
      <c r="D190" s="21" t="s">
        <v>653</v>
      </c>
      <c r="E190" s="23" t="s">
        <v>654</v>
      </c>
      <c r="F190" s="24">
        <v>1.0</v>
      </c>
      <c r="G190" s="48">
        <v>800.0</v>
      </c>
      <c r="H190" s="26">
        <v>800.0</v>
      </c>
      <c r="I190" s="298" t="s">
        <v>43</v>
      </c>
      <c r="J190" s="82" t="s">
        <v>520</v>
      </c>
      <c r="K190" s="29">
        <v>43546.0</v>
      </c>
      <c r="L190" s="305"/>
      <c r="M190" s="305"/>
      <c r="N190" s="306"/>
      <c r="O190" s="406"/>
      <c r="P190" s="306"/>
      <c r="Q190" s="298"/>
      <c r="R190" s="298">
        <v>30.825</v>
      </c>
      <c r="S190" s="299"/>
      <c r="T190" s="145">
        <v>43588.0</v>
      </c>
      <c r="U190" s="299"/>
      <c r="V190" s="299"/>
      <c r="W190" s="298" t="s">
        <v>50</v>
      </c>
      <c r="X190" s="24" t="s">
        <v>285</v>
      </c>
      <c r="Y190" s="298" t="s">
        <v>286</v>
      </c>
      <c r="Z190" s="298" t="s">
        <v>52</v>
      </c>
      <c r="AA190" s="234" t="s">
        <v>305</v>
      </c>
    </row>
    <row r="191" ht="15.75" customHeight="1">
      <c r="A191" s="69">
        <v>43509.0</v>
      </c>
      <c r="B191" s="147" t="s">
        <v>406</v>
      </c>
      <c r="C191" s="21">
        <v>7.000145102E9</v>
      </c>
      <c r="D191" s="139" t="s">
        <v>655</v>
      </c>
      <c r="E191" s="23" t="s">
        <v>512</v>
      </c>
      <c r="F191" s="24">
        <v>5.0</v>
      </c>
      <c r="G191" s="25">
        <v>39.0</v>
      </c>
      <c r="H191" s="26">
        <v>195.0</v>
      </c>
      <c r="I191" s="298" t="s">
        <v>43</v>
      </c>
      <c r="J191" s="82" t="s">
        <v>520</v>
      </c>
      <c r="K191" s="29">
        <v>43546.0</v>
      </c>
      <c r="L191" s="305"/>
      <c r="M191" s="305"/>
      <c r="N191" s="306"/>
      <c r="O191" s="406"/>
      <c r="P191" s="306"/>
      <c r="Q191" s="298"/>
      <c r="R191" s="298">
        <v>30.825</v>
      </c>
      <c r="S191" s="299"/>
      <c r="T191" s="145">
        <v>43588.0</v>
      </c>
      <c r="U191" s="299"/>
      <c r="V191" s="299"/>
      <c r="W191" s="298" t="s">
        <v>50</v>
      </c>
      <c r="X191" s="24" t="s">
        <v>285</v>
      </c>
      <c r="Y191" s="298" t="s">
        <v>286</v>
      </c>
      <c r="Z191" s="298" t="s">
        <v>52</v>
      </c>
      <c r="AA191" s="234" t="s">
        <v>305</v>
      </c>
    </row>
    <row r="192" ht="15.75" customHeight="1">
      <c r="A192" s="69">
        <v>43509.0</v>
      </c>
      <c r="B192" s="144" t="s">
        <v>406</v>
      </c>
      <c r="C192" s="21">
        <v>7.000145102E9</v>
      </c>
      <c r="D192" s="139" t="s">
        <v>656</v>
      </c>
      <c r="E192" s="23" t="s">
        <v>515</v>
      </c>
      <c r="F192" s="24">
        <v>5.0</v>
      </c>
      <c r="G192" s="25">
        <v>43.0</v>
      </c>
      <c r="H192" s="26">
        <v>215.0</v>
      </c>
      <c r="I192" s="298" t="s">
        <v>43</v>
      </c>
      <c r="J192" s="431" t="s">
        <v>520</v>
      </c>
      <c r="K192" s="29">
        <v>43546.0</v>
      </c>
      <c r="L192" s="305"/>
      <c r="M192" s="305"/>
      <c r="N192" s="306"/>
      <c r="O192" s="406"/>
      <c r="P192" s="306"/>
      <c r="Q192" s="298"/>
      <c r="R192" s="298">
        <v>30.825</v>
      </c>
      <c r="S192" s="299"/>
      <c r="T192" s="145">
        <v>43588.0</v>
      </c>
      <c r="U192" s="299"/>
      <c r="V192" s="299"/>
      <c r="W192" s="298" t="s">
        <v>50</v>
      </c>
      <c r="X192" s="24" t="s">
        <v>285</v>
      </c>
      <c r="Y192" s="298" t="s">
        <v>286</v>
      </c>
      <c r="Z192" s="298" t="s">
        <v>52</v>
      </c>
      <c r="AA192" s="234" t="s">
        <v>305</v>
      </c>
    </row>
    <row r="193" ht="15.75" customHeight="1">
      <c r="A193" s="69">
        <v>43509.0</v>
      </c>
      <c r="B193" s="144" t="s">
        <v>406</v>
      </c>
      <c r="C193" s="21">
        <v>7.000145102E9</v>
      </c>
      <c r="D193" s="139" t="s">
        <v>657</v>
      </c>
      <c r="E193" s="23" t="s">
        <v>512</v>
      </c>
      <c r="F193" s="24">
        <v>5.0</v>
      </c>
      <c r="G193" s="25">
        <v>39.0</v>
      </c>
      <c r="H193" s="26">
        <v>195.0</v>
      </c>
      <c r="I193" s="298" t="s">
        <v>43</v>
      </c>
      <c r="J193" s="407" t="s">
        <v>513</v>
      </c>
      <c r="K193" s="29">
        <v>43566.0</v>
      </c>
      <c r="L193" s="305"/>
      <c r="M193" s="305"/>
      <c r="N193" s="306"/>
      <c r="O193" s="406"/>
      <c r="P193" s="306"/>
      <c r="Q193" s="298"/>
      <c r="R193" s="298">
        <v>30.76</v>
      </c>
      <c r="S193" s="432">
        <f t="shared" ref="S193:S195" si="3">R193*H193</f>
        <v>5998.2</v>
      </c>
      <c r="T193" s="300">
        <v>43602.0</v>
      </c>
      <c r="U193" s="299"/>
      <c r="V193" s="299"/>
      <c r="W193" s="298" t="s">
        <v>50</v>
      </c>
      <c r="X193" s="24" t="s">
        <v>285</v>
      </c>
      <c r="Y193" s="298" t="s">
        <v>286</v>
      </c>
      <c r="Z193" s="298" t="s">
        <v>52</v>
      </c>
      <c r="AA193" s="234" t="s">
        <v>305</v>
      </c>
    </row>
    <row r="194" ht="15.75" customHeight="1">
      <c r="A194" s="69">
        <v>43509.0</v>
      </c>
      <c r="B194" s="144" t="s">
        <v>406</v>
      </c>
      <c r="C194" s="21">
        <v>7.000145102E9</v>
      </c>
      <c r="D194" s="139" t="s">
        <v>658</v>
      </c>
      <c r="E194" s="23" t="s">
        <v>515</v>
      </c>
      <c r="F194" s="24">
        <v>5.0</v>
      </c>
      <c r="G194" s="25">
        <v>43.0</v>
      </c>
      <c r="H194" s="26">
        <v>215.0</v>
      </c>
      <c r="I194" s="298" t="s">
        <v>43</v>
      </c>
      <c r="J194" s="407" t="s">
        <v>513</v>
      </c>
      <c r="K194" s="29">
        <v>43566.0</v>
      </c>
      <c r="L194" s="305"/>
      <c r="M194" s="305"/>
      <c r="N194" s="306"/>
      <c r="O194" s="406"/>
      <c r="P194" s="306"/>
      <c r="Q194" s="298"/>
      <c r="R194" s="298">
        <v>30.76</v>
      </c>
      <c r="S194" s="432">
        <f t="shared" si="3"/>
        <v>6613.4</v>
      </c>
      <c r="T194" s="300">
        <v>43602.0</v>
      </c>
      <c r="U194" s="299"/>
      <c r="V194" s="299"/>
      <c r="W194" s="298" t="s">
        <v>50</v>
      </c>
      <c r="X194" s="24" t="s">
        <v>285</v>
      </c>
      <c r="Y194" s="298" t="s">
        <v>286</v>
      </c>
      <c r="Z194" s="298" t="s">
        <v>52</v>
      </c>
      <c r="AA194" s="234" t="s">
        <v>305</v>
      </c>
    </row>
    <row r="195" ht="15.75" customHeight="1">
      <c r="A195" s="69">
        <v>43509.0</v>
      </c>
      <c r="B195" s="144" t="s">
        <v>406</v>
      </c>
      <c r="C195" s="21">
        <v>7.000145102E9</v>
      </c>
      <c r="D195" s="139" t="s">
        <v>659</v>
      </c>
      <c r="E195" s="23" t="s">
        <v>660</v>
      </c>
      <c r="F195" s="24">
        <v>5.0</v>
      </c>
      <c r="G195" s="25">
        <v>775.0</v>
      </c>
      <c r="H195" s="26">
        <v>3875.0</v>
      </c>
      <c r="I195" s="298" t="s">
        <v>43</v>
      </c>
      <c r="J195" s="407" t="s">
        <v>513</v>
      </c>
      <c r="K195" s="29">
        <v>43566.0</v>
      </c>
      <c r="L195" s="305"/>
      <c r="M195" s="305"/>
      <c r="N195" s="306"/>
      <c r="O195" s="406"/>
      <c r="P195" s="306"/>
      <c r="Q195" s="298"/>
      <c r="R195" s="298">
        <v>30.76</v>
      </c>
      <c r="S195" s="432">
        <f t="shared" si="3"/>
        <v>119195</v>
      </c>
      <c r="T195" s="300">
        <v>43602.0</v>
      </c>
      <c r="U195" s="299">
        <f>5142.57*31.11</f>
        <v>159985.3527</v>
      </c>
      <c r="V195" s="299">
        <f>(5169-5142.57)*31.11</f>
        <v>822.2373</v>
      </c>
      <c r="W195" s="298" t="s">
        <v>50</v>
      </c>
      <c r="X195" s="24" t="s">
        <v>285</v>
      </c>
      <c r="Y195" s="298" t="s">
        <v>286</v>
      </c>
      <c r="Z195" s="298" t="s">
        <v>52</v>
      </c>
      <c r="AA195" s="234" t="s">
        <v>305</v>
      </c>
    </row>
    <row r="196" ht="15.75" customHeight="1">
      <c r="A196" s="69">
        <v>43509.0</v>
      </c>
      <c r="B196" s="144" t="s">
        <v>406</v>
      </c>
      <c r="C196" s="21">
        <v>7.000145102E9</v>
      </c>
      <c r="D196" s="139" t="s">
        <v>661</v>
      </c>
      <c r="E196" s="23" t="s">
        <v>512</v>
      </c>
      <c r="F196" s="24">
        <v>14.0</v>
      </c>
      <c r="G196" s="48">
        <v>39.0</v>
      </c>
      <c r="H196" s="26">
        <v>546.0</v>
      </c>
      <c r="I196" s="298" t="s">
        <v>43</v>
      </c>
      <c r="J196" s="82" t="s">
        <v>520</v>
      </c>
      <c r="K196" s="29">
        <v>43588.0</v>
      </c>
      <c r="L196" s="295"/>
      <c r="M196" s="295"/>
      <c r="N196" s="296"/>
      <c r="O196" s="297"/>
      <c r="P196" s="296"/>
      <c r="Q196" s="371"/>
      <c r="R196" s="371">
        <v>30.845</v>
      </c>
      <c r="S196" s="372">
        <v>0.0</v>
      </c>
      <c r="T196" s="373">
        <v>43621.0</v>
      </c>
      <c r="U196" s="372"/>
      <c r="V196" s="372"/>
      <c r="W196" s="371" t="s">
        <v>50</v>
      </c>
      <c r="X196" s="371" t="s">
        <v>285</v>
      </c>
      <c r="Y196" s="371" t="s">
        <v>286</v>
      </c>
      <c r="Z196" s="371" t="s">
        <v>52</v>
      </c>
      <c r="AA196" s="374" t="s">
        <v>440</v>
      </c>
    </row>
    <row r="197" ht="15.75" customHeight="1">
      <c r="A197" s="69">
        <v>43509.0</v>
      </c>
      <c r="B197" s="144" t="s">
        <v>406</v>
      </c>
      <c r="C197" s="21">
        <v>7.000145102E9</v>
      </c>
      <c r="D197" s="139" t="s">
        <v>662</v>
      </c>
      <c r="E197" s="23" t="s">
        <v>515</v>
      </c>
      <c r="F197" s="24">
        <v>14.0</v>
      </c>
      <c r="G197" s="48">
        <v>43.0</v>
      </c>
      <c r="H197" s="26">
        <v>602.0</v>
      </c>
      <c r="I197" s="298" t="s">
        <v>43</v>
      </c>
      <c r="J197" s="431" t="s">
        <v>520</v>
      </c>
      <c r="K197" s="29">
        <v>43588.0</v>
      </c>
      <c r="L197" s="295"/>
      <c r="M197" s="295"/>
      <c r="N197" s="296"/>
      <c r="O197" s="297"/>
      <c r="P197" s="296"/>
      <c r="Q197" s="371"/>
      <c r="R197" s="371">
        <v>30.845</v>
      </c>
      <c r="S197" s="372">
        <v>0.0</v>
      </c>
      <c r="T197" s="373">
        <v>43621.0</v>
      </c>
      <c r="U197" s="372"/>
      <c r="V197" s="372"/>
      <c r="W197" s="371" t="s">
        <v>50</v>
      </c>
      <c r="X197" s="371" t="s">
        <v>285</v>
      </c>
      <c r="Y197" s="371" t="s">
        <v>286</v>
      </c>
      <c r="Z197" s="371" t="s">
        <v>52</v>
      </c>
      <c r="AA197" s="374" t="s">
        <v>440</v>
      </c>
    </row>
    <row r="198" ht="15.75" customHeight="1">
      <c r="A198" s="69">
        <v>43509.0</v>
      </c>
      <c r="B198" s="144" t="s">
        <v>406</v>
      </c>
      <c r="C198" s="21">
        <v>7.000145102E9</v>
      </c>
      <c r="D198" s="139" t="s">
        <v>663</v>
      </c>
      <c r="E198" s="23" t="s">
        <v>512</v>
      </c>
      <c r="F198" s="24">
        <v>1.0</v>
      </c>
      <c r="G198" s="48">
        <v>39.0</v>
      </c>
      <c r="H198" s="26">
        <v>39.0</v>
      </c>
      <c r="I198" s="87" t="s">
        <v>43</v>
      </c>
      <c r="J198" s="431" t="s">
        <v>520</v>
      </c>
      <c r="K198" s="30">
        <v>43634.0</v>
      </c>
      <c r="L198" s="305"/>
      <c r="M198" s="305"/>
      <c r="N198" s="306"/>
      <c r="O198" s="406"/>
      <c r="P198" s="306"/>
      <c r="Q198" s="298"/>
      <c r="R198" s="298">
        <v>31.325</v>
      </c>
      <c r="S198" s="299"/>
      <c r="T198" s="300">
        <v>43677.0</v>
      </c>
      <c r="U198" s="299"/>
      <c r="V198" s="299"/>
      <c r="W198" s="298" t="s">
        <v>50</v>
      </c>
      <c r="X198" s="298" t="s">
        <v>285</v>
      </c>
      <c r="Y198" s="298" t="s">
        <v>286</v>
      </c>
      <c r="Z198" s="298" t="s">
        <v>52</v>
      </c>
      <c r="AA198" s="234" t="s">
        <v>507</v>
      </c>
    </row>
    <row r="199" ht="15.75" customHeight="1">
      <c r="A199" s="69">
        <v>43509.0</v>
      </c>
      <c r="B199" s="144" t="s">
        <v>406</v>
      </c>
      <c r="C199" s="21">
        <v>7.000145102E9</v>
      </c>
      <c r="D199" s="139" t="s">
        <v>664</v>
      </c>
      <c r="E199" s="23" t="s">
        <v>515</v>
      </c>
      <c r="F199" s="24">
        <v>1.0</v>
      </c>
      <c r="G199" s="25">
        <v>43.0</v>
      </c>
      <c r="H199" s="115">
        <v>43.0</v>
      </c>
      <c r="I199" s="87" t="s">
        <v>43</v>
      </c>
      <c r="J199" s="431" t="s">
        <v>520</v>
      </c>
      <c r="K199" s="30">
        <v>43634.0</v>
      </c>
      <c r="L199" s="305"/>
      <c r="M199" s="305"/>
      <c r="N199" s="306"/>
      <c r="O199" s="406"/>
      <c r="P199" s="306"/>
      <c r="Q199" s="298"/>
      <c r="R199" s="298">
        <v>31.325</v>
      </c>
      <c r="S199" s="299"/>
      <c r="T199" s="300">
        <v>43677.0</v>
      </c>
      <c r="U199" s="299"/>
      <c r="V199" s="299"/>
      <c r="W199" s="298" t="s">
        <v>50</v>
      </c>
      <c r="X199" s="298" t="s">
        <v>285</v>
      </c>
      <c r="Y199" s="298" t="s">
        <v>286</v>
      </c>
      <c r="Z199" s="298" t="s">
        <v>52</v>
      </c>
      <c r="AA199" s="234" t="s">
        <v>507</v>
      </c>
    </row>
    <row r="200" ht="15.75" customHeight="1">
      <c r="A200" s="69">
        <v>43509.0</v>
      </c>
      <c r="B200" s="144" t="s">
        <v>406</v>
      </c>
      <c r="C200" s="21">
        <v>7.000145102E9</v>
      </c>
      <c r="D200" s="139" t="s">
        <v>665</v>
      </c>
      <c r="E200" s="23" t="s">
        <v>666</v>
      </c>
      <c r="F200" s="24">
        <v>14.0</v>
      </c>
      <c r="G200" s="48">
        <v>775.0</v>
      </c>
      <c r="H200" s="26">
        <v>10850.0</v>
      </c>
      <c r="I200" s="298" t="s">
        <v>43</v>
      </c>
      <c r="J200" s="82" t="s">
        <v>520</v>
      </c>
      <c r="K200" s="29">
        <v>43588.0</v>
      </c>
      <c r="L200" s="295"/>
      <c r="M200" s="295"/>
      <c r="N200" s="296"/>
      <c r="O200" s="297"/>
      <c r="P200" s="296"/>
      <c r="Q200" s="371"/>
      <c r="R200" s="371">
        <v>30.845</v>
      </c>
      <c r="S200" s="372">
        <f>11998*30.845</f>
        <v>370078.31</v>
      </c>
      <c r="T200" s="373">
        <v>43621.0</v>
      </c>
      <c r="U200" s="372">
        <f>11971.62*31.33</f>
        <v>375070.8546</v>
      </c>
      <c r="V200" s="372">
        <f>(11998-11971.62)*31.33</f>
        <v>826.4854</v>
      </c>
      <c r="W200" s="371" t="s">
        <v>50</v>
      </c>
      <c r="X200" s="371" t="s">
        <v>285</v>
      </c>
      <c r="Y200" s="371" t="s">
        <v>286</v>
      </c>
      <c r="Z200" s="371" t="s">
        <v>52</v>
      </c>
      <c r="AA200" s="374" t="s">
        <v>440</v>
      </c>
    </row>
    <row r="201" ht="15.75" customHeight="1">
      <c r="A201" s="69">
        <v>43509.0</v>
      </c>
      <c r="B201" s="144" t="s">
        <v>406</v>
      </c>
      <c r="C201" s="21">
        <v>7.000145102E9</v>
      </c>
      <c r="D201" s="139" t="s">
        <v>667</v>
      </c>
      <c r="E201" s="23" t="s">
        <v>668</v>
      </c>
      <c r="F201" s="24">
        <v>1.0</v>
      </c>
      <c r="G201" s="48">
        <v>775.0</v>
      </c>
      <c r="H201" s="26">
        <v>775.0</v>
      </c>
      <c r="I201" s="87" t="s">
        <v>43</v>
      </c>
      <c r="J201" s="82" t="s">
        <v>520</v>
      </c>
      <c r="K201" s="30">
        <v>43634.0</v>
      </c>
      <c r="L201" s="305"/>
      <c r="M201" s="305"/>
      <c r="N201" s="306"/>
      <c r="O201" s="406"/>
      <c r="P201" s="306"/>
      <c r="Q201" s="298"/>
      <c r="R201" s="298">
        <v>31.325</v>
      </c>
      <c r="S201" s="299"/>
      <c r="T201" s="300">
        <v>43677.0</v>
      </c>
      <c r="U201" s="299"/>
      <c r="V201" s="299"/>
      <c r="W201" s="298" t="s">
        <v>50</v>
      </c>
      <c r="X201" s="298" t="s">
        <v>285</v>
      </c>
      <c r="Y201" s="298" t="s">
        <v>286</v>
      </c>
      <c r="Z201" s="298" t="s">
        <v>52</v>
      </c>
      <c r="AA201" s="234" t="s">
        <v>507</v>
      </c>
    </row>
    <row r="202" ht="15.75" customHeight="1">
      <c r="A202" s="69">
        <v>43509.0</v>
      </c>
      <c r="B202" s="144" t="s">
        <v>406</v>
      </c>
      <c r="C202" s="21">
        <v>7.000145102E9</v>
      </c>
      <c r="D202" s="139" t="s">
        <v>669</v>
      </c>
      <c r="E202" s="23" t="s">
        <v>512</v>
      </c>
      <c r="F202" s="24">
        <v>25.0</v>
      </c>
      <c r="G202" s="25">
        <v>39.0</v>
      </c>
      <c r="H202" s="26">
        <v>975.0</v>
      </c>
      <c r="I202" s="82" t="s">
        <v>43</v>
      </c>
      <c r="J202" s="82" t="s">
        <v>520</v>
      </c>
      <c r="K202" s="30">
        <v>43634.0</v>
      </c>
      <c r="L202" s="413"/>
      <c r="M202" s="413"/>
      <c r="N202" s="342"/>
      <c r="O202" s="414"/>
      <c r="P202" s="342"/>
      <c r="Q202" s="433" t="s">
        <v>284</v>
      </c>
      <c r="R202" s="433">
        <v>31.325</v>
      </c>
      <c r="S202" s="434"/>
      <c r="T202" s="433"/>
      <c r="U202" s="434"/>
      <c r="V202" s="434"/>
      <c r="W202" s="433" t="s">
        <v>50</v>
      </c>
      <c r="X202" s="371" t="s">
        <v>285</v>
      </c>
      <c r="Y202" s="433" t="s">
        <v>286</v>
      </c>
      <c r="Z202" s="433" t="s">
        <v>52</v>
      </c>
      <c r="AA202" s="374" t="s">
        <v>440</v>
      </c>
    </row>
    <row r="203" ht="15.75" customHeight="1">
      <c r="A203" s="69">
        <v>43509.0</v>
      </c>
      <c r="B203" s="144" t="s">
        <v>406</v>
      </c>
      <c r="C203" s="21">
        <v>7.000145102E9</v>
      </c>
      <c r="D203" s="139" t="s">
        <v>670</v>
      </c>
      <c r="E203" s="23" t="s">
        <v>515</v>
      </c>
      <c r="F203" s="24">
        <v>25.0</v>
      </c>
      <c r="G203" s="48">
        <v>43.0</v>
      </c>
      <c r="H203" s="26">
        <v>1075.0</v>
      </c>
      <c r="I203" s="82" t="s">
        <v>43</v>
      </c>
      <c r="J203" s="82" t="s">
        <v>520</v>
      </c>
      <c r="K203" s="30">
        <v>43634.0</v>
      </c>
      <c r="L203" s="413"/>
      <c r="M203" s="413"/>
      <c r="N203" s="342"/>
      <c r="O203" s="414"/>
      <c r="P203" s="342"/>
      <c r="Q203" s="433" t="s">
        <v>284</v>
      </c>
      <c r="R203" s="433">
        <v>31.325</v>
      </c>
      <c r="S203" s="434"/>
      <c r="T203" s="433"/>
      <c r="U203" s="434"/>
      <c r="V203" s="434"/>
      <c r="W203" s="433" t="s">
        <v>50</v>
      </c>
      <c r="X203" s="371" t="s">
        <v>285</v>
      </c>
      <c r="Y203" s="433" t="s">
        <v>286</v>
      </c>
      <c r="Z203" s="433" t="s">
        <v>52</v>
      </c>
      <c r="AA203" s="374" t="s">
        <v>440</v>
      </c>
    </row>
    <row r="204" ht="15.75" customHeight="1">
      <c r="A204" s="69">
        <v>43509.0</v>
      </c>
      <c r="B204" s="144" t="s">
        <v>406</v>
      </c>
      <c r="C204" s="21">
        <v>7.000145102E9</v>
      </c>
      <c r="D204" s="139" t="s">
        <v>671</v>
      </c>
      <c r="E204" s="23" t="s">
        <v>672</v>
      </c>
      <c r="F204" s="24">
        <v>25.0</v>
      </c>
      <c r="G204" s="48">
        <v>775.0</v>
      </c>
      <c r="H204" s="26">
        <v>19375.0</v>
      </c>
      <c r="I204" s="82" t="s">
        <v>43</v>
      </c>
      <c r="J204" s="82" t="s">
        <v>520</v>
      </c>
      <c r="K204" s="30">
        <v>43634.0</v>
      </c>
      <c r="L204" s="413"/>
      <c r="M204" s="413"/>
      <c r="N204" s="342"/>
      <c r="O204" s="414"/>
      <c r="P204" s="342"/>
      <c r="Q204" s="433" t="s">
        <v>284</v>
      </c>
      <c r="R204" s="433">
        <v>31.325</v>
      </c>
      <c r="S204" s="434"/>
      <c r="T204" s="433"/>
      <c r="U204" s="434"/>
      <c r="V204" s="434"/>
      <c r="W204" s="433" t="s">
        <v>50</v>
      </c>
      <c r="X204" s="371" t="s">
        <v>285</v>
      </c>
      <c r="Y204" s="433" t="s">
        <v>286</v>
      </c>
      <c r="Z204" s="433" t="s">
        <v>52</v>
      </c>
      <c r="AA204" s="374" t="s">
        <v>440</v>
      </c>
    </row>
    <row r="205" ht="15.75" customHeight="1">
      <c r="A205" s="69">
        <v>43509.0</v>
      </c>
      <c r="B205" s="144" t="s">
        <v>673</v>
      </c>
      <c r="C205" s="21"/>
      <c r="D205" s="21" t="s">
        <v>674</v>
      </c>
      <c r="E205" s="23" t="s">
        <v>675</v>
      </c>
      <c r="F205" s="24">
        <v>1.0</v>
      </c>
      <c r="G205" s="48">
        <v>765.0</v>
      </c>
      <c r="H205" s="26">
        <v>765.0</v>
      </c>
      <c r="I205" s="82" t="s">
        <v>171</v>
      </c>
      <c r="J205" s="161" t="s">
        <v>676</v>
      </c>
      <c r="K205" s="30">
        <v>43557.0</v>
      </c>
      <c r="L205" s="52"/>
      <c r="M205" s="53"/>
      <c r="N205" s="53"/>
      <c r="O205" s="53"/>
      <c r="P205" s="53"/>
      <c r="Q205" s="54"/>
      <c r="R205" s="54">
        <v>30.77</v>
      </c>
      <c r="S205" s="55">
        <f>H205*R205</f>
        <v>23539.05</v>
      </c>
      <c r="T205" s="56">
        <v>43558.0</v>
      </c>
      <c r="U205" s="55">
        <f>765*30.78</f>
        <v>23546.7</v>
      </c>
      <c r="V205" s="55">
        <v>0.0</v>
      </c>
      <c r="W205" s="54" t="s">
        <v>50</v>
      </c>
      <c r="X205" s="24" t="s">
        <v>285</v>
      </c>
      <c r="Y205" s="54" t="s">
        <v>286</v>
      </c>
      <c r="Z205" s="54" t="s">
        <v>52</v>
      </c>
      <c r="AA205" s="57" t="s">
        <v>398</v>
      </c>
    </row>
    <row r="206" ht="15.75" customHeight="1">
      <c r="A206" s="69">
        <v>43509.0</v>
      </c>
      <c r="B206" s="144" t="s">
        <v>378</v>
      </c>
      <c r="C206" s="21">
        <v>8818.0</v>
      </c>
      <c r="D206" s="21" t="s">
        <v>677</v>
      </c>
      <c r="E206" s="23" t="s">
        <v>380</v>
      </c>
      <c r="F206" s="435">
        <v>200.0</v>
      </c>
      <c r="G206" s="436">
        <v>62.0</v>
      </c>
      <c r="H206" s="26">
        <v>12400.0</v>
      </c>
      <c r="I206" s="82" t="s">
        <v>171</v>
      </c>
      <c r="J206" s="58" t="s">
        <v>678</v>
      </c>
      <c r="K206" s="30">
        <v>43564.0</v>
      </c>
      <c r="L206" s="295">
        <v>43590.0</v>
      </c>
      <c r="M206" s="302">
        <v>43558.0</v>
      </c>
      <c r="N206" s="296" t="s">
        <v>679</v>
      </c>
      <c r="O206" s="296">
        <v>285180.0</v>
      </c>
      <c r="P206" s="302">
        <v>43592.0</v>
      </c>
      <c r="Q206" s="298"/>
      <c r="R206" s="298">
        <v>30.77</v>
      </c>
      <c r="S206" s="299">
        <f t="shared" ref="S206:S207" si="4">R206*H206</f>
        <v>381548</v>
      </c>
      <c r="T206" s="300">
        <v>43593.0</v>
      </c>
      <c r="U206" s="299">
        <f>12383.53*30.9</f>
        <v>382651.077</v>
      </c>
      <c r="V206" s="299">
        <f>(10+6.47)*30.9</f>
        <v>508.923</v>
      </c>
      <c r="W206" s="298" t="s">
        <v>50</v>
      </c>
      <c r="X206" s="24" t="s">
        <v>285</v>
      </c>
      <c r="Y206" s="298" t="s">
        <v>286</v>
      </c>
      <c r="Z206" s="298" t="s">
        <v>52</v>
      </c>
      <c r="AA206" s="234" t="s">
        <v>305</v>
      </c>
    </row>
    <row r="207" ht="15.75" customHeight="1">
      <c r="A207" s="110">
        <v>43509.0</v>
      </c>
      <c r="B207" s="144" t="s">
        <v>378</v>
      </c>
      <c r="C207" s="21">
        <v>8818.0</v>
      </c>
      <c r="D207" s="21" t="s">
        <v>677</v>
      </c>
      <c r="E207" s="23" t="s">
        <v>383</v>
      </c>
      <c r="F207" s="435">
        <v>200.0</v>
      </c>
      <c r="G207" s="48">
        <v>0.0</v>
      </c>
      <c r="H207" s="26">
        <v>0.0</v>
      </c>
      <c r="I207" s="431" t="s">
        <v>171</v>
      </c>
      <c r="J207" s="58" t="s">
        <v>678</v>
      </c>
      <c r="K207" s="30">
        <v>43564.0</v>
      </c>
      <c r="L207" s="306"/>
      <c r="M207" s="305"/>
      <c r="N207" s="306"/>
      <c r="O207" s="306"/>
      <c r="P207" s="306"/>
      <c r="Q207" s="298"/>
      <c r="R207" s="298">
        <v>30.77</v>
      </c>
      <c r="S207" s="299">
        <f t="shared" si="4"/>
        <v>0</v>
      </c>
      <c r="T207" s="300">
        <v>43593.0</v>
      </c>
      <c r="U207" s="299"/>
      <c r="V207" s="299"/>
      <c r="W207" s="298" t="s">
        <v>50</v>
      </c>
      <c r="X207" s="24" t="s">
        <v>285</v>
      </c>
      <c r="Y207" s="298" t="s">
        <v>286</v>
      </c>
      <c r="Z207" s="298" t="s">
        <v>52</v>
      </c>
      <c r="AA207" s="234" t="s">
        <v>305</v>
      </c>
    </row>
    <row r="208" ht="15.75" customHeight="1">
      <c r="A208" s="69">
        <v>43511.0</v>
      </c>
      <c r="B208" s="265" t="s">
        <v>77</v>
      </c>
      <c r="C208" s="252"/>
      <c r="D208" s="252" t="s">
        <v>680</v>
      </c>
      <c r="E208" s="23" t="s">
        <v>318</v>
      </c>
      <c r="F208" s="253">
        <v>20.0</v>
      </c>
      <c r="G208" s="254">
        <v>0.0</v>
      </c>
      <c r="H208" s="255">
        <v>0.0</v>
      </c>
      <c r="I208" s="266" t="s">
        <v>43</v>
      </c>
      <c r="J208" s="333" t="s">
        <v>479</v>
      </c>
      <c r="K208" s="258">
        <v>43522.0</v>
      </c>
      <c r="L208" s="260">
        <v>43555.0</v>
      </c>
      <c r="M208" s="260">
        <v>43519.0</v>
      </c>
      <c r="N208" s="261" t="s">
        <v>681</v>
      </c>
      <c r="O208" s="272">
        <v>142342.0</v>
      </c>
      <c r="P208" s="260">
        <v>43649.0</v>
      </c>
      <c r="Q208" s="253" t="s">
        <v>578</v>
      </c>
      <c r="R208" s="253"/>
      <c r="S208" s="262"/>
      <c r="T208" s="253"/>
      <c r="U208" s="262"/>
      <c r="V208" s="262"/>
      <c r="W208" s="253" t="s">
        <v>50</v>
      </c>
      <c r="X208" s="253" t="s">
        <v>285</v>
      </c>
      <c r="Y208" s="253" t="s">
        <v>51</v>
      </c>
      <c r="Z208" s="253" t="s">
        <v>52</v>
      </c>
      <c r="AA208" s="264"/>
    </row>
    <row r="209" ht="15.75" customHeight="1">
      <c r="A209" s="69">
        <v>43513.0</v>
      </c>
      <c r="B209" s="70" t="s">
        <v>406</v>
      </c>
      <c r="C209" s="292">
        <v>7.000145208E9</v>
      </c>
      <c r="D209" s="292" t="s">
        <v>682</v>
      </c>
      <c r="E209" s="23" t="s">
        <v>587</v>
      </c>
      <c r="F209" s="24">
        <v>3.0</v>
      </c>
      <c r="G209" s="48">
        <v>15.0</v>
      </c>
      <c r="H209" s="60">
        <v>45.0</v>
      </c>
      <c r="I209" s="87" t="s">
        <v>43</v>
      </c>
      <c r="J209" s="407" t="s">
        <v>513</v>
      </c>
      <c r="K209" s="29">
        <v>43529.0</v>
      </c>
      <c r="L209" s="437">
        <v>43616.0</v>
      </c>
      <c r="M209" s="295">
        <v>43528.0</v>
      </c>
      <c r="N209" s="296" t="s">
        <v>683</v>
      </c>
      <c r="O209" s="297">
        <v>4491.0</v>
      </c>
      <c r="P209" s="302">
        <v>43616.0</v>
      </c>
      <c r="Q209" s="298"/>
      <c r="R209" s="298">
        <v>30.74</v>
      </c>
      <c r="S209" s="299"/>
      <c r="T209" s="145">
        <v>43588.0</v>
      </c>
      <c r="U209" s="299"/>
      <c r="V209" s="299"/>
      <c r="W209" s="298" t="s">
        <v>50</v>
      </c>
      <c r="X209" s="298" t="s">
        <v>285</v>
      </c>
      <c r="Y209" s="298" t="s">
        <v>51</v>
      </c>
      <c r="Z209" s="298" t="s">
        <v>52</v>
      </c>
      <c r="AA209" s="234" t="s">
        <v>305</v>
      </c>
    </row>
    <row r="210" ht="15.75" customHeight="1">
      <c r="A210" s="69">
        <v>43513.0</v>
      </c>
      <c r="B210" s="70" t="s">
        <v>406</v>
      </c>
      <c r="C210" s="292">
        <v>7.000145208E9</v>
      </c>
      <c r="D210" s="292" t="s">
        <v>682</v>
      </c>
      <c r="E210" s="23" t="s">
        <v>684</v>
      </c>
      <c r="F210" s="24">
        <v>1.0</v>
      </c>
      <c r="G210" s="48">
        <v>129.0</v>
      </c>
      <c r="H210" s="60">
        <v>129.0</v>
      </c>
      <c r="I210" s="87" t="s">
        <v>43</v>
      </c>
      <c r="J210" s="407" t="s">
        <v>513</v>
      </c>
      <c r="K210" s="29">
        <v>43529.0</v>
      </c>
      <c r="L210" s="437">
        <v>43616.0</v>
      </c>
      <c r="M210" s="295">
        <v>43528.0</v>
      </c>
      <c r="N210" s="296" t="s">
        <v>683</v>
      </c>
      <c r="O210" s="296"/>
      <c r="P210" s="302">
        <v>43616.0</v>
      </c>
      <c r="Q210" s="298"/>
      <c r="R210" s="298">
        <v>30.74</v>
      </c>
      <c r="S210" s="299"/>
      <c r="T210" s="145">
        <v>43588.0</v>
      </c>
      <c r="U210" s="299"/>
      <c r="V210" s="299"/>
      <c r="W210" s="298" t="s">
        <v>50</v>
      </c>
      <c r="X210" s="298" t="s">
        <v>285</v>
      </c>
      <c r="Y210" s="298" t="s">
        <v>51</v>
      </c>
      <c r="Z210" s="298" t="s">
        <v>52</v>
      </c>
      <c r="AA210" s="234" t="s">
        <v>305</v>
      </c>
    </row>
    <row r="211" ht="15.75" customHeight="1">
      <c r="A211" s="69">
        <v>43513.0</v>
      </c>
      <c r="B211" s="70" t="s">
        <v>406</v>
      </c>
      <c r="C211" s="292">
        <v>7.000145208E9</v>
      </c>
      <c r="D211" s="292" t="s">
        <v>682</v>
      </c>
      <c r="E211" s="23" t="s">
        <v>685</v>
      </c>
      <c r="F211" s="24">
        <v>1.0</v>
      </c>
      <c r="G211" s="48">
        <v>71.0</v>
      </c>
      <c r="H211" s="60">
        <v>71.0</v>
      </c>
      <c r="I211" s="87" t="s">
        <v>43</v>
      </c>
      <c r="J211" s="431" t="s">
        <v>520</v>
      </c>
      <c r="K211" s="29">
        <v>43546.0</v>
      </c>
      <c r="L211" s="437">
        <v>43616.0</v>
      </c>
      <c r="M211" s="295">
        <v>43542.0</v>
      </c>
      <c r="N211" s="296" t="s">
        <v>686</v>
      </c>
      <c r="O211" s="297">
        <v>1956.0</v>
      </c>
      <c r="P211" s="302">
        <v>43616.0</v>
      </c>
      <c r="Q211" s="298"/>
      <c r="R211" s="298">
        <v>30.825</v>
      </c>
      <c r="S211" s="299"/>
      <c r="T211" s="145">
        <v>43588.0</v>
      </c>
      <c r="U211" s="299"/>
      <c r="V211" s="299"/>
      <c r="W211" s="298" t="s">
        <v>50</v>
      </c>
      <c r="X211" s="298" t="s">
        <v>285</v>
      </c>
      <c r="Y211" s="298" t="s">
        <v>51</v>
      </c>
      <c r="Z211" s="298" t="s">
        <v>52</v>
      </c>
      <c r="AA211" s="234" t="s">
        <v>305</v>
      </c>
    </row>
    <row r="212" ht="15.75" customHeight="1">
      <c r="A212" s="69">
        <v>43514.0</v>
      </c>
      <c r="B212" s="70" t="s">
        <v>119</v>
      </c>
      <c r="C212" s="21" t="s">
        <v>687</v>
      </c>
      <c r="D212" s="21" t="s">
        <v>688</v>
      </c>
      <c r="E212" s="23" t="s">
        <v>161</v>
      </c>
      <c r="F212" s="82">
        <v>10.0</v>
      </c>
      <c r="G212" s="47">
        <v>485.0</v>
      </c>
      <c r="H212" s="165">
        <v>4850.0</v>
      </c>
      <c r="I212" s="298" t="s">
        <v>171</v>
      </c>
      <c r="J212" s="431" t="s">
        <v>122</v>
      </c>
      <c r="K212" s="30">
        <v>43564.0</v>
      </c>
      <c r="L212" s="437">
        <v>43585.0</v>
      </c>
      <c r="M212" s="295">
        <v>43545.0</v>
      </c>
      <c r="N212" s="296" t="s">
        <v>689</v>
      </c>
      <c r="O212" s="297">
        <v>1090921.0</v>
      </c>
      <c r="P212" s="302">
        <v>43586.0</v>
      </c>
      <c r="Q212" s="371"/>
      <c r="R212" s="371">
        <v>30.77</v>
      </c>
      <c r="S212" s="372">
        <f t="shared" ref="S212:S218" si="5">R212*H212</f>
        <v>149234.5</v>
      </c>
      <c r="T212" s="433" t="s">
        <v>690</v>
      </c>
      <c r="U212" s="372"/>
      <c r="V212" s="372"/>
      <c r="W212" s="371" t="s">
        <v>50</v>
      </c>
      <c r="X212" s="371" t="s">
        <v>285</v>
      </c>
      <c r="Y212" s="371" t="s">
        <v>51</v>
      </c>
      <c r="Z212" s="371" t="s">
        <v>52</v>
      </c>
      <c r="AA212" s="374" t="s">
        <v>440</v>
      </c>
    </row>
    <row r="213" ht="15.75" customHeight="1">
      <c r="A213" s="69">
        <v>43514.0</v>
      </c>
      <c r="B213" s="70" t="s">
        <v>119</v>
      </c>
      <c r="C213" s="21" t="s">
        <v>687</v>
      </c>
      <c r="D213" s="21" t="s">
        <v>688</v>
      </c>
      <c r="E213" s="23" t="s">
        <v>166</v>
      </c>
      <c r="F213" s="82">
        <v>5.0</v>
      </c>
      <c r="G213" s="47">
        <v>880.0</v>
      </c>
      <c r="H213" s="165">
        <v>4400.0</v>
      </c>
      <c r="I213" s="298" t="s">
        <v>171</v>
      </c>
      <c r="J213" s="431" t="s">
        <v>122</v>
      </c>
      <c r="K213" s="30">
        <v>43564.0</v>
      </c>
      <c r="L213" s="437">
        <v>43585.0</v>
      </c>
      <c r="M213" s="295">
        <v>43545.0</v>
      </c>
      <c r="N213" s="296" t="s">
        <v>689</v>
      </c>
      <c r="O213" s="296"/>
      <c r="P213" s="302">
        <v>43586.0</v>
      </c>
      <c r="Q213" s="371"/>
      <c r="R213" s="371">
        <v>30.77</v>
      </c>
      <c r="S213" s="372">
        <f t="shared" si="5"/>
        <v>135388</v>
      </c>
      <c r="T213" s="373">
        <v>43615.0</v>
      </c>
      <c r="U213" s="372"/>
      <c r="V213" s="372"/>
      <c r="W213" s="371" t="s">
        <v>50</v>
      </c>
      <c r="X213" s="371" t="s">
        <v>285</v>
      </c>
      <c r="Y213" s="371" t="s">
        <v>51</v>
      </c>
      <c r="Z213" s="371" t="s">
        <v>52</v>
      </c>
      <c r="AA213" s="374" t="s">
        <v>440</v>
      </c>
    </row>
    <row r="214" ht="15.75" customHeight="1">
      <c r="A214" s="69">
        <v>43514.0</v>
      </c>
      <c r="B214" s="70" t="s">
        <v>119</v>
      </c>
      <c r="C214" s="21" t="s">
        <v>687</v>
      </c>
      <c r="D214" s="21" t="s">
        <v>688</v>
      </c>
      <c r="E214" s="23" t="s">
        <v>152</v>
      </c>
      <c r="F214" s="82">
        <v>12.0</v>
      </c>
      <c r="G214" s="47">
        <v>1045.0</v>
      </c>
      <c r="H214" s="165">
        <v>12540.0</v>
      </c>
      <c r="I214" s="298" t="s">
        <v>171</v>
      </c>
      <c r="J214" s="431" t="s">
        <v>122</v>
      </c>
      <c r="K214" s="30">
        <v>43564.0</v>
      </c>
      <c r="L214" s="437">
        <v>43585.0</v>
      </c>
      <c r="M214" s="295">
        <v>43545.0</v>
      </c>
      <c r="N214" s="296" t="s">
        <v>689</v>
      </c>
      <c r="O214" s="296"/>
      <c r="P214" s="302">
        <v>43586.0</v>
      </c>
      <c r="Q214" s="54"/>
      <c r="R214" s="54">
        <v>30.77</v>
      </c>
      <c r="S214" s="55">
        <f t="shared" si="5"/>
        <v>385855.8</v>
      </c>
      <c r="T214" s="56">
        <v>43563.0</v>
      </c>
      <c r="U214" s="55">
        <f>31736.11*30.775</f>
        <v>976678.7853</v>
      </c>
      <c r="V214" s="55">
        <f>(31764-31736.11)*30.775</f>
        <v>858.31475</v>
      </c>
      <c r="W214" s="54" t="s">
        <v>50</v>
      </c>
      <c r="X214" s="24" t="s">
        <v>285</v>
      </c>
      <c r="Y214" s="54" t="s">
        <v>51</v>
      </c>
      <c r="Z214" s="54" t="s">
        <v>52</v>
      </c>
      <c r="AA214" s="57" t="s">
        <v>398</v>
      </c>
    </row>
    <row r="215" ht="15.75" customHeight="1">
      <c r="A215" s="69">
        <v>43514.0</v>
      </c>
      <c r="B215" s="70" t="s">
        <v>119</v>
      </c>
      <c r="C215" s="21" t="s">
        <v>687</v>
      </c>
      <c r="D215" s="21" t="s">
        <v>688</v>
      </c>
      <c r="E215" s="23" t="s">
        <v>414</v>
      </c>
      <c r="F215" s="82">
        <v>8.0</v>
      </c>
      <c r="G215" s="47">
        <v>118.0</v>
      </c>
      <c r="H215" s="165">
        <v>944.0</v>
      </c>
      <c r="I215" s="298" t="s">
        <v>171</v>
      </c>
      <c r="J215" s="431" t="s">
        <v>122</v>
      </c>
      <c r="K215" s="30">
        <v>43564.0</v>
      </c>
      <c r="L215" s="437">
        <v>43585.0</v>
      </c>
      <c r="M215" s="295">
        <v>43545.0</v>
      </c>
      <c r="N215" s="296" t="s">
        <v>689</v>
      </c>
      <c r="O215" s="296"/>
      <c r="P215" s="302">
        <v>43586.0</v>
      </c>
      <c r="Q215" s="54"/>
      <c r="R215" s="54">
        <v>30.77</v>
      </c>
      <c r="S215" s="55">
        <f t="shared" si="5"/>
        <v>29046.88</v>
      </c>
      <c r="T215" s="56">
        <v>43563.0</v>
      </c>
      <c r="U215" s="55"/>
      <c r="V215" s="55"/>
      <c r="W215" s="54" t="s">
        <v>50</v>
      </c>
      <c r="X215" s="24" t="s">
        <v>285</v>
      </c>
      <c r="Y215" s="54" t="s">
        <v>51</v>
      </c>
      <c r="Z215" s="54" t="s">
        <v>52</v>
      </c>
      <c r="AA215" s="57" t="s">
        <v>398</v>
      </c>
    </row>
    <row r="216" ht="15.75" customHeight="1">
      <c r="A216" s="69">
        <v>43514.0</v>
      </c>
      <c r="B216" s="70" t="s">
        <v>119</v>
      </c>
      <c r="C216" s="21" t="s">
        <v>687</v>
      </c>
      <c r="D216" s="21" t="s">
        <v>688</v>
      </c>
      <c r="E216" s="23" t="s">
        <v>415</v>
      </c>
      <c r="F216" s="82">
        <v>6.0</v>
      </c>
      <c r="G216" s="47">
        <v>335.0</v>
      </c>
      <c r="H216" s="165">
        <v>2010.0</v>
      </c>
      <c r="I216" s="298" t="s">
        <v>171</v>
      </c>
      <c r="J216" s="438" t="s">
        <v>122</v>
      </c>
      <c r="K216" s="30">
        <v>43564.0</v>
      </c>
      <c r="L216" s="437">
        <v>43585.0</v>
      </c>
      <c r="M216" s="295">
        <v>43545.0</v>
      </c>
      <c r="N216" s="296" t="s">
        <v>689</v>
      </c>
      <c r="O216" s="296"/>
      <c r="P216" s="302">
        <v>43586.0</v>
      </c>
      <c r="Q216" s="54"/>
      <c r="R216" s="54">
        <v>30.77</v>
      </c>
      <c r="S216" s="55">
        <f t="shared" si="5"/>
        <v>61847.7</v>
      </c>
      <c r="T216" s="56">
        <v>43563.0</v>
      </c>
      <c r="U216" s="55"/>
      <c r="V216" s="55"/>
      <c r="W216" s="54" t="s">
        <v>50</v>
      </c>
      <c r="X216" s="24" t="s">
        <v>285</v>
      </c>
      <c r="Y216" s="54" t="s">
        <v>51</v>
      </c>
      <c r="Z216" s="54" t="s">
        <v>52</v>
      </c>
      <c r="AA216" s="57" t="s">
        <v>398</v>
      </c>
    </row>
    <row r="217" ht="15.75" customHeight="1">
      <c r="A217" s="69">
        <v>43514.0</v>
      </c>
      <c r="B217" s="70" t="s">
        <v>119</v>
      </c>
      <c r="C217" s="21" t="s">
        <v>687</v>
      </c>
      <c r="D217" s="21" t="s">
        <v>688</v>
      </c>
      <c r="E217" s="23" t="s">
        <v>325</v>
      </c>
      <c r="F217" s="82">
        <v>8.0</v>
      </c>
      <c r="G217" s="47">
        <v>577.0</v>
      </c>
      <c r="H217" s="165">
        <v>4616.0</v>
      </c>
      <c r="I217" s="298" t="s">
        <v>171</v>
      </c>
      <c r="J217" s="82" t="s">
        <v>122</v>
      </c>
      <c r="K217" s="30">
        <v>43564.0</v>
      </c>
      <c r="L217" s="437">
        <v>43585.0</v>
      </c>
      <c r="M217" s="295">
        <v>43545.0</v>
      </c>
      <c r="N217" s="296" t="s">
        <v>689</v>
      </c>
      <c r="O217" s="296"/>
      <c r="P217" s="302">
        <v>43586.0</v>
      </c>
      <c r="Q217" s="298"/>
      <c r="R217" s="298">
        <v>30.77</v>
      </c>
      <c r="S217" s="299">
        <f t="shared" si="5"/>
        <v>142034.32</v>
      </c>
      <c r="T217" s="145">
        <v>43589.0</v>
      </c>
      <c r="U217" s="299">
        <f>16625.68*30.875</f>
        <v>513317.87</v>
      </c>
      <c r="V217" s="299">
        <f>(16646-16625.68)*30.875</f>
        <v>627.38</v>
      </c>
      <c r="W217" s="298" t="s">
        <v>50</v>
      </c>
      <c r="X217" s="298" t="s">
        <v>285</v>
      </c>
      <c r="Y217" s="298" t="s">
        <v>51</v>
      </c>
      <c r="Z217" s="298" t="s">
        <v>52</v>
      </c>
      <c r="AA217" s="234" t="s">
        <v>305</v>
      </c>
    </row>
    <row r="218" ht="15.75" customHeight="1">
      <c r="A218" s="69">
        <v>43514.0</v>
      </c>
      <c r="B218" s="70" t="s">
        <v>119</v>
      </c>
      <c r="C218" s="21" t="s">
        <v>687</v>
      </c>
      <c r="D218" s="21" t="s">
        <v>688</v>
      </c>
      <c r="E218" s="23" t="s">
        <v>121</v>
      </c>
      <c r="F218" s="82">
        <v>25.0</v>
      </c>
      <c r="G218" s="47">
        <v>359.0</v>
      </c>
      <c r="H218" s="165">
        <v>8975.0</v>
      </c>
      <c r="I218" s="298" t="s">
        <v>171</v>
      </c>
      <c r="J218" s="82" t="s">
        <v>122</v>
      </c>
      <c r="K218" s="30">
        <v>43564.0</v>
      </c>
      <c r="L218" s="437">
        <v>43585.0</v>
      </c>
      <c r="M218" s="295">
        <v>43545.0</v>
      </c>
      <c r="N218" s="296" t="s">
        <v>689</v>
      </c>
      <c r="O218" s="296"/>
      <c r="P218" s="302">
        <v>43586.0</v>
      </c>
      <c r="Q218" s="371"/>
      <c r="R218" s="371">
        <v>30.77</v>
      </c>
      <c r="S218" s="372">
        <f t="shared" si="5"/>
        <v>276160.75</v>
      </c>
      <c r="T218" s="373">
        <v>43615.0</v>
      </c>
      <c r="U218" s="372"/>
      <c r="V218" s="372"/>
      <c r="W218" s="371" t="s">
        <v>50</v>
      </c>
      <c r="X218" s="371" t="s">
        <v>285</v>
      </c>
      <c r="Y218" s="371" t="s">
        <v>51</v>
      </c>
      <c r="Z218" s="371" t="s">
        <v>52</v>
      </c>
      <c r="AA218" s="374" t="s">
        <v>440</v>
      </c>
    </row>
    <row r="219" ht="15.75" customHeight="1">
      <c r="A219" s="69">
        <v>43515.0</v>
      </c>
      <c r="B219" s="70" t="s">
        <v>101</v>
      </c>
      <c r="C219" s="21"/>
      <c r="D219" s="21" t="s">
        <v>691</v>
      </c>
      <c r="E219" s="23" t="s">
        <v>692</v>
      </c>
      <c r="F219" s="24">
        <v>4.0</v>
      </c>
      <c r="G219" s="48">
        <v>399.0</v>
      </c>
      <c r="H219" s="26">
        <v>1596.0</v>
      </c>
      <c r="I219" s="87" t="s">
        <v>303</v>
      </c>
      <c r="J219" s="50" t="s">
        <v>534</v>
      </c>
      <c r="K219" s="29">
        <v>43531.0</v>
      </c>
      <c r="L219" s="295">
        <v>43529.0</v>
      </c>
      <c r="M219" s="295">
        <v>43519.0</v>
      </c>
      <c r="N219" s="296" t="s">
        <v>693</v>
      </c>
      <c r="O219" s="297">
        <v>43260.0</v>
      </c>
      <c r="P219" s="295">
        <v>43531.0</v>
      </c>
      <c r="Q219" s="54"/>
      <c r="R219" s="54">
        <v>30.74</v>
      </c>
      <c r="S219" s="55"/>
      <c r="T219" s="56">
        <v>43565.0</v>
      </c>
      <c r="U219" s="38"/>
      <c r="V219" s="38"/>
      <c r="W219" s="54" t="s">
        <v>50</v>
      </c>
      <c r="X219" s="24" t="s">
        <v>285</v>
      </c>
      <c r="Y219" s="54" t="s">
        <v>51</v>
      </c>
      <c r="Z219" s="54" t="s">
        <v>52</v>
      </c>
      <c r="AA219" s="57" t="s">
        <v>398</v>
      </c>
    </row>
    <row r="220" ht="15.75" customHeight="1">
      <c r="A220" s="69">
        <v>43515.0</v>
      </c>
      <c r="B220" s="70" t="s">
        <v>101</v>
      </c>
      <c r="C220" s="21"/>
      <c r="D220" s="21" t="s">
        <v>694</v>
      </c>
      <c r="E220" s="23" t="s">
        <v>695</v>
      </c>
      <c r="F220" s="24">
        <v>2.0</v>
      </c>
      <c r="G220" s="48">
        <v>399.0</v>
      </c>
      <c r="H220" s="26">
        <v>798.0</v>
      </c>
      <c r="I220" s="87" t="s">
        <v>303</v>
      </c>
      <c r="J220" s="50" t="s">
        <v>534</v>
      </c>
      <c r="K220" s="29">
        <v>43531.0</v>
      </c>
      <c r="L220" s="295">
        <v>43560.0</v>
      </c>
      <c r="M220" s="295">
        <v>43529.0</v>
      </c>
      <c r="N220" s="296" t="s">
        <v>696</v>
      </c>
      <c r="O220" s="297">
        <v>21630.0</v>
      </c>
      <c r="P220" s="295">
        <v>43558.0</v>
      </c>
      <c r="Q220" s="54"/>
      <c r="R220" s="54">
        <v>30.74</v>
      </c>
      <c r="S220" s="55"/>
      <c r="T220" s="56">
        <v>43565.0</v>
      </c>
      <c r="U220" s="38"/>
      <c r="V220" s="38"/>
      <c r="W220" s="54" t="s">
        <v>50</v>
      </c>
      <c r="X220" s="24" t="s">
        <v>285</v>
      </c>
      <c r="Y220" s="54" t="s">
        <v>51</v>
      </c>
      <c r="Z220" s="54" t="s">
        <v>52</v>
      </c>
      <c r="AA220" s="57" t="s">
        <v>398</v>
      </c>
    </row>
    <row r="221" ht="15.75" customHeight="1">
      <c r="A221" s="69">
        <v>43515.0</v>
      </c>
      <c r="B221" s="144" t="s">
        <v>464</v>
      </c>
      <c r="C221" s="252" t="s">
        <v>697</v>
      </c>
      <c r="D221" s="252" t="s">
        <v>698</v>
      </c>
      <c r="E221" s="23" t="s">
        <v>699</v>
      </c>
      <c r="F221" s="253">
        <v>1.0</v>
      </c>
      <c r="G221" s="254">
        <v>470.0</v>
      </c>
      <c r="H221" s="336">
        <v>470.0</v>
      </c>
      <c r="I221" s="266" t="s">
        <v>171</v>
      </c>
      <c r="J221" s="253" t="s">
        <v>467</v>
      </c>
      <c r="K221" s="258">
        <v>43550.0</v>
      </c>
      <c r="L221" s="339"/>
      <c r="M221" s="331"/>
      <c r="N221" s="331"/>
      <c r="O221" s="331"/>
      <c r="P221" s="331"/>
      <c r="Q221" s="253"/>
      <c r="R221" s="253">
        <v>30.825</v>
      </c>
      <c r="S221" s="262"/>
      <c r="T221" s="307"/>
      <c r="U221" s="262">
        <f>495*30.76-200</f>
        <v>15026.2</v>
      </c>
      <c r="V221" s="262">
        <v>200.0</v>
      </c>
      <c r="W221" s="253" t="s">
        <v>50</v>
      </c>
      <c r="X221" s="253" t="s">
        <v>285</v>
      </c>
      <c r="Y221" s="253" t="s">
        <v>286</v>
      </c>
      <c r="Z221" s="253" t="s">
        <v>52</v>
      </c>
      <c r="AA221" s="264"/>
    </row>
    <row r="222" ht="15.75" customHeight="1">
      <c r="A222" s="69">
        <v>43515.0</v>
      </c>
      <c r="B222" s="147" t="s">
        <v>464</v>
      </c>
      <c r="C222" s="252" t="s">
        <v>697</v>
      </c>
      <c r="D222" s="252" t="s">
        <v>698</v>
      </c>
      <c r="E222" s="23" t="s">
        <v>700</v>
      </c>
      <c r="F222" s="253">
        <v>1.0</v>
      </c>
      <c r="G222" s="254">
        <f>25</f>
        <v>25</v>
      </c>
      <c r="H222" s="336">
        <v>25.0</v>
      </c>
      <c r="I222" s="266" t="s">
        <v>171</v>
      </c>
      <c r="J222" s="395" t="s">
        <v>467</v>
      </c>
      <c r="K222" s="258">
        <v>43550.0</v>
      </c>
      <c r="L222" s="339"/>
      <c r="M222" s="331"/>
      <c r="N222" s="331"/>
      <c r="O222" s="331"/>
      <c r="P222" s="331"/>
      <c r="Q222" s="253"/>
      <c r="R222" s="253">
        <v>30.825</v>
      </c>
      <c r="S222" s="262"/>
      <c r="T222" s="253"/>
      <c r="U222" s="262"/>
      <c r="V222" s="262"/>
      <c r="W222" s="253" t="s">
        <v>50</v>
      </c>
      <c r="X222" s="253" t="s">
        <v>285</v>
      </c>
      <c r="Y222" s="253" t="s">
        <v>286</v>
      </c>
      <c r="Z222" s="253" t="s">
        <v>52</v>
      </c>
      <c r="AA222" s="264"/>
    </row>
    <row r="223" ht="15.75" customHeight="1">
      <c r="A223" s="69">
        <v>43515.0</v>
      </c>
      <c r="B223" s="21" t="s">
        <v>101</v>
      </c>
      <c r="C223" s="21"/>
      <c r="D223" s="21" t="s">
        <v>701</v>
      </c>
      <c r="E223" s="23" t="s">
        <v>702</v>
      </c>
      <c r="F223" s="24">
        <v>2.0</v>
      </c>
      <c r="G223" s="47">
        <v>994.0</v>
      </c>
      <c r="H223" s="60">
        <v>1988.0</v>
      </c>
      <c r="I223" s="87" t="s">
        <v>703</v>
      </c>
      <c r="J223" s="439" t="s">
        <v>534</v>
      </c>
      <c r="K223" s="29">
        <v>43536.0</v>
      </c>
      <c r="L223" s="295">
        <v>43560.0</v>
      </c>
      <c r="M223" s="295">
        <v>43531.0</v>
      </c>
      <c r="N223" s="296" t="s">
        <v>704</v>
      </c>
      <c r="O223" s="297">
        <v>56603.0</v>
      </c>
      <c r="P223" s="295">
        <v>43564.0</v>
      </c>
      <c r="Q223" s="298"/>
      <c r="R223" s="298">
        <v>30.79</v>
      </c>
      <c r="S223" s="299"/>
      <c r="T223" s="300">
        <v>43587.0</v>
      </c>
      <c r="U223" s="299"/>
      <c r="V223" s="299"/>
      <c r="W223" s="298" t="s">
        <v>50</v>
      </c>
      <c r="X223" s="298" t="s">
        <v>285</v>
      </c>
      <c r="Y223" s="298" t="s">
        <v>51</v>
      </c>
      <c r="Z223" s="298" t="s">
        <v>52</v>
      </c>
      <c r="AA223" s="234" t="s">
        <v>305</v>
      </c>
    </row>
    <row r="224" ht="15.75" customHeight="1">
      <c r="A224" s="69">
        <v>43516.0</v>
      </c>
      <c r="B224" s="147" t="s">
        <v>167</v>
      </c>
      <c r="C224" s="429"/>
      <c r="D224" s="429" t="s">
        <v>705</v>
      </c>
      <c r="E224" s="23" t="s">
        <v>501</v>
      </c>
      <c r="F224" s="440">
        <v>2.0</v>
      </c>
      <c r="G224" s="441">
        <v>132.0</v>
      </c>
      <c r="H224" s="442">
        <v>264.0</v>
      </c>
      <c r="I224" s="443" t="s">
        <v>105</v>
      </c>
      <c r="J224" s="444" t="s">
        <v>172</v>
      </c>
      <c r="K224" s="445">
        <v>43538.0</v>
      </c>
      <c r="L224" s="446">
        <v>43590.0</v>
      </c>
      <c r="M224" s="447" t="s">
        <v>706</v>
      </c>
      <c r="N224" s="447" t="s">
        <v>706</v>
      </c>
      <c r="O224" s="447"/>
      <c r="P224" s="446">
        <v>43592.0</v>
      </c>
      <c r="Q224" s="440"/>
      <c r="R224" s="440"/>
      <c r="S224" s="448"/>
      <c r="T224" s="440"/>
      <c r="U224" s="448"/>
      <c r="V224" s="262"/>
      <c r="W224" s="253" t="s">
        <v>50</v>
      </c>
      <c r="X224" s="253" t="s">
        <v>285</v>
      </c>
      <c r="Y224" s="440" t="s">
        <v>286</v>
      </c>
      <c r="Z224" s="440" t="s">
        <v>52</v>
      </c>
      <c r="AA224" s="449"/>
    </row>
    <row r="225" ht="15.75" customHeight="1">
      <c r="A225" s="69">
        <v>43516.0</v>
      </c>
      <c r="B225" s="147" t="s">
        <v>167</v>
      </c>
      <c r="C225" s="252"/>
      <c r="D225" s="252" t="s">
        <v>705</v>
      </c>
      <c r="E225" s="23" t="s">
        <v>707</v>
      </c>
      <c r="F225" s="253">
        <v>2.0</v>
      </c>
      <c r="G225" s="254">
        <v>1155.0</v>
      </c>
      <c r="H225" s="336">
        <v>2310.0</v>
      </c>
      <c r="I225" s="266" t="s">
        <v>105</v>
      </c>
      <c r="J225" s="257" t="s">
        <v>172</v>
      </c>
      <c r="K225" s="258">
        <v>43538.0</v>
      </c>
      <c r="L225" s="339"/>
      <c r="M225" s="331"/>
      <c r="N225" s="331"/>
      <c r="O225" s="331"/>
      <c r="P225" s="331"/>
      <c r="Q225" s="253"/>
      <c r="R225" s="253"/>
      <c r="S225" s="262"/>
      <c r="T225" s="253"/>
      <c r="U225" s="262">
        <f>(2590-6.5)*30.76</f>
        <v>79468.46</v>
      </c>
      <c r="V225" s="262">
        <f>(40+6.5)*30.76</f>
        <v>1430.34</v>
      </c>
      <c r="W225" s="253" t="s">
        <v>50</v>
      </c>
      <c r="X225" s="253" t="s">
        <v>285</v>
      </c>
      <c r="Y225" s="253" t="s">
        <v>286</v>
      </c>
      <c r="Z225" s="253" t="s">
        <v>52</v>
      </c>
      <c r="AA225" s="264"/>
    </row>
    <row r="226" ht="15.75" customHeight="1">
      <c r="A226" s="69">
        <v>43516.0</v>
      </c>
      <c r="B226" s="147" t="s">
        <v>167</v>
      </c>
      <c r="C226" s="252"/>
      <c r="D226" s="252" t="s">
        <v>705</v>
      </c>
      <c r="E226" s="23" t="s">
        <v>498</v>
      </c>
      <c r="F226" s="253">
        <v>2.0</v>
      </c>
      <c r="G226" s="254">
        <v>28.0</v>
      </c>
      <c r="H226" s="336">
        <v>56.0</v>
      </c>
      <c r="I226" s="266" t="s">
        <v>105</v>
      </c>
      <c r="J226" s="257" t="s">
        <v>172</v>
      </c>
      <c r="K226" s="258">
        <v>43538.0</v>
      </c>
      <c r="L226" s="339"/>
      <c r="M226" s="331"/>
      <c r="N226" s="331"/>
      <c r="O226" s="331"/>
      <c r="P226" s="331"/>
      <c r="Q226" s="253"/>
      <c r="R226" s="253"/>
      <c r="S226" s="262"/>
      <c r="T226" s="253"/>
      <c r="U226" s="262"/>
      <c r="V226" s="262"/>
      <c r="W226" s="253" t="s">
        <v>50</v>
      </c>
      <c r="X226" s="253" t="s">
        <v>285</v>
      </c>
      <c r="Y226" s="253" t="s">
        <v>286</v>
      </c>
      <c r="Z226" s="253" t="s">
        <v>52</v>
      </c>
      <c r="AA226" s="264"/>
    </row>
    <row r="227" ht="15.75" customHeight="1">
      <c r="A227" s="19">
        <v>43517.0</v>
      </c>
      <c r="B227" s="22" t="s">
        <v>326</v>
      </c>
      <c r="C227" s="21">
        <v>2027687.0</v>
      </c>
      <c r="D227" s="22" t="s">
        <v>708</v>
      </c>
      <c r="E227" s="23" t="s">
        <v>328</v>
      </c>
      <c r="F227" s="24">
        <v>5.0</v>
      </c>
      <c r="G227" s="48">
        <v>607.0</v>
      </c>
      <c r="H227" s="26">
        <v>3035.0</v>
      </c>
      <c r="I227" s="49" t="s">
        <v>43</v>
      </c>
      <c r="J227" s="450" t="s">
        <v>329</v>
      </c>
      <c r="K227" s="29">
        <v>43552.0</v>
      </c>
      <c r="L227" s="437">
        <v>43585.0</v>
      </c>
      <c r="M227" s="413">
        <v>43544.0</v>
      </c>
      <c r="N227" s="342" t="s">
        <v>709</v>
      </c>
      <c r="O227" s="414">
        <v>259063.0</v>
      </c>
      <c r="P227" s="451">
        <v>43588.0</v>
      </c>
      <c r="Q227" s="24"/>
      <c r="R227" s="24"/>
      <c r="S227" s="38"/>
      <c r="T227" s="24"/>
      <c r="U227" s="38"/>
      <c r="V227" s="38"/>
      <c r="W227" s="24" t="s">
        <v>50</v>
      </c>
      <c r="X227" s="24" t="s">
        <v>285</v>
      </c>
      <c r="Y227" s="24" t="s">
        <v>51</v>
      </c>
      <c r="Z227" s="24" t="s">
        <v>52</v>
      </c>
      <c r="AA227" s="40" t="s">
        <v>398</v>
      </c>
    </row>
    <row r="228" ht="15.75" customHeight="1">
      <c r="A228" s="19">
        <v>43517.0</v>
      </c>
      <c r="B228" s="22" t="s">
        <v>326</v>
      </c>
      <c r="C228" s="21">
        <v>2027687.0</v>
      </c>
      <c r="D228" s="22" t="s">
        <v>708</v>
      </c>
      <c r="E228" s="23" t="s">
        <v>710</v>
      </c>
      <c r="F228" s="24">
        <v>5.0</v>
      </c>
      <c r="G228" s="48">
        <v>27.0</v>
      </c>
      <c r="H228" s="26">
        <v>135.0</v>
      </c>
      <c r="I228" s="49" t="s">
        <v>43</v>
      </c>
      <c r="J228" s="450" t="s">
        <v>329</v>
      </c>
      <c r="K228" s="29">
        <v>43552.0</v>
      </c>
      <c r="L228" s="437">
        <v>43585.0</v>
      </c>
      <c r="M228" s="413">
        <v>43544.0</v>
      </c>
      <c r="N228" s="342" t="s">
        <v>709</v>
      </c>
      <c r="O228" s="342"/>
      <c r="P228" s="451">
        <v>43588.0</v>
      </c>
      <c r="Q228" s="24"/>
      <c r="R228" s="24"/>
      <c r="S228" s="38"/>
      <c r="T228" s="24"/>
      <c r="U228" s="38"/>
      <c r="V228" s="38"/>
      <c r="W228" s="24" t="s">
        <v>50</v>
      </c>
      <c r="X228" s="24" t="s">
        <v>285</v>
      </c>
      <c r="Y228" s="24" t="s">
        <v>51</v>
      </c>
      <c r="Z228" s="24" t="s">
        <v>52</v>
      </c>
      <c r="AA228" s="40" t="s">
        <v>398</v>
      </c>
    </row>
    <row r="229" ht="15.75" customHeight="1">
      <c r="A229" s="19">
        <v>43517.0</v>
      </c>
      <c r="B229" s="20" t="s">
        <v>326</v>
      </c>
      <c r="C229" s="21">
        <v>2027687.0</v>
      </c>
      <c r="D229" s="22" t="s">
        <v>708</v>
      </c>
      <c r="E229" s="23" t="s">
        <v>53</v>
      </c>
      <c r="F229" s="24">
        <v>10.0</v>
      </c>
      <c r="G229" s="48">
        <v>31.0</v>
      </c>
      <c r="H229" s="26">
        <v>310.0</v>
      </c>
      <c r="I229" s="49" t="s">
        <v>43</v>
      </c>
      <c r="J229" s="161" t="s">
        <v>329</v>
      </c>
      <c r="K229" s="29">
        <v>43552.0</v>
      </c>
      <c r="L229" s="437">
        <v>43585.0</v>
      </c>
      <c r="M229" s="413">
        <v>43544.0</v>
      </c>
      <c r="N229" s="342" t="s">
        <v>709</v>
      </c>
      <c r="O229" s="342"/>
      <c r="P229" s="451">
        <v>43588.0</v>
      </c>
      <c r="Q229" s="24"/>
      <c r="R229" s="24"/>
      <c r="S229" s="38"/>
      <c r="T229" s="24"/>
      <c r="U229" s="38"/>
      <c r="V229" s="38"/>
      <c r="W229" s="24" t="s">
        <v>50</v>
      </c>
      <c r="X229" s="24" t="s">
        <v>285</v>
      </c>
      <c r="Y229" s="24" t="s">
        <v>51</v>
      </c>
      <c r="Z229" s="24" t="s">
        <v>52</v>
      </c>
      <c r="AA229" s="40" t="s">
        <v>398</v>
      </c>
    </row>
    <row r="230" ht="15.75" customHeight="1">
      <c r="A230" s="19">
        <v>43517.0</v>
      </c>
      <c r="B230" s="20" t="s">
        <v>326</v>
      </c>
      <c r="C230" s="21">
        <v>2027687.0</v>
      </c>
      <c r="D230" s="22" t="s">
        <v>708</v>
      </c>
      <c r="E230" s="23" t="s">
        <v>59</v>
      </c>
      <c r="F230" s="24">
        <v>10.0</v>
      </c>
      <c r="G230" s="48">
        <v>4.0</v>
      </c>
      <c r="H230" s="26">
        <v>40.0</v>
      </c>
      <c r="I230" s="49" t="s">
        <v>43</v>
      </c>
      <c r="J230" s="161" t="s">
        <v>329</v>
      </c>
      <c r="K230" s="29">
        <v>43552.0</v>
      </c>
      <c r="L230" s="437">
        <v>43585.0</v>
      </c>
      <c r="M230" s="413">
        <v>43544.0</v>
      </c>
      <c r="N230" s="342" t="s">
        <v>709</v>
      </c>
      <c r="O230" s="342"/>
      <c r="P230" s="451">
        <v>43588.0</v>
      </c>
      <c r="Q230" s="24"/>
      <c r="R230" s="24"/>
      <c r="S230" s="38"/>
      <c r="T230" s="24"/>
      <c r="U230" s="38"/>
      <c r="V230" s="38"/>
      <c r="W230" s="24" t="s">
        <v>50</v>
      </c>
      <c r="X230" s="24" t="s">
        <v>285</v>
      </c>
      <c r="Y230" s="24" t="s">
        <v>51</v>
      </c>
      <c r="Z230" s="24" t="s">
        <v>52</v>
      </c>
      <c r="AA230" s="40" t="s">
        <v>398</v>
      </c>
    </row>
    <row r="231" ht="15.75" customHeight="1">
      <c r="A231" s="19">
        <v>43517.0</v>
      </c>
      <c r="B231" s="20" t="s">
        <v>326</v>
      </c>
      <c r="C231" s="21">
        <v>2027687.0</v>
      </c>
      <c r="D231" s="22" t="s">
        <v>708</v>
      </c>
      <c r="E231" s="23" t="s">
        <v>711</v>
      </c>
      <c r="F231" s="24">
        <v>10.0</v>
      </c>
      <c r="G231" s="48">
        <v>273.0</v>
      </c>
      <c r="H231" s="26">
        <v>2730.0</v>
      </c>
      <c r="I231" s="49" t="s">
        <v>43</v>
      </c>
      <c r="J231" s="161" t="s">
        <v>329</v>
      </c>
      <c r="K231" s="29">
        <v>43552.0</v>
      </c>
      <c r="L231" s="437">
        <v>43568.0</v>
      </c>
      <c r="M231" s="413">
        <v>43538.0</v>
      </c>
      <c r="N231" s="342" t="s">
        <v>712</v>
      </c>
      <c r="O231" s="414">
        <v>67508.0</v>
      </c>
      <c r="P231" s="413">
        <v>43568.0</v>
      </c>
      <c r="Q231" s="24"/>
      <c r="R231" s="24"/>
      <c r="S231" s="38"/>
      <c r="T231" s="24"/>
      <c r="U231" s="38"/>
      <c r="V231" s="38"/>
      <c r="W231" s="24" t="s">
        <v>50</v>
      </c>
      <c r="X231" s="24" t="s">
        <v>285</v>
      </c>
      <c r="Y231" s="24" t="s">
        <v>51</v>
      </c>
      <c r="Z231" s="24" t="s">
        <v>52</v>
      </c>
      <c r="AA231" s="40" t="s">
        <v>398</v>
      </c>
    </row>
    <row r="232" ht="15.75" customHeight="1">
      <c r="A232" s="19">
        <v>43517.0</v>
      </c>
      <c r="B232" s="20" t="s">
        <v>326</v>
      </c>
      <c r="C232" s="21">
        <v>2027687.0</v>
      </c>
      <c r="D232" s="41" t="s">
        <v>713</v>
      </c>
      <c r="E232" s="23" t="s">
        <v>61</v>
      </c>
      <c r="F232" s="24">
        <v>10.0</v>
      </c>
      <c r="G232" s="48">
        <v>542.0</v>
      </c>
      <c r="H232" s="26">
        <v>5420.0</v>
      </c>
      <c r="I232" s="49" t="s">
        <v>43</v>
      </c>
      <c r="J232" s="349" t="s">
        <v>329</v>
      </c>
      <c r="K232" s="29">
        <v>43552.0</v>
      </c>
      <c r="L232" s="437">
        <v>43585.0</v>
      </c>
      <c r="M232" s="413">
        <v>43544.0</v>
      </c>
      <c r="N232" s="342" t="s">
        <v>709</v>
      </c>
      <c r="O232" s="342"/>
      <c r="P232" s="451">
        <v>43588.0</v>
      </c>
      <c r="Q232" s="24"/>
      <c r="R232" s="24"/>
      <c r="S232" s="38"/>
      <c r="T232" s="24"/>
      <c r="U232" s="38"/>
      <c r="V232" s="38"/>
      <c r="W232" s="24" t="s">
        <v>50</v>
      </c>
      <c r="X232" s="24" t="s">
        <v>285</v>
      </c>
      <c r="Y232" s="24" t="s">
        <v>51</v>
      </c>
      <c r="Z232" s="24" t="s">
        <v>52</v>
      </c>
      <c r="AA232" s="40" t="s">
        <v>398</v>
      </c>
    </row>
    <row r="233" ht="15.75" customHeight="1">
      <c r="A233" s="69">
        <v>43517.0</v>
      </c>
      <c r="B233" s="265" t="s">
        <v>130</v>
      </c>
      <c r="C233" s="252" t="s">
        <v>714</v>
      </c>
      <c r="D233" s="252" t="s">
        <v>715</v>
      </c>
      <c r="E233" s="23" t="s">
        <v>716</v>
      </c>
      <c r="F233" s="253">
        <v>10.0</v>
      </c>
      <c r="G233" s="254">
        <v>90.0</v>
      </c>
      <c r="H233" s="336">
        <v>900.0</v>
      </c>
      <c r="I233" s="266" t="s">
        <v>248</v>
      </c>
      <c r="J233" s="333" t="s">
        <v>134</v>
      </c>
      <c r="K233" s="258">
        <v>43538.0</v>
      </c>
      <c r="L233" s="260">
        <v>43585.0</v>
      </c>
      <c r="M233" s="260">
        <v>43529.0</v>
      </c>
      <c r="N233" s="261" t="s">
        <v>717</v>
      </c>
      <c r="O233" s="272">
        <v>34859.0</v>
      </c>
      <c r="P233" s="370">
        <v>43586.0</v>
      </c>
      <c r="Q233" s="253" t="s">
        <v>284</v>
      </c>
      <c r="R233" s="253">
        <v>30.79</v>
      </c>
      <c r="S233" s="262"/>
      <c r="T233" s="253"/>
      <c r="U233" s="262"/>
      <c r="V233" s="262"/>
      <c r="W233" s="253" t="s">
        <v>50</v>
      </c>
      <c r="X233" s="253" t="s">
        <v>285</v>
      </c>
      <c r="Y233" s="253" t="s">
        <v>51</v>
      </c>
      <c r="Z233" s="253" t="s">
        <v>52</v>
      </c>
      <c r="AA233" s="264"/>
    </row>
    <row r="234" ht="15.75" customHeight="1">
      <c r="A234" s="69">
        <v>43517.0</v>
      </c>
      <c r="B234" s="265" t="s">
        <v>130</v>
      </c>
      <c r="C234" s="252" t="s">
        <v>714</v>
      </c>
      <c r="D234" s="252" t="s">
        <v>715</v>
      </c>
      <c r="E234" s="23" t="s">
        <v>718</v>
      </c>
      <c r="F234" s="253">
        <v>5.0</v>
      </c>
      <c r="G234" s="254">
        <v>50.0</v>
      </c>
      <c r="H234" s="336">
        <v>250.0</v>
      </c>
      <c r="I234" s="266" t="s">
        <v>248</v>
      </c>
      <c r="J234" s="333" t="s">
        <v>134</v>
      </c>
      <c r="K234" s="258">
        <v>43538.0</v>
      </c>
      <c r="L234" s="260">
        <v>43585.0</v>
      </c>
      <c r="M234" s="260">
        <v>43529.0</v>
      </c>
      <c r="N234" s="261" t="s">
        <v>717</v>
      </c>
      <c r="O234" s="261"/>
      <c r="P234" s="370">
        <v>43586.0</v>
      </c>
      <c r="Q234" s="253" t="s">
        <v>284</v>
      </c>
      <c r="R234" s="253">
        <v>30.79</v>
      </c>
      <c r="S234" s="262"/>
      <c r="T234" s="253"/>
      <c r="U234" s="262"/>
      <c r="V234" s="262"/>
      <c r="W234" s="253" t="s">
        <v>50</v>
      </c>
      <c r="X234" s="253" t="s">
        <v>285</v>
      </c>
      <c r="Y234" s="253" t="s">
        <v>51</v>
      </c>
      <c r="Z234" s="253" t="s">
        <v>52</v>
      </c>
      <c r="AA234" s="264"/>
    </row>
    <row r="235" ht="15.75" customHeight="1">
      <c r="A235" s="19">
        <v>43518.0</v>
      </c>
      <c r="B235" s="51" t="s">
        <v>77</v>
      </c>
      <c r="C235" s="21">
        <v>138.0</v>
      </c>
      <c r="D235" s="22" t="s">
        <v>719</v>
      </c>
      <c r="E235" s="23" t="s">
        <v>720</v>
      </c>
      <c r="F235" s="82">
        <v>50.0</v>
      </c>
      <c r="G235" s="47">
        <v>1.9</v>
      </c>
      <c r="H235" s="26">
        <v>95.0</v>
      </c>
      <c r="I235" s="27" t="s">
        <v>43</v>
      </c>
      <c r="J235" s="31" t="s">
        <v>316</v>
      </c>
      <c r="K235" s="29">
        <v>43531.0</v>
      </c>
      <c r="L235" s="52"/>
      <c r="M235" s="53"/>
      <c r="N235" s="53"/>
      <c r="O235" s="53"/>
      <c r="P235" s="53"/>
      <c r="Q235" s="54"/>
      <c r="R235" s="54"/>
      <c r="S235" s="55"/>
      <c r="T235" s="54"/>
      <c r="U235" s="55"/>
      <c r="V235" s="55"/>
      <c r="W235" s="54" t="s">
        <v>50</v>
      </c>
      <c r="X235" s="24" t="s">
        <v>285</v>
      </c>
      <c r="Y235" s="54" t="s">
        <v>51</v>
      </c>
      <c r="Z235" s="54" t="s">
        <v>52</v>
      </c>
      <c r="AA235" s="57" t="s">
        <v>398</v>
      </c>
    </row>
    <row r="236" ht="15.75" customHeight="1">
      <c r="A236" s="69">
        <v>43519.0</v>
      </c>
      <c r="B236" s="265" t="s">
        <v>721</v>
      </c>
      <c r="C236" s="252"/>
      <c r="D236" s="252" t="s">
        <v>722</v>
      </c>
      <c r="E236" s="23" t="s">
        <v>723</v>
      </c>
      <c r="F236" s="253">
        <v>15.0</v>
      </c>
      <c r="G236" s="254">
        <v>95.0</v>
      </c>
      <c r="H236" s="336">
        <v>1425.0</v>
      </c>
      <c r="I236" s="256" t="s">
        <v>248</v>
      </c>
      <c r="J236" s="452" t="s">
        <v>724</v>
      </c>
      <c r="K236" s="258">
        <v>43538.0</v>
      </c>
      <c r="L236" s="260">
        <v>43585.0</v>
      </c>
      <c r="M236" s="260">
        <v>43530.0</v>
      </c>
      <c r="N236" s="261" t="s">
        <v>725</v>
      </c>
      <c r="O236" s="272">
        <v>171139.0</v>
      </c>
      <c r="P236" s="370">
        <v>43586.0</v>
      </c>
      <c r="Q236" s="253" t="s">
        <v>284</v>
      </c>
      <c r="R236" s="253">
        <v>30.79</v>
      </c>
      <c r="S236" s="262"/>
      <c r="T236" s="253"/>
      <c r="U236" s="262">
        <f>6453.49*30.736</f>
        <v>198354.4686</v>
      </c>
      <c r="V236" s="262">
        <f>(6.51+11)*30.736</f>
        <v>538.18736</v>
      </c>
      <c r="W236" s="253" t="s">
        <v>50</v>
      </c>
      <c r="X236" s="253" t="s">
        <v>285</v>
      </c>
      <c r="Y236" s="253" t="s">
        <v>51</v>
      </c>
      <c r="Z236" s="253" t="s">
        <v>52</v>
      </c>
      <c r="AA236" s="264"/>
    </row>
    <row r="237" ht="15.75" customHeight="1">
      <c r="A237" s="69">
        <v>43519.0</v>
      </c>
      <c r="B237" s="265" t="s">
        <v>721</v>
      </c>
      <c r="C237" s="252"/>
      <c r="D237" s="252" t="s">
        <v>722</v>
      </c>
      <c r="E237" s="23" t="s">
        <v>726</v>
      </c>
      <c r="F237" s="253">
        <v>15.0</v>
      </c>
      <c r="G237" s="325">
        <v>320.0</v>
      </c>
      <c r="H237" s="336">
        <v>4800.0</v>
      </c>
      <c r="I237" s="256" t="s">
        <v>248</v>
      </c>
      <c r="J237" s="452" t="s">
        <v>724</v>
      </c>
      <c r="K237" s="258">
        <v>43538.0</v>
      </c>
      <c r="L237" s="260">
        <v>43585.0</v>
      </c>
      <c r="M237" s="260">
        <v>43530.0</v>
      </c>
      <c r="N237" s="261" t="s">
        <v>725</v>
      </c>
      <c r="O237" s="261"/>
      <c r="P237" s="370">
        <v>43586.0</v>
      </c>
      <c r="Q237" s="253" t="s">
        <v>284</v>
      </c>
      <c r="R237" s="253">
        <v>30.79</v>
      </c>
      <c r="S237" s="262"/>
      <c r="T237" s="253"/>
      <c r="U237" s="262"/>
      <c r="V237" s="262"/>
      <c r="W237" s="253" t="s">
        <v>50</v>
      </c>
      <c r="X237" s="253" t="s">
        <v>285</v>
      </c>
      <c r="Y237" s="253" t="s">
        <v>51</v>
      </c>
      <c r="Z237" s="253" t="s">
        <v>52</v>
      </c>
      <c r="AA237" s="264"/>
    </row>
    <row r="238" ht="15.75" customHeight="1">
      <c r="A238" s="69">
        <v>43519.0</v>
      </c>
      <c r="B238" s="265" t="s">
        <v>721</v>
      </c>
      <c r="C238" s="252"/>
      <c r="D238" s="252" t="s">
        <v>722</v>
      </c>
      <c r="E238" s="23" t="s">
        <v>727</v>
      </c>
      <c r="F238" s="253">
        <v>2.0</v>
      </c>
      <c r="G238" s="325">
        <v>123.0</v>
      </c>
      <c r="H238" s="336">
        <v>246.0</v>
      </c>
      <c r="I238" s="256" t="s">
        <v>248</v>
      </c>
      <c r="J238" s="452" t="s">
        <v>724</v>
      </c>
      <c r="K238" s="258">
        <v>43538.0</v>
      </c>
      <c r="L238" s="260">
        <v>43585.0</v>
      </c>
      <c r="M238" s="260">
        <v>43530.0</v>
      </c>
      <c r="N238" s="261" t="s">
        <v>725</v>
      </c>
      <c r="O238" s="261"/>
      <c r="P238" s="370">
        <v>43586.0</v>
      </c>
      <c r="Q238" s="253" t="s">
        <v>284</v>
      </c>
      <c r="R238" s="253">
        <v>30.79</v>
      </c>
      <c r="S238" s="262"/>
      <c r="T238" s="253"/>
      <c r="U238" s="262"/>
      <c r="V238" s="262"/>
      <c r="W238" s="253" t="s">
        <v>50</v>
      </c>
      <c r="X238" s="253" t="s">
        <v>285</v>
      </c>
      <c r="Y238" s="253" t="s">
        <v>51</v>
      </c>
      <c r="Z238" s="253" t="s">
        <v>52</v>
      </c>
      <c r="AA238" s="264"/>
    </row>
    <row r="239" ht="15.75" customHeight="1">
      <c r="A239" s="19">
        <v>43522.0</v>
      </c>
      <c r="B239" s="51" t="s">
        <v>101</v>
      </c>
      <c r="C239" s="22"/>
      <c r="D239" s="409" t="s">
        <v>728</v>
      </c>
      <c r="E239" s="23" t="s">
        <v>347</v>
      </c>
      <c r="F239" s="82">
        <v>1.0</v>
      </c>
      <c r="G239" s="143">
        <v>326.0</v>
      </c>
      <c r="H239" s="26">
        <v>326.0</v>
      </c>
      <c r="I239" s="27" t="s">
        <v>303</v>
      </c>
      <c r="J239" s="349" t="s">
        <v>290</v>
      </c>
      <c r="K239" s="30">
        <v>43522.0</v>
      </c>
      <c r="L239" s="295">
        <v>43554.0</v>
      </c>
      <c r="M239" s="413">
        <v>43524.0</v>
      </c>
      <c r="N239" s="342" t="s">
        <v>535</v>
      </c>
      <c r="O239" s="296"/>
      <c r="P239" s="413">
        <v>43557.0</v>
      </c>
      <c r="Q239" s="24"/>
      <c r="R239" s="24"/>
      <c r="S239" s="38"/>
      <c r="T239" s="39">
        <v>43565.0</v>
      </c>
      <c r="U239" s="38"/>
      <c r="V239" s="38"/>
      <c r="W239" s="24" t="s">
        <v>50</v>
      </c>
      <c r="X239" s="24" t="s">
        <v>285</v>
      </c>
      <c r="Y239" s="24" t="s">
        <v>51</v>
      </c>
      <c r="Z239" s="54" t="s">
        <v>52</v>
      </c>
      <c r="AA239" s="57" t="s">
        <v>398</v>
      </c>
    </row>
    <row r="240" ht="15.75" customHeight="1">
      <c r="A240" s="69">
        <v>43522.0</v>
      </c>
      <c r="B240" s="453" t="s">
        <v>101</v>
      </c>
      <c r="C240" s="292"/>
      <c r="D240" s="292" t="s">
        <v>729</v>
      </c>
      <c r="E240" s="23" t="s">
        <v>347</v>
      </c>
      <c r="F240" s="50">
        <v>1.0</v>
      </c>
      <c r="G240" s="454">
        <v>34.0</v>
      </c>
      <c r="H240" s="455">
        <v>34.0</v>
      </c>
      <c r="I240" s="61" t="s">
        <v>105</v>
      </c>
      <c r="J240" s="407" t="s">
        <v>290</v>
      </c>
      <c r="K240" s="29">
        <v>43522.0</v>
      </c>
      <c r="L240" s="295">
        <v>43554.0</v>
      </c>
      <c r="M240" s="295">
        <v>43524.0</v>
      </c>
      <c r="N240" s="296" t="s">
        <v>535</v>
      </c>
      <c r="O240" s="296"/>
      <c r="P240" s="413">
        <v>43557.0</v>
      </c>
      <c r="Q240" s="54"/>
      <c r="R240" s="54"/>
      <c r="S240" s="55"/>
      <c r="T240" s="56">
        <v>43565.0</v>
      </c>
      <c r="U240" s="38"/>
      <c r="V240" s="38"/>
      <c r="W240" s="54" t="s">
        <v>50</v>
      </c>
      <c r="X240" s="24" t="s">
        <v>285</v>
      </c>
      <c r="Y240" s="54" t="s">
        <v>51</v>
      </c>
      <c r="Z240" s="54" t="s">
        <v>52</v>
      </c>
      <c r="AA240" s="57" t="s">
        <v>398</v>
      </c>
    </row>
    <row r="241" ht="15.75" customHeight="1">
      <c r="A241" s="69">
        <v>43522.0</v>
      </c>
      <c r="B241" s="70" t="s">
        <v>373</v>
      </c>
      <c r="C241" s="21">
        <v>2.01902260013E11</v>
      </c>
      <c r="D241" s="21" t="s">
        <v>730</v>
      </c>
      <c r="E241" s="23" t="s">
        <v>731</v>
      </c>
      <c r="F241" s="435">
        <v>60.0</v>
      </c>
      <c r="G241" s="48">
        <v>63.0</v>
      </c>
      <c r="H241" s="60">
        <v>3780.0</v>
      </c>
      <c r="I241" s="298" t="s">
        <v>43</v>
      </c>
      <c r="J241" s="50" t="s">
        <v>90</v>
      </c>
      <c r="K241" s="29">
        <v>43535.0</v>
      </c>
      <c r="L241" s="295">
        <v>43585.0</v>
      </c>
      <c r="M241" s="295">
        <v>43532.0</v>
      </c>
      <c r="N241" s="296" t="s">
        <v>732</v>
      </c>
      <c r="O241" s="297">
        <v>108451.0</v>
      </c>
      <c r="P241" s="302">
        <v>43586.0</v>
      </c>
      <c r="Q241" s="298"/>
      <c r="R241" s="298"/>
      <c r="S241" s="299"/>
      <c r="T241" s="300">
        <v>43587.0</v>
      </c>
      <c r="U241" s="299">
        <f>3773.52*30.849</f>
        <v>116409.3185</v>
      </c>
      <c r="V241" s="299">
        <f>(3780-3773.52)*30.849</f>
        <v>199.90152</v>
      </c>
      <c r="W241" s="298" t="s">
        <v>50</v>
      </c>
      <c r="X241" s="298" t="s">
        <v>285</v>
      </c>
      <c r="Y241" s="298" t="s">
        <v>51</v>
      </c>
      <c r="Z241" s="298" t="s">
        <v>377</v>
      </c>
      <c r="AA241" s="234" t="s">
        <v>305</v>
      </c>
    </row>
    <row r="242" ht="15.75" customHeight="1">
      <c r="A242" s="69">
        <v>43522.0</v>
      </c>
      <c r="B242" s="70" t="s">
        <v>229</v>
      </c>
      <c r="C242" s="21" t="s">
        <v>733</v>
      </c>
      <c r="D242" s="21" t="s">
        <v>734</v>
      </c>
      <c r="E242" s="23" t="s">
        <v>232</v>
      </c>
      <c r="F242" s="24">
        <v>10.0</v>
      </c>
      <c r="G242" s="48">
        <v>407.4</v>
      </c>
      <c r="H242" s="26">
        <v>4074.0</v>
      </c>
      <c r="I242" s="298" t="s">
        <v>171</v>
      </c>
      <c r="J242" s="54" t="s">
        <v>90</v>
      </c>
      <c r="K242" s="30">
        <v>43538.0</v>
      </c>
      <c r="L242" s="295">
        <v>43585.0</v>
      </c>
      <c r="M242" s="295">
        <v>43536.0</v>
      </c>
      <c r="N242" s="296" t="s">
        <v>735</v>
      </c>
      <c r="O242" s="297">
        <v>131387.0</v>
      </c>
      <c r="P242" s="302">
        <v>43586.0</v>
      </c>
      <c r="Q242" s="54"/>
      <c r="R242" s="54"/>
      <c r="S242" s="55"/>
      <c r="T242" s="54"/>
      <c r="U242" s="55"/>
      <c r="V242" s="55"/>
      <c r="W242" s="54" t="s">
        <v>50</v>
      </c>
      <c r="X242" s="24" t="s">
        <v>285</v>
      </c>
      <c r="Y242" s="54" t="s">
        <v>51</v>
      </c>
      <c r="Z242" s="54" t="s">
        <v>377</v>
      </c>
      <c r="AA242" s="57" t="s">
        <v>398</v>
      </c>
    </row>
    <row r="243" ht="15.75" customHeight="1">
      <c r="A243" s="69">
        <v>43522.0</v>
      </c>
      <c r="B243" s="70" t="s">
        <v>229</v>
      </c>
      <c r="C243" s="21" t="s">
        <v>733</v>
      </c>
      <c r="D243" s="21" t="s">
        <v>734</v>
      </c>
      <c r="E243" s="23" t="s">
        <v>736</v>
      </c>
      <c r="F243" s="24">
        <v>2.0</v>
      </c>
      <c r="G243" s="436">
        <v>336.0</v>
      </c>
      <c r="H243" s="26">
        <v>672.0</v>
      </c>
      <c r="I243" s="298" t="s">
        <v>171</v>
      </c>
      <c r="J243" s="54" t="s">
        <v>90</v>
      </c>
      <c r="K243" s="30">
        <v>43538.0</v>
      </c>
      <c r="L243" s="295">
        <v>43585.0</v>
      </c>
      <c r="M243" s="295">
        <v>43536.0</v>
      </c>
      <c r="N243" s="296" t="s">
        <v>735</v>
      </c>
      <c r="O243" s="296"/>
      <c r="P243" s="302">
        <v>43586.0</v>
      </c>
      <c r="Q243" s="54"/>
      <c r="R243" s="54"/>
      <c r="S243" s="55"/>
      <c r="T243" s="54"/>
      <c r="U243" s="55"/>
      <c r="V243" s="55"/>
      <c r="W243" s="54" t="s">
        <v>50</v>
      </c>
      <c r="X243" s="24" t="s">
        <v>285</v>
      </c>
      <c r="Y243" s="54" t="s">
        <v>51</v>
      </c>
      <c r="Z243" s="54" t="s">
        <v>377</v>
      </c>
      <c r="AA243" s="57" t="s">
        <v>398</v>
      </c>
    </row>
    <row r="244" ht="15.75" customHeight="1">
      <c r="A244" s="69">
        <v>43522.0</v>
      </c>
      <c r="B244" s="70" t="s">
        <v>229</v>
      </c>
      <c r="C244" s="21" t="s">
        <v>733</v>
      </c>
      <c r="D244" s="21" t="s">
        <v>734</v>
      </c>
      <c r="E244" s="23" t="s">
        <v>737</v>
      </c>
      <c r="F244" s="24">
        <v>1.0</v>
      </c>
      <c r="G244" s="48">
        <v>21.0</v>
      </c>
      <c r="H244" s="26">
        <v>21.0</v>
      </c>
      <c r="I244" s="298" t="s">
        <v>171</v>
      </c>
      <c r="J244" s="54" t="s">
        <v>90</v>
      </c>
      <c r="K244" s="30">
        <v>43546.0</v>
      </c>
      <c r="L244" s="295">
        <v>43585.0</v>
      </c>
      <c r="M244" s="295">
        <v>43546.0</v>
      </c>
      <c r="N244" s="296" t="s">
        <v>738</v>
      </c>
      <c r="O244" s="296">
        <v>547.0</v>
      </c>
      <c r="P244" s="302">
        <v>43586.0</v>
      </c>
      <c r="Q244" s="54"/>
      <c r="R244" s="54"/>
      <c r="S244" s="55"/>
      <c r="T244" s="54"/>
      <c r="U244" s="55"/>
      <c r="V244" s="55"/>
      <c r="W244" s="54" t="s">
        <v>50</v>
      </c>
      <c r="X244" s="24" t="s">
        <v>285</v>
      </c>
      <c r="Y244" s="54" t="s">
        <v>51</v>
      </c>
      <c r="Z244" s="54" t="s">
        <v>377</v>
      </c>
      <c r="AA244" s="57" t="s">
        <v>398</v>
      </c>
    </row>
    <row r="245" ht="15.75" customHeight="1">
      <c r="A245" s="19">
        <v>43523.0</v>
      </c>
      <c r="B245" s="20" t="s">
        <v>326</v>
      </c>
      <c r="C245" s="21">
        <v>2027739.0</v>
      </c>
      <c r="D245" s="22" t="s">
        <v>739</v>
      </c>
      <c r="E245" s="23" t="s">
        <v>53</v>
      </c>
      <c r="F245" s="24">
        <v>15.0</v>
      </c>
      <c r="G245" s="48">
        <v>31.0</v>
      </c>
      <c r="H245" s="26">
        <v>465.0</v>
      </c>
      <c r="I245" s="27" t="s">
        <v>43</v>
      </c>
      <c r="J245" s="431" t="s">
        <v>740</v>
      </c>
      <c r="K245" s="29">
        <v>43585.0</v>
      </c>
      <c r="L245" s="351">
        <v>43646.0</v>
      </c>
      <c r="M245" s="351">
        <v>43581.0</v>
      </c>
      <c r="N245" s="352" t="s">
        <v>741</v>
      </c>
      <c r="O245" s="352">
        <v>244613.0</v>
      </c>
      <c r="P245" s="351">
        <v>43647.0</v>
      </c>
      <c r="Q245" s="82"/>
      <c r="R245" s="82">
        <v>30.845</v>
      </c>
      <c r="S245" s="432">
        <v>0.0</v>
      </c>
      <c r="T245" s="145">
        <v>43606.0</v>
      </c>
      <c r="U245" s="432">
        <v>0.0</v>
      </c>
      <c r="V245" s="432">
        <v>0.0</v>
      </c>
      <c r="W245" s="82" t="s">
        <v>50</v>
      </c>
      <c r="X245" s="298" t="s">
        <v>285</v>
      </c>
      <c r="Y245" s="82" t="s">
        <v>51</v>
      </c>
      <c r="Z245" s="82" t="s">
        <v>52</v>
      </c>
      <c r="AA245" s="234" t="s">
        <v>305</v>
      </c>
    </row>
    <row r="246" ht="15.75" customHeight="1">
      <c r="A246" s="19">
        <v>43523.0</v>
      </c>
      <c r="B246" s="20" t="s">
        <v>326</v>
      </c>
      <c r="C246" s="21">
        <v>2027739.0</v>
      </c>
      <c r="D246" s="22" t="s">
        <v>739</v>
      </c>
      <c r="E246" s="23" t="s">
        <v>59</v>
      </c>
      <c r="F246" s="24">
        <v>15.0</v>
      </c>
      <c r="G246" s="48">
        <v>4.0</v>
      </c>
      <c r="H246" s="26">
        <v>60.0</v>
      </c>
      <c r="I246" s="49" t="s">
        <v>43</v>
      </c>
      <c r="J246" s="82" t="s">
        <v>740</v>
      </c>
      <c r="K246" s="29">
        <v>43585.0</v>
      </c>
      <c r="L246" s="351">
        <v>43646.0</v>
      </c>
      <c r="M246" s="351">
        <v>43581.0</v>
      </c>
      <c r="N246" s="352" t="s">
        <v>741</v>
      </c>
      <c r="O246" s="352"/>
      <c r="P246" s="351">
        <v>43647.0</v>
      </c>
      <c r="Q246" s="82"/>
      <c r="R246" s="82">
        <v>30.845</v>
      </c>
      <c r="S246" s="432">
        <v>0.0</v>
      </c>
      <c r="T246" s="145">
        <v>43606.0</v>
      </c>
      <c r="U246" s="432">
        <v>0.0</v>
      </c>
      <c r="V246" s="432">
        <v>0.0</v>
      </c>
      <c r="W246" s="82" t="s">
        <v>50</v>
      </c>
      <c r="X246" s="298" t="s">
        <v>285</v>
      </c>
      <c r="Y246" s="82" t="s">
        <v>51</v>
      </c>
      <c r="Z246" s="82" t="s">
        <v>52</v>
      </c>
      <c r="AA246" s="234" t="s">
        <v>305</v>
      </c>
    </row>
    <row r="247" ht="15.75" customHeight="1">
      <c r="A247" s="19">
        <v>43523.0</v>
      </c>
      <c r="B247" s="20" t="s">
        <v>326</v>
      </c>
      <c r="C247" s="21">
        <v>2027739.0</v>
      </c>
      <c r="D247" s="22" t="s">
        <v>739</v>
      </c>
      <c r="E247" s="23" t="s">
        <v>42</v>
      </c>
      <c r="F247" s="24">
        <v>15.0</v>
      </c>
      <c r="G247" s="48">
        <v>273.0</v>
      </c>
      <c r="H247" s="26">
        <v>4095.0</v>
      </c>
      <c r="I247" s="49" t="s">
        <v>43</v>
      </c>
      <c r="J247" s="82" t="s">
        <v>740</v>
      </c>
      <c r="K247" s="29">
        <v>43585.0</v>
      </c>
      <c r="L247" s="451">
        <v>43600.0</v>
      </c>
      <c r="M247" s="451">
        <v>43570.0</v>
      </c>
      <c r="N247" s="342" t="s">
        <v>742</v>
      </c>
      <c r="O247" s="342">
        <v>97272.0</v>
      </c>
      <c r="P247" s="451">
        <v>43600.0</v>
      </c>
      <c r="Q247" s="82"/>
      <c r="R247" s="82">
        <v>30.845</v>
      </c>
      <c r="S247" s="432">
        <f>12750*30.845</f>
        <v>393273.75</v>
      </c>
      <c r="T247" s="145">
        <v>43606.0</v>
      </c>
      <c r="U247" s="432">
        <f>12743.63*31.38</f>
        <v>399895.1094</v>
      </c>
      <c r="V247" s="432">
        <f>(12750-12743.63)*31.38</f>
        <v>199.8906</v>
      </c>
      <c r="W247" s="82" t="s">
        <v>50</v>
      </c>
      <c r="X247" s="298" t="s">
        <v>285</v>
      </c>
      <c r="Y247" s="82" t="s">
        <v>51</v>
      </c>
      <c r="Z247" s="82" t="s">
        <v>52</v>
      </c>
      <c r="AA247" s="234" t="s">
        <v>305</v>
      </c>
    </row>
    <row r="248" ht="15.75" customHeight="1">
      <c r="A248" s="19">
        <v>43523.0</v>
      </c>
      <c r="B248" s="20" t="s">
        <v>326</v>
      </c>
      <c r="C248" s="21">
        <v>2027739.0</v>
      </c>
      <c r="D248" s="22" t="s">
        <v>743</v>
      </c>
      <c r="E248" s="23" t="s">
        <v>61</v>
      </c>
      <c r="F248" s="24">
        <v>15.0</v>
      </c>
      <c r="G248" s="25">
        <v>542.0</v>
      </c>
      <c r="H248" s="26">
        <v>8130.0</v>
      </c>
      <c r="I248" s="49" t="s">
        <v>43</v>
      </c>
      <c r="J248" s="82" t="s">
        <v>740</v>
      </c>
      <c r="K248" s="29">
        <v>43585.0</v>
      </c>
      <c r="L248" s="351">
        <v>43646.0</v>
      </c>
      <c r="M248" s="351">
        <v>43581.0</v>
      </c>
      <c r="N248" s="352" t="s">
        <v>741</v>
      </c>
      <c r="O248" s="352"/>
      <c r="P248" s="351">
        <v>43647.0</v>
      </c>
      <c r="Q248" s="82"/>
      <c r="R248" s="82">
        <v>30.845</v>
      </c>
      <c r="S248" s="432">
        <v>0.0</v>
      </c>
      <c r="T248" s="145">
        <v>43606.0</v>
      </c>
      <c r="U248" s="432">
        <v>0.0</v>
      </c>
      <c r="V248" s="432">
        <v>0.0</v>
      </c>
      <c r="W248" s="82" t="s">
        <v>50</v>
      </c>
      <c r="X248" s="298" t="s">
        <v>285</v>
      </c>
      <c r="Y248" s="82" t="s">
        <v>51</v>
      </c>
      <c r="Z248" s="82" t="s">
        <v>52</v>
      </c>
      <c r="AA248" s="234" t="s">
        <v>305</v>
      </c>
    </row>
    <row r="249" ht="15.75" customHeight="1">
      <c r="A249" s="19">
        <v>43523.0</v>
      </c>
      <c r="B249" s="20" t="s">
        <v>326</v>
      </c>
      <c r="C249" s="21">
        <v>2027739.0</v>
      </c>
      <c r="D249" s="456" t="s">
        <v>744</v>
      </c>
      <c r="E249" s="23" t="s">
        <v>53</v>
      </c>
      <c r="F249" s="24">
        <v>10.0</v>
      </c>
      <c r="G249" s="25">
        <v>31.0</v>
      </c>
      <c r="H249" s="26">
        <v>310.0</v>
      </c>
      <c r="I249" s="49" t="s">
        <v>43</v>
      </c>
      <c r="J249" s="82" t="s">
        <v>740</v>
      </c>
      <c r="K249" s="29">
        <v>43619.0</v>
      </c>
      <c r="L249" s="451">
        <v>43677.0</v>
      </c>
      <c r="M249" s="451">
        <v>43612.0</v>
      </c>
      <c r="N249" s="342" t="s">
        <v>745</v>
      </c>
      <c r="O249" s="342">
        <v>165958.0</v>
      </c>
      <c r="P249" s="451">
        <v>43678.0</v>
      </c>
      <c r="Q249" s="433"/>
      <c r="R249" s="433">
        <v>31.455</v>
      </c>
      <c r="S249" s="434"/>
      <c r="T249" s="457">
        <v>43633.0</v>
      </c>
      <c r="U249" s="434"/>
      <c r="V249" s="434"/>
      <c r="W249" s="433" t="s">
        <v>50</v>
      </c>
      <c r="X249" s="371" t="s">
        <v>285</v>
      </c>
      <c r="Y249" s="433" t="s">
        <v>51</v>
      </c>
      <c r="Z249" s="433" t="s">
        <v>52</v>
      </c>
      <c r="AA249" s="374" t="s">
        <v>440</v>
      </c>
    </row>
    <row r="250" ht="15.75" customHeight="1">
      <c r="A250" s="19">
        <v>43523.0</v>
      </c>
      <c r="B250" s="20" t="s">
        <v>326</v>
      </c>
      <c r="C250" s="21">
        <v>2027739.0</v>
      </c>
      <c r="D250" s="22" t="s">
        <v>744</v>
      </c>
      <c r="E250" s="23" t="s">
        <v>59</v>
      </c>
      <c r="F250" s="24">
        <v>10.0</v>
      </c>
      <c r="G250" s="25">
        <v>4.0</v>
      </c>
      <c r="H250" s="26">
        <v>2730.0</v>
      </c>
      <c r="I250" s="49" t="s">
        <v>43</v>
      </c>
      <c r="J250" s="82" t="s">
        <v>740</v>
      </c>
      <c r="K250" s="29">
        <v>43619.0</v>
      </c>
      <c r="L250" s="451">
        <v>43677.0</v>
      </c>
      <c r="M250" s="451">
        <v>43612.0</v>
      </c>
      <c r="N250" s="342" t="s">
        <v>745</v>
      </c>
      <c r="O250" s="342"/>
      <c r="P250" s="451">
        <v>43678.0</v>
      </c>
      <c r="Q250" s="433"/>
      <c r="R250" s="433">
        <v>31.455</v>
      </c>
      <c r="S250" s="434"/>
      <c r="T250" s="457">
        <v>43633.0</v>
      </c>
      <c r="U250" s="434"/>
      <c r="V250" s="434"/>
      <c r="W250" s="433" t="s">
        <v>50</v>
      </c>
      <c r="X250" s="371" t="s">
        <v>285</v>
      </c>
      <c r="Y250" s="433" t="s">
        <v>51</v>
      </c>
      <c r="Z250" s="433" t="s">
        <v>52</v>
      </c>
      <c r="AA250" s="374" t="s">
        <v>440</v>
      </c>
    </row>
    <row r="251" ht="15.75" customHeight="1">
      <c r="A251" s="19">
        <v>43523.0</v>
      </c>
      <c r="B251" s="20" t="s">
        <v>326</v>
      </c>
      <c r="C251" s="21">
        <v>2027739.0</v>
      </c>
      <c r="D251" s="22" t="s">
        <v>744</v>
      </c>
      <c r="E251" s="23" t="s">
        <v>42</v>
      </c>
      <c r="F251" s="24">
        <v>10.0</v>
      </c>
      <c r="G251" s="25">
        <v>273.0</v>
      </c>
      <c r="H251" s="26">
        <v>2730.0</v>
      </c>
      <c r="I251" s="27" t="s">
        <v>43</v>
      </c>
      <c r="J251" s="82" t="s">
        <v>740</v>
      </c>
      <c r="K251" s="29">
        <v>43619.0</v>
      </c>
      <c r="L251" s="451">
        <v>43646.0</v>
      </c>
      <c r="M251" s="451">
        <v>43602.0</v>
      </c>
      <c r="N251" s="342" t="s">
        <v>746</v>
      </c>
      <c r="O251" s="342">
        <v>65447.0</v>
      </c>
      <c r="P251" s="413">
        <v>43631.0</v>
      </c>
      <c r="Q251" s="433"/>
      <c r="R251" s="433">
        <v>31.455</v>
      </c>
      <c r="S251" s="434"/>
      <c r="T251" s="457">
        <v>43633.0</v>
      </c>
      <c r="U251" s="434">
        <f>16099.96*31.46</f>
        <v>506504.7416</v>
      </c>
      <c r="V251" s="434">
        <f>(16108-16099.96)*31.46</f>
        <v>252.9384</v>
      </c>
      <c r="W251" s="433" t="s">
        <v>50</v>
      </c>
      <c r="X251" s="371" t="s">
        <v>285</v>
      </c>
      <c r="Y251" s="433" t="s">
        <v>51</v>
      </c>
      <c r="Z251" s="433" t="s">
        <v>52</v>
      </c>
      <c r="AA251" s="374" t="s">
        <v>440</v>
      </c>
    </row>
    <row r="252" ht="15.75" customHeight="1">
      <c r="A252" s="19">
        <v>43523.0</v>
      </c>
      <c r="B252" s="20" t="s">
        <v>326</v>
      </c>
      <c r="C252" s="21">
        <v>2027739.0</v>
      </c>
      <c r="D252" s="22" t="s">
        <v>747</v>
      </c>
      <c r="E252" s="23" t="s">
        <v>61</v>
      </c>
      <c r="F252" s="24">
        <v>10.0</v>
      </c>
      <c r="G252" s="25">
        <v>542.0</v>
      </c>
      <c r="H252" s="458"/>
      <c r="I252" s="27" t="s">
        <v>43</v>
      </c>
      <c r="J252" s="82" t="s">
        <v>740</v>
      </c>
      <c r="K252" s="29">
        <v>43619.0</v>
      </c>
      <c r="L252" s="451">
        <v>43677.0</v>
      </c>
      <c r="M252" s="451">
        <v>43612.0</v>
      </c>
      <c r="N252" s="342" t="s">
        <v>745</v>
      </c>
      <c r="O252" s="342"/>
      <c r="P252" s="451">
        <v>43678.0</v>
      </c>
      <c r="Q252" s="433"/>
      <c r="R252" s="433">
        <v>31.455</v>
      </c>
      <c r="S252" s="434"/>
      <c r="T252" s="457">
        <v>43633.0</v>
      </c>
      <c r="U252" s="434"/>
      <c r="V252" s="434"/>
      <c r="W252" s="433" t="s">
        <v>50</v>
      </c>
      <c r="X252" s="371" t="s">
        <v>285</v>
      </c>
      <c r="Y252" s="433" t="s">
        <v>51</v>
      </c>
      <c r="Z252" s="433" t="s">
        <v>52</v>
      </c>
      <c r="AA252" s="374" t="s">
        <v>440</v>
      </c>
    </row>
    <row r="253" ht="15.75" customHeight="1">
      <c r="A253" s="19">
        <v>43523.0</v>
      </c>
      <c r="B253" s="20" t="s">
        <v>40</v>
      </c>
      <c r="C253" s="21">
        <v>2027739.0</v>
      </c>
      <c r="D253" s="22" t="s">
        <v>748</v>
      </c>
      <c r="E253" s="23" t="s">
        <v>53</v>
      </c>
      <c r="F253" s="24">
        <v>10.0</v>
      </c>
      <c r="G253" s="25">
        <v>31.0</v>
      </c>
      <c r="H253" s="26">
        <v>310.0</v>
      </c>
      <c r="I253" s="27" t="s">
        <v>43</v>
      </c>
      <c r="J253" s="82" t="s">
        <v>740</v>
      </c>
      <c r="K253" s="29">
        <v>43648.0</v>
      </c>
      <c r="L253" s="351">
        <v>43677.0</v>
      </c>
      <c r="M253" s="351">
        <v>43635.0</v>
      </c>
      <c r="N253" s="352" t="s">
        <v>749</v>
      </c>
      <c r="O253" s="352">
        <v>166195.0</v>
      </c>
      <c r="P253" s="351">
        <v>43678.0</v>
      </c>
      <c r="Q253" s="82"/>
      <c r="R253" s="82"/>
      <c r="S253" s="432"/>
      <c r="T253" s="145">
        <v>43668.0</v>
      </c>
      <c r="U253" s="432"/>
      <c r="V253" s="432"/>
      <c r="W253" s="82" t="s">
        <v>50</v>
      </c>
      <c r="X253" s="82" t="s">
        <v>285</v>
      </c>
      <c r="Y253" s="82" t="s">
        <v>51</v>
      </c>
      <c r="Z253" s="82" t="s">
        <v>52</v>
      </c>
      <c r="AA253" s="459" t="s">
        <v>750</v>
      </c>
    </row>
    <row r="254" ht="15.75" customHeight="1">
      <c r="A254" s="19">
        <v>43523.0</v>
      </c>
      <c r="B254" s="20" t="s">
        <v>40</v>
      </c>
      <c r="C254" s="21">
        <v>2027739.0</v>
      </c>
      <c r="D254" s="22" t="s">
        <v>748</v>
      </c>
      <c r="E254" s="23" t="s">
        <v>59</v>
      </c>
      <c r="F254" s="24">
        <v>10.0</v>
      </c>
      <c r="G254" s="25">
        <v>4.0</v>
      </c>
      <c r="H254" s="26">
        <v>40.0</v>
      </c>
      <c r="I254" s="27" t="s">
        <v>43</v>
      </c>
      <c r="J254" s="82" t="s">
        <v>740</v>
      </c>
      <c r="K254" s="29">
        <v>43648.0</v>
      </c>
      <c r="L254" s="351">
        <v>43677.0</v>
      </c>
      <c r="M254" s="351">
        <v>43635.0</v>
      </c>
      <c r="N254" s="352" t="s">
        <v>749</v>
      </c>
      <c r="O254" s="352"/>
      <c r="P254" s="351">
        <v>43678.0</v>
      </c>
      <c r="Q254" s="82"/>
      <c r="R254" s="82"/>
      <c r="S254" s="432"/>
      <c r="T254" s="145">
        <v>43668.0</v>
      </c>
      <c r="U254" s="432"/>
      <c r="V254" s="432"/>
      <c r="W254" s="82" t="s">
        <v>50</v>
      </c>
      <c r="X254" s="82" t="s">
        <v>285</v>
      </c>
      <c r="Y254" s="82" t="s">
        <v>51</v>
      </c>
      <c r="Z254" s="82" t="s">
        <v>52</v>
      </c>
      <c r="AA254" s="459" t="s">
        <v>750</v>
      </c>
    </row>
    <row r="255" ht="15.75" customHeight="1">
      <c r="A255" s="19">
        <v>43523.0</v>
      </c>
      <c r="B255" s="20" t="s">
        <v>40</v>
      </c>
      <c r="C255" s="21">
        <v>2027739.0</v>
      </c>
      <c r="D255" s="22" t="s">
        <v>748</v>
      </c>
      <c r="E255" s="460" t="s">
        <v>42</v>
      </c>
      <c r="F255" s="24">
        <v>10.0</v>
      </c>
      <c r="G255" s="25">
        <v>273.0</v>
      </c>
      <c r="H255" s="26">
        <v>2730.0</v>
      </c>
      <c r="I255" s="27" t="s">
        <v>43</v>
      </c>
      <c r="J255" s="82" t="s">
        <v>740</v>
      </c>
      <c r="K255" s="29">
        <v>43648.0</v>
      </c>
      <c r="L255" s="351">
        <v>43661.0</v>
      </c>
      <c r="M255" s="351">
        <v>43630.0</v>
      </c>
      <c r="N255" s="352" t="s">
        <v>751</v>
      </c>
      <c r="O255" s="352">
        <v>66175.0</v>
      </c>
      <c r="P255" s="461">
        <v>43661.0</v>
      </c>
      <c r="Q255" s="82"/>
      <c r="R255" s="82"/>
      <c r="S255" s="432"/>
      <c r="T255" s="145">
        <v>43668.0</v>
      </c>
      <c r="U255" s="432">
        <f>8493.55*31.03</f>
        <v>263554.8565</v>
      </c>
      <c r="V255" s="432">
        <v>200.0</v>
      </c>
      <c r="W255" s="82" t="s">
        <v>50</v>
      </c>
      <c r="X255" s="82" t="s">
        <v>285</v>
      </c>
      <c r="Y255" s="82" t="s">
        <v>51</v>
      </c>
      <c r="Z255" s="82" t="s">
        <v>52</v>
      </c>
      <c r="AA255" s="459" t="s">
        <v>750</v>
      </c>
    </row>
    <row r="256" ht="15.75" customHeight="1">
      <c r="A256" s="19">
        <v>43523.0</v>
      </c>
      <c r="B256" s="20" t="s">
        <v>40</v>
      </c>
      <c r="C256" s="21">
        <v>2027739.0</v>
      </c>
      <c r="D256" s="22" t="s">
        <v>752</v>
      </c>
      <c r="E256" s="23" t="s">
        <v>61</v>
      </c>
      <c r="F256" s="24">
        <v>10.0</v>
      </c>
      <c r="G256" s="25">
        <v>542.0</v>
      </c>
      <c r="H256" s="26">
        <v>5420.0</v>
      </c>
      <c r="I256" s="27" t="s">
        <v>43</v>
      </c>
      <c r="J256" s="82" t="s">
        <v>740</v>
      </c>
      <c r="K256" s="29">
        <v>43648.0</v>
      </c>
      <c r="L256" s="351">
        <v>43677.0</v>
      </c>
      <c r="M256" s="351">
        <v>43635.0</v>
      </c>
      <c r="N256" s="352" t="s">
        <v>749</v>
      </c>
      <c r="O256" s="352"/>
      <c r="P256" s="351">
        <v>43678.0</v>
      </c>
      <c r="Q256" s="82"/>
      <c r="R256" s="82"/>
      <c r="S256" s="432"/>
      <c r="T256" s="145">
        <v>43668.0</v>
      </c>
      <c r="U256" s="432"/>
      <c r="V256" s="432"/>
      <c r="W256" s="82" t="s">
        <v>50</v>
      </c>
      <c r="X256" s="82" t="s">
        <v>285</v>
      </c>
      <c r="Y256" s="82" t="s">
        <v>51</v>
      </c>
      <c r="Z256" s="82" t="s">
        <v>52</v>
      </c>
      <c r="AA256" s="459" t="s">
        <v>750</v>
      </c>
    </row>
    <row r="257" ht="15.75" customHeight="1">
      <c r="A257" s="19">
        <v>43523.0</v>
      </c>
      <c r="B257" s="20" t="s">
        <v>40</v>
      </c>
      <c r="C257" s="21">
        <v>2027739.0</v>
      </c>
      <c r="D257" s="22" t="s">
        <v>753</v>
      </c>
      <c r="E257" s="23" t="s">
        <v>53</v>
      </c>
      <c r="F257" s="24">
        <v>10.0</v>
      </c>
      <c r="G257" s="25">
        <v>31.0</v>
      </c>
      <c r="H257" s="26">
        <v>310.0</v>
      </c>
      <c r="I257" s="27" t="s">
        <v>43</v>
      </c>
      <c r="J257" s="82" t="s">
        <v>740</v>
      </c>
      <c r="K257" s="146">
        <v>43682.0</v>
      </c>
      <c r="L257" s="351">
        <v>43738.0</v>
      </c>
      <c r="M257" s="351">
        <v>43672.0</v>
      </c>
      <c r="N257" s="352" t="s">
        <v>754</v>
      </c>
      <c r="O257" s="352">
        <v>164133.0</v>
      </c>
      <c r="P257" s="351">
        <v>43738.0</v>
      </c>
      <c r="Q257" s="82"/>
      <c r="R257" s="82"/>
      <c r="S257" s="432"/>
      <c r="T257" s="145">
        <v>43696.0</v>
      </c>
      <c r="U257" s="432"/>
      <c r="V257" s="432"/>
      <c r="W257" s="82" t="s">
        <v>50</v>
      </c>
      <c r="X257" s="298" t="s">
        <v>285</v>
      </c>
      <c r="Y257" s="82" t="s">
        <v>51</v>
      </c>
      <c r="Z257" s="82" t="s">
        <v>52</v>
      </c>
      <c r="AA257" s="234" t="s">
        <v>507</v>
      </c>
    </row>
    <row r="258" ht="15.75" customHeight="1">
      <c r="A258" s="19">
        <v>43523.0</v>
      </c>
      <c r="B258" s="20" t="s">
        <v>40</v>
      </c>
      <c r="C258" s="21">
        <v>2027739.0</v>
      </c>
      <c r="D258" s="22" t="s">
        <v>753</v>
      </c>
      <c r="E258" s="23" t="s">
        <v>59</v>
      </c>
      <c r="F258" s="24">
        <v>10.0</v>
      </c>
      <c r="G258" s="25">
        <v>4.0</v>
      </c>
      <c r="H258" s="26">
        <v>40.0</v>
      </c>
      <c r="I258" s="27" t="s">
        <v>43</v>
      </c>
      <c r="J258" s="82" t="s">
        <v>740</v>
      </c>
      <c r="K258" s="146">
        <v>43682.0</v>
      </c>
      <c r="L258" s="351">
        <v>43738.0</v>
      </c>
      <c r="M258" s="351">
        <v>43672.0</v>
      </c>
      <c r="N258" s="352" t="s">
        <v>754</v>
      </c>
      <c r="O258" s="352"/>
      <c r="P258" s="351">
        <v>43738.0</v>
      </c>
      <c r="Q258" s="82"/>
      <c r="R258" s="82"/>
      <c r="S258" s="432"/>
      <c r="T258" s="145">
        <v>43696.0</v>
      </c>
      <c r="U258" s="432"/>
      <c r="V258" s="432"/>
      <c r="W258" s="82" t="s">
        <v>50</v>
      </c>
      <c r="X258" s="298" t="s">
        <v>285</v>
      </c>
      <c r="Y258" s="82" t="s">
        <v>51</v>
      </c>
      <c r="Z258" s="82" t="s">
        <v>52</v>
      </c>
      <c r="AA258" s="234" t="s">
        <v>507</v>
      </c>
    </row>
    <row r="259" ht="15.75" customHeight="1">
      <c r="A259" s="19">
        <v>43523.0</v>
      </c>
      <c r="B259" s="20" t="s">
        <v>40</v>
      </c>
      <c r="C259" s="21">
        <v>2027739.0</v>
      </c>
      <c r="D259" s="22" t="s">
        <v>753</v>
      </c>
      <c r="E259" s="23" t="s">
        <v>42</v>
      </c>
      <c r="F259" s="24">
        <v>10.0</v>
      </c>
      <c r="G259" s="25">
        <v>273.0</v>
      </c>
      <c r="H259" s="26">
        <v>2730.0</v>
      </c>
      <c r="I259" s="27" t="s">
        <v>43</v>
      </c>
      <c r="J259" s="82" t="s">
        <v>740</v>
      </c>
      <c r="K259" s="146">
        <v>43682.0</v>
      </c>
      <c r="L259" s="351">
        <v>43695.0</v>
      </c>
      <c r="M259" s="351">
        <v>43665.0</v>
      </c>
      <c r="N259" s="352" t="s">
        <v>755</v>
      </c>
      <c r="O259" s="352">
        <v>65262.0</v>
      </c>
      <c r="P259" s="351">
        <v>43696.0</v>
      </c>
      <c r="Q259" s="82"/>
      <c r="R259" s="82"/>
      <c r="S259" s="432"/>
      <c r="T259" s="145">
        <v>43696.0</v>
      </c>
      <c r="U259" s="432">
        <f>8493.61*31.31</f>
        <v>265934.9291</v>
      </c>
      <c r="V259" s="432">
        <f>(8500-8493.61)*31.31</f>
        <v>200.0709</v>
      </c>
      <c r="W259" s="82" t="s">
        <v>50</v>
      </c>
      <c r="X259" s="298" t="s">
        <v>285</v>
      </c>
      <c r="Y259" s="82" t="s">
        <v>51</v>
      </c>
      <c r="Z259" s="82" t="s">
        <v>52</v>
      </c>
      <c r="AA259" s="234" t="s">
        <v>507</v>
      </c>
    </row>
    <row r="260" ht="15.75" customHeight="1">
      <c r="A260" s="19">
        <v>43523.0</v>
      </c>
      <c r="B260" s="20" t="s">
        <v>40</v>
      </c>
      <c r="C260" s="21">
        <v>2027739.0</v>
      </c>
      <c r="D260" s="22" t="s">
        <v>756</v>
      </c>
      <c r="E260" s="23" t="s">
        <v>61</v>
      </c>
      <c r="F260" s="24">
        <v>10.0</v>
      </c>
      <c r="G260" s="25">
        <v>542.0</v>
      </c>
      <c r="H260" s="26">
        <v>5420.0</v>
      </c>
      <c r="I260" s="27" t="s">
        <v>43</v>
      </c>
      <c r="J260" s="82" t="s">
        <v>740</v>
      </c>
      <c r="K260" s="146">
        <v>43682.0</v>
      </c>
      <c r="L260" s="351">
        <v>43738.0</v>
      </c>
      <c r="M260" s="351">
        <v>43672.0</v>
      </c>
      <c r="N260" s="352" t="s">
        <v>754</v>
      </c>
      <c r="O260" s="352"/>
      <c r="P260" s="351">
        <v>43738.0</v>
      </c>
      <c r="Q260" s="82"/>
      <c r="R260" s="82"/>
      <c r="S260" s="432"/>
      <c r="T260" s="145">
        <v>43696.0</v>
      </c>
      <c r="U260" s="432"/>
      <c r="V260" s="432"/>
      <c r="W260" s="82" t="s">
        <v>50</v>
      </c>
      <c r="X260" s="298" t="s">
        <v>285</v>
      </c>
      <c r="Y260" s="82" t="s">
        <v>51</v>
      </c>
      <c r="Z260" s="82" t="s">
        <v>52</v>
      </c>
      <c r="AA260" s="234" t="s">
        <v>507</v>
      </c>
    </row>
    <row r="261" ht="15.75" customHeight="1">
      <c r="A261" s="19">
        <v>43523.0</v>
      </c>
      <c r="B261" s="20" t="s">
        <v>40</v>
      </c>
      <c r="C261" s="21">
        <v>2027739.0</v>
      </c>
      <c r="D261" s="22" t="s">
        <v>757</v>
      </c>
      <c r="E261" s="23" t="s">
        <v>42</v>
      </c>
      <c r="F261" s="24">
        <v>5.0</v>
      </c>
      <c r="G261" s="25">
        <v>273.0</v>
      </c>
      <c r="H261" s="26">
        <v>1365.0</v>
      </c>
      <c r="I261" s="27" t="s">
        <v>43</v>
      </c>
      <c r="J261" s="82" t="s">
        <v>740</v>
      </c>
      <c r="K261" s="29">
        <v>43706.0</v>
      </c>
      <c r="L261" s="351">
        <v>43728.0</v>
      </c>
      <c r="M261" s="351">
        <v>43698.0</v>
      </c>
      <c r="N261" s="352" t="s">
        <v>758</v>
      </c>
      <c r="O261" s="352">
        <v>32975.0</v>
      </c>
      <c r="P261" s="351">
        <v>43728.0</v>
      </c>
      <c r="Q261" s="82"/>
      <c r="R261" s="82"/>
      <c r="S261" s="432"/>
      <c r="T261" s="145">
        <v>43724.0</v>
      </c>
      <c r="U261" s="432">
        <f>4243.53*30.92</f>
        <v>131209.9476</v>
      </c>
      <c r="V261" s="432">
        <f>(4250-4243.53)*30.92</f>
        <v>200.0524</v>
      </c>
      <c r="W261" s="82" t="s">
        <v>50</v>
      </c>
      <c r="X261" s="298" t="s">
        <v>285</v>
      </c>
      <c r="Y261" s="82" t="s">
        <v>51</v>
      </c>
      <c r="Z261" s="82" t="s">
        <v>52</v>
      </c>
      <c r="AA261" s="234" t="s">
        <v>507</v>
      </c>
    </row>
    <row r="262" ht="15.75" customHeight="1">
      <c r="A262" s="19">
        <v>43523.0</v>
      </c>
      <c r="B262" s="20" t="s">
        <v>40</v>
      </c>
      <c r="C262" s="21">
        <v>2027739.0</v>
      </c>
      <c r="D262" s="22" t="s">
        <v>757</v>
      </c>
      <c r="E262" s="23" t="s">
        <v>53</v>
      </c>
      <c r="F262" s="24">
        <v>5.0</v>
      </c>
      <c r="G262" s="25">
        <v>31.0</v>
      </c>
      <c r="H262" s="26">
        <v>155.0</v>
      </c>
      <c r="I262" s="27" t="s">
        <v>43</v>
      </c>
      <c r="J262" s="82" t="s">
        <v>740</v>
      </c>
      <c r="K262" s="29">
        <v>43706.0</v>
      </c>
      <c r="L262" s="461">
        <v>43769.0</v>
      </c>
      <c r="M262" s="351">
        <v>43711.0</v>
      </c>
      <c r="N262" s="352" t="s">
        <v>759</v>
      </c>
      <c r="O262" s="352">
        <v>82992.0</v>
      </c>
      <c r="P262" s="352"/>
      <c r="Q262" s="82"/>
      <c r="R262" s="82"/>
      <c r="S262" s="432"/>
      <c r="T262" s="145">
        <v>43724.0</v>
      </c>
      <c r="U262" s="432"/>
      <c r="V262" s="432"/>
      <c r="W262" s="82" t="s">
        <v>50</v>
      </c>
      <c r="X262" s="298" t="s">
        <v>285</v>
      </c>
      <c r="Y262" s="82" t="s">
        <v>51</v>
      </c>
      <c r="Z262" s="82" t="s">
        <v>52</v>
      </c>
      <c r="AA262" s="234" t="s">
        <v>507</v>
      </c>
    </row>
    <row r="263" ht="15.75" customHeight="1">
      <c r="A263" s="19">
        <v>43523.0</v>
      </c>
      <c r="B263" s="20" t="s">
        <v>40</v>
      </c>
      <c r="C263" s="21">
        <v>2027739.0</v>
      </c>
      <c r="D263" s="22" t="s">
        <v>757</v>
      </c>
      <c r="E263" s="23" t="s">
        <v>59</v>
      </c>
      <c r="F263" s="24">
        <v>5.0</v>
      </c>
      <c r="G263" s="25">
        <v>4.0</v>
      </c>
      <c r="H263" s="26">
        <v>20.0</v>
      </c>
      <c r="I263" s="27" t="s">
        <v>43</v>
      </c>
      <c r="J263" s="82" t="s">
        <v>740</v>
      </c>
      <c r="K263" s="29">
        <v>43706.0</v>
      </c>
      <c r="L263" s="461">
        <v>43769.0</v>
      </c>
      <c r="M263" s="351">
        <v>43711.0</v>
      </c>
      <c r="N263" s="352" t="s">
        <v>759</v>
      </c>
      <c r="O263" s="352"/>
      <c r="P263" s="352"/>
      <c r="Q263" s="82"/>
      <c r="R263" s="82"/>
      <c r="S263" s="432"/>
      <c r="T263" s="145">
        <v>43724.0</v>
      </c>
      <c r="U263" s="432"/>
      <c r="V263" s="432"/>
      <c r="W263" s="82" t="s">
        <v>50</v>
      </c>
      <c r="X263" s="298" t="s">
        <v>285</v>
      </c>
      <c r="Y263" s="82" t="s">
        <v>51</v>
      </c>
      <c r="Z263" s="82" t="s">
        <v>52</v>
      </c>
      <c r="AA263" s="234" t="s">
        <v>507</v>
      </c>
    </row>
    <row r="264" ht="15.75" customHeight="1">
      <c r="A264" s="19">
        <v>43523.0</v>
      </c>
      <c r="B264" s="20" t="s">
        <v>40</v>
      </c>
      <c r="C264" s="21">
        <v>2027739.0</v>
      </c>
      <c r="D264" s="22" t="s">
        <v>760</v>
      </c>
      <c r="E264" s="23" t="s">
        <v>61</v>
      </c>
      <c r="F264" s="24">
        <v>5.0</v>
      </c>
      <c r="G264" s="25">
        <v>542.0</v>
      </c>
      <c r="H264" s="26">
        <v>2710.0</v>
      </c>
      <c r="I264" s="27" t="s">
        <v>43</v>
      </c>
      <c r="J264" s="82" t="s">
        <v>740</v>
      </c>
      <c r="K264" s="29">
        <v>43706.0</v>
      </c>
      <c r="L264" s="461">
        <v>43769.0</v>
      </c>
      <c r="M264" s="351">
        <v>43711.0</v>
      </c>
      <c r="N264" s="352" t="s">
        <v>759</v>
      </c>
      <c r="O264" s="352"/>
      <c r="P264" s="352"/>
      <c r="Q264" s="82"/>
      <c r="R264" s="82"/>
      <c r="S264" s="432"/>
      <c r="T264" s="145">
        <v>43724.0</v>
      </c>
      <c r="U264" s="432"/>
      <c r="V264" s="432"/>
      <c r="W264" s="82" t="s">
        <v>50</v>
      </c>
      <c r="X264" s="298" t="s">
        <v>285</v>
      </c>
      <c r="Y264" s="82" t="s">
        <v>51</v>
      </c>
      <c r="Z264" s="82" t="s">
        <v>52</v>
      </c>
      <c r="AA264" s="234" t="s">
        <v>507</v>
      </c>
    </row>
    <row r="265" ht="15.75" customHeight="1">
      <c r="A265" s="19">
        <v>43523.0</v>
      </c>
      <c r="B265" s="20" t="s">
        <v>40</v>
      </c>
      <c r="C265" s="21">
        <v>2027739.0</v>
      </c>
      <c r="D265" s="22" t="s">
        <v>761</v>
      </c>
      <c r="E265" s="23" t="s">
        <v>53</v>
      </c>
      <c r="F265" s="24">
        <v>5.0</v>
      </c>
      <c r="G265" s="25">
        <v>31.0</v>
      </c>
      <c r="H265" s="26">
        <v>155.0</v>
      </c>
      <c r="I265" s="27" t="s">
        <v>43</v>
      </c>
      <c r="J265" s="82" t="s">
        <v>740</v>
      </c>
      <c r="K265" s="29">
        <v>43740.0</v>
      </c>
      <c r="L265" s="461">
        <v>43769.0</v>
      </c>
      <c r="M265" s="351">
        <v>43732.0</v>
      </c>
      <c r="N265" s="352" t="s">
        <v>762</v>
      </c>
      <c r="O265" s="352">
        <v>81855.0</v>
      </c>
      <c r="P265" s="352"/>
      <c r="Q265" s="82"/>
      <c r="R265" s="82"/>
      <c r="S265" s="432"/>
      <c r="T265" s="30">
        <v>43759.0</v>
      </c>
      <c r="U265" s="432"/>
      <c r="V265" s="432"/>
      <c r="W265" s="82" t="s">
        <v>50</v>
      </c>
      <c r="X265" s="298" t="s">
        <v>285</v>
      </c>
      <c r="Y265" s="82" t="s">
        <v>51</v>
      </c>
      <c r="Z265" s="82" t="s">
        <v>52</v>
      </c>
      <c r="AA265" s="459" t="s">
        <v>763</v>
      </c>
    </row>
    <row r="266" ht="15.75" customHeight="1">
      <c r="A266" s="19">
        <v>43523.0</v>
      </c>
      <c r="B266" s="20" t="s">
        <v>40</v>
      </c>
      <c r="C266" s="21">
        <v>2027739.0</v>
      </c>
      <c r="D266" s="22" t="s">
        <v>761</v>
      </c>
      <c r="E266" s="23" t="s">
        <v>42</v>
      </c>
      <c r="F266" s="24">
        <v>5.0</v>
      </c>
      <c r="G266" s="25">
        <v>273.0</v>
      </c>
      <c r="H266" s="26">
        <v>1365.0</v>
      </c>
      <c r="I266" s="27" t="s">
        <v>43</v>
      </c>
      <c r="J266" s="82" t="s">
        <v>740</v>
      </c>
      <c r="K266" s="29">
        <v>43740.0</v>
      </c>
      <c r="L266" s="461">
        <v>43753.0</v>
      </c>
      <c r="M266" s="351">
        <v>43724.0</v>
      </c>
      <c r="N266" s="352" t="s">
        <v>764</v>
      </c>
      <c r="O266" s="352">
        <v>32608.0</v>
      </c>
      <c r="P266" s="351">
        <v>43743.0</v>
      </c>
      <c r="Q266" s="82"/>
      <c r="R266" s="82"/>
      <c r="S266" s="432"/>
      <c r="T266" s="30">
        <v>43759.0</v>
      </c>
      <c r="U266" s="432">
        <f>4243.44*30.51</f>
        <v>129467.3544</v>
      </c>
      <c r="V266" s="432">
        <f>(4250-4243.44)*30.51</f>
        <v>200.1456</v>
      </c>
      <c r="W266" s="82" t="s">
        <v>50</v>
      </c>
      <c r="X266" s="298" t="s">
        <v>285</v>
      </c>
      <c r="Y266" s="82" t="s">
        <v>51</v>
      </c>
      <c r="Z266" s="82" t="s">
        <v>52</v>
      </c>
      <c r="AA266" s="459" t="s">
        <v>763</v>
      </c>
    </row>
    <row r="267" ht="15.75" customHeight="1">
      <c r="A267" s="19">
        <v>43523.0</v>
      </c>
      <c r="B267" s="20" t="s">
        <v>40</v>
      </c>
      <c r="C267" s="21">
        <v>2027739.0</v>
      </c>
      <c r="D267" s="22" t="s">
        <v>761</v>
      </c>
      <c r="E267" s="23" t="s">
        <v>59</v>
      </c>
      <c r="F267" s="24">
        <v>5.0</v>
      </c>
      <c r="G267" s="25">
        <v>4.0</v>
      </c>
      <c r="H267" s="26">
        <v>20.0</v>
      </c>
      <c r="I267" s="27" t="s">
        <v>43</v>
      </c>
      <c r="J267" s="82" t="s">
        <v>740</v>
      </c>
      <c r="K267" s="29">
        <v>43740.0</v>
      </c>
      <c r="L267" s="461">
        <v>43769.0</v>
      </c>
      <c r="M267" s="351">
        <v>43732.0</v>
      </c>
      <c r="N267" s="352" t="s">
        <v>762</v>
      </c>
      <c r="O267" s="352"/>
      <c r="P267" s="352"/>
      <c r="Q267" s="82"/>
      <c r="R267" s="82"/>
      <c r="S267" s="432"/>
      <c r="T267" s="30">
        <v>43759.0</v>
      </c>
      <c r="U267" s="432"/>
      <c r="V267" s="432"/>
      <c r="W267" s="82" t="s">
        <v>50</v>
      </c>
      <c r="X267" s="298" t="s">
        <v>285</v>
      </c>
      <c r="Y267" s="82" t="s">
        <v>51</v>
      </c>
      <c r="Z267" s="82" t="s">
        <v>52</v>
      </c>
      <c r="AA267" s="459" t="s">
        <v>763</v>
      </c>
    </row>
    <row r="268" ht="15.75" customHeight="1">
      <c r="A268" s="19">
        <v>43523.0</v>
      </c>
      <c r="B268" s="20" t="s">
        <v>40</v>
      </c>
      <c r="C268" s="21">
        <v>2027739.0</v>
      </c>
      <c r="D268" s="22" t="s">
        <v>765</v>
      </c>
      <c r="E268" s="23" t="s">
        <v>61</v>
      </c>
      <c r="F268" s="24">
        <v>5.0</v>
      </c>
      <c r="G268" s="25">
        <v>542.0</v>
      </c>
      <c r="H268" s="26">
        <v>2710.0</v>
      </c>
      <c r="I268" s="27" t="s">
        <v>43</v>
      </c>
      <c r="J268" s="82" t="s">
        <v>740</v>
      </c>
      <c r="K268" s="29">
        <v>43740.0</v>
      </c>
      <c r="L268" s="461">
        <v>43769.0</v>
      </c>
      <c r="M268" s="351">
        <v>43732.0</v>
      </c>
      <c r="N268" s="352" t="s">
        <v>762</v>
      </c>
      <c r="O268" s="352"/>
      <c r="P268" s="352"/>
      <c r="Q268" s="82"/>
      <c r="R268" s="82"/>
      <c r="S268" s="432"/>
      <c r="T268" s="30">
        <v>43759.0</v>
      </c>
      <c r="U268" s="432"/>
      <c r="V268" s="432"/>
      <c r="W268" s="82" t="s">
        <v>50</v>
      </c>
      <c r="X268" s="298" t="s">
        <v>285</v>
      </c>
      <c r="Y268" s="82" t="s">
        <v>51</v>
      </c>
      <c r="Z268" s="82" t="s">
        <v>52</v>
      </c>
      <c r="AA268" s="459" t="s">
        <v>763</v>
      </c>
    </row>
    <row r="269" ht="15.75" customHeight="1">
      <c r="A269" s="19">
        <v>43523.0</v>
      </c>
      <c r="B269" s="20" t="s">
        <v>40</v>
      </c>
      <c r="C269" s="21">
        <v>2027739.0</v>
      </c>
      <c r="D269" s="22" t="s">
        <v>766</v>
      </c>
      <c r="E269" s="23" t="s">
        <v>42</v>
      </c>
      <c r="F269" s="24">
        <v>5.0</v>
      </c>
      <c r="G269" s="25">
        <v>273.0</v>
      </c>
      <c r="H269" s="26">
        <v>1365.0</v>
      </c>
      <c r="I269" s="27" t="s">
        <v>43</v>
      </c>
      <c r="J269" s="82" t="s">
        <v>740</v>
      </c>
      <c r="K269" s="29">
        <v>43773.0</v>
      </c>
      <c r="L269" s="352"/>
      <c r="M269" s="352"/>
      <c r="N269" s="352"/>
      <c r="O269" s="352"/>
      <c r="P269" s="352"/>
      <c r="Q269" s="82"/>
      <c r="R269" s="82"/>
      <c r="S269" s="432"/>
      <c r="T269" s="30">
        <v>43791.0</v>
      </c>
      <c r="U269" s="432">
        <f>8493.43*30.457</f>
        <v>258684.3975</v>
      </c>
      <c r="V269" s="432">
        <f>(8500-8493.43)*30.457</f>
        <v>200.10249</v>
      </c>
      <c r="W269" s="82" t="s">
        <v>50</v>
      </c>
      <c r="X269" s="298" t="s">
        <v>285</v>
      </c>
      <c r="Y269" s="82" t="s">
        <v>51</v>
      </c>
      <c r="Z269" s="82" t="s">
        <v>52</v>
      </c>
      <c r="AA269" s="459" t="s">
        <v>763</v>
      </c>
    </row>
    <row r="270" ht="15.75" customHeight="1">
      <c r="A270" s="19">
        <v>43523.0</v>
      </c>
      <c r="B270" s="20" t="s">
        <v>40</v>
      </c>
      <c r="C270" s="21">
        <v>2027739.0</v>
      </c>
      <c r="D270" s="22" t="s">
        <v>766</v>
      </c>
      <c r="E270" s="23" t="s">
        <v>53</v>
      </c>
      <c r="F270" s="24">
        <v>5.0</v>
      </c>
      <c r="G270" s="25">
        <v>31.0</v>
      </c>
      <c r="H270" s="26">
        <v>155.0</v>
      </c>
      <c r="I270" s="27" t="s">
        <v>43</v>
      </c>
      <c r="J270" s="82" t="s">
        <v>740</v>
      </c>
      <c r="K270" s="29">
        <v>43773.0</v>
      </c>
      <c r="L270" s="461">
        <v>43830.0</v>
      </c>
      <c r="M270" s="461">
        <v>43766.0</v>
      </c>
      <c r="N270" s="352" t="s">
        <v>767</v>
      </c>
      <c r="O270" s="352"/>
      <c r="P270" s="352"/>
      <c r="Q270" s="82"/>
      <c r="R270" s="82"/>
      <c r="S270" s="432"/>
      <c r="T270" s="30">
        <v>43791.0</v>
      </c>
      <c r="U270" s="432"/>
      <c r="V270" s="432"/>
      <c r="W270" s="82" t="s">
        <v>50</v>
      </c>
      <c r="X270" s="298" t="s">
        <v>285</v>
      </c>
      <c r="Y270" s="82" t="s">
        <v>51</v>
      </c>
      <c r="Z270" s="82" t="s">
        <v>52</v>
      </c>
      <c r="AA270" s="459" t="s">
        <v>763</v>
      </c>
    </row>
    <row r="271" ht="15.75" customHeight="1">
      <c r="A271" s="19">
        <v>43523.0</v>
      </c>
      <c r="B271" s="20" t="s">
        <v>40</v>
      </c>
      <c r="C271" s="21">
        <v>2027739.0</v>
      </c>
      <c r="D271" s="22" t="s">
        <v>766</v>
      </c>
      <c r="E271" s="23" t="s">
        <v>59</v>
      </c>
      <c r="F271" s="24">
        <v>5.0</v>
      </c>
      <c r="G271" s="25">
        <v>4.0</v>
      </c>
      <c r="H271" s="26">
        <v>20.0</v>
      </c>
      <c r="I271" s="27" t="s">
        <v>43</v>
      </c>
      <c r="J271" s="82" t="s">
        <v>740</v>
      </c>
      <c r="K271" s="29">
        <v>43773.0</v>
      </c>
      <c r="L271" s="461">
        <v>43830.0</v>
      </c>
      <c r="M271" s="461">
        <v>43766.0</v>
      </c>
      <c r="N271" s="352" t="s">
        <v>767</v>
      </c>
      <c r="O271" s="352"/>
      <c r="P271" s="352"/>
      <c r="Q271" s="82"/>
      <c r="R271" s="82"/>
      <c r="S271" s="432"/>
      <c r="T271" s="30">
        <v>43791.0</v>
      </c>
      <c r="U271" s="432"/>
      <c r="V271" s="432"/>
      <c r="W271" s="82" t="s">
        <v>50</v>
      </c>
      <c r="X271" s="298" t="s">
        <v>285</v>
      </c>
      <c r="Y271" s="82" t="s">
        <v>51</v>
      </c>
      <c r="Z271" s="82" t="s">
        <v>52</v>
      </c>
      <c r="AA271" s="459" t="s">
        <v>763</v>
      </c>
    </row>
    <row r="272" ht="15.75" customHeight="1">
      <c r="A272" s="19">
        <v>43523.0</v>
      </c>
      <c r="B272" s="20" t="s">
        <v>40</v>
      </c>
      <c r="C272" s="21">
        <v>2027739.0</v>
      </c>
      <c r="D272" s="22" t="s">
        <v>768</v>
      </c>
      <c r="E272" s="23" t="s">
        <v>61</v>
      </c>
      <c r="F272" s="24">
        <v>5.0</v>
      </c>
      <c r="G272" s="25">
        <v>542.0</v>
      </c>
      <c r="H272" s="26">
        <v>2710.0</v>
      </c>
      <c r="I272" s="27" t="s">
        <v>43</v>
      </c>
      <c r="J272" s="82" t="s">
        <v>740</v>
      </c>
      <c r="K272" s="29">
        <v>43773.0</v>
      </c>
      <c r="L272" s="461">
        <v>43830.0</v>
      </c>
      <c r="M272" s="461">
        <v>43766.0</v>
      </c>
      <c r="N272" s="352" t="s">
        <v>767</v>
      </c>
      <c r="O272" s="352"/>
      <c r="P272" s="352"/>
      <c r="Q272" s="82"/>
      <c r="R272" s="82"/>
      <c r="S272" s="432"/>
      <c r="T272" s="30">
        <v>43791.0</v>
      </c>
      <c r="U272" s="432"/>
      <c r="V272" s="432"/>
      <c r="W272" s="82" t="s">
        <v>50</v>
      </c>
      <c r="X272" s="298" t="s">
        <v>285</v>
      </c>
      <c r="Y272" s="82" t="s">
        <v>51</v>
      </c>
      <c r="Z272" s="82" t="s">
        <v>52</v>
      </c>
      <c r="AA272" s="459" t="s">
        <v>763</v>
      </c>
    </row>
    <row r="273" ht="15.75" customHeight="1">
      <c r="A273" s="19">
        <v>43523.0</v>
      </c>
      <c r="B273" s="20" t="s">
        <v>40</v>
      </c>
      <c r="C273" s="21">
        <v>2027739.0</v>
      </c>
      <c r="D273" s="22" t="s">
        <v>769</v>
      </c>
      <c r="E273" s="23" t="s">
        <v>42</v>
      </c>
      <c r="F273" s="24">
        <v>5.0</v>
      </c>
      <c r="G273" s="25">
        <v>273.0</v>
      </c>
      <c r="H273" s="26">
        <v>1365.0</v>
      </c>
      <c r="I273" s="27" t="s">
        <v>43</v>
      </c>
      <c r="J273" s="82" t="s">
        <v>740</v>
      </c>
      <c r="K273" s="29">
        <v>43773.0</v>
      </c>
      <c r="L273" s="461">
        <v>43786.0</v>
      </c>
      <c r="M273" s="461">
        <v>43756.0</v>
      </c>
      <c r="N273" s="352" t="s">
        <v>64</v>
      </c>
      <c r="O273" s="352">
        <v>64430.0</v>
      </c>
      <c r="P273" s="352"/>
      <c r="Q273" s="82"/>
      <c r="R273" s="82"/>
      <c r="S273" s="432"/>
      <c r="T273" s="30">
        <v>43791.0</v>
      </c>
      <c r="U273" s="432"/>
      <c r="V273" s="432"/>
      <c r="W273" s="82" t="s">
        <v>50</v>
      </c>
      <c r="X273" s="298" t="s">
        <v>285</v>
      </c>
      <c r="Y273" s="82" t="s">
        <v>51</v>
      </c>
      <c r="Z273" s="82" t="s">
        <v>52</v>
      </c>
      <c r="AA273" s="459" t="s">
        <v>763</v>
      </c>
    </row>
    <row r="274" ht="15.75" customHeight="1">
      <c r="A274" s="19">
        <v>43523.0</v>
      </c>
      <c r="B274" s="20" t="s">
        <v>40</v>
      </c>
      <c r="C274" s="21">
        <v>2027739.0</v>
      </c>
      <c r="D274" s="22" t="s">
        <v>769</v>
      </c>
      <c r="E274" s="23" t="s">
        <v>53</v>
      </c>
      <c r="F274" s="24">
        <v>5.0</v>
      </c>
      <c r="G274" s="25">
        <v>31.0</v>
      </c>
      <c r="H274" s="26">
        <v>155.0</v>
      </c>
      <c r="I274" s="27" t="s">
        <v>43</v>
      </c>
      <c r="J274" s="82" t="s">
        <v>740</v>
      </c>
      <c r="K274" s="29">
        <v>43773.0</v>
      </c>
      <c r="L274" s="461">
        <v>43830.0</v>
      </c>
      <c r="M274" s="461">
        <v>43766.0</v>
      </c>
      <c r="N274" s="352" t="s">
        <v>767</v>
      </c>
      <c r="O274" s="352">
        <v>161833.0</v>
      </c>
      <c r="P274" s="352"/>
      <c r="Q274" s="82"/>
      <c r="R274" s="82"/>
      <c r="S274" s="432"/>
      <c r="T274" s="30">
        <v>43791.0</v>
      </c>
      <c r="U274" s="432"/>
      <c r="V274" s="432"/>
      <c r="W274" s="82" t="s">
        <v>50</v>
      </c>
      <c r="X274" s="298" t="s">
        <v>285</v>
      </c>
      <c r="Y274" s="82" t="s">
        <v>51</v>
      </c>
      <c r="Z274" s="82" t="s">
        <v>52</v>
      </c>
      <c r="AA274" s="459" t="s">
        <v>763</v>
      </c>
    </row>
    <row r="275" ht="15.75" customHeight="1">
      <c r="A275" s="19">
        <v>43523.0</v>
      </c>
      <c r="B275" s="20" t="s">
        <v>40</v>
      </c>
      <c r="C275" s="21">
        <v>2027739.0</v>
      </c>
      <c r="D275" s="22" t="s">
        <v>769</v>
      </c>
      <c r="E275" s="23" t="s">
        <v>59</v>
      </c>
      <c r="F275" s="24">
        <v>5.0</v>
      </c>
      <c r="G275" s="25">
        <v>4.0</v>
      </c>
      <c r="H275" s="26">
        <v>20.0</v>
      </c>
      <c r="I275" s="27" t="s">
        <v>43</v>
      </c>
      <c r="J275" s="82" t="s">
        <v>740</v>
      </c>
      <c r="K275" s="29">
        <v>43773.0</v>
      </c>
      <c r="L275" s="461">
        <v>43830.0</v>
      </c>
      <c r="M275" s="461">
        <v>43766.0</v>
      </c>
      <c r="N275" s="352" t="s">
        <v>767</v>
      </c>
      <c r="O275" s="352"/>
      <c r="P275" s="352"/>
      <c r="Q275" s="82"/>
      <c r="R275" s="82"/>
      <c r="S275" s="432"/>
      <c r="T275" s="30">
        <v>43791.0</v>
      </c>
      <c r="U275" s="432"/>
      <c r="V275" s="432"/>
      <c r="W275" s="82" t="s">
        <v>50</v>
      </c>
      <c r="X275" s="298" t="s">
        <v>285</v>
      </c>
      <c r="Y275" s="82" t="s">
        <v>51</v>
      </c>
      <c r="Z275" s="82" t="s">
        <v>52</v>
      </c>
      <c r="AA275" s="459" t="s">
        <v>763</v>
      </c>
    </row>
    <row r="276" ht="15.75" customHeight="1">
      <c r="A276" s="19">
        <v>43523.0</v>
      </c>
      <c r="B276" s="20" t="s">
        <v>40</v>
      </c>
      <c r="C276" s="21">
        <v>2027739.0</v>
      </c>
      <c r="D276" s="22" t="s">
        <v>770</v>
      </c>
      <c r="E276" s="23" t="s">
        <v>61</v>
      </c>
      <c r="F276" s="24">
        <v>5.0</v>
      </c>
      <c r="G276" s="25">
        <v>542.0</v>
      </c>
      <c r="H276" s="26">
        <v>2710.0</v>
      </c>
      <c r="I276" s="27" t="s">
        <v>43</v>
      </c>
      <c r="J276" s="82" t="s">
        <v>740</v>
      </c>
      <c r="K276" s="29">
        <v>43773.0</v>
      </c>
      <c r="L276" s="461">
        <v>43830.0</v>
      </c>
      <c r="M276" s="461">
        <v>43766.0</v>
      </c>
      <c r="N276" s="352" t="s">
        <v>767</v>
      </c>
      <c r="O276" s="352"/>
      <c r="P276" s="352"/>
      <c r="Q276" s="82"/>
      <c r="R276" s="82"/>
      <c r="S276" s="432"/>
      <c r="T276" s="30">
        <v>43791.0</v>
      </c>
      <c r="U276" s="432"/>
      <c r="V276" s="432"/>
      <c r="W276" s="82" t="s">
        <v>50</v>
      </c>
      <c r="X276" s="298" t="s">
        <v>285</v>
      </c>
      <c r="Y276" s="82" t="s">
        <v>51</v>
      </c>
      <c r="Z276" s="82" t="s">
        <v>52</v>
      </c>
      <c r="AA276" s="459" t="s">
        <v>763</v>
      </c>
    </row>
    <row r="277" ht="15.75" customHeight="1">
      <c r="A277" s="19">
        <v>43524.0</v>
      </c>
      <c r="B277" s="70" t="s">
        <v>579</v>
      </c>
      <c r="C277" s="21">
        <v>2.0190227001E10</v>
      </c>
      <c r="D277" s="22" t="s">
        <v>771</v>
      </c>
      <c r="E277" s="23" t="s">
        <v>772</v>
      </c>
      <c r="F277" s="82">
        <v>1.0</v>
      </c>
      <c r="G277" s="143">
        <v>96.6</v>
      </c>
      <c r="H277" s="26">
        <v>96.6</v>
      </c>
      <c r="I277" s="431" t="s">
        <v>171</v>
      </c>
      <c r="J277" s="161" t="s">
        <v>582</v>
      </c>
      <c r="K277" s="30">
        <v>43532.0</v>
      </c>
      <c r="L277" s="354">
        <v>43585.0</v>
      </c>
      <c r="M277" s="413">
        <v>43530.0</v>
      </c>
      <c r="N277" s="342" t="s">
        <v>773</v>
      </c>
      <c r="O277" s="414">
        <v>2589.0</v>
      </c>
      <c r="P277" s="451">
        <v>43586.0</v>
      </c>
      <c r="Q277" s="24"/>
      <c r="R277" s="24"/>
      <c r="S277" s="38"/>
      <c r="T277" s="39">
        <v>43546.0</v>
      </c>
      <c r="U277" s="38"/>
      <c r="V277" s="38"/>
      <c r="W277" s="24" t="s">
        <v>50</v>
      </c>
      <c r="X277" s="24" t="s">
        <v>285</v>
      </c>
      <c r="Y277" s="24" t="s">
        <v>51</v>
      </c>
      <c r="Z277" s="24" t="s">
        <v>377</v>
      </c>
      <c r="AA277" s="40"/>
    </row>
    <row r="278" ht="15.75" customHeight="1">
      <c r="A278" s="19">
        <v>43526.0</v>
      </c>
      <c r="B278" s="70" t="s">
        <v>119</v>
      </c>
      <c r="C278" s="21" t="s">
        <v>774</v>
      </c>
      <c r="D278" s="21" t="s">
        <v>775</v>
      </c>
      <c r="E278" s="23" t="s">
        <v>325</v>
      </c>
      <c r="F278" s="24">
        <v>10.0</v>
      </c>
      <c r="G278" s="143">
        <v>577.0</v>
      </c>
      <c r="H278" s="165">
        <v>5770.0</v>
      </c>
      <c r="I278" s="348" t="s">
        <v>171</v>
      </c>
      <c r="J278" s="82" t="s">
        <v>122</v>
      </c>
      <c r="K278" s="30">
        <v>43564.0</v>
      </c>
      <c r="L278" s="294">
        <v>43585.0</v>
      </c>
      <c r="M278" s="410">
        <v>43545.0</v>
      </c>
      <c r="N278" s="296" t="s">
        <v>776</v>
      </c>
      <c r="O278" s="297">
        <v>429500.0</v>
      </c>
      <c r="P278" s="302">
        <v>43586.0</v>
      </c>
      <c r="Q278" s="54"/>
      <c r="R278" s="54">
        <v>30.77</v>
      </c>
      <c r="S278" s="55">
        <f t="shared" ref="S278:S280" si="6">R278*H278</f>
        <v>177542.9</v>
      </c>
      <c r="T278" s="56">
        <v>43563.0</v>
      </c>
      <c r="U278" s="55"/>
      <c r="V278" s="55"/>
      <c r="W278" s="54" t="s">
        <v>50</v>
      </c>
      <c r="X278" s="24" t="s">
        <v>285</v>
      </c>
      <c r="Y278" s="54" t="s">
        <v>51</v>
      </c>
      <c r="Z278" s="54" t="s">
        <v>52</v>
      </c>
      <c r="AA278" s="57" t="s">
        <v>398</v>
      </c>
    </row>
    <row r="279" ht="15.75" customHeight="1">
      <c r="A279" s="19">
        <v>43526.0</v>
      </c>
      <c r="B279" s="70" t="s">
        <v>119</v>
      </c>
      <c r="C279" s="21" t="s">
        <v>774</v>
      </c>
      <c r="D279" s="21" t="s">
        <v>775</v>
      </c>
      <c r="E279" s="23" t="s">
        <v>566</v>
      </c>
      <c r="F279" s="24">
        <v>100.0</v>
      </c>
      <c r="G279" s="25">
        <v>105.0</v>
      </c>
      <c r="H279" s="60">
        <v>10500.0</v>
      </c>
      <c r="I279" s="348" t="s">
        <v>171</v>
      </c>
      <c r="J279" s="82" t="s">
        <v>122</v>
      </c>
      <c r="K279" s="30">
        <v>43564.0</v>
      </c>
      <c r="L279" s="294">
        <v>43585.0</v>
      </c>
      <c r="M279" s="410">
        <v>43545.0</v>
      </c>
      <c r="N279" s="296" t="s">
        <v>776</v>
      </c>
      <c r="O279" s="296"/>
      <c r="P279" s="302">
        <v>43586.0</v>
      </c>
      <c r="Q279" s="54"/>
      <c r="R279" s="54">
        <v>30.77</v>
      </c>
      <c r="S279" s="55">
        <f t="shared" si="6"/>
        <v>323085</v>
      </c>
      <c r="T279" s="56">
        <v>43563.0</v>
      </c>
      <c r="U279" s="55"/>
      <c r="V279" s="55"/>
      <c r="W279" s="54" t="s">
        <v>50</v>
      </c>
      <c r="X279" s="24" t="s">
        <v>285</v>
      </c>
      <c r="Y279" s="54" t="s">
        <v>51</v>
      </c>
      <c r="Z279" s="54" t="s">
        <v>52</v>
      </c>
      <c r="AA279" s="57" t="s">
        <v>398</v>
      </c>
    </row>
    <row r="280" ht="15.75" customHeight="1">
      <c r="A280" s="19">
        <v>43526.0</v>
      </c>
      <c r="B280" s="70" t="s">
        <v>119</v>
      </c>
      <c r="C280" s="21" t="s">
        <v>774</v>
      </c>
      <c r="D280" s="21" t="s">
        <v>775</v>
      </c>
      <c r="E280" s="23" t="s">
        <v>152</v>
      </c>
      <c r="F280" s="82">
        <v>10.0</v>
      </c>
      <c r="G280" s="143">
        <v>1045.0</v>
      </c>
      <c r="H280" s="60">
        <v>10450.0</v>
      </c>
      <c r="I280" s="348" t="s">
        <v>171</v>
      </c>
      <c r="J280" s="82" t="s">
        <v>122</v>
      </c>
      <c r="K280" s="30">
        <v>43564.0</v>
      </c>
      <c r="L280" s="354">
        <v>43616.0</v>
      </c>
      <c r="M280" s="451">
        <v>43558.0</v>
      </c>
      <c r="N280" s="342" t="s">
        <v>777</v>
      </c>
      <c r="O280" s="342">
        <v>297238.0</v>
      </c>
      <c r="P280" s="451">
        <v>43616.0</v>
      </c>
      <c r="Q280" s="82"/>
      <c r="R280" s="298">
        <v>30.77</v>
      </c>
      <c r="S280" s="299">
        <f t="shared" si="6"/>
        <v>321546.5</v>
      </c>
      <c r="T280" s="145">
        <v>43589.0</v>
      </c>
      <c r="U280" s="432"/>
      <c r="V280" s="432"/>
      <c r="W280" s="82" t="s">
        <v>50</v>
      </c>
      <c r="X280" s="298" t="s">
        <v>285</v>
      </c>
      <c r="Y280" s="82" t="s">
        <v>51</v>
      </c>
      <c r="Z280" s="82" t="s">
        <v>52</v>
      </c>
      <c r="AA280" s="234" t="s">
        <v>305</v>
      </c>
    </row>
    <row r="281" ht="15.75" customHeight="1">
      <c r="A281" s="69">
        <v>43527.0</v>
      </c>
      <c r="B281" s="265" t="s">
        <v>621</v>
      </c>
      <c r="C281" s="252"/>
      <c r="D281" s="252" t="s">
        <v>778</v>
      </c>
      <c r="E281" s="23" t="s">
        <v>779</v>
      </c>
      <c r="F281" s="253">
        <v>2.0</v>
      </c>
      <c r="G281" s="325">
        <v>1002.75</v>
      </c>
      <c r="H281" s="336">
        <v>2005.5</v>
      </c>
      <c r="I281" s="256" t="s">
        <v>43</v>
      </c>
      <c r="J281" s="369" t="s">
        <v>90</v>
      </c>
      <c r="K281" s="258">
        <v>43538.0</v>
      </c>
      <c r="L281" s="260">
        <v>43585.0</v>
      </c>
      <c r="M281" s="260">
        <v>43537.0</v>
      </c>
      <c r="N281" s="261" t="s">
        <v>780</v>
      </c>
      <c r="O281" s="272">
        <v>132874.0</v>
      </c>
      <c r="P281" s="370">
        <v>43586.0</v>
      </c>
      <c r="Q281" s="253"/>
      <c r="R281" s="253"/>
      <c r="S281" s="262"/>
      <c r="T281" s="263">
        <v>43546.0</v>
      </c>
      <c r="U281" s="262"/>
      <c r="V281" s="262"/>
      <c r="W281" s="253" t="s">
        <v>50</v>
      </c>
      <c r="X281" s="253" t="s">
        <v>285</v>
      </c>
      <c r="Y281" s="253" t="s">
        <v>51</v>
      </c>
      <c r="Z281" s="253" t="s">
        <v>377</v>
      </c>
      <c r="AA281" s="264"/>
    </row>
    <row r="282" ht="15.75" customHeight="1">
      <c r="A282" s="69">
        <v>43527.0</v>
      </c>
      <c r="B282" s="265" t="s">
        <v>621</v>
      </c>
      <c r="C282" s="252"/>
      <c r="D282" s="252" t="s">
        <v>778</v>
      </c>
      <c r="E282" s="23" t="s">
        <v>781</v>
      </c>
      <c r="F282" s="253">
        <v>2.0</v>
      </c>
      <c r="G282" s="325">
        <v>59.85</v>
      </c>
      <c r="H282" s="336">
        <v>119.7</v>
      </c>
      <c r="I282" s="256" t="s">
        <v>43</v>
      </c>
      <c r="J282" s="369" t="s">
        <v>90</v>
      </c>
      <c r="K282" s="258">
        <v>43538.0</v>
      </c>
      <c r="L282" s="260">
        <v>43585.0</v>
      </c>
      <c r="M282" s="260">
        <v>43537.0</v>
      </c>
      <c r="N282" s="261" t="s">
        <v>780</v>
      </c>
      <c r="O282" s="261"/>
      <c r="P282" s="370">
        <v>43586.0</v>
      </c>
      <c r="Q282" s="253"/>
      <c r="R282" s="253"/>
      <c r="S282" s="262"/>
      <c r="T282" s="263">
        <v>43546.0</v>
      </c>
      <c r="U282" s="262"/>
      <c r="V282" s="262"/>
      <c r="W282" s="253" t="s">
        <v>50</v>
      </c>
      <c r="X282" s="253" t="s">
        <v>285</v>
      </c>
      <c r="Y282" s="253" t="s">
        <v>51</v>
      </c>
      <c r="Z282" s="253" t="s">
        <v>377</v>
      </c>
      <c r="AA282" s="264"/>
    </row>
    <row r="283" ht="15.75" customHeight="1">
      <c r="A283" s="69">
        <v>43527.0</v>
      </c>
      <c r="B283" s="265" t="s">
        <v>621</v>
      </c>
      <c r="C283" s="252"/>
      <c r="D283" s="252" t="s">
        <v>778</v>
      </c>
      <c r="E283" s="23" t="s">
        <v>782</v>
      </c>
      <c r="F283" s="253">
        <v>4.0</v>
      </c>
      <c r="G283" s="254">
        <v>95.55</v>
      </c>
      <c r="H283" s="336">
        <v>382.2</v>
      </c>
      <c r="I283" s="266" t="s">
        <v>43</v>
      </c>
      <c r="J283" s="369" t="s">
        <v>90</v>
      </c>
      <c r="K283" s="258">
        <v>43538.0</v>
      </c>
      <c r="L283" s="260">
        <v>43585.0</v>
      </c>
      <c r="M283" s="260">
        <v>43537.0</v>
      </c>
      <c r="N283" s="261" t="s">
        <v>780</v>
      </c>
      <c r="O283" s="261"/>
      <c r="P283" s="370">
        <v>43586.0</v>
      </c>
      <c r="Q283" s="253"/>
      <c r="R283" s="253"/>
      <c r="S283" s="262"/>
      <c r="T283" s="263">
        <v>43546.0</v>
      </c>
      <c r="U283" s="262"/>
      <c r="V283" s="262"/>
      <c r="W283" s="253" t="s">
        <v>50</v>
      </c>
      <c r="X283" s="253" t="s">
        <v>285</v>
      </c>
      <c r="Y283" s="253" t="s">
        <v>51</v>
      </c>
      <c r="Z283" s="253" t="s">
        <v>377</v>
      </c>
      <c r="AA283" s="264"/>
    </row>
    <row r="284" ht="15.75" customHeight="1">
      <c r="A284" s="69">
        <v>43527.0</v>
      </c>
      <c r="B284" s="265" t="s">
        <v>621</v>
      </c>
      <c r="C284" s="252"/>
      <c r="D284" s="252" t="s">
        <v>778</v>
      </c>
      <c r="E284" s="23" t="s">
        <v>783</v>
      </c>
      <c r="F284" s="253">
        <v>8.0</v>
      </c>
      <c r="G284" s="254">
        <v>245.7</v>
      </c>
      <c r="H284" s="336">
        <v>1965.6</v>
      </c>
      <c r="I284" s="266" t="s">
        <v>43</v>
      </c>
      <c r="J284" s="321" t="s">
        <v>90</v>
      </c>
      <c r="K284" s="258">
        <v>43538.0</v>
      </c>
      <c r="L284" s="260">
        <v>43585.0</v>
      </c>
      <c r="M284" s="260">
        <v>43537.0</v>
      </c>
      <c r="N284" s="261" t="s">
        <v>780</v>
      </c>
      <c r="O284" s="261"/>
      <c r="P284" s="370">
        <v>43586.0</v>
      </c>
      <c r="Q284" s="253"/>
      <c r="R284" s="253"/>
      <c r="S284" s="262"/>
      <c r="T284" s="263">
        <v>43546.0</v>
      </c>
      <c r="U284" s="262"/>
      <c r="V284" s="262"/>
      <c r="W284" s="253" t="s">
        <v>50</v>
      </c>
      <c r="X284" s="253" t="s">
        <v>285</v>
      </c>
      <c r="Y284" s="253" t="s">
        <v>51</v>
      </c>
      <c r="Z284" s="253" t="s">
        <v>377</v>
      </c>
      <c r="AA284" s="264"/>
    </row>
    <row r="285" ht="15.75" customHeight="1">
      <c r="A285" s="69">
        <v>43527.0</v>
      </c>
      <c r="B285" s="265" t="s">
        <v>621</v>
      </c>
      <c r="C285" s="252"/>
      <c r="D285" s="252" t="s">
        <v>778</v>
      </c>
      <c r="E285" s="23" t="s">
        <v>784</v>
      </c>
      <c r="F285" s="253">
        <v>2.0</v>
      </c>
      <c r="G285" s="254">
        <v>113.4</v>
      </c>
      <c r="H285" s="336">
        <v>226.8</v>
      </c>
      <c r="I285" s="266" t="s">
        <v>43</v>
      </c>
      <c r="J285" s="321" t="s">
        <v>90</v>
      </c>
      <c r="K285" s="258">
        <v>43538.0</v>
      </c>
      <c r="L285" s="260">
        <v>43585.0</v>
      </c>
      <c r="M285" s="260">
        <v>43537.0</v>
      </c>
      <c r="N285" s="261" t="s">
        <v>780</v>
      </c>
      <c r="O285" s="261"/>
      <c r="P285" s="370">
        <v>43586.0</v>
      </c>
      <c r="Q285" s="253"/>
      <c r="R285" s="253"/>
      <c r="S285" s="262"/>
      <c r="T285" s="263">
        <v>43546.0</v>
      </c>
      <c r="U285" s="262"/>
      <c r="V285" s="262"/>
      <c r="W285" s="253" t="s">
        <v>50</v>
      </c>
      <c r="X285" s="253" t="s">
        <v>285</v>
      </c>
      <c r="Y285" s="253" t="s">
        <v>51</v>
      </c>
      <c r="Z285" s="253" t="s">
        <v>377</v>
      </c>
      <c r="AA285" s="264"/>
    </row>
    <row r="286" ht="15.75" customHeight="1">
      <c r="A286" s="69">
        <v>43528.0</v>
      </c>
      <c r="B286" s="70" t="s">
        <v>101</v>
      </c>
      <c r="C286" s="21" t="s">
        <v>785</v>
      </c>
      <c r="D286" s="21" t="s">
        <v>786</v>
      </c>
      <c r="E286" s="23" t="s">
        <v>787</v>
      </c>
      <c r="F286" s="24">
        <v>5.0</v>
      </c>
      <c r="G286" s="25">
        <v>399.0</v>
      </c>
      <c r="H286" s="60">
        <v>1995.0</v>
      </c>
      <c r="I286" s="87" t="s">
        <v>703</v>
      </c>
      <c r="J286" s="439" t="s">
        <v>534</v>
      </c>
      <c r="K286" s="29">
        <v>43552.0</v>
      </c>
      <c r="L286" s="295">
        <v>43560.0</v>
      </c>
      <c r="M286" s="295">
        <v>43544.0</v>
      </c>
      <c r="N286" s="296" t="s">
        <v>788</v>
      </c>
      <c r="O286" s="297">
        <v>54075.0</v>
      </c>
      <c r="P286" s="295">
        <v>43558.0</v>
      </c>
      <c r="Q286" s="298"/>
      <c r="R286" s="298">
        <v>30.825</v>
      </c>
      <c r="S286" s="299"/>
      <c r="T286" s="300">
        <v>43602.0</v>
      </c>
      <c r="U286" s="299"/>
      <c r="V286" s="299"/>
      <c r="W286" s="298" t="s">
        <v>50</v>
      </c>
      <c r="X286" s="298" t="s">
        <v>285</v>
      </c>
      <c r="Y286" s="298" t="s">
        <v>51</v>
      </c>
      <c r="Z286" s="298" t="s">
        <v>52</v>
      </c>
      <c r="AA286" s="234" t="s">
        <v>305</v>
      </c>
    </row>
    <row r="287" ht="15.75" customHeight="1">
      <c r="A287" s="69">
        <v>43528.0</v>
      </c>
      <c r="B287" s="70" t="s">
        <v>101</v>
      </c>
      <c r="C287" s="21" t="s">
        <v>785</v>
      </c>
      <c r="D287" s="21" t="s">
        <v>789</v>
      </c>
      <c r="E287" s="23" t="s">
        <v>342</v>
      </c>
      <c r="F287" s="24">
        <v>4.0</v>
      </c>
      <c r="G287" s="25">
        <v>45.0</v>
      </c>
      <c r="H287" s="60">
        <v>180.0</v>
      </c>
      <c r="I287" s="61" t="s">
        <v>703</v>
      </c>
      <c r="J287" s="50" t="s">
        <v>534</v>
      </c>
      <c r="K287" s="30">
        <v>43557.0</v>
      </c>
      <c r="L287" s="462">
        <v>43616.0</v>
      </c>
      <c r="M287" s="462">
        <v>43552.0</v>
      </c>
      <c r="N287" s="306" t="s">
        <v>790</v>
      </c>
      <c r="O287" s="306"/>
      <c r="P287" s="462">
        <v>43616.0</v>
      </c>
      <c r="Q287" s="298"/>
      <c r="R287" s="298">
        <v>30.77</v>
      </c>
      <c r="S287" s="299">
        <f t="shared" ref="S287:S291" si="7">H287*R287</f>
        <v>5538.6</v>
      </c>
      <c r="T287" s="300">
        <v>43602.0</v>
      </c>
      <c r="U287" s="299"/>
      <c r="V287" s="299"/>
      <c r="W287" s="298" t="s">
        <v>50</v>
      </c>
      <c r="X287" s="298" t="s">
        <v>285</v>
      </c>
      <c r="Y287" s="298" t="s">
        <v>51</v>
      </c>
      <c r="Z287" s="298" t="s">
        <v>52</v>
      </c>
      <c r="AA287" s="234" t="s">
        <v>305</v>
      </c>
    </row>
    <row r="288" ht="15.75" customHeight="1">
      <c r="A288" s="69">
        <v>43528.0</v>
      </c>
      <c r="B288" s="70" t="s">
        <v>101</v>
      </c>
      <c r="C288" s="21" t="s">
        <v>785</v>
      </c>
      <c r="D288" s="21" t="s">
        <v>789</v>
      </c>
      <c r="E288" s="23" t="s">
        <v>791</v>
      </c>
      <c r="F288" s="24">
        <v>4.0</v>
      </c>
      <c r="G288" s="25">
        <v>12.0</v>
      </c>
      <c r="H288" s="60">
        <v>48.0</v>
      </c>
      <c r="I288" s="61" t="s">
        <v>703</v>
      </c>
      <c r="J288" s="50" t="s">
        <v>534</v>
      </c>
      <c r="K288" s="30">
        <v>43557.0</v>
      </c>
      <c r="L288" s="296"/>
      <c r="M288" s="410">
        <v>43531.0</v>
      </c>
      <c r="N288" s="296" t="s">
        <v>792</v>
      </c>
      <c r="O288" s="397"/>
      <c r="P288" s="295">
        <v>43564.0</v>
      </c>
      <c r="Q288" s="298"/>
      <c r="R288" s="298">
        <v>30.77</v>
      </c>
      <c r="S288" s="299">
        <f t="shared" si="7"/>
        <v>1476.96</v>
      </c>
      <c r="T288" s="300">
        <v>43602.0</v>
      </c>
      <c r="U288" s="299"/>
      <c r="V288" s="299"/>
      <c r="W288" s="298" t="s">
        <v>50</v>
      </c>
      <c r="X288" s="298" t="s">
        <v>285</v>
      </c>
      <c r="Y288" s="298" t="s">
        <v>51</v>
      </c>
      <c r="Z288" s="298" t="s">
        <v>52</v>
      </c>
      <c r="AA288" s="234" t="s">
        <v>305</v>
      </c>
    </row>
    <row r="289" ht="15.75" customHeight="1">
      <c r="A289" s="69">
        <v>43528.0</v>
      </c>
      <c r="B289" s="70" t="s">
        <v>101</v>
      </c>
      <c r="C289" s="21" t="s">
        <v>785</v>
      </c>
      <c r="D289" s="32" t="s">
        <v>793</v>
      </c>
      <c r="E289" s="23" t="s">
        <v>794</v>
      </c>
      <c r="F289" s="24">
        <v>4.0</v>
      </c>
      <c r="G289" s="25">
        <v>550.0</v>
      </c>
      <c r="H289" s="60">
        <v>2200.0</v>
      </c>
      <c r="I289" s="61" t="s">
        <v>703</v>
      </c>
      <c r="J289" s="50" t="s">
        <v>534</v>
      </c>
      <c r="K289" s="30">
        <v>43557.0</v>
      </c>
      <c r="L289" s="462">
        <v>43616.0</v>
      </c>
      <c r="M289" s="462">
        <v>43552.0</v>
      </c>
      <c r="N289" s="306" t="s">
        <v>790</v>
      </c>
      <c r="O289" s="306">
        <v>69308.0</v>
      </c>
      <c r="P289" s="462">
        <v>43616.0</v>
      </c>
      <c r="Q289" s="298"/>
      <c r="R289" s="298">
        <v>30.77</v>
      </c>
      <c r="S289" s="299">
        <f t="shared" si="7"/>
        <v>67694</v>
      </c>
      <c r="T289" s="300">
        <v>43602.0</v>
      </c>
      <c r="U289" s="299"/>
      <c r="V289" s="299"/>
      <c r="W289" s="298" t="s">
        <v>50</v>
      </c>
      <c r="X289" s="298" t="s">
        <v>285</v>
      </c>
      <c r="Y289" s="298" t="s">
        <v>51</v>
      </c>
      <c r="Z289" s="298" t="s">
        <v>52</v>
      </c>
      <c r="AA289" s="234" t="s">
        <v>305</v>
      </c>
    </row>
    <row r="290" ht="15.75" customHeight="1">
      <c r="A290" s="69">
        <v>43528.0</v>
      </c>
      <c r="B290" s="70" t="s">
        <v>101</v>
      </c>
      <c r="C290" s="21" t="s">
        <v>785</v>
      </c>
      <c r="D290" s="21" t="s">
        <v>795</v>
      </c>
      <c r="E290" s="23" t="s">
        <v>796</v>
      </c>
      <c r="F290" s="24">
        <v>4.0</v>
      </c>
      <c r="G290" s="25">
        <v>352.0</v>
      </c>
      <c r="H290" s="60">
        <v>1408.0</v>
      </c>
      <c r="I290" s="61" t="s">
        <v>703</v>
      </c>
      <c r="J290" s="50" t="s">
        <v>534</v>
      </c>
      <c r="K290" s="30">
        <v>43557.0</v>
      </c>
      <c r="L290" s="295">
        <v>43568.0</v>
      </c>
      <c r="M290" s="295">
        <v>43538.0</v>
      </c>
      <c r="N290" s="296" t="s">
        <v>640</v>
      </c>
      <c r="O290" s="297"/>
      <c r="P290" s="413">
        <v>43568.0</v>
      </c>
      <c r="Q290" s="298"/>
      <c r="R290" s="298">
        <v>30.77</v>
      </c>
      <c r="S290" s="299">
        <f t="shared" si="7"/>
        <v>43324.16</v>
      </c>
      <c r="T290" s="300">
        <v>43602.0</v>
      </c>
      <c r="U290" s="299"/>
      <c r="V290" s="299"/>
      <c r="W290" s="298" t="s">
        <v>50</v>
      </c>
      <c r="X290" s="298" t="s">
        <v>285</v>
      </c>
      <c r="Y290" s="298" t="s">
        <v>51</v>
      </c>
      <c r="Z290" s="298" t="s">
        <v>52</v>
      </c>
      <c r="AA290" s="234" t="s">
        <v>305</v>
      </c>
    </row>
    <row r="291" ht="15.75" customHeight="1">
      <c r="A291" s="69">
        <v>43528.0</v>
      </c>
      <c r="B291" s="70" t="s">
        <v>101</v>
      </c>
      <c r="C291" s="21" t="s">
        <v>785</v>
      </c>
      <c r="D291" s="32" t="s">
        <v>797</v>
      </c>
      <c r="E291" s="23" t="s">
        <v>798</v>
      </c>
      <c r="F291" s="24">
        <v>4.0</v>
      </c>
      <c r="G291" s="48">
        <v>79.0</v>
      </c>
      <c r="H291" s="60">
        <v>316.0</v>
      </c>
      <c r="I291" s="61" t="s">
        <v>703</v>
      </c>
      <c r="J291" s="50" t="s">
        <v>534</v>
      </c>
      <c r="K291" s="30">
        <v>43557.0</v>
      </c>
      <c r="L291" s="302">
        <v>43590.0</v>
      </c>
      <c r="M291" s="295">
        <v>43578.0</v>
      </c>
      <c r="N291" s="296" t="s">
        <v>799</v>
      </c>
      <c r="O291" s="297">
        <v>7517.0</v>
      </c>
      <c r="P291" s="302">
        <v>43592.0</v>
      </c>
      <c r="Q291" s="298"/>
      <c r="R291" s="298">
        <v>30.77</v>
      </c>
      <c r="S291" s="299">
        <f t="shared" si="7"/>
        <v>9723.32</v>
      </c>
      <c r="T291" s="300">
        <v>43602.0</v>
      </c>
      <c r="U291" s="299"/>
      <c r="V291" s="299"/>
      <c r="W291" s="298" t="s">
        <v>50</v>
      </c>
      <c r="X291" s="298" t="s">
        <v>285</v>
      </c>
      <c r="Y291" s="298" t="s">
        <v>51</v>
      </c>
      <c r="Z291" s="298" t="s">
        <v>52</v>
      </c>
      <c r="AA291" s="234" t="s">
        <v>305</v>
      </c>
    </row>
    <row r="292" ht="15.75" customHeight="1">
      <c r="A292" s="69">
        <v>43529.0</v>
      </c>
      <c r="B292" s="265" t="s">
        <v>130</v>
      </c>
      <c r="C292" s="252" t="s">
        <v>714</v>
      </c>
      <c r="D292" s="252" t="s">
        <v>715</v>
      </c>
      <c r="E292" s="23" t="s">
        <v>800</v>
      </c>
      <c r="F292" s="253">
        <v>7.0</v>
      </c>
      <c r="G292" s="325">
        <v>35.0</v>
      </c>
      <c r="H292" s="336">
        <v>245.0</v>
      </c>
      <c r="I292" s="256" t="s">
        <v>248</v>
      </c>
      <c r="J292" s="403" t="s">
        <v>134</v>
      </c>
      <c r="K292" s="258">
        <v>43538.0</v>
      </c>
      <c r="L292" s="260">
        <v>43585.0</v>
      </c>
      <c r="M292" s="260">
        <v>43536.0</v>
      </c>
      <c r="N292" s="261" t="s">
        <v>801</v>
      </c>
      <c r="O292" s="272">
        <v>26458.0</v>
      </c>
      <c r="P292" s="370">
        <v>43586.0</v>
      </c>
      <c r="Q292" s="253" t="s">
        <v>284</v>
      </c>
      <c r="R292" s="253">
        <v>30.79</v>
      </c>
      <c r="S292" s="262"/>
      <c r="T292" s="263">
        <v>43536.0</v>
      </c>
      <c r="U292" s="262"/>
      <c r="V292" s="262"/>
      <c r="W292" s="253" t="s">
        <v>50</v>
      </c>
      <c r="X292" s="253" t="s">
        <v>285</v>
      </c>
      <c r="Y292" s="253" t="s">
        <v>51</v>
      </c>
      <c r="Z292" s="253" t="s">
        <v>52</v>
      </c>
      <c r="AA292" s="264"/>
    </row>
    <row r="293" ht="15.75" customHeight="1">
      <c r="A293" s="69">
        <v>43529.0</v>
      </c>
      <c r="B293" s="252" t="s">
        <v>130</v>
      </c>
      <c r="C293" s="252" t="s">
        <v>714</v>
      </c>
      <c r="D293" s="252" t="s">
        <v>715</v>
      </c>
      <c r="E293" s="23" t="s">
        <v>802</v>
      </c>
      <c r="F293" s="253">
        <v>10.0</v>
      </c>
      <c r="G293" s="325">
        <v>66.0</v>
      </c>
      <c r="H293" s="336">
        <v>660.0</v>
      </c>
      <c r="I293" s="256" t="s">
        <v>248</v>
      </c>
      <c r="J293" s="403" t="s">
        <v>134</v>
      </c>
      <c r="K293" s="258">
        <v>43538.0</v>
      </c>
      <c r="L293" s="260">
        <v>43585.0</v>
      </c>
      <c r="M293" s="260">
        <v>43536.0</v>
      </c>
      <c r="N293" s="261" t="s">
        <v>801</v>
      </c>
      <c r="O293" s="261"/>
      <c r="P293" s="370">
        <v>43586.0</v>
      </c>
      <c r="Q293" s="253" t="s">
        <v>284</v>
      </c>
      <c r="R293" s="253">
        <v>30.79</v>
      </c>
      <c r="S293" s="262"/>
      <c r="T293" s="253"/>
      <c r="U293" s="262"/>
      <c r="V293" s="262"/>
      <c r="W293" s="253" t="s">
        <v>50</v>
      </c>
      <c r="X293" s="253" t="s">
        <v>285</v>
      </c>
      <c r="Y293" s="253" t="s">
        <v>51</v>
      </c>
      <c r="Z293" s="253" t="s">
        <v>52</v>
      </c>
      <c r="AA293" s="264"/>
    </row>
    <row r="294" ht="15.75" customHeight="1">
      <c r="A294" s="19">
        <v>43529.0</v>
      </c>
      <c r="B294" s="35" t="s">
        <v>54</v>
      </c>
      <c r="C294" s="21" t="s">
        <v>803</v>
      </c>
      <c r="D294" s="22" t="s">
        <v>804</v>
      </c>
      <c r="E294" s="23" t="s">
        <v>386</v>
      </c>
      <c r="F294" s="24">
        <v>10.0</v>
      </c>
      <c r="G294" s="25">
        <v>150.15</v>
      </c>
      <c r="H294" s="26">
        <v>1501.5</v>
      </c>
      <c r="I294" s="431" t="s">
        <v>43</v>
      </c>
      <c r="J294" s="161" t="s">
        <v>90</v>
      </c>
      <c r="K294" s="30">
        <v>43553.0</v>
      </c>
      <c r="L294" s="413">
        <v>43616.0</v>
      </c>
      <c r="M294" s="437">
        <v>43552.0</v>
      </c>
      <c r="N294" s="342" t="s">
        <v>805</v>
      </c>
      <c r="O294" s="414">
        <v>41429.0</v>
      </c>
      <c r="P294" s="451">
        <v>43616.0</v>
      </c>
      <c r="Q294" s="433"/>
      <c r="R294" s="433"/>
      <c r="S294" s="434">
        <v>46330.0</v>
      </c>
      <c r="T294" s="457">
        <v>43612.0</v>
      </c>
      <c r="U294" s="434">
        <v>46315.0</v>
      </c>
      <c r="V294" s="434">
        <v>15.0</v>
      </c>
      <c r="W294" s="433" t="s">
        <v>50</v>
      </c>
      <c r="X294" s="371" t="s">
        <v>285</v>
      </c>
      <c r="Y294" s="433" t="s">
        <v>51</v>
      </c>
      <c r="Z294" s="433" t="s">
        <v>377</v>
      </c>
      <c r="AA294" s="374" t="s">
        <v>440</v>
      </c>
    </row>
    <row r="295" ht="15.75" customHeight="1">
      <c r="A295" s="69">
        <v>43530.0</v>
      </c>
      <c r="B295" s="32" t="s">
        <v>406</v>
      </c>
      <c r="C295" s="21">
        <v>7.00014567E9</v>
      </c>
      <c r="D295" s="21" t="s">
        <v>806</v>
      </c>
      <c r="E295" s="23" t="s">
        <v>807</v>
      </c>
      <c r="F295" s="24">
        <v>1.0</v>
      </c>
      <c r="G295" s="25">
        <v>565.0</v>
      </c>
      <c r="H295" s="60">
        <v>565.0</v>
      </c>
      <c r="I295" s="61" t="s">
        <v>43</v>
      </c>
      <c r="J295" s="82" t="s">
        <v>520</v>
      </c>
      <c r="K295" s="29">
        <v>43546.0</v>
      </c>
      <c r="L295" s="295">
        <v>43616.0</v>
      </c>
      <c r="M295" s="295">
        <v>43542.0</v>
      </c>
      <c r="N295" s="296" t="s">
        <v>808</v>
      </c>
      <c r="O295" s="297">
        <v>15825.0</v>
      </c>
      <c r="P295" s="302">
        <v>43616.0</v>
      </c>
      <c r="Q295" s="298"/>
      <c r="R295" s="298">
        <v>30.825</v>
      </c>
      <c r="S295" s="299"/>
      <c r="T295" s="145">
        <v>43588.0</v>
      </c>
      <c r="U295" s="299"/>
      <c r="V295" s="299"/>
      <c r="W295" s="298" t="s">
        <v>50</v>
      </c>
      <c r="X295" s="298" t="s">
        <v>285</v>
      </c>
      <c r="Y295" s="298" t="s">
        <v>51</v>
      </c>
      <c r="Z295" s="298" t="s">
        <v>52</v>
      </c>
      <c r="AA295" s="234" t="s">
        <v>305</v>
      </c>
    </row>
    <row r="296" ht="15.75" customHeight="1">
      <c r="A296" s="69">
        <v>43530.0</v>
      </c>
      <c r="B296" s="21" t="s">
        <v>406</v>
      </c>
      <c r="C296" s="21">
        <v>7.00014567E9</v>
      </c>
      <c r="D296" s="21" t="s">
        <v>806</v>
      </c>
      <c r="E296" s="23" t="s">
        <v>809</v>
      </c>
      <c r="F296" s="24">
        <v>1.0</v>
      </c>
      <c r="G296" s="25">
        <v>67.0</v>
      </c>
      <c r="H296" s="60">
        <v>67.0</v>
      </c>
      <c r="I296" s="61" t="s">
        <v>43</v>
      </c>
      <c r="J296" s="82" t="s">
        <v>520</v>
      </c>
      <c r="K296" s="29">
        <v>43546.0</v>
      </c>
      <c r="L296" s="437">
        <v>43616.0</v>
      </c>
      <c r="M296" s="295">
        <v>43542.0</v>
      </c>
      <c r="N296" s="296" t="s">
        <v>810</v>
      </c>
      <c r="O296" s="297">
        <v>11319.0</v>
      </c>
      <c r="P296" s="302">
        <v>43616.0</v>
      </c>
      <c r="Q296" s="298"/>
      <c r="R296" s="298">
        <v>30.825</v>
      </c>
      <c r="S296" s="299"/>
      <c r="T296" s="145">
        <v>43588.0</v>
      </c>
      <c r="U296" s="299"/>
      <c r="V296" s="299"/>
      <c r="W296" s="298" t="s">
        <v>50</v>
      </c>
      <c r="X296" s="298" t="s">
        <v>285</v>
      </c>
      <c r="Y296" s="298" t="s">
        <v>51</v>
      </c>
      <c r="Z296" s="298" t="s">
        <v>52</v>
      </c>
      <c r="AA296" s="234" t="s">
        <v>305</v>
      </c>
    </row>
    <row r="297" ht="15.75" customHeight="1">
      <c r="A297" s="69">
        <v>43530.0</v>
      </c>
      <c r="B297" s="21" t="s">
        <v>406</v>
      </c>
      <c r="C297" s="21">
        <v>7.00014567E9</v>
      </c>
      <c r="D297" s="21" t="s">
        <v>806</v>
      </c>
      <c r="E297" s="23" t="s">
        <v>811</v>
      </c>
      <c r="F297" s="24">
        <v>1.0</v>
      </c>
      <c r="G297" s="25">
        <v>291.0</v>
      </c>
      <c r="H297" s="60">
        <v>291.0</v>
      </c>
      <c r="I297" s="61" t="s">
        <v>43</v>
      </c>
      <c r="J297" s="82" t="s">
        <v>520</v>
      </c>
      <c r="K297" s="29">
        <v>43546.0</v>
      </c>
      <c r="L297" s="437">
        <v>43616.0</v>
      </c>
      <c r="M297" s="295">
        <v>43542.0</v>
      </c>
      <c r="N297" s="296" t="s">
        <v>810</v>
      </c>
      <c r="O297" s="296"/>
      <c r="P297" s="302">
        <v>43616.0</v>
      </c>
      <c r="Q297" s="298"/>
      <c r="R297" s="298">
        <v>30.825</v>
      </c>
      <c r="S297" s="299"/>
      <c r="T297" s="145">
        <v>43588.0</v>
      </c>
      <c r="U297" s="299"/>
      <c r="V297" s="299"/>
      <c r="W297" s="298" t="s">
        <v>50</v>
      </c>
      <c r="X297" s="298" t="s">
        <v>285</v>
      </c>
      <c r="Y297" s="298" t="s">
        <v>51</v>
      </c>
      <c r="Z297" s="298" t="s">
        <v>52</v>
      </c>
      <c r="AA297" s="234" t="s">
        <v>305</v>
      </c>
    </row>
    <row r="298" ht="15.75" customHeight="1">
      <c r="A298" s="69">
        <v>43530.0</v>
      </c>
      <c r="B298" s="21" t="s">
        <v>406</v>
      </c>
      <c r="C298" s="21">
        <v>7.00014567E9</v>
      </c>
      <c r="D298" s="21" t="s">
        <v>806</v>
      </c>
      <c r="E298" s="23" t="s">
        <v>812</v>
      </c>
      <c r="F298" s="24">
        <v>1.0</v>
      </c>
      <c r="G298" s="25">
        <v>39.0</v>
      </c>
      <c r="H298" s="60">
        <v>39.0</v>
      </c>
      <c r="I298" s="61" t="s">
        <v>43</v>
      </c>
      <c r="J298" s="82" t="s">
        <v>520</v>
      </c>
      <c r="K298" s="29">
        <v>43546.0</v>
      </c>
      <c r="L298" s="437">
        <v>43616.0</v>
      </c>
      <c r="M298" s="295">
        <v>43542.0</v>
      </c>
      <c r="N298" s="296" t="s">
        <v>810</v>
      </c>
      <c r="O298" s="296"/>
      <c r="P298" s="302">
        <v>43616.0</v>
      </c>
      <c r="Q298" s="298"/>
      <c r="R298" s="298">
        <v>30.825</v>
      </c>
      <c r="S298" s="299"/>
      <c r="T298" s="145">
        <v>43588.0</v>
      </c>
      <c r="U298" s="299"/>
      <c r="V298" s="299"/>
      <c r="W298" s="298" t="s">
        <v>50</v>
      </c>
      <c r="X298" s="298" t="s">
        <v>285</v>
      </c>
      <c r="Y298" s="298" t="s">
        <v>51</v>
      </c>
      <c r="Z298" s="298" t="s">
        <v>52</v>
      </c>
      <c r="AA298" s="234" t="s">
        <v>305</v>
      </c>
    </row>
    <row r="299" ht="15.75" customHeight="1">
      <c r="A299" s="69">
        <v>43530.0</v>
      </c>
      <c r="B299" s="21" t="s">
        <v>406</v>
      </c>
      <c r="C299" s="21">
        <v>7.00014567E9</v>
      </c>
      <c r="D299" s="21" t="s">
        <v>806</v>
      </c>
      <c r="E299" s="23" t="s">
        <v>813</v>
      </c>
      <c r="F299" s="24">
        <v>1.0</v>
      </c>
      <c r="G299" s="25">
        <v>8.5</v>
      </c>
      <c r="H299" s="60">
        <v>8.5</v>
      </c>
      <c r="I299" s="61" t="s">
        <v>43</v>
      </c>
      <c r="J299" s="82" t="s">
        <v>520</v>
      </c>
      <c r="K299" s="29">
        <v>43546.0</v>
      </c>
      <c r="L299" s="437">
        <v>43616.0</v>
      </c>
      <c r="M299" s="295">
        <v>43542.0</v>
      </c>
      <c r="N299" s="463" t="s">
        <v>810</v>
      </c>
      <c r="O299" s="463"/>
      <c r="P299" s="302">
        <v>43616.0</v>
      </c>
      <c r="Q299" s="298"/>
      <c r="R299" s="298">
        <v>30.825</v>
      </c>
      <c r="S299" s="299"/>
      <c r="T299" s="145">
        <v>43588.0</v>
      </c>
      <c r="U299" s="299"/>
      <c r="V299" s="299"/>
      <c r="W299" s="298" t="s">
        <v>50</v>
      </c>
      <c r="X299" s="298" t="s">
        <v>285</v>
      </c>
      <c r="Y299" s="298" t="s">
        <v>51</v>
      </c>
      <c r="Z299" s="298" t="s">
        <v>52</v>
      </c>
      <c r="AA299" s="234" t="s">
        <v>305</v>
      </c>
    </row>
    <row r="300" ht="15.75" customHeight="1">
      <c r="A300" s="19">
        <v>43531.0</v>
      </c>
      <c r="B300" s="21" t="s">
        <v>101</v>
      </c>
      <c r="C300" s="21"/>
      <c r="D300" s="21" t="s">
        <v>814</v>
      </c>
      <c r="E300" s="23" t="s">
        <v>347</v>
      </c>
      <c r="F300" s="24">
        <v>1.0</v>
      </c>
      <c r="G300" s="25">
        <v>229.0</v>
      </c>
      <c r="H300" s="26">
        <v>229.0</v>
      </c>
      <c r="I300" s="49" t="s">
        <v>303</v>
      </c>
      <c r="J300" s="50" t="s">
        <v>534</v>
      </c>
      <c r="K300" s="29">
        <v>43531.0</v>
      </c>
      <c r="L300" s="295">
        <v>43585.0</v>
      </c>
      <c r="M300" s="295">
        <v>43539.0</v>
      </c>
      <c r="N300" s="296" t="s">
        <v>815</v>
      </c>
      <c r="O300" s="297"/>
      <c r="P300" s="302">
        <v>43586.0</v>
      </c>
      <c r="Q300" s="54"/>
      <c r="R300" s="54"/>
      <c r="S300" s="55"/>
      <c r="T300" s="56">
        <v>43565.0</v>
      </c>
      <c r="U300" s="38"/>
      <c r="V300" s="38"/>
      <c r="W300" s="54" t="s">
        <v>50</v>
      </c>
      <c r="X300" s="24" t="s">
        <v>285</v>
      </c>
      <c r="Y300" s="54" t="s">
        <v>51</v>
      </c>
      <c r="Z300" s="54" t="s">
        <v>52</v>
      </c>
      <c r="AA300" s="57" t="s">
        <v>398</v>
      </c>
    </row>
    <row r="301" ht="15.75" customHeight="1">
      <c r="A301" s="69">
        <v>43536.0</v>
      </c>
      <c r="B301" s="70" t="s">
        <v>101</v>
      </c>
      <c r="C301" s="292" t="s">
        <v>0</v>
      </c>
      <c r="D301" s="21" t="s">
        <v>816</v>
      </c>
      <c r="E301" s="23" t="s">
        <v>347</v>
      </c>
      <c r="F301" s="54">
        <v>1.0</v>
      </c>
      <c r="G301" s="48">
        <v>742.0</v>
      </c>
      <c r="H301" s="26">
        <v>742.0</v>
      </c>
      <c r="I301" s="87" t="s">
        <v>303</v>
      </c>
      <c r="J301" s="82" t="s">
        <v>534</v>
      </c>
      <c r="K301" s="30">
        <v>43536.0</v>
      </c>
      <c r="L301" s="295">
        <v>43585.0</v>
      </c>
      <c r="M301" s="295">
        <v>43539.0</v>
      </c>
      <c r="N301" s="296" t="s">
        <v>815</v>
      </c>
      <c r="O301" s="297">
        <v>32085.0</v>
      </c>
      <c r="P301" s="302">
        <v>43586.0</v>
      </c>
      <c r="Q301" s="298"/>
      <c r="R301" s="298"/>
      <c r="S301" s="299"/>
      <c r="T301" s="300">
        <v>43587.0</v>
      </c>
      <c r="U301" s="299"/>
      <c r="V301" s="299"/>
      <c r="W301" s="298" t="s">
        <v>50</v>
      </c>
      <c r="X301" s="298" t="s">
        <v>285</v>
      </c>
      <c r="Y301" s="298" t="s">
        <v>51</v>
      </c>
      <c r="Z301" s="298" t="s">
        <v>52</v>
      </c>
      <c r="AA301" s="234" t="s">
        <v>305</v>
      </c>
    </row>
    <row r="302" ht="15.75" customHeight="1">
      <c r="A302" s="69">
        <v>43536.0</v>
      </c>
      <c r="B302" s="70" t="s">
        <v>817</v>
      </c>
      <c r="C302" s="21"/>
      <c r="D302" s="21" t="s">
        <v>818</v>
      </c>
      <c r="E302" s="23" t="s">
        <v>237</v>
      </c>
      <c r="F302" s="24">
        <v>2.0</v>
      </c>
      <c r="G302" s="48">
        <v>66.0</v>
      </c>
      <c r="H302" s="216">
        <v>132.0</v>
      </c>
      <c r="I302" s="298" t="s">
        <v>248</v>
      </c>
      <c r="J302" s="50" t="s">
        <v>534</v>
      </c>
      <c r="K302" s="30">
        <v>43552.0</v>
      </c>
      <c r="L302" s="295">
        <v>43585.0</v>
      </c>
      <c r="M302" s="295">
        <v>43545.0</v>
      </c>
      <c r="N302" s="296" t="s">
        <v>819</v>
      </c>
      <c r="O302" s="297">
        <v>3754.0</v>
      </c>
      <c r="P302" s="302">
        <v>43586.0</v>
      </c>
      <c r="Q302" s="54" t="s">
        <v>284</v>
      </c>
      <c r="R302" s="54">
        <v>30.825</v>
      </c>
      <c r="S302" s="55"/>
      <c r="T302" s="56">
        <v>43536.0</v>
      </c>
      <c r="U302" s="55"/>
      <c r="V302" s="55"/>
      <c r="W302" s="54" t="s">
        <v>50</v>
      </c>
      <c r="X302" s="24" t="s">
        <v>285</v>
      </c>
      <c r="Y302" s="54" t="s">
        <v>51</v>
      </c>
      <c r="Z302" s="54" t="s">
        <v>52</v>
      </c>
      <c r="AA302" s="57" t="s">
        <v>398</v>
      </c>
    </row>
    <row r="303" ht="15.75" customHeight="1">
      <c r="A303" s="69">
        <v>43536.0</v>
      </c>
      <c r="B303" s="70" t="s">
        <v>817</v>
      </c>
      <c r="C303" s="21"/>
      <c r="D303" s="21" t="s">
        <v>818</v>
      </c>
      <c r="E303" s="23" t="s">
        <v>700</v>
      </c>
      <c r="F303" s="24">
        <v>1.0</v>
      </c>
      <c r="G303" s="48">
        <v>40.0</v>
      </c>
      <c r="H303" s="464">
        <v>40.0</v>
      </c>
      <c r="I303" s="87" t="s">
        <v>248</v>
      </c>
      <c r="J303" s="407" t="s">
        <v>534</v>
      </c>
      <c r="K303" s="30">
        <v>43552.0</v>
      </c>
      <c r="L303" s="52"/>
      <c r="M303" s="53"/>
      <c r="N303" s="53"/>
      <c r="O303" s="53"/>
      <c r="P303" s="53"/>
      <c r="Q303" s="54" t="s">
        <v>284</v>
      </c>
      <c r="R303" s="54">
        <v>30.825</v>
      </c>
      <c r="S303" s="55"/>
      <c r="T303" s="56">
        <v>43536.0</v>
      </c>
      <c r="U303" s="55"/>
      <c r="V303" s="55"/>
      <c r="W303" s="54" t="s">
        <v>50</v>
      </c>
      <c r="X303" s="24" t="s">
        <v>285</v>
      </c>
      <c r="Y303" s="54" t="s">
        <v>51</v>
      </c>
      <c r="Z303" s="54" t="s">
        <v>52</v>
      </c>
      <c r="AA303" s="57" t="s">
        <v>398</v>
      </c>
    </row>
    <row r="304" ht="15.75" customHeight="1">
      <c r="A304" s="69">
        <v>43536.0</v>
      </c>
      <c r="B304" s="70" t="s">
        <v>817</v>
      </c>
      <c r="C304" s="21"/>
      <c r="D304" s="21" t="s">
        <v>820</v>
      </c>
      <c r="E304" s="23" t="s">
        <v>347</v>
      </c>
      <c r="F304" s="24">
        <v>1.0</v>
      </c>
      <c r="G304" s="143">
        <v>28.0</v>
      </c>
      <c r="H304" s="60">
        <v>28.0</v>
      </c>
      <c r="I304" s="61" t="s">
        <v>248</v>
      </c>
      <c r="J304" s="50" t="s">
        <v>534</v>
      </c>
      <c r="K304" s="30">
        <v>43552.0</v>
      </c>
      <c r="L304" s="295">
        <v>43585.0</v>
      </c>
      <c r="M304" s="295">
        <v>43555.0</v>
      </c>
      <c r="N304" s="296" t="s">
        <v>821</v>
      </c>
      <c r="O304" s="296">
        <v>860.0</v>
      </c>
      <c r="P304" s="302">
        <v>43586.0</v>
      </c>
      <c r="Q304" s="54" t="s">
        <v>284</v>
      </c>
      <c r="R304" s="54">
        <v>30.825</v>
      </c>
      <c r="S304" s="55"/>
      <c r="T304" s="56">
        <v>43552.0</v>
      </c>
      <c r="U304" s="55">
        <f>28*30.801</f>
        <v>862.428</v>
      </c>
      <c r="V304" s="55">
        <v>0.0</v>
      </c>
      <c r="W304" s="54" t="s">
        <v>50</v>
      </c>
      <c r="X304" s="24" t="s">
        <v>285</v>
      </c>
      <c r="Y304" s="54" t="s">
        <v>51</v>
      </c>
      <c r="Z304" s="54" t="s">
        <v>52</v>
      </c>
      <c r="AA304" s="57" t="s">
        <v>398</v>
      </c>
    </row>
    <row r="305" ht="15.75" customHeight="1">
      <c r="A305" s="69">
        <v>43537.0</v>
      </c>
      <c r="B305" s="23" t="s">
        <v>406</v>
      </c>
      <c r="C305" s="21">
        <v>7.000145844E9</v>
      </c>
      <c r="D305" s="21" t="s">
        <v>822</v>
      </c>
      <c r="E305" s="23" t="s">
        <v>408</v>
      </c>
      <c r="F305" s="24">
        <v>1.0</v>
      </c>
      <c r="G305" s="25">
        <v>54.0</v>
      </c>
      <c r="H305" s="60">
        <v>54.0</v>
      </c>
      <c r="I305" s="61" t="s">
        <v>43</v>
      </c>
      <c r="J305" s="82" t="s">
        <v>520</v>
      </c>
      <c r="K305" s="29">
        <v>43546.0</v>
      </c>
      <c r="L305" s="295">
        <v>43616.0</v>
      </c>
      <c r="M305" s="295">
        <v>43542.0</v>
      </c>
      <c r="N305" s="296" t="s">
        <v>823</v>
      </c>
      <c r="O305" s="297">
        <v>78548.0</v>
      </c>
      <c r="P305" s="302">
        <v>43616.0</v>
      </c>
      <c r="Q305" s="298"/>
      <c r="R305" s="298">
        <v>30.825</v>
      </c>
      <c r="S305" s="299"/>
      <c r="T305" s="145">
        <v>43588.0</v>
      </c>
      <c r="U305" s="299"/>
      <c r="V305" s="299"/>
      <c r="W305" s="298" t="s">
        <v>50</v>
      </c>
      <c r="X305" s="298" t="s">
        <v>285</v>
      </c>
      <c r="Y305" s="298" t="s">
        <v>51</v>
      </c>
      <c r="Z305" s="298" t="s">
        <v>52</v>
      </c>
      <c r="AA305" s="234" t="s">
        <v>305</v>
      </c>
    </row>
    <row r="306" ht="15.75" customHeight="1">
      <c r="A306" s="69">
        <v>43537.0</v>
      </c>
      <c r="B306" s="23" t="s">
        <v>406</v>
      </c>
      <c r="C306" s="21">
        <v>7.000145844E9</v>
      </c>
      <c r="D306" s="21" t="s">
        <v>822</v>
      </c>
      <c r="E306" s="23" t="s">
        <v>824</v>
      </c>
      <c r="F306" s="24">
        <v>3.0</v>
      </c>
      <c r="G306" s="25">
        <v>866.0</v>
      </c>
      <c r="H306" s="60">
        <v>2598.0</v>
      </c>
      <c r="I306" s="61" t="s">
        <v>43</v>
      </c>
      <c r="J306" s="82" t="s">
        <v>520</v>
      </c>
      <c r="K306" s="29">
        <v>43546.0</v>
      </c>
      <c r="L306" s="295">
        <v>43616.0</v>
      </c>
      <c r="M306" s="295">
        <v>43542.0</v>
      </c>
      <c r="N306" s="296" t="s">
        <v>823</v>
      </c>
      <c r="O306" s="296"/>
      <c r="P306" s="302">
        <v>43616.0</v>
      </c>
      <c r="Q306" s="298"/>
      <c r="R306" s="298">
        <v>30.825</v>
      </c>
      <c r="S306" s="299"/>
      <c r="T306" s="145">
        <v>43588.0</v>
      </c>
      <c r="U306" s="299"/>
      <c r="V306" s="299"/>
      <c r="W306" s="298" t="s">
        <v>50</v>
      </c>
      <c r="X306" s="298" t="s">
        <v>285</v>
      </c>
      <c r="Y306" s="298" t="s">
        <v>51</v>
      </c>
      <c r="Z306" s="298" t="s">
        <v>52</v>
      </c>
      <c r="AA306" s="234" t="s">
        <v>305</v>
      </c>
    </row>
    <row r="307" ht="15.75" customHeight="1">
      <c r="A307" s="69">
        <v>43537.0</v>
      </c>
      <c r="B307" s="23" t="s">
        <v>406</v>
      </c>
      <c r="C307" s="21">
        <v>7.000145844E9</v>
      </c>
      <c r="D307" s="21" t="s">
        <v>822</v>
      </c>
      <c r="E307" s="23" t="s">
        <v>485</v>
      </c>
      <c r="F307" s="24">
        <v>1.0</v>
      </c>
      <c r="G307" s="25">
        <v>178.0</v>
      </c>
      <c r="H307" s="60">
        <v>178.0</v>
      </c>
      <c r="I307" s="61" t="s">
        <v>43</v>
      </c>
      <c r="J307" s="82" t="s">
        <v>520</v>
      </c>
      <c r="K307" s="29">
        <v>43546.0</v>
      </c>
      <c r="L307" s="295">
        <v>43616.0</v>
      </c>
      <c r="M307" s="295">
        <v>43542.0</v>
      </c>
      <c r="N307" s="296" t="s">
        <v>823</v>
      </c>
      <c r="O307" s="296"/>
      <c r="P307" s="302">
        <v>43616.0</v>
      </c>
      <c r="Q307" s="298"/>
      <c r="R307" s="298">
        <v>30.825</v>
      </c>
      <c r="S307" s="299"/>
      <c r="T307" s="145">
        <v>43588.0</v>
      </c>
      <c r="U307" s="299"/>
      <c r="V307" s="299"/>
      <c r="W307" s="298" t="s">
        <v>50</v>
      </c>
      <c r="X307" s="298" t="s">
        <v>285</v>
      </c>
      <c r="Y307" s="298" t="s">
        <v>51</v>
      </c>
      <c r="Z307" s="298" t="s">
        <v>52</v>
      </c>
      <c r="AA307" s="234" t="s">
        <v>305</v>
      </c>
    </row>
    <row r="308" ht="15.75" customHeight="1">
      <c r="A308" s="19">
        <v>43539.0</v>
      </c>
      <c r="B308" s="144" t="s">
        <v>101</v>
      </c>
      <c r="C308" s="21"/>
      <c r="D308" s="21" t="s">
        <v>825</v>
      </c>
      <c r="E308" s="23" t="s">
        <v>347</v>
      </c>
      <c r="F308" s="298">
        <v>1.0</v>
      </c>
      <c r="G308" s="47">
        <v>90.5</v>
      </c>
      <c r="H308" s="26">
        <v>90.5</v>
      </c>
      <c r="I308" s="27" t="s">
        <v>303</v>
      </c>
      <c r="J308" s="58" t="s">
        <v>438</v>
      </c>
      <c r="K308" s="30">
        <v>43539.0</v>
      </c>
      <c r="L308" s="295">
        <v>43585.0</v>
      </c>
      <c r="M308" s="295">
        <v>43555.0</v>
      </c>
      <c r="N308" s="296" t="s">
        <v>821</v>
      </c>
      <c r="O308" s="297">
        <v>2696.0</v>
      </c>
      <c r="P308" s="302">
        <v>43586.0</v>
      </c>
      <c r="Q308" s="298"/>
      <c r="R308" s="298"/>
      <c r="S308" s="299"/>
      <c r="T308" s="300">
        <v>43587.0</v>
      </c>
      <c r="U308" s="299"/>
      <c r="V308" s="299"/>
      <c r="W308" s="298" t="s">
        <v>50</v>
      </c>
      <c r="X308" s="298" t="s">
        <v>285</v>
      </c>
      <c r="Y308" s="298" t="s">
        <v>286</v>
      </c>
      <c r="Z308" s="298" t="s">
        <v>52</v>
      </c>
      <c r="AA308" s="234" t="s">
        <v>305</v>
      </c>
    </row>
    <row r="309" ht="15.75" customHeight="1">
      <c r="A309" s="69">
        <v>43542.0</v>
      </c>
      <c r="B309" s="23" t="s">
        <v>77</v>
      </c>
      <c r="C309" s="21">
        <v>205.0</v>
      </c>
      <c r="D309" s="21" t="s">
        <v>826</v>
      </c>
      <c r="E309" s="23" t="s">
        <v>827</v>
      </c>
      <c r="F309" s="24">
        <v>25.0</v>
      </c>
      <c r="G309" s="25">
        <v>14.0</v>
      </c>
      <c r="H309" s="26">
        <v>350.0</v>
      </c>
      <c r="I309" s="61" t="s">
        <v>43</v>
      </c>
      <c r="J309" s="58" t="s">
        <v>316</v>
      </c>
      <c r="K309" s="29">
        <v>43550.0</v>
      </c>
      <c r="L309" s="295">
        <v>43560.0</v>
      </c>
      <c r="M309" s="295">
        <v>43559.0</v>
      </c>
      <c r="N309" s="342" t="s">
        <v>828</v>
      </c>
      <c r="O309" s="414">
        <v>9708.0</v>
      </c>
      <c r="P309" s="413">
        <v>43564.0</v>
      </c>
      <c r="Q309" s="82"/>
      <c r="R309" s="298">
        <v>30.825</v>
      </c>
      <c r="S309" s="299"/>
      <c r="T309" s="300">
        <v>43580.0</v>
      </c>
      <c r="U309" s="299"/>
      <c r="V309" s="299"/>
      <c r="W309" s="82" t="s">
        <v>50</v>
      </c>
      <c r="X309" s="298" t="s">
        <v>285</v>
      </c>
      <c r="Y309" s="298" t="s">
        <v>51</v>
      </c>
      <c r="Z309" s="82" t="s">
        <v>52</v>
      </c>
      <c r="AA309" s="234" t="s">
        <v>305</v>
      </c>
    </row>
    <row r="310" ht="15.75" customHeight="1">
      <c r="A310" s="69">
        <v>43542.0</v>
      </c>
      <c r="B310" s="70" t="s">
        <v>101</v>
      </c>
      <c r="C310" s="21" t="s">
        <v>829</v>
      </c>
      <c r="D310" s="21" t="s">
        <v>830</v>
      </c>
      <c r="E310" s="23" t="s">
        <v>831</v>
      </c>
      <c r="F310" s="24">
        <v>1.0</v>
      </c>
      <c r="G310" s="25">
        <v>915.0</v>
      </c>
      <c r="H310" s="26">
        <v>915.0</v>
      </c>
      <c r="I310" s="61" t="s">
        <v>703</v>
      </c>
      <c r="J310" s="63" t="s">
        <v>263</v>
      </c>
      <c r="K310" s="29">
        <v>43580.0</v>
      </c>
      <c r="L310" s="302">
        <v>43616.0</v>
      </c>
      <c r="M310" s="302">
        <v>43577.0</v>
      </c>
      <c r="N310" s="296" t="s">
        <v>832</v>
      </c>
      <c r="O310" s="296">
        <v>27183.0</v>
      </c>
      <c r="P310" s="295">
        <v>43616.0</v>
      </c>
      <c r="Q310" s="371"/>
      <c r="R310" s="371">
        <v>30.81</v>
      </c>
      <c r="S310" s="372">
        <f t="shared" ref="S310:S312" si="8">R310*H310</f>
        <v>28191.15</v>
      </c>
      <c r="T310" s="373">
        <v>43636.0</v>
      </c>
      <c r="U310" s="372"/>
      <c r="V310" s="372"/>
      <c r="W310" s="371" t="s">
        <v>50</v>
      </c>
      <c r="X310" s="371" t="s">
        <v>285</v>
      </c>
      <c r="Y310" s="371" t="s">
        <v>51</v>
      </c>
      <c r="Z310" s="371" t="s">
        <v>52</v>
      </c>
      <c r="AA310" s="374" t="s">
        <v>440</v>
      </c>
    </row>
    <row r="311" ht="15.75" customHeight="1">
      <c r="A311" s="69">
        <v>43542.0</v>
      </c>
      <c r="B311" s="70" t="s">
        <v>101</v>
      </c>
      <c r="C311" s="21" t="s">
        <v>829</v>
      </c>
      <c r="D311" s="32" t="s">
        <v>833</v>
      </c>
      <c r="E311" s="23" t="s">
        <v>834</v>
      </c>
      <c r="F311" s="24">
        <v>1.0</v>
      </c>
      <c r="G311" s="25">
        <v>42.0</v>
      </c>
      <c r="H311" s="26">
        <v>42.0</v>
      </c>
      <c r="I311" s="61" t="s">
        <v>703</v>
      </c>
      <c r="J311" s="63" t="s">
        <v>835</v>
      </c>
      <c r="K311" s="29">
        <v>43580.0</v>
      </c>
      <c r="L311" s="302">
        <v>43616.0</v>
      </c>
      <c r="M311" s="302">
        <v>43577.0</v>
      </c>
      <c r="N311" s="296" t="s">
        <v>832</v>
      </c>
      <c r="O311" s="296"/>
      <c r="P311" s="295">
        <v>43616.0</v>
      </c>
      <c r="Q311" s="371"/>
      <c r="R311" s="371">
        <v>30.81</v>
      </c>
      <c r="S311" s="372">
        <f t="shared" si="8"/>
        <v>1294.02</v>
      </c>
      <c r="T311" s="373">
        <v>43636.0</v>
      </c>
      <c r="U311" s="372"/>
      <c r="V311" s="372"/>
      <c r="W311" s="371" t="s">
        <v>50</v>
      </c>
      <c r="X311" s="371" t="s">
        <v>285</v>
      </c>
      <c r="Y311" s="371" t="s">
        <v>51</v>
      </c>
      <c r="Z311" s="371" t="s">
        <v>52</v>
      </c>
      <c r="AA311" s="374" t="s">
        <v>440</v>
      </c>
    </row>
    <row r="312" ht="15.75" customHeight="1">
      <c r="A312" s="69">
        <v>43542.0</v>
      </c>
      <c r="B312" s="70" t="s">
        <v>101</v>
      </c>
      <c r="C312" s="21" t="s">
        <v>829</v>
      </c>
      <c r="D312" s="32" t="s">
        <v>836</v>
      </c>
      <c r="E312" s="23" t="s">
        <v>798</v>
      </c>
      <c r="F312" s="24">
        <v>1.0</v>
      </c>
      <c r="G312" s="25">
        <v>79.0</v>
      </c>
      <c r="H312" s="26">
        <v>79.0</v>
      </c>
      <c r="I312" s="61" t="s">
        <v>703</v>
      </c>
      <c r="J312" s="63" t="s">
        <v>263</v>
      </c>
      <c r="K312" s="29">
        <v>43580.0</v>
      </c>
      <c r="L312" s="296"/>
      <c r="M312" s="296"/>
      <c r="N312" s="296"/>
      <c r="O312" s="296"/>
      <c r="P312" s="296"/>
      <c r="Q312" s="371"/>
      <c r="R312" s="371">
        <v>30.81</v>
      </c>
      <c r="S312" s="372">
        <f t="shared" si="8"/>
        <v>2433.99</v>
      </c>
      <c r="T312" s="373">
        <v>43636.0</v>
      </c>
      <c r="U312" s="372"/>
      <c r="V312" s="372"/>
      <c r="W312" s="371" t="s">
        <v>50</v>
      </c>
      <c r="X312" s="371" t="s">
        <v>285</v>
      </c>
      <c r="Y312" s="371" t="s">
        <v>51</v>
      </c>
      <c r="Z312" s="371" t="s">
        <v>52</v>
      </c>
      <c r="AA312" s="374" t="s">
        <v>440</v>
      </c>
    </row>
    <row r="313" ht="15.75" customHeight="1">
      <c r="A313" s="465">
        <v>43544.0</v>
      </c>
      <c r="B313" s="265" t="s">
        <v>416</v>
      </c>
      <c r="C313" s="252" t="s">
        <v>837</v>
      </c>
      <c r="D313" s="310" t="s">
        <v>838</v>
      </c>
      <c r="E313" s="23" t="s">
        <v>839</v>
      </c>
      <c r="F313" s="253">
        <v>3.0</v>
      </c>
      <c r="G313" s="466">
        <v>118.0</v>
      </c>
      <c r="H313" s="336">
        <v>354.0</v>
      </c>
      <c r="I313" s="256" t="s">
        <v>248</v>
      </c>
      <c r="J313" s="369" t="s">
        <v>840</v>
      </c>
      <c r="K313" s="258">
        <v>43549.0</v>
      </c>
      <c r="L313" s="260">
        <v>43585.0</v>
      </c>
      <c r="M313" s="260">
        <v>43546.0</v>
      </c>
      <c r="N313" s="261" t="s">
        <v>841</v>
      </c>
      <c r="O313" s="272">
        <v>10098.0</v>
      </c>
      <c r="P313" s="370">
        <v>43586.0</v>
      </c>
      <c r="Q313" s="253" t="s">
        <v>284</v>
      </c>
      <c r="R313" s="253"/>
      <c r="S313" s="262"/>
      <c r="T313" s="253"/>
      <c r="U313" s="262"/>
      <c r="V313" s="262"/>
      <c r="W313" s="253" t="s">
        <v>50</v>
      </c>
      <c r="X313" s="253" t="s">
        <v>285</v>
      </c>
      <c r="Y313" s="253" t="s">
        <v>51</v>
      </c>
      <c r="Z313" s="253" t="s">
        <v>52</v>
      </c>
      <c r="AA313" s="264"/>
    </row>
    <row r="314" ht="15.75" customHeight="1">
      <c r="A314" s="465">
        <v>43544.0</v>
      </c>
      <c r="B314" s="265" t="s">
        <v>416</v>
      </c>
      <c r="C314" s="252" t="s">
        <v>837</v>
      </c>
      <c r="D314" s="310" t="s">
        <v>838</v>
      </c>
      <c r="E314" s="23" t="s">
        <v>842</v>
      </c>
      <c r="F314" s="253">
        <v>1.0</v>
      </c>
      <c r="G314" s="466">
        <v>40.0</v>
      </c>
      <c r="H314" s="336">
        <v>40.0</v>
      </c>
      <c r="I314" s="256" t="s">
        <v>248</v>
      </c>
      <c r="J314" s="369" t="s">
        <v>840</v>
      </c>
      <c r="K314" s="258">
        <v>43549.0</v>
      </c>
      <c r="L314" s="339"/>
      <c r="M314" s="331"/>
      <c r="N314" s="331"/>
      <c r="O314" s="331"/>
      <c r="P314" s="331"/>
      <c r="Q314" s="253" t="s">
        <v>284</v>
      </c>
      <c r="R314" s="253"/>
      <c r="S314" s="262"/>
      <c r="T314" s="253"/>
      <c r="U314" s="262"/>
      <c r="V314" s="262"/>
      <c r="W314" s="253" t="s">
        <v>50</v>
      </c>
      <c r="X314" s="253" t="s">
        <v>285</v>
      </c>
      <c r="Y314" s="253" t="s">
        <v>51</v>
      </c>
      <c r="Z314" s="253" t="s">
        <v>52</v>
      </c>
      <c r="AA314" s="264"/>
    </row>
    <row r="315" ht="15.75" customHeight="1">
      <c r="A315" s="465">
        <v>43544.0</v>
      </c>
      <c r="B315" s="23" t="s">
        <v>406</v>
      </c>
      <c r="C315" s="21">
        <v>7.000146024E9</v>
      </c>
      <c r="D315" s="408" t="s">
        <v>843</v>
      </c>
      <c r="E315" s="23" t="s">
        <v>684</v>
      </c>
      <c r="F315" s="24">
        <v>10.0</v>
      </c>
      <c r="G315" s="25">
        <v>127.0</v>
      </c>
      <c r="H315" s="60">
        <v>1270.0</v>
      </c>
      <c r="I315" s="61" t="s">
        <v>43</v>
      </c>
      <c r="J315" s="50" t="s">
        <v>513</v>
      </c>
      <c r="K315" s="29">
        <v>43557.0</v>
      </c>
      <c r="L315" s="462">
        <v>43646.0</v>
      </c>
      <c r="M315" s="467">
        <v>43550.0</v>
      </c>
      <c r="N315" s="306" t="s">
        <v>844</v>
      </c>
      <c r="O315" s="406">
        <v>35711.0</v>
      </c>
      <c r="P315" s="462">
        <v>43647.0</v>
      </c>
      <c r="Q315" s="298"/>
      <c r="R315" s="298">
        <v>30.77</v>
      </c>
      <c r="S315" s="299">
        <f>H315*R315</f>
        <v>39077.9</v>
      </c>
      <c r="T315" s="300">
        <v>43598.0</v>
      </c>
      <c r="U315" s="299">
        <f>3724.54*30.94</f>
        <v>115237.2676</v>
      </c>
      <c r="V315" s="299">
        <f>(20+6.46)*30.94</f>
        <v>818.6724</v>
      </c>
      <c r="W315" s="298" t="s">
        <v>50</v>
      </c>
      <c r="X315" s="298" t="s">
        <v>285</v>
      </c>
      <c r="Y315" s="298" t="s">
        <v>51</v>
      </c>
      <c r="Z315" s="298" t="s">
        <v>52</v>
      </c>
      <c r="AA315" s="234" t="s">
        <v>305</v>
      </c>
    </row>
    <row r="316" ht="15.75" customHeight="1">
      <c r="A316" s="465">
        <v>43544.0</v>
      </c>
      <c r="B316" s="23" t="s">
        <v>406</v>
      </c>
      <c r="C316" s="21">
        <v>7.000146024E9</v>
      </c>
      <c r="D316" s="408" t="s">
        <v>843</v>
      </c>
      <c r="E316" s="23" t="s">
        <v>845</v>
      </c>
      <c r="F316" s="24">
        <v>1.0</v>
      </c>
      <c r="G316" s="48">
        <v>175.0</v>
      </c>
      <c r="H316" s="468">
        <v>175.0</v>
      </c>
      <c r="I316" s="61" t="s">
        <v>43</v>
      </c>
      <c r="J316" s="407" t="s">
        <v>513</v>
      </c>
      <c r="K316" s="29">
        <v>43566.0</v>
      </c>
      <c r="L316" s="462">
        <v>43646.0</v>
      </c>
      <c r="M316" s="462">
        <v>43564.0</v>
      </c>
      <c r="N316" s="306" t="s">
        <v>846</v>
      </c>
      <c r="O316" s="306">
        <v>4883.0</v>
      </c>
      <c r="P316" s="462">
        <v>43647.0</v>
      </c>
      <c r="Q316" s="298"/>
      <c r="R316" s="298">
        <v>30.76</v>
      </c>
      <c r="S316" s="432">
        <f>R316*H316</f>
        <v>5383</v>
      </c>
      <c r="T316" s="300">
        <v>43602.0</v>
      </c>
      <c r="U316" s="299"/>
      <c r="V316" s="299"/>
      <c r="W316" s="298" t="s">
        <v>50</v>
      </c>
      <c r="X316" s="298" t="s">
        <v>285</v>
      </c>
      <c r="Y316" s="298" t="s">
        <v>51</v>
      </c>
      <c r="Z316" s="298" t="s">
        <v>52</v>
      </c>
      <c r="AA316" s="234" t="s">
        <v>305</v>
      </c>
    </row>
    <row r="317" ht="15.75" customHeight="1">
      <c r="A317" s="465">
        <v>43545.0</v>
      </c>
      <c r="B317" s="21" t="s">
        <v>621</v>
      </c>
      <c r="C317" s="21"/>
      <c r="D317" s="21" t="s">
        <v>847</v>
      </c>
      <c r="E317" s="23" t="s">
        <v>848</v>
      </c>
      <c r="F317" s="24">
        <v>2.0</v>
      </c>
      <c r="G317" s="25">
        <v>304.5</v>
      </c>
      <c r="H317" s="60">
        <v>609.0</v>
      </c>
      <c r="I317" s="348" t="s">
        <v>43</v>
      </c>
      <c r="J317" s="63" t="s">
        <v>90</v>
      </c>
      <c r="K317" s="29">
        <v>43552.0</v>
      </c>
      <c r="L317" s="413">
        <v>43616.0</v>
      </c>
      <c r="M317" s="295">
        <v>43551.0</v>
      </c>
      <c r="N317" s="296" t="s">
        <v>849</v>
      </c>
      <c r="O317" s="297">
        <v>17219.0</v>
      </c>
      <c r="P317" s="451">
        <v>43616.0</v>
      </c>
      <c r="Q317" s="371"/>
      <c r="R317" s="371"/>
      <c r="S317" s="372"/>
      <c r="T317" s="373">
        <v>43626.0</v>
      </c>
      <c r="U317" s="372">
        <v>18788.0</v>
      </c>
      <c r="V317" s="372">
        <v>0.0</v>
      </c>
      <c r="W317" s="371" t="s">
        <v>50</v>
      </c>
      <c r="X317" s="371" t="s">
        <v>285</v>
      </c>
      <c r="Y317" s="371" t="s">
        <v>51</v>
      </c>
      <c r="Z317" s="371" t="s">
        <v>377</v>
      </c>
      <c r="AA317" s="374" t="s">
        <v>440</v>
      </c>
    </row>
    <row r="318" ht="15.75" customHeight="1">
      <c r="A318" s="69">
        <v>43546.0</v>
      </c>
      <c r="B318" s="32" t="s">
        <v>406</v>
      </c>
      <c r="C318" s="21">
        <v>7.000146048E9</v>
      </c>
      <c r="D318" s="21" t="s">
        <v>850</v>
      </c>
      <c r="E318" s="23" t="s">
        <v>851</v>
      </c>
      <c r="F318" s="24">
        <v>1.0</v>
      </c>
      <c r="G318" s="25">
        <v>1451.0</v>
      </c>
      <c r="H318" s="60">
        <v>1451.0</v>
      </c>
      <c r="I318" s="61" t="s">
        <v>43</v>
      </c>
      <c r="J318" s="50" t="s">
        <v>513</v>
      </c>
      <c r="K318" s="29">
        <v>43557.0</v>
      </c>
      <c r="L318" s="305">
        <v>43646.0</v>
      </c>
      <c r="M318" s="462">
        <v>43556.0</v>
      </c>
      <c r="N318" s="306" t="s">
        <v>852</v>
      </c>
      <c r="O318" s="306">
        <v>69616.0</v>
      </c>
      <c r="P318" s="462">
        <v>43647.0</v>
      </c>
      <c r="Q318" s="298"/>
      <c r="R318" s="298">
        <v>30.77</v>
      </c>
      <c r="S318" s="299">
        <f t="shared" ref="S318:S324" si="9">H318*R318</f>
        <v>44647.27</v>
      </c>
      <c r="T318" s="300">
        <v>43598.0</v>
      </c>
      <c r="U318" s="299"/>
      <c r="V318" s="299"/>
      <c r="W318" s="298" t="s">
        <v>50</v>
      </c>
      <c r="X318" s="298" t="s">
        <v>285</v>
      </c>
      <c r="Y318" s="298" t="s">
        <v>51</v>
      </c>
      <c r="Z318" s="298" t="s">
        <v>52</v>
      </c>
      <c r="AA318" s="234" t="s">
        <v>305</v>
      </c>
    </row>
    <row r="319" ht="15.75" customHeight="1">
      <c r="A319" s="69">
        <v>43546.0</v>
      </c>
      <c r="B319" s="32" t="s">
        <v>406</v>
      </c>
      <c r="C319" s="21">
        <v>7.000146048E9</v>
      </c>
      <c r="D319" s="21" t="s">
        <v>850</v>
      </c>
      <c r="E319" s="23" t="s">
        <v>853</v>
      </c>
      <c r="F319" s="24">
        <v>2.0</v>
      </c>
      <c r="G319" s="25">
        <v>186.0</v>
      </c>
      <c r="H319" s="60">
        <v>372.0</v>
      </c>
      <c r="I319" s="61" t="s">
        <v>43</v>
      </c>
      <c r="J319" s="50" t="s">
        <v>513</v>
      </c>
      <c r="K319" s="29">
        <v>43557.0</v>
      </c>
      <c r="L319" s="305">
        <v>43646.0</v>
      </c>
      <c r="M319" s="462">
        <v>43556.0</v>
      </c>
      <c r="N319" s="306" t="s">
        <v>852</v>
      </c>
      <c r="O319" s="306"/>
      <c r="P319" s="462">
        <v>43647.0</v>
      </c>
      <c r="Q319" s="298"/>
      <c r="R319" s="298">
        <v>30.77</v>
      </c>
      <c r="S319" s="299">
        <f t="shared" si="9"/>
        <v>11446.44</v>
      </c>
      <c r="T319" s="300">
        <v>43598.0</v>
      </c>
      <c r="U319" s="299"/>
      <c r="V319" s="299"/>
      <c r="W319" s="298" t="s">
        <v>50</v>
      </c>
      <c r="X319" s="298" t="s">
        <v>285</v>
      </c>
      <c r="Y319" s="298" t="s">
        <v>51</v>
      </c>
      <c r="Z319" s="298" t="s">
        <v>52</v>
      </c>
      <c r="AA319" s="234" t="s">
        <v>305</v>
      </c>
    </row>
    <row r="320" ht="39.0" customHeight="1">
      <c r="A320" s="69">
        <v>43546.0</v>
      </c>
      <c r="B320" s="32" t="s">
        <v>406</v>
      </c>
      <c r="C320" s="21">
        <v>7.000146048E9</v>
      </c>
      <c r="D320" s="21" t="s">
        <v>850</v>
      </c>
      <c r="E320" s="23" t="s">
        <v>809</v>
      </c>
      <c r="F320" s="24">
        <v>2.0</v>
      </c>
      <c r="G320" s="25">
        <v>67.0</v>
      </c>
      <c r="H320" s="60">
        <v>134.0</v>
      </c>
      <c r="I320" s="61" t="s">
        <v>43</v>
      </c>
      <c r="J320" s="50" t="s">
        <v>513</v>
      </c>
      <c r="K320" s="29">
        <v>43557.0</v>
      </c>
      <c r="L320" s="305">
        <v>43646.0</v>
      </c>
      <c r="M320" s="462">
        <v>43556.0</v>
      </c>
      <c r="N320" s="306" t="s">
        <v>852</v>
      </c>
      <c r="O320" s="306"/>
      <c r="P320" s="462">
        <v>43647.0</v>
      </c>
      <c r="Q320" s="298"/>
      <c r="R320" s="298">
        <v>30.77</v>
      </c>
      <c r="S320" s="299">
        <f t="shared" si="9"/>
        <v>4123.18</v>
      </c>
      <c r="T320" s="300">
        <v>43598.0</v>
      </c>
      <c r="U320" s="299"/>
      <c r="V320" s="299"/>
      <c r="W320" s="298" t="s">
        <v>50</v>
      </c>
      <c r="X320" s="298" t="s">
        <v>285</v>
      </c>
      <c r="Y320" s="298" t="s">
        <v>51</v>
      </c>
      <c r="Z320" s="298" t="s">
        <v>52</v>
      </c>
      <c r="AA320" s="234" t="s">
        <v>305</v>
      </c>
    </row>
    <row r="321" ht="39.0" customHeight="1">
      <c r="A321" s="69">
        <v>43546.0</v>
      </c>
      <c r="B321" s="32" t="s">
        <v>406</v>
      </c>
      <c r="C321" s="21">
        <v>7.000146048E9</v>
      </c>
      <c r="D321" s="21" t="s">
        <v>850</v>
      </c>
      <c r="E321" s="23" t="s">
        <v>854</v>
      </c>
      <c r="F321" s="24">
        <v>2.0</v>
      </c>
      <c r="G321" s="25">
        <v>225.0</v>
      </c>
      <c r="H321" s="60">
        <v>450.0</v>
      </c>
      <c r="I321" s="61" t="s">
        <v>43</v>
      </c>
      <c r="J321" s="50" t="s">
        <v>513</v>
      </c>
      <c r="K321" s="29">
        <v>43557.0</v>
      </c>
      <c r="L321" s="305">
        <v>43646.0</v>
      </c>
      <c r="M321" s="462">
        <v>43556.0</v>
      </c>
      <c r="N321" s="306" t="s">
        <v>852</v>
      </c>
      <c r="O321" s="306"/>
      <c r="P321" s="462">
        <v>43647.0</v>
      </c>
      <c r="Q321" s="298"/>
      <c r="R321" s="298">
        <v>30.77</v>
      </c>
      <c r="S321" s="299">
        <f t="shared" si="9"/>
        <v>13846.5</v>
      </c>
      <c r="T321" s="300">
        <v>43598.0</v>
      </c>
      <c r="U321" s="299"/>
      <c r="V321" s="299"/>
      <c r="W321" s="298" t="s">
        <v>50</v>
      </c>
      <c r="X321" s="298" t="s">
        <v>285</v>
      </c>
      <c r="Y321" s="298" t="s">
        <v>51</v>
      </c>
      <c r="Z321" s="298" t="s">
        <v>52</v>
      </c>
      <c r="AA321" s="234" t="s">
        <v>305</v>
      </c>
    </row>
    <row r="322" ht="15.75" customHeight="1">
      <c r="A322" s="69">
        <v>43546.0</v>
      </c>
      <c r="B322" s="32" t="s">
        <v>406</v>
      </c>
      <c r="C322" s="21">
        <v>7.000146048E9</v>
      </c>
      <c r="D322" s="21" t="s">
        <v>850</v>
      </c>
      <c r="E322" s="23" t="s">
        <v>855</v>
      </c>
      <c r="F322" s="24">
        <v>2.0</v>
      </c>
      <c r="G322" s="25">
        <v>26.0</v>
      </c>
      <c r="H322" s="60">
        <v>52.0</v>
      </c>
      <c r="I322" s="61" t="s">
        <v>43</v>
      </c>
      <c r="J322" s="50" t="s">
        <v>513</v>
      </c>
      <c r="K322" s="29">
        <v>43557.0</v>
      </c>
      <c r="L322" s="305">
        <v>43646.0</v>
      </c>
      <c r="M322" s="462">
        <v>43556.0</v>
      </c>
      <c r="N322" s="306" t="s">
        <v>852</v>
      </c>
      <c r="O322" s="306"/>
      <c r="P322" s="462">
        <v>43647.0</v>
      </c>
      <c r="Q322" s="298"/>
      <c r="R322" s="298">
        <v>30.77</v>
      </c>
      <c r="S322" s="299">
        <f t="shared" si="9"/>
        <v>1600.04</v>
      </c>
      <c r="T322" s="300">
        <v>43598.0</v>
      </c>
      <c r="U322" s="299"/>
      <c r="V322" s="299"/>
      <c r="W322" s="298" t="s">
        <v>50</v>
      </c>
      <c r="X322" s="298" t="s">
        <v>285</v>
      </c>
      <c r="Y322" s="298" t="s">
        <v>51</v>
      </c>
      <c r="Z322" s="298" t="s">
        <v>52</v>
      </c>
      <c r="AA322" s="234" t="s">
        <v>305</v>
      </c>
    </row>
    <row r="323" ht="15.75" customHeight="1">
      <c r="A323" s="69">
        <v>43546.0</v>
      </c>
      <c r="B323" s="23" t="s">
        <v>406</v>
      </c>
      <c r="C323" s="21">
        <v>7.000146048E9</v>
      </c>
      <c r="D323" s="21" t="s">
        <v>850</v>
      </c>
      <c r="E323" s="23" t="s">
        <v>856</v>
      </c>
      <c r="F323" s="24">
        <v>2.0</v>
      </c>
      <c r="G323" s="25">
        <v>5.0</v>
      </c>
      <c r="H323" s="60">
        <v>10.0</v>
      </c>
      <c r="I323" s="61" t="s">
        <v>43</v>
      </c>
      <c r="J323" s="50" t="s">
        <v>513</v>
      </c>
      <c r="K323" s="29">
        <v>43557.0</v>
      </c>
      <c r="L323" s="305">
        <v>43646.0</v>
      </c>
      <c r="M323" s="462">
        <v>43556.0</v>
      </c>
      <c r="N323" s="306" t="s">
        <v>852</v>
      </c>
      <c r="O323" s="306"/>
      <c r="P323" s="462">
        <v>43647.0</v>
      </c>
      <c r="Q323" s="298"/>
      <c r="R323" s="298">
        <v>30.77</v>
      </c>
      <c r="S323" s="299">
        <f t="shared" si="9"/>
        <v>307.7</v>
      </c>
      <c r="T323" s="300">
        <v>43598.0</v>
      </c>
      <c r="U323" s="299"/>
      <c r="V323" s="299"/>
      <c r="W323" s="298" t="s">
        <v>50</v>
      </c>
      <c r="X323" s="298" t="s">
        <v>285</v>
      </c>
      <c r="Y323" s="298" t="s">
        <v>51</v>
      </c>
      <c r="Z323" s="298" t="s">
        <v>52</v>
      </c>
      <c r="AA323" s="234" t="s">
        <v>305</v>
      </c>
    </row>
    <row r="324" ht="15.75" customHeight="1">
      <c r="A324" s="69">
        <v>43546.0</v>
      </c>
      <c r="B324" s="23" t="s">
        <v>406</v>
      </c>
      <c r="C324" s="21">
        <v>7.000146048E9</v>
      </c>
      <c r="D324" s="21" t="s">
        <v>850</v>
      </c>
      <c r="E324" s="23" t="s">
        <v>857</v>
      </c>
      <c r="F324" s="24">
        <v>2.0</v>
      </c>
      <c r="G324" s="25">
        <v>6.0</v>
      </c>
      <c r="H324" s="60">
        <v>12.0</v>
      </c>
      <c r="I324" s="61" t="s">
        <v>43</v>
      </c>
      <c r="J324" s="50" t="s">
        <v>513</v>
      </c>
      <c r="K324" s="29">
        <v>43557.0</v>
      </c>
      <c r="L324" s="305">
        <v>43646.0</v>
      </c>
      <c r="M324" s="462">
        <v>43556.0</v>
      </c>
      <c r="N324" s="306" t="s">
        <v>852</v>
      </c>
      <c r="O324" s="306"/>
      <c r="P324" s="462">
        <v>43647.0</v>
      </c>
      <c r="Q324" s="298"/>
      <c r="R324" s="298">
        <v>30.77</v>
      </c>
      <c r="S324" s="299">
        <f t="shared" si="9"/>
        <v>369.24</v>
      </c>
      <c r="T324" s="300">
        <v>43598.0</v>
      </c>
      <c r="U324" s="299"/>
      <c r="V324" s="299"/>
      <c r="W324" s="298" t="s">
        <v>50</v>
      </c>
      <c r="X324" s="298" t="s">
        <v>285</v>
      </c>
      <c r="Y324" s="298" t="s">
        <v>51</v>
      </c>
      <c r="Z324" s="298" t="s">
        <v>52</v>
      </c>
      <c r="AA324" s="234" t="s">
        <v>305</v>
      </c>
    </row>
    <row r="325" ht="15.75" customHeight="1">
      <c r="A325" s="19">
        <v>43547.0</v>
      </c>
      <c r="B325" s="51" t="s">
        <v>54</v>
      </c>
      <c r="C325" s="21" t="s">
        <v>858</v>
      </c>
      <c r="D325" s="22" t="s">
        <v>859</v>
      </c>
      <c r="E325" s="23" t="s">
        <v>386</v>
      </c>
      <c r="F325" s="24">
        <v>5.0</v>
      </c>
      <c r="G325" s="25">
        <v>150.15</v>
      </c>
      <c r="H325" s="26">
        <v>750.75</v>
      </c>
      <c r="I325" s="431" t="s">
        <v>43</v>
      </c>
      <c r="J325" s="161" t="s">
        <v>90</v>
      </c>
      <c r="K325" s="30">
        <v>43571.0</v>
      </c>
      <c r="L325" s="302">
        <v>43616.0</v>
      </c>
      <c r="M325" s="302">
        <v>43570.0</v>
      </c>
      <c r="N325" s="296" t="s">
        <v>860</v>
      </c>
      <c r="O325" s="296">
        <v>20671.0</v>
      </c>
      <c r="P325" s="451">
        <v>43616.0</v>
      </c>
      <c r="Q325" s="371"/>
      <c r="R325" s="371"/>
      <c r="S325" s="372">
        <v>23172.0</v>
      </c>
      <c r="T325" s="373">
        <v>43612.0</v>
      </c>
      <c r="U325" s="372">
        <v>23172.0</v>
      </c>
      <c r="V325" s="372">
        <v>0.0</v>
      </c>
      <c r="W325" s="371" t="s">
        <v>50</v>
      </c>
      <c r="X325" s="371" t="s">
        <v>285</v>
      </c>
      <c r="Y325" s="371" t="s">
        <v>51</v>
      </c>
      <c r="Z325" s="371" t="s">
        <v>377</v>
      </c>
      <c r="AA325" s="374" t="s">
        <v>440</v>
      </c>
    </row>
    <row r="326" ht="15.75" customHeight="1">
      <c r="A326" s="69">
        <v>43550.0</v>
      </c>
      <c r="B326" s="70" t="s">
        <v>229</v>
      </c>
      <c r="C326" s="21"/>
      <c r="D326" s="21" t="s">
        <v>861</v>
      </c>
      <c r="E326" s="23" t="s">
        <v>232</v>
      </c>
      <c r="F326" s="24">
        <v>8.0</v>
      </c>
      <c r="G326" s="25">
        <v>407.4</v>
      </c>
      <c r="H326" s="60">
        <v>3259.2</v>
      </c>
      <c r="I326" s="348" t="s">
        <v>171</v>
      </c>
      <c r="J326" s="63" t="s">
        <v>90</v>
      </c>
      <c r="K326" s="29">
        <v>43538.0</v>
      </c>
      <c r="L326" s="295">
        <v>43585.0</v>
      </c>
      <c r="M326" s="295">
        <v>43536.0</v>
      </c>
      <c r="N326" s="296" t="s">
        <v>862</v>
      </c>
      <c r="O326" s="297">
        <v>91816.0</v>
      </c>
      <c r="P326" s="302">
        <v>43586.0</v>
      </c>
      <c r="Q326" s="54"/>
      <c r="R326" s="54"/>
      <c r="S326" s="55"/>
      <c r="T326" s="54"/>
      <c r="U326" s="55"/>
      <c r="V326" s="55"/>
      <c r="W326" s="54" t="s">
        <v>50</v>
      </c>
      <c r="X326" s="24" t="s">
        <v>285</v>
      </c>
      <c r="Y326" s="54" t="s">
        <v>51</v>
      </c>
      <c r="Z326" s="54" t="s">
        <v>377</v>
      </c>
      <c r="AA326" s="57" t="s">
        <v>398</v>
      </c>
    </row>
    <row r="327" ht="15.75" customHeight="1">
      <c r="A327" s="19">
        <v>43552.0</v>
      </c>
      <c r="B327" s="70" t="s">
        <v>101</v>
      </c>
      <c r="C327" s="21" t="s">
        <v>785</v>
      </c>
      <c r="D327" s="21" t="s">
        <v>863</v>
      </c>
      <c r="E327" s="23" t="s">
        <v>347</v>
      </c>
      <c r="F327" s="24">
        <v>1.0</v>
      </c>
      <c r="G327" s="25">
        <v>189.0</v>
      </c>
      <c r="H327" s="26">
        <v>189.0</v>
      </c>
      <c r="I327" s="27" t="s">
        <v>303</v>
      </c>
      <c r="J327" s="50" t="s">
        <v>534</v>
      </c>
      <c r="K327" s="30">
        <v>43557.0</v>
      </c>
      <c r="L327" s="304">
        <v>43616.0</v>
      </c>
      <c r="M327" s="305">
        <v>43567.0</v>
      </c>
      <c r="N327" s="306" t="s">
        <v>864</v>
      </c>
      <c r="O327" s="406"/>
      <c r="P327" s="46">
        <v>43616.0</v>
      </c>
      <c r="Q327" s="82"/>
      <c r="R327" s="82">
        <v>30.77</v>
      </c>
      <c r="S327" s="299">
        <f>H327*R327</f>
        <v>5815.53</v>
      </c>
      <c r="T327" s="145">
        <v>43602.0</v>
      </c>
      <c r="U327" s="299"/>
      <c r="V327" s="299"/>
      <c r="W327" s="298" t="s">
        <v>50</v>
      </c>
      <c r="X327" s="298" t="s">
        <v>285</v>
      </c>
      <c r="Y327" s="82" t="s">
        <v>51</v>
      </c>
      <c r="Z327" s="82" t="s">
        <v>52</v>
      </c>
      <c r="AA327" s="234" t="s">
        <v>305</v>
      </c>
    </row>
    <row r="328" ht="15.75" customHeight="1">
      <c r="A328" s="469">
        <v>43552.0</v>
      </c>
      <c r="B328" s="70" t="s">
        <v>101</v>
      </c>
      <c r="C328" s="21" t="s">
        <v>785</v>
      </c>
      <c r="D328" s="21" t="s">
        <v>865</v>
      </c>
      <c r="E328" s="23" t="s">
        <v>347</v>
      </c>
      <c r="F328" s="24">
        <v>1.0</v>
      </c>
      <c r="G328" s="25">
        <v>232.0</v>
      </c>
      <c r="H328" s="60">
        <v>232.0</v>
      </c>
      <c r="I328" s="61" t="s">
        <v>703</v>
      </c>
      <c r="J328" s="50" t="s">
        <v>534</v>
      </c>
      <c r="K328" s="29">
        <v>43552.0</v>
      </c>
      <c r="L328" s="305">
        <v>43616.0</v>
      </c>
      <c r="M328" s="305">
        <v>43567.0</v>
      </c>
      <c r="N328" s="306" t="s">
        <v>864</v>
      </c>
      <c r="O328" s="406">
        <v>15656.0</v>
      </c>
      <c r="P328" s="46">
        <v>43616.0</v>
      </c>
      <c r="Q328" s="298"/>
      <c r="R328" s="298"/>
      <c r="S328" s="299"/>
      <c r="T328" s="145">
        <v>43602.0</v>
      </c>
      <c r="U328" s="299"/>
      <c r="V328" s="299"/>
      <c r="W328" s="298" t="s">
        <v>50</v>
      </c>
      <c r="X328" s="298" t="s">
        <v>285</v>
      </c>
      <c r="Y328" s="298" t="s">
        <v>51</v>
      </c>
      <c r="Z328" s="298" t="s">
        <v>52</v>
      </c>
      <c r="AA328" s="234" t="s">
        <v>305</v>
      </c>
    </row>
    <row r="329" ht="15.75" customHeight="1">
      <c r="A329" s="69">
        <v>43553.0</v>
      </c>
      <c r="B329" s="144" t="s">
        <v>140</v>
      </c>
      <c r="C329" s="21" t="s">
        <v>866</v>
      </c>
      <c r="D329" s="21" t="s">
        <v>867</v>
      </c>
      <c r="E329" s="23" t="s">
        <v>868</v>
      </c>
      <c r="F329" s="24">
        <v>1.0</v>
      </c>
      <c r="G329" s="25">
        <v>49.5</v>
      </c>
      <c r="H329" s="60">
        <v>49.5</v>
      </c>
      <c r="I329" s="61" t="s">
        <v>703</v>
      </c>
      <c r="J329" s="50" t="s">
        <v>869</v>
      </c>
      <c r="K329" s="29">
        <v>43566.0</v>
      </c>
      <c r="L329" s="302">
        <v>43590.0</v>
      </c>
      <c r="M329" s="302">
        <v>43563.0</v>
      </c>
      <c r="N329" s="296" t="s">
        <v>870</v>
      </c>
      <c r="O329" s="296">
        <v>1935.0</v>
      </c>
      <c r="P329" s="302">
        <v>43592.0</v>
      </c>
      <c r="Q329" s="54"/>
      <c r="R329" s="54">
        <v>30.76</v>
      </c>
      <c r="S329" s="38">
        <f t="shared" ref="S329:S331" si="10">R329*H329</f>
        <v>1522.62</v>
      </c>
      <c r="T329" s="56">
        <v>43574.0</v>
      </c>
      <c r="U329" s="55"/>
      <c r="V329" s="55"/>
      <c r="W329" s="54" t="s">
        <v>50</v>
      </c>
      <c r="X329" s="24" t="s">
        <v>285</v>
      </c>
      <c r="Y329" s="54" t="s">
        <v>286</v>
      </c>
      <c r="Z329" s="54" t="s">
        <v>52</v>
      </c>
      <c r="AA329" s="57" t="s">
        <v>398</v>
      </c>
    </row>
    <row r="330" ht="15.75" customHeight="1">
      <c r="A330" s="69">
        <v>43553.0</v>
      </c>
      <c r="B330" s="144" t="s">
        <v>140</v>
      </c>
      <c r="C330" s="21" t="s">
        <v>866</v>
      </c>
      <c r="D330" s="21" t="s">
        <v>871</v>
      </c>
      <c r="E330" s="23" t="s">
        <v>872</v>
      </c>
      <c r="F330" s="24">
        <v>1.0</v>
      </c>
      <c r="G330" s="25">
        <v>33.0</v>
      </c>
      <c r="H330" s="60">
        <v>33.0</v>
      </c>
      <c r="I330" s="61" t="s">
        <v>703</v>
      </c>
      <c r="J330" s="50" t="s">
        <v>869</v>
      </c>
      <c r="K330" s="29">
        <v>43566.0</v>
      </c>
      <c r="L330" s="295">
        <v>43621.0</v>
      </c>
      <c r="M330" s="302">
        <v>43588.0</v>
      </c>
      <c r="N330" s="296" t="s">
        <v>873</v>
      </c>
      <c r="O330" s="296">
        <v>701.0</v>
      </c>
      <c r="P330" s="302">
        <v>43621.0</v>
      </c>
      <c r="Q330" s="54"/>
      <c r="R330" s="54">
        <v>30.76</v>
      </c>
      <c r="S330" s="38">
        <f t="shared" si="10"/>
        <v>1015.08</v>
      </c>
      <c r="T330" s="56">
        <v>43574.0</v>
      </c>
      <c r="U330" s="55"/>
      <c r="V330" s="55"/>
      <c r="W330" s="54" t="s">
        <v>50</v>
      </c>
      <c r="X330" s="24" t="s">
        <v>285</v>
      </c>
      <c r="Y330" s="54" t="s">
        <v>286</v>
      </c>
      <c r="Z330" s="54" t="s">
        <v>52</v>
      </c>
      <c r="AA330" s="57"/>
    </row>
    <row r="331" ht="15.75" customHeight="1">
      <c r="A331" s="69">
        <v>43553.0</v>
      </c>
      <c r="B331" s="144" t="s">
        <v>140</v>
      </c>
      <c r="C331" s="21" t="s">
        <v>866</v>
      </c>
      <c r="D331" s="21" t="s">
        <v>874</v>
      </c>
      <c r="E331" s="23" t="s">
        <v>875</v>
      </c>
      <c r="F331" s="24">
        <v>1.0</v>
      </c>
      <c r="G331" s="25">
        <v>590.0</v>
      </c>
      <c r="H331" s="60">
        <v>590.0</v>
      </c>
      <c r="I331" s="61" t="s">
        <v>703</v>
      </c>
      <c r="J331" s="50" t="s">
        <v>869</v>
      </c>
      <c r="K331" s="29">
        <v>43566.0</v>
      </c>
      <c r="L331" s="52"/>
      <c r="M331" s="53"/>
      <c r="N331" s="53"/>
      <c r="O331" s="53"/>
      <c r="P331" s="53"/>
      <c r="Q331" s="54"/>
      <c r="R331" s="54">
        <v>30.76</v>
      </c>
      <c r="S331" s="38">
        <f t="shared" si="10"/>
        <v>18148.4</v>
      </c>
      <c r="T331" s="56">
        <v>43574.0</v>
      </c>
      <c r="U331" s="55">
        <f>695.6*30.78</f>
        <v>21410.568</v>
      </c>
      <c r="V331" s="55">
        <f>6.5*30.78</f>
        <v>200.07</v>
      </c>
      <c r="W331" s="54" t="s">
        <v>50</v>
      </c>
      <c r="X331" s="24" t="s">
        <v>285</v>
      </c>
      <c r="Y331" s="54" t="s">
        <v>286</v>
      </c>
      <c r="Z331" s="54" t="s">
        <v>52</v>
      </c>
      <c r="AA331" s="57" t="s">
        <v>398</v>
      </c>
    </row>
    <row r="332" ht="15.75" customHeight="1">
      <c r="A332" s="69">
        <v>43553.0</v>
      </c>
      <c r="B332" s="144" t="s">
        <v>140</v>
      </c>
      <c r="C332" s="21" t="s">
        <v>866</v>
      </c>
      <c r="D332" s="21" t="s">
        <v>876</v>
      </c>
      <c r="E332" s="23" t="s">
        <v>875</v>
      </c>
      <c r="F332" s="24">
        <v>1.0</v>
      </c>
      <c r="G332" s="25">
        <v>-350.0</v>
      </c>
      <c r="H332" s="60">
        <v>-350.0</v>
      </c>
      <c r="I332" s="61" t="s">
        <v>703</v>
      </c>
      <c r="J332" s="58"/>
      <c r="K332" s="30"/>
      <c r="L332" s="52"/>
      <c r="M332" s="53"/>
      <c r="N332" s="53"/>
      <c r="O332" s="53"/>
      <c r="P332" s="53"/>
      <c r="Q332" s="54"/>
      <c r="R332" s="54"/>
      <c r="S332" s="55"/>
      <c r="T332" s="56">
        <v>43676.0</v>
      </c>
      <c r="U332" s="55"/>
      <c r="V332" s="55"/>
      <c r="W332" s="54" t="s">
        <v>50</v>
      </c>
      <c r="X332" s="24" t="s">
        <v>285</v>
      </c>
      <c r="Y332" s="54" t="s">
        <v>286</v>
      </c>
      <c r="Z332" s="54" t="s">
        <v>52</v>
      </c>
      <c r="AA332" s="57"/>
    </row>
    <row r="333" ht="15.75" customHeight="1">
      <c r="A333" s="69">
        <v>43553.0</v>
      </c>
      <c r="B333" s="144" t="s">
        <v>140</v>
      </c>
      <c r="C333" s="21" t="s">
        <v>866</v>
      </c>
      <c r="D333" s="21" t="s">
        <v>877</v>
      </c>
      <c r="E333" s="23" t="s">
        <v>878</v>
      </c>
      <c r="F333" s="24">
        <v>1.0</v>
      </c>
      <c r="G333" s="48">
        <v>26.5</v>
      </c>
      <c r="H333" s="470">
        <v>26.5</v>
      </c>
      <c r="I333" s="87" t="s">
        <v>703</v>
      </c>
      <c r="J333" s="407" t="s">
        <v>869</v>
      </c>
      <c r="K333" s="29">
        <v>43573.0</v>
      </c>
      <c r="L333" s="295">
        <v>43590.0</v>
      </c>
      <c r="M333" s="302">
        <v>43558.0</v>
      </c>
      <c r="N333" s="296" t="s">
        <v>879</v>
      </c>
      <c r="O333" s="296">
        <v>756.0</v>
      </c>
      <c r="P333" s="302">
        <v>43592.0</v>
      </c>
      <c r="Q333" s="54"/>
      <c r="R333" s="54">
        <v>30.76</v>
      </c>
      <c r="S333" s="55">
        <f t="shared" ref="S333:S340" si="11">R333*H333</f>
        <v>815.14</v>
      </c>
      <c r="T333" s="56">
        <v>43574.0</v>
      </c>
      <c r="U333" s="55"/>
      <c r="V333" s="55"/>
      <c r="W333" s="54" t="s">
        <v>50</v>
      </c>
      <c r="X333" s="24" t="s">
        <v>285</v>
      </c>
      <c r="Y333" s="54" t="s">
        <v>286</v>
      </c>
      <c r="Z333" s="54" t="s">
        <v>52</v>
      </c>
      <c r="AA333" s="57" t="s">
        <v>398</v>
      </c>
    </row>
    <row r="334" ht="15.75" customHeight="1">
      <c r="A334" s="69">
        <v>43553.0</v>
      </c>
      <c r="B334" s="144" t="s">
        <v>140</v>
      </c>
      <c r="C334" s="21" t="s">
        <v>866</v>
      </c>
      <c r="D334" s="21" t="s">
        <v>880</v>
      </c>
      <c r="E334" s="23" t="s">
        <v>881</v>
      </c>
      <c r="F334" s="24">
        <v>1.0</v>
      </c>
      <c r="G334" s="25">
        <v>3.1</v>
      </c>
      <c r="H334" s="60">
        <v>3.1</v>
      </c>
      <c r="I334" s="87" t="s">
        <v>703</v>
      </c>
      <c r="J334" s="50" t="s">
        <v>869</v>
      </c>
      <c r="K334" s="29">
        <v>43573.0</v>
      </c>
      <c r="L334" s="52"/>
      <c r="M334" s="53"/>
      <c r="N334" s="53"/>
      <c r="O334" s="53"/>
      <c r="P334" s="53"/>
      <c r="Q334" s="54"/>
      <c r="R334" s="54">
        <v>30.76</v>
      </c>
      <c r="S334" s="55">
        <f t="shared" si="11"/>
        <v>95.356</v>
      </c>
      <c r="T334" s="56">
        <v>43574.0</v>
      </c>
      <c r="U334" s="55"/>
      <c r="V334" s="55"/>
      <c r="W334" s="54" t="s">
        <v>50</v>
      </c>
      <c r="X334" s="24" t="s">
        <v>285</v>
      </c>
      <c r="Y334" s="54" t="s">
        <v>286</v>
      </c>
      <c r="Z334" s="54" t="s">
        <v>52</v>
      </c>
      <c r="AA334" s="57" t="s">
        <v>398</v>
      </c>
    </row>
    <row r="335" ht="15.75" customHeight="1">
      <c r="A335" s="69">
        <v>43556.0</v>
      </c>
      <c r="B335" s="70" t="s">
        <v>130</v>
      </c>
      <c r="C335" s="21" t="s">
        <v>882</v>
      </c>
      <c r="D335" s="21" t="s">
        <v>883</v>
      </c>
      <c r="E335" s="23" t="s">
        <v>884</v>
      </c>
      <c r="F335" s="24">
        <v>2.0</v>
      </c>
      <c r="G335" s="25">
        <v>6.0</v>
      </c>
      <c r="H335" s="60">
        <v>12.0</v>
      </c>
      <c r="I335" s="87" t="s">
        <v>248</v>
      </c>
      <c r="J335" s="63" t="s">
        <v>134</v>
      </c>
      <c r="K335" s="29">
        <v>43571.0</v>
      </c>
      <c r="L335" s="302">
        <v>43616.0</v>
      </c>
      <c r="M335" s="302">
        <v>43567.0</v>
      </c>
      <c r="N335" s="296" t="s">
        <v>885</v>
      </c>
      <c r="O335" s="296"/>
      <c r="P335" s="451">
        <v>43616.0</v>
      </c>
      <c r="Q335" s="54"/>
      <c r="R335" s="54">
        <v>30.76</v>
      </c>
      <c r="S335" s="55">
        <f t="shared" si="11"/>
        <v>369.12</v>
      </c>
      <c r="T335" s="56">
        <v>43563.0</v>
      </c>
      <c r="U335" s="55">
        <f>1525.5*30.784</f>
        <v>46960.992</v>
      </c>
      <c r="V335" s="55">
        <f>(1543-1525.5)*30.784</f>
        <v>538.72</v>
      </c>
      <c r="W335" s="54" t="s">
        <v>50</v>
      </c>
      <c r="X335" s="24" t="s">
        <v>285</v>
      </c>
      <c r="Y335" s="54" t="s">
        <v>51</v>
      </c>
      <c r="Z335" s="54" t="s">
        <v>52</v>
      </c>
      <c r="AA335" s="57" t="s">
        <v>398</v>
      </c>
    </row>
    <row r="336" ht="15.75" customHeight="1">
      <c r="A336" s="69">
        <v>43556.0</v>
      </c>
      <c r="B336" s="70" t="s">
        <v>130</v>
      </c>
      <c r="C336" s="21" t="s">
        <v>882</v>
      </c>
      <c r="D336" s="21" t="s">
        <v>883</v>
      </c>
      <c r="E336" s="23" t="s">
        <v>886</v>
      </c>
      <c r="F336" s="24">
        <v>10.0</v>
      </c>
      <c r="G336" s="25">
        <v>4.0</v>
      </c>
      <c r="H336" s="60">
        <v>40.0</v>
      </c>
      <c r="I336" s="87" t="s">
        <v>248</v>
      </c>
      <c r="J336" s="63" t="s">
        <v>134</v>
      </c>
      <c r="K336" s="29">
        <v>43571.0</v>
      </c>
      <c r="L336" s="302">
        <v>43616.0</v>
      </c>
      <c r="M336" s="302">
        <v>43567.0</v>
      </c>
      <c r="N336" s="296" t="s">
        <v>885</v>
      </c>
      <c r="O336" s="296"/>
      <c r="P336" s="451">
        <v>43616.0</v>
      </c>
      <c r="Q336" s="54"/>
      <c r="R336" s="54">
        <v>30.76</v>
      </c>
      <c r="S336" s="55">
        <f t="shared" si="11"/>
        <v>1230.4</v>
      </c>
      <c r="T336" s="56">
        <v>43563.0</v>
      </c>
      <c r="U336" s="55"/>
      <c r="V336" s="55"/>
      <c r="W336" s="54" t="s">
        <v>50</v>
      </c>
      <c r="X336" s="24" t="s">
        <v>285</v>
      </c>
      <c r="Y336" s="54" t="s">
        <v>51</v>
      </c>
      <c r="Z336" s="54" t="s">
        <v>52</v>
      </c>
      <c r="AA336" s="57" t="s">
        <v>398</v>
      </c>
    </row>
    <row r="337" ht="15.75" customHeight="1">
      <c r="A337" s="69">
        <v>43556.0</v>
      </c>
      <c r="B337" s="70" t="s">
        <v>130</v>
      </c>
      <c r="C337" s="21" t="s">
        <v>882</v>
      </c>
      <c r="D337" s="21" t="s">
        <v>883</v>
      </c>
      <c r="E337" s="23" t="s">
        <v>244</v>
      </c>
      <c r="F337" s="24">
        <v>5.0</v>
      </c>
      <c r="G337" s="25">
        <v>50.0</v>
      </c>
      <c r="H337" s="60">
        <v>250.0</v>
      </c>
      <c r="I337" s="87" t="s">
        <v>248</v>
      </c>
      <c r="J337" s="63" t="s">
        <v>134</v>
      </c>
      <c r="K337" s="29">
        <v>43571.0</v>
      </c>
      <c r="L337" s="302">
        <v>43616.0</v>
      </c>
      <c r="M337" s="302">
        <v>43567.0</v>
      </c>
      <c r="N337" s="296" t="s">
        <v>885</v>
      </c>
      <c r="O337" s="296"/>
      <c r="P337" s="451">
        <v>43616.0</v>
      </c>
      <c r="Q337" s="54"/>
      <c r="R337" s="54">
        <v>30.76</v>
      </c>
      <c r="S337" s="55">
        <f t="shared" si="11"/>
        <v>7690</v>
      </c>
      <c r="T337" s="56">
        <v>43563.0</v>
      </c>
      <c r="U337" s="55"/>
      <c r="V337" s="55"/>
      <c r="W337" s="54" t="s">
        <v>50</v>
      </c>
      <c r="X337" s="24" t="s">
        <v>285</v>
      </c>
      <c r="Y337" s="54" t="s">
        <v>51</v>
      </c>
      <c r="Z337" s="54" t="s">
        <v>52</v>
      </c>
      <c r="AA337" s="57" t="s">
        <v>398</v>
      </c>
    </row>
    <row r="338" ht="15.75" customHeight="1">
      <c r="A338" s="69">
        <v>43556.0</v>
      </c>
      <c r="B338" s="70" t="s">
        <v>130</v>
      </c>
      <c r="C338" s="21" t="s">
        <v>882</v>
      </c>
      <c r="D338" s="21" t="s">
        <v>883</v>
      </c>
      <c r="E338" s="23" t="s">
        <v>887</v>
      </c>
      <c r="F338" s="24">
        <v>5.0</v>
      </c>
      <c r="G338" s="25">
        <v>85.0</v>
      </c>
      <c r="H338" s="60">
        <v>425.0</v>
      </c>
      <c r="I338" s="87" t="s">
        <v>248</v>
      </c>
      <c r="J338" s="63" t="s">
        <v>134</v>
      </c>
      <c r="K338" s="29">
        <v>43571.0</v>
      </c>
      <c r="L338" s="302">
        <v>43616.0</v>
      </c>
      <c r="M338" s="302">
        <v>43567.0</v>
      </c>
      <c r="N338" s="296" t="s">
        <v>885</v>
      </c>
      <c r="O338" s="296"/>
      <c r="P338" s="451">
        <v>43616.0</v>
      </c>
      <c r="Q338" s="54"/>
      <c r="R338" s="54">
        <v>30.76</v>
      </c>
      <c r="S338" s="55">
        <f t="shared" si="11"/>
        <v>13073</v>
      </c>
      <c r="T338" s="56">
        <v>43563.0</v>
      </c>
      <c r="U338" s="55"/>
      <c r="V338" s="55"/>
      <c r="W338" s="54" t="s">
        <v>50</v>
      </c>
      <c r="X338" s="24" t="s">
        <v>285</v>
      </c>
      <c r="Y338" s="54" t="s">
        <v>51</v>
      </c>
      <c r="Z338" s="54" t="s">
        <v>52</v>
      </c>
      <c r="AA338" s="57" t="s">
        <v>398</v>
      </c>
    </row>
    <row r="339" ht="15.75" customHeight="1">
      <c r="A339" s="69">
        <v>43556.0</v>
      </c>
      <c r="B339" s="70" t="s">
        <v>130</v>
      </c>
      <c r="C339" s="21" t="s">
        <v>882</v>
      </c>
      <c r="D339" s="21" t="s">
        <v>883</v>
      </c>
      <c r="E339" s="23" t="s">
        <v>888</v>
      </c>
      <c r="F339" s="24">
        <v>1.0</v>
      </c>
      <c r="G339" s="25">
        <v>96.0</v>
      </c>
      <c r="H339" s="60">
        <v>96.0</v>
      </c>
      <c r="I339" s="87" t="s">
        <v>248</v>
      </c>
      <c r="J339" s="63" t="s">
        <v>134</v>
      </c>
      <c r="K339" s="29">
        <v>43571.0</v>
      </c>
      <c r="L339" s="302">
        <v>43616.0</v>
      </c>
      <c r="M339" s="302">
        <v>43567.0</v>
      </c>
      <c r="N339" s="296" t="s">
        <v>885</v>
      </c>
      <c r="O339" s="296">
        <v>45508.0</v>
      </c>
      <c r="P339" s="451">
        <v>43616.0</v>
      </c>
      <c r="Q339" s="54"/>
      <c r="R339" s="54">
        <v>30.76</v>
      </c>
      <c r="S339" s="55">
        <f t="shared" si="11"/>
        <v>2952.96</v>
      </c>
      <c r="T339" s="56">
        <v>43563.0</v>
      </c>
      <c r="U339" s="55"/>
      <c r="V339" s="55"/>
      <c r="W339" s="54" t="s">
        <v>50</v>
      </c>
      <c r="X339" s="24" t="s">
        <v>285</v>
      </c>
      <c r="Y339" s="54" t="s">
        <v>51</v>
      </c>
      <c r="Z339" s="54" t="s">
        <v>52</v>
      </c>
      <c r="AA339" s="57" t="s">
        <v>398</v>
      </c>
    </row>
    <row r="340" ht="15.75" customHeight="1">
      <c r="A340" s="69">
        <v>43558.0</v>
      </c>
      <c r="B340" s="70" t="s">
        <v>130</v>
      </c>
      <c r="C340" s="21" t="s">
        <v>882</v>
      </c>
      <c r="D340" s="21" t="s">
        <v>883</v>
      </c>
      <c r="E340" s="23" t="s">
        <v>889</v>
      </c>
      <c r="F340" s="24">
        <v>8.0</v>
      </c>
      <c r="G340" s="48">
        <v>90.0</v>
      </c>
      <c r="H340" s="60">
        <v>720.0</v>
      </c>
      <c r="I340" s="87" t="s">
        <v>248</v>
      </c>
      <c r="J340" s="63" t="s">
        <v>134</v>
      </c>
      <c r="K340" s="29">
        <v>43571.0</v>
      </c>
      <c r="L340" s="302">
        <v>43616.0</v>
      </c>
      <c r="M340" s="302">
        <v>43567.0</v>
      </c>
      <c r="N340" s="296" t="s">
        <v>885</v>
      </c>
      <c r="O340" s="296"/>
      <c r="P340" s="451">
        <v>43616.0</v>
      </c>
      <c r="Q340" s="54"/>
      <c r="R340" s="54">
        <v>30.76</v>
      </c>
      <c r="S340" s="55">
        <f t="shared" si="11"/>
        <v>22147.2</v>
      </c>
      <c r="T340" s="56">
        <v>43563.0</v>
      </c>
      <c r="U340" s="55"/>
      <c r="V340" s="55"/>
      <c r="W340" s="54" t="s">
        <v>50</v>
      </c>
      <c r="X340" s="24" t="s">
        <v>285</v>
      </c>
      <c r="Y340" s="54" t="s">
        <v>51</v>
      </c>
      <c r="Z340" s="54" t="s">
        <v>52</v>
      </c>
      <c r="AA340" s="57" t="s">
        <v>398</v>
      </c>
    </row>
    <row r="341" ht="15.75" customHeight="1">
      <c r="A341" s="69">
        <v>43558.0</v>
      </c>
      <c r="B341" s="70" t="s">
        <v>560</v>
      </c>
      <c r="C341" s="21"/>
      <c r="D341" s="21" t="s">
        <v>890</v>
      </c>
      <c r="E341" s="23" t="s">
        <v>891</v>
      </c>
      <c r="F341" s="24">
        <v>1.0</v>
      </c>
      <c r="G341" s="48">
        <v>744.0</v>
      </c>
      <c r="H341" s="165">
        <v>744.0</v>
      </c>
      <c r="I341" s="87" t="s">
        <v>303</v>
      </c>
      <c r="J341" s="63"/>
      <c r="K341" s="29">
        <v>43564.0</v>
      </c>
      <c r="L341" s="52"/>
      <c r="M341" s="53"/>
      <c r="N341" s="53"/>
      <c r="O341" s="53"/>
      <c r="P341" s="53"/>
      <c r="Q341" s="54"/>
      <c r="R341" s="54"/>
      <c r="S341" s="55">
        <v>23451.0</v>
      </c>
      <c r="T341" s="56">
        <v>43595.0</v>
      </c>
      <c r="U341" s="55">
        <v>23451.0</v>
      </c>
      <c r="V341" s="55">
        <v>0.0</v>
      </c>
      <c r="W341" s="54" t="s">
        <v>50</v>
      </c>
      <c r="X341" s="24" t="s">
        <v>285</v>
      </c>
      <c r="Y341" s="54" t="s">
        <v>51</v>
      </c>
      <c r="Z341" s="54" t="s">
        <v>377</v>
      </c>
      <c r="AA341" s="57"/>
    </row>
    <row r="342" ht="15.75" customHeight="1">
      <c r="A342" s="69">
        <v>43563.0</v>
      </c>
      <c r="B342" s="51" t="s">
        <v>101</v>
      </c>
      <c r="C342" s="22" t="s">
        <v>388</v>
      </c>
      <c r="D342" s="471" t="s">
        <v>892</v>
      </c>
      <c r="E342" s="23" t="s">
        <v>347</v>
      </c>
      <c r="F342" s="82">
        <v>1.0</v>
      </c>
      <c r="G342" s="150">
        <v>144.0</v>
      </c>
      <c r="H342" s="26">
        <v>144.0</v>
      </c>
      <c r="I342" s="49" t="s">
        <v>303</v>
      </c>
      <c r="J342" s="58" t="s">
        <v>290</v>
      </c>
      <c r="K342" s="30">
        <v>43563.0</v>
      </c>
      <c r="L342" s="304">
        <v>43616.0</v>
      </c>
      <c r="M342" s="305">
        <v>43567.0</v>
      </c>
      <c r="N342" s="306" t="s">
        <v>864</v>
      </c>
      <c r="O342" s="406"/>
      <c r="P342" s="46">
        <v>43616.0</v>
      </c>
      <c r="Q342" s="82"/>
      <c r="R342" s="82">
        <v>30.77</v>
      </c>
      <c r="S342" s="299">
        <f>H342*R342</f>
        <v>4430.88</v>
      </c>
      <c r="T342" s="145">
        <v>43602.0</v>
      </c>
      <c r="U342" s="299"/>
      <c r="V342" s="299"/>
      <c r="W342" s="298" t="s">
        <v>50</v>
      </c>
      <c r="X342" s="24" t="s">
        <v>285</v>
      </c>
      <c r="Y342" s="82" t="s">
        <v>51</v>
      </c>
      <c r="Z342" s="82" t="s">
        <v>52</v>
      </c>
      <c r="AA342" s="234" t="s">
        <v>305</v>
      </c>
    </row>
    <row r="343" ht="15.75" customHeight="1">
      <c r="A343" s="69">
        <v>43563.0</v>
      </c>
      <c r="B343" s="23" t="s">
        <v>406</v>
      </c>
      <c r="C343" s="21">
        <v>7.000146455E9</v>
      </c>
      <c r="D343" s="21" t="s">
        <v>893</v>
      </c>
      <c r="E343" s="23" t="s">
        <v>519</v>
      </c>
      <c r="F343" s="24">
        <v>5.0</v>
      </c>
      <c r="G343" s="48">
        <v>141.8</v>
      </c>
      <c r="H343" s="60">
        <v>709.0</v>
      </c>
      <c r="I343" s="87" t="s">
        <v>43</v>
      </c>
      <c r="J343" s="50" t="s">
        <v>513</v>
      </c>
      <c r="K343" s="29">
        <v>43566.0</v>
      </c>
      <c r="L343" s="77">
        <v>43646.0</v>
      </c>
      <c r="M343" s="472">
        <v>43565.0</v>
      </c>
      <c r="N343" s="53" t="s">
        <v>894</v>
      </c>
      <c r="O343" s="53">
        <v>20549.0</v>
      </c>
      <c r="P343" s="462">
        <v>43647.0</v>
      </c>
      <c r="Q343" s="54"/>
      <c r="R343" s="54">
        <v>30.76</v>
      </c>
      <c r="S343" s="38">
        <f>R343*H343</f>
        <v>21808.84</v>
      </c>
      <c r="T343" s="300">
        <v>43602.0</v>
      </c>
      <c r="U343" s="55"/>
      <c r="V343" s="55"/>
      <c r="W343" s="54" t="s">
        <v>50</v>
      </c>
      <c r="X343" s="24" t="s">
        <v>285</v>
      </c>
      <c r="Y343" s="54" t="s">
        <v>51</v>
      </c>
      <c r="Z343" s="54" t="s">
        <v>52</v>
      </c>
      <c r="AA343" s="57"/>
    </row>
    <row r="344" ht="15.75" customHeight="1">
      <c r="A344" s="19">
        <v>43564.0</v>
      </c>
      <c r="B344" s="20" t="s">
        <v>326</v>
      </c>
      <c r="C344" s="21">
        <v>2028512.0</v>
      </c>
      <c r="D344" s="22" t="s">
        <v>895</v>
      </c>
      <c r="E344" s="23" t="s">
        <v>896</v>
      </c>
      <c r="F344" s="24">
        <v>12.0</v>
      </c>
      <c r="G344" s="48">
        <v>27.0</v>
      </c>
      <c r="H344" s="26">
        <v>324.0</v>
      </c>
      <c r="I344" s="49" t="s">
        <v>43</v>
      </c>
      <c r="J344" s="82" t="s">
        <v>740</v>
      </c>
      <c r="K344" s="29">
        <v>43619.0</v>
      </c>
      <c r="L344" s="302">
        <v>43646.0</v>
      </c>
      <c r="M344" s="302">
        <v>43585.0</v>
      </c>
      <c r="N344" s="296" t="s">
        <v>897</v>
      </c>
      <c r="O344" s="296">
        <v>229264.0</v>
      </c>
      <c r="P344" s="302">
        <v>43647.0</v>
      </c>
      <c r="Q344" s="371"/>
      <c r="R344" s="371">
        <v>31.455</v>
      </c>
      <c r="S344" s="372"/>
      <c r="T344" s="373">
        <v>43633.0</v>
      </c>
      <c r="U344" s="434"/>
      <c r="V344" s="434"/>
      <c r="W344" s="371" t="s">
        <v>50</v>
      </c>
      <c r="X344" s="371" t="s">
        <v>285</v>
      </c>
      <c r="Y344" s="371" t="s">
        <v>51</v>
      </c>
      <c r="Z344" s="371" t="s">
        <v>52</v>
      </c>
      <c r="AA344" s="374" t="s">
        <v>440</v>
      </c>
    </row>
    <row r="345" ht="15.75" customHeight="1">
      <c r="A345" s="19">
        <v>43564.0</v>
      </c>
      <c r="B345" s="20" t="s">
        <v>326</v>
      </c>
      <c r="C345" s="21">
        <v>2028512.0</v>
      </c>
      <c r="D345" s="22" t="s">
        <v>895</v>
      </c>
      <c r="E345" s="23" t="s">
        <v>328</v>
      </c>
      <c r="F345" s="24">
        <v>12.0</v>
      </c>
      <c r="G345" s="48">
        <v>607.0</v>
      </c>
      <c r="H345" s="26">
        <v>7284.0</v>
      </c>
      <c r="I345" s="49" t="s">
        <v>43</v>
      </c>
      <c r="J345" s="82" t="s">
        <v>740</v>
      </c>
      <c r="K345" s="29">
        <v>43619.0</v>
      </c>
      <c r="L345" s="302">
        <v>43646.0</v>
      </c>
      <c r="M345" s="302">
        <v>43585.0</v>
      </c>
      <c r="N345" s="296" t="s">
        <v>897</v>
      </c>
      <c r="O345" s="296"/>
      <c r="P345" s="302">
        <v>43647.0</v>
      </c>
      <c r="Q345" s="371"/>
      <c r="R345" s="371">
        <v>31.455</v>
      </c>
      <c r="S345" s="372"/>
      <c r="T345" s="373">
        <v>43633.0</v>
      </c>
      <c r="U345" s="434"/>
      <c r="V345" s="434"/>
      <c r="W345" s="371" t="s">
        <v>50</v>
      </c>
      <c r="X345" s="371" t="s">
        <v>285</v>
      </c>
      <c r="Y345" s="371" t="s">
        <v>51</v>
      </c>
      <c r="Z345" s="371" t="s">
        <v>52</v>
      </c>
      <c r="AA345" s="374" t="s">
        <v>440</v>
      </c>
    </row>
    <row r="346" ht="15.75" customHeight="1">
      <c r="A346" s="19">
        <v>43564.0</v>
      </c>
      <c r="B346" s="144" t="s">
        <v>77</v>
      </c>
      <c r="C346" s="21">
        <v>276.0</v>
      </c>
      <c r="D346" s="21" t="s">
        <v>898</v>
      </c>
      <c r="E346" s="23" t="s">
        <v>644</v>
      </c>
      <c r="F346" s="24">
        <v>7.0</v>
      </c>
      <c r="G346" s="48">
        <v>200.0</v>
      </c>
      <c r="H346" s="26">
        <v>1400.0</v>
      </c>
      <c r="I346" s="49" t="s">
        <v>43</v>
      </c>
      <c r="J346" s="58" t="s">
        <v>316</v>
      </c>
      <c r="K346" s="29">
        <v>43601.0</v>
      </c>
      <c r="L346" s="302">
        <v>43621.0</v>
      </c>
      <c r="M346" s="302">
        <v>43595.0</v>
      </c>
      <c r="N346" s="296" t="s">
        <v>899</v>
      </c>
      <c r="O346" s="296">
        <v>35192.0</v>
      </c>
      <c r="P346" s="302">
        <v>43621.0</v>
      </c>
      <c r="Q346" s="371"/>
      <c r="R346" s="371">
        <v>30.845</v>
      </c>
      <c r="S346" s="372">
        <v>0.0</v>
      </c>
      <c r="T346" s="373">
        <v>43633.0</v>
      </c>
      <c r="U346" s="372"/>
      <c r="V346" s="372"/>
      <c r="W346" s="371" t="s">
        <v>50</v>
      </c>
      <c r="X346" s="371" t="s">
        <v>285</v>
      </c>
      <c r="Y346" s="371" t="s">
        <v>286</v>
      </c>
      <c r="Z346" s="371" t="s">
        <v>52</v>
      </c>
      <c r="AA346" s="374" t="s">
        <v>440</v>
      </c>
    </row>
    <row r="347" ht="15.75" customHeight="1">
      <c r="A347" s="19">
        <v>43564.0</v>
      </c>
      <c r="B347" s="144" t="s">
        <v>77</v>
      </c>
      <c r="C347" s="21">
        <v>276.0</v>
      </c>
      <c r="D347" s="21" t="s">
        <v>898</v>
      </c>
      <c r="E347" s="23" t="s">
        <v>646</v>
      </c>
      <c r="F347" s="24">
        <v>7.0</v>
      </c>
      <c r="G347" s="48">
        <v>0.0</v>
      </c>
      <c r="H347" s="26">
        <v>0.0</v>
      </c>
      <c r="I347" s="49" t="s">
        <v>43</v>
      </c>
      <c r="J347" s="58" t="s">
        <v>316</v>
      </c>
      <c r="K347" s="29">
        <v>43601.0</v>
      </c>
      <c r="L347" s="302">
        <v>43621.0</v>
      </c>
      <c r="M347" s="302">
        <v>43595.0</v>
      </c>
      <c r="N347" s="296" t="s">
        <v>899</v>
      </c>
      <c r="O347" s="296"/>
      <c r="P347" s="302">
        <v>43621.0</v>
      </c>
      <c r="Q347" s="54"/>
      <c r="R347" s="54">
        <v>30.845</v>
      </c>
      <c r="S347" s="55">
        <v>0.0</v>
      </c>
      <c r="T347" s="56">
        <v>43633.0</v>
      </c>
      <c r="U347" s="55"/>
      <c r="V347" s="55"/>
      <c r="W347" s="54" t="s">
        <v>50</v>
      </c>
      <c r="X347" s="54" t="s">
        <v>285</v>
      </c>
      <c r="Y347" s="54" t="s">
        <v>286</v>
      </c>
      <c r="Z347" s="54" t="s">
        <v>52</v>
      </c>
      <c r="AA347" s="57"/>
    </row>
    <row r="348" ht="15.75" customHeight="1">
      <c r="A348" s="19">
        <v>43564.0</v>
      </c>
      <c r="B348" s="144" t="s">
        <v>77</v>
      </c>
      <c r="C348" s="21">
        <v>276.0</v>
      </c>
      <c r="D348" s="21" t="s">
        <v>898</v>
      </c>
      <c r="E348" s="23" t="s">
        <v>647</v>
      </c>
      <c r="F348" s="24">
        <v>7.0</v>
      </c>
      <c r="G348" s="48">
        <v>0.0</v>
      </c>
      <c r="H348" s="26">
        <v>0.0</v>
      </c>
      <c r="I348" s="27" t="s">
        <v>43</v>
      </c>
      <c r="J348" s="58" t="s">
        <v>316</v>
      </c>
      <c r="K348" s="29">
        <v>43601.0</v>
      </c>
      <c r="L348" s="302">
        <v>43621.0</v>
      </c>
      <c r="M348" s="302">
        <v>43595.0</v>
      </c>
      <c r="N348" s="296" t="s">
        <v>899</v>
      </c>
      <c r="O348" s="296"/>
      <c r="P348" s="302">
        <v>43621.0</v>
      </c>
      <c r="Q348" s="54"/>
      <c r="R348" s="54">
        <v>30.845</v>
      </c>
      <c r="S348" s="55">
        <v>0.0</v>
      </c>
      <c r="T348" s="56">
        <v>43633.0</v>
      </c>
      <c r="U348" s="55"/>
      <c r="V348" s="55"/>
      <c r="W348" s="54" t="s">
        <v>50</v>
      </c>
      <c r="X348" s="54" t="s">
        <v>285</v>
      </c>
      <c r="Y348" s="54" t="s">
        <v>286</v>
      </c>
      <c r="Z348" s="54" t="s">
        <v>52</v>
      </c>
      <c r="AA348" s="57"/>
    </row>
    <row r="349" ht="15.75" customHeight="1">
      <c r="A349" s="19">
        <v>43564.0</v>
      </c>
      <c r="B349" s="144" t="s">
        <v>77</v>
      </c>
      <c r="C349" s="21">
        <v>276.0</v>
      </c>
      <c r="D349" s="21" t="s">
        <v>898</v>
      </c>
      <c r="E349" s="23" t="s">
        <v>648</v>
      </c>
      <c r="F349" s="24">
        <v>7.0</v>
      </c>
      <c r="G349" s="48">
        <v>0.0</v>
      </c>
      <c r="H349" s="26">
        <v>0.0</v>
      </c>
      <c r="I349" s="27" t="s">
        <v>43</v>
      </c>
      <c r="J349" s="58" t="s">
        <v>316</v>
      </c>
      <c r="K349" s="29">
        <v>43601.0</v>
      </c>
      <c r="L349" s="302">
        <v>43621.0</v>
      </c>
      <c r="M349" s="302">
        <v>43595.0</v>
      </c>
      <c r="N349" s="296" t="s">
        <v>899</v>
      </c>
      <c r="O349" s="296"/>
      <c r="P349" s="302">
        <v>43621.0</v>
      </c>
      <c r="Q349" s="54"/>
      <c r="R349" s="54">
        <v>30.845</v>
      </c>
      <c r="S349" s="55">
        <v>0.0</v>
      </c>
      <c r="T349" s="56">
        <v>43633.0</v>
      </c>
      <c r="U349" s="55"/>
      <c r="V349" s="55"/>
      <c r="W349" s="54" t="s">
        <v>50</v>
      </c>
      <c r="X349" s="54" t="s">
        <v>285</v>
      </c>
      <c r="Y349" s="54" t="s">
        <v>286</v>
      </c>
      <c r="Z349" s="54" t="s">
        <v>52</v>
      </c>
      <c r="AA349" s="57"/>
    </row>
    <row r="350" ht="15.75" customHeight="1">
      <c r="A350" s="19">
        <v>43564.0</v>
      </c>
      <c r="B350" s="144" t="s">
        <v>77</v>
      </c>
      <c r="C350" s="21">
        <v>276.0</v>
      </c>
      <c r="D350" s="21" t="s">
        <v>898</v>
      </c>
      <c r="E350" s="23" t="s">
        <v>649</v>
      </c>
      <c r="F350" s="24">
        <v>7.0</v>
      </c>
      <c r="G350" s="48">
        <v>0.0</v>
      </c>
      <c r="H350" s="26">
        <v>0.0</v>
      </c>
      <c r="I350" s="27" t="s">
        <v>43</v>
      </c>
      <c r="J350" s="58" t="s">
        <v>316</v>
      </c>
      <c r="K350" s="29">
        <v>43601.0</v>
      </c>
      <c r="L350" s="302">
        <v>43621.0</v>
      </c>
      <c r="M350" s="302">
        <v>43595.0</v>
      </c>
      <c r="N350" s="296" t="s">
        <v>899</v>
      </c>
      <c r="O350" s="296"/>
      <c r="P350" s="302">
        <v>43621.0</v>
      </c>
      <c r="Q350" s="54"/>
      <c r="R350" s="54">
        <v>30.845</v>
      </c>
      <c r="S350" s="55">
        <v>0.0</v>
      </c>
      <c r="T350" s="56">
        <v>43633.0</v>
      </c>
      <c r="U350" s="55"/>
      <c r="V350" s="55"/>
      <c r="W350" s="54" t="s">
        <v>50</v>
      </c>
      <c r="X350" s="54" t="s">
        <v>285</v>
      </c>
      <c r="Y350" s="54" t="s">
        <v>286</v>
      </c>
      <c r="Z350" s="54" t="s">
        <v>52</v>
      </c>
      <c r="AA350" s="57"/>
    </row>
    <row r="351" ht="15.75" customHeight="1">
      <c r="A351" s="19">
        <v>43564.0</v>
      </c>
      <c r="B351" s="144" t="s">
        <v>77</v>
      </c>
      <c r="C351" s="21">
        <v>276.0</v>
      </c>
      <c r="D351" s="21" t="s">
        <v>898</v>
      </c>
      <c r="E351" s="23" t="s">
        <v>650</v>
      </c>
      <c r="F351" s="24">
        <v>7.0</v>
      </c>
      <c r="G351" s="48">
        <v>2.0</v>
      </c>
      <c r="H351" s="26">
        <v>14.0</v>
      </c>
      <c r="I351" s="27" t="s">
        <v>43</v>
      </c>
      <c r="J351" s="58" t="s">
        <v>316</v>
      </c>
      <c r="K351" s="29">
        <v>43601.0</v>
      </c>
      <c r="L351" s="302">
        <v>43646.0</v>
      </c>
      <c r="M351" s="302">
        <v>43593.0</v>
      </c>
      <c r="N351" s="296" t="s">
        <v>900</v>
      </c>
      <c r="O351" s="296">
        <v>546.0</v>
      </c>
      <c r="P351" s="302">
        <v>43654.0</v>
      </c>
      <c r="Q351" s="371"/>
      <c r="R351" s="371">
        <v>30.845</v>
      </c>
      <c r="S351" s="372">
        <f>1456*30.845</f>
        <v>44910.32</v>
      </c>
      <c r="T351" s="373">
        <v>43633.0</v>
      </c>
      <c r="U351" s="372">
        <f>10046*31.46</f>
        <v>316047.16</v>
      </c>
      <c r="V351" s="372">
        <f>0</f>
        <v>0</v>
      </c>
      <c r="W351" s="371" t="s">
        <v>50</v>
      </c>
      <c r="X351" s="371" t="s">
        <v>285</v>
      </c>
      <c r="Y351" s="371" t="s">
        <v>286</v>
      </c>
      <c r="Z351" s="371" t="s">
        <v>52</v>
      </c>
      <c r="AA351" s="374" t="s">
        <v>440</v>
      </c>
    </row>
    <row r="352" ht="15.75" customHeight="1">
      <c r="A352" s="19">
        <v>43564.0</v>
      </c>
      <c r="B352" s="144" t="s">
        <v>77</v>
      </c>
      <c r="C352" s="21">
        <v>276.0</v>
      </c>
      <c r="D352" s="21" t="s">
        <v>898</v>
      </c>
      <c r="E352" s="23" t="s">
        <v>651</v>
      </c>
      <c r="F352" s="24">
        <v>7.0</v>
      </c>
      <c r="G352" s="48">
        <v>6.0</v>
      </c>
      <c r="H352" s="26">
        <v>42.0</v>
      </c>
      <c r="I352" s="27" t="s">
        <v>43</v>
      </c>
      <c r="J352" s="58" t="s">
        <v>316</v>
      </c>
      <c r="K352" s="29">
        <v>43601.0</v>
      </c>
      <c r="L352" s="302">
        <v>43646.0</v>
      </c>
      <c r="M352" s="302">
        <v>43593.0</v>
      </c>
      <c r="N352" s="296" t="s">
        <v>900</v>
      </c>
      <c r="O352" s="296"/>
      <c r="P352" s="302">
        <v>43654.0</v>
      </c>
      <c r="Q352" s="371"/>
      <c r="R352" s="371">
        <v>30.845</v>
      </c>
      <c r="S352" s="372">
        <v>0.0</v>
      </c>
      <c r="T352" s="373">
        <v>43633.0</v>
      </c>
      <c r="U352" s="372"/>
      <c r="V352" s="372"/>
      <c r="W352" s="371" t="s">
        <v>50</v>
      </c>
      <c r="X352" s="371" t="s">
        <v>285</v>
      </c>
      <c r="Y352" s="371" t="s">
        <v>286</v>
      </c>
      <c r="Z352" s="371" t="s">
        <v>52</v>
      </c>
      <c r="AA352" s="374" t="s">
        <v>440</v>
      </c>
    </row>
    <row r="353" ht="15.75" customHeight="1">
      <c r="A353" s="19">
        <v>43564.0</v>
      </c>
      <c r="B353" s="144" t="s">
        <v>77</v>
      </c>
      <c r="C353" s="21">
        <v>276.0</v>
      </c>
      <c r="D353" s="21" t="s">
        <v>898</v>
      </c>
      <c r="E353" s="23" t="s">
        <v>652</v>
      </c>
      <c r="F353" s="24">
        <v>7.0</v>
      </c>
      <c r="G353" s="48">
        <v>0.0</v>
      </c>
      <c r="H353" s="26">
        <v>0.0</v>
      </c>
      <c r="I353" s="27" t="s">
        <v>43</v>
      </c>
      <c r="J353" s="58" t="s">
        <v>316</v>
      </c>
      <c r="K353" s="29">
        <v>43601.0</v>
      </c>
      <c r="L353" s="52"/>
      <c r="M353" s="53"/>
      <c r="N353" s="53"/>
      <c r="O353" s="53"/>
      <c r="P353" s="53"/>
      <c r="Q353" s="54"/>
      <c r="R353" s="54">
        <v>30.845</v>
      </c>
      <c r="S353" s="55">
        <v>0.0</v>
      </c>
      <c r="T353" s="56">
        <v>43633.0</v>
      </c>
      <c r="U353" s="55"/>
      <c r="V353" s="55"/>
      <c r="W353" s="54" t="s">
        <v>50</v>
      </c>
      <c r="X353" s="54" t="s">
        <v>285</v>
      </c>
      <c r="Y353" s="54" t="s">
        <v>286</v>
      </c>
      <c r="Z353" s="54" t="s">
        <v>52</v>
      </c>
      <c r="AA353" s="57"/>
    </row>
    <row r="354" ht="15.75" customHeight="1">
      <c r="A354" s="69">
        <v>43566.0</v>
      </c>
      <c r="B354" s="70" t="s">
        <v>101</v>
      </c>
      <c r="C354" s="21" t="s">
        <v>300</v>
      </c>
      <c r="D354" s="21" t="s">
        <v>901</v>
      </c>
      <c r="E354" s="23" t="s">
        <v>347</v>
      </c>
      <c r="F354" s="24">
        <v>1.0</v>
      </c>
      <c r="G354" s="48">
        <v>195.0</v>
      </c>
      <c r="H354" s="26">
        <v>195.0</v>
      </c>
      <c r="I354" s="27" t="s">
        <v>303</v>
      </c>
      <c r="J354" s="58" t="s">
        <v>263</v>
      </c>
      <c r="K354" s="30">
        <v>43566.0</v>
      </c>
      <c r="L354" s="304">
        <v>43616.0</v>
      </c>
      <c r="M354" s="461">
        <v>43574.0</v>
      </c>
      <c r="N354" s="352" t="s">
        <v>902</v>
      </c>
      <c r="O354" s="473">
        <v>5235.0</v>
      </c>
      <c r="P354" s="461">
        <v>43616.0</v>
      </c>
      <c r="Q354" s="82"/>
      <c r="R354" s="82">
        <v>30.77</v>
      </c>
      <c r="S354" s="432">
        <f>R354*H354</f>
        <v>6000.15</v>
      </c>
      <c r="T354" s="300">
        <v>43636.0</v>
      </c>
      <c r="U354" s="432">
        <f>4445.56*31.06</f>
        <v>138079.0936</v>
      </c>
      <c r="V354" s="432">
        <f>(4462-4445.56)*31.06</f>
        <v>510.6264</v>
      </c>
      <c r="W354" s="82" t="s">
        <v>50</v>
      </c>
      <c r="X354" s="82" t="s">
        <v>285</v>
      </c>
      <c r="Y354" s="82" t="s">
        <v>51</v>
      </c>
      <c r="Z354" s="82" t="s">
        <v>52</v>
      </c>
      <c r="AA354" s="459" t="s">
        <v>750</v>
      </c>
    </row>
    <row r="355" ht="15.75" customHeight="1">
      <c r="A355" s="19">
        <v>43566.0</v>
      </c>
      <c r="B355" s="51" t="s">
        <v>54</v>
      </c>
      <c r="C355" s="21" t="s">
        <v>903</v>
      </c>
      <c r="D355" s="22" t="s">
        <v>904</v>
      </c>
      <c r="E355" s="23" t="s">
        <v>386</v>
      </c>
      <c r="F355" s="24">
        <v>10.0</v>
      </c>
      <c r="G355" s="48">
        <v>150.15</v>
      </c>
      <c r="H355" s="26">
        <v>1501.5</v>
      </c>
      <c r="I355" s="27" t="s">
        <v>43</v>
      </c>
      <c r="J355" s="161" t="s">
        <v>90</v>
      </c>
      <c r="K355" s="30">
        <v>43586.0</v>
      </c>
      <c r="L355" s="302">
        <v>43646.0</v>
      </c>
      <c r="M355" s="302">
        <v>43584.0</v>
      </c>
      <c r="N355" s="296" t="s">
        <v>905</v>
      </c>
      <c r="O355" s="296">
        <v>41409.0</v>
      </c>
      <c r="P355" s="302">
        <v>43647.0</v>
      </c>
      <c r="Q355" s="371"/>
      <c r="R355" s="371"/>
      <c r="S355" s="372">
        <v>46434.0</v>
      </c>
      <c r="T355" s="373">
        <v>43641.0</v>
      </c>
      <c r="U355" s="372">
        <v>46419.0</v>
      </c>
      <c r="V355" s="372">
        <v>15.0</v>
      </c>
      <c r="W355" s="371" t="s">
        <v>50</v>
      </c>
      <c r="X355" s="371" t="s">
        <v>285</v>
      </c>
      <c r="Y355" s="371" t="s">
        <v>51</v>
      </c>
      <c r="Z355" s="371" t="s">
        <v>377</v>
      </c>
      <c r="AA355" s="374" t="s">
        <v>440</v>
      </c>
    </row>
    <row r="356" ht="15.75" customHeight="1">
      <c r="A356" s="69">
        <v>43566.0</v>
      </c>
      <c r="B356" s="70" t="s">
        <v>906</v>
      </c>
      <c r="C356" s="21"/>
      <c r="D356" s="22" t="s">
        <v>907</v>
      </c>
      <c r="E356" s="23" t="s">
        <v>908</v>
      </c>
      <c r="F356" s="24">
        <v>4.0</v>
      </c>
      <c r="G356" s="48">
        <v>355.0</v>
      </c>
      <c r="H356" s="26">
        <v>1420.0</v>
      </c>
      <c r="I356" s="61" t="s">
        <v>303</v>
      </c>
      <c r="J356" s="63" t="s">
        <v>909</v>
      </c>
      <c r="K356" s="29">
        <v>43580.0</v>
      </c>
      <c r="L356" s="302">
        <v>43616.0</v>
      </c>
      <c r="M356" s="302">
        <v>43577.0</v>
      </c>
      <c r="N356" s="296" t="s">
        <v>910</v>
      </c>
      <c r="O356" s="296">
        <v>44243.0</v>
      </c>
      <c r="P356" s="451">
        <v>43616.0</v>
      </c>
      <c r="Q356" s="54"/>
      <c r="R356" s="54">
        <v>30.81</v>
      </c>
      <c r="S356" s="55">
        <f t="shared" ref="S356:S357" si="12">R356*H356</f>
        <v>43750.2</v>
      </c>
      <c r="T356" s="56">
        <v>43580.0</v>
      </c>
      <c r="U356" s="55">
        <f>1420*30.81</f>
        <v>43750.2</v>
      </c>
      <c r="V356" s="55">
        <v>0.0</v>
      </c>
      <c r="W356" s="54" t="s">
        <v>50</v>
      </c>
      <c r="X356" s="24" t="s">
        <v>285</v>
      </c>
      <c r="Y356" s="54" t="s">
        <v>51</v>
      </c>
      <c r="Z356" s="54" t="s">
        <v>52</v>
      </c>
      <c r="AA356" s="57" t="s">
        <v>398</v>
      </c>
    </row>
    <row r="357" ht="15.75" customHeight="1">
      <c r="A357" s="69">
        <v>43566.0</v>
      </c>
      <c r="B357" s="70" t="s">
        <v>906</v>
      </c>
      <c r="C357" s="21"/>
      <c r="D357" s="22" t="s">
        <v>907</v>
      </c>
      <c r="E357" s="23" t="s">
        <v>911</v>
      </c>
      <c r="F357" s="24">
        <v>4.0</v>
      </c>
      <c r="G357" s="48">
        <v>34.0</v>
      </c>
      <c r="H357" s="26">
        <v>136.0</v>
      </c>
      <c r="I357" s="61" t="s">
        <v>303</v>
      </c>
      <c r="J357" s="63" t="s">
        <v>909</v>
      </c>
      <c r="K357" s="29">
        <v>43580.0</v>
      </c>
      <c r="L357" s="302">
        <v>43616.0</v>
      </c>
      <c r="M357" s="302">
        <v>43577.0</v>
      </c>
      <c r="N357" s="296" t="s">
        <v>910</v>
      </c>
      <c r="O357" s="296"/>
      <c r="P357" s="451">
        <v>43616.0</v>
      </c>
      <c r="Q357" s="54"/>
      <c r="R357" s="54">
        <v>30.81</v>
      </c>
      <c r="S357" s="55">
        <f t="shared" si="12"/>
        <v>4190.16</v>
      </c>
      <c r="T357" s="56">
        <v>43580.0</v>
      </c>
      <c r="U357" s="55">
        <f>136*30.81</f>
        <v>4190.16</v>
      </c>
      <c r="V357" s="55">
        <v>0.0</v>
      </c>
      <c r="W357" s="54" t="s">
        <v>50</v>
      </c>
      <c r="X357" s="24" t="s">
        <v>285</v>
      </c>
      <c r="Y357" s="54" t="s">
        <v>51</v>
      </c>
      <c r="Z357" s="54" t="s">
        <v>52</v>
      </c>
      <c r="AA357" s="57" t="s">
        <v>398</v>
      </c>
    </row>
    <row r="358" ht="15.75" customHeight="1">
      <c r="A358" s="19">
        <v>43566.0</v>
      </c>
      <c r="B358" s="20" t="s">
        <v>326</v>
      </c>
      <c r="C358" s="21" t="s">
        <v>912</v>
      </c>
      <c r="D358" s="22" t="s">
        <v>913</v>
      </c>
      <c r="E358" s="23" t="s">
        <v>914</v>
      </c>
      <c r="F358" s="24">
        <v>1.0</v>
      </c>
      <c r="G358" s="48">
        <v>0.0</v>
      </c>
      <c r="H358" s="47">
        <v>0.0</v>
      </c>
      <c r="I358" s="87" t="s">
        <v>43</v>
      </c>
      <c r="J358" s="407" t="s">
        <v>915</v>
      </c>
      <c r="K358" s="29">
        <v>43592.0</v>
      </c>
      <c r="L358" s="302">
        <v>43616.0</v>
      </c>
      <c r="M358" s="302">
        <v>43578.0</v>
      </c>
      <c r="N358" s="296" t="s">
        <v>916</v>
      </c>
      <c r="O358" s="296">
        <v>6091.0</v>
      </c>
      <c r="P358" s="302">
        <v>43616.0</v>
      </c>
      <c r="Q358" s="298"/>
      <c r="R358" s="298">
        <v>30.845</v>
      </c>
      <c r="S358" s="299">
        <v>0.0</v>
      </c>
      <c r="T358" s="300">
        <v>43606.0</v>
      </c>
      <c r="U358" s="299">
        <v>0.0</v>
      </c>
      <c r="V358" s="299">
        <v>0.0</v>
      </c>
      <c r="W358" s="298" t="s">
        <v>50</v>
      </c>
      <c r="X358" s="298" t="s">
        <v>285</v>
      </c>
      <c r="Y358" s="298" t="s">
        <v>51</v>
      </c>
      <c r="Z358" s="298" t="s">
        <v>52</v>
      </c>
      <c r="AA358" s="234" t="s">
        <v>305</v>
      </c>
    </row>
    <row r="359" ht="15.75" customHeight="1">
      <c r="A359" s="19">
        <v>43566.0</v>
      </c>
      <c r="B359" s="20" t="s">
        <v>326</v>
      </c>
      <c r="C359" s="21" t="s">
        <v>912</v>
      </c>
      <c r="D359" s="22" t="s">
        <v>913</v>
      </c>
      <c r="E359" s="23" t="s">
        <v>917</v>
      </c>
      <c r="F359" s="24">
        <v>1.0</v>
      </c>
      <c r="G359" s="48">
        <v>0.0</v>
      </c>
      <c r="H359" s="47">
        <v>0.0</v>
      </c>
      <c r="I359" s="87" t="s">
        <v>43</v>
      </c>
      <c r="J359" s="407" t="s">
        <v>915</v>
      </c>
      <c r="K359" s="29">
        <v>43592.0</v>
      </c>
      <c r="L359" s="462">
        <v>43646.0</v>
      </c>
      <c r="M359" s="462">
        <v>43588.0</v>
      </c>
      <c r="N359" s="306" t="s">
        <v>918</v>
      </c>
      <c r="O359" s="306">
        <v>23049.0</v>
      </c>
      <c r="P359" s="462">
        <v>43647.0</v>
      </c>
      <c r="Q359" s="298"/>
      <c r="R359" s="298">
        <v>30.845</v>
      </c>
      <c r="S359" s="299">
        <v>0.0</v>
      </c>
      <c r="T359" s="300">
        <v>43606.0</v>
      </c>
      <c r="U359" s="299">
        <v>0.0</v>
      </c>
      <c r="V359" s="299">
        <v>0.0</v>
      </c>
      <c r="W359" s="298" t="s">
        <v>50</v>
      </c>
      <c r="X359" s="298" t="s">
        <v>285</v>
      </c>
      <c r="Y359" s="298" t="s">
        <v>51</v>
      </c>
      <c r="Z359" s="298" t="s">
        <v>52</v>
      </c>
      <c r="AA359" s="234" t="s">
        <v>305</v>
      </c>
    </row>
    <row r="360" ht="15.75" customHeight="1">
      <c r="A360" s="19">
        <v>43566.0</v>
      </c>
      <c r="B360" s="20" t="s">
        <v>326</v>
      </c>
      <c r="C360" s="21" t="s">
        <v>912</v>
      </c>
      <c r="D360" s="22" t="s">
        <v>919</v>
      </c>
      <c r="E360" s="23" t="s">
        <v>920</v>
      </c>
      <c r="F360" s="24">
        <v>1.0</v>
      </c>
      <c r="G360" s="48">
        <v>960.0</v>
      </c>
      <c r="H360" s="47">
        <v>960.0</v>
      </c>
      <c r="I360" s="87" t="s">
        <v>43</v>
      </c>
      <c r="J360" s="407" t="s">
        <v>915</v>
      </c>
      <c r="K360" s="29">
        <v>43592.0</v>
      </c>
      <c r="L360" s="462">
        <v>43646.0</v>
      </c>
      <c r="M360" s="462">
        <v>43588.0</v>
      </c>
      <c r="N360" s="306" t="s">
        <v>918</v>
      </c>
      <c r="O360" s="306"/>
      <c r="P360" s="462">
        <v>43647.0</v>
      </c>
      <c r="Q360" s="298"/>
      <c r="R360" s="298">
        <v>30.845</v>
      </c>
      <c r="S360" s="299">
        <f>960*30.845</f>
        <v>29611.2</v>
      </c>
      <c r="T360" s="300">
        <v>43606.0</v>
      </c>
      <c r="U360" s="299">
        <f>953.65*31.51</f>
        <v>30049.5115</v>
      </c>
      <c r="V360" s="299">
        <f>(960-953.65)*31.51</f>
        <v>200.0885</v>
      </c>
      <c r="W360" s="298" t="s">
        <v>50</v>
      </c>
      <c r="X360" s="298" t="s">
        <v>285</v>
      </c>
      <c r="Y360" s="298" t="s">
        <v>51</v>
      </c>
      <c r="Z360" s="298" t="s">
        <v>52</v>
      </c>
      <c r="AA360" s="234" t="s">
        <v>305</v>
      </c>
    </row>
    <row r="361" ht="15.75" customHeight="1">
      <c r="A361" s="69">
        <v>43566.0</v>
      </c>
      <c r="B361" s="144" t="s">
        <v>140</v>
      </c>
      <c r="C361" s="21" t="s">
        <v>866</v>
      </c>
      <c r="D361" s="21" t="s">
        <v>921</v>
      </c>
      <c r="E361" s="23" t="s">
        <v>922</v>
      </c>
      <c r="F361" s="24">
        <v>1.0</v>
      </c>
      <c r="G361" s="25">
        <v>0.0</v>
      </c>
      <c r="H361" s="26">
        <v>0.0</v>
      </c>
      <c r="I361" s="49" t="s">
        <v>303</v>
      </c>
      <c r="J361" s="407" t="s">
        <v>534</v>
      </c>
      <c r="K361" s="29">
        <v>43532.0</v>
      </c>
      <c r="L361" s="295">
        <v>43569.0</v>
      </c>
      <c r="M361" s="295">
        <v>43539.0</v>
      </c>
      <c r="N361" s="296" t="s">
        <v>815</v>
      </c>
      <c r="O361" s="297"/>
      <c r="P361" s="302">
        <v>43586.0</v>
      </c>
      <c r="Q361" s="54"/>
      <c r="R361" s="54"/>
      <c r="S361" s="55"/>
      <c r="T361" s="56">
        <v>43566.0</v>
      </c>
      <c r="U361" s="55"/>
      <c r="V361" s="55"/>
      <c r="W361" s="54" t="s">
        <v>50</v>
      </c>
      <c r="X361" s="24" t="s">
        <v>285</v>
      </c>
      <c r="Y361" s="54" t="s">
        <v>286</v>
      </c>
      <c r="Z361" s="54" t="s">
        <v>52</v>
      </c>
      <c r="AA361" s="57" t="s">
        <v>398</v>
      </c>
    </row>
    <row r="362" ht="15.75" customHeight="1">
      <c r="A362" s="69">
        <v>43567.0</v>
      </c>
      <c r="B362" s="275" t="s">
        <v>923</v>
      </c>
      <c r="C362" s="183"/>
      <c r="D362" s="183" t="s">
        <v>924</v>
      </c>
      <c r="E362" s="378" t="s">
        <v>925</v>
      </c>
      <c r="F362" s="186">
        <v>1.0</v>
      </c>
      <c r="G362" s="187">
        <v>0.0</v>
      </c>
      <c r="H362" s="401">
        <v>0.0</v>
      </c>
      <c r="I362" s="87" t="s">
        <v>171</v>
      </c>
      <c r="J362" s="63" t="s">
        <v>926</v>
      </c>
      <c r="K362" s="30">
        <v>43567.0</v>
      </c>
      <c r="L362" s="306"/>
      <c r="M362" s="306"/>
      <c r="N362" s="306"/>
      <c r="O362" s="306"/>
      <c r="P362" s="306"/>
      <c r="Q362" s="298"/>
      <c r="R362" s="298"/>
      <c r="S362" s="299"/>
      <c r="T362" s="474"/>
      <c r="U362" s="299"/>
      <c r="V362" s="299"/>
      <c r="W362" s="298" t="s">
        <v>50</v>
      </c>
      <c r="X362" s="298" t="s">
        <v>285</v>
      </c>
      <c r="Y362" s="298" t="s">
        <v>51</v>
      </c>
      <c r="Z362" s="298" t="s">
        <v>52</v>
      </c>
      <c r="AA362" s="234" t="s">
        <v>507</v>
      </c>
    </row>
    <row r="363" ht="15.75" customHeight="1">
      <c r="A363" s="69">
        <v>43570.0</v>
      </c>
      <c r="B363" s="70" t="s">
        <v>130</v>
      </c>
      <c r="C363" s="21" t="s">
        <v>927</v>
      </c>
      <c r="D363" s="21" t="s">
        <v>928</v>
      </c>
      <c r="E363" s="23" t="s">
        <v>929</v>
      </c>
      <c r="F363" s="24">
        <v>1.0</v>
      </c>
      <c r="G363" s="47">
        <v>112.0</v>
      </c>
      <c r="H363" s="470">
        <v>112.0</v>
      </c>
      <c r="I363" s="87" t="s">
        <v>248</v>
      </c>
      <c r="J363" s="50" t="s">
        <v>134</v>
      </c>
      <c r="K363" s="29">
        <v>43580.0</v>
      </c>
      <c r="L363" s="302">
        <v>43616.0</v>
      </c>
      <c r="M363" s="302">
        <v>43578.0</v>
      </c>
      <c r="N363" s="296" t="s">
        <v>930</v>
      </c>
      <c r="O363" s="296">
        <v>3364.0</v>
      </c>
      <c r="P363" s="451">
        <v>43616.0</v>
      </c>
      <c r="Q363" s="298"/>
      <c r="R363" s="298">
        <v>30.81</v>
      </c>
      <c r="S363" s="299">
        <f>R363*H363</f>
        <v>3450.72</v>
      </c>
      <c r="T363" s="300">
        <v>43602.0</v>
      </c>
      <c r="U363" s="299">
        <f>(1668-1650.61)*31.296</f>
        <v>544.23744</v>
      </c>
      <c r="V363" s="299"/>
      <c r="W363" s="298" t="s">
        <v>50</v>
      </c>
      <c r="X363" s="298" t="s">
        <v>285</v>
      </c>
      <c r="Y363" s="298" t="s">
        <v>51</v>
      </c>
      <c r="Z363" s="298" t="s">
        <v>52</v>
      </c>
      <c r="AA363" s="234" t="s">
        <v>305</v>
      </c>
    </row>
    <row r="364" ht="15.75" customHeight="1">
      <c r="A364" s="69">
        <v>43571.0</v>
      </c>
      <c r="B364" s="70" t="s">
        <v>101</v>
      </c>
      <c r="C364" s="21" t="s">
        <v>931</v>
      </c>
      <c r="D364" s="21" t="s">
        <v>932</v>
      </c>
      <c r="E364" s="23" t="s">
        <v>933</v>
      </c>
      <c r="F364" s="24">
        <v>1.0</v>
      </c>
      <c r="G364" s="48">
        <v>0.0</v>
      </c>
      <c r="H364" s="47">
        <v>0.0</v>
      </c>
      <c r="I364" s="49" t="s">
        <v>303</v>
      </c>
      <c r="J364" s="433" t="s">
        <v>934</v>
      </c>
      <c r="K364" s="29">
        <v>43571.0</v>
      </c>
      <c r="L364" s="77"/>
      <c r="M364" s="472"/>
      <c r="N364" s="53"/>
      <c r="O364" s="53"/>
      <c r="P364" s="53"/>
      <c r="Q364" s="54"/>
      <c r="R364" s="54"/>
      <c r="S364" s="55"/>
      <c r="T364" s="54"/>
      <c r="U364" s="55"/>
      <c r="V364" s="55"/>
      <c r="W364" s="54" t="s">
        <v>50</v>
      </c>
      <c r="X364" s="54" t="s">
        <v>285</v>
      </c>
      <c r="Y364" s="54" t="s">
        <v>51</v>
      </c>
      <c r="Z364" s="54" t="s">
        <v>52</v>
      </c>
      <c r="AA364" s="57"/>
    </row>
    <row r="365" ht="15.75" customHeight="1">
      <c r="A365" s="69">
        <v>43573.0</v>
      </c>
      <c r="B365" s="70" t="s">
        <v>77</v>
      </c>
      <c r="C365" s="21">
        <v>316.0</v>
      </c>
      <c r="D365" s="21" t="s">
        <v>935</v>
      </c>
      <c r="E365" s="23" t="s">
        <v>315</v>
      </c>
      <c r="F365" s="24">
        <v>7.0</v>
      </c>
      <c r="G365" s="48">
        <v>285.0</v>
      </c>
      <c r="H365" s="47">
        <v>1995.0</v>
      </c>
      <c r="I365" s="49" t="s">
        <v>43</v>
      </c>
      <c r="J365" s="433" t="s">
        <v>936</v>
      </c>
      <c r="K365" s="29">
        <v>43588.0</v>
      </c>
      <c r="L365" s="462">
        <v>43646.0</v>
      </c>
      <c r="M365" s="462">
        <v>43580.0</v>
      </c>
      <c r="N365" s="306" t="s">
        <v>937</v>
      </c>
      <c r="O365" s="306"/>
      <c r="P365" s="462">
        <v>43649.0</v>
      </c>
      <c r="Q365" s="298"/>
      <c r="R365" s="298">
        <v>30.845</v>
      </c>
      <c r="S365" s="299">
        <f>4545*30.845</f>
        <v>140190.525</v>
      </c>
      <c r="T365" s="300">
        <v>43633.0</v>
      </c>
      <c r="U365" s="299"/>
      <c r="V365" s="299"/>
      <c r="W365" s="298" t="s">
        <v>50</v>
      </c>
      <c r="X365" s="82" t="s">
        <v>285</v>
      </c>
      <c r="Y365" s="298" t="s">
        <v>51</v>
      </c>
      <c r="Z365" s="298" t="s">
        <v>52</v>
      </c>
      <c r="AA365" s="459" t="s">
        <v>750</v>
      </c>
    </row>
    <row r="366" ht="15.75" customHeight="1">
      <c r="A366" s="69">
        <v>43573.0</v>
      </c>
      <c r="B366" s="70" t="s">
        <v>77</v>
      </c>
      <c r="C366" s="21">
        <v>316.0</v>
      </c>
      <c r="D366" s="71" t="s">
        <v>935</v>
      </c>
      <c r="E366" s="32" t="s">
        <v>318</v>
      </c>
      <c r="F366" s="435">
        <v>10.0</v>
      </c>
      <c r="G366" s="48">
        <v>255.0</v>
      </c>
      <c r="H366" s="26">
        <v>2550.0</v>
      </c>
      <c r="I366" s="27" t="s">
        <v>43</v>
      </c>
      <c r="J366" s="433" t="s">
        <v>936</v>
      </c>
      <c r="K366" s="29">
        <v>43588.0</v>
      </c>
      <c r="L366" s="462">
        <v>43646.0</v>
      </c>
      <c r="M366" s="462">
        <v>43580.0</v>
      </c>
      <c r="N366" s="306" t="s">
        <v>937</v>
      </c>
      <c r="O366" s="306">
        <v>128075.0</v>
      </c>
      <c r="P366" s="462">
        <v>43649.0</v>
      </c>
      <c r="Q366" s="298"/>
      <c r="R366" s="298">
        <v>30.845</v>
      </c>
      <c r="S366" s="299">
        <v>0.0</v>
      </c>
      <c r="T366" s="300">
        <v>43633.0</v>
      </c>
      <c r="U366" s="299"/>
      <c r="V366" s="299"/>
      <c r="W366" s="298" t="s">
        <v>50</v>
      </c>
      <c r="X366" s="82" t="s">
        <v>285</v>
      </c>
      <c r="Y366" s="298" t="s">
        <v>51</v>
      </c>
      <c r="Z366" s="298" t="s">
        <v>52</v>
      </c>
      <c r="AA366" s="459" t="s">
        <v>750</v>
      </c>
    </row>
    <row r="367" ht="15.75" customHeight="1">
      <c r="A367" s="69">
        <v>43573.0</v>
      </c>
      <c r="B367" s="70" t="s">
        <v>130</v>
      </c>
      <c r="C367" s="21" t="s">
        <v>938</v>
      </c>
      <c r="D367" s="21" t="s">
        <v>939</v>
      </c>
      <c r="E367" s="23" t="s">
        <v>239</v>
      </c>
      <c r="F367" s="24">
        <v>15.0</v>
      </c>
      <c r="G367" s="47">
        <v>58.0</v>
      </c>
      <c r="H367" s="470">
        <v>870.0</v>
      </c>
      <c r="I367" s="87" t="s">
        <v>248</v>
      </c>
      <c r="J367" s="50" t="s">
        <v>134</v>
      </c>
      <c r="K367" s="29">
        <v>43580.0</v>
      </c>
      <c r="L367" s="302">
        <v>43616.0</v>
      </c>
      <c r="M367" s="302">
        <v>43578.0</v>
      </c>
      <c r="N367" s="296" t="s">
        <v>940</v>
      </c>
      <c r="O367" s="296">
        <v>25233.0</v>
      </c>
      <c r="P367" s="451">
        <v>43616.0</v>
      </c>
      <c r="Q367" s="298"/>
      <c r="R367" s="298">
        <v>30.81</v>
      </c>
      <c r="S367" s="299">
        <f>R367*H367</f>
        <v>26804.7</v>
      </c>
      <c r="T367" s="300">
        <v>43602.0</v>
      </c>
      <c r="U367" s="299"/>
      <c r="V367" s="299"/>
      <c r="W367" s="298" t="s">
        <v>50</v>
      </c>
      <c r="X367" s="298" t="s">
        <v>285</v>
      </c>
      <c r="Y367" s="298" t="s">
        <v>51</v>
      </c>
      <c r="Z367" s="298" t="s">
        <v>52</v>
      </c>
      <c r="AA367" s="234" t="s">
        <v>305</v>
      </c>
    </row>
    <row r="368" ht="15.75" customHeight="1">
      <c r="A368" s="69">
        <v>43574.0</v>
      </c>
      <c r="B368" s="70" t="s">
        <v>119</v>
      </c>
      <c r="C368" s="21" t="s">
        <v>941</v>
      </c>
      <c r="D368" s="21" t="s">
        <v>942</v>
      </c>
      <c r="E368" s="23" t="s">
        <v>566</v>
      </c>
      <c r="F368" s="24">
        <v>100.0</v>
      </c>
      <c r="G368" s="47">
        <v>105.0</v>
      </c>
      <c r="H368" s="470">
        <v>10500.0</v>
      </c>
      <c r="I368" s="87" t="s">
        <v>171</v>
      </c>
      <c r="J368" s="82" t="s">
        <v>122</v>
      </c>
      <c r="K368" s="29">
        <v>43601.0</v>
      </c>
      <c r="L368" s="462">
        <v>43646.0</v>
      </c>
      <c r="M368" s="462">
        <v>43594.0</v>
      </c>
      <c r="N368" s="306" t="s">
        <v>943</v>
      </c>
      <c r="O368" s="306">
        <v>415852.0</v>
      </c>
      <c r="P368" s="472">
        <v>43647.0</v>
      </c>
      <c r="Q368" s="298"/>
      <c r="R368" s="298">
        <v>30.845</v>
      </c>
      <c r="S368" s="299">
        <f>15865*30.845</f>
        <v>489355.925</v>
      </c>
      <c r="T368" s="300">
        <v>43600.0</v>
      </c>
      <c r="U368" s="299">
        <f>16624.69*31.06</f>
        <v>516362.8714</v>
      </c>
      <c r="V368" s="299">
        <f>(16645-16624.69)*31.06</f>
        <v>630.8286</v>
      </c>
      <c r="W368" s="298" t="s">
        <v>50</v>
      </c>
      <c r="X368" s="298" t="s">
        <v>285</v>
      </c>
      <c r="Y368" s="298" t="s">
        <v>51</v>
      </c>
      <c r="Z368" s="298" t="s">
        <v>52</v>
      </c>
      <c r="AA368" s="234" t="s">
        <v>305</v>
      </c>
    </row>
    <row r="369" ht="15.75" customHeight="1">
      <c r="A369" s="69">
        <v>43574.0</v>
      </c>
      <c r="B369" s="70" t="s">
        <v>119</v>
      </c>
      <c r="C369" s="21" t="s">
        <v>941</v>
      </c>
      <c r="D369" s="21" t="s">
        <v>942</v>
      </c>
      <c r="E369" s="23" t="s">
        <v>415</v>
      </c>
      <c r="F369" s="82">
        <v>5.0</v>
      </c>
      <c r="G369" s="47">
        <v>335.0</v>
      </c>
      <c r="H369" s="470">
        <v>1675.0</v>
      </c>
      <c r="I369" s="87" t="s">
        <v>171</v>
      </c>
      <c r="J369" s="82" t="s">
        <v>122</v>
      </c>
      <c r="K369" s="29">
        <v>43601.0</v>
      </c>
      <c r="L369" s="462">
        <v>43646.0</v>
      </c>
      <c r="M369" s="462">
        <v>43594.0</v>
      </c>
      <c r="N369" s="306" t="s">
        <v>943</v>
      </c>
      <c r="O369" s="306"/>
      <c r="P369" s="472">
        <v>43647.0</v>
      </c>
      <c r="Q369" s="298"/>
      <c r="R369" s="298">
        <v>30.845</v>
      </c>
      <c r="S369" s="299">
        <v>0.0</v>
      </c>
      <c r="T369" s="300">
        <v>43600.0</v>
      </c>
      <c r="U369" s="299"/>
      <c r="V369" s="299"/>
      <c r="W369" s="298" t="s">
        <v>50</v>
      </c>
      <c r="X369" s="298" t="s">
        <v>285</v>
      </c>
      <c r="Y369" s="298" t="s">
        <v>51</v>
      </c>
      <c r="Z369" s="298" t="s">
        <v>52</v>
      </c>
      <c r="AA369" s="234" t="s">
        <v>305</v>
      </c>
    </row>
    <row r="370" ht="15.75" customHeight="1">
      <c r="A370" s="69">
        <v>43574.0</v>
      </c>
      <c r="B370" s="70" t="s">
        <v>119</v>
      </c>
      <c r="C370" s="21" t="s">
        <v>941</v>
      </c>
      <c r="D370" s="21" t="s">
        <v>942</v>
      </c>
      <c r="E370" s="23" t="s">
        <v>162</v>
      </c>
      <c r="F370" s="58">
        <v>5.0</v>
      </c>
      <c r="G370" s="47">
        <v>738.0</v>
      </c>
      <c r="H370" s="470">
        <v>3690.0</v>
      </c>
      <c r="I370" s="87" t="s">
        <v>171</v>
      </c>
      <c r="J370" s="82" t="s">
        <v>122</v>
      </c>
      <c r="K370" s="29">
        <v>43601.0</v>
      </c>
      <c r="L370" s="462">
        <v>43646.0</v>
      </c>
      <c r="M370" s="462">
        <v>43594.0</v>
      </c>
      <c r="N370" s="306" t="s">
        <v>943</v>
      </c>
      <c r="O370" s="306"/>
      <c r="P370" s="472">
        <v>43647.0</v>
      </c>
      <c r="Q370" s="298"/>
      <c r="R370" s="298">
        <v>30.845</v>
      </c>
      <c r="S370" s="299">
        <v>0.0</v>
      </c>
      <c r="T370" s="300">
        <v>43600.0</v>
      </c>
      <c r="U370" s="299"/>
      <c r="V370" s="299"/>
      <c r="W370" s="298" t="s">
        <v>50</v>
      </c>
      <c r="X370" s="298" t="s">
        <v>285</v>
      </c>
      <c r="Y370" s="298" t="s">
        <v>51</v>
      </c>
      <c r="Z370" s="298" t="s">
        <v>52</v>
      </c>
      <c r="AA370" s="234" t="s">
        <v>305</v>
      </c>
    </row>
    <row r="371" ht="15.75" customHeight="1">
      <c r="A371" s="69">
        <v>43574.0</v>
      </c>
      <c r="B371" s="144" t="s">
        <v>167</v>
      </c>
      <c r="C371" s="21" t="s">
        <v>944</v>
      </c>
      <c r="D371" s="21" t="s">
        <v>945</v>
      </c>
      <c r="E371" s="23" t="s">
        <v>497</v>
      </c>
      <c r="F371" s="58">
        <v>1.0</v>
      </c>
      <c r="G371" s="47">
        <v>132.0</v>
      </c>
      <c r="H371" s="470">
        <v>132.0</v>
      </c>
      <c r="I371" s="82" t="s">
        <v>105</v>
      </c>
      <c r="J371" s="58" t="s">
        <v>172</v>
      </c>
      <c r="K371" s="145">
        <v>43636.0</v>
      </c>
      <c r="L371" s="451">
        <v>43590.0</v>
      </c>
      <c r="M371" s="451">
        <v>43578.0</v>
      </c>
      <c r="N371" s="342" t="s">
        <v>946</v>
      </c>
      <c r="O371" s="414">
        <v>2764.0</v>
      </c>
      <c r="P371" s="302">
        <v>43592.0</v>
      </c>
      <c r="Q371" s="433" t="s">
        <v>0</v>
      </c>
      <c r="R371" s="433">
        <v>31.325</v>
      </c>
      <c r="S371" s="434"/>
      <c r="T371" s="457">
        <v>43584.0</v>
      </c>
      <c r="U371" s="434">
        <f>1530.52*30.85</f>
        <v>47216.542</v>
      </c>
      <c r="V371" s="434">
        <f>(40+6.48)*30.85</f>
        <v>1433.908</v>
      </c>
      <c r="W371" s="433" t="s">
        <v>50</v>
      </c>
      <c r="X371" s="371" t="s">
        <v>285</v>
      </c>
      <c r="Y371" s="433" t="s">
        <v>286</v>
      </c>
      <c r="Z371" s="371" t="s">
        <v>52</v>
      </c>
      <c r="AA371" s="374" t="s">
        <v>440</v>
      </c>
    </row>
    <row r="372" ht="15.75" customHeight="1">
      <c r="A372" s="69">
        <v>43574.0</v>
      </c>
      <c r="B372" s="144" t="s">
        <v>167</v>
      </c>
      <c r="C372" s="21" t="s">
        <v>944</v>
      </c>
      <c r="D372" s="21" t="s">
        <v>945</v>
      </c>
      <c r="E372" s="23" t="s">
        <v>947</v>
      </c>
      <c r="F372" s="58">
        <v>1.0</v>
      </c>
      <c r="G372" s="47">
        <v>1445.0</v>
      </c>
      <c r="H372" s="475">
        <v>1445.0</v>
      </c>
      <c r="I372" s="82" t="s">
        <v>105</v>
      </c>
      <c r="J372" s="58" t="s">
        <v>172</v>
      </c>
      <c r="K372" s="145">
        <v>43636.0</v>
      </c>
      <c r="L372" s="342"/>
      <c r="M372" s="342"/>
      <c r="N372" s="342"/>
      <c r="O372" s="414"/>
      <c r="P372" s="342"/>
      <c r="Q372" s="433" t="s">
        <v>0</v>
      </c>
      <c r="R372" s="433">
        <v>31.325</v>
      </c>
      <c r="S372" s="434"/>
      <c r="T372" s="457">
        <v>43584.0</v>
      </c>
      <c r="U372" s="434"/>
      <c r="V372" s="434"/>
      <c r="W372" s="433" t="s">
        <v>50</v>
      </c>
      <c r="X372" s="371" t="s">
        <v>285</v>
      </c>
      <c r="Y372" s="433" t="s">
        <v>286</v>
      </c>
      <c r="Z372" s="371" t="s">
        <v>52</v>
      </c>
      <c r="AA372" s="374" t="s">
        <v>440</v>
      </c>
    </row>
    <row r="373" ht="15.75" customHeight="1">
      <c r="A373" s="69">
        <v>43574.0</v>
      </c>
      <c r="B373" s="70" t="s">
        <v>130</v>
      </c>
      <c r="C373" s="21" t="s">
        <v>948</v>
      </c>
      <c r="D373" s="21" t="s">
        <v>949</v>
      </c>
      <c r="E373" s="23" t="s">
        <v>950</v>
      </c>
      <c r="F373" s="40">
        <v>1.0</v>
      </c>
      <c r="G373" s="47">
        <v>245.0</v>
      </c>
      <c r="H373" s="60">
        <v>245.0</v>
      </c>
      <c r="I373" s="61" t="s">
        <v>248</v>
      </c>
      <c r="J373" s="50" t="s">
        <v>134</v>
      </c>
      <c r="K373" s="29">
        <v>43580.0</v>
      </c>
      <c r="L373" s="302">
        <v>43616.0</v>
      </c>
      <c r="M373" s="302">
        <v>43578.0</v>
      </c>
      <c r="N373" s="296" t="s">
        <v>951</v>
      </c>
      <c r="O373" s="296">
        <v>20640.0</v>
      </c>
      <c r="P373" s="302">
        <v>43616.0</v>
      </c>
      <c r="Q373" s="298"/>
      <c r="R373" s="298">
        <v>30.81</v>
      </c>
      <c r="S373" s="299">
        <f t="shared" ref="S373:S374" si="13">R373*H373</f>
        <v>7548.45</v>
      </c>
      <c r="T373" s="300">
        <v>43602.0</v>
      </c>
      <c r="U373" s="299"/>
      <c r="V373" s="299"/>
      <c r="W373" s="298" t="s">
        <v>50</v>
      </c>
      <c r="X373" s="298" t="s">
        <v>285</v>
      </c>
      <c r="Y373" s="298" t="s">
        <v>51</v>
      </c>
      <c r="Z373" s="298" t="s">
        <v>52</v>
      </c>
      <c r="AA373" s="234" t="s">
        <v>305</v>
      </c>
    </row>
    <row r="374" ht="15.75" customHeight="1">
      <c r="A374" s="69">
        <v>43574.0</v>
      </c>
      <c r="B374" s="70" t="s">
        <v>130</v>
      </c>
      <c r="C374" s="21" t="s">
        <v>948</v>
      </c>
      <c r="D374" s="21" t="s">
        <v>949</v>
      </c>
      <c r="E374" s="23" t="s">
        <v>952</v>
      </c>
      <c r="F374" s="24">
        <v>1.0</v>
      </c>
      <c r="G374" s="47">
        <v>441.0</v>
      </c>
      <c r="H374" s="60">
        <v>441.0</v>
      </c>
      <c r="I374" s="61" t="s">
        <v>248</v>
      </c>
      <c r="J374" s="50" t="s">
        <v>134</v>
      </c>
      <c r="K374" s="29">
        <v>43580.0</v>
      </c>
      <c r="L374" s="302">
        <v>43616.0</v>
      </c>
      <c r="M374" s="302">
        <v>43578.0</v>
      </c>
      <c r="N374" s="296" t="s">
        <v>951</v>
      </c>
      <c r="O374" s="296"/>
      <c r="P374" s="302">
        <v>43616.0</v>
      </c>
      <c r="Q374" s="298"/>
      <c r="R374" s="298">
        <v>30.81</v>
      </c>
      <c r="S374" s="299">
        <f t="shared" si="13"/>
        <v>13587.21</v>
      </c>
      <c r="T374" s="300">
        <v>43602.0</v>
      </c>
      <c r="U374" s="299"/>
      <c r="V374" s="299"/>
      <c r="W374" s="298" t="s">
        <v>50</v>
      </c>
      <c r="X374" s="298" t="s">
        <v>285</v>
      </c>
      <c r="Y374" s="298" t="s">
        <v>51</v>
      </c>
      <c r="Z374" s="298" t="s">
        <v>52</v>
      </c>
      <c r="AA374" s="234" t="s">
        <v>305</v>
      </c>
    </row>
    <row r="375" ht="15.75" customHeight="1">
      <c r="A375" s="69">
        <v>43577.0</v>
      </c>
      <c r="B375" s="70" t="s">
        <v>77</v>
      </c>
      <c r="C375" s="21">
        <v>327.0</v>
      </c>
      <c r="D375" s="21" t="s">
        <v>953</v>
      </c>
      <c r="E375" s="23" t="s">
        <v>315</v>
      </c>
      <c r="F375" s="24">
        <v>6.0</v>
      </c>
      <c r="G375" s="48">
        <v>285.0</v>
      </c>
      <c r="H375" s="26">
        <v>1710.0</v>
      </c>
      <c r="I375" s="49" t="s">
        <v>43</v>
      </c>
      <c r="J375" s="433" t="s">
        <v>936</v>
      </c>
      <c r="K375" s="29">
        <v>43588.0</v>
      </c>
      <c r="L375" s="302">
        <v>43646.0</v>
      </c>
      <c r="M375" s="302">
        <v>43580.0</v>
      </c>
      <c r="N375" s="296" t="s">
        <v>954</v>
      </c>
      <c r="O375" s="296">
        <v>112835.0</v>
      </c>
      <c r="P375" s="302">
        <v>43649.0</v>
      </c>
      <c r="Q375" s="371"/>
      <c r="R375" s="371">
        <v>30.845</v>
      </c>
      <c r="S375" s="372">
        <f>4005*30.845</f>
        <v>123534.225</v>
      </c>
      <c r="T375" s="373">
        <v>43633.0</v>
      </c>
      <c r="U375" s="372"/>
      <c r="V375" s="372"/>
      <c r="W375" s="371" t="s">
        <v>50</v>
      </c>
      <c r="X375" s="371" t="s">
        <v>285</v>
      </c>
      <c r="Y375" s="371" t="s">
        <v>51</v>
      </c>
      <c r="Z375" s="371" t="s">
        <v>52</v>
      </c>
      <c r="AA375" s="374" t="s">
        <v>440</v>
      </c>
    </row>
    <row r="376" ht="15.75" customHeight="1">
      <c r="A376" s="69">
        <v>43577.0</v>
      </c>
      <c r="B376" s="70" t="s">
        <v>77</v>
      </c>
      <c r="C376" s="21">
        <v>327.0</v>
      </c>
      <c r="D376" s="21" t="s">
        <v>953</v>
      </c>
      <c r="E376" s="23" t="s">
        <v>318</v>
      </c>
      <c r="F376" s="435">
        <v>9.0</v>
      </c>
      <c r="G376" s="25">
        <v>255.0</v>
      </c>
      <c r="H376" s="26">
        <v>2295.0</v>
      </c>
      <c r="I376" s="49" t="s">
        <v>43</v>
      </c>
      <c r="J376" s="433" t="s">
        <v>936</v>
      </c>
      <c r="K376" s="29">
        <v>43588.0</v>
      </c>
      <c r="L376" s="302">
        <v>43646.0</v>
      </c>
      <c r="M376" s="302">
        <v>43580.0</v>
      </c>
      <c r="N376" s="296" t="s">
        <v>954</v>
      </c>
      <c r="O376" s="296"/>
      <c r="P376" s="302">
        <v>43649.0</v>
      </c>
      <c r="Q376" s="371"/>
      <c r="R376" s="371">
        <v>30.845</v>
      </c>
      <c r="S376" s="372">
        <v>0.0</v>
      </c>
      <c r="T376" s="373">
        <v>43633.0</v>
      </c>
      <c r="U376" s="372"/>
      <c r="V376" s="372"/>
      <c r="W376" s="371" t="s">
        <v>50</v>
      </c>
      <c r="X376" s="371" t="s">
        <v>285</v>
      </c>
      <c r="Y376" s="371" t="s">
        <v>51</v>
      </c>
      <c r="Z376" s="371" t="s">
        <v>52</v>
      </c>
      <c r="AA376" s="374" t="s">
        <v>440</v>
      </c>
    </row>
    <row r="377" ht="15.75" customHeight="1">
      <c r="A377" s="69">
        <v>43577.0</v>
      </c>
      <c r="B377" s="23" t="s">
        <v>406</v>
      </c>
      <c r="C377" s="21">
        <v>7.000146822E9</v>
      </c>
      <c r="D377" s="21" t="s">
        <v>955</v>
      </c>
      <c r="E377" s="23" t="s">
        <v>956</v>
      </c>
      <c r="F377" s="24">
        <v>2.0</v>
      </c>
      <c r="G377" s="48">
        <v>266.0</v>
      </c>
      <c r="H377" s="26">
        <v>532.0</v>
      </c>
      <c r="I377" s="49" t="s">
        <v>43</v>
      </c>
      <c r="J377" s="50" t="s">
        <v>513</v>
      </c>
      <c r="K377" s="29">
        <v>43591.0</v>
      </c>
      <c r="L377" s="462">
        <v>43646.0</v>
      </c>
      <c r="M377" s="462">
        <v>43578.0</v>
      </c>
      <c r="N377" s="306" t="s">
        <v>957</v>
      </c>
      <c r="O377" s="352">
        <v>63063.0</v>
      </c>
      <c r="P377" s="462">
        <v>43647.0</v>
      </c>
      <c r="Q377" s="298"/>
      <c r="R377" s="298">
        <v>30.845</v>
      </c>
      <c r="S377" s="299">
        <f>2214.4*30.845</f>
        <v>68303.168</v>
      </c>
      <c r="T377" s="300">
        <v>43650.0</v>
      </c>
      <c r="U377" s="299"/>
      <c r="V377" s="299"/>
      <c r="W377" s="298" t="s">
        <v>50</v>
      </c>
      <c r="X377" s="82" t="s">
        <v>285</v>
      </c>
      <c r="Y377" s="298" t="s">
        <v>51</v>
      </c>
      <c r="Z377" s="298" t="s">
        <v>52</v>
      </c>
      <c r="AA377" s="459" t="s">
        <v>750</v>
      </c>
    </row>
    <row r="378" ht="15.75" customHeight="1">
      <c r="A378" s="69">
        <v>43577.0</v>
      </c>
      <c r="B378" s="23" t="s">
        <v>406</v>
      </c>
      <c r="C378" s="21">
        <v>7.000146822E9</v>
      </c>
      <c r="D378" s="21" t="s">
        <v>955</v>
      </c>
      <c r="E378" s="23" t="s">
        <v>958</v>
      </c>
      <c r="F378" s="24">
        <v>5.0</v>
      </c>
      <c r="G378" s="48">
        <v>74.0</v>
      </c>
      <c r="H378" s="26">
        <v>370.0</v>
      </c>
      <c r="I378" s="49" t="s">
        <v>43</v>
      </c>
      <c r="J378" s="50" t="s">
        <v>513</v>
      </c>
      <c r="K378" s="29">
        <v>43591.0</v>
      </c>
      <c r="L378" s="462">
        <v>43646.0</v>
      </c>
      <c r="M378" s="462">
        <v>43578.0</v>
      </c>
      <c r="N378" s="306" t="s">
        <v>957</v>
      </c>
      <c r="O378" s="306"/>
      <c r="P378" s="462">
        <v>43647.0</v>
      </c>
      <c r="Q378" s="298"/>
      <c r="R378" s="298">
        <v>30.845</v>
      </c>
      <c r="S378" s="299">
        <v>0.0</v>
      </c>
      <c r="T378" s="300">
        <v>43650.0</v>
      </c>
      <c r="U378" s="299"/>
      <c r="V378" s="299"/>
      <c r="W378" s="298" t="s">
        <v>50</v>
      </c>
      <c r="X378" s="82" t="s">
        <v>285</v>
      </c>
      <c r="Y378" s="298" t="s">
        <v>51</v>
      </c>
      <c r="Z378" s="298" t="s">
        <v>52</v>
      </c>
      <c r="AA378" s="459" t="s">
        <v>750</v>
      </c>
    </row>
    <row r="379" ht="15.75" customHeight="1">
      <c r="A379" s="69">
        <v>43577.0</v>
      </c>
      <c r="B379" s="32" t="s">
        <v>406</v>
      </c>
      <c r="C379" s="21">
        <v>7.000146822E9</v>
      </c>
      <c r="D379" s="21" t="s">
        <v>955</v>
      </c>
      <c r="E379" s="23" t="s">
        <v>519</v>
      </c>
      <c r="F379" s="24">
        <v>8.0</v>
      </c>
      <c r="G379" s="48">
        <v>141.8</v>
      </c>
      <c r="H379" s="26">
        <v>1134.4</v>
      </c>
      <c r="I379" s="49" t="s">
        <v>43</v>
      </c>
      <c r="J379" s="50" t="s">
        <v>513</v>
      </c>
      <c r="K379" s="29">
        <v>43591.0</v>
      </c>
      <c r="L379" s="462">
        <v>43646.0</v>
      </c>
      <c r="M379" s="462">
        <v>43578.0</v>
      </c>
      <c r="N379" s="306" t="s">
        <v>957</v>
      </c>
      <c r="O379" s="306"/>
      <c r="P379" s="462">
        <v>43647.0</v>
      </c>
      <c r="Q379" s="298"/>
      <c r="R379" s="298">
        <v>30.845</v>
      </c>
      <c r="S379" s="299">
        <v>0.0</v>
      </c>
      <c r="T379" s="300">
        <v>43650.0</v>
      </c>
      <c r="U379" s="299"/>
      <c r="V379" s="299"/>
      <c r="W379" s="298" t="s">
        <v>50</v>
      </c>
      <c r="X379" s="82" t="s">
        <v>285</v>
      </c>
      <c r="Y379" s="298" t="s">
        <v>51</v>
      </c>
      <c r="Z379" s="298" t="s">
        <v>52</v>
      </c>
      <c r="AA379" s="459" t="s">
        <v>750</v>
      </c>
    </row>
    <row r="380" ht="15.75" customHeight="1">
      <c r="A380" s="69">
        <v>43577.0</v>
      </c>
      <c r="B380" s="32" t="s">
        <v>406</v>
      </c>
      <c r="C380" s="21">
        <v>7.000146822E9</v>
      </c>
      <c r="D380" s="21" t="s">
        <v>955</v>
      </c>
      <c r="E380" s="23" t="s">
        <v>485</v>
      </c>
      <c r="F380" s="24">
        <v>1.0</v>
      </c>
      <c r="G380" s="48">
        <v>178.0</v>
      </c>
      <c r="H380" s="26">
        <v>178.0</v>
      </c>
      <c r="I380" s="49" t="s">
        <v>43</v>
      </c>
      <c r="J380" s="50" t="s">
        <v>513</v>
      </c>
      <c r="K380" s="29">
        <v>43591.0</v>
      </c>
      <c r="L380" s="462">
        <v>43646.0</v>
      </c>
      <c r="M380" s="462">
        <v>43578.0</v>
      </c>
      <c r="N380" s="306" t="s">
        <v>957</v>
      </c>
      <c r="O380" s="306"/>
      <c r="P380" s="462">
        <v>43647.0</v>
      </c>
      <c r="Q380" s="298"/>
      <c r="R380" s="298">
        <v>30.845</v>
      </c>
      <c r="S380" s="299">
        <v>0.0</v>
      </c>
      <c r="T380" s="300">
        <v>43650.0</v>
      </c>
      <c r="U380" s="299"/>
      <c r="V380" s="299"/>
      <c r="W380" s="298" t="s">
        <v>50</v>
      </c>
      <c r="X380" s="82" t="s">
        <v>285</v>
      </c>
      <c r="Y380" s="298" t="s">
        <v>51</v>
      </c>
      <c r="Z380" s="298" t="s">
        <v>52</v>
      </c>
      <c r="AA380" s="459" t="s">
        <v>750</v>
      </c>
    </row>
    <row r="381" ht="15.75" customHeight="1">
      <c r="A381" s="465">
        <v>43577.0</v>
      </c>
      <c r="B381" s="70" t="s">
        <v>906</v>
      </c>
      <c r="C381" s="21" t="s">
        <v>959</v>
      </c>
      <c r="D381" s="32" t="s">
        <v>960</v>
      </c>
      <c r="E381" s="23" t="s">
        <v>961</v>
      </c>
      <c r="F381" s="24">
        <v>16.0</v>
      </c>
      <c r="G381" s="48">
        <v>340.0</v>
      </c>
      <c r="H381" s="26">
        <v>5440.0</v>
      </c>
      <c r="I381" s="49" t="s">
        <v>105</v>
      </c>
      <c r="J381" s="50">
        <v>1.0229913E8</v>
      </c>
      <c r="K381" s="30">
        <v>43598.0</v>
      </c>
      <c r="L381" s="461">
        <v>43646.0</v>
      </c>
      <c r="M381" s="461">
        <v>43595.0</v>
      </c>
      <c r="N381" s="352" t="s">
        <v>962</v>
      </c>
      <c r="O381" s="473">
        <v>162729.0</v>
      </c>
      <c r="P381" s="472">
        <v>43647.0</v>
      </c>
      <c r="Q381" s="82"/>
      <c r="R381" s="82">
        <v>30.845</v>
      </c>
      <c r="S381" s="432">
        <f>5880.8*30.845</f>
        <v>181393.276</v>
      </c>
      <c r="T381" s="145">
        <v>43592.0</v>
      </c>
      <c r="U381" s="432">
        <f>12495.8*30.86</f>
        <v>385620.388</v>
      </c>
      <c r="V381" s="432">
        <v>7.0</v>
      </c>
      <c r="W381" s="82" t="s">
        <v>50</v>
      </c>
      <c r="X381" s="298" t="s">
        <v>285</v>
      </c>
      <c r="Y381" s="82" t="s">
        <v>51</v>
      </c>
      <c r="Z381" s="82" t="s">
        <v>52</v>
      </c>
      <c r="AA381" s="234" t="s">
        <v>305</v>
      </c>
    </row>
    <row r="382" ht="15.75" customHeight="1">
      <c r="A382" s="465">
        <v>43577.0</v>
      </c>
      <c r="B382" s="70" t="s">
        <v>906</v>
      </c>
      <c r="C382" s="21" t="s">
        <v>959</v>
      </c>
      <c r="D382" s="32" t="s">
        <v>960</v>
      </c>
      <c r="E382" s="23" t="s">
        <v>963</v>
      </c>
      <c r="F382" s="24">
        <v>76.0</v>
      </c>
      <c r="G382" s="48">
        <v>5.8</v>
      </c>
      <c r="H382" s="26">
        <v>440.8</v>
      </c>
      <c r="I382" s="49" t="s">
        <v>105</v>
      </c>
      <c r="J382" s="50">
        <v>1.0229913E8</v>
      </c>
      <c r="K382" s="30">
        <v>43598.0</v>
      </c>
      <c r="L382" s="461">
        <v>43646.0</v>
      </c>
      <c r="M382" s="461">
        <v>43595.0</v>
      </c>
      <c r="N382" s="352" t="s">
        <v>962</v>
      </c>
      <c r="O382" s="473"/>
      <c r="P382" s="472">
        <v>43647.0</v>
      </c>
      <c r="Q382" s="82"/>
      <c r="R382" s="82">
        <v>30.845</v>
      </c>
      <c r="S382" s="432">
        <v>0.0</v>
      </c>
      <c r="T382" s="145">
        <v>43592.0</v>
      </c>
      <c r="U382" s="432"/>
      <c r="V382" s="432"/>
      <c r="W382" s="82" t="s">
        <v>50</v>
      </c>
      <c r="X382" s="298" t="s">
        <v>285</v>
      </c>
      <c r="Y382" s="82" t="s">
        <v>51</v>
      </c>
      <c r="Z382" s="82" t="s">
        <v>52</v>
      </c>
      <c r="AA382" s="234" t="s">
        <v>305</v>
      </c>
    </row>
    <row r="383" ht="15.75" customHeight="1">
      <c r="A383" s="69">
        <v>43578.0</v>
      </c>
      <c r="B383" s="70" t="s">
        <v>229</v>
      </c>
      <c r="C383" s="21" t="s">
        <v>964</v>
      </c>
      <c r="D383" s="21" t="s">
        <v>965</v>
      </c>
      <c r="E383" s="23" t="s">
        <v>232</v>
      </c>
      <c r="F383" s="24">
        <v>15.0</v>
      </c>
      <c r="G383" s="48">
        <v>407.4</v>
      </c>
      <c r="H383" s="26">
        <v>6111.0</v>
      </c>
      <c r="I383" s="61" t="s">
        <v>171</v>
      </c>
      <c r="J383" s="63" t="s">
        <v>90</v>
      </c>
      <c r="K383" s="29">
        <v>43592.0</v>
      </c>
      <c r="L383" s="302">
        <v>43646.0</v>
      </c>
      <c r="M383" s="302">
        <v>43588.0</v>
      </c>
      <c r="N383" s="296" t="s">
        <v>966</v>
      </c>
      <c r="O383" s="296">
        <v>172462.0</v>
      </c>
      <c r="P383" s="302">
        <v>43647.0</v>
      </c>
      <c r="Q383" s="371"/>
      <c r="R383" s="371"/>
      <c r="S383" s="372"/>
      <c r="T383" s="373">
        <v>43635.0</v>
      </c>
      <c r="U383" s="372">
        <v>188769.0</v>
      </c>
      <c r="V383" s="372">
        <v>0.0</v>
      </c>
      <c r="W383" s="371" t="s">
        <v>50</v>
      </c>
      <c r="X383" s="371" t="s">
        <v>285</v>
      </c>
      <c r="Y383" s="371" t="s">
        <v>51</v>
      </c>
      <c r="Z383" s="371" t="s">
        <v>377</v>
      </c>
      <c r="AA383" s="374" t="s">
        <v>440</v>
      </c>
    </row>
    <row r="384" ht="15.75" customHeight="1">
      <c r="A384" s="69">
        <v>43579.0</v>
      </c>
      <c r="B384" s="70" t="s">
        <v>906</v>
      </c>
      <c r="C384" s="21" t="s">
        <v>959</v>
      </c>
      <c r="D384" s="21" t="s">
        <v>967</v>
      </c>
      <c r="E384" s="23" t="s">
        <v>968</v>
      </c>
      <c r="F384" s="24">
        <v>13.0</v>
      </c>
      <c r="G384" s="48">
        <v>305.0</v>
      </c>
      <c r="H384" s="26">
        <v>3965.0</v>
      </c>
      <c r="I384" s="27" t="s">
        <v>303</v>
      </c>
      <c r="J384" s="50">
        <v>1.0229913E8</v>
      </c>
      <c r="K384" s="30">
        <v>43598.0</v>
      </c>
      <c r="L384" s="462">
        <v>43646.0</v>
      </c>
      <c r="M384" s="462">
        <v>43584.0</v>
      </c>
      <c r="N384" s="306" t="s">
        <v>969</v>
      </c>
      <c r="O384" s="306">
        <v>191191.0</v>
      </c>
      <c r="P384" s="462">
        <v>43647.0</v>
      </c>
      <c r="Q384" s="298"/>
      <c r="R384" s="82">
        <v>30.845</v>
      </c>
      <c r="S384" s="299">
        <f>6615*30.845</f>
        <v>204039.675</v>
      </c>
      <c r="T384" s="145">
        <v>43592.0</v>
      </c>
      <c r="U384" s="432"/>
      <c r="V384" s="432"/>
      <c r="W384" s="298" t="s">
        <v>50</v>
      </c>
      <c r="X384" s="298" t="s">
        <v>285</v>
      </c>
      <c r="Y384" s="298" t="s">
        <v>51</v>
      </c>
      <c r="Z384" s="298" t="s">
        <v>52</v>
      </c>
      <c r="AA384" s="234" t="s">
        <v>305</v>
      </c>
    </row>
    <row r="385" ht="15.75" customHeight="1">
      <c r="A385" s="69">
        <v>43579.0</v>
      </c>
      <c r="B385" s="70" t="s">
        <v>906</v>
      </c>
      <c r="C385" s="21" t="s">
        <v>959</v>
      </c>
      <c r="D385" s="21" t="s">
        <v>967</v>
      </c>
      <c r="E385" s="23" t="s">
        <v>970</v>
      </c>
      <c r="F385" s="24">
        <v>25.0</v>
      </c>
      <c r="G385" s="48">
        <v>106.0</v>
      </c>
      <c r="H385" s="26">
        <v>2650.0</v>
      </c>
      <c r="I385" s="27" t="s">
        <v>303</v>
      </c>
      <c r="J385" s="50">
        <v>1.0229913E8</v>
      </c>
      <c r="K385" s="30">
        <v>43598.0</v>
      </c>
      <c r="L385" s="462">
        <v>43646.0</v>
      </c>
      <c r="M385" s="462">
        <v>43584.0</v>
      </c>
      <c r="N385" s="306" t="s">
        <v>969</v>
      </c>
      <c r="O385" s="306"/>
      <c r="P385" s="462">
        <v>43647.0</v>
      </c>
      <c r="Q385" s="298"/>
      <c r="R385" s="82">
        <v>30.845</v>
      </c>
      <c r="S385" s="299">
        <v>0.0</v>
      </c>
      <c r="T385" s="145">
        <v>43592.0</v>
      </c>
      <c r="U385" s="432"/>
      <c r="V385" s="432"/>
      <c r="W385" s="298" t="s">
        <v>50</v>
      </c>
      <c r="X385" s="298" t="s">
        <v>285</v>
      </c>
      <c r="Y385" s="298" t="s">
        <v>51</v>
      </c>
      <c r="Z385" s="298" t="s">
        <v>52</v>
      </c>
      <c r="AA385" s="234" t="s">
        <v>305</v>
      </c>
    </row>
    <row r="386" ht="15.75" customHeight="1">
      <c r="A386" s="465">
        <v>43580.0</v>
      </c>
      <c r="B386" s="70" t="s">
        <v>101</v>
      </c>
      <c r="C386" s="21" t="s">
        <v>0</v>
      </c>
      <c r="D386" s="32" t="s">
        <v>971</v>
      </c>
      <c r="E386" s="23" t="s">
        <v>347</v>
      </c>
      <c r="F386" s="24">
        <v>1.0</v>
      </c>
      <c r="G386" s="48">
        <v>57.0</v>
      </c>
      <c r="H386" s="26">
        <v>57.0</v>
      </c>
      <c r="I386" s="61" t="s">
        <v>703</v>
      </c>
      <c r="J386" s="50" t="s">
        <v>263</v>
      </c>
      <c r="K386" s="29">
        <v>43580.0</v>
      </c>
      <c r="L386" s="461">
        <v>43616.0</v>
      </c>
      <c r="M386" s="461">
        <v>43585.0</v>
      </c>
      <c r="N386" s="352" t="s">
        <v>972</v>
      </c>
      <c r="O386" s="473">
        <v>1581.0</v>
      </c>
      <c r="P386" s="46">
        <v>43616.0</v>
      </c>
      <c r="Q386" s="82"/>
      <c r="R386" s="298">
        <v>30.81</v>
      </c>
      <c r="S386" s="299">
        <f>R386*H386</f>
        <v>1756.17</v>
      </c>
      <c r="T386" s="145">
        <v>43602.0</v>
      </c>
      <c r="U386" s="299"/>
      <c r="V386" s="299"/>
      <c r="W386" s="298" t="s">
        <v>50</v>
      </c>
      <c r="X386" s="298" t="s">
        <v>285</v>
      </c>
      <c r="Y386" s="82" t="s">
        <v>51</v>
      </c>
      <c r="Z386" s="82" t="s">
        <v>52</v>
      </c>
      <c r="AA386" s="234" t="s">
        <v>305</v>
      </c>
    </row>
    <row r="387" ht="15.75" customHeight="1">
      <c r="A387" s="69">
        <v>43581.0</v>
      </c>
      <c r="B387" s="70" t="s">
        <v>631</v>
      </c>
      <c r="C387" s="21" t="s">
        <v>973</v>
      </c>
      <c r="D387" s="21" t="s">
        <v>974</v>
      </c>
      <c r="E387" s="23" t="s">
        <v>975</v>
      </c>
      <c r="F387" s="24">
        <v>1.0</v>
      </c>
      <c r="G387" s="47">
        <v>87.0</v>
      </c>
      <c r="H387" s="60">
        <v>87.0</v>
      </c>
      <c r="I387" s="348" t="s">
        <v>248</v>
      </c>
      <c r="J387" s="63" t="s">
        <v>976</v>
      </c>
      <c r="K387" s="476">
        <v>43594.0</v>
      </c>
      <c r="L387" s="302">
        <v>43646.0</v>
      </c>
      <c r="M387" s="302">
        <v>43592.0</v>
      </c>
      <c r="N387" s="296" t="s">
        <v>977</v>
      </c>
      <c r="O387" s="296">
        <v>2473.0</v>
      </c>
      <c r="P387" s="302">
        <v>43647.0</v>
      </c>
      <c r="Q387" s="371"/>
      <c r="R387" s="371"/>
      <c r="S387" s="372"/>
      <c r="T387" s="373">
        <v>43613.0</v>
      </c>
      <c r="U387" s="372">
        <v>3541.0</v>
      </c>
      <c r="V387" s="372">
        <v>30.0</v>
      </c>
      <c r="W387" s="371" t="s">
        <v>50</v>
      </c>
      <c r="X387" s="371" t="s">
        <v>285</v>
      </c>
      <c r="Y387" s="371" t="s">
        <v>51</v>
      </c>
      <c r="Z387" s="371" t="s">
        <v>377</v>
      </c>
      <c r="AA387" s="374" t="s">
        <v>440</v>
      </c>
    </row>
    <row r="388" ht="15.75" customHeight="1">
      <c r="A388" s="69">
        <v>43581.0</v>
      </c>
      <c r="B388" s="70" t="s">
        <v>631</v>
      </c>
      <c r="C388" s="21" t="s">
        <v>973</v>
      </c>
      <c r="D388" s="21" t="s">
        <v>974</v>
      </c>
      <c r="E388" s="23" t="s">
        <v>978</v>
      </c>
      <c r="F388" s="24">
        <v>1.0</v>
      </c>
      <c r="G388" s="47">
        <v>23.0</v>
      </c>
      <c r="H388" s="60">
        <v>23.0</v>
      </c>
      <c r="I388" s="348" t="s">
        <v>248</v>
      </c>
      <c r="J388" s="63" t="s">
        <v>979</v>
      </c>
      <c r="K388" s="476">
        <v>43594.0</v>
      </c>
      <c r="L388" s="296"/>
      <c r="M388" s="296"/>
      <c r="N388" s="296"/>
      <c r="O388" s="296"/>
      <c r="P388" s="296"/>
      <c r="Q388" s="371"/>
      <c r="R388" s="371"/>
      <c r="S388" s="372"/>
      <c r="T388" s="373">
        <v>43613.0</v>
      </c>
      <c r="U388" s="372"/>
      <c r="V388" s="372"/>
      <c r="W388" s="371" t="s">
        <v>50</v>
      </c>
      <c r="X388" s="371" t="s">
        <v>285</v>
      </c>
      <c r="Y388" s="371" t="s">
        <v>51</v>
      </c>
      <c r="Z388" s="371" t="s">
        <v>377</v>
      </c>
      <c r="AA388" s="374" t="s">
        <v>440</v>
      </c>
    </row>
    <row r="389" ht="15.75" customHeight="1">
      <c r="A389" s="69">
        <v>43581.0</v>
      </c>
      <c r="B389" s="70" t="s">
        <v>77</v>
      </c>
      <c r="C389" s="21"/>
      <c r="D389" s="32" t="s">
        <v>980</v>
      </c>
      <c r="E389" s="23" t="s">
        <v>981</v>
      </c>
      <c r="F389" s="24">
        <v>1.0</v>
      </c>
      <c r="G389" s="48">
        <v>40.0</v>
      </c>
      <c r="H389" s="26">
        <v>40.0</v>
      </c>
      <c r="I389" s="27" t="s">
        <v>43</v>
      </c>
      <c r="J389" s="433" t="s">
        <v>936</v>
      </c>
      <c r="K389" s="29">
        <v>43585.0</v>
      </c>
      <c r="L389" s="302">
        <v>43646.0</v>
      </c>
      <c r="M389" s="302">
        <v>43581.0</v>
      </c>
      <c r="N389" s="296" t="s">
        <v>982</v>
      </c>
      <c r="O389" s="296">
        <v>1298.0</v>
      </c>
      <c r="P389" s="302">
        <v>43649.0</v>
      </c>
      <c r="Q389" s="371"/>
      <c r="R389" s="371">
        <v>30.845</v>
      </c>
      <c r="S389" s="372">
        <f>40*30.845</f>
        <v>1233.8</v>
      </c>
      <c r="T389" s="373">
        <v>43633.0</v>
      </c>
      <c r="U389" s="372"/>
      <c r="V389" s="372"/>
      <c r="W389" s="371" t="s">
        <v>50</v>
      </c>
      <c r="X389" s="371" t="s">
        <v>285</v>
      </c>
      <c r="Y389" s="371" t="s">
        <v>983</v>
      </c>
      <c r="Z389" s="371" t="s">
        <v>52</v>
      </c>
      <c r="AA389" s="374" t="s">
        <v>440</v>
      </c>
    </row>
    <row r="390" ht="15.75" customHeight="1">
      <c r="A390" s="69">
        <v>43587.0</v>
      </c>
      <c r="B390" s="70" t="s">
        <v>464</v>
      </c>
      <c r="C390" s="21">
        <v>504264.0</v>
      </c>
      <c r="D390" s="477" t="s">
        <v>984</v>
      </c>
      <c r="E390" s="23" t="s">
        <v>638</v>
      </c>
      <c r="F390" s="24">
        <v>1.0</v>
      </c>
      <c r="G390" s="47">
        <v>80.0</v>
      </c>
      <c r="H390" s="26">
        <v>80.0</v>
      </c>
      <c r="I390" s="27" t="s">
        <v>303</v>
      </c>
      <c r="J390" s="24" t="s">
        <v>467</v>
      </c>
      <c r="K390" s="300">
        <v>43614.0</v>
      </c>
      <c r="L390" s="302">
        <v>43608.0</v>
      </c>
      <c r="M390" s="302">
        <v>43612.0</v>
      </c>
      <c r="N390" s="296" t="s">
        <v>985</v>
      </c>
      <c r="O390" s="296">
        <v>7564.0</v>
      </c>
      <c r="P390" s="260">
        <v>43608.0</v>
      </c>
      <c r="Q390" s="371"/>
      <c r="R390" s="371">
        <v>31.05</v>
      </c>
      <c r="S390" s="372">
        <f>4578*31.05</f>
        <v>142146.9</v>
      </c>
      <c r="T390" s="373">
        <v>43612.0</v>
      </c>
      <c r="U390" s="372">
        <f>4571.64*31.43</f>
        <v>143686.6452</v>
      </c>
      <c r="V390" s="372">
        <f>(4578-4571.64)*31.43</f>
        <v>199.8948</v>
      </c>
      <c r="W390" s="371" t="s">
        <v>50</v>
      </c>
      <c r="X390" s="371" t="s">
        <v>285</v>
      </c>
      <c r="Y390" s="371" t="s">
        <v>51</v>
      </c>
      <c r="Z390" s="371" t="s">
        <v>52</v>
      </c>
      <c r="AA390" s="374" t="s">
        <v>440</v>
      </c>
    </row>
    <row r="391" ht="15.75" customHeight="1">
      <c r="A391" s="69">
        <v>43587.0</v>
      </c>
      <c r="B391" s="70" t="s">
        <v>464</v>
      </c>
      <c r="C391" s="21">
        <v>504264.0</v>
      </c>
      <c r="D391" s="477" t="s">
        <v>984</v>
      </c>
      <c r="E391" s="23" t="s">
        <v>472</v>
      </c>
      <c r="F391" s="24">
        <v>1.0</v>
      </c>
      <c r="G391" s="47">
        <v>118.0</v>
      </c>
      <c r="H391" s="26">
        <v>118.0</v>
      </c>
      <c r="I391" s="27" t="s">
        <v>303</v>
      </c>
      <c r="J391" s="24" t="s">
        <v>467</v>
      </c>
      <c r="K391" s="300">
        <v>43614.0</v>
      </c>
      <c r="L391" s="302">
        <v>43608.0</v>
      </c>
      <c r="M391" s="302">
        <v>43612.0</v>
      </c>
      <c r="N391" s="296" t="s">
        <v>985</v>
      </c>
      <c r="O391" s="296"/>
      <c r="P391" s="260">
        <v>43608.0</v>
      </c>
      <c r="Q391" s="371"/>
      <c r="R391" s="371">
        <v>31.05</v>
      </c>
      <c r="S391" s="372">
        <v>0.0</v>
      </c>
      <c r="T391" s="373">
        <v>43612.0</v>
      </c>
      <c r="U391" s="372"/>
      <c r="V391" s="372"/>
      <c r="W391" s="371" t="s">
        <v>50</v>
      </c>
      <c r="X391" s="371" t="s">
        <v>285</v>
      </c>
      <c r="Y391" s="371" t="s">
        <v>51</v>
      </c>
      <c r="Z391" s="371" t="s">
        <v>52</v>
      </c>
      <c r="AA391" s="374" t="s">
        <v>440</v>
      </c>
    </row>
    <row r="392" ht="15.75" customHeight="1">
      <c r="A392" s="69">
        <v>43587.0</v>
      </c>
      <c r="B392" s="70" t="s">
        <v>464</v>
      </c>
      <c r="C392" s="21">
        <v>504264.0</v>
      </c>
      <c r="D392" s="477" t="s">
        <v>984</v>
      </c>
      <c r="E392" s="23" t="s">
        <v>473</v>
      </c>
      <c r="F392" s="24">
        <v>1.0</v>
      </c>
      <c r="G392" s="143">
        <v>160.0</v>
      </c>
      <c r="H392" s="26">
        <v>160.0</v>
      </c>
      <c r="I392" s="27" t="s">
        <v>303</v>
      </c>
      <c r="J392" s="24" t="s">
        <v>467</v>
      </c>
      <c r="K392" s="300">
        <v>43614.0</v>
      </c>
      <c r="L392" s="302">
        <v>43646.0</v>
      </c>
      <c r="M392" s="302">
        <v>43608.0</v>
      </c>
      <c r="N392" s="296" t="s">
        <v>986</v>
      </c>
      <c r="O392" s="296">
        <v>8542.0</v>
      </c>
      <c r="P392" s="295">
        <v>43631.0</v>
      </c>
      <c r="Q392" s="371"/>
      <c r="R392" s="371">
        <v>31.05</v>
      </c>
      <c r="S392" s="372">
        <v>0.0</v>
      </c>
      <c r="T392" s="373">
        <v>43612.0</v>
      </c>
      <c r="U392" s="372"/>
      <c r="V392" s="372"/>
      <c r="W392" s="371" t="s">
        <v>50</v>
      </c>
      <c r="X392" s="371" t="s">
        <v>285</v>
      </c>
      <c r="Y392" s="371" t="s">
        <v>51</v>
      </c>
      <c r="Z392" s="371" t="s">
        <v>52</v>
      </c>
      <c r="AA392" s="374" t="s">
        <v>440</v>
      </c>
    </row>
    <row r="393" ht="15.75" customHeight="1">
      <c r="A393" s="69">
        <v>43587.0</v>
      </c>
      <c r="B393" s="70" t="s">
        <v>464</v>
      </c>
      <c r="C393" s="21">
        <v>504264.0</v>
      </c>
      <c r="D393" s="477" t="s">
        <v>984</v>
      </c>
      <c r="E393" s="23" t="s">
        <v>987</v>
      </c>
      <c r="F393" s="24">
        <v>1.0</v>
      </c>
      <c r="G393" s="47">
        <v>4120.0</v>
      </c>
      <c r="H393" s="26">
        <v>4120.0</v>
      </c>
      <c r="I393" s="27" t="s">
        <v>303</v>
      </c>
      <c r="J393" s="24" t="s">
        <v>467</v>
      </c>
      <c r="K393" s="300">
        <v>43614.0</v>
      </c>
      <c r="L393" s="302">
        <v>43677.0</v>
      </c>
      <c r="M393" s="302">
        <v>43612.0</v>
      </c>
      <c r="N393" s="296" t="s">
        <v>988</v>
      </c>
      <c r="O393" s="296">
        <v>122722.0</v>
      </c>
      <c r="P393" s="472">
        <v>43677.0</v>
      </c>
      <c r="Q393" s="371"/>
      <c r="R393" s="371">
        <v>31.05</v>
      </c>
      <c r="S393" s="372">
        <v>0.0</v>
      </c>
      <c r="T393" s="373">
        <v>43612.0</v>
      </c>
      <c r="U393" s="372"/>
      <c r="V393" s="372"/>
      <c r="W393" s="371" t="s">
        <v>50</v>
      </c>
      <c r="X393" s="371" t="s">
        <v>285</v>
      </c>
      <c r="Y393" s="371" t="s">
        <v>51</v>
      </c>
      <c r="Z393" s="371" t="s">
        <v>52</v>
      </c>
      <c r="AA393" s="374" t="s">
        <v>440</v>
      </c>
    </row>
    <row r="394" ht="15.75" customHeight="1">
      <c r="A394" s="69">
        <v>43587.0</v>
      </c>
      <c r="B394" s="70" t="s">
        <v>464</v>
      </c>
      <c r="C394" s="21">
        <v>504264.0</v>
      </c>
      <c r="D394" s="477" t="s">
        <v>984</v>
      </c>
      <c r="E394" s="23" t="s">
        <v>466</v>
      </c>
      <c r="F394" s="24">
        <v>1.0</v>
      </c>
      <c r="G394" s="47">
        <v>100.0</v>
      </c>
      <c r="H394" s="26">
        <v>100.0</v>
      </c>
      <c r="I394" s="27" t="s">
        <v>303</v>
      </c>
      <c r="J394" s="24" t="s">
        <v>467</v>
      </c>
      <c r="K394" s="300">
        <v>43614.0</v>
      </c>
      <c r="L394" s="302">
        <v>43677.0</v>
      </c>
      <c r="M394" s="302">
        <v>43612.0</v>
      </c>
      <c r="N394" s="296" t="s">
        <v>988</v>
      </c>
      <c r="O394" s="296"/>
      <c r="P394" s="472">
        <v>43677.0</v>
      </c>
      <c r="Q394" s="371"/>
      <c r="R394" s="371">
        <v>31.05</v>
      </c>
      <c r="S394" s="372">
        <v>0.0</v>
      </c>
      <c r="T394" s="373">
        <v>43612.0</v>
      </c>
      <c r="U394" s="372"/>
      <c r="V394" s="372"/>
      <c r="W394" s="371" t="s">
        <v>50</v>
      </c>
      <c r="X394" s="371" t="s">
        <v>285</v>
      </c>
      <c r="Y394" s="371" t="s">
        <v>51</v>
      </c>
      <c r="Z394" s="371" t="s">
        <v>52</v>
      </c>
      <c r="AA394" s="374" t="s">
        <v>440</v>
      </c>
    </row>
    <row r="395" ht="15.75" customHeight="1">
      <c r="A395" s="399">
        <v>43587.0</v>
      </c>
      <c r="B395" s="478" t="s">
        <v>400</v>
      </c>
      <c r="C395" s="479" t="s">
        <v>989</v>
      </c>
      <c r="D395" s="480" t="s">
        <v>990</v>
      </c>
      <c r="E395" s="23" t="s">
        <v>403</v>
      </c>
      <c r="F395" s="481">
        <v>0.0</v>
      </c>
      <c r="G395" s="482">
        <v>231.0</v>
      </c>
      <c r="H395" s="381">
        <v>0.0</v>
      </c>
      <c r="I395" s="483" t="s">
        <v>303</v>
      </c>
      <c r="J395" s="383" t="s">
        <v>404</v>
      </c>
      <c r="K395" s="402"/>
      <c r="L395" s="195"/>
      <c r="M395" s="199"/>
      <c r="N395" s="199"/>
      <c r="O395" s="199"/>
      <c r="P395" s="199"/>
      <c r="Q395" s="200"/>
      <c r="R395" s="200"/>
      <c r="S395" s="201"/>
      <c r="T395" s="54"/>
      <c r="U395" s="201"/>
      <c r="V395" s="201"/>
      <c r="W395" s="200" t="s">
        <v>50</v>
      </c>
      <c r="X395" s="200" t="s">
        <v>296</v>
      </c>
      <c r="Y395" s="200" t="s">
        <v>51</v>
      </c>
      <c r="Z395" s="200" t="s">
        <v>52</v>
      </c>
      <c r="AA395" s="203"/>
    </row>
    <row r="396" ht="15.75" customHeight="1">
      <c r="A396" s="399">
        <v>43587.0</v>
      </c>
      <c r="B396" s="484" t="s">
        <v>400</v>
      </c>
      <c r="C396" s="485" t="s">
        <v>989</v>
      </c>
      <c r="D396" s="486" t="s">
        <v>990</v>
      </c>
      <c r="E396" s="23" t="s">
        <v>842</v>
      </c>
      <c r="F396" s="487">
        <v>0.0</v>
      </c>
      <c r="G396" s="488">
        <v>25.0</v>
      </c>
      <c r="H396" s="381">
        <v>0.0</v>
      </c>
      <c r="I396" s="489" t="s">
        <v>303</v>
      </c>
      <c r="J396" s="490" t="s">
        <v>404</v>
      </c>
      <c r="K396" s="402"/>
      <c r="L396" s="195"/>
      <c r="M396" s="199"/>
      <c r="N396" s="199"/>
      <c r="O396" s="199"/>
      <c r="P396" s="199"/>
      <c r="Q396" s="200"/>
      <c r="R396" s="200"/>
      <c r="S396" s="201"/>
      <c r="T396" s="54"/>
      <c r="U396" s="201"/>
      <c r="V396" s="201"/>
      <c r="W396" s="200" t="s">
        <v>50</v>
      </c>
      <c r="X396" s="200" t="s">
        <v>296</v>
      </c>
      <c r="Y396" s="200" t="s">
        <v>51</v>
      </c>
      <c r="Z396" s="200" t="s">
        <v>52</v>
      </c>
      <c r="AA396" s="203"/>
    </row>
    <row r="397" ht="15.75" customHeight="1">
      <c r="A397" s="69">
        <v>43587.0</v>
      </c>
      <c r="B397" s="491" t="s">
        <v>991</v>
      </c>
      <c r="C397" s="491" t="s">
        <v>992</v>
      </c>
      <c r="D397" s="491" t="s">
        <v>993</v>
      </c>
      <c r="E397" s="23" t="s">
        <v>994</v>
      </c>
      <c r="F397" s="24">
        <v>20.0</v>
      </c>
      <c r="G397" s="48">
        <v>33.6</v>
      </c>
      <c r="H397" s="165">
        <v>672.0</v>
      </c>
      <c r="I397" s="27" t="s">
        <v>248</v>
      </c>
      <c r="J397" s="407" t="s">
        <v>976</v>
      </c>
      <c r="K397" s="29">
        <v>43595.0</v>
      </c>
      <c r="L397" s="462">
        <v>43646.0</v>
      </c>
      <c r="M397" s="462">
        <v>43595.0</v>
      </c>
      <c r="N397" s="306" t="s">
        <v>995</v>
      </c>
      <c r="O397" s="306">
        <v>142504.0</v>
      </c>
      <c r="P397" s="472">
        <v>43647.0</v>
      </c>
      <c r="Q397" s="298"/>
      <c r="R397" s="298"/>
      <c r="S397" s="299">
        <v>20971.0</v>
      </c>
      <c r="T397" s="300">
        <v>43601.0</v>
      </c>
      <c r="U397" s="299">
        <v>194325.0</v>
      </c>
      <c r="V397" s="299">
        <v>0.0</v>
      </c>
      <c r="W397" s="298" t="s">
        <v>50</v>
      </c>
      <c r="X397" s="298" t="s">
        <v>285</v>
      </c>
      <c r="Y397" s="298" t="s">
        <v>51</v>
      </c>
      <c r="Z397" s="298" t="s">
        <v>377</v>
      </c>
      <c r="AA397" s="234" t="s">
        <v>305</v>
      </c>
    </row>
    <row r="398" ht="15.75" customHeight="1">
      <c r="A398" s="69">
        <v>43587.0</v>
      </c>
      <c r="B398" s="70" t="s">
        <v>991</v>
      </c>
      <c r="C398" s="21" t="s">
        <v>992</v>
      </c>
      <c r="D398" s="21" t="s">
        <v>993</v>
      </c>
      <c r="E398" s="23" t="s">
        <v>996</v>
      </c>
      <c r="F398" s="24">
        <v>20.0</v>
      </c>
      <c r="G398" s="48">
        <v>215.25</v>
      </c>
      <c r="H398" s="60">
        <v>4305.0</v>
      </c>
      <c r="I398" s="61" t="s">
        <v>248</v>
      </c>
      <c r="J398" s="50" t="s">
        <v>976</v>
      </c>
      <c r="K398" s="29">
        <v>43595.0</v>
      </c>
      <c r="L398" s="462">
        <v>43646.0</v>
      </c>
      <c r="M398" s="462">
        <v>43595.0</v>
      </c>
      <c r="N398" s="306" t="s">
        <v>995</v>
      </c>
      <c r="O398" s="306"/>
      <c r="P398" s="472">
        <v>43647.0</v>
      </c>
      <c r="Q398" s="298"/>
      <c r="R398" s="298"/>
      <c r="S398" s="299">
        <v>134345.0</v>
      </c>
      <c r="T398" s="300">
        <v>43601.0</v>
      </c>
      <c r="U398" s="299"/>
      <c r="V398" s="299"/>
      <c r="W398" s="298" t="s">
        <v>50</v>
      </c>
      <c r="X398" s="298" t="s">
        <v>285</v>
      </c>
      <c r="Y398" s="298" t="s">
        <v>51</v>
      </c>
      <c r="Z398" s="298" t="s">
        <v>377</v>
      </c>
      <c r="AA398" s="234" t="s">
        <v>305</v>
      </c>
    </row>
    <row r="399" ht="15.75" customHeight="1">
      <c r="A399" s="69">
        <v>43587.0</v>
      </c>
      <c r="B399" s="70" t="s">
        <v>101</v>
      </c>
      <c r="C399" s="21"/>
      <c r="D399" s="21" t="s">
        <v>997</v>
      </c>
      <c r="E399" s="23" t="s">
        <v>998</v>
      </c>
      <c r="F399" s="24">
        <v>1.0</v>
      </c>
      <c r="G399" s="48">
        <v>0.0</v>
      </c>
      <c r="H399" s="216">
        <v>0.0</v>
      </c>
      <c r="I399" s="61" t="s">
        <v>703</v>
      </c>
      <c r="J399" s="63" t="s">
        <v>934</v>
      </c>
      <c r="K399" s="43"/>
      <c r="L399" s="462">
        <v>43646.0</v>
      </c>
      <c r="M399" s="462">
        <v>43609.0</v>
      </c>
      <c r="N399" s="306" t="s">
        <v>999</v>
      </c>
      <c r="O399" s="306">
        <v>1129.0</v>
      </c>
      <c r="P399" s="462">
        <v>43647.0</v>
      </c>
      <c r="Q399" s="298"/>
      <c r="R399" s="298"/>
      <c r="S399" s="299"/>
      <c r="T399" s="298"/>
      <c r="U399" s="299"/>
      <c r="V399" s="299"/>
      <c r="W399" s="298" t="s">
        <v>50</v>
      </c>
      <c r="X399" s="298" t="s">
        <v>285</v>
      </c>
      <c r="Y399" s="298" t="s">
        <v>51</v>
      </c>
      <c r="Z399" s="298" t="s">
        <v>52</v>
      </c>
      <c r="AA399" s="234" t="s">
        <v>507</v>
      </c>
    </row>
    <row r="400" ht="15.75" customHeight="1">
      <c r="A400" s="69">
        <v>43587.0</v>
      </c>
      <c r="B400" s="377" t="s">
        <v>1000</v>
      </c>
      <c r="C400" s="183" t="s">
        <v>1001</v>
      </c>
      <c r="D400" s="183" t="s">
        <v>1002</v>
      </c>
      <c r="E400" s="378" t="s">
        <v>1003</v>
      </c>
      <c r="F400" s="186"/>
      <c r="G400" s="187">
        <v>379.0</v>
      </c>
      <c r="H400" s="492"/>
      <c r="I400" s="61" t="s">
        <v>105</v>
      </c>
      <c r="J400" s="63" t="s">
        <v>1004</v>
      </c>
      <c r="K400" s="44"/>
      <c r="L400" s="52"/>
      <c r="M400" s="53"/>
      <c r="N400" s="53"/>
      <c r="O400" s="53"/>
      <c r="P400" s="53"/>
      <c r="Q400" s="54"/>
      <c r="R400" s="54"/>
      <c r="S400" s="55"/>
      <c r="T400" s="68"/>
      <c r="U400" s="55"/>
      <c r="V400" s="55"/>
      <c r="W400" s="54" t="s">
        <v>296</v>
      </c>
      <c r="X400" s="54" t="s">
        <v>296</v>
      </c>
      <c r="Y400" s="54" t="s">
        <v>51</v>
      </c>
      <c r="Z400" s="54" t="s">
        <v>52</v>
      </c>
      <c r="AA400" s="57"/>
    </row>
    <row r="401" ht="15.75" customHeight="1">
      <c r="A401" s="69">
        <v>43592.0</v>
      </c>
      <c r="B401" s="70" t="s">
        <v>991</v>
      </c>
      <c r="C401" s="70"/>
      <c r="D401" s="21" t="s">
        <v>1005</v>
      </c>
      <c r="E401" s="23" t="s">
        <v>1006</v>
      </c>
      <c r="F401" s="24">
        <v>50.0</v>
      </c>
      <c r="G401" s="48">
        <v>26.25</v>
      </c>
      <c r="H401" s="60">
        <v>1312.5</v>
      </c>
      <c r="I401" s="87" t="s">
        <v>248</v>
      </c>
      <c r="J401" s="50" t="s">
        <v>976</v>
      </c>
      <c r="K401" s="29">
        <v>43602.0</v>
      </c>
      <c r="L401" s="462">
        <v>43646.0</v>
      </c>
      <c r="M401" s="462">
        <v>43595.0</v>
      </c>
      <c r="N401" s="306" t="s">
        <v>1007</v>
      </c>
      <c r="O401" s="306">
        <v>38055.0</v>
      </c>
      <c r="P401" s="472">
        <v>43647.0</v>
      </c>
      <c r="Q401" s="298"/>
      <c r="R401" s="298"/>
      <c r="S401" s="299">
        <v>39009.0</v>
      </c>
      <c r="T401" s="300">
        <v>43601.0</v>
      </c>
      <c r="U401" s="299"/>
      <c r="V401" s="299"/>
      <c r="W401" s="298" t="s">
        <v>50</v>
      </c>
      <c r="X401" s="298" t="s">
        <v>285</v>
      </c>
      <c r="Y401" s="298" t="s">
        <v>51</v>
      </c>
      <c r="Z401" s="298" t="s">
        <v>377</v>
      </c>
      <c r="AA401" s="234" t="s">
        <v>305</v>
      </c>
    </row>
    <row r="402" ht="15.75" customHeight="1">
      <c r="A402" s="69">
        <v>43592.0</v>
      </c>
      <c r="B402" s="23" t="s">
        <v>406</v>
      </c>
      <c r="C402" s="21">
        <v>7.000147214E9</v>
      </c>
      <c r="D402" s="21" t="s">
        <v>1008</v>
      </c>
      <c r="E402" s="23" t="s">
        <v>1009</v>
      </c>
      <c r="F402" s="24">
        <v>1.0</v>
      </c>
      <c r="G402" s="48">
        <v>468.0</v>
      </c>
      <c r="H402" s="60">
        <v>468.0</v>
      </c>
      <c r="I402" s="87" t="s">
        <v>43</v>
      </c>
      <c r="J402" s="50" t="s">
        <v>513</v>
      </c>
      <c r="K402" s="29">
        <v>43606.0</v>
      </c>
      <c r="L402" s="462">
        <v>43677.0</v>
      </c>
      <c r="M402" s="462">
        <v>43601.0</v>
      </c>
      <c r="N402" s="306" t="s">
        <v>1010</v>
      </c>
      <c r="O402" s="306">
        <v>49113.0</v>
      </c>
      <c r="P402" s="462">
        <v>43677.0</v>
      </c>
      <c r="Q402" s="298"/>
      <c r="R402" s="298">
        <v>31.05</v>
      </c>
      <c r="S402" s="299">
        <f>1771*31.05</f>
        <v>54989.55</v>
      </c>
      <c r="T402" s="300">
        <v>43650.0</v>
      </c>
      <c r="U402" s="299"/>
      <c r="V402" s="299"/>
      <c r="W402" s="298" t="s">
        <v>50</v>
      </c>
      <c r="X402" s="82" t="s">
        <v>285</v>
      </c>
      <c r="Y402" s="298" t="s">
        <v>51</v>
      </c>
      <c r="Z402" s="298" t="s">
        <v>52</v>
      </c>
      <c r="AA402" s="459" t="s">
        <v>750</v>
      </c>
    </row>
    <row r="403" ht="15.75" customHeight="1">
      <c r="A403" s="69">
        <v>43592.0</v>
      </c>
      <c r="B403" s="32" t="s">
        <v>406</v>
      </c>
      <c r="C403" s="21">
        <v>7.000147214E9</v>
      </c>
      <c r="D403" s="21" t="s">
        <v>1008</v>
      </c>
      <c r="E403" s="23" t="s">
        <v>1011</v>
      </c>
      <c r="F403" s="24">
        <v>7.0</v>
      </c>
      <c r="G403" s="48">
        <v>87.0</v>
      </c>
      <c r="H403" s="60">
        <v>609.0</v>
      </c>
      <c r="I403" s="87" t="s">
        <v>43</v>
      </c>
      <c r="J403" s="50" t="s">
        <v>513</v>
      </c>
      <c r="K403" s="29">
        <v>43606.0</v>
      </c>
      <c r="L403" s="462">
        <v>43677.0</v>
      </c>
      <c r="M403" s="462">
        <v>43601.0</v>
      </c>
      <c r="N403" s="306" t="s">
        <v>1010</v>
      </c>
      <c r="O403" s="306"/>
      <c r="P403" s="462">
        <v>43677.0</v>
      </c>
      <c r="Q403" s="298"/>
      <c r="R403" s="298">
        <v>31.05</v>
      </c>
      <c r="S403" s="299">
        <v>0.0</v>
      </c>
      <c r="T403" s="300">
        <v>43650.0</v>
      </c>
      <c r="U403" s="299"/>
      <c r="V403" s="299"/>
      <c r="W403" s="298" t="s">
        <v>50</v>
      </c>
      <c r="X403" s="82" t="s">
        <v>285</v>
      </c>
      <c r="Y403" s="298" t="s">
        <v>51</v>
      </c>
      <c r="Z403" s="298" t="s">
        <v>52</v>
      </c>
      <c r="AA403" s="459" t="s">
        <v>750</v>
      </c>
    </row>
    <row r="404" ht="15.75" customHeight="1">
      <c r="A404" s="69">
        <v>43592.0</v>
      </c>
      <c r="B404" s="32" t="s">
        <v>406</v>
      </c>
      <c r="C404" s="21">
        <v>7.000147214E9</v>
      </c>
      <c r="D404" s="21" t="s">
        <v>1008</v>
      </c>
      <c r="E404" s="23" t="s">
        <v>807</v>
      </c>
      <c r="F404" s="24">
        <v>1.0</v>
      </c>
      <c r="G404" s="48">
        <v>565.0</v>
      </c>
      <c r="H404" s="165">
        <v>565.0</v>
      </c>
      <c r="I404" s="87" t="s">
        <v>43</v>
      </c>
      <c r="J404" s="50" t="s">
        <v>513</v>
      </c>
      <c r="K404" s="29">
        <v>43606.0</v>
      </c>
      <c r="L404" s="462">
        <v>43677.0</v>
      </c>
      <c r="M404" s="462">
        <v>43601.0</v>
      </c>
      <c r="N404" s="306" t="s">
        <v>1010</v>
      </c>
      <c r="O404" s="306"/>
      <c r="P404" s="462">
        <v>43677.0</v>
      </c>
      <c r="Q404" s="298"/>
      <c r="R404" s="298">
        <v>31.05</v>
      </c>
      <c r="S404" s="299">
        <v>0.0</v>
      </c>
      <c r="T404" s="300">
        <v>43650.0</v>
      </c>
      <c r="U404" s="299"/>
      <c r="V404" s="299"/>
      <c r="W404" s="298" t="s">
        <v>50</v>
      </c>
      <c r="X404" s="82" t="s">
        <v>285</v>
      </c>
      <c r="Y404" s="298" t="s">
        <v>51</v>
      </c>
      <c r="Z404" s="298" t="s">
        <v>52</v>
      </c>
      <c r="AA404" s="459" t="s">
        <v>750</v>
      </c>
    </row>
    <row r="405" ht="15.75" customHeight="1">
      <c r="A405" s="69">
        <v>43592.0</v>
      </c>
      <c r="B405" s="32" t="s">
        <v>406</v>
      </c>
      <c r="C405" s="21">
        <v>7.000147214E9</v>
      </c>
      <c r="D405" s="21" t="s">
        <v>1008</v>
      </c>
      <c r="E405" s="23" t="s">
        <v>684</v>
      </c>
      <c r="F405" s="24">
        <v>1.0</v>
      </c>
      <c r="G405" s="48">
        <v>129.0</v>
      </c>
      <c r="H405" s="165">
        <v>129.0</v>
      </c>
      <c r="I405" s="87" t="s">
        <v>43</v>
      </c>
      <c r="J405" s="50" t="s">
        <v>513</v>
      </c>
      <c r="K405" s="29">
        <v>43606.0</v>
      </c>
      <c r="L405" s="462">
        <v>43677.0</v>
      </c>
      <c r="M405" s="462">
        <v>43601.0</v>
      </c>
      <c r="N405" s="306" t="s">
        <v>1010</v>
      </c>
      <c r="O405" s="306"/>
      <c r="P405" s="462">
        <v>43677.0</v>
      </c>
      <c r="Q405" s="298"/>
      <c r="R405" s="298">
        <v>31.05</v>
      </c>
      <c r="S405" s="299">
        <v>0.0</v>
      </c>
      <c r="T405" s="300">
        <v>43650.0</v>
      </c>
      <c r="U405" s="299"/>
      <c r="V405" s="299"/>
      <c r="W405" s="298" t="s">
        <v>50</v>
      </c>
      <c r="X405" s="82" t="s">
        <v>285</v>
      </c>
      <c r="Y405" s="298" t="s">
        <v>51</v>
      </c>
      <c r="Z405" s="298" t="s">
        <v>52</v>
      </c>
      <c r="AA405" s="459" t="s">
        <v>750</v>
      </c>
    </row>
    <row r="406" ht="15.75" customHeight="1">
      <c r="A406" s="69">
        <v>43593.0</v>
      </c>
      <c r="B406" s="21" t="s">
        <v>579</v>
      </c>
      <c r="C406" s="21">
        <v>2.0190507001E10</v>
      </c>
      <c r="D406" s="22" t="s">
        <v>1012</v>
      </c>
      <c r="E406" s="23" t="s">
        <v>1013</v>
      </c>
      <c r="F406" s="82">
        <v>2.0</v>
      </c>
      <c r="G406" s="47">
        <v>96.6</v>
      </c>
      <c r="H406" s="60">
        <v>193.2</v>
      </c>
      <c r="I406" s="87" t="s">
        <v>171</v>
      </c>
      <c r="J406" s="63" t="s">
        <v>582</v>
      </c>
      <c r="K406" s="29">
        <v>43601.0</v>
      </c>
      <c r="L406" s="302">
        <v>43646.0</v>
      </c>
      <c r="M406" s="302">
        <v>43600.0</v>
      </c>
      <c r="N406" s="296" t="s">
        <v>1014</v>
      </c>
      <c r="O406" s="296">
        <v>5193.0</v>
      </c>
      <c r="P406" s="302">
        <v>43647.0</v>
      </c>
      <c r="Q406" s="371"/>
      <c r="R406" s="371"/>
      <c r="S406" s="372"/>
      <c r="T406" s="373">
        <v>43633.0</v>
      </c>
      <c r="U406" s="372">
        <v>17810.0</v>
      </c>
      <c r="V406" s="372">
        <v>30.0</v>
      </c>
      <c r="W406" s="371" t="s">
        <v>50</v>
      </c>
      <c r="X406" s="371" t="s">
        <v>285</v>
      </c>
      <c r="Y406" s="371" t="s">
        <v>51</v>
      </c>
      <c r="Z406" s="371" t="s">
        <v>377</v>
      </c>
      <c r="AA406" s="374" t="s">
        <v>440</v>
      </c>
    </row>
    <row r="407" ht="15.75" customHeight="1">
      <c r="A407" s="69">
        <v>43593.0</v>
      </c>
      <c r="B407" s="21" t="s">
        <v>101</v>
      </c>
      <c r="C407" s="21" t="s">
        <v>1015</v>
      </c>
      <c r="D407" s="21" t="s">
        <v>1016</v>
      </c>
      <c r="E407" s="23" t="s">
        <v>1017</v>
      </c>
      <c r="F407" s="24">
        <v>2.0</v>
      </c>
      <c r="G407" s="143">
        <v>309.0</v>
      </c>
      <c r="H407" s="60">
        <v>618.0</v>
      </c>
      <c r="I407" s="87" t="s">
        <v>303</v>
      </c>
      <c r="J407" s="63" t="s">
        <v>1018</v>
      </c>
      <c r="K407" s="29">
        <v>43606.0</v>
      </c>
      <c r="L407" s="302">
        <v>43646.0</v>
      </c>
      <c r="M407" s="302">
        <v>43599.0</v>
      </c>
      <c r="N407" s="296" t="s">
        <v>1019</v>
      </c>
      <c r="O407" s="296">
        <v>18115.0</v>
      </c>
      <c r="P407" s="302">
        <v>43647.0</v>
      </c>
      <c r="Q407" s="371"/>
      <c r="R407" s="371">
        <v>31.05</v>
      </c>
      <c r="S407" s="372"/>
      <c r="T407" s="373">
        <v>43636.0</v>
      </c>
      <c r="U407" s="372"/>
      <c r="V407" s="372"/>
      <c r="W407" s="371" t="s">
        <v>50</v>
      </c>
      <c r="X407" s="371" t="s">
        <v>285</v>
      </c>
      <c r="Y407" s="371" t="s">
        <v>51</v>
      </c>
      <c r="Z407" s="371" t="s">
        <v>52</v>
      </c>
      <c r="AA407" s="374" t="s">
        <v>440</v>
      </c>
    </row>
    <row r="408" ht="15.75" customHeight="1">
      <c r="A408" s="69">
        <v>43593.0</v>
      </c>
      <c r="B408" s="70" t="s">
        <v>101</v>
      </c>
      <c r="C408" s="21" t="s">
        <v>1015</v>
      </c>
      <c r="D408" s="21" t="s">
        <v>1016</v>
      </c>
      <c r="E408" s="23" t="s">
        <v>1020</v>
      </c>
      <c r="F408" s="24">
        <v>3.0</v>
      </c>
      <c r="G408" s="143">
        <v>130.0</v>
      </c>
      <c r="H408" s="60">
        <v>390.0</v>
      </c>
      <c r="I408" s="87" t="s">
        <v>303</v>
      </c>
      <c r="J408" s="63" t="s">
        <v>1018</v>
      </c>
      <c r="K408" s="29">
        <v>43606.0</v>
      </c>
      <c r="L408" s="302">
        <v>43646.0</v>
      </c>
      <c r="M408" s="302">
        <v>43602.0</v>
      </c>
      <c r="N408" s="296" t="s">
        <v>1021</v>
      </c>
      <c r="O408" s="296">
        <v>11076.0</v>
      </c>
      <c r="P408" s="302">
        <v>43647.0</v>
      </c>
      <c r="Q408" s="371"/>
      <c r="R408" s="371">
        <v>31.05</v>
      </c>
      <c r="S408" s="372"/>
      <c r="T408" s="373">
        <v>43636.0</v>
      </c>
      <c r="U408" s="372"/>
      <c r="V408" s="372"/>
      <c r="W408" s="371" t="s">
        <v>50</v>
      </c>
      <c r="X408" s="371" t="s">
        <v>285</v>
      </c>
      <c r="Y408" s="371" t="s">
        <v>51</v>
      </c>
      <c r="Z408" s="371" t="s">
        <v>52</v>
      </c>
      <c r="AA408" s="374" t="s">
        <v>440</v>
      </c>
    </row>
    <row r="409" ht="15.75" customHeight="1">
      <c r="A409" s="69">
        <v>43593.0</v>
      </c>
      <c r="B409" s="70" t="s">
        <v>101</v>
      </c>
      <c r="C409" s="21" t="s">
        <v>1015</v>
      </c>
      <c r="D409" s="21" t="s">
        <v>1016</v>
      </c>
      <c r="E409" s="23" t="s">
        <v>1022</v>
      </c>
      <c r="F409" s="24">
        <v>1.0</v>
      </c>
      <c r="G409" s="143">
        <v>313.0</v>
      </c>
      <c r="H409" s="60">
        <v>313.0</v>
      </c>
      <c r="I409" s="87" t="s">
        <v>303</v>
      </c>
      <c r="J409" s="63" t="s">
        <v>1018</v>
      </c>
      <c r="K409" s="29">
        <v>43606.0</v>
      </c>
      <c r="L409" s="302">
        <v>43646.0</v>
      </c>
      <c r="M409" s="302">
        <v>43601.0</v>
      </c>
      <c r="N409" s="296" t="s">
        <v>1023</v>
      </c>
      <c r="O409" s="296">
        <v>13860.0</v>
      </c>
      <c r="P409" s="302">
        <v>43647.0</v>
      </c>
      <c r="Q409" s="371"/>
      <c r="R409" s="371">
        <v>31.05</v>
      </c>
      <c r="S409" s="372"/>
      <c r="T409" s="373">
        <v>43636.0</v>
      </c>
      <c r="U409" s="372"/>
      <c r="V409" s="372"/>
      <c r="W409" s="371" t="s">
        <v>50</v>
      </c>
      <c r="X409" s="371" t="s">
        <v>285</v>
      </c>
      <c r="Y409" s="371" t="s">
        <v>51</v>
      </c>
      <c r="Z409" s="371" t="s">
        <v>52</v>
      </c>
      <c r="AA409" s="374" t="s">
        <v>440</v>
      </c>
    </row>
    <row r="410" ht="15.75" customHeight="1">
      <c r="A410" s="69">
        <v>43593.0</v>
      </c>
      <c r="B410" s="70" t="s">
        <v>101</v>
      </c>
      <c r="C410" s="21" t="s">
        <v>1015</v>
      </c>
      <c r="D410" s="21" t="s">
        <v>1016</v>
      </c>
      <c r="E410" s="23" t="s">
        <v>1024</v>
      </c>
      <c r="F410" s="24">
        <v>1.0</v>
      </c>
      <c r="G410" s="143">
        <v>9.0</v>
      </c>
      <c r="H410" s="60">
        <v>9.0</v>
      </c>
      <c r="I410" s="87" t="s">
        <v>303</v>
      </c>
      <c r="J410" s="63" t="s">
        <v>1018</v>
      </c>
      <c r="K410" s="29">
        <v>43606.0</v>
      </c>
      <c r="L410" s="302">
        <v>43646.0</v>
      </c>
      <c r="M410" s="302">
        <v>43601.0</v>
      </c>
      <c r="N410" s="296" t="s">
        <v>1023</v>
      </c>
      <c r="O410" s="296"/>
      <c r="P410" s="302">
        <v>43647.0</v>
      </c>
      <c r="Q410" s="371"/>
      <c r="R410" s="371">
        <v>31.05</v>
      </c>
      <c r="S410" s="372"/>
      <c r="T410" s="373">
        <v>43636.0</v>
      </c>
      <c r="U410" s="372"/>
      <c r="V410" s="372"/>
      <c r="W410" s="371" t="s">
        <v>50</v>
      </c>
      <c r="X410" s="371" t="s">
        <v>285</v>
      </c>
      <c r="Y410" s="371" t="s">
        <v>51</v>
      </c>
      <c r="Z410" s="371" t="s">
        <v>52</v>
      </c>
      <c r="AA410" s="374" t="s">
        <v>440</v>
      </c>
    </row>
    <row r="411" ht="15.75" customHeight="1">
      <c r="A411" s="69">
        <v>43593.0</v>
      </c>
      <c r="B411" s="70" t="s">
        <v>101</v>
      </c>
      <c r="C411" s="21" t="s">
        <v>1015</v>
      </c>
      <c r="D411" s="21" t="s">
        <v>1016</v>
      </c>
      <c r="E411" s="23" t="s">
        <v>1025</v>
      </c>
      <c r="F411" s="24">
        <v>1.0</v>
      </c>
      <c r="G411" s="143">
        <v>9.0</v>
      </c>
      <c r="H411" s="60">
        <v>9.0</v>
      </c>
      <c r="I411" s="87" t="s">
        <v>303</v>
      </c>
      <c r="J411" s="63" t="s">
        <v>1018</v>
      </c>
      <c r="K411" s="29">
        <v>43606.0</v>
      </c>
      <c r="L411" s="302">
        <v>43646.0</v>
      </c>
      <c r="M411" s="302">
        <v>43601.0</v>
      </c>
      <c r="N411" s="296" t="s">
        <v>1023</v>
      </c>
      <c r="O411" s="296"/>
      <c r="P411" s="302">
        <v>43647.0</v>
      </c>
      <c r="Q411" s="371"/>
      <c r="R411" s="371">
        <v>31.05</v>
      </c>
      <c r="S411" s="372"/>
      <c r="T411" s="373">
        <v>43636.0</v>
      </c>
      <c r="U411" s="372"/>
      <c r="V411" s="372"/>
      <c r="W411" s="371" t="s">
        <v>50</v>
      </c>
      <c r="X411" s="371" t="s">
        <v>285</v>
      </c>
      <c r="Y411" s="371" t="s">
        <v>51</v>
      </c>
      <c r="Z411" s="371" t="s">
        <v>52</v>
      </c>
      <c r="AA411" s="374" t="s">
        <v>440</v>
      </c>
    </row>
    <row r="412" ht="15.75" customHeight="1">
      <c r="A412" s="69">
        <v>43593.0</v>
      </c>
      <c r="B412" s="70" t="s">
        <v>101</v>
      </c>
      <c r="C412" s="21" t="s">
        <v>1015</v>
      </c>
      <c r="D412" s="21" t="s">
        <v>1016</v>
      </c>
      <c r="E412" s="23" t="s">
        <v>1026</v>
      </c>
      <c r="F412" s="24">
        <v>1.0</v>
      </c>
      <c r="G412" s="143">
        <v>170.0</v>
      </c>
      <c r="H412" s="60">
        <v>170.0</v>
      </c>
      <c r="I412" s="87" t="s">
        <v>303</v>
      </c>
      <c r="J412" s="63" t="s">
        <v>1018</v>
      </c>
      <c r="K412" s="29">
        <v>43606.0</v>
      </c>
      <c r="L412" s="302">
        <v>43646.0</v>
      </c>
      <c r="M412" s="302">
        <v>43601.0</v>
      </c>
      <c r="N412" s="296" t="s">
        <v>1023</v>
      </c>
      <c r="O412" s="296"/>
      <c r="P412" s="302">
        <v>43647.0</v>
      </c>
      <c r="Q412" s="371"/>
      <c r="R412" s="371">
        <v>31.05</v>
      </c>
      <c r="S412" s="372"/>
      <c r="T412" s="373">
        <v>43636.0</v>
      </c>
      <c r="U412" s="372"/>
      <c r="V412" s="372"/>
      <c r="W412" s="371" t="s">
        <v>50</v>
      </c>
      <c r="X412" s="371" t="s">
        <v>285</v>
      </c>
      <c r="Y412" s="371" t="s">
        <v>51</v>
      </c>
      <c r="Z412" s="371" t="s">
        <v>52</v>
      </c>
      <c r="AA412" s="374" t="s">
        <v>440</v>
      </c>
    </row>
    <row r="413" ht="15.75" customHeight="1">
      <c r="A413" s="469">
        <v>43593.0</v>
      </c>
      <c r="B413" s="70" t="s">
        <v>101</v>
      </c>
      <c r="C413" s="21" t="s">
        <v>1015</v>
      </c>
      <c r="D413" s="21" t="s">
        <v>1027</v>
      </c>
      <c r="E413" s="23" t="s">
        <v>1020</v>
      </c>
      <c r="F413" s="24">
        <v>1.0</v>
      </c>
      <c r="G413" s="143">
        <v>130.0</v>
      </c>
      <c r="H413" s="60">
        <v>130.0</v>
      </c>
      <c r="I413" s="87" t="s">
        <v>303</v>
      </c>
      <c r="J413" s="50" t="s">
        <v>1028</v>
      </c>
      <c r="K413" s="300">
        <v>43620.0</v>
      </c>
      <c r="L413" s="462">
        <v>43677.0</v>
      </c>
      <c r="M413" s="462">
        <v>43616.0</v>
      </c>
      <c r="N413" s="306" t="s">
        <v>1029</v>
      </c>
      <c r="O413" s="306">
        <v>3717.0</v>
      </c>
      <c r="P413" s="462">
        <v>43677.0</v>
      </c>
      <c r="Q413" s="298"/>
      <c r="R413" s="298"/>
      <c r="S413" s="299"/>
      <c r="T413" s="300">
        <v>43663.0</v>
      </c>
      <c r="U413" s="299"/>
      <c r="V413" s="299"/>
      <c r="W413" s="298" t="s">
        <v>50</v>
      </c>
      <c r="X413" s="82" t="s">
        <v>285</v>
      </c>
      <c r="Y413" s="298" t="s">
        <v>51</v>
      </c>
      <c r="Z413" s="298" t="s">
        <v>52</v>
      </c>
      <c r="AA413" s="459" t="s">
        <v>750</v>
      </c>
    </row>
    <row r="414" ht="15.75" customHeight="1">
      <c r="A414" s="69">
        <v>43593.0</v>
      </c>
      <c r="B414" s="144" t="s">
        <v>1030</v>
      </c>
      <c r="C414" s="21" t="s">
        <v>1031</v>
      </c>
      <c r="D414" s="493" t="s">
        <v>1032</v>
      </c>
      <c r="E414" s="23" t="s">
        <v>1033</v>
      </c>
      <c r="F414" s="24">
        <v>3.0</v>
      </c>
      <c r="G414" s="25">
        <v>78.0</v>
      </c>
      <c r="H414" s="60">
        <v>234.0</v>
      </c>
      <c r="I414" s="87" t="s">
        <v>303</v>
      </c>
      <c r="J414" s="50" t="s">
        <v>1034</v>
      </c>
      <c r="K414" s="300">
        <v>43644.0</v>
      </c>
      <c r="L414" s="462">
        <v>43621.0</v>
      </c>
      <c r="M414" s="462">
        <v>43609.0</v>
      </c>
      <c r="N414" s="306" t="s">
        <v>1035</v>
      </c>
      <c r="O414" s="306">
        <v>7796.0</v>
      </c>
      <c r="P414" s="462">
        <v>43621.0</v>
      </c>
      <c r="Q414" s="298"/>
      <c r="R414" s="298"/>
      <c r="S414" s="299"/>
      <c r="T414" s="300">
        <v>43643.0</v>
      </c>
      <c r="U414" s="299"/>
      <c r="V414" s="299"/>
      <c r="W414" s="298" t="s">
        <v>50</v>
      </c>
      <c r="X414" s="82" t="s">
        <v>285</v>
      </c>
      <c r="Y414" s="298" t="s">
        <v>286</v>
      </c>
      <c r="Z414" s="298" t="s">
        <v>52</v>
      </c>
      <c r="AA414" s="459" t="s">
        <v>750</v>
      </c>
    </row>
    <row r="415" ht="15.75" customHeight="1">
      <c r="A415" s="69">
        <v>43593.0</v>
      </c>
      <c r="B415" s="144" t="s">
        <v>1030</v>
      </c>
      <c r="C415" s="21" t="s">
        <v>1031</v>
      </c>
      <c r="D415" s="493" t="s">
        <v>1032</v>
      </c>
      <c r="E415" s="23" t="s">
        <v>1036</v>
      </c>
      <c r="F415" s="24">
        <v>3.0</v>
      </c>
      <c r="G415" s="25">
        <v>35.0</v>
      </c>
      <c r="H415" s="60">
        <v>105.0</v>
      </c>
      <c r="I415" s="87" t="s">
        <v>303</v>
      </c>
      <c r="J415" s="50" t="s">
        <v>1037</v>
      </c>
      <c r="K415" s="300">
        <v>43644.0</v>
      </c>
      <c r="L415" s="462">
        <v>43614.0</v>
      </c>
      <c r="M415" s="462">
        <v>43614.0</v>
      </c>
      <c r="N415" s="306" t="s">
        <v>1038</v>
      </c>
      <c r="O415" s="306">
        <v>3900.0</v>
      </c>
      <c r="P415" s="462">
        <v>43614.0</v>
      </c>
      <c r="Q415" s="298"/>
      <c r="R415" s="298"/>
      <c r="S415" s="299"/>
      <c r="T415" s="300">
        <v>43643.0</v>
      </c>
      <c r="U415" s="299"/>
      <c r="V415" s="299"/>
      <c r="W415" s="298" t="s">
        <v>50</v>
      </c>
      <c r="X415" s="82" t="s">
        <v>285</v>
      </c>
      <c r="Y415" s="298" t="s">
        <v>286</v>
      </c>
      <c r="Z415" s="298" t="s">
        <v>52</v>
      </c>
      <c r="AA415" s="459" t="s">
        <v>750</v>
      </c>
    </row>
    <row r="416" ht="15.75" customHeight="1">
      <c r="A416" s="69">
        <v>43593.0</v>
      </c>
      <c r="B416" s="144" t="s">
        <v>1030</v>
      </c>
      <c r="C416" s="21" t="s">
        <v>1031</v>
      </c>
      <c r="D416" s="493" t="s">
        <v>1032</v>
      </c>
      <c r="E416" s="23" t="s">
        <v>1039</v>
      </c>
      <c r="F416" s="24">
        <v>3.0</v>
      </c>
      <c r="G416" s="48">
        <v>2023.0</v>
      </c>
      <c r="H416" s="60">
        <v>6069.0</v>
      </c>
      <c r="I416" s="87" t="s">
        <v>303</v>
      </c>
      <c r="J416" s="50" t="s">
        <v>1034</v>
      </c>
      <c r="K416" s="300">
        <v>43644.0</v>
      </c>
      <c r="L416" s="306"/>
      <c r="M416" s="306"/>
      <c r="N416" s="306"/>
      <c r="O416" s="306"/>
      <c r="P416" s="306"/>
      <c r="Q416" s="298"/>
      <c r="R416" s="298"/>
      <c r="S416" s="299"/>
      <c r="T416" s="300">
        <v>43643.0</v>
      </c>
      <c r="U416" s="299">
        <f>8612.42*31</f>
        <v>266985.02</v>
      </c>
      <c r="V416" s="299">
        <f>(8652.87-8612.42)*31</f>
        <v>1253.95</v>
      </c>
      <c r="W416" s="298" t="s">
        <v>50</v>
      </c>
      <c r="X416" s="82" t="s">
        <v>285</v>
      </c>
      <c r="Y416" s="298" t="s">
        <v>286</v>
      </c>
      <c r="Z416" s="298" t="s">
        <v>52</v>
      </c>
      <c r="AA416" s="459" t="s">
        <v>750</v>
      </c>
    </row>
    <row r="417" ht="15.75" customHeight="1">
      <c r="A417" s="69">
        <v>43593.0</v>
      </c>
      <c r="B417" s="144" t="s">
        <v>1030</v>
      </c>
      <c r="C417" s="21" t="s">
        <v>1031</v>
      </c>
      <c r="D417" s="493" t="s">
        <v>1032</v>
      </c>
      <c r="E417" s="23" t="s">
        <v>1039</v>
      </c>
      <c r="F417" s="24">
        <v>3.0</v>
      </c>
      <c r="G417" s="48">
        <v>-257.0</v>
      </c>
      <c r="H417" s="60">
        <v>-771.0</v>
      </c>
      <c r="I417" s="87" t="s">
        <v>303</v>
      </c>
      <c r="J417" s="63"/>
      <c r="K417" s="29"/>
      <c r="L417" s="462"/>
      <c r="M417" s="462"/>
      <c r="N417" s="306"/>
      <c r="O417" s="306"/>
      <c r="P417" s="462"/>
      <c r="Q417" s="298"/>
      <c r="R417" s="298"/>
      <c r="S417" s="299"/>
      <c r="T417" s="298" t="s">
        <v>1040</v>
      </c>
      <c r="U417" s="299"/>
      <c r="V417" s="299"/>
      <c r="W417" s="298" t="s">
        <v>50</v>
      </c>
      <c r="X417" s="82" t="s">
        <v>285</v>
      </c>
      <c r="Y417" s="298" t="s">
        <v>286</v>
      </c>
      <c r="Z417" s="298" t="s">
        <v>52</v>
      </c>
      <c r="AA417" s="459" t="s">
        <v>750</v>
      </c>
    </row>
    <row r="418" ht="15.75" customHeight="1">
      <c r="A418" s="69">
        <v>43593.0</v>
      </c>
      <c r="B418" s="70" t="s">
        <v>223</v>
      </c>
      <c r="C418" s="21" t="s">
        <v>1041</v>
      </c>
      <c r="D418" s="21" t="s">
        <v>1042</v>
      </c>
      <c r="E418" s="23" t="s">
        <v>1043</v>
      </c>
      <c r="F418" s="24">
        <v>4.0</v>
      </c>
      <c r="G418" s="48">
        <v>131.25</v>
      </c>
      <c r="H418" s="60">
        <v>525.0</v>
      </c>
      <c r="I418" s="87" t="s">
        <v>248</v>
      </c>
      <c r="J418" s="63" t="s">
        <v>90</v>
      </c>
      <c r="K418" s="29">
        <v>43605.0</v>
      </c>
      <c r="L418" s="462">
        <v>43646.0</v>
      </c>
      <c r="M418" s="462">
        <v>43602.0</v>
      </c>
      <c r="N418" s="306" t="s">
        <v>1044</v>
      </c>
      <c r="O418" s="306">
        <v>14769.0</v>
      </c>
      <c r="P418" s="462">
        <v>43647.0</v>
      </c>
      <c r="Q418" s="298"/>
      <c r="R418" s="298"/>
      <c r="S418" s="299"/>
      <c r="T418" s="300">
        <v>43649.0</v>
      </c>
      <c r="U418" s="299">
        <v>16425.0</v>
      </c>
      <c r="V418" s="299">
        <v>28.0</v>
      </c>
      <c r="W418" s="298" t="s">
        <v>50</v>
      </c>
      <c r="X418" s="82" t="s">
        <v>285</v>
      </c>
      <c r="Y418" s="298" t="s">
        <v>51</v>
      </c>
      <c r="Z418" s="298" t="s">
        <v>377</v>
      </c>
      <c r="AA418" s="459" t="s">
        <v>750</v>
      </c>
    </row>
    <row r="419" ht="15.75" customHeight="1">
      <c r="A419" s="69">
        <v>43593.0</v>
      </c>
      <c r="B419" s="70" t="s">
        <v>130</v>
      </c>
      <c r="C419" s="21"/>
      <c r="D419" s="21" t="s">
        <v>1045</v>
      </c>
      <c r="E419" s="23" t="s">
        <v>1006</v>
      </c>
      <c r="F419" s="24">
        <v>50.0</v>
      </c>
      <c r="G419" s="48">
        <v>25.0</v>
      </c>
      <c r="H419" s="60">
        <v>1250.0</v>
      </c>
      <c r="I419" s="87" t="s">
        <v>248</v>
      </c>
      <c r="J419" s="50" t="s">
        <v>134</v>
      </c>
      <c r="K419" s="30">
        <v>43741.0</v>
      </c>
      <c r="L419" s="305">
        <v>43769.0</v>
      </c>
      <c r="M419" s="462">
        <v>43733.0</v>
      </c>
      <c r="N419" s="306" t="s">
        <v>1046</v>
      </c>
      <c r="O419" s="306">
        <v>162997.0</v>
      </c>
      <c r="P419" s="306"/>
      <c r="Q419" s="298"/>
      <c r="R419" s="298"/>
      <c r="S419" s="299"/>
      <c r="T419" s="29">
        <v>43756.0</v>
      </c>
      <c r="U419" s="299">
        <f>5809.46*30.57</f>
        <v>177595.1922</v>
      </c>
      <c r="V419" s="299">
        <f>(5832-5809.46)*30.57</f>
        <v>689.0478</v>
      </c>
      <c r="W419" s="298" t="s">
        <v>50</v>
      </c>
      <c r="X419" s="298" t="s">
        <v>285</v>
      </c>
      <c r="Y419" s="298" t="s">
        <v>51</v>
      </c>
      <c r="Z419" s="298" t="s">
        <v>377</v>
      </c>
      <c r="AA419" s="459" t="s">
        <v>763</v>
      </c>
    </row>
    <row r="420" ht="15.75" customHeight="1">
      <c r="A420" s="69">
        <v>43594.0</v>
      </c>
      <c r="B420" s="70" t="s">
        <v>464</v>
      </c>
      <c r="C420" s="21">
        <v>504301.0</v>
      </c>
      <c r="D420" s="477" t="s">
        <v>1047</v>
      </c>
      <c r="E420" s="23" t="s">
        <v>638</v>
      </c>
      <c r="F420" s="24">
        <v>1.0</v>
      </c>
      <c r="G420" s="47">
        <v>80.0</v>
      </c>
      <c r="H420" s="26">
        <v>80.0</v>
      </c>
      <c r="I420" s="49" t="s">
        <v>303</v>
      </c>
      <c r="J420" s="24" t="s">
        <v>467</v>
      </c>
      <c r="K420" s="300">
        <v>43614.0</v>
      </c>
      <c r="L420" s="302">
        <v>43608.0</v>
      </c>
      <c r="M420" s="302">
        <v>43612.0</v>
      </c>
      <c r="N420" s="296" t="s">
        <v>985</v>
      </c>
      <c r="O420" s="296"/>
      <c r="P420" s="260">
        <v>43608.0</v>
      </c>
      <c r="Q420" s="371"/>
      <c r="R420" s="371">
        <v>31.05</v>
      </c>
      <c r="S420" s="372">
        <f>4578*31.05</f>
        <v>142146.9</v>
      </c>
      <c r="T420" s="373">
        <v>43612.0</v>
      </c>
      <c r="U420" s="372">
        <f>4571.64*31.43</f>
        <v>143686.6452</v>
      </c>
      <c r="V420" s="372">
        <f>(4578-4571.64)*31.43</f>
        <v>199.8948</v>
      </c>
      <c r="W420" s="371" t="s">
        <v>50</v>
      </c>
      <c r="X420" s="371" t="s">
        <v>285</v>
      </c>
      <c r="Y420" s="371" t="s">
        <v>51</v>
      </c>
      <c r="Z420" s="371" t="s">
        <v>52</v>
      </c>
      <c r="AA420" s="374" t="s">
        <v>440</v>
      </c>
    </row>
    <row r="421" ht="15.75" customHeight="1">
      <c r="A421" s="69">
        <v>43594.0</v>
      </c>
      <c r="B421" s="70" t="s">
        <v>464</v>
      </c>
      <c r="C421" s="21">
        <v>504301.0</v>
      </c>
      <c r="D421" s="477" t="s">
        <v>1047</v>
      </c>
      <c r="E421" s="23" t="s">
        <v>472</v>
      </c>
      <c r="F421" s="24">
        <v>1.0</v>
      </c>
      <c r="G421" s="47">
        <v>118.0</v>
      </c>
      <c r="H421" s="26">
        <v>118.0</v>
      </c>
      <c r="I421" s="49" t="s">
        <v>303</v>
      </c>
      <c r="J421" s="24" t="s">
        <v>467</v>
      </c>
      <c r="K421" s="300">
        <v>43614.0</v>
      </c>
      <c r="L421" s="302">
        <v>43608.0</v>
      </c>
      <c r="M421" s="302">
        <v>43612.0</v>
      </c>
      <c r="N421" s="296" t="s">
        <v>985</v>
      </c>
      <c r="O421" s="296"/>
      <c r="P421" s="260">
        <v>43608.0</v>
      </c>
      <c r="Q421" s="371"/>
      <c r="R421" s="371">
        <v>31.05</v>
      </c>
      <c r="S421" s="372">
        <v>0.0</v>
      </c>
      <c r="T421" s="373">
        <v>43612.0</v>
      </c>
      <c r="U421" s="372"/>
      <c r="V421" s="372"/>
      <c r="W421" s="371" t="s">
        <v>50</v>
      </c>
      <c r="X421" s="371" t="s">
        <v>285</v>
      </c>
      <c r="Y421" s="371" t="s">
        <v>51</v>
      </c>
      <c r="Z421" s="371" t="s">
        <v>52</v>
      </c>
      <c r="AA421" s="374" t="s">
        <v>440</v>
      </c>
    </row>
    <row r="422" ht="15.75" customHeight="1">
      <c r="A422" s="69">
        <v>43594.0</v>
      </c>
      <c r="B422" s="70" t="s">
        <v>464</v>
      </c>
      <c r="C422" s="21">
        <v>504301.0</v>
      </c>
      <c r="D422" s="477" t="s">
        <v>1047</v>
      </c>
      <c r="E422" s="23" t="s">
        <v>473</v>
      </c>
      <c r="F422" s="24">
        <v>1.0</v>
      </c>
      <c r="G422" s="47">
        <v>160.0</v>
      </c>
      <c r="H422" s="26">
        <v>160.0</v>
      </c>
      <c r="I422" s="27" t="s">
        <v>303</v>
      </c>
      <c r="J422" s="24" t="s">
        <v>467</v>
      </c>
      <c r="K422" s="300">
        <v>43614.0</v>
      </c>
      <c r="L422" s="302">
        <v>43646.0</v>
      </c>
      <c r="M422" s="302">
        <v>43608.0</v>
      </c>
      <c r="N422" s="296" t="s">
        <v>986</v>
      </c>
      <c r="O422" s="296"/>
      <c r="P422" s="295">
        <v>43631.0</v>
      </c>
      <c r="Q422" s="371"/>
      <c r="R422" s="371">
        <v>31.05</v>
      </c>
      <c r="S422" s="372">
        <v>0.0</v>
      </c>
      <c r="T422" s="373">
        <v>43612.0</v>
      </c>
      <c r="U422" s="372"/>
      <c r="V422" s="372"/>
      <c r="W422" s="371" t="s">
        <v>50</v>
      </c>
      <c r="X422" s="371" t="s">
        <v>285</v>
      </c>
      <c r="Y422" s="371" t="s">
        <v>51</v>
      </c>
      <c r="Z422" s="371" t="s">
        <v>52</v>
      </c>
      <c r="AA422" s="374" t="s">
        <v>440</v>
      </c>
    </row>
    <row r="423" ht="15.75" customHeight="1">
      <c r="A423" s="69">
        <v>43594.0</v>
      </c>
      <c r="B423" s="70" t="s">
        <v>464</v>
      </c>
      <c r="C423" s="21">
        <v>504301.0</v>
      </c>
      <c r="D423" s="477" t="s">
        <v>1047</v>
      </c>
      <c r="E423" s="23" t="s">
        <v>987</v>
      </c>
      <c r="F423" s="24">
        <v>1.0</v>
      </c>
      <c r="G423" s="47">
        <v>4120.0</v>
      </c>
      <c r="H423" s="26">
        <v>4120.0</v>
      </c>
      <c r="I423" s="27" t="s">
        <v>303</v>
      </c>
      <c r="J423" s="24" t="s">
        <v>467</v>
      </c>
      <c r="K423" s="300">
        <v>43614.0</v>
      </c>
      <c r="L423" s="302">
        <v>43677.0</v>
      </c>
      <c r="M423" s="302">
        <v>43612.0</v>
      </c>
      <c r="N423" s="296" t="s">
        <v>1048</v>
      </c>
      <c r="O423" s="296">
        <v>122722.0</v>
      </c>
      <c r="P423" s="472">
        <v>43677.0</v>
      </c>
      <c r="Q423" s="371"/>
      <c r="R423" s="371">
        <v>31.05</v>
      </c>
      <c r="S423" s="372">
        <v>0.0</v>
      </c>
      <c r="T423" s="373">
        <v>43612.0</v>
      </c>
      <c r="U423" s="372"/>
      <c r="V423" s="372"/>
      <c r="W423" s="371" t="s">
        <v>50</v>
      </c>
      <c r="X423" s="371" t="s">
        <v>285</v>
      </c>
      <c r="Y423" s="371" t="s">
        <v>51</v>
      </c>
      <c r="Z423" s="371" t="s">
        <v>52</v>
      </c>
      <c r="AA423" s="374" t="s">
        <v>440</v>
      </c>
    </row>
    <row r="424" ht="15.75" customHeight="1">
      <c r="A424" s="69">
        <v>43594.0</v>
      </c>
      <c r="B424" s="70" t="s">
        <v>464</v>
      </c>
      <c r="C424" s="21">
        <v>504301.0</v>
      </c>
      <c r="D424" s="477" t="s">
        <v>1047</v>
      </c>
      <c r="E424" s="23" t="s">
        <v>466</v>
      </c>
      <c r="F424" s="24">
        <v>1.0</v>
      </c>
      <c r="G424" s="47">
        <v>100.0</v>
      </c>
      <c r="H424" s="26">
        <v>100.0</v>
      </c>
      <c r="I424" s="27" t="s">
        <v>303</v>
      </c>
      <c r="J424" s="24" t="s">
        <v>467</v>
      </c>
      <c r="K424" s="300">
        <v>43614.0</v>
      </c>
      <c r="L424" s="302">
        <v>43677.0</v>
      </c>
      <c r="M424" s="302">
        <v>43612.0</v>
      </c>
      <c r="N424" s="296" t="s">
        <v>1048</v>
      </c>
      <c r="O424" s="296"/>
      <c r="P424" s="472">
        <v>43677.0</v>
      </c>
      <c r="Q424" s="371"/>
      <c r="R424" s="371">
        <v>31.05</v>
      </c>
      <c r="S424" s="372">
        <v>0.0</v>
      </c>
      <c r="T424" s="373">
        <v>43612.0</v>
      </c>
      <c r="U424" s="372"/>
      <c r="V424" s="372"/>
      <c r="W424" s="371" t="s">
        <v>50</v>
      </c>
      <c r="X424" s="371" t="s">
        <v>285</v>
      </c>
      <c r="Y424" s="371" t="s">
        <v>51</v>
      </c>
      <c r="Z424" s="371" t="s">
        <v>52</v>
      </c>
      <c r="AA424" s="374" t="s">
        <v>440</v>
      </c>
    </row>
    <row r="425" ht="15.75" customHeight="1">
      <c r="A425" s="399">
        <v>43594.0</v>
      </c>
      <c r="B425" s="377" t="s">
        <v>101</v>
      </c>
      <c r="C425" s="183">
        <v>1.9000175E7</v>
      </c>
      <c r="D425" s="494" t="s">
        <v>1049</v>
      </c>
      <c r="E425" s="378" t="s">
        <v>1050</v>
      </c>
      <c r="F425" s="186">
        <v>0.0</v>
      </c>
      <c r="G425" s="401">
        <v>576.0</v>
      </c>
      <c r="H425" s="381">
        <v>0.0</v>
      </c>
      <c r="I425" s="489" t="s">
        <v>303</v>
      </c>
      <c r="J425" s="495" t="s">
        <v>869</v>
      </c>
      <c r="K425" s="191">
        <v>43641.0</v>
      </c>
      <c r="L425" s="52"/>
      <c r="M425" s="53"/>
      <c r="N425" s="53"/>
      <c r="O425" s="53"/>
      <c r="P425" s="53"/>
      <c r="Q425" s="54"/>
      <c r="R425" s="54"/>
      <c r="S425" s="55"/>
      <c r="T425" s="54"/>
      <c r="U425" s="55"/>
      <c r="V425" s="55"/>
      <c r="W425" s="54" t="s">
        <v>50</v>
      </c>
      <c r="X425" s="54" t="s">
        <v>296</v>
      </c>
      <c r="Y425" s="54" t="s">
        <v>51</v>
      </c>
      <c r="Z425" s="54" t="s">
        <v>52</v>
      </c>
      <c r="AA425" s="57"/>
    </row>
    <row r="426" ht="15.75" customHeight="1">
      <c r="A426" s="399">
        <v>43594.0</v>
      </c>
      <c r="B426" s="377" t="s">
        <v>101</v>
      </c>
      <c r="C426" s="183">
        <v>1.9000175E7</v>
      </c>
      <c r="D426" s="494" t="s">
        <v>1049</v>
      </c>
      <c r="E426" s="378" t="s">
        <v>1051</v>
      </c>
      <c r="F426" s="496">
        <v>0.0</v>
      </c>
      <c r="G426" s="401">
        <v>219.0</v>
      </c>
      <c r="H426" s="381">
        <v>0.0</v>
      </c>
      <c r="I426" s="489" t="s">
        <v>303</v>
      </c>
      <c r="J426" s="495" t="s">
        <v>869</v>
      </c>
      <c r="K426" s="191">
        <v>43641.0</v>
      </c>
      <c r="L426" s="52"/>
      <c r="M426" s="53"/>
      <c r="N426" s="53"/>
      <c r="O426" s="53"/>
      <c r="P426" s="53"/>
      <c r="Q426" s="54"/>
      <c r="R426" s="54"/>
      <c r="S426" s="55"/>
      <c r="T426" s="54"/>
      <c r="U426" s="55"/>
      <c r="V426" s="55"/>
      <c r="W426" s="54" t="s">
        <v>50</v>
      </c>
      <c r="X426" s="54" t="s">
        <v>296</v>
      </c>
      <c r="Y426" s="54" t="s">
        <v>51</v>
      </c>
      <c r="Z426" s="54" t="s">
        <v>52</v>
      </c>
      <c r="AA426" s="57"/>
    </row>
    <row r="427" ht="15.75" customHeight="1">
      <c r="A427" s="399">
        <v>43594.0</v>
      </c>
      <c r="B427" s="377" t="s">
        <v>101</v>
      </c>
      <c r="C427" s="183">
        <v>1.9000175E7</v>
      </c>
      <c r="D427" s="494" t="s">
        <v>1049</v>
      </c>
      <c r="E427" s="378" t="s">
        <v>1052</v>
      </c>
      <c r="F427" s="186">
        <v>0.0</v>
      </c>
      <c r="G427" s="401">
        <v>85.0</v>
      </c>
      <c r="H427" s="381">
        <v>0.0</v>
      </c>
      <c r="I427" s="489" t="s">
        <v>303</v>
      </c>
      <c r="J427" s="495" t="s">
        <v>869</v>
      </c>
      <c r="K427" s="191">
        <v>43641.0</v>
      </c>
      <c r="L427" s="52"/>
      <c r="M427" s="53"/>
      <c r="N427" s="53"/>
      <c r="O427" s="53"/>
      <c r="P427" s="53"/>
      <c r="Q427" s="54"/>
      <c r="R427" s="54"/>
      <c r="S427" s="55"/>
      <c r="T427" s="54"/>
      <c r="U427" s="55"/>
      <c r="V427" s="55"/>
      <c r="W427" s="54" t="s">
        <v>50</v>
      </c>
      <c r="X427" s="54" t="s">
        <v>296</v>
      </c>
      <c r="Y427" s="54" t="s">
        <v>51</v>
      </c>
      <c r="Z427" s="54" t="s">
        <v>52</v>
      </c>
      <c r="AA427" s="57"/>
    </row>
    <row r="428" ht="15.75" customHeight="1">
      <c r="A428" s="69">
        <v>43594.0</v>
      </c>
      <c r="B428" s="70" t="s">
        <v>101</v>
      </c>
      <c r="C428" s="21" t="s">
        <v>1053</v>
      </c>
      <c r="D428" s="32" t="s">
        <v>1054</v>
      </c>
      <c r="E428" s="23" t="s">
        <v>1055</v>
      </c>
      <c r="F428" s="24">
        <v>10.0</v>
      </c>
      <c r="G428" s="47">
        <v>610.0</v>
      </c>
      <c r="H428" s="26">
        <v>6100.0</v>
      </c>
      <c r="I428" s="27" t="s">
        <v>303</v>
      </c>
      <c r="J428" s="79" t="s">
        <v>1056</v>
      </c>
      <c r="K428" s="30">
        <v>43620.0</v>
      </c>
      <c r="L428" s="462">
        <v>43677.0</v>
      </c>
      <c r="M428" s="462">
        <v>43619.0</v>
      </c>
      <c r="N428" s="306" t="s">
        <v>1057</v>
      </c>
      <c r="O428" s="306">
        <v>246981.0</v>
      </c>
      <c r="P428" s="462">
        <v>43677.0</v>
      </c>
      <c r="Q428" s="298"/>
      <c r="R428" s="298"/>
      <c r="S428" s="299"/>
      <c r="T428" s="300">
        <v>43663.0</v>
      </c>
      <c r="U428" s="299"/>
      <c r="V428" s="299"/>
      <c r="W428" s="298" t="s">
        <v>50</v>
      </c>
      <c r="X428" s="82" t="s">
        <v>285</v>
      </c>
      <c r="Y428" s="298" t="s">
        <v>51</v>
      </c>
      <c r="Z428" s="298" t="s">
        <v>52</v>
      </c>
      <c r="AA428" s="459" t="s">
        <v>750</v>
      </c>
    </row>
    <row r="429" ht="15.75" customHeight="1">
      <c r="A429" s="69">
        <v>43594.0</v>
      </c>
      <c r="B429" s="70" t="s">
        <v>101</v>
      </c>
      <c r="C429" s="21" t="s">
        <v>1053</v>
      </c>
      <c r="D429" s="32" t="s">
        <v>1058</v>
      </c>
      <c r="E429" s="23" t="s">
        <v>1059</v>
      </c>
      <c r="F429" s="24">
        <v>10.0</v>
      </c>
      <c r="G429" s="47">
        <v>219.0</v>
      </c>
      <c r="H429" s="26">
        <v>2190.0</v>
      </c>
      <c r="I429" s="27" t="s">
        <v>303</v>
      </c>
      <c r="J429" s="63" t="s">
        <v>1056</v>
      </c>
      <c r="K429" s="30">
        <v>43620.0</v>
      </c>
      <c r="L429" s="462">
        <v>43677.0</v>
      </c>
      <c r="M429" s="462">
        <v>43619.0</v>
      </c>
      <c r="N429" s="306" t="s">
        <v>1057</v>
      </c>
      <c r="O429" s="306"/>
      <c r="P429" s="462">
        <v>43677.0</v>
      </c>
      <c r="Q429" s="298"/>
      <c r="R429" s="298"/>
      <c r="S429" s="299"/>
      <c r="T429" s="300">
        <v>43663.0</v>
      </c>
      <c r="U429" s="299"/>
      <c r="V429" s="299"/>
      <c r="W429" s="298" t="s">
        <v>50</v>
      </c>
      <c r="X429" s="82" t="s">
        <v>285</v>
      </c>
      <c r="Y429" s="298" t="s">
        <v>51</v>
      </c>
      <c r="Z429" s="298" t="s">
        <v>52</v>
      </c>
      <c r="AA429" s="459" t="s">
        <v>750</v>
      </c>
    </row>
    <row r="430" ht="43.5" customHeight="1">
      <c r="A430" s="69">
        <v>43594.0</v>
      </c>
      <c r="B430" s="70" t="s">
        <v>101</v>
      </c>
      <c r="C430" s="21" t="s">
        <v>1053</v>
      </c>
      <c r="D430" s="32" t="s">
        <v>1060</v>
      </c>
      <c r="E430" s="23" t="s">
        <v>1061</v>
      </c>
      <c r="F430" s="24">
        <v>10.0</v>
      </c>
      <c r="G430" s="47">
        <v>85.0</v>
      </c>
      <c r="H430" s="26">
        <v>850.0</v>
      </c>
      <c r="I430" s="27" t="s">
        <v>303</v>
      </c>
      <c r="J430" s="63" t="s">
        <v>1056</v>
      </c>
      <c r="K430" s="29">
        <v>43620.0</v>
      </c>
      <c r="L430" s="306"/>
      <c r="M430" s="306"/>
      <c r="N430" s="306"/>
      <c r="O430" s="306"/>
      <c r="P430" s="306"/>
      <c r="Q430" s="298"/>
      <c r="R430" s="298"/>
      <c r="S430" s="299"/>
      <c r="T430" s="300">
        <v>43663.0</v>
      </c>
      <c r="U430" s="299"/>
      <c r="V430" s="299"/>
      <c r="W430" s="298" t="s">
        <v>50</v>
      </c>
      <c r="X430" s="82" t="s">
        <v>285</v>
      </c>
      <c r="Y430" s="298" t="s">
        <v>51</v>
      </c>
      <c r="Z430" s="298" t="s">
        <v>52</v>
      </c>
      <c r="AA430" s="459" t="s">
        <v>750</v>
      </c>
    </row>
    <row r="431" ht="43.5" customHeight="1">
      <c r="A431" s="69">
        <v>43598.0</v>
      </c>
      <c r="B431" s="23" t="s">
        <v>406</v>
      </c>
      <c r="C431" s="21">
        <v>7.000147307E9</v>
      </c>
      <c r="D431" s="21" t="s">
        <v>1062</v>
      </c>
      <c r="E431" s="23" t="s">
        <v>1063</v>
      </c>
      <c r="F431" s="24">
        <v>1.0</v>
      </c>
      <c r="G431" s="48">
        <v>275.0</v>
      </c>
      <c r="H431" s="26">
        <v>275.0</v>
      </c>
      <c r="I431" s="61" t="s">
        <v>43</v>
      </c>
      <c r="J431" s="50" t="s">
        <v>513</v>
      </c>
      <c r="K431" s="29">
        <v>43606.0</v>
      </c>
      <c r="L431" s="462">
        <v>43677.0</v>
      </c>
      <c r="M431" s="462">
        <v>43601.0</v>
      </c>
      <c r="N431" s="306" t="s">
        <v>1064</v>
      </c>
      <c r="O431" s="306">
        <v>9131.0</v>
      </c>
      <c r="P431" s="462">
        <v>43677.0</v>
      </c>
      <c r="Q431" s="298"/>
      <c r="R431" s="298">
        <v>31.05</v>
      </c>
      <c r="S431" s="299">
        <f>331.5*31.05</f>
        <v>10293.075</v>
      </c>
      <c r="T431" s="300">
        <v>43650.0</v>
      </c>
      <c r="U431" s="299"/>
      <c r="V431" s="299"/>
      <c r="W431" s="298" t="s">
        <v>50</v>
      </c>
      <c r="X431" s="82" t="s">
        <v>285</v>
      </c>
      <c r="Y431" s="298" t="s">
        <v>51</v>
      </c>
      <c r="Z431" s="298" t="s">
        <v>52</v>
      </c>
      <c r="AA431" s="459" t="s">
        <v>750</v>
      </c>
    </row>
    <row r="432" ht="43.5" customHeight="1">
      <c r="A432" s="69">
        <v>43598.0</v>
      </c>
      <c r="B432" s="23" t="s">
        <v>406</v>
      </c>
      <c r="C432" s="21">
        <v>7.000147307E9</v>
      </c>
      <c r="D432" s="21" t="s">
        <v>1062</v>
      </c>
      <c r="E432" s="23" t="s">
        <v>812</v>
      </c>
      <c r="F432" s="24">
        <v>1.0</v>
      </c>
      <c r="G432" s="48">
        <v>43.0</v>
      </c>
      <c r="H432" s="26">
        <v>43.0</v>
      </c>
      <c r="I432" s="61" t="s">
        <v>43</v>
      </c>
      <c r="J432" s="50" t="s">
        <v>513</v>
      </c>
      <c r="K432" s="29">
        <v>43606.0</v>
      </c>
      <c r="L432" s="462">
        <v>43677.0</v>
      </c>
      <c r="M432" s="462">
        <v>43601.0</v>
      </c>
      <c r="N432" s="306" t="s">
        <v>1064</v>
      </c>
      <c r="O432" s="497"/>
      <c r="P432" s="462">
        <v>43677.0</v>
      </c>
      <c r="Q432" s="298"/>
      <c r="R432" s="298">
        <v>31.05</v>
      </c>
      <c r="S432" s="299">
        <v>0.0</v>
      </c>
      <c r="T432" s="300">
        <v>43650.0</v>
      </c>
      <c r="U432" s="299"/>
      <c r="V432" s="299"/>
      <c r="W432" s="298" t="s">
        <v>50</v>
      </c>
      <c r="X432" s="82" t="s">
        <v>285</v>
      </c>
      <c r="Y432" s="298" t="s">
        <v>51</v>
      </c>
      <c r="Z432" s="298" t="s">
        <v>52</v>
      </c>
      <c r="AA432" s="459" t="s">
        <v>750</v>
      </c>
    </row>
    <row r="433" ht="15.75" customHeight="1">
      <c r="A433" s="69">
        <v>43598.0</v>
      </c>
      <c r="B433" s="23" t="s">
        <v>406</v>
      </c>
      <c r="C433" s="21">
        <v>7.000147307E9</v>
      </c>
      <c r="D433" s="21" t="s">
        <v>1062</v>
      </c>
      <c r="E433" s="23" t="s">
        <v>1065</v>
      </c>
      <c r="F433" s="24">
        <v>1.0</v>
      </c>
      <c r="G433" s="48">
        <v>5.0</v>
      </c>
      <c r="H433" s="26">
        <v>5.0</v>
      </c>
      <c r="I433" s="61" t="s">
        <v>43</v>
      </c>
      <c r="J433" s="50" t="s">
        <v>513</v>
      </c>
      <c r="K433" s="29">
        <v>43606.0</v>
      </c>
      <c r="L433" s="462">
        <v>43677.0</v>
      </c>
      <c r="M433" s="462">
        <v>43601.0</v>
      </c>
      <c r="N433" s="306" t="s">
        <v>1064</v>
      </c>
      <c r="O433" s="497"/>
      <c r="P433" s="462">
        <v>43677.0</v>
      </c>
      <c r="Q433" s="298"/>
      <c r="R433" s="298">
        <v>31.05</v>
      </c>
      <c r="S433" s="299">
        <v>0.0</v>
      </c>
      <c r="T433" s="300">
        <v>43650.0</v>
      </c>
      <c r="U433" s="299"/>
      <c r="V433" s="299"/>
      <c r="W433" s="298" t="s">
        <v>50</v>
      </c>
      <c r="X433" s="82" t="s">
        <v>285</v>
      </c>
      <c r="Y433" s="298" t="s">
        <v>51</v>
      </c>
      <c r="Z433" s="298" t="s">
        <v>52</v>
      </c>
      <c r="AA433" s="459" t="s">
        <v>750</v>
      </c>
    </row>
    <row r="434" ht="15.75" customHeight="1">
      <c r="A434" s="69">
        <v>43598.0</v>
      </c>
      <c r="B434" s="23" t="s">
        <v>406</v>
      </c>
      <c r="C434" s="21">
        <v>7.000147307E9</v>
      </c>
      <c r="D434" s="21" t="s">
        <v>1062</v>
      </c>
      <c r="E434" s="23" t="s">
        <v>813</v>
      </c>
      <c r="F434" s="24">
        <v>1.0</v>
      </c>
      <c r="G434" s="48">
        <v>8.5</v>
      </c>
      <c r="H434" s="26">
        <v>8.5</v>
      </c>
      <c r="I434" s="61" t="s">
        <v>43</v>
      </c>
      <c r="J434" s="50" t="s">
        <v>513</v>
      </c>
      <c r="K434" s="29">
        <v>43606.0</v>
      </c>
      <c r="L434" s="462">
        <v>43677.0</v>
      </c>
      <c r="M434" s="462">
        <v>43601.0</v>
      </c>
      <c r="N434" s="306" t="s">
        <v>1064</v>
      </c>
      <c r="O434" s="497"/>
      <c r="P434" s="462">
        <v>43677.0</v>
      </c>
      <c r="Q434" s="298"/>
      <c r="R434" s="298">
        <v>31.05</v>
      </c>
      <c r="S434" s="299">
        <v>0.0</v>
      </c>
      <c r="T434" s="300">
        <v>43650.0</v>
      </c>
      <c r="U434" s="299"/>
      <c r="V434" s="299"/>
      <c r="W434" s="298" t="s">
        <v>50</v>
      </c>
      <c r="X434" s="82" t="s">
        <v>285</v>
      </c>
      <c r="Y434" s="298" t="s">
        <v>51</v>
      </c>
      <c r="Z434" s="298" t="s">
        <v>52</v>
      </c>
      <c r="AA434" s="459" t="s">
        <v>750</v>
      </c>
    </row>
    <row r="435" ht="15.75" customHeight="1">
      <c r="A435" s="69">
        <v>43598.0</v>
      </c>
      <c r="B435" s="70" t="s">
        <v>373</v>
      </c>
      <c r="C435" s="21">
        <v>2.01905090033E11</v>
      </c>
      <c r="D435" s="21" t="s">
        <v>1066</v>
      </c>
      <c r="E435" s="23" t="s">
        <v>1067</v>
      </c>
      <c r="F435" s="24">
        <v>60.0</v>
      </c>
      <c r="G435" s="48">
        <v>61.95</v>
      </c>
      <c r="H435" s="60">
        <v>3717.0</v>
      </c>
      <c r="I435" s="61" t="s">
        <v>43</v>
      </c>
      <c r="J435" s="63" t="s">
        <v>90</v>
      </c>
      <c r="K435" s="29">
        <v>43606.0</v>
      </c>
      <c r="L435" s="462">
        <v>43646.0</v>
      </c>
      <c r="M435" s="462">
        <v>43605.0</v>
      </c>
      <c r="N435" s="306" t="s">
        <v>1068</v>
      </c>
      <c r="O435" s="306">
        <v>108821.0</v>
      </c>
      <c r="P435" s="462">
        <v>43647.0</v>
      </c>
      <c r="Q435" s="298"/>
      <c r="R435" s="298"/>
      <c r="S435" s="299"/>
      <c r="T435" s="300">
        <v>43647.0</v>
      </c>
      <c r="U435" s="299"/>
      <c r="V435" s="299"/>
      <c r="W435" s="298" t="s">
        <v>50</v>
      </c>
      <c r="X435" s="82" t="s">
        <v>285</v>
      </c>
      <c r="Y435" s="298" t="s">
        <v>51</v>
      </c>
      <c r="Z435" s="298" t="s">
        <v>377</v>
      </c>
      <c r="AA435" s="459" t="s">
        <v>750</v>
      </c>
    </row>
    <row r="436" ht="15.75" customHeight="1">
      <c r="A436" s="69">
        <v>43598.0</v>
      </c>
      <c r="B436" s="70" t="s">
        <v>373</v>
      </c>
      <c r="C436" s="21">
        <v>2.01905090033E11</v>
      </c>
      <c r="D436" s="21" t="s">
        <v>1069</v>
      </c>
      <c r="E436" s="23" t="s">
        <v>1067</v>
      </c>
      <c r="F436" s="24">
        <v>60.0</v>
      </c>
      <c r="G436" s="48">
        <v>61.95</v>
      </c>
      <c r="H436" s="60">
        <v>3717.0</v>
      </c>
      <c r="I436" s="61" t="s">
        <v>43</v>
      </c>
      <c r="J436" s="63" t="s">
        <v>90</v>
      </c>
      <c r="K436" s="29">
        <v>43623.0</v>
      </c>
      <c r="L436" s="462">
        <v>43677.0</v>
      </c>
      <c r="M436" s="462">
        <v>43622.0</v>
      </c>
      <c r="N436" s="306" t="s">
        <v>1070</v>
      </c>
      <c r="O436" s="306">
        <v>110973.0</v>
      </c>
      <c r="P436" s="462">
        <v>43677.0</v>
      </c>
      <c r="Q436" s="298"/>
      <c r="R436" s="298"/>
      <c r="S436" s="299"/>
      <c r="T436" s="300">
        <v>43700.0</v>
      </c>
      <c r="U436" s="299">
        <f>3710.61*31.313</f>
        <v>116190.3309</v>
      </c>
      <c r="V436" s="299">
        <f>(3717-3710.61)*31.313</f>
        <v>200.09007</v>
      </c>
      <c r="W436" s="298" t="s">
        <v>50</v>
      </c>
      <c r="X436" s="298" t="s">
        <v>285</v>
      </c>
      <c r="Y436" s="298" t="s">
        <v>51</v>
      </c>
      <c r="Z436" s="298" t="s">
        <v>377</v>
      </c>
      <c r="AA436" s="234" t="s">
        <v>507</v>
      </c>
    </row>
    <row r="437" ht="15.75" customHeight="1">
      <c r="A437" s="69">
        <v>43600.0</v>
      </c>
      <c r="B437" s="23" t="s">
        <v>406</v>
      </c>
      <c r="C437" s="21">
        <v>7.000147355E9</v>
      </c>
      <c r="D437" s="21" t="s">
        <v>1071</v>
      </c>
      <c r="E437" s="23" t="s">
        <v>1072</v>
      </c>
      <c r="F437" s="24">
        <v>100.0</v>
      </c>
      <c r="G437" s="48">
        <v>138.0</v>
      </c>
      <c r="H437" s="60">
        <v>13800.0</v>
      </c>
      <c r="I437" s="61" t="s">
        <v>43</v>
      </c>
      <c r="J437" s="50" t="s">
        <v>513</v>
      </c>
      <c r="K437" s="29">
        <v>43620.0</v>
      </c>
      <c r="L437" s="351">
        <v>43646.0</v>
      </c>
      <c r="M437" s="351">
        <v>43614.0</v>
      </c>
      <c r="N437" s="352" t="s">
        <v>1073</v>
      </c>
      <c r="O437" s="352">
        <v>423145.0</v>
      </c>
      <c r="P437" s="461">
        <v>43658.0</v>
      </c>
      <c r="Q437" s="82"/>
      <c r="R437" s="82">
        <v>31.455</v>
      </c>
      <c r="S437" s="432"/>
      <c r="T437" s="145">
        <v>43657.0</v>
      </c>
      <c r="U437" s="432">
        <f>14030.99*30.97</f>
        <v>434539.7603</v>
      </c>
      <c r="V437" s="432">
        <f>(14058-14030.99)*30.97</f>
        <v>836.4997</v>
      </c>
      <c r="W437" s="82" t="s">
        <v>50</v>
      </c>
      <c r="X437" s="82" t="s">
        <v>285</v>
      </c>
      <c r="Y437" s="82" t="s">
        <v>51</v>
      </c>
      <c r="Z437" s="82" t="s">
        <v>52</v>
      </c>
      <c r="AA437" s="459" t="s">
        <v>750</v>
      </c>
    </row>
    <row r="438" ht="15.75" customHeight="1">
      <c r="A438" s="69">
        <v>43600.0</v>
      </c>
      <c r="B438" s="70" t="s">
        <v>673</v>
      </c>
      <c r="C438" s="21"/>
      <c r="D438" s="21" t="s">
        <v>1074</v>
      </c>
      <c r="E438" s="23" t="s">
        <v>1075</v>
      </c>
      <c r="F438" s="24">
        <v>5.0</v>
      </c>
      <c r="G438" s="48">
        <v>250.0</v>
      </c>
      <c r="H438" s="60">
        <v>1250.0</v>
      </c>
      <c r="I438" s="61" t="s">
        <v>171</v>
      </c>
      <c r="J438" s="161" t="s">
        <v>676</v>
      </c>
      <c r="K438" s="29">
        <v>43619.0</v>
      </c>
      <c r="L438" s="302">
        <v>43602.0</v>
      </c>
      <c r="M438" s="302">
        <v>43614.0</v>
      </c>
      <c r="N438" s="296" t="s">
        <v>1076</v>
      </c>
      <c r="O438" s="296">
        <v>107901.0</v>
      </c>
      <c r="P438" s="295">
        <v>43602.0</v>
      </c>
      <c r="Q438" s="371"/>
      <c r="R438" s="371">
        <v>31.455</v>
      </c>
      <c r="S438" s="372"/>
      <c r="T438" s="373">
        <v>43615.0</v>
      </c>
      <c r="U438" s="372">
        <f>3743.66*31.57</f>
        <v>118187.3462</v>
      </c>
      <c r="V438" s="372">
        <f>6.34*31.57</f>
        <v>200.1538</v>
      </c>
      <c r="W438" s="371" t="s">
        <v>50</v>
      </c>
      <c r="X438" s="371" t="s">
        <v>285</v>
      </c>
      <c r="Y438" s="371" t="s">
        <v>51</v>
      </c>
      <c r="Z438" s="371" t="s">
        <v>52</v>
      </c>
      <c r="AA438" s="374" t="s">
        <v>440</v>
      </c>
    </row>
    <row r="439" ht="15.75" customHeight="1">
      <c r="A439" s="69">
        <v>43600.0</v>
      </c>
      <c r="B439" s="70" t="s">
        <v>1030</v>
      </c>
      <c r="C439" s="21">
        <v>1.900018E7</v>
      </c>
      <c r="D439" s="21" t="s">
        <v>1077</v>
      </c>
      <c r="E439" s="23" t="s">
        <v>1078</v>
      </c>
      <c r="F439" s="24">
        <v>1.0</v>
      </c>
      <c r="G439" s="48">
        <v>150.5</v>
      </c>
      <c r="H439" s="60">
        <v>150.5</v>
      </c>
      <c r="I439" s="61" t="s">
        <v>303</v>
      </c>
      <c r="J439" s="50" t="s">
        <v>869</v>
      </c>
      <c r="K439" s="29">
        <v>43608.0</v>
      </c>
      <c r="L439" s="462">
        <v>43646.0</v>
      </c>
      <c r="M439" s="462">
        <v>43607.0</v>
      </c>
      <c r="N439" s="306" t="s">
        <v>1079</v>
      </c>
      <c r="O439" s="306">
        <v>40694.0</v>
      </c>
      <c r="P439" s="462">
        <v>43647.0</v>
      </c>
      <c r="Q439" s="298"/>
      <c r="R439" s="298">
        <v>31.05</v>
      </c>
      <c r="S439" s="299">
        <f>1394.5*31.05</f>
        <v>43299.225</v>
      </c>
      <c r="T439" s="300">
        <v>43643.0</v>
      </c>
      <c r="U439" s="299"/>
      <c r="V439" s="299"/>
      <c r="W439" s="298" t="s">
        <v>50</v>
      </c>
      <c r="X439" s="82" t="s">
        <v>285</v>
      </c>
      <c r="Y439" s="298" t="s">
        <v>51</v>
      </c>
      <c r="Z439" s="298" t="s">
        <v>52</v>
      </c>
      <c r="AA439" s="459" t="s">
        <v>750</v>
      </c>
    </row>
    <row r="440" ht="15.75" customHeight="1">
      <c r="A440" s="69">
        <v>43600.0</v>
      </c>
      <c r="B440" s="70" t="s">
        <v>1030</v>
      </c>
      <c r="C440" s="21">
        <v>1.900018E7</v>
      </c>
      <c r="D440" s="21" t="s">
        <v>1077</v>
      </c>
      <c r="E440" s="23" t="s">
        <v>1080</v>
      </c>
      <c r="F440" s="24">
        <v>1.0</v>
      </c>
      <c r="G440" s="48">
        <v>84.0</v>
      </c>
      <c r="H440" s="60">
        <v>84.0</v>
      </c>
      <c r="I440" s="61" t="s">
        <v>303</v>
      </c>
      <c r="J440" s="50" t="s">
        <v>869</v>
      </c>
      <c r="K440" s="29">
        <v>43608.0</v>
      </c>
      <c r="L440" s="462">
        <v>43646.0</v>
      </c>
      <c r="M440" s="462">
        <v>43607.0</v>
      </c>
      <c r="N440" s="306" t="s">
        <v>1079</v>
      </c>
      <c r="O440" s="306"/>
      <c r="P440" s="462">
        <v>43647.0</v>
      </c>
      <c r="Q440" s="298"/>
      <c r="R440" s="298">
        <v>31.05</v>
      </c>
      <c r="S440" s="299">
        <v>0.0</v>
      </c>
      <c r="T440" s="300">
        <v>43643.0</v>
      </c>
      <c r="U440" s="299"/>
      <c r="V440" s="299"/>
      <c r="W440" s="298" t="s">
        <v>50</v>
      </c>
      <c r="X440" s="82" t="s">
        <v>285</v>
      </c>
      <c r="Y440" s="298" t="s">
        <v>51</v>
      </c>
      <c r="Z440" s="298" t="s">
        <v>52</v>
      </c>
      <c r="AA440" s="459" t="s">
        <v>750</v>
      </c>
    </row>
    <row r="441" ht="15.75" customHeight="1">
      <c r="A441" s="69">
        <v>43600.0</v>
      </c>
      <c r="B441" s="70" t="s">
        <v>1030</v>
      </c>
      <c r="C441" s="21">
        <v>1.900018E7</v>
      </c>
      <c r="D441" s="21" t="s">
        <v>1077</v>
      </c>
      <c r="E441" s="23" t="s">
        <v>1081</v>
      </c>
      <c r="F441" s="24">
        <v>2.0</v>
      </c>
      <c r="G441" s="48">
        <v>113.0</v>
      </c>
      <c r="H441" s="60">
        <v>226.0</v>
      </c>
      <c r="I441" s="61" t="s">
        <v>303</v>
      </c>
      <c r="J441" s="50" t="s">
        <v>869</v>
      </c>
      <c r="K441" s="29">
        <v>43608.0</v>
      </c>
      <c r="L441" s="462">
        <v>43646.0</v>
      </c>
      <c r="M441" s="462">
        <v>43607.0</v>
      </c>
      <c r="N441" s="306" t="s">
        <v>1079</v>
      </c>
      <c r="O441" s="306"/>
      <c r="P441" s="462">
        <v>43647.0</v>
      </c>
      <c r="Q441" s="298"/>
      <c r="R441" s="298">
        <v>31.05</v>
      </c>
      <c r="S441" s="299">
        <v>0.0</v>
      </c>
      <c r="T441" s="300">
        <v>43643.0</v>
      </c>
      <c r="U441" s="299"/>
      <c r="V441" s="299"/>
      <c r="W441" s="298" t="s">
        <v>50</v>
      </c>
      <c r="X441" s="82" t="s">
        <v>285</v>
      </c>
      <c r="Y441" s="298" t="s">
        <v>51</v>
      </c>
      <c r="Z441" s="298" t="s">
        <v>52</v>
      </c>
      <c r="AA441" s="459" t="s">
        <v>750</v>
      </c>
    </row>
    <row r="442" ht="15.75" customHeight="1">
      <c r="A442" s="69">
        <v>43600.0</v>
      </c>
      <c r="B442" s="70" t="s">
        <v>1030</v>
      </c>
      <c r="C442" s="21">
        <v>1.900018E7</v>
      </c>
      <c r="D442" s="21" t="s">
        <v>1077</v>
      </c>
      <c r="E442" s="23" t="s">
        <v>1082</v>
      </c>
      <c r="F442" s="24">
        <v>2.0</v>
      </c>
      <c r="G442" s="48">
        <v>409.0</v>
      </c>
      <c r="H442" s="60">
        <v>818.0</v>
      </c>
      <c r="I442" s="61" t="s">
        <v>303</v>
      </c>
      <c r="J442" s="50" t="s">
        <v>869</v>
      </c>
      <c r="K442" s="29">
        <v>43608.0</v>
      </c>
      <c r="L442" s="462">
        <v>43646.0</v>
      </c>
      <c r="M442" s="462">
        <v>43607.0</v>
      </c>
      <c r="N442" s="306" t="s">
        <v>1079</v>
      </c>
      <c r="O442" s="306"/>
      <c r="P442" s="462">
        <v>43647.0</v>
      </c>
      <c r="Q442" s="298"/>
      <c r="R442" s="298">
        <v>31.05</v>
      </c>
      <c r="S442" s="299">
        <v>0.0</v>
      </c>
      <c r="T442" s="300">
        <v>43643.0</v>
      </c>
      <c r="U442" s="299"/>
      <c r="V442" s="299"/>
      <c r="W442" s="298" t="s">
        <v>50</v>
      </c>
      <c r="X442" s="82" t="s">
        <v>285</v>
      </c>
      <c r="Y442" s="298" t="s">
        <v>51</v>
      </c>
      <c r="Z442" s="298" t="s">
        <v>52</v>
      </c>
      <c r="AA442" s="459" t="s">
        <v>750</v>
      </c>
    </row>
    <row r="443" ht="15.75" customHeight="1">
      <c r="A443" s="69">
        <v>43600.0</v>
      </c>
      <c r="B443" s="70" t="s">
        <v>1030</v>
      </c>
      <c r="C443" s="21">
        <v>1.900018E7</v>
      </c>
      <c r="D443" s="21" t="s">
        <v>1077</v>
      </c>
      <c r="E443" s="23" t="s">
        <v>1083</v>
      </c>
      <c r="F443" s="24">
        <v>4.0</v>
      </c>
      <c r="G443" s="48">
        <v>29.0</v>
      </c>
      <c r="H443" s="60">
        <v>116.0</v>
      </c>
      <c r="I443" s="61" t="s">
        <v>303</v>
      </c>
      <c r="J443" s="50" t="s">
        <v>869</v>
      </c>
      <c r="K443" s="29">
        <v>43608.0</v>
      </c>
      <c r="L443" s="462">
        <v>43646.0</v>
      </c>
      <c r="M443" s="462">
        <v>43607.0</v>
      </c>
      <c r="N443" s="306" t="s">
        <v>1079</v>
      </c>
      <c r="O443" s="306"/>
      <c r="P443" s="462">
        <v>43647.0</v>
      </c>
      <c r="Q443" s="298"/>
      <c r="R443" s="298">
        <v>31.05</v>
      </c>
      <c r="S443" s="299">
        <v>0.0</v>
      </c>
      <c r="T443" s="300">
        <v>43643.0</v>
      </c>
      <c r="U443" s="299"/>
      <c r="V443" s="299"/>
      <c r="W443" s="298" t="s">
        <v>50</v>
      </c>
      <c r="X443" s="82" t="s">
        <v>285</v>
      </c>
      <c r="Y443" s="298" t="s">
        <v>51</v>
      </c>
      <c r="Z443" s="298" t="s">
        <v>52</v>
      </c>
      <c r="AA443" s="459" t="s">
        <v>750</v>
      </c>
    </row>
    <row r="444" ht="15.75" customHeight="1">
      <c r="A444" s="69">
        <v>43602.0</v>
      </c>
      <c r="B444" s="70" t="s">
        <v>673</v>
      </c>
      <c r="C444" s="21"/>
      <c r="D444" s="21" t="s">
        <v>1084</v>
      </c>
      <c r="E444" s="23" t="s">
        <v>1075</v>
      </c>
      <c r="F444" s="24">
        <v>10.0</v>
      </c>
      <c r="G444" s="48">
        <v>250.0</v>
      </c>
      <c r="H444" s="60">
        <v>2500.0</v>
      </c>
      <c r="I444" s="61" t="s">
        <v>171</v>
      </c>
      <c r="J444" s="161" t="s">
        <v>676</v>
      </c>
      <c r="K444" s="29">
        <v>43619.0</v>
      </c>
      <c r="L444" s="302">
        <v>43602.0</v>
      </c>
      <c r="M444" s="302">
        <v>43614.0</v>
      </c>
      <c r="N444" s="296" t="s">
        <v>1076</v>
      </c>
      <c r="O444" s="296">
        <v>107901.0</v>
      </c>
      <c r="P444" s="295">
        <v>43608.0</v>
      </c>
      <c r="Q444" s="371"/>
      <c r="R444" s="371">
        <v>31.455</v>
      </c>
      <c r="S444" s="372"/>
      <c r="T444" s="373">
        <v>43615.0</v>
      </c>
      <c r="U444" s="372"/>
      <c r="V444" s="372">
        <v>0.0</v>
      </c>
      <c r="W444" s="371" t="s">
        <v>50</v>
      </c>
      <c r="X444" s="371" t="s">
        <v>285</v>
      </c>
      <c r="Y444" s="371" t="s">
        <v>51</v>
      </c>
      <c r="Z444" s="371" t="s">
        <v>52</v>
      </c>
      <c r="AA444" s="374" t="s">
        <v>440</v>
      </c>
    </row>
    <row r="445" ht="15.75" customHeight="1">
      <c r="A445" s="69">
        <v>43602.0</v>
      </c>
      <c r="B445" s="70" t="s">
        <v>1085</v>
      </c>
      <c r="C445" s="21" t="s">
        <v>1086</v>
      </c>
      <c r="D445" s="21" t="s">
        <v>1087</v>
      </c>
      <c r="E445" s="23" t="s">
        <v>1088</v>
      </c>
      <c r="F445" s="24">
        <v>1.0</v>
      </c>
      <c r="G445" s="48">
        <v>155.4</v>
      </c>
      <c r="H445" s="60">
        <v>155.4</v>
      </c>
      <c r="I445" s="61" t="s">
        <v>248</v>
      </c>
      <c r="J445" s="161" t="s">
        <v>1089</v>
      </c>
      <c r="K445" s="29">
        <v>43608.0</v>
      </c>
      <c r="L445" s="296"/>
      <c r="M445" s="296"/>
      <c r="N445" s="296"/>
      <c r="O445" s="296"/>
      <c r="P445" s="296"/>
      <c r="Q445" s="371"/>
      <c r="R445" s="371"/>
      <c r="S445" s="372"/>
      <c r="T445" s="373">
        <v>43621.0</v>
      </c>
      <c r="U445" s="372">
        <v>4900.0</v>
      </c>
      <c r="V445" s="372">
        <v>0.0</v>
      </c>
      <c r="W445" s="371" t="s">
        <v>50</v>
      </c>
      <c r="X445" s="371" t="s">
        <v>285</v>
      </c>
      <c r="Y445" s="371" t="s">
        <v>51</v>
      </c>
      <c r="Z445" s="371" t="s">
        <v>377</v>
      </c>
      <c r="AA445" s="374" t="s">
        <v>440</v>
      </c>
    </row>
    <row r="446" ht="15.75" customHeight="1">
      <c r="A446" s="69">
        <v>43605.0</v>
      </c>
      <c r="B446" s="70" t="s">
        <v>223</v>
      </c>
      <c r="C446" s="21" t="s">
        <v>1090</v>
      </c>
      <c r="D446" s="21" t="s">
        <v>1091</v>
      </c>
      <c r="E446" s="23" t="s">
        <v>1092</v>
      </c>
      <c r="F446" s="24">
        <v>3.0</v>
      </c>
      <c r="G446" s="48">
        <v>22.35333333</v>
      </c>
      <c r="H446" s="60">
        <v>67.06</v>
      </c>
      <c r="I446" s="61" t="s">
        <v>248</v>
      </c>
      <c r="J446" s="63" t="s">
        <v>90</v>
      </c>
      <c r="K446" s="29">
        <v>43609.0</v>
      </c>
      <c r="L446" s="462">
        <v>43677.0</v>
      </c>
      <c r="M446" s="462">
        <v>43634.0</v>
      </c>
      <c r="N446" s="306" t="s">
        <v>1093</v>
      </c>
      <c r="O446" s="306">
        <v>1909.0</v>
      </c>
      <c r="P446" s="462">
        <v>43677.0</v>
      </c>
      <c r="Q446" s="298"/>
      <c r="R446" s="298"/>
      <c r="S446" s="299"/>
      <c r="T446" s="300">
        <v>43649.0</v>
      </c>
      <c r="U446" s="299">
        <v>2114.0</v>
      </c>
      <c r="V446" s="299">
        <v>0.0</v>
      </c>
      <c r="W446" s="298" t="s">
        <v>50</v>
      </c>
      <c r="X446" s="82" t="s">
        <v>285</v>
      </c>
      <c r="Y446" s="298" t="s">
        <v>51</v>
      </c>
      <c r="Z446" s="298" t="s">
        <v>377</v>
      </c>
      <c r="AA446" s="459" t="s">
        <v>750</v>
      </c>
    </row>
    <row r="447" ht="15.75" customHeight="1">
      <c r="A447" s="69">
        <v>43606.0</v>
      </c>
      <c r="B447" s="70" t="s">
        <v>101</v>
      </c>
      <c r="C447" s="21" t="s">
        <v>1015</v>
      </c>
      <c r="D447" s="21" t="s">
        <v>1094</v>
      </c>
      <c r="E447" s="23" t="s">
        <v>347</v>
      </c>
      <c r="F447" s="24">
        <v>1.0</v>
      </c>
      <c r="G447" s="47">
        <v>92.0</v>
      </c>
      <c r="H447" s="60">
        <v>92.0</v>
      </c>
      <c r="I447" s="61" t="s">
        <v>303</v>
      </c>
      <c r="J447" s="50" t="s">
        <v>1018</v>
      </c>
      <c r="K447" s="300">
        <v>43606.0</v>
      </c>
      <c r="L447" s="462">
        <v>43646.0</v>
      </c>
      <c r="M447" s="462">
        <v>43609.0</v>
      </c>
      <c r="N447" s="306" t="s">
        <v>1095</v>
      </c>
      <c r="O447" s="306">
        <v>2412.0</v>
      </c>
      <c r="P447" s="462">
        <v>43665.0</v>
      </c>
      <c r="Q447" s="298"/>
      <c r="R447" s="298"/>
      <c r="S447" s="299"/>
      <c r="T447" s="300">
        <v>43663.0</v>
      </c>
      <c r="U447" s="299">
        <f>9335.55*31.02</f>
        <v>289588.761</v>
      </c>
      <c r="V447" s="299">
        <f>26.45*31.02</f>
        <v>820.479</v>
      </c>
      <c r="W447" s="298" t="s">
        <v>50</v>
      </c>
      <c r="X447" s="82" t="s">
        <v>285</v>
      </c>
      <c r="Y447" s="298" t="s">
        <v>51</v>
      </c>
      <c r="Z447" s="298" t="s">
        <v>52</v>
      </c>
      <c r="AA447" s="459" t="s">
        <v>750</v>
      </c>
    </row>
    <row r="448" ht="15.75" customHeight="1">
      <c r="A448" s="69">
        <v>43606.0</v>
      </c>
      <c r="B448" s="70" t="s">
        <v>77</v>
      </c>
      <c r="C448" s="21">
        <v>385.0</v>
      </c>
      <c r="D448" s="21" t="s">
        <v>1096</v>
      </c>
      <c r="E448" s="23" t="s">
        <v>1097</v>
      </c>
      <c r="F448" s="24">
        <v>50.0</v>
      </c>
      <c r="G448" s="48">
        <v>2.7</v>
      </c>
      <c r="H448" s="60">
        <v>135.0</v>
      </c>
      <c r="I448" s="87" t="s">
        <v>43</v>
      </c>
      <c r="J448" s="58" t="s">
        <v>1098</v>
      </c>
      <c r="K448" s="29">
        <v>43622.0</v>
      </c>
      <c r="L448" s="462">
        <v>43651.0</v>
      </c>
      <c r="M448" s="462">
        <v>43620.0</v>
      </c>
      <c r="N448" s="306" t="s">
        <v>1099</v>
      </c>
      <c r="O448" s="306">
        <v>3150.0</v>
      </c>
      <c r="P448" s="462">
        <v>43654.0</v>
      </c>
      <c r="Q448" s="298"/>
      <c r="R448" s="298"/>
      <c r="S448" s="299"/>
      <c r="T448" s="300">
        <v>43649.0</v>
      </c>
      <c r="U448" s="299">
        <f>135*31.04</f>
        <v>4190.4</v>
      </c>
      <c r="V448" s="299">
        <v>0.0</v>
      </c>
      <c r="W448" s="298" t="s">
        <v>50</v>
      </c>
      <c r="X448" s="82" t="s">
        <v>285</v>
      </c>
      <c r="Y448" s="298" t="s">
        <v>51</v>
      </c>
      <c r="Z448" s="298" t="s">
        <v>52</v>
      </c>
      <c r="AA448" s="459" t="s">
        <v>750</v>
      </c>
    </row>
    <row r="449" ht="15.75" customHeight="1">
      <c r="A449" s="69">
        <v>43608.0</v>
      </c>
      <c r="B449" s="23" t="s">
        <v>406</v>
      </c>
      <c r="C449" s="21">
        <v>7.000147355E9</v>
      </c>
      <c r="D449" s="21" t="s">
        <v>1071</v>
      </c>
      <c r="E449" s="23" t="s">
        <v>684</v>
      </c>
      <c r="F449" s="24">
        <v>2.0</v>
      </c>
      <c r="G449" s="48">
        <v>129.0</v>
      </c>
      <c r="H449" s="60">
        <v>258.0</v>
      </c>
      <c r="I449" s="87" t="s">
        <v>43</v>
      </c>
      <c r="J449" s="50" t="s">
        <v>513</v>
      </c>
      <c r="K449" s="29">
        <v>43620.0</v>
      </c>
      <c r="L449" s="462">
        <v>43708.0</v>
      </c>
      <c r="M449" s="462">
        <v>43614.0</v>
      </c>
      <c r="N449" s="306" t="s">
        <v>1100</v>
      </c>
      <c r="O449" s="306">
        <v>7222.0</v>
      </c>
      <c r="P449" s="462">
        <v>43710.0</v>
      </c>
      <c r="Q449" s="298"/>
      <c r="R449" s="298">
        <v>31.455</v>
      </c>
      <c r="S449" s="299"/>
      <c r="T449" s="300">
        <v>43657.0</v>
      </c>
      <c r="U449" s="299"/>
      <c r="V449" s="299"/>
      <c r="W449" s="298" t="s">
        <v>50</v>
      </c>
      <c r="X449" s="82" t="s">
        <v>285</v>
      </c>
      <c r="Y449" s="298" t="s">
        <v>51</v>
      </c>
      <c r="Z449" s="298" t="s">
        <v>52</v>
      </c>
      <c r="AA449" s="459" t="s">
        <v>750</v>
      </c>
    </row>
    <row r="450" ht="15.75" customHeight="1">
      <c r="A450" s="69">
        <v>43608.0</v>
      </c>
      <c r="B450" s="70" t="s">
        <v>229</v>
      </c>
      <c r="C450" s="21" t="s">
        <v>1101</v>
      </c>
      <c r="D450" s="21" t="s">
        <v>1102</v>
      </c>
      <c r="E450" s="23" t="s">
        <v>232</v>
      </c>
      <c r="F450" s="24">
        <v>15.0</v>
      </c>
      <c r="G450" s="48">
        <v>407.4</v>
      </c>
      <c r="H450" s="60">
        <v>6111.0</v>
      </c>
      <c r="I450" s="61" t="s">
        <v>171</v>
      </c>
      <c r="J450" s="63" t="s">
        <v>233</v>
      </c>
      <c r="K450" s="29">
        <v>43629.0</v>
      </c>
      <c r="L450" s="462">
        <v>43677.0</v>
      </c>
      <c r="M450" s="462">
        <v>43628.0</v>
      </c>
      <c r="N450" s="306" t="s">
        <v>1103</v>
      </c>
      <c r="O450" s="306">
        <v>183599.0</v>
      </c>
      <c r="P450" s="462">
        <v>43677.0</v>
      </c>
      <c r="Q450" s="298"/>
      <c r="R450" s="298"/>
      <c r="S450" s="299"/>
      <c r="T450" s="298" t="s">
        <v>1104</v>
      </c>
      <c r="U450" s="299">
        <f>170334+32231</f>
        <v>202565</v>
      </c>
      <c r="V450" s="299">
        <v>0.0</v>
      </c>
      <c r="W450" s="298" t="s">
        <v>50</v>
      </c>
      <c r="X450" s="298" t="s">
        <v>285</v>
      </c>
      <c r="Y450" s="298" t="s">
        <v>51</v>
      </c>
      <c r="Z450" s="298" t="s">
        <v>377</v>
      </c>
      <c r="AA450" s="234" t="s">
        <v>507</v>
      </c>
    </row>
    <row r="451" ht="15.75" customHeight="1">
      <c r="A451" s="69">
        <v>43608.0</v>
      </c>
      <c r="B451" s="70" t="s">
        <v>229</v>
      </c>
      <c r="C451" s="21" t="s">
        <v>1101</v>
      </c>
      <c r="D451" s="21" t="s">
        <v>1102</v>
      </c>
      <c r="E451" s="23" t="s">
        <v>736</v>
      </c>
      <c r="F451" s="24">
        <v>1.0</v>
      </c>
      <c r="G451" s="436">
        <v>336.0</v>
      </c>
      <c r="H451" s="60">
        <v>336.0</v>
      </c>
      <c r="I451" s="61" t="s">
        <v>171</v>
      </c>
      <c r="J451" s="63" t="s">
        <v>233</v>
      </c>
      <c r="K451" s="29">
        <v>43629.0</v>
      </c>
      <c r="L451" s="462">
        <v>43677.0</v>
      </c>
      <c r="M451" s="462">
        <v>43628.0</v>
      </c>
      <c r="N451" s="306" t="s">
        <v>1103</v>
      </c>
      <c r="O451" s="306"/>
      <c r="P451" s="462">
        <v>43677.0</v>
      </c>
      <c r="Q451" s="298"/>
      <c r="R451" s="298"/>
      <c r="S451" s="299"/>
      <c r="T451" s="300">
        <v>43683.0</v>
      </c>
      <c r="U451" s="299"/>
      <c r="V451" s="299">
        <v>0.0</v>
      </c>
      <c r="W451" s="298" t="s">
        <v>50</v>
      </c>
      <c r="X451" s="298" t="s">
        <v>285</v>
      </c>
      <c r="Y451" s="298" t="s">
        <v>51</v>
      </c>
      <c r="Z451" s="298" t="s">
        <v>377</v>
      </c>
      <c r="AA451" s="234" t="s">
        <v>507</v>
      </c>
    </row>
    <row r="452" ht="15.75" customHeight="1">
      <c r="A452" s="69">
        <v>43608.0</v>
      </c>
      <c r="B452" s="70" t="s">
        <v>591</v>
      </c>
      <c r="C452" s="21">
        <v>64505.0</v>
      </c>
      <c r="D452" s="21" t="s">
        <v>1105</v>
      </c>
      <c r="E452" s="23" t="s">
        <v>1106</v>
      </c>
      <c r="F452" s="24">
        <v>2.0</v>
      </c>
      <c r="G452" s="436">
        <v>515.0</v>
      </c>
      <c r="H452" s="498">
        <v>1030.0</v>
      </c>
      <c r="I452" s="61" t="s">
        <v>303</v>
      </c>
      <c r="J452" s="63" t="s">
        <v>594</v>
      </c>
      <c r="K452" s="30">
        <v>43634.0</v>
      </c>
      <c r="L452" s="302">
        <v>43646.0</v>
      </c>
      <c r="M452" s="302">
        <v>43628.0</v>
      </c>
      <c r="N452" s="296" t="s">
        <v>1107</v>
      </c>
      <c r="O452" s="296">
        <v>36291.0</v>
      </c>
      <c r="P452" s="302">
        <v>43647.0</v>
      </c>
      <c r="Q452" s="371"/>
      <c r="R452" s="371">
        <v>31.325</v>
      </c>
      <c r="S452" s="372"/>
      <c r="T452" s="373">
        <v>43630.0</v>
      </c>
      <c r="U452" s="372"/>
      <c r="V452" s="372"/>
      <c r="W452" s="371" t="s">
        <v>50</v>
      </c>
      <c r="X452" s="371" t="s">
        <v>285</v>
      </c>
      <c r="Y452" s="371" t="s">
        <v>51</v>
      </c>
      <c r="Z452" s="371" t="s">
        <v>52</v>
      </c>
      <c r="AA452" s="374" t="s">
        <v>440</v>
      </c>
    </row>
    <row r="453" ht="15.75" customHeight="1">
      <c r="A453" s="69">
        <v>43608.0</v>
      </c>
      <c r="B453" s="70" t="s">
        <v>591</v>
      </c>
      <c r="C453" s="21">
        <v>64505.0</v>
      </c>
      <c r="D453" s="21" t="s">
        <v>1105</v>
      </c>
      <c r="E453" s="23" t="s">
        <v>1108</v>
      </c>
      <c r="F453" s="24">
        <v>2.0</v>
      </c>
      <c r="G453" s="436">
        <v>21.0</v>
      </c>
      <c r="H453" s="498">
        <v>42.0</v>
      </c>
      <c r="I453" s="61" t="s">
        <v>303</v>
      </c>
      <c r="J453" s="63" t="s">
        <v>594</v>
      </c>
      <c r="K453" s="30">
        <v>43634.0</v>
      </c>
      <c r="L453" s="302">
        <v>43646.0</v>
      </c>
      <c r="M453" s="302">
        <v>43628.0</v>
      </c>
      <c r="N453" s="296" t="s">
        <v>1107</v>
      </c>
      <c r="O453" s="296"/>
      <c r="P453" s="302">
        <v>43647.0</v>
      </c>
      <c r="Q453" s="371"/>
      <c r="R453" s="371">
        <v>31.325</v>
      </c>
      <c r="S453" s="372"/>
      <c r="T453" s="373">
        <v>43630.0</v>
      </c>
      <c r="U453" s="372"/>
      <c r="V453" s="372"/>
      <c r="W453" s="371" t="s">
        <v>50</v>
      </c>
      <c r="X453" s="371" t="s">
        <v>285</v>
      </c>
      <c r="Y453" s="371" t="s">
        <v>51</v>
      </c>
      <c r="Z453" s="371" t="s">
        <v>52</v>
      </c>
      <c r="AA453" s="374" t="s">
        <v>440</v>
      </c>
    </row>
    <row r="454" ht="15.75" customHeight="1">
      <c r="A454" s="69">
        <v>43608.0</v>
      </c>
      <c r="B454" s="70" t="s">
        <v>591</v>
      </c>
      <c r="C454" s="21">
        <v>64505.0</v>
      </c>
      <c r="D454" s="21" t="s">
        <v>1105</v>
      </c>
      <c r="E454" s="23" t="s">
        <v>1109</v>
      </c>
      <c r="F454" s="24">
        <v>2.0</v>
      </c>
      <c r="G454" s="436">
        <v>55.0</v>
      </c>
      <c r="H454" s="498">
        <v>110.0</v>
      </c>
      <c r="I454" s="61" t="s">
        <v>303</v>
      </c>
      <c r="J454" s="63" t="s">
        <v>594</v>
      </c>
      <c r="K454" s="30">
        <v>43634.0</v>
      </c>
      <c r="L454" s="302">
        <v>43646.0</v>
      </c>
      <c r="M454" s="302">
        <v>43628.0</v>
      </c>
      <c r="N454" s="296" t="s">
        <v>1107</v>
      </c>
      <c r="O454" s="296"/>
      <c r="P454" s="302">
        <v>43647.0</v>
      </c>
      <c r="Q454" s="371"/>
      <c r="R454" s="371">
        <v>31.325</v>
      </c>
      <c r="S454" s="372"/>
      <c r="T454" s="373">
        <v>43630.0</v>
      </c>
      <c r="U454" s="372"/>
      <c r="V454" s="372"/>
      <c r="W454" s="371" t="s">
        <v>50</v>
      </c>
      <c r="X454" s="371" t="s">
        <v>285</v>
      </c>
      <c r="Y454" s="371" t="s">
        <v>51</v>
      </c>
      <c r="Z454" s="371" t="s">
        <v>52</v>
      </c>
      <c r="AA454" s="57"/>
    </row>
    <row r="455" ht="15.75" customHeight="1">
      <c r="A455" s="69">
        <v>43608.0</v>
      </c>
      <c r="B455" s="70" t="s">
        <v>591</v>
      </c>
      <c r="C455" s="21">
        <v>64505.0</v>
      </c>
      <c r="D455" s="21" t="s">
        <v>1105</v>
      </c>
      <c r="E455" s="23" t="s">
        <v>1110</v>
      </c>
      <c r="F455" s="24">
        <v>2.0</v>
      </c>
      <c r="G455" s="436">
        <v>32.0</v>
      </c>
      <c r="H455" s="498">
        <v>64.0</v>
      </c>
      <c r="I455" s="61" t="s">
        <v>303</v>
      </c>
      <c r="J455" s="63" t="s">
        <v>594</v>
      </c>
      <c r="K455" s="30">
        <v>43634.0</v>
      </c>
      <c r="L455" s="302">
        <v>43646.0</v>
      </c>
      <c r="M455" s="302">
        <v>43628.0</v>
      </c>
      <c r="N455" s="296" t="s">
        <v>1107</v>
      </c>
      <c r="O455" s="296"/>
      <c r="P455" s="302">
        <v>43647.0</v>
      </c>
      <c r="Q455" s="371"/>
      <c r="R455" s="371">
        <v>31.325</v>
      </c>
      <c r="S455" s="372"/>
      <c r="T455" s="373">
        <v>43630.0</v>
      </c>
      <c r="U455" s="372"/>
      <c r="V455" s="372"/>
      <c r="W455" s="371" t="s">
        <v>50</v>
      </c>
      <c r="X455" s="371" t="s">
        <v>285</v>
      </c>
      <c r="Y455" s="371" t="s">
        <v>51</v>
      </c>
      <c r="Z455" s="371" t="s">
        <v>52</v>
      </c>
      <c r="AA455" s="374" t="s">
        <v>440</v>
      </c>
    </row>
    <row r="456" ht="15.75" customHeight="1">
      <c r="A456" s="69">
        <v>43608.0</v>
      </c>
      <c r="B456" s="70" t="s">
        <v>591</v>
      </c>
      <c r="C456" s="21">
        <v>64505.0</v>
      </c>
      <c r="D456" s="21" t="s">
        <v>1105</v>
      </c>
      <c r="E456" s="23" t="s">
        <v>1111</v>
      </c>
      <c r="F456" s="24">
        <v>1.0</v>
      </c>
      <c r="G456" s="436">
        <v>40.0</v>
      </c>
      <c r="H456" s="498">
        <v>40.0</v>
      </c>
      <c r="I456" s="61" t="s">
        <v>303</v>
      </c>
      <c r="J456" s="63" t="s">
        <v>594</v>
      </c>
      <c r="K456" s="30">
        <v>43634.0</v>
      </c>
      <c r="L456" s="52"/>
      <c r="M456" s="53"/>
      <c r="N456" s="53"/>
      <c r="O456" s="53"/>
      <c r="P456" s="53"/>
      <c r="Q456" s="54"/>
      <c r="R456" s="54">
        <v>31.325</v>
      </c>
      <c r="S456" s="55"/>
      <c r="T456" s="56">
        <v>43630.0</v>
      </c>
      <c r="U456" s="55"/>
      <c r="V456" s="55"/>
      <c r="W456" s="54" t="s">
        <v>50</v>
      </c>
      <c r="X456" s="54" t="s">
        <v>285</v>
      </c>
      <c r="Y456" s="54" t="s">
        <v>51</v>
      </c>
      <c r="Z456" s="54" t="s">
        <v>52</v>
      </c>
      <c r="AA456" s="57"/>
    </row>
    <row r="457" ht="15.75" customHeight="1">
      <c r="A457" s="69">
        <v>43609.0</v>
      </c>
      <c r="B457" s="70" t="s">
        <v>1112</v>
      </c>
      <c r="C457" s="21"/>
      <c r="D457" s="21" t="s">
        <v>1113</v>
      </c>
      <c r="E457" s="499" t="s">
        <v>1114</v>
      </c>
      <c r="F457" s="24">
        <v>4.0</v>
      </c>
      <c r="G457" s="48">
        <v>42.0</v>
      </c>
      <c r="H457" s="60">
        <v>168.0</v>
      </c>
      <c r="I457" s="61" t="s">
        <v>248</v>
      </c>
      <c r="J457" s="63" t="s">
        <v>263</v>
      </c>
      <c r="K457" s="30">
        <v>43630.0</v>
      </c>
      <c r="L457" s="302">
        <v>43708.0</v>
      </c>
      <c r="M457" s="302">
        <v>43614.0</v>
      </c>
      <c r="N457" s="296" t="s">
        <v>1115</v>
      </c>
      <c r="O457" s="296">
        <v>25326.0</v>
      </c>
      <c r="P457" s="302">
        <v>43710.0</v>
      </c>
      <c r="Q457" s="371"/>
      <c r="R457" s="371">
        <v>31.325</v>
      </c>
      <c r="S457" s="372"/>
      <c r="T457" s="373">
        <v>43613.0</v>
      </c>
      <c r="U457" s="372">
        <f>898.64*31.467</f>
        <v>28277.50488</v>
      </c>
      <c r="V457" s="372">
        <f>(916-898.64)*31.467</f>
        <v>546.26712</v>
      </c>
      <c r="W457" s="371" t="s">
        <v>50</v>
      </c>
      <c r="X457" s="371" t="s">
        <v>285</v>
      </c>
      <c r="Y457" s="371" t="s">
        <v>51</v>
      </c>
      <c r="Z457" s="371" t="s">
        <v>52</v>
      </c>
      <c r="AA457" s="374" t="s">
        <v>440</v>
      </c>
    </row>
    <row r="458" ht="15.75" customHeight="1">
      <c r="A458" s="69">
        <v>43609.0</v>
      </c>
      <c r="B458" s="76" t="s">
        <v>1112</v>
      </c>
      <c r="C458" s="21"/>
      <c r="D458" s="21" t="s">
        <v>1113</v>
      </c>
      <c r="E458" s="500" t="s">
        <v>1116</v>
      </c>
      <c r="F458" s="24">
        <v>1.0</v>
      </c>
      <c r="G458" s="48">
        <v>133.0</v>
      </c>
      <c r="H458" s="60">
        <v>133.0</v>
      </c>
      <c r="I458" s="61" t="s">
        <v>248</v>
      </c>
      <c r="J458" s="63" t="s">
        <v>263</v>
      </c>
      <c r="K458" s="30">
        <v>43630.0</v>
      </c>
      <c r="L458" s="302">
        <v>43708.0</v>
      </c>
      <c r="M458" s="302">
        <v>43614.0</v>
      </c>
      <c r="N458" s="296" t="s">
        <v>1115</v>
      </c>
      <c r="O458" s="296"/>
      <c r="P458" s="302">
        <v>43710.0</v>
      </c>
      <c r="Q458" s="371"/>
      <c r="R458" s="371">
        <v>31.325</v>
      </c>
      <c r="S458" s="372"/>
      <c r="T458" s="373">
        <v>43613.0</v>
      </c>
      <c r="U458" s="372"/>
      <c r="V458" s="372"/>
      <c r="W458" s="371" t="s">
        <v>50</v>
      </c>
      <c r="X458" s="371" t="s">
        <v>285</v>
      </c>
      <c r="Y458" s="371" t="s">
        <v>51</v>
      </c>
      <c r="Z458" s="371" t="s">
        <v>52</v>
      </c>
      <c r="AA458" s="374" t="s">
        <v>440</v>
      </c>
    </row>
    <row r="459" ht="15.75" customHeight="1">
      <c r="A459" s="69">
        <v>43609.0</v>
      </c>
      <c r="B459" s="21" t="s">
        <v>1112</v>
      </c>
      <c r="C459" s="21"/>
      <c r="D459" s="21" t="s">
        <v>1113</v>
      </c>
      <c r="E459" s="500" t="s">
        <v>1117</v>
      </c>
      <c r="F459" s="24">
        <v>5.0</v>
      </c>
      <c r="G459" s="48">
        <v>123.0</v>
      </c>
      <c r="H459" s="60">
        <v>615.0</v>
      </c>
      <c r="I459" s="61" t="s">
        <v>248</v>
      </c>
      <c r="J459" s="63" t="s">
        <v>263</v>
      </c>
      <c r="K459" s="30">
        <v>43630.0</v>
      </c>
      <c r="L459" s="302">
        <v>43708.0</v>
      </c>
      <c r="M459" s="302">
        <v>43614.0</v>
      </c>
      <c r="N459" s="296" t="s">
        <v>1115</v>
      </c>
      <c r="O459" s="296"/>
      <c r="P459" s="302">
        <v>43710.0</v>
      </c>
      <c r="Q459" s="371"/>
      <c r="R459" s="371">
        <v>31.325</v>
      </c>
      <c r="S459" s="372"/>
      <c r="T459" s="373">
        <v>43613.0</v>
      </c>
      <c r="U459" s="372"/>
      <c r="V459" s="372"/>
      <c r="W459" s="371" t="s">
        <v>50</v>
      </c>
      <c r="X459" s="371" t="s">
        <v>285</v>
      </c>
      <c r="Y459" s="371" t="s">
        <v>51</v>
      </c>
      <c r="Z459" s="371" t="s">
        <v>52</v>
      </c>
      <c r="AA459" s="374" t="s">
        <v>440</v>
      </c>
    </row>
    <row r="460" ht="15.75" customHeight="1">
      <c r="A460" s="69">
        <v>43609.0</v>
      </c>
      <c r="B460" s="147" t="s">
        <v>378</v>
      </c>
      <c r="C460" s="21" t="s">
        <v>1118</v>
      </c>
      <c r="D460" s="21" t="s">
        <v>1119</v>
      </c>
      <c r="E460" s="32" t="s">
        <v>1120</v>
      </c>
      <c r="F460" s="24">
        <v>1.0</v>
      </c>
      <c r="G460" s="48">
        <v>2000.0</v>
      </c>
      <c r="H460" s="60">
        <v>2000.0</v>
      </c>
      <c r="I460" s="61" t="s">
        <v>1121</v>
      </c>
      <c r="J460" s="161" t="s">
        <v>1122</v>
      </c>
      <c r="K460" s="300">
        <v>43654.0</v>
      </c>
      <c r="L460" s="462">
        <v>43621.0</v>
      </c>
      <c r="M460" s="462">
        <v>43665.0</v>
      </c>
      <c r="N460" s="306" t="s">
        <v>1123</v>
      </c>
      <c r="O460" s="306">
        <v>33133.0</v>
      </c>
      <c r="P460" s="305">
        <v>43621.0</v>
      </c>
      <c r="Q460" s="298"/>
      <c r="R460" s="298"/>
      <c r="S460" s="299"/>
      <c r="T460" s="300">
        <v>43672.0</v>
      </c>
      <c r="U460" s="299">
        <f>9737.56*31.05</f>
        <v>302351.238</v>
      </c>
      <c r="V460" s="299">
        <f>(9754-9737.56)*31.05</f>
        <v>510.462</v>
      </c>
      <c r="W460" s="298" t="s">
        <v>50</v>
      </c>
      <c r="X460" s="298" t="s">
        <v>285</v>
      </c>
      <c r="Y460" s="298" t="s">
        <v>286</v>
      </c>
      <c r="Z460" s="298" t="s">
        <v>52</v>
      </c>
      <c r="AA460" s="234" t="s">
        <v>507</v>
      </c>
    </row>
    <row r="461" ht="15.75" customHeight="1">
      <c r="A461" s="69">
        <v>43609.0</v>
      </c>
      <c r="B461" s="144" t="s">
        <v>378</v>
      </c>
      <c r="C461" s="21" t="s">
        <v>1118</v>
      </c>
      <c r="D461" s="21" t="s">
        <v>1119</v>
      </c>
      <c r="E461" s="23" t="s">
        <v>1124</v>
      </c>
      <c r="F461" s="24">
        <v>1.0</v>
      </c>
      <c r="G461" s="48">
        <v>350.0</v>
      </c>
      <c r="H461" s="60">
        <v>350.0</v>
      </c>
      <c r="I461" s="61" t="s">
        <v>1121</v>
      </c>
      <c r="J461" s="161" t="s">
        <v>1122</v>
      </c>
      <c r="K461" s="300">
        <v>43654.0</v>
      </c>
      <c r="L461" s="462">
        <v>43621.0</v>
      </c>
      <c r="M461" s="462">
        <v>43665.0</v>
      </c>
      <c r="N461" s="306" t="s">
        <v>1123</v>
      </c>
      <c r="O461" s="306">
        <v>16566.0</v>
      </c>
      <c r="P461" s="305">
        <v>43621.0</v>
      </c>
      <c r="Q461" s="298"/>
      <c r="R461" s="298"/>
      <c r="S461" s="299"/>
      <c r="T461" s="300">
        <v>43672.0</v>
      </c>
      <c r="U461" s="299"/>
      <c r="V461" s="299"/>
      <c r="W461" s="298" t="s">
        <v>50</v>
      </c>
      <c r="X461" s="298" t="s">
        <v>285</v>
      </c>
      <c r="Y461" s="298" t="s">
        <v>286</v>
      </c>
      <c r="Z461" s="298" t="s">
        <v>52</v>
      </c>
      <c r="AA461" s="234" t="s">
        <v>507</v>
      </c>
    </row>
    <row r="462" ht="15.75" customHeight="1">
      <c r="A462" s="69">
        <v>43609.0</v>
      </c>
      <c r="B462" s="144" t="s">
        <v>378</v>
      </c>
      <c r="C462" s="21" t="s">
        <v>1118</v>
      </c>
      <c r="D462" s="21" t="s">
        <v>1125</v>
      </c>
      <c r="E462" s="151" t="s">
        <v>1126</v>
      </c>
      <c r="F462" s="24">
        <v>10.0</v>
      </c>
      <c r="G462" s="48">
        <v>301.0</v>
      </c>
      <c r="H462" s="60">
        <v>3010.0</v>
      </c>
      <c r="I462" s="61" t="s">
        <v>1121</v>
      </c>
      <c r="J462" s="161" t="s">
        <v>1122</v>
      </c>
      <c r="K462" s="300">
        <v>43689.0</v>
      </c>
      <c r="L462" s="462">
        <v>43664.0</v>
      </c>
      <c r="M462" s="462">
        <v>43665.0</v>
      </c>
      <c r="N462" s="306" t="s">
        <v>1127</v>
      </c>
      <c r="O462" s="306">
        <v>109338.0</v>
      </c>
      <c r="P462" s="305">
        <v>43664.0</v>
      </c>
      <c r="Q462" s="298"/>
      <c r="R462" s="298"/>
      <c r="S462" s="299"/>
      <c r="T462" s="300">
        <v>43672.0</v>
      </c>
      <c r="U462" s="299"/>
      <c r="V462" s="299"/>
      <c r="W462" s="298" t="s">
        <v>50</v>
      </c>
      <c r="X462" s="298" t="s">
        <v>285</v>
      </c>
      <c r="Y462" s="298" t="s">
        <v>286</v>
      </c>
      <c r="Z462" s="298" t="s">
        <v>52</v>
      </c>
      <c r="AA462" s="234" t="s">
        <v>507</v>
      </c>
    </row>
    <row r="463" ht="15.75" customHeight="1">
      <c r="A463" s="69">
        <v>43609.0</v>
      </c>
      <c r="B463" s="144" t="s">
        <v>378</v>
      </c>
      <c r="C463" s="21" t="s">
        <v>1118</v>
      </c>
      <c r="D463" s="21" t="s">
        <v>1125</v>
      </c>
      <c r="E463" s="246" t="s">
        <v>1128</v>
      </c>
      <c r="F463" s="24">
        <v>10.0</v>
      </c>
      <c r="G463" s="48">
        <v>0.0</v>
      </c>
      <c r="H463" s="60">
        <v>0.0</v>
      </c>
      <c r="I463" s="61" t="s">
        <v>1121</v>
      </c>
      <c r="J463" s="161" t="s">
        <v>1122</v>
      </c>
      <c r="K463" s="300">
        <v>43689.0</v>
      </c>
      <c r="L463" s="462">
        <v>43713.0</v>
      </c>
      <c r="M463" s="462">
        <v>43684.0</v>
      </c>
      <c r="N463" s="306" t="s">
        <v>1129</v>
      </c>
      <c r="O463" s="306">
        <v>27300.0</v>
      </c>
      <c r="P463" s="462">
        <v>43713.0</v>
      </c>
      <c r="Q463" s="298"/>
      <c r="R463" s="298"/>
      <c r="S463" s="299"/>
      <c r="T463" s="298"/>
      <c r="U463" s="299"/>
      <c r="V463" s="299"/>
      <c r="W463" s="298" t="s">
        <v>50</v>
      </c>
      <c r="X463" s="298" t="s">
        <v>285</v>
      </c>
      <c r="Y463" s="298" t="s">
        <v>286</v>
      </c>
      <c r="Z463" s="298" t="s">
        <v>52</v>
      </c>
      <c r="AA463" s="234" t="s">
        <v>507</v>
      </c>
    </row>
    <row r="464" ht="15.75" customHeight="1">
      <c r="A464" s="69">
        <v>43609.0</v>
      </c>
      <c r="B464" s="144" t="s">
        <v>378</v>
      </c>
      <c r="C464" s="21" t="s">
        <v>1118</v>
      </c>
      <c r="D464" s="21" t="s">
        <v>1125</v>
      </c>
      <c r="E464" s="246" t="s">
        <v>1130</v>
      </c>
      <c r="F464" s="24">
        <v>10.0</v>
      </c>
      <c r="G464" s="48">
        <v>0.0</v>
      </c>
      <c r="H464" s="60">
        <v>0.0</v>
      </c>
      <c r="I464" s="61" t="s">
        <v>1121</v>
      </c>
      <c r="J464" s="161" t="s">
        <v>1122</v>
      </c>
      <c r="K464" s="30">
        <v>43693.0</v>
      </c>
      <c r="L464" s="306"/>
      <c r="M464" s="306"/>
      <c r="N464" s="306"/>
      <c r="O464" s="306"/>
      <c r="P464" s="306"/>
      <c r="Q464" s="298"/>
      <c r="R464" s="298"/>
      <c r="S464" s="299"/>
      <c r="T464" s="298"/>
      <c r="U464" s="299"/>
      <c r="V464" s="299"/>
      <c r="W464" s="298" t="s">
        <v>50</v>
      </c>
      <c r="X464" s="298" t="s">
        <v>285</v>
      </c>
      <c r="Y464" s="298" t="s">
        <v>286</v>
      </c>
      <c r="Z464" s="298" t="s">
        <v>52</v>
      </c>
      <c r="AA464" s="234" t="s">
        <v>507</v>
      </c>
    </row>
    <row r="465" ht="15.75" customHeight="1">
      <c r="A465" s="69">
        <v>43609.0</v>
      </c>
      <c r="B465" s="144" t="s">
        <v>378</v>
      </c>
      <c r="C465" s="21" t="s">
        <v>1118</v>
      </c>
      <c r="D465" s="21" t="s">
        <v>1131</v>
      </c>
      <c r="E465" s="246" t="s">
        <v>1132</v>
      </c>
      <c r="F465" s="24">
        <v>10.0</v>
      </c>
      <c r="G465" s="48">
        <v>301.0</v>
      </c>
      <c r="H465" s="60">
        <v>3010.0</v>
      </c>
      <c r="I465" s="61" t="s">
        <v>1121</v>
      </c>
      <c r="J465" s="161" t="s">
        <v>1122</v>
      </c>
      <c r="K465" s="30">
        <v>43727.0</v>
      </c>
      <c r="L465" s="462">
        <v>43664.0</v>
      </c>
      <c r="M465" s="462">
        <v>43665.0</v>
      </c>
      <c r="N465" s="306" t="s">
        <v>1127</v>
      </c>
      <c r="O465" s="306"/>
      <c r="P465" s="305">
        <v>43664.0</v>
      </c>
      <c r="Q465" s="298"/>
      <c r="R465" s="298"/>
      <c r="S465" s="299"/>
      <c r="T465" s="300">
        <v>43707.0</v>
      </c>
      <c r="U465" s="299">
        <f>3447.61*31.31</f>
        <v>107944.6691</v>
      </c>
      <c r="V465" s="299">
        <f>16.39*31.31</f>
        <v>513.1709</v>
      </c>
      <c r="W465" s="298" t="s">
        <v>50</v>
      </c>
      <c r="X465" s="298" t="s">
        <v>285</v>
      </c>
      <c r="Y465" s="298" t="s">
        <v>286</v>
      </c>
      <c r="Z465" s="298" t="s">
        <v>52</v>
      </c>
      <c r="AA465" s="234" t="s">
        <v>1133</v>
      </c>
    </row>
    <row r="466" ht="15.75" customHeight="1">
      <c r="A466" s="69">
        <v>43609.0</v>
      </c>
      <c r="B466" s="144" t="s">
        <v>378</v>
      </c>
      <c r="C466" s="21" t="s">
        <v>1118</v>
      </c>
      <c r="D466" s="21" t="s">
        <v>1131</v>
      </c>
      <c r="E466" s="246" t="s">
        <v>1134</v>
      </c>
      <c r="F466" s="24">
        <v>10.0</v>
      </c>
      <c r="G466" s="48">
        <v>0.0</v>
      </c>
      <c r="H466" s="60">
        <v>0.0</v>
      </c>
      <c r="I466" s="61" t="s">
        <v>1121</v>
      </c>
      <c r="J466" s="161" t="s">
        <v>1122</v>
      </c>
      <c r="K466" s="30">
        <v>43727.0</v>
      </c>
      <c r="L466" s="462">
        <v>43743.0</v>
      </c>
      <c r="M466" s="462">
        <v>43718.0</v>
      </c>
      <c r="N466" s="306" t="s">
        <v>1135</v>
      </c>
      <c r="O466" s="306">
        <v>27300.0</v>
      </c>
      <c r="P466" s="462">
        <v>43743.0</v>
      </c>
      <c r="Q466" s="298"/>
      <c r="R466" s="298"/>
      <c r="S466" s="299"/>
      <c r="T466" s="298"/>
      <c r="U466" s="299"/>
      <c r="V466" s="299"/>
      <c r="W466" s="298" t="s">
        <v>50</v>
      </c>
      <c r="X466" s="298" t="s">
        <v>285</v>
      </c>
      <c r="Y466" s="298" t="s">
        <v>286</v>
      </c>
      <c r="Z466" s="298" t="s">
        <v>52</v>
      </c>
      <c r="AA466" s="234" t="s">
        <v>1133</v>
      </c>
    </row>
    <row r="467" ht="41.25" customHeight="1">
      <c r="A467" s="69">
        <v>43609.0</v>
      </c>
      <c r="B467" s="144" t="s">
        <v>378</v>
      </c>
      <c r="C467" s="21" t="s">
        <v>1118</v>
      </c>
      <c r="D467" s="21" t="s">
        <v>1131</v>
      </c>
      <c r="E467" s="246" t="s">
        <v>1130</v>
      </c>
      <c r="F467" s="24">
        <v>10.0</v>
      </c>
      <c r="G467" s="48">
        <v>0.0</v>
      </c>
      <c r="H467" s="60">
        <v>0.0</v>
      </c>
      <c r="I467" s="61" t="s">
        <v>1121</v>
      </c>
      <c r="J467" s="161" t="s">
        <v>1122</v>
      </c>
      <c r="K467" s="30">
        <v>43727.0</v>
      </c>
      <c r="L467" s="306"/>
      <c r="M467" s="53"/>
      <c r="N467" s="53"/>
      <c r="O467" s="53"/>
      <c r="P467" s="53"/>
      <c r="Q467" s="54"/>
      <c r="R467" s="54"/>
      <c r="S467" s="55"/>
      <c r="T467" s="56">
        <v>43707.0</v>
      </c>
      <c r="U467" s="55"/>
      <c r="V467" s="55"/>
      <c r="W467" s="54" t="s">
        <v>50</v>
      </c>
      <c r="X467" s="54" t="s">
        <v>285</v>
      </c>
      <c r="Y467" s="54" t="s">
        <v>286</v>
      </c>
      <c r="Z467" s="54" t="s">
        <v>52</v>
      </c>
      <c r="AA467" s="57"/>
    </row>
    <row r="468" ht="33.75" customHeight="1">
      <c r="A468" s="69">
        <v>43614.0</v>
      </c>
      <c r="B468" s="70" t="s">
        <v>721</v>
      </c>
      <c r="C468" s="21"/>
      <c r="D468" s="21" t="s">
        <v>1136</v>
      </c>
      <c r="E468" s="32" t="s">
        <v>1137</v>
      </c>
      <c r="F468" s="24">
        <v>1.0</v>
      </c>
      <c r="G468" s="48">
        <v>517.0</v>
      </c>
      <c r="H468" s="60">
        <v>517.0</v>
      </c>
      <c r="I468" s="348" t="s">
        <v>248</v>
      </c>
      <c r="J468" s="58" t="s">
        <v>1138</v>
      </c>
      <c r="K468" s="30">
        <v>43626.0</v>
      </c>
      <c r="L468" s="302">
        <v>43677.0</v>
      </c>
      <c r="M468" s="302">
        <v>43621.0</v>
      </c>
      <c r="N468" s="296" t="s">
        <v>1139</v>
      </c>
      <c r="O468" s="296">
        <v>15028.0</v>
      </c>
      <c r="P468" s="472">
        <v>43677.0</v>
      </c>
      <c r="Q468" s="371"/>
      <c r="R468" s="371"/>
      <c r="S468" s="372"/>
      <c r="T468" s="373">
        <v>43616.0</v>
      </c>
      <c r="U468" s="372">
        <f>524.66*31.545</f>
        <v>16550.3997</v>
      </c>
      <c r="V468" s="372">
        <f>(542-524.66)*31.545</f>
        <v>546.9903</v>
      </c>
      <c r="W468" s="371" t="s">
        <v>50</v>
      </c>
      <c r="X468" s="371" t="s">
        <v>285</v>
      </c>
      <c r="Y468" s="371" t="s">
        <v>51</v>
      </c>
      <c r="Z468" s="371" t="s">
        <v>52</v>
      </c>
      <c r="AA468" s="374" t="s">
        <v>440</v>
      </c>
    </row>
    <row r="469" ht="42.75" customHeight="1">
      <c r="A469" s="69">
        <v>43614.0</v>
      </c>
      <c r="B469" s="70" t="s">
        <v>721</v>
      </c>
      <c r="C469" s="21"/>
      <c r="D469" s="21" t="s">
        <v>1136</v>
      </c>
      <c r="E469" s="23" t="s">
        <v>842</v>
      </c>
      <c r="F469" s="24">
        <v>1.0</v>
      </c>
      <c r="G469" s="48">
        <v>25.0</v>
      </c>
      <c r="H469" s="60">
        <v>25.0</v>
      </c>
      <c r="I469" s="348" t="s">
        <v>248</v>
      </c>
      <c r="J469" s="31" t="s">
        <v>1138</v>
      </c>
      <c r="K469" s="30">
        <v>43626.0</v>
      </c>
      <c r="L469" s="52"/>
      <c r="M469" s="53"/>
      <c r="N469" s="53"/>
      <c r="O469" s="53"/>
      <c r="P469" s="53"/>
      <c r="Q469" s="54"/>
      <c r="R469" s="54"/>
      <c r="S469" s="55"/>
      <c r="T469" s="56">
        <v>43616.0</v>
      </c>
      <c r="U469" s="55"/>
      <c r="V469" s="55"/>
      <c r="W469" s="54" t="s">
        <v>50</v>
      </c>
      <c r="X469" s="54" t="s">
        <v>285</v>
      </c>
      <c r="Y469" s="54" t="s">
        <v>51</v>
      </c>
      <c r="Z469" s="54" t="s">
        <v>52</v>
      </c>
      <c r="AA469" s="57"/>
    </row>
    <row r="470" ht="42.75" customHeight="1">
      <c r="A470" s="69">
        <v>43615.0</v>
      </c>
      <c r="B470" s="70" t="s">
        <v>1112</v>
      </c>
      <c r="C470" s="21"/>
      <c r="D470" s="21" t="s">
        <v>1140</v>
      </c>
      <c r="E470" s="23" t="s">
        <v>1141</v>
      </c>
      <c r="F470" s="24">
        <v>3.0</v>
      </c>
      <c r="G470" s="48">
        <v>265.0</v>
      </c>
      <c r="H470" s="60">
        <v>795.0</v>
      </c>
      <c r="I470" s="61" t="s">
        <v>248</v>
      </c>
      <c r="J470" s="79" t="s">
        <v>263</v>
      </c>
      <c r="K470" s="30">
        <v>43630.0</v>
      </c>
      <c r="L470" s="302">
        <v>43651.0</v>
      </c>
      <c r="M470" s="302">
        <v>43620.0</v>
      </c>
      <c r="N470" s="296" t="s">
        <v>1142</v>
      </c>
      <c r="O470" s="296">
        <v>22050.0</v>
      </c>
      <c r="P470" s="302">
        <v>43654.0</v>
      </c>
      <c r="Q470" s="371"/>
      <c r="R470" s="371">
        <v>31.325</v>
      </c>
      <c r="S470" s="372"/>
      <c r="T470" s="373">
        <v>43620.0</v>
      </c>
      <c r="U470" s="372">
        <f>777.63*31.386</f>
        <v>24406.69518</v>
      </c>
      <c r="V470" s="372">
        <f>(795-777.63)*31.386</f>
        <v>545.17482</v>
      </c>
      <c r="W470" s="371" t="s">
        <v>50</v>
      </c>
      <c r="X470" s="371" t="s">
        <v>285</v>
      </c>
      <c r="Y470" s="371" t="s">
        <v>51</v>
      </c>
      <c r="Z470" s="371" t="s">
        <v>52</v>
      </c>
      <c r="AA470" s="374" t="s">
        <v>440</v>
      </c>
    </row>
    <row r="471" ht="42.75" customHeight="1">
      <c r="A471" s="69">
        <v>43616.0</v>
      </c>
      <c r="B471" s="70" t="s">
        <v>223</v>
      </c>
      <c r="C471" s="21" t="s">
        <v>1143</v>
      </c>
      <c r="D471" s="21" t="s">
        <v>1144</v>
      </c>
      <c r="E471" s="23" t="s">
        <v>1145</v>
      </c>
      <c r="F471" s="24">
        <v>1.0</v>
      </c>
      <c r="G471" s="48">
        <v>805.35</v>
      </c>
      <c r="H471" s="60">
        <v>805.35</v>
      </c>
      <c r="I471" s="61" t="s">
        <v>248</v>
      </c>
      <c r="J471" s="79" t="s">
        <v>976</v>
      </c>
      <c r="K471" s="30">
        <v>43622.0</v>
      </c>
      <c r="L471" s="462">
        <v>43677.0</v>
      </c>
      <c r="M471" s="462">
        <v>43621.0</v>
      </c>
      <c r="N471" s="306" t="s">
        <v>1146</v>
      </c>
      <c r="O471" s="306">
        <v>23053.0</v>
      </c>
      <c r="P471" s="462">
        <v>43677.0</v>
      </c>
      <c r="Q471" s="298"/>
      <c r="R471" s="298"/>
      <c r="S471" s="299"/>
      <c r="T471" s="300">
        <v>43682.0</v>
      </c>
      <c r="U471" s="299">
        <v>38044.0</v>
      </c>
      <c r="V471" s="299">
        <v>28.0</v>
      </c>
      <c r="W471" s="298" t="s">
        <v>50</v>
      </c>
      <c r="X471" s="298" t="s">
        <v>285</v>
      </c>
      <c r="Y471" s="298" t="s">
        <v>51</v>
      </c>
      <c r="Z471" s="298" t="s">
        <v>377</v>
      </c>
      <c r="AA471" s="234" t="s">
        <v>507</v>
      </c>
    </row>
    <row r="472" ht="42.75" customHeight="1">
      <c r="A472" s="69">
        <v>43619.0</v>
      </c>
      <c r="B472" s="21" t="s">
        <v>119</v>
      </c>
      <c r="C472" s="21" t="s">
        <v>1147</v>
      </c>
      <c r="D472" s="21" t="s">
        <v>1148</v>
      </c>
      <c r="E472" s="499" t="s">
        <v>1149</v>
      </c>
      <c r="F472" s="24">
        <v>10.0</v>
      </c>
      <c r="G472" s="48">
        <v>485.0</v>
      </c>
      <c r="H472" s="60">
        <v>4850.0</v>
      </c>
      <c r="I472" s="61" t="s">
        <v>248</v>
      </c>
      <c r="J472" s="82" t="s">
        <v>122</v>
      </c>
      <c r="K472" s="30">
        <v>43669.0</v>
      </c>
      <c r="L472" s="462">
        <v>43677.0</v>
      </c>
      <c r="M472" s="462">
        <v>43634.0</v>
      </c>
      <c r="N472" s="306" t="s">
        <v>1150</v>
      </c>
      <c r="O472" s="306">
        <v>994237.0</v>
      </c>
      <c r="P472" s="462">
        <v>43677.0</v>
      </c>
      <c r="Q472" s="298"/>
      <c r="R472" s="298"/>
      <c r="S472" s="299"/>
      <c r="T472" s="298" t="s">
        <v>1151</v>
      </c>
      <c r="U472" s="299"/>
      <c r="V472" s="299"/>
      <c r="W472" s="298" t="s">
        <v>50</v>
      </c>
      <c r="X472" s="298" t="s">
        <v>285</v>
      </c>
      <c r="Y472" s="298" t="s">
        <v>51</v>
      </c>
      <c r="Z472" s="298" t="s">
        <v>52</v>
      </c>
      <c r="AA472" s="234" t="s">
        <v>507</v>
      </c>
    </row>
    <row r="473" ht="42.75" customHeight="1">
      <c r="A473" s="69">
        <v>43619.0</v>
      </c>
      <c r="B473" s="70" t="s">
        <v>119</v>
      </c>
      <c r="C473" s="21" t="s">
        <v>1147</v>
      </c>
      <c r="D473" s="21" t="s">
        <v>1148</v>
      </c>
      <c r="E473" s="499" t="s">
        <v>1152</v>
      </c>
      <c r="F473" s="24">
        <v>8.0</v>
      </c>
      <c r="G473" s="48">
        <v>880.0</v>
      </c>
      <c r="H473" s="60">
        <v>7040.0</v>
      </c>
      <c r="I473" s="61" t="s">
        <v>248</v>
      </c>
      <c r="J473" s="82" t="s">
        <v>122</v>
      </c>
      <c r="K473" s="30">
        <v>43669.0</v>
      </c>
      <c r="L473" s="462">
        <v>43677.0</v>
      </c>
      <c r="M473" s="462">
        <v>43634.0</v>
      </c>
      <c r="N473" s="306" t="s">
        <v>1150</v>
      </c>
      <c r="O473" s="306"/>
      <c r="P473" s="462">
        <v>43677.0</v>
      </c>
      <c r="Q473" s="298"/>
      <c r="R473" s="298"/>
      <c r="S473" s="299"/>
      <c r="T473" s="298" t="s">
        <v>1153</v>
      </c>
      <c r="U473" s="299"/>
      <c r="V473" s="299"/>
      <c r="W473" s="298" t="s">
        <v>50</v>
      </c>
      <c r="X473" s="298" t="s">
        <v>285</v>
      </c>
      <c r="Y473" s="298" t="s">
        <v>51</v>
      </c>
      <c r="Z473" s="298" t="s">
        <v>52</v>
      </c>
      <c r="AA473" s="234" t="s">
        <v>507</v>
      </c>
    </row>
    <row r="474" ht="42.75" customHeight="1">
      <c r="A474" s="69">
        <v>43619.0</v>
      </c>
      <c r="B474" s="70" t="s">
        <v>119</v>
      </c>
      <c r="C474" s="21" t="s">
        <v>1147</v>
      </c>
      <c r="D474" s="21" t="s">
        <v>1148</v>
      </c>
      <c r="E474" s="501" t="s">
        <v>152</v>
      </c>
      <c r="F474" s="24">
        <v>10.0</v>
      </c>
      <c r="G474" s="48">
        <v>1045.0</v>
      </c>
      <c r="H474" s="60">
        <v>10450.0</v>
      </c>
      <c r="I474" s="61" t="s">
        <v>248</v>
      </c>
      <c r="J474" s="82" t="s">
        <v>122</v>
      </c>
      <c r="K474" s="30">
        <v>43669.0</v>
      </c>
      <c r="L474" s="462">
        <v>43677.0</v>
      </c>
      <c r="M474" s="462">
        <v>43634.0</v>
      </c>
      <c r="N474" s="306" t="s">
        <v>1150</v>
      </c>
      <c r="O474" s="306"/>
      <c r="P474" s="472">
        <v>43677.0</v>
      </c>
      <c r="Q474" s="298"/>
      <c r="R474" s="298"/>
      <c r="S474" s="299"/>
      <c r="T474" s="300">
        <v>43665.0</v>
      </c>
      <c r="U474" s="299"/>
      <c r="V474" s="299"/>
      <c r="W474" s="298" t="s">
        <v>50</v>
      </c>
      <c r="X474" s="82" t="s">
        <v>285</v>
      </c>
      <c r="Y474" s="298" t="s">
        <v>51</v>
      </c>
      <c r="Z474" s="298" t="s">
        <v>52</v>
      </c>
      <c r="AA474" s="459" t="s">
        <v>750</v>
      </c>
    </row>
    <row r="475" ht="42.75" customHeight="1">
      <c r="A475" s="69">
        <v>43619.0</v>
      </c>
      <c r="B475" s="70" t="s">
        <v>119</v>
      </c>
      <c r="C475" s="21" t="s">
        <v>1147</v>
      </c>
      <c r="D475" s="21" t="s">
        <v>1148</v>
      </c>
      <c r="E475" s="500" t="s">
        <v>325</v>
      </c>
      <c r="F475" s="24">
        <v>4.0</v>
      </c>
      <c r="G475" s="48">
        <v>577.0</v>
      </c>
      <c r="H475" s="60">
        <v>2308.0</v>
      </c>
      <c r="I475" s="61" t="s">
        <v>248</v>
      </c>
      <c r="J475" s="82" t="s">
        <v>122</v>
      </c>
      <c r="K475" s="30">
        <v>43669.0</v>
      </c>
      <c r="L475" s="462">
        <v>43677.0</v>
      </c>
      <c r="M475" s="462">
        <v>43634.0</v>
      </c>
      <c r="N475" s="306" t="s">
        <v>1150</v>
      </c>
      <c r="O475" s="306"/>
      <c r="P475" s="472">
        <v>43677.0</v>
      </c>
      <c r="Q475" s="298"/>
      <c r="R475" s="298"/>
      <c r="S475" s="299"/>
      <c r="T475" s="300">
        <v>43665.0</v>
      </c>
      <c r="U475" s="299"/>
      <c r="V475" s="299"/>
      <c r="W475" s="298" t="s">
        <v>50</v>
      </c>
      <c r="X475" s="82" t="s">
        <v>285</v>
      </c>
      <c r="Y475" s="298" t="s">
        <v>51</v>
      </c>
      <c r="Z475" s="298" t="s">
        <v>52</v>
      </c>
      <c r="AA475" s="459" t="s">
        <v>750</v>
      </c>
    </row>
    <row r="476" ht="42.75" customHeight="1">
      <c r="A476" s="69">
        <v>43619.0</v>
      </c>
      <c r="B476" s="70" t="s">
        <v>119</v>
      </c>
      <c r="C476" s="21" t="s">
        <v>1147</v>
      </c>
      <c r="D476" s="21" t="s">
        <v>1148</v>
      </c>
      <c r="E476" s="500" t="s">
        <v>157</v>
      </c>
      <c r="F476" s="24">
        <v>2.0</v>
      </c>
      <c r="G476" s="48">
        <v>118.0</v>
      </c>
      <c r="H476" s="60">
        <v>236.0</v>
      </c>
      <c r="I476" s="61" t="s">
        <v>248</v>
      </c>
      <c r="J476" s="82" t="s">
        <v>122</v>
      </c>
      <c r="K476" s="30">
        <v>43669.0</v>
      </c>
      <c r="L476" s="462">
        <v>43677.0</v>
      </c>
      <c r="M476" s="462">
        <v>43634.0</v>
      </c>
      <c r="N476" s="306" t="s">
        <v>1150</v>
      </c>
      <c r="O476" s="306"/>
      <c r="P476" s="472">
        <v>43677.0</v>
      </c>
      <c r="Q476" s="298"/>
      <c r="R476" s="298"/>
      <c r="S476" s="299"/>
      <c r="T476" s="300">
        <v>43665.0</v>
      </c>
      <c r="U476" s="299"/>
      <c r="V476" s="299"/>
      <c r="W476" s="298" t="s">
        <v>50</v>
      </c>
      <c r="X476" s="82" t="s">
        <v>285</v>
      </c>
      <c r="Y476" s="298" t="s">
        <v>51</v>
      </c>
      <c r="Z476" s="298" t="s">
        <v>52</v>
      </c>
      <c r="AA476" s="459" t="s">
        <v>750</v>
      </c>
    </row>
    <row r="477" ht="42.75" customHeight="1">
      <c r="A477" s="69">
        <v>43619.0</v>
      </c>
      <c r="B477" s="70" t="s">
        <v>119</v>
      </c>
      <c r="C477" s="21" t="s">
        <v>1147</v>
      </c>
      <c r="D477" s="21" t="s">
        <v>1148</v>
      </c>
      <c r="E477" s="500" t="s">
        <v>162</v>
      </c>
      <c r="F477" s="24">
        <v>15.0</v>
      </c>
      <c r="G477" s="48">
        <v>738.0</v>
      </c>
      <c r="H477" s="60">
        <v>11070.0</v>
      </c>
      <c r="I477" s="61" t="s">
        <v>248</v>
      </c>
      <c r="J477" s="82" t="s">
        <v>122</v>
      </c>
      <c r="K477" s="30">
        <v>43669.0</v>
      </c>
      <c r="L477" s="462">
        <v>43677.0</v>
      </c>
      <c r="M477" s="462">
        <v>43634.0</v>
      </c>
      <c r="N477" s="306" t="s">
        <v>1150</v>
      </c>
      <c r="O477" s="306"/>
      <c r="P477" s="462">
        <v>43677.0</v>
      </c>
      <c r="Q477" s="298"/>
      <c r="R477" s="298"/>
      <c r="S477" s="299"/>
      <c r="T477" s="300">
        <v>43724.0</v>
      </c>
      <c r="U477" s="299">
        <f>14436.79*30.92</f>
        <v>446385.5468</v>
      </c>
      <c r="V477" s="299">
        <f>(14454-14436.79)*30.92</f>
        <v>532.1332</v>
      </c>
      <c r="W477" s="298" t="s">
        <v>50</v>
      </c>
      <c r="X477" s="298" t="s">
        <v>285</v>
      </c>
      <c r="Y477" s="298" t="s">
        <v>51</v>
      </c>
      <c r="Z477" s="298" t="s">
        <v>52</v>
      </c>
      <c r="AA477" s="234" t="s">
        <v>507</v>
      </c>
    </row>
    <row r="478" ht="15.75" customHeight="1">
      <c r="A478" s="69">
        <v>43620.0</v>
      </c>
      <c r="B478" s="309" t="s">
        <v>101</v>
      </c>
      <c r="C478" s="22" t="s">
        <v>1154</v>
      </c>
      <c r="D478" s="59" t="s">
        <v>1155</v>
      </c>
      <c r="E478" s="22" t="s">
        <v>1156</v>
      </c>
      <c r="F478" s="24">
        <v>8.0</v>
      </c>
      <c r="G478" s="48">
        <v>621.0</v>
      </c>
      <c r="H478" s="60">
        <v>4968.0</v>
      </c>
      <c r="I478" s="61" t="s">
        <v>105</v>
      </c>
      <c r="J478" s="63" t="s">
        <v>1018</v>
      </c>
      <c r="K478" s="29">
        <v>43651.0</v>
      </c>
      <c r="L478" s="306"/>
      <c r="M478" s="306"/>
      <c r="N478" s="306"/>
      <c r="O478" s="306"/>
      <c r="P478" s="306"/>
      <c r="Q478" s="298"/>
      <c r="R478" s="298"/>
      <c r="S478" s="299"/>
      <c r="T478" s="300">
        <v>43704.0</v>
      </c>
      <c r="U478" s="299">
        <f>9416.62*31.34</f>
        <v>295116.8708</v>
      </c>
      <c r="V478" s="299">
        <f>(9443-9416.62)*31.34</f>
        <v>826.7492</v>
      </c>
      <c r="W478" s="298" t="s">
        <v>50</v>
      </c>
      <c r="X478" s="298" t="s">
        <v>285</v>
      </c>
      <c r="Y478" s="298" t="s">
        <v>286</v>
      </c>
      <c r="Z478" s="298" t="s">
        <v>52</v>
      </c>
      <c r="AA478" s="234" t="s">
        <v>507</v>
      </c>
    </row>
    <row r="479" ht="42.75" customHeight="1">
      <c r="A479" s="69">
        <v>43620.0</v>
      </c>
      <c r="B479" s="309" t="s">
        <v>101</v>
      </c>
      <c r="C479" s="22" t="s">
        <v>1154</v>
      </c>
      <c r="D479" s="22" t="s">
        <v>1155</v>
      </c>
      <c r="E479" s="35" t="s">
        <v>1157</v>
      </c>
      <c r="F479" s="24">
        <v>8.0</v>
      </c>
      <c r="G479" s="48">
        <v>71.0</v>
      </c>
      <c r="H479" s="60">
        <v>568.0</v>
      </c>
      <c r="I479" s="61" t="s">
        <v>105</v>
      </c>
      <c r="J479" s="63" t="s">
        <v>1018</v>
      </c>
      <c r="K479" s="29">
        <v>43651.0</v>
      </c>
      <c r="L479" s="306"/>
      <c r="M479" s="306"/>
      <c r="N479" s="306"/>
      <c r="O479" s="306"/>
      <c r="P479" s="306"/>
      <c r="Q479" s="298"/>
      <c r="R479" s="298"/>
      <c r="S479" s="299"/>
      <c r="T479" s="300">
        <v>43704.0</v>
      </c>
      <c r="U479" s="299"/>
      <c r="V479" s="299"/>
      <c r="W479" s="298" t="s">
        <v>50</v>
      </c>
      <c r="X479" s="298" t="s">
        <v>285</v>
      </c>
      <c r="Y479" s="298" t="s">
        <v>286</v>
      </c>
      <c r="Z479" s="298" t="s">
        <v>52</v>
      </c>
      <c r="AA479" s="234" t="s">
        <v>507</v>
      </c>
    </row>
    <row r="480" ht="42.75" customHeight="1">
      <c r="A480" s="69">
        <v>43620.0</v>
      </c>
      <c r="B480" s="309" t="s">
        <v>101</v>
      </c>
      <c r="C480" s="22" t="s">
        <v>1154</v>
      </c>
      <c r="D480" s="22" t="s">
        <v>1155</v>
      </c>
      <c r="E480" s="35" t="s">
        <v>1158</v>
      </c>
      <c r="F480" s="24">
        <v>8.0</v>
      </c>
      <c r="G480" s="48">
        <v>60.0</v>
      </c>
      <c r="H480" s="60">
        <v>480.0</v>
      </c>
      <c r="I480" s="61" t="s">
        <v>105</v>
      </c>
      <c r="J480" s="63" t="s">
        <v>1018</v>
      </c>
      <c r="K480" s="29">
        <v>43651.0</v>
      </c>
      <c r="L480" s="306"/>
      <c r="M480" s="306"/>
      <c r="N480" s="306"/>
      <c r="O480" s="306"/>
      <c r="P480" s="306"/>
      <c r="Q480" s="298"/>
      <c r="R480" s="298"/>
      <c r="S480" s="299"/>
      <c r="T480" s="300">
        <v>43704.0</v>
      </c>
      <c r="U480" s="299"/>
      <c r="V480" s="299"/>
      <c r="W480" s="298" t="s">
        <v>50</v>
      </c>
      <c r="X480" s="298" t="s">
        <v>285</v>
      </c>
      <c r="Y480" s="298" t="s">
        <v>286</v>
      </c>
      <c r="Z480" s="298" t="s">
        <v>52</v>
      </c>
      <c r="AA480" s="234" t="s">
        <v>507</v>
      </c>
    </row>
    <row r="481" ht="42.75" customHeight="1">
      <c r="A481" s="110">
        <v>43620.0</v>
      </c>
      <c r="B481" s="502" t="s">
        <v>101</v>
      </c>
      <c r="C481" s="59" t="s">
        <v>1154</v>
      </c>
      <c r="D481" s="59" t="s">
        <v>1155</v>
      </c>
      <c r="E481" s="59" t="s">
        <v>1159</v>
      </c>
      <c r="F481" s="24">
        <v>8.0</v>
      </c>
      <c r="G481" s="48">
        <v>38.0</v>
      </c>
      <c r="H481" s="60">
        <v>304.0</v>
      </c>
      <c r="I481" s="61" t="s">
        <v>105</v>
      </c>
      <c r="J481" s="63" t="s">
        <v>1018</v>
      </c>
      <c r="K481" s="29">
        <v>43651.0</v>
      </c>
      <c r="L481" s="306"/>
      <c r="M481" s="306"/>
      <c r="N481" s="306"/>
      <c r="O481" s="306"/>
      <c r="P481" s="306"/>
      <c r="Q481" s="298"/>
      <c r="R481" s="298"/>
      <c r="S481" s="299"/>
      <c r="T481" s="300">
        <v>43704.0</v>
      </c>
      <c r="U481" s="299"/>
      <c r="V481" s="299"/>
      <c r="W481" s="298" t="s">
        <v>50</v>
      </c>
      <c r="X481" s="298" t="s">
        <v>285</v>
      </c>
      <c r="Y481" s="298" t="s">
        <v>286</v>
      </c>
      <c r="Z481" s="298" t="s">
        <v>52</v>
      </c>
      <c r="AA481" s="234" t="s">
        <v>507</v>
      </c>
    </row>
    <row r="482" ht="42.75" customHeight="1">
      <c r="A482" s="69">
        <v>43620.0</v>
      </c>
      <c r="B482" s="309" t="s">
        <v>101</v>
      </c>
      <c r="C482" s="20" t="s">
        <v>1154</v>
      </c>
      <c r="D482" s="20" t="s">
        <v>1155</v>
      </c>
      <c r="E482" s="20" t="s">
        <v>1160</v>
      </c>
      <c r="F482" s="24">
        <v>8.0</v>
      </c>
      <c r="G482" s="48">
        <v>10.0</v>
      </c>
      <c r="H482" s="60">
        <v>80.0</v>
      </c>
      <c r="I482" s="61" t="s">
        <v>105</v>
      </c>
      <c r="J482" s="63" t="s">
        <v>1018</v>
      </c>
      <c r="K482" s="29">
        <v>43651.0</v>
      </c>
      <c r="L482" s="306"/>
      <c r="M482" s="306"/>
      <c r="N482" s="306"/>
      <c r="O482" s="306"/>
      <c r="P482" s="306"/>
      <c r="Q482" s="298"/>
      <c r="R482" s="298"/>
      <c r="S482" s="299"/>
      <c r="T482" s="300">
        <v>43704.0</v>
      </c>
      <c r="U482" s="299"/>
      <c r="V482" s="299"/>
      <c r="W482" s="298" t="s">
        <v>50</v>
      </c>
      <c r="X482" s="298" t="s">
        <v>285</v>
      </c>
      <c r="Y482" s="298" t="s">
        <v>286</v>
      </c>
      <c r="Z482" s="298" t="s">
        <v>52</v>
      </c>
      <c r="AA482" s="234" t="s">
        <v>507</v>
      </c>
    </row>
    <row r="483" ht="42.75" customHeight="1">
      <c r="A483" s="69">
        <v>43620.0</v>
      </c>
      <c r="B483" s="309" t="s">
        <v>101</v>
      </c>
      <c r="C483" s="20" t="s">
        <v>1154</v>
      </c>
      <c r="D483" s="20" t="s">
        <v>1155</v>
      </c>
      <c r="E483" s="20" t="s">
        <v>1161</v>
      </c>
      <c r="F483" s="24">
        <v>8.0</v>
      </c>
      <c r="G483" s="48">
        <v>47.0</v>
      </c>
      <c r="H483" s="60">
        <v>376.0</v>
      </c>
      <c r="I483" s="61" t="s">
        <v>105</v>
      </c>
      <c r="J483" s="63" t="s">
        <v>1018</v>
      </c>
      <c r="K483" s="29">
        <v>43651.0</v>
      </c>
      <c r="L483" s="306"/>
      <c r="M483" s="306"/>
      <c r="N483" s="306"/>
      <c r="O483" s="306"/>
      <c r="P483" s="306"/>
      <c r="Q483" s="298"/>
      <c r="R483" s="298"/>
      <c r="S483" s="299"/>
      <c r="T483" s="300">
        <v>43704.0</v>
      </c>
      <c r="U483" s="299"/>
      <c r="V483" s="299"/>
      <c r="W483" s="298" t="s">
        <v>50</v>
      </c>
      <c r="X483" s="298" t="s">
        <v>285</v>
      </c>
      <c r="Y483" s="298" t="s">
        <v>286</v>
      </c>
      <c r="Z483" s="298" t="s">
        <v>52</v>
      </c>
      <c r="AA483" s="234" t="s">
        <v>507</v>
      </c>
    </row>
    <row r="484" ht="42.75" customHeight="1">
      <c r="A484" s="69">
        <v>43620.0</v>
      </c>
      <c r="B484" s="70" t="s">
        <v>1085</v>
      </c>
      <c r="C484" s="70" t="s">
        <v>1162</v>
      </c>
      <c r="D484" s="70" t="s">
        <v>1163</v>
      </c>
      <c r="E484" s="23" t="s">
        <v>1088</v>
      </c>
      <c r="F484" s="24">
        <v>6.0</v>
      </c>
      <c r="G484" s="48">
        <v>155.4</v>
      </c>
      <c r="H484" s="442">
        <v>932.4000000000001</v>
      </c>
      <c r="I484" s="61" t="s">
        <v>248</v>
      </c>
      <c r="J484" s="161" t="s">
        <v>1164</v>
      </c>
      <c r="K484" s="29">
        <v>43622.0</v>
      </c>
      <c r="L484" s="306"/>
      <c r="M484" s="306"/>
      <c r="N484" s="306"/>
      <c r="O484" s="306"/>
      <c r="P484" s="306"/>
      <c r="Q484" s="298"/>
      <c r="R484" s="298"/>
      <c r="S484" s="299"/>
      <c r="T484" s="300">
        <v>43651.0</v>
      </c>
      <c r="U484" s="299">
        <v>0.0</v>
      </c>
      <c r="V484" s="299">
        <v>0.0</v>
      </c>
      <c r="W484" s="298" t="s">
        <v>50</v>
      </c>
      <c r="X484" s="298" t="s">
        <v>285</v>
      </c>
      <c r="Y484" s="298" t="s">
        <v>286</v>
      </c>
      <c r="Z484" s="298" t="s">
        <v>377</v>
      </c>
      <c r="AA484" s="234" t="s">
        <v>507</v>
      </c>
    </row>
    <row r="485" ht="42.75" customHeight="1">
      <c r="A485" s="69">
        <v>43620.0</v>
      </c>
      <c r="B485" s="70" t="s">
        <v>579</v>
      </c>
      <c r="C485" s="503"/>
      <c r="D485" s="70" t="s">
        <v>1165</v>
      </c>
      <c r="E485" s="499" t="s">
        <v>1166</v>
      </c>
      <c r="F485" s="24">
        <v>2.0</v>
      </c>
      <c r="G485" s="48">
        <v>194.25</v>
      </c>
      <c r="H485" s="60">
        <v>388.5</v>
      </c>
      <c r="I485" s="61" t="s">
        <v>248</v>
      </c>
      <c r="J485" s="63" t="s">
        <v>582</v>
      </c>
      <c r="K485" s="29">
        <v>43628.0</v>
      </c>
      <c r="L485" s="302">
        <v>43677.0</v>
      </c>
      <c r="M485" s="302">
        <v>43626.0</v>
      </c>
      <c r="N485" s="296" t="s">
        <v>1167</v>
      </c>
      <c r="O485" s="296">
        <v>10570.0</v>
      </c>
      <c r="P485" s="302">
        <v>43677.0</v>
      </c>
      <c r="Q485" s="371"/>
      <c r="R485" s="371"/>
      <c r="S485" s="372"/>
      <c r="T485" s="373">
        <v>43633.0</v>
      </c>
      <c r="U485" s="372"/>
      <c r="V485" s="372"/>
      <c r="W485" s="371" t="s">
        <v>50</v>
      </c>
      <c r="X485" s="371" t="s">
        <v>285</v>
      </c>
      <c r="Y485" s="371" t="s">
        <v>51</v>
      </c>
      <c r="Z485" s="371" t="s">
        <v>377</v>
      </c>
      <c r="AA485" s="374" t="s">
        <v>440</v>
      </c>
    </row>
    <row r="486" ht="42.75" customHeight="1">
      <c r="A486" s="69">
        <v>43620.0</v>
      </c>
      <c r="B486" s="70" t="s">
        <v>130</v>
      </c>
      <c r="C486" s="70" t="s">
        <v>1168</v>
      </c>
      <c r="D486" s="70" t="s">
        <v>1169</v>
      </c>
      <c r="E486" s="499" t="s">
        <v>950</v>
      </c>
      <c r="F486" s="24">
        <v>1.0</v>
      </c>
      <c r="G486" s="48">
        <v>245.0</v>
      </c>
      <c r="H486" s="60">
        <v>245.0</v>
      </c>
      <c r="I486" s="61" t="s">
        <v>248</v>
      </c>
      <c r="J486" s="63" t="s">
        <v>134</v>
      </c>
      <c r="K486" s="29">
        <v>43636.0</v>
      </c>
      <c r="L486" s="462">
        <v>43677.0</v>
      </c>
      <c r="M486" s="462">
        <v>43630.0</v>
      </c>
      <c r="N486" s="306" t="s">
        <v>1170</v>
      </c>
      <c r="O486" s="306">
        <v>63710.0</v>
      </c>
      <c r="P486" s="462">
        <v>43677.0</v>
      </c>
      <c r="Q486" s="298"/>
      <c r="R486" s="298">
        <v>31.325</v>
      </c>
      <c r="S486" s="299"/>
      <c r="T486" s="300">
        <v>43654.0</v>
      </c>
      <c r="U486" s="299">
        <f>2282.58*31.13</f>
        <v>71056.7154</v>
      </c>
      <c r="V486" s="299">
        <f>17.42*31.13</f>
        <v>542.2846</v>
      </c>
      <c r="W486" s="298" t="s">
        <v>50</v>
      </c>
      <c r="X486" s="82" t="s">
        <v>285</v>
      </c>
      <c r="Y486" s="298" t="s">
        <v>51</v>
      </c>
      <c r="Z486" s="298" t="s">
        <v>52</v>
      </c>
      <c r="AA486" s="459" t="s">
        <v>750</v>
      </c>
    </row>
    <row r="487" ht="42.75" customHeight="1">
      <c r="A487" s="69">
        <v>43620.0</v>
      </c>
      <c r="B487" s="70" t="s">
        <v>130</v>
      </c>
      <c r="C487" s="70" t="s">
        <v>1168</v>
      </c>
      <c r="D487" s="70" t="s">
        <v>1169</v>
      </c>
      <c r="E487" s="23" t="s">
        <v>889</v>
      </c>
      <c r="F487" s="24">
        <v>5.0</v>
      </c>
      <c r="G487" s="48">
        <v>90.0</v>
      </c>
      <c r="H487" s="60">
        <v>450.0</v>
      </c>
      <c r="I487" s="61" t="s">
        <v>248</v>
      </c>
      <c r="J487" s="63" t="s">
        <v>134</v>
      </c>
      <c r="K487" s="29">
        <v>43636.0</v>
      </c>
      <c r="L487" s="462">
        <v>43677.0</v>
      </c>
      <c r="M487" s="462">
        <v>43630.0</v>
      </c>
      <c r="N487" s="306" t="s">
        <v>1170</v>
      </c>
      <c r="O487" s="306"/>
      <c r="P487" s="462">
        <v>43677.0</v>
      </c>
      <c r="Q487" s="298"/>
      <c r="R487" s="298">
        <v>31.325</v>
      </c>
      <c r="S487" s="299"/>
      <c r="T487" s="300">
        <v>43654.0</v>
      </c>
      <c r="U487" s="299"/>
      <c r="V487" s="299"/>
      <c r="W487" s="298" t="s">
        <v>50</v>
      </c>
      <c r="X487" s="82" t="s">
        <v>285</v>
      </c>
      <c r="Y487" s="298" t="s">
        <v>51</v>
      </c>
      <c r="Z487" s="298" t="s">
        <v>52</v>
      </c>
      <c r="AA487" s="459" t="s">
        <v>750</v>
      </c>
    </row>
    <row r="488" ht="42.75" customHeight="1">
      <c r="A488" s="69">
        <v>43620.0</v>
      </c>
      <c r="B488" s="70" t="s">
        <v>130</v>
      </c>
      <c r="C488" s="21" t="s">
        <v>1168</v>
      </c>
      <c r="D488" s="21" t="s">
        <v>1169</v>
      </c>
      <c r="E488" s="23" t="s">
        <v>886</v>
      </c>
      <c r="F488" s="24">
        <v>8.0</v>
      </c>
      <c r="G488" s="48">
        <v>4.0</v>
      </c>
      <c r="H488" s="60">
        <v>32.0</v>
      </c>
      <c r="I488" s="87" t="s">
        <v>248</v>
      </c>
      <c r="J488" s="63" t="s">
        <v>134</v>
      </c>
      <c r="K488" s="29">
        <v>43636.0</v>
      </c>
      <c r="L488" s="462">
        <v>43677.0</v>
      </c>
      <c r="M488" s="462">
        <v>43630.0</v>
      </c>
      <c r="N488" s="306" t="s">
        <v>1170</v>
      </c>
      <c r="O488" s="306"/>
      <c r="P488" s="462">
        <v>43677.0</v>
      </c>
      <c r="Q488" s="298"/>
      <c r="R488" s="298">
        <v>31.325</v>
      </c>
      <c r="S488" s="299"/>
      <c r="T488" s="300">
        <v>43654.0</v>
      </c>
      <c r="U488" s="299"/>
      <c r="V488" s="299"/>
      <c r="W488" s="298" t="s">
        <v>50</v>
      </c>
      <c r="X488" s="82" t="s">
        <v>285</v>
      </c>
      <c r="Y488" s="298" t="s">
        <v>51</v>
      </c>
      <c r="Z488" s="298" t="s">
        <v>52</v>
      </c>
      <c r="AA488" s="459" t="s">
        <v>750</v>
      </c>
    </row>
    <row r="489" ht="42.75" customHeight="1">
      <c r="A489" s="69">
        <v>43620.0</v>
      </c>
      <c r="B489" s="21" t="s">
        <v>130</v>
      </c>
      <c r="C489" s="240" t="s">
        <v>1168</v>
      </c>
      <c r="D489" s="21" t="s">
        <v>1169</v>
      </c>
      <c r="E489" s="32" t="s">
        <v>239</v>
      </c>
      <c r="F489" s="24">
        <v>25.0</v>
      </c>
      <c r="G489" s="48">
        <v>58.0</v>
      </c>
      <c r="H489" s="60">
        <v>1450.0</v>
      </c>
      <c r="I489" s="87" t="s">
        <v>248</v>
      </c>
      <c r="J489" s="63" t="s">
        <v>134</v>
      </c>
      <c r="K489" s="29">
        <v>43636.0</v>
      </c>
      <c r="L489" s="462">
        <v>43677.0</v>
      </c>
      <c r="M489" s="462">
        <v>43630.0</v>
      </c>
      <c r="N489" s="306" t="s">
        <v>1170</v>
      </c>
      <c r="O489" s="306"/>
      <c r="P489" s="462">
        <v>43677.0</v>
      </c>
      <c r="Q489" s="298"/>
      <c r="R489" s="298">
        <v>31.325</v>
      </c>
      <c r="S489" s="299"/>
      <c r="T489" s="300">
        <v>43654.0</v>
      </c>
      <c r="U489" s="299"/>
      <c r="V489" s="299"/>
      <c r="W489" s="298" t="s">
        <v>50</v>
      </c>
      <c r="X489" s="82" t="s">
        <v>285</v>
      </c>
      <c r="Y489" s="298" t="s">
        <v>51</v>
      </c>
      <c r="Z489" s="298" t="s">
        <v>52</v>
      </c>
      <c r="AA489" s="459" t="s">
        <v>750</v>
      </c>
    </row>
    <row r="490" ht="42.75" customHeight="1">
      <c r="A490" s="69">
        <v>43621.0</v>
      </c>
      <c r="B490" s="70" t="s">
        <v>1112</v>
      </c>
      <c r="C490" s="21"/>
      <c r="D490" s="21" t="s">
        <v>1171</v>
      </c>
      <c r="E490" s="32" t="s">
        <v>1172</v>
      </c>
      <c r="F490" s="24">
        <v>6.0</v>
      </c>
      <c r="G490" s="48">
        <v>3.0</v>
      </c>
      <c r="H490" s="60">
        <v>18.0</v>
      </c>
      <c r="I490" s="87" t="s">
        <v>248</v>
      </c>
      <c r="J490" s="63" t="s">
        <v>263</v>
      </c>
      <c r="K490" s="30">
        <v>43630.0</v>
      </c>
      <c r="L490" s="302">
        <v>43622.0</v>
      </c>
      <c r="M490" s="302">
        <v>43621.0</v>
      </c>
      <c r="N490" s="296" t="s">
        <v>1173</v>
      </c>
      <c r="O490" s="296">
        <v>315.0</v>
      </c>
      <c r="P490" s="302">
        <v>43622.0</v>
      </c>
      <c r="Q490" s="371"/>
      <c r="R490" s="371">
        <v>31.325</v>
      </c>
      <c r="S490" s="372"/>
      <c r="T490" s="373">
        <v>43626.0</v>
      </c>
      <c r="U490" s="372"/>
      <c r="V490" s="372"/>
      <c r="W490" s="371" t="s">
        <v>50</v>
      </c>
      <c r="X490" s="371" t="s">
        <v>285</v>
      </c>
      <c r="Y490" s="371" t="s">
        <v>51</v>
      </c>
      <c r="Z490" s="371" t="s">
        <v>52</v>
      </c>
      <c r="AA490" s="374" t="s">
        <v>440</v>
      </c>
    </row>
    <row r="491" ht="42.75" customHeight="1">
      <c r="A491" s="69">
        <v>43621.0</v>
      </c>
      <c r="B491" s="70" t="s">
        <v>1112</v>
      </c>
      <c r="C491" s="21"/>
      <c r="D491" s="21" t="s">
        <v>1171</v>
      </c>
      <c r="E491" s="23" t="s">
        <v>1174</v>
      </c>
      <c r="F491" s="24">
        <v>3.0</v>
      </c>
      <c r="G491" s="48">
        <v>152.0</v>
      </c>
      <c r="H491" s="60">
        <v>456.0</v>
      </c>
      <c r="I491" s="87" t="s">
        <v>248</v>
      </c>
      <c r="J491" s="79" t="s">
        <v>263</v>
      </c>
      <c r="K491" s="30">
        <v>43630.0</v>
      </c>
      <c r="L491" s="302">
        <v>43708.0</v>
      </c>
      <c r="M491" s="302">
        <v>43627.0</v>
      </c>
      <c r="N491" s="296" t="s">
        <v>1175</v>
      </c>
      <c r="O491" s="296">
        <v>22646.0</v>
      </c>
      <c r="P491" s="302">
        <v>43710.0</v>
      </c>
      <c r="Q491" s="371"/>
      <c r="R491" s="371">
        <v>31.325</v>
      </c>
      <c r="S491" s="372"/>
      <c r="T491" s="373">
        <v>43626.0</v>
      </c>
      <c r="U491" s="372">
        <f>736.63*31.373</f>
        <v>23110.29299</v>
      </c>
      <c r="V491" s="372">
        <f>(754-736.63)*31.373</f>
        <v>544.94901</v>
      </c>
      <c r="W491" s="371" t="s">
        <v>50</v>
      </c>
      <c r="X491" s="371" t="s">
        <v>285</v>
      </c>
      <c r="Y491" s="371" t="s">
        <v>51</v>
      </c>
      <c r="Z491" s="371" t="s">
        <v>52</v>
      </c>
      <c r="AA491" s="374" t="s">
        <v>440</v>
      </c>
    </row>
    <row r="492" ht="42.75" customHeight="1">
      <c r="A492" s="69">
        <v>43621.0</v>
      </c>
      <c r="B492" s="70" t="s">
        <v>1112</v>
      </c>
      <c r="C492" s="21"/>
      <c r="D492" s="21" t="s">
        <v>1171</v>
      </c>
      <c r="E492" s="23" t="s">
        <v>1176</v>
      </c>
      <c r="F492" s="24">
        <v>1.0</v>
      </c>
      <c r="G492" s="48">
        <v>280.0</v>
      </c>
      <c r="H492" s="60">
        <v>280.0</v>
      </c>
      <c r="I492" s="87" t="s">
        <v>248</v>
      </c>
      <c r="J492" s="79" t="s">
        <v>263</v>
      </c>
      <c r="K492" s="30">
        <v>43630.0</v>
      </c>
      <c r="L492" s="302">
        <v>43708.0</v>
      </c>
      <c r="M492" s="302">
        <v>43627.0</v>
      </c>
      <c r="N492" s="296" t="s">
        <v>1175</v>
      </c>
      <c r="O492" s="296"/>
      <c r="P492" s="302">
        <v>43710.0</v>
      </c>
      <c r="Q492" s="371"/>
      <c r="R492" s="371">
        <v>31.325</v>
      </c>
      <c r="S492" s="372"/>
      <c r="T492" s="373">
        <v>43626.0</v>
      </c>
      <c r="U492" s="372"/>
      <c r="V492" s="372"/>
      <c r="W492" s="371" t="s">
        <v>50</v>
      </c>
      <c r="X492" s="371" t="s">
        <v>285</v>
      </c>
      <c r="Y492" s="371" t="s">
        <v>51</v>
      </c>
      <c r="Z492" s="371" t="s">
        <v>52</v>
      </c>
      <c r="AA492" s="374" t="s">
        <v>440</v>
      </c>
    </row>
    <row r="493" ht="42.75" customHeight="1">
      <c r="A493" s="69">
        <v>43622.0</v>
      </c>
      <c r="B493" s="70" t="s">
        <v>631</v>
      </c>
      <c r="C493" s="21" t="s">
        <v>1177</v>
      </c>
      <c r="D493" s="21" t="s">
        <v>1178</v>
      </c>
      <c r="E493" s="23" t="s">
        <v>634</v>
      </c>
      <c r="F493" s="24">
        <v>10.0</v>
      </c>
      <c r="G493" s="48">
        <v>173.25</v>
      </c>
      <c r="H493" s="165">
        <v>1732.5</v>
      </c>
      <c r="I493" s="87" t="s">
        <v>248</v>
      </c>
      <c r="J493" s="79" t="s">
        <v>1179</v>
      </c>
      <c r="K493" s="30">
        <v>43627.0</v>
      </c>
      <c r="L493" s="462">
        <v>43651.0</v>
      </c>
      <c r="M493" s="462">
        <v>43626.0</v>
      </c>
      <c r="N493" s="306" t="s">
        <v>1180</v>
      </c>
      <c r="O493" s="306">
        <v>50925.0</v>
      </c>
      <c r="P493" s="462">
        <v>43654.0</v>
      </c>
      <c r="Q493" s="298"/>
      <c r="R493" s="298"/>
      <c r="S493" s="299"/>
      <c r="T493" s="300">
        <v>43664.0</v>
      </c>
      <c r="U493" s="299">
        <v>54452.0</v>
      </c>
      <c r="V493" s="299">
        <v>0.0</v>
      </c>
      <c r="W493" s="298" t="s">
        <v>50</v>
      </c>
      <c r="X493" s="82" t="s">
        <v>285</v>
      </c>
      <c r="Y493" s="298" t="s">
        <v>51</v>
      </c>
      <c r="Z493" s="298" t="s">
        <v>377</v>
      </c>
      <c r="AA493" s="459" t="s">
        <v>750</v>
      </c>
    </row>
    <row r="494" ht="42.75" customHeight="1">
      <c r="A494" s="69">
        <v>43622.0</v>
      </c>
      <c r="B494" s="21" t="s">
        <v>1181</v>
      </c>
      <c r="C494" s="21"/>
      <c r="D494" s="21" t="s">
        <v>1182</v>
      </c>
      <c r="E494" s="23" t="s">
        <v>1183</v>
      </c>
      <c r="F494" s="24">
        <v>6.0</v>
      </c>
      <c r="G494" s="48">
        <v>101.0</v>
      </c>
      <c r="H494" s="60">
        <v>606.0</v>
      </c>
      <c r="I494" s="87" t="s">
        <v>248</v>
      </c>
      <c r="J494" s="50" t="s">
        <v>1184</v>
      </c>
      <c r="K494" s="30">
        <v>43658.0</v>
      </c>
      <c r="L494" s="462">
        <v>43708.0</v>
      </c>
      <c r="M494" s="462">
        <v>43648.0</v>
      </c>
      <c r="N494" s="306" t="s">
        <v>1185</v>
      </c>
      <c r="O494" s="306">
        <v>17396.0</v>
      </c>
      <c r="P494" s="462">
        <v>43706.0</v>
      </c>
      <c r="Q494" s="298"/>
      <c r="R494" s="298"/>
      <c r="S494" s="299"/>
      <c r="T494" s="300">
        <v>43656.0</v>
      </c>
      <c r="U494" s="299">
        <f>617.56*31.08</f>
        <v>19193.7648</v>
      </c>
      <c r="V494" s="299">
        <f>28.44*31.08</f>
        <v>883.9152</v>
      </c>
      <c r="W494" s="298" t="s">
        <v>50</v>
      </c>
      <c r="X494" s="82" t="s">
        <v>285</v>
      </c>
      <c r="Y494" s="298" t="s">
        <v>51</v>
      </c>
      <c r="Z494" s="298" t="s">
        <v>52</v>
      </c>
      <c r="AA494" s="459" t="s">
        <v>750</v>
      </c>
    </row>
    <row r="495" ht="42.75" customHeight="1">
      <c r="A495" s="69">
        <v>43622.0</v>
      </c>
      <c r="B495" s="21" t="s">
        <v>1181</v>
      </c>
      <c r="C495" s="21"/>
      <c r="D495" s="21" t="s">
        <v>1182</v>
      </c>
      <c r="E495" s="32" t="s">
        <v>842</v>
      </c>
      <c r="F495" s="24">
        <v>1.0</v>
      </c>
      <c r="G495" s="48">
        <v>40.0</v>
      </c>
      <c r="H495" s="60">
        <v>40.0</v>
      </c>
      <c r="I495" s="87" t="s">
        <v>248</v>
      </c>
      <c r="J495" s="50" t="s">
        <v>1184</v>
      </c>
      <c r="K495" s="30">
        <v>43658.0</v>
      </c>
      <c r="L495" s="52"/>
      <c r="M495" s="53"/>
      <c r="N495" s="53"/>
      <c r="O495" s="53"/>
      <c r="P495" s="53"/>
      <c r="Q495" s="54"/>
      <c r="R495" s="54"/>
      <c r="S495" s="55"/>
      <c r="T495" s="56">
        <v>43656.0</v>
      </c>
      <c r="U495" s="55"/>
      <c r="V495" s="55"/>
      <c r="W495" s="54" t="s">
        <v>50</v>
      </c>
      <c r="X495" s="24" t="s">
        <v>285</v>
      </c>
      <c r="Y495" s="54" t="s">
        <v>51</v>
      </c>
      <c r="Z495" s="54" t="s">
        <v>52</v>
      </c>
      <c r="AA495" s="57"/>
    </row>
    <row r="496" ht="42.75" customHeight="1">
      <c r="A496" s="69">
        <v>43622.0</v>
      </c>
      <c r="B496" s="70" t="s">
        <v>119</v>
      </c>
      <c r="C496" s="21" t="s">
        <v>1186</v>
      </c>
      <c r="D496" s="21" t="s">
        <v>1187</v>
      </c>
      <c r="E496" s="32" t="s">
        <v>165</v>
      </c>
      <c r="F496" s="24">
        <v>100.0</v>
      </c>
      <c r="G496" s="48">
        <v>105.0</v>
      </c>
      <c r="H496" s="60">
        <v>10500.0</v>
      </c>
      <c r="I496" s="87" t="s">
        <v>248</v>
      </c>
      <c r="J496" s="82" t="s">
        <v>122</v>
      </c>
      <c r="K496" s="30">
        <v>43669.0</v>
      </c>
      <c r="L496" s="462">
        <v>43677.0</v>
      </c>
      <c r="M496" s="462">
        <v>43634.0</v>
      </c>
      <c r="N496" s="306" t="s">
        <v>1188</v>
      </c>
      <c r="O496" s="306">
        <v>269708.0</v>
      </c>
      <c r="P496" s="462">
        <v>43677.0</v>
      </c>
      <c r="Q496" s="298"/>
      <c r="R496" s="298"/>
      <c r="S496" s="299"/>
      <c r="T496" s="300">
        <v>43770.0</v>
      </c>
      <c r="U496" s="299">
        <f>10483.43*30.44</f>
        <v>319115.6092</v>
      </c>
      <c r="V496" s="299">
        <f>(10500-10483.43)*30.44</f>
        <v>504.3908</v>
      </c>
      <c r="W496" s="298" t="s">
        <v>50</v>
      </c>
      <c r="X496" s="298" t="s">
        <v>285</v>
      </c>
      <c r="Y496" s="298" t="s">
        <v>51</v>
      </c>
      <c r="Z496" s="298" t="s">
        <v>52</v>
      </c>
      <c r="AA496" s="234" t="s">
        <v>507</v>
      </c>
    </row>
    <row r="497" ht="42.75" customHeight="1">
      <c r="A497" s="69">
        <v>43622.0</v>
      </c>
      <c r="B497" s="144" t="s">
        <v>77</v>
      </c>
      <c r="C497" s="21">
        <v>425.0</v>
      </c>
      <c r="D497" s="21" t="s">
        <v>1189</v>
      </c>
      <c r="E497" s="32" t="s">
        <v>644</v>
      </c>
      <c r="F497" s="24">
        <v>2.0</v>
      </c>
      <c r="G497" s="48">
        <v>200.0</v>
      </c>
      <c r="H497" s="26">
        <v>400.0</v>
      </c>
      <c r="I497" s="87" t="s">
        <v>43</v>
      </c>
      <c r="J497" s="58" t="s">
        <v>316</v>
      </c>
      <c r="K497" s="29">
        <v>43643.0</v>
      </c>
      <c r="L497" s="462">
        <v>43651.0</v>
      </c>
      <c r="M497" s="462">
        <v>43636.0</v>
      </c>
      <c r="N497" s="306" t="s">
        <v>1190</v>
      </c>
      <c r="O497" s="306">
        <v>10055.0</v>
      </c>
      <c r="P497" s="462">
        <v>43656.0</v>
      </c>
      <c r="Q497" s="298"/>
      <c r="R497" s="298"/>
      <c r="S497" s="299"/>
      <c r="T497" s="300">
        <v>43679.0</v>
      </c>
      <c r="U497" s="299"/>
      <c r="V497" s="299"/>
      <c r="W497" s="298" t="s">
        <v>50</v>
      </c>
      <c r="X497" s="298" t="s">
        <v>285</v>
      </c>
      <c r="Y497" s="298" t="s">
        <v>286</v>
      </c>
      <c r="Z497" s="298" t="s">
        <v>52</v>
      </c>
      <c r="AA497" s="234" t="s">
        <v>507</v>
      </c>
    </row>
    <row r="498" ht="42.75" customHeight="1">
      <c r="A498" s="69">
        <v>43622.0</v>
      </c>
      <c r="B498" s="147" t="s">
        <v>77</v>
      </c>
      <c r="C498" s="21">
        <v>425.0</v>
      </c>
      <c r="D498" s="21" t="s">
        <v>1189</v>
      </c>
      <c r="E498" s="32" t="s">
        <v>650</v>
      </c>
      <c r="F498" s="24">
        <v>2.0</v>
      </c>
      <c r="G498" s="48">
        <v>2.0</v>
      </c>
      <c r="H498" s="26">
        <v>4.0</v>
      </c>
      <c r="I498" s="87" t="s">
        <v>43</v>
      </c>
      <c r="J498" s="58" t="s">
        <v>316</v>
      </c>
      <c r="K498" s="29">
        <v>43643.0</v>
      </c>
      <c r="L498" s="306"/>
      <c r="M498" s="306"/>
      <c r="N498" s="306"/>
      <c r="O498" s="306"/>
      <c r="P498" s="306"/>
      <c r="Q498" s="298"/>
      <c r="R498" s="298"/>
      <c r="S498" s="299"/>
      <c r="T498" s="300">
        <v>43679.0</v>
      </c>
      <c r="U498" s="299">
        <f>541*31.29</f>
        <v>16927.89</v>
      </c>
      <c r="V498" s="299">
        <v>0.0</v>
      </c>
      <c r="W498" s="298" t="s">
        <v>50</v>
      </c>
      <c r="X498" s="298" t="s">
        <v>285</v>
      </c>
      <c r="Y498" s="298" t="s">
        <v>286</v>
      </c>
      <c r="Z498" s="298" t="s">
        <v>52</v>
      </c>
      <c r="AA498" s="234" t="s">
        <v>507</v>
      </c>
    </row>
    <row r="499" ht="42.75" customHeight="1">
      <c r="A499" s="69">
        <v>43622.0</v>
      </c>
      <c r="B499" s="144" t="s">
        <v>77</v>
      </c>
      <c r="C499" s="21">
        <v>425.0</v>
      </c>
      <c r="D499" s="21" t="s">
        <v>1189</v>
      </c>
      <c r="E499" s="32" t="s">
        <v>651</v>
      </c>
      <c r="F499" s="24">
        <v>2.0</v>
      </c>
      <c r="G499" s="48">
        <v>6.0</v>
      </c>
      <c r="H499" s="26">
        <v>12.0</v>
      </c>
      <c r="I499" s="87" t="s">
        <v>43</v>
      </c>
      <c r="J499" s="58" t="s">
        <v>316</v>
      </c>
      <c r="K499" s="29">
        <v>43643.0</v>
      </c>
      <c r="L499" s="306"/>
      <c r="M499" s="306"/>
      <c r="N499" s="306"/>
      <c r="O499" s="306"/>
      <c r="P499" s="306"/>
      <c r="Q499" s="298"/>
      <c r="R499" s="298"/>
      <c r="S499" s="299"/>
      <c r="T499" s="300">
        <v>43679.0</v>
      </c>
      <c r="U499" s="299"/>
      <c r="V499" s="299"/>
      <c r="W499" s="298" t="s">
        <v>50</v>
      </c>
      <c r="X499" s="298" t="s">
        <v>285</v>
      </c>
      <c r="Y499" s="298" t="s">
        <v>286</v>
      </c>
      <c r="Z499" s="298" t="s">
        <v>52</v>
      </c>
      <c r="AA499" s="234" t="s">
        <v>507</v>
      </c>
    </row>
    <row r="500" ht="42.75" customHeight="1">
      <c r="A500" s="69">
        <v>43622.0</v>
      </c>
      <c r="B500" s="144" t="s">
        <v>77</v>
      </c>
      <c r="C500" s="21">
        <v>425.0</v>
      </c>
      <c r="D500" s="21" t="s">
        <v>1189</v>
      </c>
      <c r="E500" s="32" t="s">
        <v>646</v>
      </c>
      <c r="F500" s="24">
        <v>2.0</v>
      </c>
      <c r="G500" s="48">
        <v>0.0</v>
      </c>
      <c r="H500" s="26">
        <v>0.0</v>
      </c>
      <c r="I500" s="87" t="s">
        <v>43</v>
      </c>
      <c r="J500" s="58" t="s">
        <v>316</v>
      </c>
      <c r="K500" s="29">
        <v>43643.0</v>
      </c>
      <c r="L500" s="306"/>
      <c r="M500" s="306"/>
      <c r="N500" s="306"/>
      <c r="O500" s="306"/>
      <c r="P500" s="306"/>
      <c r="Q500" s="298"/>
      <c r="R500" s="298"/>
      <c r="S500" s="299"/>
      <c r="T500" s="300">
        <v>43679.0</v>
      </c>
      <c r="U500" s="299"/>
      <c r="V500" s="299"/>
      <c r="W500" s="298" t="s">
        <v>50</v>
      </c>
      <c r="X500" s="298" t="s">
        <v>285</v>
      </c>
      <c r="Y500" s="298" t="s">
        <v>286</v>
      </c>
      <c r="Z500" s="298" t="s">
        <v>52</v>
      </c>
      <c r="AA500" s="234" t="s">
        <v>507</v>
      </c>
    </row>
    <row r="501" ht="42.75" customHeight="1">
      <c r="A501" s="69">
        <v>43622.0</v>
      </c>
      <c r="B501" s="144" t="s">
        <v>77</v>
      </c>
      <c r="C501" s="21">
        <v>425.0</v>
      </c>
      <c r="D501" s="21" t="s">
        <v>1189</v>
      </c>
      <c r="E501" s="23" t="s">
        <v>647</v>
      </c>
      <c r="F501" s="24">
        <v>2.0</v>
      </c>
      <c r="G501" s="48">
        <v>0.0</v>
      </c>
      <c r="H501" s="26">
        <v>0.0</v>
      </c>
      <c r="I501" s="61" t="s">
        <v>43</v>
      </c>
      <c r="J501" s="58" t="s">
        <v>316</v>
      </c>
      <c r="K501" s="29">
        <v>43643.0</v>
      </c>
      <c r="L501" s="306"/>
      <c r="M501" s="306"/>
      <c r="N501" s="306"/>
      <c r="O501" s="306"/>
      <c r="P501" s="306"/>
      <c r="Q501" s="298"/>
      <c r="R501" s="298"/>
      <c r="S501" s="299"/>
      <c r="T501" s="300">
        <v>43679.0</v>
      </c>
      <c r="U501" s="299"/>
      <c r="V501" s="299"/>
      <c r="W501" s="298" t="s">
        <v>50</v>
      </c>
      <c r="X501" s="298" t="s">
        <v>285</v>
      </c>
      <c r="Y501" s="298" t="s">
        <v>286</v>
      </c>
      <c r="Z501" s="298" t="s">
        <v>52</v>
      </c>
      <c r="AA501" s="234" t="s">
        <v>507</v>
      </c>
    </row>
    <row r="502" ht="42.75" customHeight="1">
      <c r="A502" s="69">
        <v>43622.0</v>
      </c>
      <c r="B502" s="144" t="s">
        <v>77</v>
      </c>
      <c r="C502" s="21">
        <v>425.0</v>
      </c>
      <c r="D502" s="21" t="s">
        <v>1189</v>
      </c>
      <c r="E502" s="23" t="s">
        <v>648</v>
      </c>
      <c r="F502" s="24">
        <v>2.0</v>
      </c>
      <c r="G502" s="48">
        <v>0.0</v>
      </c>
      <c r="H502" s="26">
        <v>0.0</v>
      </c>
      <c r="I502" s="61" t="s">
        <v>43</v>
      </c>
      <c r="J502" s="58" t="s">
        <v>316</v>
      </c>
      <c r="K502" s="29">
        <v>43643.0</v>
      </c>
      <c r="L502" s="306"/>
      <c r="M502" s="306"/>
      <c r="N502" s="306"/>
      <c r="O502" s="306"/>
      <c r="P502" s="306"/>
      <c r="Q502" s="298"/>
      <c r="R502" s="298"/>
      <c r="S502" s="299"/>
      <c r="T502" s="300">
        <v>43679.0</v>
      </c>
      <c r="U502" s="299"/>
      <c r="V502" s="299"/>
      <c r="W502" s="298" t="s">
        <v>50</v>
      </c>
      <c r="X502" s="298" t="s">
        <v>285</v>
      </c>
      <c r="Y502" s="298" t="s">
        <v>286</v>
      </c>
      <c r="Z502" s="298" t="s">
        <v>52</v>
      </c>
      <c r="AA502" s="234" t="s">
        <v>507</v>
      </c>
    </row>
    <row r="503" ht="42.75" customHeight="1">
      <c r="A503" s="69">
        <v>43622.0</v>
      </c>
      <c r="B503" s="144" t="s">
        <v>77</v>
      </c>
      <c r="C503" s="21">
        <v>425.0</v>
      </c>
      <c r="D503" s="21" t="s">
        <v>1189</v>
      </c>
      <c r="E503" s="23" t="s">
        <v>649</v>
      </c>
      <c r="F503" s="24">
        <v>2.0</v>
      </c>
      <c r="G503" s="48">
        <v>0.0</v>
      </c>
      <c r="H503" s="26">
        <v>0.0</v>
      </c>
      <c r="I503" s="61" t="s">
        <v>43</v>
      </c>
      <c r="J503" s="58" t="s">
        <v>316</v>
      </c>
      <c r="K503" s="29">
        <v>43643.0</v>
      </c>
      <c r="L503" s="306"/>
      <c r="M503" s="306"/>
      <c r="N503" s="306"/>
      <c r="O503" s="306"/>
      <c r="P503" s="306"/>
      <c r="Q503" s="298"/>
      <c r="R503" s="298"/>
      <c r="S503" s="299"/>
      <c r="T503" s="300">
        <v>43679.0</v>
      </c>
      <c r="U503" s="299"/>
      <c r="V503" s="299"/>
      <c r="W503" s="298" t="s">
        <v>50</v>
      </c>
      <c r="X503" s="298" t="s">
        <v>285</v>
      </c>
      <c r="Y503" s="298" t="s">
        <v>286</v>
      </c>
      <c r="Z503" s="298" t="s">
        <v>52</v>
      </c>
      <c r="AA503" s="234" t="s">
        <v>507</v>
      </c>
    </row>
    <row r="504" ht="42.75" customHeight="1">
      <c r="A504" s="69">
        <v>43622.0</v>
      </c>
      <c r="B504" s="144" t="s">
        <v>77</v>
      </c>
      <c r="C504" s="21">
        <v>425.0</v>
      </c>
      <c r="D504" s="21" t="s">
        <v>1189</v>
      </c>
      <c r="E504" s="23" t="s">
        <v>652</v>
      </c>
      <c r="F504" s="24">
        <v>2.0</v>
      </c>
      <c r="G504" s="48">
        <v>0.0</v>
      </c>
      <c r="H504" s="26">
        <v>0.0</v>
      </c>
      <c r="I504" s="61" t="s">
        <v>43</v>
      </c>
      <c r="J504" s="58" t="s">
        <v>316</v>
      </c>
      <c r="K504" s="29">
        <v>43643.0</v>
      </c>
      <c r="L504" s="306"/>
      <c r="M504" s="306"/>
      <c r="N504" s="306"/>
      <c r="O504" s="306"/>
      <c r="P504" s="306"/>
      <c r="Q504" s="298"/>
      <c r="R504" s="298"/>
      <c r="S504" s="299"/>
      <c r="T504" s="300">
        <v>43679.0</v>
      </c>
      <c r="U504" s="299"/>
      <c r="V504" s="299"/>
      <c r="W504" s="298" t="s">
        <v>50</v>
      </c>
      <c r="X504" s="298" t="s">
        <v>285</v>
      </c>
      <c r="Y504" s="298" t="s">
        <v>286</v>
      </c>
      <c r="Z504" s="298" t="s">
        <v>52</v>
      </c>
      <c r="AA504" s="234" t="s">
        <v>507</v>
      </c>
    </row>
    <row r="505" ht="42.75" customHeight="1">
      <c r="A505" s="69">
        <v>43623.0</v>
      </c>
      <c r="B505" s="23" t="s">
        <v>406</v>
      </c>
      <c r="C505" s="21">
        <v>7.000147891E9</v>
      </c>
      <c r="D505" s="21" t="s">
        <v>1191</v>
      </c>
      <c r="E505" s="23" t="s">
        <v>558</v>
      </c>
      <c r="F505" s="24">
        <v>3.0</v>
      </c>
      <c r="G505" s="48">
        <v>148.0</v>
      </c>
      <c r="H505" s="26">
        <v>444.0</v>
      </c>
      <c r="I505" s="61" t="s">
        <v>43</v>
      </c>
      <c r="J505" s="50" t="s">
        <v>513</v>
      </c>
      <c r="K505" s="29">
        <v>43629.0</v>
      </c>
      <c r="L505" s="462">
        <v>43708.0</v>
      </c>
      <c r="M505" s="462">
        <v>43627.0</v>
      </c>
      <c r="N505" s="306" t="s">
        <v>1192</v>
      </c>
      <c r="O505" s="306">
        <v>13813.0</v>
      </c>
      <c r="P505" s="462">
        <v>43710.0</v>
      </c>
      <c r="Q505" s="298"/>
      <c r="R505" s="298">
        <v>31.325</v>
      </c>
      <c r="S505" s="299"/>
      <c r="T505" s="300">
        <v>43677.0</v>
      </c>
      <c r="U505" s="299"/>
      <c r="V505" s="299"/>
      <c r="W505" s="298" t="s">
        <v>50</v>
      </c>
      <c r="X505" s="298" t="s">
        <v>285</v>
      </c>
      <c r="Y505" s="298" t="s">
        <v>51</v>
      </c>
      <c r="Z505" s="298" t="s">
        <v>52</v>
      </c>
      <c r="AA505" s="234" t="s">
        <v>507</v>
      </c>
    </row>
    <row r="506" ht="42.75" customHeight="1">
      <c r="A506" s="69">
        <v>43625.0</v>
      </c>
      <c r="B506" s="23" t="s">
        <v>406</v>
      </c>
      <c r="C506" s="21">
        <v>7.000147924E9</v>
      </c>
      <c r="D506" s="21" t="s">
        <v>1193</v>
      </c>
      <c r="E506" s="23" t="s">
        <v>807</v>
      </c>
      <c r="F506" s="24">
        <v>1.0</v>
      </c>
      <c r="G506" s="48">
        <v>565.0</v>
      </c>
      <c r="H506" s="60">
        <v>565.0</v>
      </c>
      <c r="I506" s="61" t="s">
        <v>43</v>
      </c>
      <c r="J506" s="50" t="s">
        <v>513</v>
      </c>
      <c r="K506" s="29">
        <v>43636.0</v>
      </c>
      <c r="L506" s="462">
        <v>43708.0</v>
      </c>
      <c r="M506" s="462">
        <v>43630.0</v>
      </c>
      <c r="N506" s="306" t="s">
        <v>1194</v>
      </c>
      <c r="O506" s="306">
        <v>15825.0</v>
      </c>
      <c r="P506" s="462">
        <v>43710.0</v>
      </c>
      <c r="Q506" s="298"/>
      <c r="R506" s="298">
        <v>31.325</v>
      </c>
      <c r="S506" s="299"/>
      <c r="T506" s="300">
        <v>43677.0</v>
      </c>
      <c r="U506" s="299"/>
      <c r="V506" s="299"/>
      <c r="W506" s="298" t="s">
        <v>50</v>
      </c>
      <c r="X506" s="298" t="s">
        <v>285</v>
      </c>
      <c r="Y506" s="298" t="s">
        <v>51</v>
      </c>
      <c r="Z506" s="298" t="s">
        <v>52</v>
      </c>
      <c r="AA506" s="234" t="s">
        <v>507</v>
      </c>
    </row>
    <row r="507" ht="42.75" customHeight="1">
      <c r="A507" s="69">
        <v>43626.0</v>
      </c>
      <c r="B507" s="144" t="s">
        <v>167</v>
      </c>
      <c r="C507" s="504" t="s">
        <v>1195</v>
      </c>
      <c r="D507" s="493" t="s">
        <v>1196</v>
      </c>
      <c r="E507" s="23" t="s">
        <v>1197</v>
      </c>
      <c r="F507" s="24">
        <v>1.0</v>
      </c>
      <c r="G507" s="48">
        <v>132.0</v>
      </c>
      <c r="H507" s="60">
        <v>132.0</v>
      </c>
      <c r="I507" s="348" t="s">
        <v>105</v>
      </c>
      <c r="J507" s="58" t="s">
        <v>172</v>
      </c>
      <c r="K507" s="29">
        <v>43664.0</v>
      </c>
      <c r="L507" s="462">
        <v>43682.0</v>
      </c>
      <c r="M507" s="462">
        <v>43649.0</v>
      </c>
      <c r="N507" s="306" t="s">
        <v>1198</v>
      </c>
      <c r="O507" s="306"/>
      <c r="P507" s="462">
        <v>43682.0</v>
      </c>
      <c r="Q507" s="298"/>
      <c r="R507" s="298"/>
      <c r="S507" s="299"/>
      <c r="T507" s="300">
        <v>43629.0</v>
      </c>
      <c r="U507" s="299"/>
      <c r="V507" s="299"/>
      <c r="W507" s="298" t="s">
        <v>50</v>
      </c>
      <c r="X507" s="82" t="s">
        <v>285</v>
      </c>
      <c r="Y507" s="298" t="s">
        <v>286</v>
      </c>
      <c r="Z507" s="298" t="s">
        <v>52</v>
      </c>
      <c r="AA507" s="459" t="s">
        <v>750</v>
      </c>
    </row>
    <row r="508" ht="42.75" customHeight="1">
      <c r="A508" s="69">
        <v>43626.0</v>
      </c>
      <c r="B508" s="144" t="s">
        <v>167</v>
      </c>
      <c r="C508" s="504" t="s">
        <v>1195</v>
      </c>
      <c r="D508" s="505" t="s">
        <v>1196</v>
      </c>
      <c r="E508" s="23" t="s">
        <v>1199</v>
      </c>
      <c r="F508" s="24">
        <v>1.0</v>
      </c>
      <c r="G508" s="48">
        <v>1608.0</v>
      </c>
      <c r="H508" s="60">
        <v>1608.0</v>
      </c>
      <c r="I508" s="348" t="s">
        <v>105</v>
      </c>
      <c r="J508" s="58" t="s">
        <v>172</v>
      </c>
      <c r="K508" s="29">
        <v>43664.0</v>
      </c>
      <c r="L508" s="306"/>
      <c r="M508" s="306"/>
      <c r="N508" s="306"/>
      <c r="O508" s="306"/>
      <c r="P508" s="306"/>
      <c r="Q508" s="298"/>
      <c r="R508" s="298"/>
      <c r="S508" s="299"/>
      <c r="T508" s="300">
        <v>43629.0</v>
      </c>
      <c r="U508" s="299"/>
      <c r="V508" s="299"/>
      <c r="W508" s="298" t="s">
        <v>50</v>
      </c>
      <c r="X508" s="82" t="s">
        <v>285</v>
      </c>
      <c r="Y508" s="298" t="s">
        <v>286</v>
      </c>
      <c r="Z508" s="298" t="s">
        <v>52</v>
      </c>
      <c r="AA508" s="459" t="s">
        <v>750</v>
      </c>
    </row>
    <row r="509" ht="42.75" customHeight="1">
      <c r="A509" s="69">
        <v>43626.0</v>
      </c>
      <c r="B509" s="144" t="s">
        <v>167</v>
      </c>
      <c r="C509" s="504" t="s">
        <v>1195</v>
      </c>
      <c r="D509" s="505" t="s">
        <v>1200</v>
      </c>
      <c r="E509" s="32" t="s">
        <v>1197</v>
      </c>
      <c r="F509" s="24">
        <v>1.0</v>
      </c>
      <c r="G509" s="48">
        <v>132.0</v>
      </c>
      <c r="H509" s="60">
        <v>132.0</v>
      </c>
      <c r="I509" s="348" t="s">
        <v>105</v>
      </c>
      <c r="J509" s="58" t="s">
        <v>172</v>
      </c>
      <c r="K509" s="145">
        <v>43710.0</v>
      </c>
      <c r="L509" s="462">
        <v>43682.0</v>
      </c>
      <c r="M509" s="462">
        <v>43649.0</v>
      </c>
      <c r="N509" s="306" t="s">
        <v>1198</v>
      </c>
      <c r="O509" s="306">
        <v>9837.0</v>
      </c>
      <c r="P509" s="462">
        <v>43682.0</v>
      </c>
      <c r="Q509" s="298"/>
      <c r="R509" s="298"/>
      <c r="S509" s="299"/>
      <c r="T509" s="300">
        <v>43629.0</v>
      </c>
      <c r="U509" s="299"/>
      <c r="V509" s="299"/>
      <c r="W509" s="298" t="s">
        <v>50</v>
      </c>
      <c r="X509" s="82" t="s">
        <v>285</v>
      </c>
      <c r="Y509" s="298" t="s">
        <v>286</v>
      </c>
      <c r="Z509" s="298" t="s">
        <v>52</v>
      </c>
      <c r="AA509" s="459" t="s">
        <v>750</v>
      </c>
    </row>
    <row r="510" ht="42.75" customHeight="1">
      <c r="A510" s="69">
        <v>43626.0</v>
      </c>
      <c r="B510" s="144" t="s">
        <v>167</v>
      </c>
      <c r="C510" s="504" t="s">
        <v>1195</v>
      </c>
      <c r="D510" s="505" t="s">
        <v>1200</v>
      </c>
      <c r="E510" s="23" t="s">
        <v>1201</v>
      </c>
      <c r="F510" s="24">
        <v>1.0</v>
      </c>
      <c r="G510" s="48">
        <v>1667.0</v>
      </c>
      <c r="H510" s="60">
        <v>1667.0</v>
      </c>
      <c r="I510" s="348" t="s">
        <v>105</v>
      </c>
      <c r="J510" s="58" t="s">
        <v>172</v>
      </c>
      <c r="K510" s="145">
        <v>43711.0</v>
      </c>
      <c r="L510" s="306"/>
      <c r="M510" s="306"/>
      <c r="N510" s="306"/>
      <c r="O510" s="306"/>
      <c r="P510" s="306"/>
      <c r="Q510" s="298"/>
      <c r="R510" s="298"/>
      <c r="S510" s="299"/>
      <c r="T510" s="300">
        <v>43629.0</v>
      </c>
      <c r="U510" s="299">
        <f>3492.64*31.47</f>
        <v>109913.3808</v>
      </c>
      <c r="V510" s="299">
        <f>46.36*31.47</f>
        <v>1458.9492</v>
      </c>
      <c r="W510" s="298" t="s">
        <v>50</v>
      </c>
      <c r="X510" s="82" t="s">
        <v>285</v>
      </c>
      <c r="Y510" s="298" t="s">
        <v>286</v>
      </c>
      <c r="Z510" s="298" t="s">
        <v>52</v>
      </c>
      <c r="AA510" s="459" t="s">
        <v>750</v>
      </c>
    </row>
    <row r="511" ht="42.75" customHeight="1">
      <c r="A511" s="69">
        <v>43627.0</v>
      </c>
      <c r="B511" s="70" t="s">
        <v>130</v>
      </c>
      <c r="C511" s="21" t="s">
        <v>1202</v>
      </c>
      <c r="D511" s="506" t="s">
        <v>170</v>
      </c>
      <c r="E511" s="23" t="s">
        <v>1043</v>
      </c>
      <c r="F511" s="24">
        <v>1.0</v>
      </c>
      <c r="G511" s="48">
        <v>123.0</v>
      </c>
      <c r="H511" s="60">
        <v>123.0</v>
      </c>
      <c r="I511" s="61" t="s">
        <v>248</v>
      </c>
      <c r="J511" s="63" t="s">
        <v>134</v>
      </c>
      <c r="K511" s="29">
        <v>43636.0</v>
      </c>
      <c r="L511" s="462">
        <v>43677.0</v>
      </c>
      <c r="M511" s="462">
        <v>43634.0</v>
      </c>
      <c r="N511" s="306" t="s">
        <v>1203</v>
      </c>
      <c r="O511" s="306">
        <v>3750.0</v>
      </c>
      <c r="P511" s="462">
        <v>43677.0</v>
      </c>
      <c r="Q511" s="298"/>
      <c r="R511" s="298">
        <v>31.325</v>
      </c>
      <c r="S511" s="299"/>
      <c r="T511" s="300">
        <v>43654.0</v>
      </c>
      <c r="U511" s="299"/>
      <c r="V511" s="299"/>
      <c r="W511" s="298" t="s">
        <v>50</v>
      </c>
      <c r="X511" s="82" t="s">
        <v>285</v>
      </c>
      <c r="Y511" s="298" t="s">
        <v>51</v>
      </c>
      <c r="Z511" s="298" t="s">
        <v>52</v>
      </c>
      <c r="AA511" s="459" t="s">
        <v>750</v>
      </c>
    </row>
    <row r="512" ht="42.75" customHeight="1">
      <c r="A512" s="69">
        <v>43628.0</v>
      </c>
      <c r="B512" s="70" t="s">
        <v>1204</v>
      </c>
      <c r="C512" s="21" t="s">
        <v>1205</v>
      </c>
      <c r="D512" s="21" t="s">
        <v>1206</v>
      </c>
      <c r="E512" s="23" t="s">
        <v>1207</v>
      </c>
      <c r="F512" s="24">
        <v>2.0</v>
      </c>
      <c r="G512" s="48">
        <v>120.0</v>
      </c>
      <c r="H512" s="60">
        <v>240.0</v>
      </c>
      <c r="I512" s="61" t="s">
        <v>43</v>
      </c>
      <c r="J512" s="50" t="s">
        <v>1208</v>
      </c>
      <c r="K512" s="29">
        <v>43643.0</v>
      </c>
      <c r="L512" s="462">
        <v>43708.0</v>
      </c>
      <c r="M512" s="462">
        <v>43634.0</v>
      </c>
      <c r="N512" s="306" t="s">
        <v>1209</v>
      </c>
      <c r="O512" s="306">
        <v>6640.0</v>
      </c>
      <c r="P512" s="462">
        <v>43710.0</v>
      </c>
      <c r="Q512" s="298"/>
      <c r="R512" s="298"/>
      <c r="S512" s="299"/>
      <c r="T512" s="300">
        <v>43636.0</v>
      </c>
      <c r="U512" s="299"/>
      <c r="V512" s="299"/>
      <c r="W512" s="298" t="s">
        <v>50</v>
      </c>
      <c r="X512" s="82" t="s">
        <v>285</v>
      </c>
      <c r="Y512" s="298" t="s">
        <v>51</v>
      </c>
      <c r="Z512" s="298" t="s">
        <v>52</v>
      </c>
      <c r="AA512" s="459" t="s">
        <v>750</v>
      </c>
    </row>
    <row r="513" ht="42.75" customHeight="1">
      <c r="A513" s="69">
        <v>43628.0</v>
      </c>
      <c r="B513" s="23" t="s">
        <v>406</v>
      </c>
      <c r="C513" s="21">
        <v>7.000148034E9</v>
      </c>
      <c r="D513" s="21" t="s">
        <v>1210</v>
      </c>
      <c r="E513" s="23" t="s">
        <v>684</v>
      </c>
      <c r="F513" s="24">
        <v>2.0</v>
      </c>
      <c r="G513" s="48">
        <v>129.0</v>
      </c>
      <c r="H513" s="60">
        <v>258.0</v>
      </c>
      <c r="I513" s="61" t="s">
        <v>43</v>
      </c>
      <c r="J513" s="50" t="s">
        <v>513</v>
      </c>
      <c r="K513" s="29">
        <v>43636.0</v>
      </c>
      <c r="L513" s="462">
        <v>43708.0</v>
      </c>
      <c r="M513" s="462">
        <v>43633.0</v>
      </c>
      <c r="N513" s="306" t="s">
        <v>1211</v>
      </c>
      <c r="O513" s="306">
        <v>7245.0</v>
      </c>
      <c r="P513" s="462">
        <v>43710.0</v>
      </c>
      <c r="Q513" s="298"/>
      <c r="R513" s="298">
        <v>31.325</v>
      </c>
      <c r="S513" s="299"/>
      <c r="T513" s="300">
        <v>43677.0</v>
      </c>
      <c r="U513" s="299"/>
      <c r="V513" s="299"/>
      <c r="W513" s="298" t="s">
        <v>50</v>
      </c>
      <c r="X513" s="298" t="s">
        <v>285</v>
      </c>
      <c r="Y513" s="298" t="s">
        <v>51</v>
      </c>
      <c r="Z513" s="298" t="s">
        <v>52</v>
      </c>
      <c r="AA513" s="234" t="s">
        <v>507</v>
      </c>
    </row>
    <row r="514" ht="42.75" customHeight="1">
      <c r="A514" s="69">
        <v>43628.0</v>
      </c>
      <c r="B514" s="70" t="s">
        <v>1204</v>
      </c>
      <c r="C514" s="21" t="s">
        <v>1205</v>
      </c>
      <c r="D514" s="21" t="s">
        <v>1212</v>
      </c>
      <c r="E514" s="23" t="s">
        <v>975</v>
      </c>
      <c r="F514" s="24">
        <v>1.0</v>
      </c>
      <c r="G514" s="48">
        <v>88.0</v>
      </c>
      <c r="H514" s="60">
        <v>88.0</v>
      </c>
      <c r="I514" s="61" t="s">
        <v>43</v>
      </c>
      <c r="J514" s="50" t="s">
        <v>1208</v>
      </c>
      <c r="K514" s="29">
        <v>43643.0</v>
      </c>
      <c r="L514" s="462">
        <v>43677.0</v>
      </c>
      <c r="M514" s="462">
        <v>43636.0</v>
      </c>
      <c r="N514" s="306" t="s">
        <v>1213</v>
      </c>
      <c r="O514" s="306">
        <v>2511.0</v>
      </c>
      <c r="P514" s="462">
        <v>43677.0</v>
      </c>
      <c r="Q514" s="298"/>
      <c r="R514" s="298"/>
      <c r="S514" s="299"/>
      <c r="T514" s="300">
        <v>43636.0</v>
      </c>
      <c r="U514" s="299">
        <f>291.55*31</f>
        <v>9038.05</v>
      </c>
      <c r="V514" s="299">
        <f>(328-291.55)*31</f>
        <v>1129.95</v>
      </c>
      <c r="W514" s="298" t="s">
        <v>50</v>
      </c>
      <c r="X514" s="82" t="s">
        <v>285</v>
      </c>
      <c r="Y514" s="298" t="s">
        <v>51</v>
      </c>
      <c r="Z514" s="298" t="s">
        <v>52</v>
      </c>
      <c r="AA514" s="459" t="s">
        <v>750</v>
      </c>
    </row>
    <row r="515" ht="42.75" customHeight="1">
      <c r="A515" s="69">
        <v>43629.0</v>
      </c>
      <c r="B515" s="70" t="s">
        <v>223</v>
      </c>
      <c r="C515" s="21" t="s">
        <v>1214</v>
      </c>
      <c r="D515" s="21" t="s">
        <v>1215</v>
      </c>
      <c r="E515" s="32" t="s">
        <v>1216</v>
      </c>
      <c r="F515" s="24">
        <v>3.0</v>
      </c>
      <c r="G515" s="48">
        <v>135.45</v>
      </c>
      <c r="H515" s="60">
        <v>426.66749999999996</v>
      </c>
      <c r="I515" s="61" t="s">
        <v>248</v>
      </c>
      <c r="J515" s="63" t="s">
        <v>90</v>
      </c>
      <c r="K515" s="29">
        <v>43634.0</v>
      </c>
      <c r="L515" s="462">
        <v>43677.0</v>
      </c>
      <c r="M515" s="462">
        <v>43633.0</v>
      </c>
      <c r="N515" s="306" t="s">
        <v>1217</v>
      </c>
      <c r="O515" s="306">
        <v>11940.0</v>
      </c>
      <c r="P515" s="462">
        <v>43677.0</v>
      </c>
      <c r="Q515" s="298"/>
      <c r="R515" s="298"/>
      <c r="S515" s="299"/>
      <c r="T515" s="300">
        <v>43682.0</v>
      </c>
      <c r="U515" s="299"/>
      <c r="V515" s="299"/>
      <c r="W515" s="298" t="s">
        <v>50</v>
      </c>
      <c r="X515" s="298" t="s">
        <v>285</v>
      </c>
      <c r="Y515" s="298" t="s">
        <v>51</v>
      </c>
      <c r="Z515" s="298" t="s">
        <v>377</v>
      </c>
      <c r="AA515" s="234" t="s">
        <v>507</v>
      </c>
    </row>
    <row r="516" ht="42.75" customHeight="1">
      <c r="A516" s="69">
        <v>43633.0</v>
      </c>
      <c r="B516" s="70" t="s">
        <v>77</v>
      </c>
      <c r="C516" s="21">
        <v>450.0</v>
      </c>
      <c r="D516" s="21" t="s">
        <v>1218</v>
      </c>
      <c r="E516" s="32" t="s">
        <v>1219</v>
      </c>
      <c r="F516" s="24">
        <v>50.0</v>
      </c>
      <c r="G516" s="48">
        <v>2.5</v>
      </c>
      <c r="H516" s="60">
        <v>125.0</v>
      </c>
      <c r="I516" s="61" t="s">
        <v>43</v>
      </c>
      <c r="J516" s="58" t="s">
        <v>316</v>
      </c>
      <c r="K516" s="29">
        <v>43643.0</v>
      </c>
      <c r="L516" s="462">
        <v>43651.0</v>
      </c>
      <c r="M516" s="462">
        <v>43635.0</v>
      </c>
      <c r="N516" s="306" t="s">
        <v>1220</v>
      </c>
      <c r="O516" s="306">
        <v>1890.0</v>
      </c>
      <c r="P516" s="462">
        <v>43654.0</v>
      </c>
      <c r="Q516" s="298"/>
      <c r="R516" s="298"/>
      <c r="S516" s="299"/>
      <c r="T516" s="300">
        <v>43679.0</v>
      </c>
      <c r="U516" s="299"/>
      <c r="V516" s="299"/>
      <c r="W516" s="298" t="s">
        <v>50</v>
      </c>
      <c r="X516" s="298" t="s">
        <v>285</v>
      </c>
      <c r="Y516" s="298" t="s">
        <v>51</v>
      </c>
      <c r="Z516" s="298" t="s">
        <v>52</v>
      </c>
      <c r="AA516" s="234" t="s">
        <v>507</v>
      </c>
    </row>
    <row r="517" ht="42.75" customHeight="1">
      <c r="A517" s="69">
        <v>43635.0</v>
      </c>
      <c r="B517" s="70" t="s">
        <v>1030</v>
      </c>
      <c r="C517" s="21" t="s">
        <v>1221</v>
      </c>
      <c r="D517" s="21" t="s">
        <v>1222</v>
      </c>
      <c r="E517" s="21" t="s">
        <v>1223</v>
      </c>
      <c r="F517" s="24">
        <v>6.0</v>
      </c>
      <c r="G517" s="48">
        <v>134.0</v>
      </c>
      <c r="H517" s="60">
        <v>804.0</v>
      </c>
      <c r="I517" s="61" t="s">
        <v>105</v>
      </c>
      <c r="J517" s="63" t="s">
        <v>1037</v>
      </c>
      <c r="K517" s="29">
        <v>43644.0</v>
      </c>
      <c r="L517" s="462">
        <v>43677.0</v>
      </c>
      <c r="M517" s="462">
        <v>43640.0</v>
      </c>
      <c r="N517" s="306" t="s">
        <v>1224</v>
      </c>
      <c r="O517" s="306">
        <v>23788.0</v>
      </c>
      <c r="P517" s="462">
        <v>43677.0</v>
      </c>
      <c r="Q517" s="298"/>
      <c r="R517" s="298"/>
      <c r="S517" s="299"/>
      <c r="T517" s="300">
        <v>43643.0</v>
      </c>
      <c r="U517" s="299"/>
      <c r="V517" s="299"/>
      <c r="W517" s="298" t="s">
        <v>50</v>
      </c>
      <c r="X517" s="82" t="s">
        <v>285</v>
      </c>
      <c r="Y517" s="298" t="s">
        <v>51</v>
      </c>
      <c r="Z517" s="298" t="s">
        <v>52</v>
      </c>
      <c r="AA517" s="459" t="s">
        <v>750</v>
      </c>
    </row>
    <row r="518" ht="42.75" customHeight="1">
      <c r="A518" s="69">
        <v>43636.0</v>
      </c>
      <c r="B518" s="144" t="s">
        <v>378</v>
      </c>
      <c r="C518" s="21">
        <v>8998.0</v>
      </c>
      <c r="D518" s="21" t="s">
        <v>1225</v>
      </c>
      <c r="E518" s="32" t="s">
        <v>380</v>
      </c>
      <c r="F518" s="435">
        <v>90.0</v>
      </c>
      <c r="G518" s="436">
        <v>62.0</v>
      </c>
      <c r="H518" s="60">
        <v>5580.0</v>
      </c>
      <c r="I518" s="61" t="s">
        <v>1121</v>
      </c>
      <c r="J518" s="161" t="s">
        <v>1122</v>
      </c>
      <c r="K518" s="476">
        <v>43676.0</v>
      </c>
      <c r="L518" s="462">
        <v>43682.0</v>
      </c>
      <c r="M518" s="462">
        <v>43668.0</v>
      </c>
      <c r="N518" s="306" t="s">
        <v>1226</v>
      </c>
      <c r="O518" s="306">
        <v>128331.0</v>
      </c>
      <c r="P518" s="462">
        <v>43682.0</v>
      </c>
      <c r="Q518" s="298"/>
      <c r="R518" s="298"/>
      <c r="S518" s="299"/>
      <c r="T518" s="300">
        <v>43711.0</v>
      </c>
      <c r="U518" s="299">
        <f>5563.6*31.24</f>
        <v>173806.864</v>
      </c>
      <c r="V518" s="299">
        <f>(5580-5563.6)*31.24</f>
        <v>512.336</v>
      </c>
      <c r="W518" s="298" t="s">
        <v>50</v>
      </c>
      <c r="X518" s="298" t="s">
        <v>285</v>
      </c>
      <c r="Y518" s="298" t="s">
        <v>286</v>
      </c>
      <c r="Z518" s="298" t="s">
        <v>52</v>
      </c>
      <c r="AA518" s="234" t="s">
        <v>507</v>
      </c>
    </row>
    <row r="519" ht="42.75" customHeight="1">
      <c r="A519" s="69">
        <v>43636.0</v>
      </c>
      <c r="B519" s="144" t="s">
        <v>378</v>
      </c>
      <c r="C519" s="21">
        <v>8998.0</v>
      </c>
      <c r="D519" s="21" t="s">
        <v>1225</v>
      </c>
      <c r="E519" s="32" t="s">
        <v>383</v>
      </c>
      <c r="F519" s="435">
        <v>90.0</v>
      </c>
      <c r="G519" s="48">
        <v>0.0</v>
      </c>
      <c r="H519" s="60">
        <v>0.0</v>
      </c>
      <c r="I519" s="61" t="s">
        <v>1121</v>
      </c>
      <c r="J519" s="161" t="s">
        <v>1122</v>
      </c>
      <c r="K519" s="476">
        <v>43676.0</v>
      </c>
      <c r="L519" s="306"/>
      <c r="M519" s="306"/>
      <c r="N519" s="306"/>
      <c r="O519" s="306"/>
      <c r="P519" s="306"/>
      <c r="Q519" s="298"/>
      <c r="R519" s="298"/>
      <c r="S519" s="299"/>
      <c r="T519" s="298"/>
      <c r="U519" s="299"/>
      <c r="V519" s="299"/>
      <c r="W519" s="298" t="s">
        <v>1227</v>
      </c>
      <c r="X519" s="298" t="s">
        <v>285</v>
      </c>
      <c r="Y519" s="298" t="s">
        <v>286</v>
      </c>
      <c r="Z519" s="298" t="s">
        <v>52</v>
      </c>
      <c r="AA519" s="234" t="s">
        <v>507</v>
      </c>
    </row>
    <row r="520" ht="42.75" customHeight="1">
      <c r="A520" s="69">
        <v>43636.0</v>
      </c>
      <c r="B520" s="144" t="s">
        <v>378</v>
      </c>
      <c r="C520" s="21">
        <v>8998.0</v>
      </c>
      <c r="D520" s="21" t="s">
        <v>1228</v>
      </c>
      <c r="E520" s="23" t="s">
        <v>380</v>
      </c>
      <c r="F520" s="24">
        <v>200.0</v>
      </c>
      <c r="G520" s="436">
        <v>62.0</v>
      </c>
      <c r="H520" s="60">
        <v>12400.0</v>
      </c>
      <c r="I520" s="61" t="s">
        <v>144</v>
      </c>
      <c r="J520" s="58" t="s">
        <v>1122</v>
      </c>
      <c r="K520" s="30">
        <v>43781.0</v>
      </c>
      <c r="L520" s="462">
        <v>43804.0</v>
      </c>
      <c r="M520" s="462">
        <v>43770.0</v>
      </c>
      <c r="N520" s="306" t="s">
        <v>1229</v>
      </c>
      <c r="O520" s="306"/>
      <c r="P520" s="306"/>
      <c r="Q520" s="298"/>
      <c r="R520" s="298"/>
      <c r="S520" s="299"/>
      <c r="T520" s="300">
        <v>43775.0</v>
      </c>
      <c r="U520" s="299"/>
      <c r="V520" s="299"/>
      <c r="W520" s="298" t="s">
        <v>50</v>
      </c>
      <c r="X520" s="298" t="s">
        <v>285</v>
      </c>
      <c r="Y520" s="298" t="s">
        <v>286</v>
      </c>
      <c r="Z520" s="298" t="s">
        <v>52</v>
      </c>
      <c r="AA520" s="459" t="s">
        <v>763</v>
      </c>
    </row>
    <row r="521" ht="42.75" customHeight="1">
      <c r="A521" s="69">
        <v>43636.0</v>
      </c>
      <c r="B521" s="144" t="s">
        <v>378</v>
      </c>
      <c r="C521" s="21">
        <v>8998.0</v>
      </c>
      <c r="D521" s="21" t="s">
        <v>1230</v>
      </c>
      <c r="E521" s="23" t="s">
        <v>383</v>
      </c>
      <c r="F521" s="24">
        <v>200.0</v>
      </c>
      <c r="G521" s="48">
        <v>0.0</v>
      </c>
      <c r="H521" s="60">
        <v>0.0</v>
      </c>
      <c r="I521" s="61" t="s">
        <v>144</v>
      </c>
      <c r="J521" s="58" t="s">
        <v>1122</v>
      </c>
      <c r="K521" s="30">
        <v>43781.0</v>
      </c>
      <c r="L521" s="306"/>
      <c r="M521" s="306"/>
      <c r="N521" s="306"/>
      <c r="O521" s="306"/>
      <c r="P521" s="306"/>
      <c r="Q521" s="298"/>
      <c r="R521" s="298"/>
      <c r="S521" s="299"/>
      <c r="T521" s="298"/>
      <c r="U521" s="299"/>
      <c r="V521" s="299"/>
      <c r="W521" s="298" t="s">
        <v>1227</v>
      </c>
      <c r="X521" s="298" t="s">
        <v>285</v>
      </c>
      <c r="Y521" s="298" t="s">
        <v>286</v>
      </c>
      <c r="Z521" s="298" t="s">
        <v>52</v>
      </c>
      <c r="AA521" s="459" t="s">
        <v>763</v>
      </c>
    </row>
    <row r="522" ht="42.75" customHeight="1">
      <c r="A522" s="69">
        <v>43636.0</v>
      </c>
      <c r="B522" s="144" t="s">
        <v>378</v>
      </c>
      <c r="C522" s="21">
        <v>8998.0</v>
      </c>
      <c r="D522" s="21" t="s">
        <v>1231</v>
      </c>
      <c r="E522" s="23" t="s">
        <v>383</v>
      </c>
      <c r="F522" s="24">
        <v>120.0</v>
      </c>
      <c r="G522" s="48">
        <v>0.0</v>
      </c>
      <c r="H522" s="60">
        <v>0.0</v>
      </c>
      <c r="I522" s="61" t="s">
        <v>144</v>
      </c>
      <c r="J522" s="58" t="s">
        <v>1122</v>
      </c>
      <c r="K522" s="30">
        <v>43781.0</v>
      </c>
      <c r="L522" s="306"/>
      <c r="M522" s="306"/>
      <c r="N522" s="306"/>
      <c r="O522" s="306"/>
      <c r="P522" s="306"/>
      <c r="Q522" s="298"/>
      <c r="R522" s="298"/>
      <c r="S522" s="299"/>
      <c r="T522" s="298"/>
      <c r="U522" s="299"/>
      <c r="V522" s="299"/>
      <c r="W522" s="298" t="s">
        <v>1227</v>
      </c>
      <c r="X522" s="298" t="s">
        <v>285</v>
      </c>
      <c r="Y522" s="298" t="s">
        <v>286</v>
      </c>
      <c r="Z522" s="298" t="s">
        <v>52</v>
      </c>
      <c r="AA522" s="459" t="s">
        <v>763</v>
      </c>
    </row>
    <row r="523" ht="42.75" customHeight="1">
      <c r="A523" s="69">
        <v>43636.0</v>
      </c>
      <c r="B523" s="144" t="s">
        <v>378</v>
      </c>
      <c r="C523" s="21">
        <v>8998.0</v>
      </c>
      <c r="D523" s="21" t="s">
        <v>1232</v>
      </c>
      <c r="E523" s="23" t="s">
        <v>380</v>
      </c>
      <c r="F523" s="24">
        <v>120.0</v>
      </c>
      <c r="G523" s="436">
        <v>62.0</v>
      </c>
      <c r="H523" s="60">
        <v>7440.0</v>
      </c>
      <c r="I523" s="61" t="s">
        <v>144</v>
      </c>
      <c r="J523" s="58" t="s">
        <v>1122</v>
      </c>
      <c r="K523" s="30">
        <v>43781.0</v>
      </c>
      <c r="L523" s="462">
        <v>43804.0</v>
      </c>
      <c r="M523" s="462">
        <v>43770.0</v>
      </c>
      <c r="N523" s="306" t="s">
        <v>1229</v>
      </c>
      <c r="O523" s="306">
        <v>456288.0</v>
      </c>
      <c r="P523" s="306"/>
      <c r="Q523" s="298"/>
      <c r="R523" s="298"/>
      <c r="S523" s="299"/>
      <c r="T523" s="300">
        <v>43775.0</v>
      </c>
      <c r="U523" s="299">
        <f>19820.08*30.35</f>
        <v>601539.428</v>
      </c>
      <c r="V523" s="299">
        <f>(19840-19820.08)*30.35</f>
        <v>604.572</v>
      </c>
      <c r="W523" s="298" t="s">
        <v>50</v>
      </c>
      <c r="X523" s="298" t="s">
        <v>285</v>
      </c>
      <c r="Y523" s="298" t="s">
        <v>286</v>
      </c>
      <c r="Z523" s="298" t="s">
        <v>52</v>
      </c>
      <c r="AA523" s="459" t="s">
        <v>763</v>
      </c>
    </row>
    <row r="524" ht="42.75" customHeight="1">
      <c r="A524" s="69">
        <v>43641.0</v>
      </c>
      <c r="B524" s="70" t="s">
        <v>77</v>
      </c>
      <c r="C524" s="21">
        <v>471.0</v>
      </c>
      <c r="D524" s="21" t="s">
        <v>1233</v>
      </c>
      <c r="E524" s="151" t="s">
        <v>315</v>
      </c>
      <c r="F524" s="24">
        <v>20.0</v>
      </c>
      <c r="G524" s="48">
        <v>285.0</v>
      </c>
      <c r="H524" s="26">
        <v>5700.0</v>
      </c>
      <c r="I524" s="27" t="s">
        <v>43</v>
      </c>
      <c r="J524" s="433" t="s">
        <v>936</v>
      </c>
      <c r="K524" s="29">
        <v>43707.0</v>
      </c>
      <c r="L524" s="461">
        <v>43769.0</v>
      </c>
      <c r="M524" s="461">
        <v>43705.0</v>
      </c>
      <c r="N524" s="352" t="s">
        <v>1234</v>
      </c>
      <c r="O524" s="473">
        <v>346185.0</v>
      </c>
      <c r="P524" s="461"/>
      <c r="Q524" s="82"/>
      <c r="R524" s="82"/>
      <c r="S524" s="432"/>
      <c r="T524" s="145">
        <v>43739.0</v>
      </c>
      <c r="U524" s="432">
        <f>12075*30.98</f>
        <v>374083.5</v>
      </c>
      <c r="V524" s="432">
        <v>0.0</v>
      </c>
      <c r="W524" s="82" t="s">
        <v>50</v>
      </c>
      <c r="X524" s="298" t="s">
        <v>285</v>
      </c>
      <c r="Y524" s="298" t="s">
        <v>51</v>
      </c>
      <c r="Z524" s="298" t="s">
        <v>52</v>
      </c>
      <c r="AA524" s="234" t="s">
        <v>507</v>
      </c>
    </row>
    <row r="525" ht="42.75" customHeight="1">
      <c r="A525" s="69">
        <v>43641.0</v>
      </c>
      <c r="B525" s="70" t="s">
        <v>77</v>
      </c>
      <c r="C525" s="21">
        <v>471.0</v>
      </c>
      <c r="D525" s="21" t="s">
        <v>1233</v>
      </c>
      <c r="E525" s="151" t="s">
        <v>318</v>
      </c>
      <c r="F525" s="435">
        <v>25.0</v>
      </c>
      <c r="G525" s="48">
        <v>255.0</v>
      </c>
      <c r="H525" s="26">
        <v>6375.0</v>
      </c>
      <c r="I525" s="27" t="s">
        <v>43</v>
      </c>
      <c r="J525" s="433" t="s">
        <v>936</v>
      </c>
      <c r="K525" s="29">
        <v>43707.0</v>
      </c>
      <c r="L525" s="461">
        <v>43769.0</v>
      </c>
      <c r="M525" s="461">
        <v>43705.0</v>
      </c>
      <c r="N525" s="352" t="s">
        <v>1234</v>
      </c>
      <c r="O525" s="352"/>
      <c r="P525" s="461"/>
      <c r="Q525" s="82"/>
      <c r="R525" s="82"/>
      <c r="S525" s="432"/>
      <c r="T525" s="145">
        <v>43739.0</v>
      </c>
      <c r="U525" s="432"/>
      <c r="V525" s="432">
        <v>0.0</v>
      </c>
      <c r="W525" s="82" t="s">
        <v>50</v>
      </c>
      <c r="X525" s="298" t="s">
        <v>285</v>
      </c>
      <c r="Y525" s="298" t="s">
        <v>51</v>
      </c>
      <c r="Z525" s="298" t="s">
        <v>52</v>
      </c>
      <c r="AA525" s="234" t="s">
        <v>507</v>
      </c>
    </row>
    <row r="526" ht="42.75" customHeight="1">
      <c r="A526" s="110">
        <v>43641.0</v>
      </c>
      <c r="B526" s="147" t="s">
        <v>167</v>
      </c>
      <c r="C526" s="504" t="s">
        <v>1235</v>
      </c>
      <c r="D526" s="21" t="s">
        <v>1236</v>
      </c>
      <c r="E526" s="23" t="s">
        <v>177</v>
      </c>
      <c r="F526" s="58">
        <v>4.0</v>
      </c>
      <c r="G526" s="47">
        <v>105.0</v>
      </c>
      <c r="H526" s="26">
        <v>420.0</v>
      </c>
      <c r="I526" s="82" t="s">
        <v>105</v>
      </c>
      <c r="J526" s="58" t="s">
        <v>172</v>
      </c>
      <c r="K526" s="39">
        <v>43682.0</v>
      </c>
      <c r="L526" s="462">
        <v>43682.0</v>
      </c>
      <c r="M526" s="462">
        <v>43649.0</v>
      </c>
      <c r="N526" s="306" t="s">
        <v>1198</v>
      </c>
      <c r="O526" s="306"/>
      <c r="P526" s="462">
        <v>43682.0</v>
      </c>
      <c r="Q526" s="298"/>
      <c r="R526" s="298"/>
      <c r="S526" s="299"/>
      <c r="T526" s="300">
        <v>43644.0</v>
      </c>
      <c r="U526" s="299"/>
      <c r="V526" s="299"/>
      <c r="W526" s="298" t="s">
        <v>50</v>
      </c>
      <c r="X526" s="298" t="s">
        <v>285</v>
      </c>
      <c r="Y526" s="298" t="s">
        <v>286</v>
      </c>
      <c r="Z526" s="298" t="s">
        <v>52</v>
      </c>
      <c r="AA526" s="234" t="s">
        <v>507</v>
      </c>
    </row>
    <row r="527" ht="42.75" customHeight="1">
      <c r="A527" s="69">
        <v>43641.0</v>
      </c>
      <c r="B527" s="144" t="s">
        <v>167</v>
      </c>
      <c r="C527" s="504" t="s">
        <v>1235</v>
      </c>
      <c r="D527" s="21" t="s">
        <v>1236</v>
      </c>
      <c r="E527" s="23" t="s">
        <v>1237</v>
      </c>
      <c r="F527" s="58">
        <v>4.0</v>
      </c>
      <c r="G527" s="47">
        <v>1429.0</v>
      </c>
      <c r="H527" s="26">
        <v>5716.0</v>
      </c>
      <c r="I527" s="431" t="s">
        <v>105</v>
      </c>
      <c r="J527" s="58" t="s">
        <v>172</v>
      </c>
      <c r="K527" s="39">
        <v>43682.0</v>
      </c>
      <c r="L527" s="306"/>
      <c r="M527" s="306"/>
      <c r="N527" s="306"/>
      <c r="O527" s="306"/>
      <c r="P527" s="306"/>
      <c r="Q527" s="298"/>
      <c r="R527" s="298"/>
      <c r="S527" s="299"/>
      <c r="T527" s="300">
        <v>43644.0</v>
      </c>
      <c r="U527" s="299"/>
      <c r="V527" s="299"/>
      <c r="W527" s="298" t="s">
        <v>50</v>
      </c>
      <c r="X527" s="298" t="s">
        <v>285</v>
      </c>
      <c r="Y527" s="298" t="s">
        <v>286</v>
      </c>
      <c r="Z527" s="298" t="s">
        <v>52</v>
      </c>
      <c r="AA527" s="234" t="s">
        <v>507</v>
      </c>
    </row>
    <row r="528" ht="42.75" customHeight="1">
      <c r="A528" s="69">
        <v>43641.0</v>
      </c>
      <c r="B528" s="144" t="s">
        <v>167</v>
      </c>
      <c r="C528" s="504" t="s">
        <v>1235</v>
      </c>
      <c r="D528" s="21" t="s">
        <v>1238</v>
      </c>
      <c r="E528" s="23" t="s">
        <v>177</v>
      </c>
      <c r="F528" s="58">
        <v>1.0</v>
      </c>
      <c r="G528" s="47">
        <v>105.0</v>
      </c>
      <c r="H528" s="26">
        <v>105.0</v>
      </c>
      <c r="I528" s="431" t="s">
        <v>105</v>
      </c>
      <c r="J528" s="58" t="s">
        <v>172</v>
      </c>
      <c r="K528" s="145">
        <v>43703.0</v>
      </c>
      <c r="L528" s="462">
        <v>43682.0</v>
      </c>
      <c r="M528" s="462">
        <v>43649.0</v>
      </c>
      <c r="N528" s="306" t="s">
        <v>1198</v>
      </c>
      <c r="O528" s="306"/>
      <c r="P528" s="462">
        <v>43682.0</v>
      </c>
      <c r="Q528" s="298"/>
      <c r="R528" s="298"/>
      <c r="S528" s="299"/>
      <c r="T528" s="300"/>
      <c r="U528" s="299"/>
      <c r="V528" s="299"/>
      <c r="W528" s="298" t="s">
        <v>50</v>
      </c>
      <c r="X528" s="298" t="s">
        <v>285</v>
      </c>
      <c r="Y528" s="298" t="s">
        <v>286</v>
      </c>
      <c r="Z528" s="298" t="s">
        <v>52</v>
      </c>
      <c r="AA528" s="234" t="s">
        <v>507</v>
      </c>
    </row>
    <row r="529" ht="42.75" customHeight="1">
      <c r="A529" s="69">
        <v>43641.0</v>
      </c>
      <c r="B529" s="144" t="s">
        <v>167</v>
      </c>
      <c r="C529" s="504" t="s">
        <v>1235</v>
      </c>
      <c r="D529" s="21" t="s">
        <v>1238</v>
      </c>
      <c r="E529" s="23" t="s">
        <v>1239</v>
      </c>
      <c r="F529" s="58">
        <v>1.0</v>
      </c>
      <c r="G529" s="47">
        <v>1429.0</v>
      </c>
      <c r="H529" s="26">
        <v>1429.0</v>
      </c>
      <c r="I529" s="431" t="s">
        <v>105</v>
      </c>
      <c r="J529" s="58" t="s">
        <v>172</v>
      </c>
      <c r="K529" s="30">
        <v>43703.0</v>
      </c>
      <c r="L529" s="462"/>
      <c r="M529" s="462"/>
      <c r="N529" s="306"/>
      <c r="O529" s="306"/>
      <c r="P529" s="306"/>
      <c r="Q529" s="298"/>
      <c r="R529" s="298"/>
      <c r="S529" s="299"/>
      <c r="T529" s="300"/>
      <c r="U529" s="299"/>
      <c r="V529" s="299"/>
      <c r="W529" s="298" t="s">
        <v>50</v>
      </c>
      <c r="X529" s="298" t="s">
        <v>285</v>
      </c>
      <c r="Y529" s="298" t="s">
        <v>286</v>
      </c>
      <c r="Z529" s="298" t="s">
        <v>52</v>
      </c>
      <c r="AA529" s="234" t="s">
        <v>507</v>
      </c>
    </row>
    <row r="530" ht="42.75" customHeight="1">
      <c r="A530" s="69">
        <v>43641.0</v>
      </c>
      <c r="B530" s="70" t="s">
        <v>1030</v>
      </c>
      <c r="C530" s="21">
        <v>1.9000247E7</v>
      </c>
      <c r="D530" s="21" t="s">
        <v>1240</v>
      </c>
      <c r="E530" s="23" t="s">
        <v>1241</v>
      </c>
      <c r="F530" s="24">
        <v>1.0</v>
      </c>
      <c r="G530" s="48">
        <v>46.37</v>
      </c>
      <c r="H530" s="26">
        <v>46.37</v>
      </c>
      <c r="I530" s="61" t="s">
        <v>105</v>
      </c>
      <c r="J530" s="50" t="s">
        <v>1037</v>
      </c>
      <c r="K530" s="29">
        <v>43644.0</v>
      </c>
      <c r="L530" s="462">
        <v>43708.0</v>
      </c>
      <c r="M530" s="462">
        <v>43642.0</v>
      </c>
      <c r="N530" s="306" t="s">
        <v>1242</v>
      </c>
      <c r="O530" s="306">
        <v>1421.0</v>
      </c>
      <c r="P530" s="462">
        <v>43706.0</v>
      </c>
      <c r="Q530" s="298"/>
      <c r="R530" s="298"/>
      <c r="S530" s="299"/>
      <c r="T530" s="300">
        <v>43643.0</v>
      </c>
      <c r="U530" s="299"/>
      <c r="V530" s="299"/>
      <c r="W530" s="298" t="s">
        <v>50</v>
      </c>
      <c r="X530" s="82" t="s">
        <v>285</v>
      </c>
      <c r="Y530" s="298" t="s">
        <v>51</v>
      </c>
      <c r="Z530" s="298" t="s">
        <v>52</v>
      </c>
      <c r="AA530" s="459" t="s">
        <v>750</v>
      </c>
    </row>
    <row r="531" ht="42.75" customHeight="1">
      <c r="A531" s="19">
        <v>43642.0</v>
      </c>
      <c r="B531" s="51" t="s">
        <v>77</v>
      </c>
      <c r="C531" s="21">
        <v>487.0</v>
      </c>
      <c r="D531" s="22" t="s">
        <v>1243</v>
      </c>
      <c r="E531" s="22" t="s">
        <v>1244</v>
      </c>
      <c r="F531" s="435">
        <v>15.0</v>
      </c>
      <c r="G531" s="47">
        <v>2.3</v>
      </c>
      <c r="H531" s="26">
        <v>34.5</v>
      </c>
      <c r="I531" s="61" t="s">
        <v>43</v>
      </c>
      <c r="J531" s="507" t="s">
        <v>936</v>
      </c>
      <c r="K531" s="29">
        <v>43700.0</v>
      </c>
      <c r="L531" s="462">
        <v>43682.0</v>
      </c>
      <c r="M531" s="462">
        <v>43665.0</v>
      </c>
      <c r="N531" s="306" t="s">
        <v>1245</v>
      </c>
      <c r="O531" s="306">
        <v>866.0</v>
      </c>
      <c r="P531" s="462">
        <v>43682.0</v>
      </c>
      <c r="Q531" s="298"/>
      <c r="R531" s="298"/>
      <c r="S531" s="299"/>
      <c r="T531" s="300">
        <v>43731.0</v>
      </c>
      <c r="U531" s="299">
        <f>14587*30.96</f>
        <v>451613.52</v>
      </c>
      <c r="V531" s="299">
        <v>0.0</v>
      </c>
      <c r="W531" s="298" t="s">
        <v>50</v>
      </c>
      <c r="X531" s="298" t="s">
        <v>285</v>
      </c>
      <c r="Y531" s="298" t="s">
        <v>51</v>
      </c>
      <c r="Z531" s="298" t="s">
        <v>52</v>
      </c>
      <c r="AA531" s="234" t="s">
        <v>507</v>
      </c>
    </row>
    <row r="532" ht="42.75" customHeight="1">
      <c r="A532" s="19">
        <v>43642.0</v>
      </c>
      <c r="B532" s="51" t="s">
        <v>77</v>
      </c>
      <c r="C532" s="21">
        <v>487.0</v>
      </c>
      <c r="D532" s="22" t="s">
        <v>1243</v>
      </c>
      <c r="E532" s="246" t="s">
        <v>362</v>
      </c>
      <c r="F532" s="435">
        <v>15.0</v>
      </c>
      <c r="G532" s="48">
        <v>20.0</v>
      </c>
      <c r="H532" s="26">
        <v>300.0</v>
      </c>
      <c r="I532" s="61" t="s">
        <v>43</v>
      </c>
      <c r="J532" s="507" t="s">
        <v>936</v>
      </c>
      <c r="K532" s="29">
        <v>43700.0</v>
      </c>
      <c r="L532" s="462">
        <v>43708.0</v>
      </c>
      <c r="M532" s="462">
        <v>43692.0</v>
      </c>
      <c r="N532" s="306" t="s">
        <v>1246</v>
      </c>
      <c r="O532" s="306">
        <v>16514.0</v>
      </c>
      <c r="P532" s="462">
        <v>43710.0</v>
      </c>
      <c r="Q532" s="298"/>
      <c r="R532" s="298"/>
      <c r="S532" s="299"/>
      <c r="T532" s="300">
        <v>43731.0</v>
      </c>
      <c r="U532" s="299"/>
      <c r="V532" s="299"/>
      <c r="W532" s="298" t="s">
        <v>50</v>
      </c>
      <c r="X532" s="298" t="s">
        <v>285</v>
      </c>
      <c r="Y532" s="298" t="s">
        <v>51</v>
      </c>
      <c r="Z532" s="298" t="s">
        <v>52</v>
      </c>
      <c r="AA532" s="234" t="s">
        <v>507</v>
      </c>
    </row>
    <row r="533" ht="42.75" customHeight="1">
      <c r="A533" s="69">
        <v>43642.0</v>
      </c>
      <c r="B533" s="70" t="s">
        <v>223</v>
      </c>
      <c r="C533" s="21" t="s">
        <v>1247</v>
      </c>
      <c r="D533" s="21" t="s">
        <v>1248</v>
      </c>
      <c r="E533" s="23" t="s">
        <v>1249</v>
      </c>
      <c r="F533" s="24">
        <v>5.0</v>
      </c>
      <c r="G533" s="48">
        <v>112.35</v>
      </c>
      <c r="H533" s="26">
        <v>562.0</v>
      </c>
      <c r="I533" s="61" t="s">
        <v>248</v>
      </c>
      <c r="J533" s="63" t="s">
        <v>90</v>
      </c>
      <c r="K533" s="29">
        <v>43650.0</v>
      </c>
      <c r="L533" s="462">
        <v>43708.0</v>
      </c>
      <c r="M533" s="462">
        <v>43649.0</v>
      </c>
      <c r="N533" s="306" t="s">
        <v>1250</v>
      </c>
      <c r="O533" s="306">
        <v>15881.0</v>
      </c>
      <c r="P533" s="462">
        <v>43706.0</v>
      </c>
      <c r="Q533" s="298"/>
      <c r="R533" s="298"/>
      <c r="S533" s="299"/>
      <c r="T533" s="300">
        <v>43683.0</v>
      </c>
      <c r="U533" s="299">
        <v>55253.0</v>
      </c>
      <c r="V533" s="299">
        <v>15.0</v>
      </c>
      <c r="W533" s="298" t="s">
        <v>50</v>
      </c>
      <c r="X533" s="298" t="s">
        <v>285</v>
      </c>
      <c r="Y533" s="298" t="s">
        <v>51</v>
      </c>
      <c r="Z533" s="298" t="s">
        <v>377</v>
      </c>
      <c r="AA533" s="234" t="s">
        <v>507</v>
      </c>
    </row>
    <row r="534" ht="42.75" customHeight="1">
      <c r="A534" s="69">
        <v>43644.0</v>
      </c>
      <c r="B534" s="70" t="s">
        <v>1251</v>
      </c>
      <c r="C534" s="508" t="s">
        <v>1252</v>
      </c>
      <c r="D534" s="21" t="s">
        <v>1253</v>
      </c>
      <c r="E534" s="23" t="s">
        <v>1254</v>
      </c>
      <c r="F534" s="24">
        <v>2.0</v>
      </c>
      <c r="G534" s="48">
        <v>994.0</v>
      </c>
      <c r="H534" s="26">
        <v>1988.0</v>
      </c>
      <c r="I534" s="61" t="s">
        <v>105</v>
      </c>
      <c r="J534" s="63" t="s">
        <v>1056</v>
      </c>
      <c r="K534" s="29">
        <v>43668.0</v>
      </c>
      <c r="L534" s="462">
        <v>43682.0</v>
      </c>
      <c r="M534" s="462">
        <v>43663.0</v>
      </c>
      <c r="N534" s="306" t="s">
        <v>1255</v>
      </c>
      <c r="O534" s="306">
        <v>57410.0</v>
      </c>
      <c r="P534" s="462">
        <v>43682.0</v>
      </c>
      <c r="Q534" s="298"/>
      <c r="R534" s="298"/>
      <c r="S534" s="299"/>
      <c r="T534" s="300">
        <v>43704.0</v>
      </c>
      <c r="U534" s="299"/>
      <c r="V534" s="299"/>
      <c r="W534" s="298" t="s">
        <v>50</v>
      </c>
      <c r="X534" s="298" t="s">
        <v>285</v>
      </c>
      <c r="Y534" s="298" t="s">
        <v>51</v>
      </c>
      <c r="Z534" s="298" t="s">
        <v>52</v>
      </c>
      <c r="AA534" s="234" t="s">
        <v>507</v>
      </c>
    </row>
    <row r="535" ht="42.75" customHeight="1">
      <c r="A535" s="69">
        <v>43644.0</v>
      </c>
      <c r="B535" s="70" t="s">
        <v>1000</v>
      </c>
      <c r="C535" s="21" t="s">
        <v>1256</v>
      </c>
      <c r="D535" s="21" t="s">
        <v>1257</v>
      </c>
      <c r="E535" s="23" t="s">
        <v>1258</v>
      </c>
      <c r="F535" s="24">
        <v>28.0</v>
      </c>
      <c r="G535" s="48">
        <v>80.0</v>
      </c>
      <c r="H535" s="26">
        <v>2240.0</v>
      </c>
      <c r="I535" s="61" t="s">
        <v>105</v>
      </c>
      <c r="J535" s="63" t="s">
        <v>1259</v>
      </c>
      <c r="K535" s="29">
        <v>43651.0</v>
      </c>
      <c r="L535" s="462">
        <v>43708.0</v>
      </c>
      <c r="M535" s="462">
        <v>43649.0</v>
      </c>
      <c r="N535" s="306" t="s">
        <v>1260</v>
      </c>
      <c r="O535" s="306">
        <v>68410.0</v>
      </c>
      <c r="P535" s="462">
        <v>43706.0</v>
      </c>
      <c r="Q535" s="298"/>
      <c r="R535" s="298"/>
      <c r="S535" s="299"/>
      <c r="T535" s="300">
        <v>43685.0</v>
      </c>
      <c r="U535" s="299">
        <f>2240*31.34</f>
        <v>70201.6</v>
      </c>
      <c r="V535" s="299">
        <v>0.0</v>
      </c>
      <c r="W535" s="298" t="s">
        <v>50</v>
      </c>
      <c r="X535" s="298" t="s">
        <v>285</v>
      </c>
      <c r="Y535" s="298" t="s">
        <v>51</v>
      </c>
      <c r="Z535" s="298" t="s">
        <v>52</v>
      </c>
      <c r="AA535" s="234" t="s">
        <v>507</v>
      </c>
    </row>
    <row r="536" ht="42.75" customHeight="1">
      <c r="A536" s="69">
        <v>43647.0</v>
      </c>
      <c r="B536" s="70" t="s">
        <v>223</v>
      </c>
      <c r="C536" s="21" t="s">
        <v>1261</v>
      </c>
      <c r="D536" s="21" t="s">
        <v>1262</v>
      </c>
      <c r="E536" s="23" t="s">
        <v>1263</v>
      </c>
      <c r="F536" s="24">
        <v>2.0</v>
      </c>
      <c r="G536" s="48">
        <f>500*1.05</f>
        <v>525</v>
      </c>
      <c r="H536" s="60">
        <v>1050.0</v>
      </c>
      <c r="I536" s="61" t="s">
        <v>248</v>
      </c>
      <c r="J536" s="63" t="s">
        <v>90</v>
      </c>
      <c r="K536" s="30">
        <v>43657.0</v>
      </c>
      <c r="L536" s="462">
        <v>43708.0</v>
      </c>
      <c r="M536" s="462">
        <v>43656.0</v>
      </c>
      <c r="N536" s="306" t="s">
        <v>1264</v>
      </c>
      <c r="O536" s="306">
        <v>23129.0</v>
      </c>
      <c r="P536" s="462">
        <v>43706.0</v>
      </c>
      <c r="Q536" s="298"/>
      <c r="R536" s="298"/>
      <c r="S536" s="299"/>
      <c r="T536" s="300">
        <v>43683.0</v>
      </c>
      <c r="U536" s="299"/>
      <c r="V536" s="299"/>
      <c r="W536" s="298" t="s">
        <v>50</v>
      </c>
      <c r="X536" s="298" t="s">
        <v>285</v>
      </c>
      <c r="Y536" s="298" t="s">
        <v>51</v>
      </c>
      <c r="Z536" s="298" t="s">
        <v>377</v>
      </c>
      <c r="AA536" s="234" t="s">
        <v>507</v>
      </c>
    </row>
    <row r="537" ht="42.75" customHeight="1">
      <c r="A537" s="69">
        <v>43647.0</v>
      </c>
      <c r="B537" s="70" t="s">
        <v>579</v>
      </c>
      <c r="C537" s="21">
        <v>2.0190701003E10</v>
      </c>
      <c r="D537" s="21" t="s">
        <v>1265</v>
      </c>
      <c r="E537" s="32" t="s">
        <v>1266</v>
      </c>
      <c r="F537" s="24">
        <v>6.0</v>
      </c>
      <c r="G537" s="48">
        <v>96.6</v>
      </c>
      <c r="H537" s="442">
        <v>579.5999999999999</v>
      </c>
      <c r="I537" s="61" t="s">
        <v>248</v>
      </c>
      <c r="J537" s="63" t="s">
        <v>582</v>
      </c>
      <c r="K537" s="30">
        <v>43655.0</v>
      </c>
      <c r="L537" s="462">
        <v>43708.0</v>
      </c>
      <c r="M537" s="462">
        <v>43654.0</v>
      </c>
      <c r="N537" s="306" t="s">
        <v>1267</v>
      </c>
      <c r="O537" s="306">
        <v>15626.0</v>
      </c>
      <c r="P537" s="462">
        <v>43710.0</v>
      </c>
      <c r="Q537" s="298"/>
      <c r="R537" s="298"/>
      <c r="S537" s="299"/>
      <c r="T537" s="300">
        <v>43661.0</v>
      </c>
      <c r="U537" s="299">
        <v>17968.0</v>
      </c>
      <c r="V537" s="299">
        <v>0.0</v>
      </c>
      <c r="W537" s="298" t="s">
        <v>50</v>
      </c>
      <c r="X537" s="82" t="s">
        <v>285</v>
      </c>
      <c r="Y537" s="298" t="s">
        <v>51</v>
      </c>
      <c r="Z537" s="298" t="s">
        <v>377</v>
      </c>
      <c r="AA537" s="459" t="s">
        <v>750</v>
      </c>
    </row>
    <row r="538" ht="42.75" customHeight="1">
      <c r="A538" s="69">
        <v>43648.0</v>
      </c>
      <c r="B538" s="70" t="s">
        <v>229</v>
      </c>
      <c r="C538" s="21">
        <v>190702.0</v>
      </c>
      <c r="D538" s="21" t="s">
        <v>1268</v>
      </c>
      <c r="E538" s="32" t="s">
        <v>232</v>
      </c>
      <c r="F538" s="24">
        <v>13.0</v>
      </c>
      <c r="G538" s="48">
        <v>407.4</v>
      </c>
      <c r="H538" s="60">
        <v>5296.2</v>
      </c>
      <c r="I538" s="61" t="s">
        <v>171</v>
      </c>
      <c r="J538" s="63" t="s">
        <v>90</v>
      </c>
      <c r="K538" s="30">
        <v>43664.0</v>
      </c>
      <c r="L538" s="462">
        <v>43708.0</v>
      </c>
      <c r="M538" s="462">
        <v>43663.0</v>
      </c>
      <c r="N538" s="306" t="s">
        <v>1269</v>
      </c>
      <c r="O538" s="306">
        <v>168293.0</v>
      </c>
      <c r="P538" s="462">
        <v>43706.0</v>
      </c>
      <c r="Q538" s="298"/>
      <c r="R538" s="298"/>
      <c r="S538" s="299"/>
      <c r="T538" s="300">
        <v>43683.0</v>
      </c>
      <c r="U538" s="299"/>
      <c r="V538" s="299">
        <v>0.0</v>
      </c>
      <c r="W538" s="298" t="s">
        <v>50</v>
      </c>
      <c r="X538" s="298" t="s">
        <v>285</v>
      </c>
      <c r="Y538" s="298" t="s">
        <v>51</v>
      </c>
      <c r="Z538" s="298" t="s">
        <v>377</v>
      </c>
      <c r="AA538" s="234" t="s">
        <v>507</v>
      </c>
    </row>
    <row r="539" ht="42.75" customHeight="1">
      <c r="A539" s="69">
        <v>43648.0</v>
      </c>
      <c r="B539" s="70" t="s">
        <v>229</v>
      </c>
      <c r="C539" s="21">
        <v>190702.0</v>
      </c>
      <c r="D539" s="21" t="s">
        <v>1268</v>
      </c>
      <c r="E539" s="32" t="s">
        <v>736</v>
      </c>
      <c r="F539" s="24">
        <v>2.0</v>
      </c>
      <c r="G539" s="436">
        <v>336.0</v>
      </c>
      <c r="H539" s="60">
        <v>672.0</v>
      </c>
      <c r="I539" s="61" t="s">
        <v>171</v>
      </c>
      <c r="J539" s="63" t="s">
        <v>90</v>
      </c>
      <c r="K539" s="30">
        <v>43664.0</v>
      </c>
      <c r="L539" s="462">
        <v>43708.0</v>
      </c>
      <c r="M539" s="462">
        <v>43663.0</v>
      </c>
      <c r="N539" s="306" t="s">
        <v>1269</v>
      </c>
      <c r="O539" s="306"/>
      <c r="P539" s="462">
        <v>43706.0</v>
      </c>
      <c r="Q539" s="298"/>
      <c r="R539" s="298"/>
      <c r="S539" s="299"/>
      <c r="T539" s="300">
        <v>43683.0</v>
      </c>
      <c r="U539" s="299"/>
      <c r="V539" s="299">
        <v>0.0</v>
      </c>
      <c r="W539" s="298" t="s">
        <v>50</v>
      </c>
      <c r="X539" s="298" t="s">
        <v>285</v>
      </c>
      <c r="Y539" s="298" t="s">
        <v>51</v>
      </c>
      <c r="Z539" s="298" t="s">
        <v>377</v>
      </c>
      <c r="AA539" s="234" t="s">
        <v>507</v>
      </c>
    </row>
    <row r="540" ht="42.75" customHeight="1">
      <c r="A540" s="69">
        <v>43648.0</v>
      </c>
      <c r="B540" s="70" t="s">
        <v>229</v>
      </c>
      <c r="C540" s="21">
        <v>190702.0</v>
      </c>
      <c r="D540" s="21" t="s">
        <v>1268</v>
      </c>
      <c r="E540" s="32" t="s">
        <v>737</v>
      </c>
      <c r="F540" s="24">
        <v>2.0</v>
      </c>
      <c r="G540" s="48">
        <v>21.0</v>
      </c>
      <c r="H540" s="60">
        <v>42.0</v>
      </c>
      <c r="I540" s="61" t="s">
        <v>171</v>
      </c>
      <c r="J540" s="63" t="s">
        <v>90</v>
      </c>
      <c r="K540" s="30">
        <v>43664.0</v>
      </c>
      <c r="L540" s="462">
        <v>43708.0</v>
      </c>
      <c r="M540" s="462">
        <v>43663.0</v>
      </c>
      <c r="N540" s="306" t="s">
        <v>1269</v>
      </c>
      <c r="O540" s="306"/>
      <c r="P540" s="462">
        <v>43706.0</v>
      </c>
      <c r="Q540" s="298"/>
      <c r="R540" s="298"/>
      <c r="S540" s="299"/>
      <c r="T540" s="300">
        <v>43683.0</v>
      </c>
      <c r="U540" s="299"/>
      <c r="V540" s="299">
        <v>0.0</v>
      </c>
      <c r="W540" s="298" t="s">
        <v>50</v>
      </c>
      <c r="X540" s="298" t="s">
        <v>285</v>
      </c>
      <c r="Y540" s="298" t="s">
        <v>51</v>
      </c>
      <c r="Z540" s="298" t="s">
        <v>377</v>
      </c>
      <c r="AA540" s="234" t="s">
        <v>507</v>
      </c>
    </row>
    <row r="541" ht="42.75" customHeight="1">
      <c r="A541" s="69">
        <v>43649.0</v>
      </c>
      <c r="B541" s="70" t="s">
        <v>378</v>
      </c>
      <c r="C541" s="21" t="s">
        <v>1270</v>
      </c>
      <c r="D541" s="21" t="s">
        <v>1271</v>
      </c>
      <c r="E541" s="32" t="s">
        <v>1272</v>
      </c>
      <c r="F541" s="24">
        <v>1.0</v>
      </c>
      <c r="G541" s="48">
        <v>60.0</v>
      </c>
      <c r="H541" s="60">
        <v>60.0</v>
      </c>
      <c r="I541" s="87" t="s">
        <v>1121</v>
      </c>
      <c r="J541" s="161" t="s">
        <v>1122</v>
      </c>
      <c r="K541" s="29">
        <v>43655.0</v>
      </c>
      <c r="L541" s="462">
        <v>43682.0</v>
      </c>
      <c r="M541" s="462">
        <v>43655.0</v>
      </c>
      <c r="N541" s="306" t="s">
        <v>1273</v>
      </c>
      <c r="O541" s="306">
        <v>3024.0</v>
      </c>
      <c r="P541" s="462">
        <v>43682.0</v>
      </c>
      <c r="Q541" s="298"/>
      <c r="R541" s="298"/>
      <c r="S541" s="299"/>
      <c r="T541" s="300">
        <v>43672.0</v>
      </c>
      <c r="U541" s="299"/>
      <c r="V541" s="299"/>
      <c r="W541" s="298" t="s">
        <v>50</v>
      </c>
      <c r="X541" s="298" t="s">
        <v>285</v>
      </c>
      <c r="Y541" s="298" t="s">
        <v>51</v>
      </c>
      <c r="Z541" s="298" t="s">
        <v>52</v>
      </c>
      <c r="AA541" s="234" t="s">
        <v>507</v>
      </c>
    </row>
    <row r="542" ht="42.75" customHeight="1">
      <c r="A542" s="69">
        <v>43649.0</v>
      </c>
      <c r="B542" s="70" t="s">
        <v>378</v>
      </c>
      <c r="C542" s="21" t="s">
        <v>1270</v>
      </c>
      <c r="D542" s="21" t="s">
        <v>1271</v>
      </c>
      <c r="E542" s="32" t="s">
        <v>1274</v>
      </c>
      <c r="F542" s="24">
        <v>1.0</v>
      </c>
      <c r="G542" s="48">
        <v>70.0</v>
      </c>
      <c r="H542" s="60">
        <v>70.0</v>
      </c>
      <c r="I542" s="509" t="s">
        <v>1121</v>
      </c>
      <c r="J542" s="161" t="s">
        <v>1122</v>
      </c>
      <c r="K542" s="29">
        <v>43655.0</v>
      </c>
      <c r="L542" s="462">
        <v>43682.0</v>
      </c>
      <c r="M542" s="462">
        <v>43655.0</v>
      </c>
      <c r="N542" s="306" t="s">
        <v>1273</v>
      </c>
      <c r="O542" s="306"/>
      <c r="P542" s="462">
        <v>43682.0</v>
      </c>
      <c r="Q542" s="298"/>
      <c r="R542" s="298"/>
      <c r="S542" s="299"/>
      <c r="T542" s="300">
        <v>43672.0</v>
      </c>
      <c r="U542" s="299"/>
      <c r="V542" s="299"/>
      <c r="W542" s="298" t="s">
        <v>50</v>
      </c>
      <c r="X542" s="298" t="s">
        <v>285</v>
      </c>
      <c r="Y542" s="298" t="s">
        <v>51</v>
      </c>
      <c r="Z542" s="298" t="s">
        <v>52</v>
      </c>
      <c r="AA542" s="234" t="s">
        <v>507</v>
      </c>
    </row>
    <row r="543" ht="42.75" customHeight="1">
      <c r="A543" s="69">
        <v>43649.0</v>
      </c>
      <c r="B543" s="70" t="s">
        <v>77</v>
      </c>
      <c r="C543" s="240">
        <v>492.0</v>
      </c>
      <c r="D543" s="21" t="s">
        <v>1275</v>
      </c>
      <c r="E543" s="246" t="s">
        <v>315</v>
      </c>
      <c r="F543" s="24">
        <v>30.0</v>
      </c>
      <c r="G543" s="48">
        <v>285.0</v>
      </c>
      <c r="H543" s="26">
        <v>8550.0</v>
      </c>
      <c r="I543" s="510" t="s">
        <v>43</v>
      </c>
      <c r="J543" s="433" t="s">
        <v>936</v>
      </c>
      <c r="K543" s="29">
        <v>43700.0</v>
      </c>
      <c r="L543" s="462">
        <v>43738.0</v>
      </c>
      <c r="M543" s="462">
        <v>43689.0</v>
      </c>
      <c r="N543" s="306" t="s">
        <v>1276</v>
      </c>
      <c r="O543" s="306">
        <v>246803.0</v>
      </c>
      <c r="P543" s="462">
        <v>43739.0</v>
      </c>
      <c r="Q543" s="298"/>
      <c r="R543" s="298"/>
      <c r="S543" s="299"/>
      <c r="T543" s="300">
        <v>43731.0</v>
      </c>
      <c r="U543" s="299"/>
      <c r="V543" s="299"/>
      <c r="W543" s="298" t="s">
        <v>50</v>
      </c>
      <c r="X543" s="298" t="s">
        <v>285</v>
      </c>
      <c r="Y543" s="298" t="s">
        <v>51</v>
      </c>
      <c r="Z543" s="298" t="s">
        <v>52</v>
      </c>
      <c r="AA543" s="234" t="s">
        <v>507</v>
      </c>
    </row>
    <row r="544" ht="42.75" customHeight="1">
      <c r="A544" s="69">
        <v>43650.0</v>
      </c>
      <c r="B544" s="309" t="s">
        <v>101</v>
      </c>
      <c r="C544" s="22" t="s">
        <v>0</v>
      </c>
      <c r="D544" s="511" t="s">
        <v>1277</v>
      </c>
      <c r="E544" s="22" t="s">
        <v>1278</v>
      </c>
      <c r="F544" s="24">
        <v>1.0</v>
      </c>
      <c r="G544" s="48">
        <v>655.0</v>
      </c>
      <c r="H544" s="60">
        <v>655.0</v>
      </c>
      <c r="I544" s="61" t="s">
        <v>105</v>
      </c>
      <c r="J544" s="50" t="s">
        <v>534</v>
      </c>
      <c r="K544" s="145">
        <v>43671.0</v>
      </c>
      <c r="L544" s="462"/>
      <c r="M544" s="462"/>
      <c r="N544" s="306"/>
      <c r="O544" s="306"/>
      <c r="P544" s="306"/>
      <c r="Q544" s="298"/>
      <c r="R544" s="298"/>
      <c r="S544" s="299"/>
      <c r="T544" s="300">
        <v>43734.0</v>
      </c>
      <c r="U544" s="299"/>
      <c r="V544" s="299"/>
      <c r="W544" s="298" t="s">
        <v>50</v>
      </c>
      <c r="X544" s="298" t="s">
        <v>285</v>
      </c>
      <c r="Y544" s="298" t="s">
        <v>286</v>
      </c>
      <c r="Z544" s="298" t="s">
        <v>52</v>
      </c>
      <c r="AA544" s="234" t="s">
        <v>507</v>
      </c>
    </row>
    <row r="545" ht="42.75" customHeight="1">
      <c r="A545" s="69">
        <v>43650.0</v>
      </c>
      <c r="B545" s="21" t="s">
        <v>1279</v>
      </c>
      <c r="C545" s="21">
        <v>45719.0</v>
      </c>
      <c r="D545" s="21" t="s">
        <v>1280</v>
      </c>
      <c r="E545" s="32" t="s">
        <v>1281</v>
      </c>
      <c r="F545" s="24">
        <v>1.0</v>
      </c>
      <c r="G545" s="47">
        <v>1020.0</v>
      </c>
      <c r="H545" s="26">
        <v>1020.0</v>
      </c>
      <c r="I545" s="61" t="s">
        <v>105</v>
      </c>
      <c r="J545" s="62" t="s">
        <v>1282</v>
      </c>
      <c r="K545" s="29">
        <v>43669.0</v>
      </c>
      <c r="L545" s="462">
        <v>43708.0</v>
      </c>
      <c r="M545" s="462">
        <v>43664.0</v>
      </c>
      <c r="N545" s="306" t="s">
        <v>1283</v>
      </c>
      <c r="O545" s="306">
        <v>29307.0</v>
      </c>
      <c r="P545" s="462">
        <v>43710.0</v>
      </c>
      <c r="Q545" s="298"/>
      <c r="R545" s="298"/>
      <c r="S545" s="299"/>
      <c r="T545" s="300">
        <v>43669.0</v>
      </c>
      <c r="U545" s="299">
        <f>1020*31.02</f>
        <v>31640.4</v>
      </c>
      <c r="V545" s="299">
        <v>0.0</v>
      </c>
      <c r="W545" s="298" t="s">
        <v>50</v>
      </c>
      <c r="X545" s="82" t="s">
        <v>285</v>
      </c>
      <c r="Y545" s="298" t="s">
        <v>51</v>
      </c>
      <c r="Z545" s="298" t="s">
        <v>52</v>
      </c>
      <c r="AA545" s="459" t="s">
        <v>750</v>
      </c>
    </row>
    <row r="546" ht="42.75" customHeight="1">
      <c r="A546" s="69">
        <v>43651.0</v>
      </c>
      <c r="B546" s="309" t="s">
        <v>101</v>
      </c>
      <c r="C546" s="22" t="s">
        <v>1154</v>
      </c>
      <c r="D546" s="22" t="s">
        <v>1284</v>
      </c>
      <c r="E546" s="20" t="s">
        <v>347</v>
      </c>
      <c r="F546" s="24">
        <v>1.0</v>
      </c>
      <c r="G546" s="48">
        <v>427.0</v>
      </c>
      <c r="H546" s="60">
        <v>427.0</v>
      </c>
      <c r="I546" s="61" t="s">
        <v>105</v>
      </c>
      <c r="J546" s="63" t="s">
        <v>1018</v>
      </c>
      <c r="K546" s="29">
        <v>43651.0</v>
      </c>
      <c r="L546" s="462">
        <v>43677.0</v>
      </c>
      <c r="M546" s="462">
        <v>43658.0</v>
      </c>
      <c r="N546" s="306" t="s">
        <v>1285</v>
      </c>
      <c r="O546" s="306">
        <v>12228.0</v>
      </c>
      <c r="P546" s="462">
        <v>43677.0</v>
      </c>
      <c r="Q546" s="298"/>
      <c r="R546" s="298"/>
      <c r="S546" s="299"/>
      <c r="T546" s="300">
        <v>43704.0</v>
      </c>
      <c r="U546" s="299"/>
      <c r="V546" s="299"/>
      <c r="W546" s="298" t="s">
        <v>50</v>
      </c>
      <c r="X546" s="298" t="s">
        <v>285</v>
      </c>
      <c r="Y546" s="298" t="s">
        <v>286</v>
      </c>
      <c r="Z546" s="298" t="s">
        <v>52</v>
      </c>
      <c r="AA546" s="234" t="s">
        <v>507</v>
      </c>
    </row>
    <row r="547" ht="42.75" customHeight="1">
      <c r="A547" s="69">
        <v>43654.0</v>
      </c>
      <c r="B547" s="70" t="s">
        <v>130</v>
      </c>
      <c r="C547" s="21" t="s">
        <v>1286</v>
      </c>
      <c r="D547" s="21" t="s">
        <v>1287</v>
      </c>
      <c r="E547" s="23" t="s">
        <v>241</v>
      </c>
      <c r="F547" s="55">
        <v>20.0</v>
      </c>
      <c r="G547" s="48">
        <v>90.0</v>
      </c>
      <c r="H547" s="411">
        <v>1800.0</v>
      </c>
      <c r="I547" s="61" t="s">
        <v>248</v>
      </c>
      <c r="J547" s="63" t="s">
        <v>134</v>
      </c>
      <c r="K547" s="30">
        <v>43668.0</v>
      </c>
      <c r="L547" s="462">
        <v>43708.0</v>
      </c>
      <c r="M547" s="462">
        <v>43665.0</v>
      </c>
      <c r="N547" s="306" t="s">
        <v>1288</v>
      </c>
      <c r="O547" s="306">
        <v>71714.0</v>
      </c>
      <c r="P547" s="462">
        <v>43706.0</v>
      </c>
      <c r="Q547" s="298"/>
      <c r="R547" s="298"/>
      <c r="S547" s="299"/>
      <c r="T547" s="300">
        <v>43685.0</v>
      </c>
      <c r="U547" s="299">
        <f>4532.64*31.43</f>
        <v>142460.8752</v>
      </c>
      <c r="V547" s="299">
        <f>(4555-4532.64)*31.43</f>
        <v>702.7748</v>
      </c>
      <c r="W547" s="298" t="s">
        <v>50</v>
      </c>
      <c r="X547" s="298" t="s">
        <v>285</v>
      </c>
      <c r="Y547" s="298" t="s">
        <v>51</v>
      </c>
      <c r="Z547" s="298" t="s">
        <v>52</v>
      </c>
      <c r="AA547" s="234" t="s">
        <v>507</v>
      </c>
    </row>
    <row r="548" ht="42.75" customHeight="1">
      <c r="A548" s="69">
        <v>43654.0</v>
      </c>
      <c r="B548" s="70" t="s">
        <v>130</v>
      </c>
      <c r="C548" s="21" t="s">
        <v>1286</v>
      </c>
      <c r="D548" s="21" t="s">
        <v>1287</v>
      </c>
      <c r="E548" s="23" t="s">
        <v>886</v>
      </c>
      <c r="F548" s="24">
        <v>20.0</v>
      </c>
      <c r="G548" s="48">
        <v>4.0</v>
      </c>
      <c r="H548" s="411">
        <v>80.0</v>
      </c>
      <c r="I548" s="61" t="s">
        <v>248</v>
      </c>
      <c r="J548" s="63" t="s">
        <v>134</v>
      </c>
      <c r="K548" s="30">
        <v>43668.0</v>
      </c>
      <c r="L548" s="462">
        <v>43708.0</v>
      </c>
      <c r="M548" s="462">
        <v>43665.0</v>
      </c>
      <c r="N548" s="306" t="s">
        <v>1288</v>
      </c>
      <c r="O548" s="306"/>
      <c r="P548" s="462">
        <v>43706.0</v>
      </c>
      <c r="Q548" s="298"/>
      <c r="R548" s="298"/>
      <c r="S548" s="299"/>
      <c r="T548" s="300">
        <v>43685.0</v>
      </c>
      <c r="U548" s="299"/>
      <c r="V548" s="299"/>
      <c r="W548" s="298" t="s">
        <v>50</v>
      </c>
      <c r="X548" s="298" t="s">
        <v>285</v>
      </c>
      <c r="Y548" s="298" t="s">
        <v>51</v>
      </c>
      <c r="Z548" s="298" t="s">
        <v>52</v>
      </c>
      <c r="AA548" s="234" t="s">
        <v>507</v>
      </c>
    </row>
    <row r="549" ht="42.75" customHeight="1">
      <c r="A549" s="69">
        <v>43654.0</v>
      </c>
      <c r="B549" s="70" t="s">
        <v>130</v>
      </c>
      <c r="C549" s="21" t="s">
        <v>1286</v>
      </c>
      <c r="D549" s="21" t="s">
        <v>1287</v>
      </c>
      <c r="E549" s="23" t="s">
        <v>242</v>
      </c>
      <c r="F549" s="24">
        <v>10.0</v>
      </c>
      <c r="G549" s="48">
        <v>66.0</v>
      </c>
      <c r="H549" s="411">
        <v>660.0</v>
      </c>
      <c r="I549" s="61" t="s">
        <v>248</v>
      </c>
      <c r="J549" s="63" t="s">
        <v>134</v>
      </c>
      <c r="K549" s="30">
        <v>43668.0</v>
      </c>
      <c r="L549" s="512">
        <v>43708.0</v>
      </c>
      <c r="M549" s="512">
        <v>43665.0</v>
      </c>
      <c r="N549" s="513" t="s">
        <v>1288</v>
      </c>
      <c r="O549" s="306"/>
      <c r="P549" s="462">
        <v>43706.0</v>
      </c>
      <c r="Q549" s="298"/>
      <c r="R549" s="298"/>
      <c r="S549" s="299"/>
      <c r="T549" s="300">
        <v>43685.0</v>
      </c>
      <c r="U549" s="299"/>
      <c r="V549" s="299"/>
      <c r="W549" s="298" t="s">
        <v>50</v>
      </c>
      <c r="X549" s="298" t="s">
        <v>285</v>
      </c>
      <c r="Y549" s="298" t="s">
        <v>51</v>
      </c>
      <c r="Z549" s="298" t="s">
        <v>52</v>
      </c>
      <c r="AA549" s="234" t="s">
        <v>507</v>
      </c>
    </row>
    <row r="550" ht="42.75" customHeight="1">
      <c r="A550" s="69">
        <v>43655.0</v>
      </c>
      <c r="B550" s="144" t="s">
        <v>673</v>
      </c>
      <c r="C550" s="32" t="s">
        <v>1289</v>
      </c>
      <c r="D550" s="21" t="s">
        <v>1290</v>
      </c>
      <c r="E550" s="23" t="s">
        <v>1291</v>
      </c>
      <c r="F550" s="24">
        <v>1.0</v>
      </c>
      <c r="G550" s="76">
        <v>277.0</v>
      </c>
      <c r="H550" s="411">
        <v>277.0</v>
      </c>
      <c r="I550" s="61" t="s">
        <v>105</v>
      </c>
      <c r="J550" s="63" t="s">
        <v>1292</v>
      </c>
      <c r="K550" s="29">
        <v>43656.0</v>
      </c>
      <c r="L550" s="306"/>
      <c r="M550" s="306"/>
      <c r="N550" s="306"/>
      <c r="O550" s="306"/>
      <c r="P550" s="306"/>
      <c r="Q550" s="298"/>
      <c r="R550" s="298"/>
      <c r="S550" s="299"/>
      <c r="T550" s="300">
        <v>43655.0</v>
      </c>
      <c r="U550" s="299"/>
      <c r="V550" s="299"/>
      <c r="W550" s="298" t="s">
        <v>50</v>
      </c>
      <c r="X550" s="82" t="s">
        <v>285</v>
      </c>
      <c r="Y550" s="298" t="s">
        <v>286</v>
      </c>
      <c r="Z550" s="298" t="s">
        <v>52</v>
      </c>
      <c r="AA550" s="459" t="s">
        <v>750</v>
      </c>
    </row>
    <row r="551" ht="42.75" customHeight="1">
      <c r="A551" s="69">
        <v>43657.0</v>
      </c>
      <c r="B551" s="70" t="s">
        <v>1000</v>
      </c>
      <c r="C551" s="21" t="s">
        <v>1293</v>
      </c>
      <c r="D551" s="21" t="s">
        <v>1294</v>
      </c>
      <c r="E551" s="23" t="s">
        <v>1295</v>
      </c>
      <c r="F551" s="24">
        <v>3.0</v>
      </c>
      <c r="G551" s="48">
        <v>277.0</v>
      </c>
      <c r="H551" s="411">
        <v>831.0</v>
      </c>
      <c r="I551" s="61" t="s">
        <v>105</v>
      </c>
      <c r="J551" s="63" t="s">
        <v>1296</v>
      </c>
      <c r="K551" s="300">
        <v>43662.0</v>
      </c>
      <c r="L551" s="462">
        <v>43708.0</v>
      </c>
      <c r="M551" s="462">
        <v>43658.0</v>
      </c>
      <c r="N551" s="306" t="s">
        <v>1297</v>
      </c>
      <c r="O551" s="306">
        <v>23837.0</v>
      </c>
      <c r="P551" s="462">
        <v>43706.0</v>
      </c>
      <c r="Q551" s="298"/>
      <c r="R551" s="298"/>
      <c r="S551" s="299"/>
      <c r="T551" s="300">
        <v>43658.0</v>
      </c>
      <c r="U551" s="299">
        <f>831*31.03</f>
        <v>25785.93</v>
      </c>
      <c r="V551" s="299">
        <v>0.0</v>
      </c>
      <c r="W551" s="298" t="s">
        <v>50</v>
      </c>
      <c r="X551" s="82" t="s">
        <v>285</v>
      </c>
      <c r="Y551" s="298" t="s">
        <v>51</v>
      </c>
      <c r="Z551" s="298" t="s">
        <v>52</v>
      </c>
      <c r="AA551" s="459" t="s">
        <v>750</v>
      </c>
    </row>
    <row r="552" ht="42.75" customHeight="1">
      <c r="A552" s="69">
        <v>43657.0</v>
      </c>
      <c r="B552" s="70" t="s">
        <v>130</v>
      </c>
      <c r="C552" s="21" t="s">
        <v>1298</v>
      </c>
      <c r="D552" s="21" t="s">
        <v>1299</v>
      </c>
      <c r="E552" s="32" t="s">
        <v>1300</v>
      </c>
      <c r="F552" s="24">
        <v>10.0</v>
      </c>
      <c r="G552" s="48">
        <v>103.0</v>
      </c>
      <c r="H552" s="411">
        <v>1030.0</v>
      </c>
      <c r="I552" s="61" t="s">
        <v>248</v>
      </c>
      <c r="J552" s="63" t="s">
        <v>134</v>
      </c>
      <c r="K552" s="145">
        <v>43668.0</v>
      </c>
      <c r="L552" s="462">
        <v>43708.0</v>
      </c>
      <c r="M552" s="462">
        <v>43664.0</v>
      </c>
      <c r="N552" s="306" t="s">
        <v>1301</v>
      </c>
      <c r="O552" s="306">
        <v>41112.0</v>
      </c>
      <c r="P552" s="462">
        <v>43706.0</v>
      </c>
      <c r="Q552" s="298"/>
      <c r="R552" s="298"/>
      <c r="S552" s="299"/>
      <c r="T552" s="300">
        <v>43685.0</v>
      </c>
      <c r="U552" s="299"/>
      <c r="V552" s="299"/>
      <c r="W552" s="298" t="s">
        <v>50</v>
      </c>
      <c r="X552" s="298" t="s">
        <v>285</v>
      </c>
      <c r="Y552" s="298" t="s">
        <v>51</v>
      </c>
      <c r="Z552" s="298" t="s">
        <v>52</v>
      </c>
      <c r="AA552" s="234" t="s">
        <v>507</v>
      </c>
    </row>
    <row r="553" ht="42.75" customHeight="1">
      <c r="A553" s="69">
        <v>43657.0</v>
      </c>
      <c r="B553" s="514" t="s">
        <v>130</v>
      </c>
      <c r="C553" s="21" t="s">
        <v>1298</v>
      </c>
      <c r="D553" s="21" t="s">
        <v>1299</v>
      </c>
      <c r="E553" s="23" t="s">
        <v>137</v>
      </c>
      <c r="F553" s="24">
        <v>10.0</v>
      </c>
      <c r="G553" s="48">
        <v>29.0</v>
      </c>
      <c r="H553" s="411">
        <v>290.0</v>
      </c>
      <c r="I553" s="61" t="s">
        <v>248</v>
      </c>
      <c r="J553" s="63" t="s">
        <v>134</v>
      </c>
      <c r="K553" s="145">
        <v>43668.0</v>
      </c>
      <c r="L553" s="462">
        <v>43708.0</v>
      </c>
      <c r="M553" s="462">
        <v>43664.0</v>
      </c>
      <c r="N553" s="306" t="s">
        <v>1301</v>
      </c>
      <c r="O553" s="306"/>
      <c r="P553" s="462">
        <v>43706.0</v>
      </c>
      <c r="Q553" s="298"/>
      <c r="R553" s="298"/>
      <c r="S553" s="299"/>
      <c r="T553" s="300">
        <v>43685.0</v>
      </c>
      <c r="U553" s="299"/>
      <c r="V553" s="299"/>
      <c r="W553" s="298" t="s">
        <v>50</v>
      </c>
      <c r="X553" s="298" t="s">
        <v>285</v>
      </c>
      <c r="Y553" s="298" t="s">
        <v>51</v>
      </c>
      <c r="Z553" s="298" t="s">
        <v>52</v>
      </c>
      <c r="AA553" s="234" t="s">
        <v>507</v>
      </c>
    </row>
    <row r="554" ht="42.75" customHeight="1">
      <c r="A554" s="69">
        <v>43657.0</v>
      </c>
      <c r="B554" s="70" t="s">
        <v>130</v>
      </c>
      <c r="C554" s="21" t="s">
        <v>1298</v>
      </c>
      <c r="D554" s="21" t="s">
        <v>1299</v>
      </c>
      <c r="E554" s="23" t="s">
        <v>800</v>
      </c>
      <c r="F554" s="24">
        <v>1.0</v>
      </c>
      <c r="G554" s="48">
        <v>35.0</v>
      </c>
      <c r="H554" s="411">
        <v>35.0</v>
      </c>
      <c r="I554" s="61" t="s">
        <v>248</v>
      </c>
      <c r="J554" s="63" t="s">
        <v>134</v>
      </c>
      <c r="K554" s="145">
        <v>43668.0</v>
      </c>
      <c r="L554" s="462">
        <v>43708.0</v>
      </c>
      <c r="M554" s="462">
        <v>43664.0</v>
      </c>
      <c r="N554" s="306" t="s">
        <v>1301</v>
      </c>
      <c r="O554" s="306"/>
      <c r="P554" s="462">
        <v>43706.0</v>
      </c>
      <c r="Q554" s="298"/>
      <c r="R554" s="298"/>
      <c r="S554" s="299"/>
      <c r="T554" s="300">
        <v>43685.0</v>
      </c>
      <c r="U554" s="299"/>
      <c r="V554" s="299"/>
      <c r="W554" s="298" t="s">
        <v>50</v>
      </c>
      <c r="X554" s="298" t="s">
        <v>285</v>
      </c>
      <c r="Y554" s="298" t="s">
        <v>51</v>
      </c>
      <c r="Z554" s="298" t="s">
        <v>52</v>
      </c>
      <c r="AA554" s="234" t="s">
        <v>507</v>
      </c>
    </row>
    <row r="555" ht="42.75" customHeight="1">
      <c r="A555" s="69">
        <v>43657.0</v>
      </c>
      <c r="B555" s="23" t="s">
        <v>406</v>
      </c>
      <c r="C555" s="21" t="s">
        <v>1302</v>
      </c>
      <c r="D555" s="32" t="s">
        <v>1303</v>
      </c>
      <c r="E555" s="23" t="s">
        <v>1304</v>
      </c>
      <c r="F555" s="24">
        <v>1.0</v>
      </c>
      <c r="G555" s="515">
        <v>60.0</v>
      </c>
      <c r="H555" s="408">
        <v>60.0</v>
      </c>
      <c r="I555" s="61" t="s">
        <v>43</v>
      </c>
      <c r="J555" s="63" t="s">
        <v>628</v>
      </c>
      <c r="K555" s="30">
        <v>43661.0</v>
      </c>
      <c r="L555" s="306"/>
      <c r="M555" s="306"/>
      <c r="N555" s="306"/>
      <c r="O555" s="306"/>
      <c r="P555" s="306"/>
      <c r="Q555" s="298"/>
      <c r="R555" s="298"/>
      <c r="S555" s="299"/>
      <c r="T555" s="300">
        <v>43691.0</v>
      </c>
      <c r="U555" s="299">
        <v>1683.0</v>
      </c>
      <c r="V555" s="299">
        <v>200.0</v>
      </c>
      <c r="W555" s="298" t="s">
        <v>50</v>
      </c>
      <c r="X555" s="298" t="s">
        <v>285</v>
      </c>
      <c r="Y555" s="298" t="s">
        <v>51</v>
      </c>
      <c r="Z555" s="298" t="s">
        <v>52</v>
      </c>
      <c r="AA555" s="234" t="s">
        <v>507</v>
      </c>
    </row>
    <row r="556" ht="42.75" customHeight="1">
      <c r="A556" s="469">
        <v>43658.0</v>
      </c>
      <c r="B556" s="70" t="s">
        <v>130</v>
      </c>
      <c r="C556" s="21" t="s">
        <v>1305</v>
      </c>
      <c r="D556" s="21" t="s">
        <v>1306</v>
      </c>
      <c r="E556" s="23" t="s">
        <v>242</v>
      </c>
      <c r="F556" s="24">
        <v>10.0</v>
      </c>
      <c r="G556" s="48">
        <v>66.0</v>
      </c>
      <c r="H556" s="470">
        <v>660.0</v>
      </c>
      <c r="I556" s="61" t="s">
        <v>248</v>
      </c>
      <c r="J556" s="63" t="s">
        <v>134</v>
      </c>
      <c r="K556" s="145">
        <v>43668.0</v>
      </c>
      <c r="L556" s="462">
        <v>43708.0</v>
      </c>
      <c r="M556" s="462">
        <v>43664.0</v>
      </c>
      <c r="N556" s="306" t="s">
        <v>1307</v>
      </c>
      <c r="O556" s="306">
        <v>19558.0</v>
      </c>
      <c r="P556" s="462">
        <v>43706.0</v>
      </c>
      <c r="Q556" s="298"/>
      <c r="R556" s="298"/>
      <c r="S556" s="299"/>
      <c r="T556" s="300">
        <v>43685.0</v>
      </c>
      <c r="U556" s="299"/>
      <c r="V556" s="299"/>
      <c r="W556" s="298" t="s">
        <v>50</v>
      </c>
      <c r="X556" s="298" t="s">
        <v>285</v>
      </c>
      <c r="Y556" s="298" t="s">
        <v>51</v>
      </c>
      <c r="Z556" s="298" t="s">
        <v>52</v>
      </c>
      <c r="AA556" s="234" t="s">
        <v>507</v>
      </c>
    </row>
    <row r="557" ht="42.75" customHeight="1">
      <c r="A557" s="69">
        <v>43661.0</v>
      </c>
      <c r="B557" s="23" t="s">
        <v>406</v>
      </c>
      <c r="C557" s="21">
        <v>7.000148797E9</v>
      </c>
      <c r="D557" s="32" t="s">
        <v>1308</v>
      </c>
      <c r="E557" s="23" t="s">
        <v>1309</v>
      </c>
      <c r="F557" s="24">
        <v>1.0</v>
      </c>
      <c r="G557" s="48">
        <v>135.0</v>
      </c>
      <c r="H557" s="22">
        <v>135.0</v>
      </c>
      <c r="I557" s="27" t="s">
        <v>43</v>
      </c>
      <c r="J557" s="50" t="s">
        <v>513</v>
      </c>
      <c r="K557" s="30">
        <v>43675.0</v>
      </c>
      <c r="L557" s="462">
        <v>43738.0</v>
      </c>
      <c r="M557" s="516">
        <v>43669.0</v>
      </c>
      <c r="N557" s="517" t="s">
        <v>1310</v>
      </c>
      <c r="O557" s="306">
        <v>3698.0</v>
      </c>
      <c r="P557" s="462">
        <v>43739.0</v>
      </c>
      <c r="Q557" s="298"/>
      <c r="R557" s="298"/>
      <c r="S557" s="299"/>
      <c r="T557" s="300">
        <v>43707.0</v>
      </c>
      <c r="U557" s="299">
        <f>576.61*31.3</f>
        <v>18047.893</v>
      </c>
      <c r="V557" s="299">
        <f>(603-576.61)*31.3</f>
        <v>826.007</v>
      </c>
      <c r="W557" s="298" t="s">
        <v>50</v>
      </c>
      <c r="X557" s="298" t="s">
        <v>285</v>
      </c>
      <c r="Y557" s="298" t="s">
        <v>51</v>
      </c>
      <c r="Z557" s="298" t="s">
        <v>52</v>
      </c>
      <c r="AA557" s="234" t="s">
        <v>507</v>
      </c>
    </row>
    <row r="558" ht="42.75" customHeight="1">
      <c r="A558" s="69">
        <v>43661.0</v>
      </c>
      <c r="B558" s="32" t="s">
        <v>406</v>
      </c>
      <c r="C558" s="21">
        <v>7.00014923E9</v>
      </c>
      <c r="D558" s="21" t="s">
        <v>1311</v>
      </c>
      <c r="E558" s="23" t="s">
        <v>807</v>
      </c>
      <c r="F558" s="24">
        <v>1.0</v>
      </c>
      <c r="G558" s="48">
        <v>565.0</v>
      </c>
      <c r="H558" s="470">
        <v>565.0</v>
      </c>
      <c r="I558" s="61" t="s">
        <v>43</v>
      </c>
      <c r="J558" s="50" t="s">
        <v>513</v>
      </c>
      <c r="K558" s="30">
        <v>43692.0</v>
      </c>
      <c r="L558" s="305">
        <v>43769.0</v>
      </c>
      <c r="M558" s="462">
        <v>43689.0</v>
      </c>
      <c r="N558" s="306" t="s">
        <v>1312</v>
      </c>
      <c r="O558" s="306">
        <v>18162.0</v>
      </c>
      <c r="P558" s="306"/>
      <c r="Q558" s="298"/>
      <c r="R558" s="298"/>
      <c r="S558" s="299"/>
      <c r="T558" s="300">
        <v>43733.0</v>
      </c>
      <c r="U558" s="299">
        <f>625.54*30.96</f>
        <v>19366.7184</v>
      </c>
      <c r="V558" s="299">
        <f>(652-625.54)*30.96</f>
        <v>819.2016</v>
      </c>
      <c r="W558" s="298" t="s">
        <v>50</v>
      </c>
      <c r="X558" s="298" t="s">
        <v>285</v>
      </c>
      <c r="Y558" s="298" t="s">
        <v>51</v>
      </c>
      <c r="Z558" s="298" t="s">
        <v>52</v>
      </c>
      <c r="AA558" s="234" t="s">
        <v>507</v>
      </c>
    </row>
    <row r="559" ht="42.75" customHeight="1">
      <c r="A559" s="69">
        <v>43661.0</v>
      </c>
      <c r="B559" s="23" t="s">
        <v>406</v>
      </c>
      <c r="C559" s="21">
        <v>7.00014923E9</v>
      </c>
      <c r="D559" s="21" t="s">
        <v>1311</v>
      </c>
      <c r="E559" s="23" t="s">
        <v>1011</v>
      </c>
      <c r="F559" s="24">
        <v>1.0</v>
      </c>
      <c r="G559" s="515">
        <v>87.0</v>
      </c>
      <c r="H559" s="470">
        <v>87.0</v>
      </c>
      <c r="I559" s="61" t="s">
        <v>43</v>
      </c>
      <c r="J559" s="50" t="s">
        <v>513</v>
      </c>
      <c r="K559" s="30">
        <v>43692.0</v>
      </c>
      <c r="L559" s="305">
        <v>43769.0</v>
      </c>
      <c r="M559" s="462">
        <v>43689.0</v>
      </c>
      <c r="N559" s="306" t="s">
        <v>1312</v>
      </c>
      <c r="O559" s="306"/>
      <c r="P559" s="306"/>
      <c r="Q559" s="298"/>
      <c r="R559" s="298"/>
      <c r="S559" s="299"/>
      <c r="T559" s="300">
        <v>43733.0</v>
      </c>
      <c r="U559" s="299"/>
      <c r="V559" s="299"/>
      <c r="W559" s="298" t="s">
        <v>50</v>
      </c>
      <c r="X559" s="298" t="s">
        <v>285</v>
      </c>
      <c r="Y559" s="298" t="s">
        <v>51</v>
      </c>
      <c r="Z559" s="298" t="s">
        <v>52</v>
      </c>
      <c r="AA559" s="234" t="s">
        <v>507</v>
      </c>
    </row>
    <row r="560" ht="42.75" customHeight="1">
      <c r="A560" s="69">
        <v>43662.0</v>
      </c>
      <c r="B560" s="70" t="s">
        <v>223</v>
      </c>
      <c r="C560" s="21" t="s">
        <v>1313</v>
      </c>
      <c r="D560" s="21" t="s">
        <v>1314</v>
      </c>
      <c r="E560" s="23" t="s">
        <v>1315</v>
      </c>
      <c r="F560" s="24">
        <v>1.0</v>
      </c>
      <c r="G560" s="48">
        <v>163.8</v>
      </c>
      <c r="H560" s="470">
        <v>163.8</v>
      </c>
      <c r="I560" s="61" t="s">
        <v>248</v>
      </c>
      <c r="J560" s="63" t="s">
        <v>976</v>
      </c>
      <c r="K560" s="30">
        <v>43664.0</v>
      </c>
      <c r="L560" s="462">
        <v>43708.0</v>
      </c>
      <c r="M560" s="462">
        <v>43663.0</v>
      </c>
      <c r="N560" s="306" t="s">
        <v>1316</v>
      </c>
      <c r="O560" s="306">
        <v>4629.0</v>
      </c>
      <c r="P560" s="462">
        <v>43706.0</v>
      </c>
      <c r="Q560" s="298"/>
      <c r="R560" s="298"/>
      <c r="S560" s="299"/>
      <c r="T560" s="300">
        <v>43683.0</v>
      </c>
      <c r="U560" s="299"/>
      <c r="V560" s="299"/>
      <c r="W560" s="298" t="s">
        <v>50</v>
      </c>
      <c r="X560" s="298" t="s">
        <v>285</v>
      </c>
      <c r="Y560" s="298" t="s">
        <v>51</v>
      </c>
      <c r="Z560" s="298" t="s">
        <v>377</v>
      </c>
      <c r="AA560" s="234" t="s">
        <v>507</v>
      </c>
    </row>
    <row r="561" ht="42.75" customHeight="1">
      <c r="A561" s="19">
        <v>43663.0</v>
      </c>
      <c r="B561" s="20" t="s">
        <v>40</v>
      </c>
      <c r="C561" s="21">
        <v>2029844.0</v>
      </c>
      <c r="D561" s="22" t="s">
        <v>1317</v>
      </c>
      <c r="E561" s="23" t="s">
        <v>42</v>
      </c>
      <c r="F561" s="24">
        <v>70.0</v>
      </c>
      <c r="G561" s="48">
        <v>273.0</v>
      </c>
      <c r="H561" s="47">
        <v>19110.0</v>
      </c>
      <c r="I561" s="27" t="s">
        <v>43</v>
      </c>
      <c r="J561" s="58" t="s">
        <v>1318</v>
      </c>
      <c r="K561" s="29">
        <v>43790.0</v>
      </c>
      <c r="L561" s="305">
        <v>43799.0</v>
      </c>
      <c r="M561" s="462">
        <v>43770.0</v>
      </c>
      <c r="N561" s="306" t="s">
        <v>1319</v>
      </c>
      <c r="O561" s="306">
        <v>447791.0</v>
      </c>
      <c r="P561" s="306"/>
      <c r="Q561" s="298"/>
      <c r="R561" s="298"/>
      <c r="S561" s="299"/>
      <c r="T561" s="29">
        <v>43788.0</v>
      </c>
      <c r="U561" s="299"/>
      <c r="V561" s="299"/>
      <c r="W561" s="298" t="s">
        <v>50</v>
      </c>
      <c r="X561" s="298" t="s">
        <v>285</v>
      </c>
      <c r="Y561" s="298" t="s">
        <v>51</v>
      </c>
      <c r="Z561" s="298" t="s">
        <v>52</v>
      </c>
      <c r="AA561" s="459" t="s">
        <v>763</v>
      </c>
    </row>
    <row r="562" ht="42.75" customHeight="1">
      <c r="A562" s="19">
        <v>43663.0</v>
      </c>
      <c r="B562" s="20" t="s">
        <v>40</v>
      </c>
      <c r="C562" s="21">
        <v>2029844.0</v>
      </c>
      <c r="D562" s="22" t="s">
        <v>1317</v>
      </c>
      <c r="E562" s="23" t="s">
        <v>53</v>
      </c>
      <c r="F562" s="24">
        <v>70.0</v>
      </c>
      <c r="G562" s="48">
        <v>31.0</v>
      </c>
      <c r="H562" s="47">
        <v>2170.0</v>
      </c>
      <c r="I562" s="27" t="s">
        <v>43</v>
      </c>
      <c r="J562" s="58" t="s">
        <v>1318</v>
      </c>
      <c r="K562" s="29">
        <v>43790.0</v>
      </c>
      <c r="L562" s="305">
        <v>43830.0</v>
      </c>
      <c r="M562" s="305">
        <v>43784.0</v>
      </c>
      <c r="N562" s="306" t="s">
        <v>1320</v>
      </c>
      <c r="O562" s="306">
        <v>1113666.0</v>
      </c>
      <c r="P562" s="306"/>
      <c r="Q562" s="298"/>
      <c r="R562" s="298"/>
      <c r="S562" s="299"/>
      <c r="T562" s="29">
        <v>43788.0</v>
      </c>
      <c r="U562" s="299"/>
      <c r="V562" s="299"/>
      <c r="W562" s="298" t="s">
        <v>50</v>
      </c>
      <c r="X562" s="298" t="s">
        <v>285</v>
      </c>
      <c r="Y562" s="298" t="s">
        <v>51</v>
      </c>
      <c r="Z562" s="298" t="s">
        <v>52</v>
      </c>
      <c r="AA562" s="459" t="s">
        <v>763</v>
      </c>
    </row>
    <row r="563" ht="42.75" customHeight="1">
      <c r="A563" s="19">
        <v>43663.0</v>
      </c>
      <c r="B563" s="20" t="s">
        <v>40</v>
      </c>
      <c r="C563" s="21">
        <v>2029844.0</v>
      </c>
      <c r="D563" s="22" t="s">
        <v>1317</v>
      </c>
      <c r="E563" s="23" t="s">
        <v>59</v>
      </c>
      <c r="F563" s="24">
        <v>70.0</v>
      </c>
      <c r="G563" s="48">
        <v>4.0</v>
      </c>
      <c r="H563" s="47">
        <v>280.0</v>
      </c>
      <c r="I563" s="27" t="s">
        <v>43</v>
      </c>
      <c r="J563" s="58" t="s">
        <v>1318</v>
      </c>
      <c r="K563" s="29">
        <v>43790.0</v>
      </c>
      <c r="L563" s="305">
        <v>43830.0</v>
      </c>
      <c r="M563" s="305">
        <v>43784.0</v>
      </c>
      <c r="N563" s="306" t="s">
        <v>1320</v>
      </c>
      <c r="O563" s="306"/>
      <c r="P563" s="306"/>
      <c r="Q563" s="298"/>
      <c r="R563" s="298"/>
      <c r="S563" s="299"/>
      <c r="T563" s="29">
        <v>43788.0</v>
      </c>
      <c r="U563" s="299"/>
      <c r="V563" s="299"/>
      <c r="W563" s="298" t="s">
        <v>50</v>
      </c>
      <c r="X563" s="298" t="s">
        <v>285</v>
      </c>
      <c r="Y563" s="298" t="s">
        <v>51</v>
      </c>
      <c r="Z563" s="298" t="s">
        <v>52</v>
      </c>
      <c r="AA563" s="459" t="s">
        <v>763</v>
      </c>
    </row>
    <row r="564" ht="42.75" customHeight="1">
      <c r="A564" s="19">
        <v>43663.0</v>
      </c>
      <c r="B564" s="20" t="s">
        <v>40</v>
      </c>
      <c r="C564" s="21">
        <v>2029844.0</v>
      </c>
      <c r="D564" s="22" t="s">
        <v>1321</v>
      </c>
      <c r="E564" s="23" t="s">
        <v>61</v>
      </c>
      <c r="F564" s="24">
        <v>70.0</v>
      </c>
      <c r="G564" s="48">
        <v>532.0</v>
      </c>
      <c r="H564" s="26">
        <v>37240.0</v>
      </c>
      <c r="I564" s="27" t="s">
        <v>43</v>
      </c>
      <c r="J564" s="58" t="s">
        <v>1318</v>
      </c>
      <c r="K564" s="29">
        <v>43790.0</v>
      </c>
      <c r="L564" s="305">
        <v>43830.0</v>
      </c>
      <c r="M564" s="305">
        <v>43784.0</v>
      </c>
      <c r="N564" s="306" t="s">
        <v>1320</v>
      </c>
      <c r="O564" s="306"/>
      <c r="P564" s="306"/>
      <c r="Q564" s="298"/>
      <c r="R564" s="298"/>
      <c r="S564" s="299"/>
      <c r="T564" s="29">
        <v>43788.0</v>
      </c>
      <c r="U564" s="299"/>
      <c r="V564" s="299"/>
      <c r="W564" s="298" t="s">
        <v>50</v>
      </c>
      <c r="X564" s="298" t="s">
        <v>285</v>
      </c>
      <c r="Y564" s="298" t="s">
        <v>51</v>
      </c>
      <c r="Z564" s="298" t="s">
        <v>52</v>
      </c>
      <c r="AA564" s="459" t="s">
        <v>763</v>
      </c>
    </row>
    <row r="565" ht="75.75" customHeight="1">
      <c r="A565" s="69">
        <v>43663.0</v>
      </c>
      <c r="B565" s="70" t="s">
        <v>621</v>
      </c>
      <c r="C565" s="21"/>
      <c r="D565" s="21" t="s">
        <v>1322</v>
      </c>
      <c r="E565" s="23" t="s">
        <v>1323</v>
      </c>
      <c r="F565" s="24">
        <v>1.0</v>
      </c>
      <c r="G565" s="25">
        <v>-130.0</v>
      </c>
      <c r="H565" s="26">
        <v>-130.0</v>
      </c>
      <c r="I565" s="27" t="s">
        <v>43</v>
      </c>
      <c r="J565" s="50" t="s">
        <v>1324</v>
      </c>
      <c r="K565" s="29">
        <v>43697.0</v>
      </c>
      <c r="L565" s="306"/>
      <c r="M565" s="306"/>
      <c r="N565" s="306"/>
      <c r="O565" s="306"/>
      <c r="P565" s="306"/>
      <c r="Q565" s="298"/>
      <c r="R565" s="298"/>
      <c r="S565" s="299"/>
      <c r="T565" s="300">
        <v>43699.0</v>
      </c>
      <c r="U565" s="299"/>
      <c r="V565" s="299"/>
      <c r="W565" s="298" t="s">
        <v>50</v>
      </c>
      <c r="X565" s="298" t="s">
        <v>285</v>
      </c>
      <c r="Y565" s="298" t="s">
        <v>51</v>
      </c>
      <c r="Z565" s="298" t="s">
        <v>52</v>
      </c>
      <c r="AA565" s="234" t="s">
        <v>507</v>
      </c>
    </row>
    <row r="566" ht="42.75" customHeight="1">
      <c r="A566" s="69">
        <v>43663.0</v>
      </c>
      <c r="B566" s="70" t="s">
        <v>621</v>
      </c>
      <c r="C566" s="21"/>
      <c r="D566" s="21" t="s">
        <v>1325</v>
      </c>
      <c r="E566" s="23" t="s">
        <v>1326</v>
      </c>
      <c r="F566" s="82">
        <v>25.0</v>
      </c>
      <c r="G566" s="25">
        <v>143.22</v>
      </c>
      <c r="H566" s="26">
        <v>3580.5</v>
      </c>
      <c r="I566" s="27" t="s">
        <v>43</v>
      </c>
      <c r="J566" s="50" t="s">
        <v>1324</v>
      </c>
      <c r="K566" s="29">
        <v>43697.0</v>
      </c>
      <c r="L566" s="462">
        <v>43738.0</v>
      </c>
      <c r="M566" s="462">
        <v>43683.0</v>
      </c>
      <c r="N566" s="306" t="s">
        <v>1327</v>
      </c>
      <c r="O566" s="306">
        <v>115985.0</v>
      </c>
      <c r="P566" s="462">
        <v>43739.0</v>
      </c>
      <c r="Q566" s="298"/>
      <c r="R566" s="298"/>
      <c r="S566" s="299"/>
      <c r="T566" s="300">
        <v>43699.0</v>
      </c>
      <c r="U566" s="299"/>
      <c r="V566" s="299"/>
      <c r="W566" s="298" t="s">
        <v>50</v>
      </c>
      <c r="X566" s="298" t="s">
        <v>285</v>
      </c>
      <c r="Y566" s="298" t="s">
        <v>51</v>
      </c>
      <c r="Z566" s="298" t="s">
        <v>52</v>
      </c>
      <c r="AA566" s="234" t="s">
        <v>507</v>
      </c>
    </row>
    <row r="567" ht="42.75" customHeight="1">
      <c r="A567" s="69">
        <v>43663.0</v>
      </c>
      <c r="B567" s="70" t="s">
        <v>621</v>
      </c>
      <c r="C567" s="21"/>
      <c r="D567" s="21" t="s">
        <v>1328</v>
      </c>
      <c r="E567" s="23" t="s">
        <v>1329</v>
      </c>
      <c r="F567" s="82">
        <v>2.0</v>
      </c>
      <c r="G567" s="25">
        <v>375.9</v>
      </c>
      <c r="H567" s="26">
        <v>751.8</v>
      </c>
      <c r="I567" s="27" t="s">
        <v>43</v>
      </c>
      <c r="J567" s="50" t="s">
        <v>1324</v>
      </c>
      <c r="K567" s="29">
        <v>43697.0</v>
      </c>
      <c r="L567" s="462">
        <v>43738.0</v>
      </c>
      <c r="M567" s="462">
        <v>43683.0</v>
      </c>
      <c r="N567" s="306" t="s">
        <v>1327</v>
      </c>
      <c r="O567" s="306"/>
      <c r="P567" s="462">
        <v>43739.0</v>
      </c>
      <c r="Q567" s="298"/>
      <c r="R567" s="298"/>
      <c r="S567" s="299"/>
      <c r="T567" s="300">
        <v>43699.0</v>
      </c>
      <c r="U567" s="299"/>
      <c r="V567" s="299"/>
      <c r="W567" s="298" t="s">
        <v>50</v>
      </c>
      <c r="X567" s="298" t="s">
        <v>285</v>
      </c>
      <c r="Y567" s="298" t="s">
        <v>51</v>
      </c>
      <c r="Z567" s="298" t="s">
        <v>52</v>
      </c>
      <c r="AA567" s="234" t="s">
        <v>507</v>
      </c>
    </row>
    <row r="568" ht="42.75" customHeight="1">
      <c r="A568" s="69">
        <v>43663.0</v>
      </c>
      <c r="B568" s="70" t="s">
        <v>621</v>
      </c>
      <c r="C568" s="21"/>
      <c r="D568" s="21" t="s">
        <v>1330</v>
      </c>
      <c r="E568" s="23" t="s">
        <v>1331</v>
      </c>
      <c r="F568" s="82">
        <v>1.0</v>
      </c>
      <c r="G568" s="25">
        <v>344.4</v>
      </c>
      <c r="H568" s="26">
        <v>344.4</v>
      </c>
      <c r="I568" s="27" t="s">
        <v>43</v>
      </c>
      <c r="J568" s="50" t="s">
        <v>1324</v>
      </c>
      <c r="K568" s="29">
        <v>43697.0</v>
      </c>
      <c r="L568" s="462">
        <v>43738.0</v>
      </c>
      <c r="M568" s="462">
        <v>43685.0</v>
      </c>
      <c r="N568" s="306" t="s">
        <v>1332</v>
      </c>
      <c r="O568" s="306">
        <v>83968.0</v>
      </c>
      <c r="P568" s="462">
        <v>43739.0</v>
      </c>
      <c r="Q568" s="298"/>
      <c r="R568" s="298"/>
      <c r="S568" s="299"/>
      <c r="T568" s="300">
        <v>43699.0</v>
      </c>
      <c r="U568" s="299"/>
      <c r="V568" s="299"/>
      <c r="W568" s="298" t="s">
        <v>50</v>
      </c>
      <c r="X568" s="298" t="s">
        <v>285</v>
      </c>
      <c r="Y568" s="298" t="s">
        <v>51</v>
      </c>
      <c r="Z568" s="298" t="s">
        <v>52</v>
      </c>
      <c r="AA568" s="234" t="s">
        <v>507</v>
      </c>
    </row>
    <row r="569" ht="42.75" customHeight="1">
      <c r="A569" s="69">
        <v>43663.0</v>
      </c>
      <c r="B569" s="70" t="s">
        <v>621</v>
      </c>
      <c r="C569" s="21"/>
      <c r="D569" s="21" t="s">
        <v>1333</v>
      </c>
      <c r="E569" s="23" t="s">
        <v>1334</v>
      </c>
      <c r="F569" s="82">
        <v>1.0</v>
      </c>
      <c r="G569" s="25">
        <v>2892.75</v>
      </c>
      <c r="H569" s="26">
        <v>2892.75</v>
      </c>
      <c r="I569" s="27" t="s">
        <v>43</v>
      </c>
      <c r="J569" s="50" t="s">
        <v>1324</v>
      </c>
      <c r="K569" s="29">
        <v>43697.0</v>
      </c>
      <c r="L569" s="462">
        <v>43738.0</v>
      </c>
      <c r="M569" s="462">
        <v>43685.0</v>
      </c>
      <c r="N569" s="306" t="s">
        <v>1332</v>
      </c>
      <c r="O569" s="306"/>
      <c r="P569" s="462">
        <v>43739.0</v>
      </c>
      <c r="Q569" s="298"/>
      <c r="R569" s="298"/>
      <c r="S569" s="299"/>
      <c r="T569" s="300">
        <v>43699.0</v>
      </c>
      <c r="U569" s="299"/>
      <c r="V569" s="299"/>
      <c r="W569" s="298" t="s">
        <v>50</v>
      </c>
      <c r="X569" s="298" t="s">
        <v>285</v>
      </c>
      <c r="Y569" s="298" t="s">
        <v>51</v>
      </c>
      <c r="Z569" s="298" t="s">
        <v>52</v>
      </c>
      <c r="AA569" s="234" t="s">
        <v>507</v>
      </c>
    </row>
    <row r="570" ht="42.75" customHeight="1">
      <c r="A570" s="69">
        <v>43663.0</v>
      </c>
      <c r="B570" s="70" t="s">
        <v>621</v>
      </c>
      <c r="C570" s="21"/>
      <c r="D570" s="21" t="s">
        <v>1335</v>
      </c>
      <c r="E570" s="23" t="s">
        <v>1336</v>
      </c>
      <c r="F570" s="82">
        <v>35.0</v>
      </c>
      <c r="G570" s="25">
        <v>143.22</v>
      </c>
      <c r="H570" s="26">
        <v>5012.7</v>
      </c>
      <c r="I570" s="27" t="s">
        <v>43</v>
      </c>
      <c r="J570" s="50" t="s">
        <v>1324</v>
      </c>
      <c r="K570" s="29">
        <v>43697.0</v>
      </c>
      <c r="L570" s="462">
        <v>43738.0</v>
      </c>
      <c r="M570" s="462">
        <v>43685.0</v>
      </c>
      <c r="N570" s="306" t="s">
        <v>1337</v>
      </c>
      <c r="O570" s="306">
        <v>181811.0</v>
      </c>
      <c r="P570" s="462">
        <v>43739.0</v>
      </c>
      <c r="Q570" s="298"/>
      <c r="R570" s="298"/>
      <c r="S570" s="299"/>
      <c r="T570" s="300">
        <v>43699.0</v>
      </c>
      <c r="U570" s="299"/>
      <c r="V570" s="299"/>
      <c r="W570" s="298" t="s">
        <v>50</v>
      </c>
      <c r="X570" s="298" t="s">
        <v>285</v>
      </c>
      <c r="Y570" s="298" t="s">
        <v>51</v>
      </c>
      <c r="Z570" s="298" t="s">
        <v>52</v>
      </c>
      <c r="AA570" s="234" t="s">
        <v>507</v>
      </c>
    </row>
    <row r="571" ht="42.75" customHeight="1">
      <c r="A571" s="69">
        <v>43663.0</v>
      </c>
      <c r="B571" s="70" t="s">
        <v>621</v>
      </c>
      <c r="C571" s="21"/>
      <c r="D571" s="21" t="s">
        <v>1338</v>
      </c>
      <c r="E571" s="32" t="s">
        <v>1339</v>
      </c>
      <c r="F571" s="82">
        <v>3.0</v>
      </c>
      <c r="G571" s="48">
        <v>344.4</v>
      </c>
      <c r="H571" s="26">
        <v>1033.1999999999998</v>
      </c>
      <c r="I571" s="27" t="s">
        <v>43</v>
      </c>
      <c r="J571" s="50" t="s">
        <v>1324</v>
      </c>
      <c r="K571" s="29">
        <v>43697.0</v>
      </c>
      <c r="L571" s="462">
        <v>43738.0</v>
      </c>
      <c r="M571" s="462">
        <v>43685.0</v>
      </c>
      <c r="N571" s="306" t="s">
        <v>1337</v>
      </c>
      <c r="O571" s="306"/>
      <c r="P571" s="462">
        <v>43739.0</v>
      </c>
      <c r="Q571" s="298"/>
      <c r="R571" s="298"/>
      <c r="S571" s="299"/>
      <c r="T571" s="300">
        <v>43699.0</v>
      </c>
      <c r="U571" s="299"/>
      <c r="V571" s="299"/>
      <c r="W571" s="298" t="s">
        <v>50</v>
      </c>
      <c r="X571" s="298" t="s">
        <v>285</v>
      </c>
      <c r="Y571" s="298" t="s">
        <v>51</v>
      </c>
      <c r="Z571" s="298" t="s">
        <v>52</v>
      </c>
      <c r="AA571" s="234" t="s">
        <v>507</v>
      </c>
    </row>
    <row r="572" ht="42.75" customHeight="1">
      <c r="A572" s="69">
        <v>43663.0</v>
      </c>
      <c r="B572" s="70" t="s">
        <v>621</v>
      </c>
      <c r="C572" s="21"/>
      <c r="D572" s="21" t="s">
        <v>1340</v>
      </c>
      <c r="E572" s="32" t="s">
        <v>1341</v>
      </c>
      <c r="F572" s="82">
        <v>2.0</v>
      </c>
      <c r="G572" s="48">
        <v>391.65</v>
      </c>
      <c r="H572" s="26">
        <v>783.3</v>
      </c>
      <c r="I572" s="27" t="s">
        <v>43</v>
      </c>
      <c r="J572" s="50" t="s">
        <v>1324</v>
      </c>
      <c r="K572" s="29">
        <v>43697.0</v>
      </c>
      <c r="L572" s="462">
        <v>43738.0</v>
      </c>
      <c r="M572" s="462">
        <v>43685.0</v>
      </c>
      <c r="N572" s="306" t="s">
        <v>1337</v>
      </c>
      <c r="O572" s="306"/>
      <c r="P572" s="462">
        <v>43739.0</v>
      </c>
      <c r="Q572" s="298"/>
      <c r="R572" s="298"/>
      <c r="S572" s="299"/>
      <c r="T572" s="300">
        <v>43699.0</v>
      </c>
      <c r="U572" s="299"/>
      <c r="V572" s="299"/>
      <c r="W572" s="298" t="s">
        <v>50</v>
      </c>
      <c r="X572" s="298" t="s">
        <v>285</v>
      </c>
      <c r="Y572" s="298" t="s">
        <v>51</v>
      </c>
      <c r="Z572" s="298" t="s">
        <v>52</v>
      </c>
      <c r="AA572" s="234" t="s">
        <v>507</v>
      </c>
    </row>
    <row r="573" ht="42.75" customHeight="1">
      <c r="A573" s="69">
        <v>43663.0</v>
      </c>
      <c r="B573" s="70" t="s">
        <v>621</v>
      </c>
      <c r="C573" s="21"/>
      <c r="D573" s="21" t="s">
        <v>1342</v>
      </c>
      <c r="E573" s="32" t="s">
        <v>1343</v>
      </c>
      <c r="F573" s="82">
        <v>14.0</v>
      </c>
      <c r="G573" s="48">
        <v>960.75</v>
      </c>
      <c r="H573" s="26">
        <v>13450.5</v>
      </c>
      <c r="I573" s="27" t="s">
        <v>43</v>
      </c>
      <c r="J573" s="50" t="s">
        <v>1324</v>
      </c>
      <c r="K573" s="29">
        <v>43697.0</v>
      </c>
      <c r="L573" s="462">
        <v>43738.0</v>
      </c>
      <c r="M573" s="462">
        <v>43691.0</v>
      </c>
      <c r="N573" s="306" t="s">
        <v>1344</v>
      </c>
      <c r="O573" s="306">
        <v>475572.0</v>
      </c>
      <c r="P573" s="462">
        <v>43739.0</v>
      </c>
      <c r="Q573" s="298"/>
      <c r="R573" s="298"/>
      <c r="S573" s="299"/>
      <c r="T573" s="300">
        <v>43699.0</v>
      </c>
      <c r="U573" s="299"/>
      <c r="V573" s="299"/>
      <c r="W573" s="298" t="s">
        <v>50</v>
      </c>
      <c r="X573" s="298" t="s">
        <v>285</v>
      </c>
      <c r="Y573" s="298" t="s">
        <v>51</v>
      </c>
      <c r="Z573" s="298" t="s">
        <v>52</v>
      </c>
      <c r="AA573" s="234" t="s">
        <v>507</v>
      </c>
    </row>
    <row r="574" ht="42.75" customHeight="1">
      <c r="A574" s="69">
        <v>43663.0</v>
      </c>
      <c r="B574" s="70" t="s">
        <v>621</v>
      </c>
      <c r="C574" s="21"/>
      <c r="D574" s="21" t="s">
        <v>1345</v>
      </c>
      <c r="E574" s="32" t="s">
        <v>1346</v>
      </c>
      <c r="F574" s="82">
        <v>1.0</v>
      </c>
      <c r="G574" s="48">
        <v>2892.75</v>
      </c>
      <c r="H574" s="26">
        <v>2892.75</v>
      </c>
      <c r="I574" s="27" t="s">
        <v>43</v>
      </c>
      <c r="J574" s="50" t="s">
        <v>1324</v>
      </c>
      <c r="K574" s="29">
        <v>43697.0</v>
      </c>
      <c r="L574" s="462">
        <v>43738.0</v>
      </c>
      <c r="M574" s="462">
        <v>43691.0</v>
      </c>
      <c r="N574" s="306" t="s">
        <v>1344</v>
      </c>
      <c r="O574" s="306"/>
      <c r="P574" s="462">
        <v>43739.0</v>
      </c>
      <c r="Q574" s="298"/>
      <c r="R574" s="298"/>
      <c r="S574" s="299"/>
      <c r="T574" s="300">
        <v>43699.0</v>
      </c>
      <c r="U574" s="299"/>
      <c r="V574" s="299"/>
      <c r="W574" s="298" t="s">
        <v>50</v>
      </c>
      <c r="X574" s="298" t="s">
        <v>285</v>
      </c>
      <c r="Y574" s="298" t="s">
        <v>51</v>
      </c>
      <c r="Z574" s="298" t="s">
        <v>52</v>
      </c>
      <c r="AA574" s="234" t="s">
        <v>507</v>
      </c>
    </row>
    <row r="575" ht="42.75" customHeight="1">
      <c r="A575" s="69">
        <v>43663.0</v>
      </c>
      <c r="B575" s="70" t="s">
        <v>621</v>
      </c>
      <c r="C575" s="21"/>
      <c r="D575" s="21" t="s">
        <v>1347</v>
      </c>
      <c r="E575" s="32" t="s">
        <v>1348</v>
      </c>
      <c r="F575" s="82">
        <v>20.0</v>
      </c>
      <c r="G575" s="48">
        <v>960.75</v>
      </c>
      <c r="H575" s="26">
        <v>19215.0</v>
      </c>
      <c r="I575" s="27" t="s">
        <v>43</v>
      </c>
      <c r="J575" s="50" t="s">
        <v>1324</v>
      </c>
      <c r="K575" s="29">
        <v>43697.0</v>
      </c>
      <c r="L575" s="462">
        <v>43738.0</v>
      </c>
      <c r="M575" s="462">
        <v>43691.0</v>
      </c>
      <c r="N575" s="306" t="s">
        <v>1349</v>
      </c>
      <c r="O575" s="306">
        <v>590281.0</v>
      </c>
      <c r="P575" s="462">
        <v>43739.0</v>
      </c>
      <c r="Q575" s="298"/>
      <c r="R575" s="298"/>
      <c r="S575" s="299"/>
      <c r="T575" s="300">
        <v>43699.0</v>
      </c>
      <c r="U575" s="299">
        <f>1596000+1978</f>
        <v>1597978</v>
      </c>
      <c r="V575" s="299">
        <v>0.0</v>
      </c>
      <c r="W575" s="298" t="s">
        <v>50</v>
      </c>
      <c r="X575" s="298" t="s">
        <v>285</v>
      </c>
      <c r="Y575" s="298" t="s">
        <v>51</v>
      </c>
      <c r="Z575" s="298" t="s">
        <v>52</v>
      </c>
      <c r="AA575" s="234" t="s">
        <v>507</v>
      </c>
    </row>
    <row r="576" ht="42.75" customHeight="1">
      <c r="A576" s="69">
        <v>43663.0</v>
      </c>
      <c r="B576" s="70" t="s">
        <v>621</v>
      </c>
      <c r="C576" s="21"/>
      <c r="D576" s="21" t="s">
        <v>1350</v>
      </c>
      <c r="E576" s="32" t="s">
        <v>1351</v>
      </c>
      <c r="F576" s="82">
        <v>2.0</v>
      </c>
      <c r="G576" s="48">
        <v>391.65</v>
      </c>
      <c r="H576" s="26">
        <v>783.3</v>
      </c>
      <c r="I576" s="27" t="s">
        <v>43</v>
      </c>
      <c r="J576" s="50" t="s">
        <v>1324</v>
      </c>
      <c r="K576" s="29">
        <v>43697.0</v>
      </c>
      <c r="L576" s="462">
        <v>43738.0</v>
      </c>
      <c r="M576" s="462">
        <v>43691.0</v>
      </c>
      <c r="N576" s="306" t="s">
        <v>1349</v>
      </c>
      <c r="O576" s="306"/>
      <c r="P576" s="462">
        <v>43739.0</v>
      </c>
      <c r="Q576" s="298"/>
      <c r="R576" s="298"/>
      <c r="S576" s="299"/>
      <c r="T576" s="300">
        <v>43699.0</v>
      </c>
      <c r="U576" s="299"/>
      <c r="V576" s="299"/>
      <c r="W576" s="298" t="s">
        <v>50</v>
      </c>
      <c r="X576" s="298" t="s">
        <v>285</v>
      </c>
      <c r="Y576" s="298" t="s">
        <v>51</v>
      </c>
      <c r="Z576" s="298" t="s">
        <v>52</v>
      </c>
      <c r="AA576" s="234" t="s">
        <v>507</v>
      </c>
    </row>
    <row r="577" ht="42.75" customHeight="1">
      <c r="A577" s="69">
        <v>43663.0</v>
      </c>
      <c r="B577" s="144" t="s">
        <v>464</v>
      </c>
      <c r="C577" s="21">
        <v>504602.0</v>
      </c>
      <c r="D577" s="21" t="s">
        <v>1352</v>
      </c>
      <c r="E577" s="32" t="s">
        <v>1353</v>
      </c>
      <c r="F577" s="24">
        <v>1.0</v>
      </c>
      <c r="G577" s="48">
        <v>470.0</v>
      </c>
      <c r="H577" s="26">
        <v>470.0</v>
      </c>
      <c r="I577" s="61" t="s">
        <v>105</v>
      </c>
      <c r="J577" s="63" t="s">
        <v>467</v>
      </c>
      <c r="K577" s="29">
        <v>43692.0</v>
      </c>
      <c r="L577" s="306"/>
      <c r="M577" s="306"/>
      <c r="N577" s="306"/>
      <c r="O577" s="306"/>
      <c r="P577" s="306"/>
      <c r="Q577" s="298"/>
      <c r="R577" s="298"/>
      <c r="S577" s="299"/>
      <c r="T577" s="300">
        <v>43692.0</v>
      </c>
      <c r="U577" s="299">
        <f>463.61*31.32</f>
        <v>14520.2652</v>
      </c>
      <c r="V577" s="299">
        <f>(470-463.61)*31.32</f>
        <v>200.1348</v>
      </c>
      <c r="W577" s="298" t="s">
        <v>50</v>
      </c>
      <c r="X577" s="298" t="s">
        <v>285</v>
      </c>
      <c r="Y577" s="298" t="s">
        <v>286</v>
      </c>
      <c r="Z577" s="298" t="s">
        <v>52</v>
      </c>
      <c r="AA577" s="234" t="s">
        <v>507</v>
      </c>
    </row>
    <row r="578" ht="42.75" customHeight="1">
      <c r="A578" s="69">
        <v>43663.0</v>
      </c>
      <c r="B578" s="70" t="s">
        <v>1251</v>
      </c>
      <c r="C578" s="21" t="s">
        <v>1354</v>
      </c>
      <c r="D578" s="493" t="s">
        <v>1355</v>
      </c>
      <c r="E578" s="32" t="s">
        <v>1356</v>
      </c>
      <c r="F578" s="298">
        <v>13.0</v>
      </c>
      <c r="G578" s="74">
        <v>610.0</v>
      </c>
      <c r="H578" s="26">
        <v>7930.0</v>
      </c>
      <c r="I578" s="61" t="s">
        <v>105</v>
      </c>
      <c r="J578" s="63" t="s">
        <v>534</v>
      </c>
      <c r="K578" s="29">
        <v>43684.0</v>
      </c>
      <c r="L578" s="462">
        <v>43738.0</v>
      </c>
      <c r="M578" s="462">
        <v>43676.0</v>
      </c>
      <c r="N578" s="306" t="s">
        <v>1357</v>
      </c>
      <c r="O578" s="306">
        <v>322268.0</v>
      </c>
      <c r="P578" s="462">
        <v>43738.0</v>
      </c>
      <c r="Q578" s="298"/>
      <c r="R578" s="298"/>
      <c r="S578" s="299"/>
      <c r="T578" s="300">
        <v>43734.0</v>
      </c>
      <c r="U578" s="299"/>
      <c r="V578" s="299"/>
      <c r="W578" s="298" t="s">
        <v>50</v>
      </c>
      <c r="X578" s="298" t="s">
        <v>285</v>
      </c>
      <c r="Y578" s="298" t="s">
        <v>51</v>
      </c>
      <c r="Z578" s="298" t="s">
        <v>52</v>
      </c>
      <c r="AA578" s="234" t="s">
        <v>507</v>
      </c>
    </row>
    <row r="579" ht="42.75" customHeight="1">
      <c r="A579" s="69">
        <v>43663.0</v>
      </c>
      <c r="B579" s="70" t="s">
        <v>1251</v>
      </c>
      <c r="C579" s="21" t="s">
        <v>1354</v>
      </c>
      <c r="D579" s="493" t="s">
        <v>1355</v>
      </c>
      <c r="E579" s="32" t="s">
        <v>1059</v>
      </c>
      <c r="F579" s="298">
        <v>13.0</v>
      </c>
      <c r="G579" s="74">
        <v>219.0</v>
      </c>
      <c r="H579" s="26">
        <v>2847.0</v>
      </c>
      <c r="I579" s="61" t="s">
        <v>105</v>
      </c>
      <c r="J579" s="63" t="s">
        <v>534</v>
      </c>
      <c r="K579" s="29">
        <v>43684.0</v>
      </c>
      <c r="L579" s="462">
        <v>43738.0</v>
      </c>
      <c r="M579" s="462">
        <v>43676.0</v>
      </c>
      <c r="N579" s="306" t="s">
        <v>1357</v>
      </c>
      <c r="O579" s="306"/>
      <c r="P579" s="462">
        <v>43738.0</v>
      </c>
      <c r="Q579" s="298"/>
      <c r="R579" s="298"/>
      <c r="S579" s="299"/>
      <c r="T579" s="300">
        <v>43734.0</v>
      </c>
      <c r="U579" s="299"/>
      <c r="V579" s="299"/>
      <c r="W579" s="298" t="s">
        <v>50</v>
      </c>
      <c r="X579" s="298" t="s">
        <v>285</v>
      </c>
      <c r="Y579" s="298" t="s">
        <v>51</v>
      </c>
      <c r="Z579" s="298" t="s">
        <v>52</v>
      </c>
      <c r="AA579" s="234" t="s">
        <v>507</v>
      </c>
    </row>
    <row r="580" ht="42.75" customHeight="1">
      <c r="A580" s="69">
        <v>43663.0</v>
      </c>
      <c r="B580" s="70" t="s">
        <v>1251</v>
      </c>
      <c r="C580" s="21" t="s">
        <v>1354</v>
      </c>
      <c r="D580" s="493" t="s">
        <v>1355</v>
      </c>
      <c r="E580" s="32" t="s">
        <v>1358</v>
      </c>
      <c r="F580" s="298">
        <v>13.0</v>
      </c>
      <c r="G580" s="74">
        <v>54.0</v>
      </c>
      <c r="H580" s="26">
        <v>702.0</v>
      </c>
      <c r="I580" s="61" t="s">
        <v>105</v>
      </c>
      <c r="J580" s="63" t="s">
        <v>534</v>
      </c>
      <c r="K580" s="29">
        <v>43684.0</v>
      </c>
      <c r="L580" s="462">
        <v>43682.0</v>
      </c>
      <c r="M580" s="462">
        <v>43668.0</v>
      </c>
      <c r="N580" s="306" t="s">
        <v>1359</v>
      </c>
      <c r="O580" s="306">
        <v>16107.0</v>
      </c>
      <c r="P580" s="462">
        <v>43682.0</v>
      </c>
      <c r="Q580" s="298"/>
      <c r="R580" s="298"/>
      <c r="S580" s="299"/>
      <c r="T580" s="300">
        <v>43734.0</v>
      </c>
      <c r="U580" s="299">
        <f>16628.67*30.98</f>
        <v>515156.1966</v>
      </c>
      <c r="V580" s="299">
        <f>(16657-16628.67)*30.98</f>
        <v>877.6634</v>
      </c>
      <c r="W580" s="298" t="s">
        <v>50</v>
      </c>
      <c r="X580" s="298" t="s">
        <v>285</v>
      </c>
      <c r="Y580" s="298" t="s">
        <v>51</v>
      </c>
      <c r="Z580" s="298" t="s">
        <v>52</v>
      </c>
      <c r="AA580" s="234" t="s">
        <v>507</v>
      </c>
    </row>
    <row r="581" ht="42.75" customHeight="1">
      <c r="A581" s="69">
        <v>43664.0</v>
      </c>
      <c r="B581" s="70" t="s">
        <v>1251</v>
      </c>
      <c r="C581" s="508" t="s">
        <v>1252</v>
      </c>
      <c r="D581" s="21" t="s">
        <v>1360</v>
      </c>
      <c r="E581" s="32" t="s">
        <v>347</v>
      </c>
      <c r="F581" s="24">
        <v>1.0</v>
      </c>
      <c r="G581" s="48">
        <v>252.0</v>
      </c>
      <c r="H581" s="26">
        <v>252.0</v>
      </c>
      <c r="I581" s="61" t="s">
        <v>105</v>
      </c>
      <c r="J581" s="63" t="s">
        <v>1361</v>
      </c>
      <c r="K581" s="29">
        <v>43668.0</v>
      </c>
      <c r="L581" s="462">
        <v>43738.0</v>
      </c>
      <c r="M581" s="462">
        <v>43672.0</v>
      </c>
      <c r="N581" s="306" t="s">
        <v>1362</v>
      </c>
      <c r="O581" s="306">
        <v>5439.0</v>
      </c>
      <c r="P581" s="462">
        <v>43710.0</v>
      </c>
      <c r="Q581" s="298"/>
      <c r="R581" s="298"/>
      <c r="S581" s="299"/>
      <c r="T581" s="300">
        <v>43704.0</v>
      </c>
      <c r="U581" s="299"/>
      <c r="V581" s="299"/>
      <c r="W581" s="298" t="s">
        <v>50</v>
      </c>
      <c r="X581" s="298" t="s">
        <v>285</v>
      </c>
      <c r="Y581" s="298" t="s">
        <v>51</v>
      </c>
      <c r="Z581" s="298" t="s">
        <v>52</v>
      </c>
      <c r="AA581" s="234" t="s">
        <v>507</v>
      </c>
    </row>
    <row r="582" ht="42.75" customHeight="1">
      <c r="A582" s="69">
        <v>43665.0</v>
      </c>
      <c r="B582" s="70" t="s">
        <v>223</v>
      </c>
      <c r="C582" s="21" t="s">
        <v>1363</v>
      </c>
      <c r="D582" s="21" t="s">
        <v>1364</v>
      </c>
      <c r="E582" s="32" t="s">
        <v>1365</v>
      </c>
      <c r="F582" s="24">
        <v>10.0</v>
      </c>
      <c r="G582" s="48">
        <f>90*1.05</f>
        <v>94.5</v>
      </c>
      <c r="H582" s="60">
        <v>945.0</v>
      </c>
      <c r="I582" s="61" t="s">
        <v>144</v>
      </c>
      <c r="J582" s="63" t="s">
        <v>90</v>
      </c>
      <c r="K582" s="30">
        <v>43675.0</v>
      </c>
      <c r="L582" s="462">
        <v>43738.0</v>
      </c>
      <c r="M582" s="462">
        <v>43672.0</v>
      </c>
      <c r="N582" s="306" t="s">
        <v>1366</v>
      </c>
      <c r="O582" s="306">
        <v>31824.0</v>
      </c>
      <c r="P582" s="462">
        <v>43739.0</v>
      </c>
      <c r="Q582" s="298"/>
      <c r="R582" s="298"/>
      <c r="S582" s="299"/>
      <c r="T582" s="300">
        <v>43718.0</v>
      </c>
      <c r="U582" s="299">
        <v>108650.0</v>
      </c>
      <c r="V582" s="299">
        <v>15.0</v>
      </c>
      <c r="W582" s="298" t="s">
        <v>50</v>
      </c>
      <c r="X582" s="298" t="s">
        <v>285</v>
      </c>
      <c r="Y582" s="298" t="s">
        <v>51</v>
      </c>
      <c r="Z582" s="298" t="s">
        <v>377</v>
      </c>
      <c r="AA582" s="234" t="s">
        <v>507</v>
      </c>
    </row>
    <row r="583" ht="42.75" customHeight="1">
      <c r="A583" s="69">
        <v>43665.0</v>
      </c>
      <c r="B583" s="70" t="s">
        <v>223</v>
      </c>
      <c r="C583" s="21" t="s">
        <v>1363</v>
      </c>
      <c r="D583" s="21" t="s">
        <v>1364</v>
      </c>
      <c r="E583" s="32" t="s">
        <v>1367</v>
      </c>
      <c r="F583" s="24">
        <v>2.0</v>
      </c>
      <c r="G583" s="48">
        <f>87*1.05</f>
        <v>91.35</v>
      </c>
      <c r="H583" s="60">
        <v>182.70000000000002</v>
      </c>
      <c r="I583" s="61" t="s">
        <v>144</v>
      </c>
      <c r="J583" s="63" t="s">
        <v>90</v>
      </c>
      <c r="K583" s="30">
        <v>43675.0</v>
      </c>
      <c r="L583" s="462">
        <v>43738.0</v>
      </c>
      <c r="M583" s="462">
        <v>43672.0</v>
      </c>
      <c r="N583" s="306" t="s">
        <v>1366</v>
      </c>
      <c r="O583" s="306"/>
      <c r="P583" s="462">
        <v>43739.0</v>
      </c>
      <c r="Q583" s="298"/>
      <c r="R583" s="298"/>
      <c r="S583" s="299"/>
      <c r="T583" s="300">
        <v>43718.0</v>
      </c>
      <c r="U583" s="299"/>
      <c r="V583" s="299"/>
      <c r="W583" s="298" t="s">
        <v>50</v>
      </c>
      <c r="X583" s="298" t="s">
        <v>285</v>
      </c>
      <c r="Y583" s="298" t="s">
        <v>51</v>
      </c>
      <c r="Z583" s="298" t="s">
        <v>377</v>
      </c>
      <c r="AA583" s="234" t="s">
        <v>507</v>
      </c>
    </row>
    <row r="584" ht="42.75" customHeight="1">
      <c r="A584" s="69">
        <v>43665.0</v>
      </c>
      <c r="B584" s="144" t="s">
        <v>378</v>
      </c>
      <c r="C584" s="21" t="s">
        <v>1368</v>
      </c>
      <c r="D584" s="21" t="s">
        <v>1369</v>
      </c>
      <c r="E584" s="32" t="s">
        <v>1370</v>
      </c>
      <c r="F584" s="24">
        <v>3.0</v>
      </c>
      <c r="G584" s="48">
        <v>0.0</v>
      </c>
      <c r="H584" s="60">
        <v>0.0</v>
      </c>
      <c r="I584" s="61" t="s">
        <v>144</v>
      </c>
      <c r="J584" s="58" t="s">
        <v>1122</v>
      </c>
      <c r="K584" s="30">
        <v>43804.0</v>
      </c>
      <c r="L584" s="306"/>
      <c r="M584" s="306"/>
      <c r="N584" s="306"/>
      <c r="O584" s="306"/>
      <c r="P584" s="306"/>
      <c r="Q584" s="298"/>
      <c r="R584" s="298"/>
      <c r="S584" s="299"/>
      <c r="T584" s="298"/>
      <c r="U584" s="298"/>
      <c r="V584" s="298"/>
      <c r="W584" s="298" t="s">
        <v>1227</v>
      </c>
      <c r="X584" s="82" t="s">
        <v>285</v>
      </c>
      <c r="Y584" s="298" t="s">
        <v>286</v>
      </c>
      <c r="Z584" s="298" t="s">
        <v>52</v>
      </c>
      <c r="AA584" s="298" t="s">
        <v>1371</v>
      </c>
    </row>
    <row r="585" ht="42.75" customHeight="1">
      <c r="A585" s="69">
        <v>43665.0</v>
      </c>
      <c r="B585" s="144" t="s">
        <v>378</v>
      </c>
      <c r="C585" s="21" t="s">
        <v>1368</v>
      </c>
      <c r="D585" s="21" t="s">
        <v>1372</v>
      </c>
      <c r="E585" s="32" t="s">
        <v>1373</v>
      </c>
      <c r="F585" s="24">
        <v>3.0</v>
      </c>
      <c r="G585" s="48">
        <v>76.0</v>
      </c>
      <c r="H585" s="60">
        <v>228.0</v>
      </c>
      <c r="I585" s="61" t="s">
        <v>144</v>
      </c>
      <c r="J585" s="58" t="s">
        <v>1122</v>
      </c>
      <c r="K585" s="30">
        <v>43804.0</v>
      </c>
      <c r="L585" s="462"/>
      <c r="M585" s="462"/>
      <c r="N585" s="306"/>
      <c r="O585" s="306"/>
      <c r="P585" s="306"/>
      <c r="Q585" s="298"/>
      <c r="R585" s="298"/>
      <c r="S585" s="299"/>
      <c r="T585" s="300">
        <v>43672.0</v>
      </c>
      <c r="U585" s="299"/>
      <c r="V585" s="299"/>
      <c r="W585" s="298" t="s">
        <v>50</v>
      </c>
      <c r="X585" s="82" t="s">
        <v>285</v>
      </c>
      <c r="Y585" s="298" t="s">
        <v>286</v>
      </c>
      <c r="Z585" s="298" t="s">
        <v>52</v>
      </c>
      <c r="AA585" s="298" t="s">
        <v>1371</v>
      </c>
    </row>
    <row r="586" ht="42.75" customHeight="1">
      <c r="A586" s="69">
        <v>43665.0</v>
      </c>
      <c r="B586" s="144" t="s">
        <v>378</v>
      </c>
      <c r="C586" s="21" t="s">
        <v>1368</v>
      </c>
      <c r="D586" s="21" t="s">
        <v>1372</v>
      </c>
      <c r="E586" s="32" t="s">
        <v>1374</v>
      </c>
      <c r="F586" s="24">
        <v>3.0</v>
      </c>
      <c r="G586" s="48">
        <v>100.0</v>
      </c>
      <c r="H586" s="60">
        <v>300.0</v>
      </c>
      <c r="I586" s="61" t="s">
        <v>144</v>
      </c>
      <c r="J586" s="58" t="s">
        <v>1122</v>
      </c>
      <c r="K586" s="30">
        <v>43804.0</v>
      </c>
      <c r="L586" s="306"/>
      <c r="M586" s="306"/>
      <c r="N586" s="306"/>
      <c r="O586" s="306"/>
      <c r="P586" s="306"/>
      <c r="Q586" s="298"/>
      <c r="R586" s="298"/>
      <c r="S586" s="299"/>
      <c r="T586" s="300">
        <v>43837.0</v>
      </c>
      <c r="U586" s="299">
        <f>3231.34*30.013</f>
        <v>96982.20742</v>
      </c>
      <c r="V586" s="299">
        <f>(3248-3231.34)*30.013</f>
        <v>500.01658</v>
      </c>
      <c r="W586" s="298" t="s">
        <v>50</v>
      </c>
      <c r="X586" s="82" t="s">
        <v>285</v>
      </c>
      <c r="Y586" s="298" t="s">
        <v>286</v>
      </c>
      <c r="Z586" s="298" t="s">
        <v>52</v>
      </c>
      <c r="AA586" s="298" t="s">
        <v>1371</v>
      </c>
    </row>
    <row r="587" ht="42.75" customHeight="1">
      <c r="A587" s="69">
        <v>43665.0</v>
      </c>
      <c r="B587" s="144" t="s">
        <v>378</v>
      </c>
      <c r="C587" s="21" t="s">
        <v>1368</v>
      </c>
      <c r="D587" s="477" t="s">
        <v>1375</v>
      </c>
      <c r="E587" s="32" t="s">
        <v>1376</v>
      </c>
      <c r="F587" s="24">
        <v>3.0</v>
      </c>
      <c r="G587" s="48">
        <v>25.0</v>
      </c>
      <c r="H587" s="60">
        <v>75.0</v>
      </c>
      <c r="I587" s="61" t="s">
        <v>144</v>
      </c>
      <c r="J587" s="58" t="s">
        <v>1122</v>
      </c>
      <c r="K587" s="30">
        <v>43804.0</v>
      </c>
      <c r="L587" s="306"/>
      <c r="M587" s="306"/>
      <c r="N587" s="306"/>
      <c r="O587" s="306"/>
      <c r="P587" s="306"/>
      <c r="Q587" s="298"/>
      <c r="R587" s="298"/>
      <c r="S587" s="299"/>
      <c r="T587" s="300">
        <v>43837.0</v>
      </c>
      <c r="U587" s="299"/>
      <c r="V587" s="299"/>
      <c r="W587" s="298" t="s">
        <v>50</v>
      </c>
      <c r="X587" s="82" t="s">
        <v>285</v>
      </c>
      <c r="Y587" s="298" t="s">
        <v>286</v>
      </c>
      <c r="Z587" s="298" t="s">
        <v>52</v>
      </c>
      <c r="AA587" s="298" t="s">
        <v>1371</v>
      </c>
    </row>
    <row r="588" ht="42.75" customHeight="1">
      <c r="A588" s="69">
        <v>43665.0</v>
      </c>
      <c r="B588" s="144" t="s">
        <v>378</v>
      </c>
      <c r="C588" s="21" t="s">
        <v>1368</v>
      </c>
      <c r="D588" s="21" t="s">
        <v>1377</v>
      </c>
      <c r="E588" s="32" t="s">
        <v>1378</v>
      </c>
      <c r="F588" s="24">
        <v>1.0</v>
      </c>
      <c r="G588" s="48">
        <v>1600.0</v>
      </c>
      <c r="H588" s="60">
        <v>1600.0</v>
      </c>
      <c r="I588" s="61" t="s">
        <v>144</v>
      </c>
      <c r="J588" s="58" t="s">
        <v>1122</v>
      </c>
      <c r="K588" s="30">
        <v>43762.0</v>
      </c>
      <c r="L588" s="306"/>
      <c r="M588" s="306"/>
      <c r="N588" s="306"/>
      <c r="O588" s="306"/>
      <c r="P588" s="306"/>
      <c r="Q588" s="298"/>
      <c r="R588" s="298"/>
      <c r="S588" s="299"/>
      <c r="T588" s="300">
        <v>43672.0</v>
      </c>
      <c r="U588" s="299"/>
      <c r="V588" s="299"/>
      <c r="W588" s="298" t="s">
        <v>50</v>
      </c>
      <c r="X588" s="298" t="s">
        <v>285</v>
      </c>
      <c r="Y588" s="298" t="s">
        <v>286</v>
      </c>
      <c r="Z588" s="298" t="s">
        <v>52</v>
      </c>
      <c r="AA588" s="82" t="s">
        <v>763</v>
      </c>
    </row>
    <row r="589" ht="42.75" customHeight="1">
      <c r="A589" s="69">
        <v>43665.0</v>
      </c>
      <c r="B589" s="144" t="s">
        <v>378</v>
      </c>
      <c r="C589" s="21" t="s">
        <v>1368</v>
      </c>
      <c r="D589" s="21" t="s">
        <v>1379</v>
      </c>
      <c r="E589" s="32" t="s">
        <v>1374</v>
      </c>
      <c r="F589" s="24">
        <v>4.0</v>
      </c>
      <c r="G589" s="48">
        <v>100.0</v>
      </c>
      <c r="H589" s="60">
        <v>400.0</v>
      </c>
      <c r="I589" s="61" t="s">
        <v>144</v>
      </c>
      <c r="J589" s="58" t="s">
        <v>1122</v>
      </c>
      <c r="K589" s="30">
        <v>43762.0</v>
      </c>
      <c r="L589" s="462">
        <v>43774.0</v>
      </c>
      <c r="M589" s="305">
        <v>43759.0</v>
      </c>
      <c r="N589" s="306" t="s">
        <v>1380</v>
      </c>
      <c r="O589" s="306">
        <v>11970.0</v>
      </c>
      <c r="P589" s="306"/>
      <c r="Q589" s="298"/>
      <c r="R589" s="298"/>
      <c r="S589" s="299"/>
      <c r="T589" s="300">
        <v>43777.0</v>
      </c>
      <c r="U589" s="299"/>
      <c r="V589" s="299"/>
      <c r="W589" s="298" t="s">
        <v>50</v>
      </c>
      <c r="X589" s="298" t="s">
        <v>285</v>
      </c>
      <c r="Y589" s="298" t="s">
        <v>286</v>
      </c>
      <c r="Z589" s="298" t="s">
        <v>52</v>
      </c>
      <c r="AA589" s="82" t="s">
        <v>763</v>
      </c>
    </row>
    <row r="590" ht="15.75" customHeight="1">
      <c r="A590" s="69">
        <v>43665.0</v>
      </c>
      <c r="B590" s="144" t="s">
        <v>378</v>
      </c>
      <c r="C590" s="21" t="s">
        <v>1368</v>
      </c>
      <c r="D590" s="21" t="s">
        <v>1381</v>
      </c>
      <c r="E590" s="32" t="s">
        <v>1382</v>
      </c>
      <c r="F590" s="24">
        <v>4.0</v>
      </c>
      <c r="G590" s="48">
        <v>0.0</v>
      </c>
      <c r="H590" s="60">
        <v>0.0</v>
      </c>
      <c r="I590" s="61" t="s">
        <v>144</v>
      </c>
      <c r="J590" s="161" t="s">
        <v>1122</v>
      </c>
      <c r="K590" s="30">
        <v>43762.0</v>
      </c>
      <c r="L590" s="52"/>
      <c r="M590" s="53"/>
      <c r="N590" s="53"/>
      <c r="O590" s="53"/>
      <c r="P590" s="53"/>
      <c r="Q590" s="54"/>
      <c r="R590" s="54"/>
      <c r="S590" s="55"/>
      <c r="T590" s="298"/>
      <c r="U590" s="55"/>
      <c r="V590" s="55"/>
      <c r="W590" s="298" t="s">
        <v>1227</v>
      </c>
      <c r="X590" s="54" t="s">
        <v>285</v>
      </c>
      <c r="Y590" s="54"/>
      <c r="Z590" s="54"/>
      <c r="AA590" s="54"/>
    </row>
    <row r="591" ht="42.75" customHeight="1">
      <c r="A591" s="69">
        <v>43665.0</v>
      </c>
      <c r="B591" s="144" t="s">
        <v>378</v>
      </c>
      <c r="C591" s="21" t="s">
        <v>1368</v>
      </c>
      <c r="D591" s="21" t="s">
        <v>1383</v>
      </c>
      <c r="E591" s="32" t="s">
        <v>1373</v>
      </c>
      <c r="F591" s="24">
        <v>4.0</v>
      </c>
      <c r="G591" s="48">
        <v>76.0</v>
      </c>
      <c r="H591" s="60">
        <v>304.0</v>
      </c>
      <c r="I591" s="61" t="s">
        <v>144</v>
      </c>
      <c r="J591" s="58" t="s">
        <v>1122</v>
      </c>
      <c r="K591" s="30">
        <v>43762.0</v>
      </c>
      <c r="L591" s="462">
        <v>43743.0</v>
      </c>
      <c r="M591" s="462">
        <v>43728.0</v>
      </c>
      <c r="N591" s="306" t="s">
        <v>1384</v>
      </c>
      <c r="O591" s="306" t="s">
        <v>1385</v>
      </c>
      <c r="P591" s="462">
        <v>43743.0</v>
      </c>
      <c r="Q591" s="298"/>
      <c r="R591" s="298"/>
      <c r="S591" s="299"/>
      <c r="T591" s="300">
        <v>43672.0</v>
      </c>
      <c r="U591" s="299"/>
      <c r="V591" s="299"/>
      <c r="W591" s="298" t="s">
        <v>50</v>
      </c>
      <c r="X591" s="298" t="s">
        <v>285</v>
      </c>
      <c r="Y591" s="298" t="s">
        <v>286</v>
      </c>
      <c r="Z591" s="298" t="s">
        <v>52</v>
      </c>
      <c r="AA591" s="82" t="s">
        <v>763</v>
      </c>
    </row>
    <row r="592" ht="42.75" customHeight="1">
      <c r="A592" s="69">
        <v>43665.0</v>
      </c>
      <c r="B592" s="144" t="s">
        <v>378</v>
      </c>
      <c r="C592" s="21" t="s">
        <v>1368</v>
      </c>
      <c r="D592" s="21" t="s">
        <v>1386</v>
      </c>
      <c r="E592" s="32" t="s">
        <v>1378</v>
      </c>
      <c r="F592" s="24">
        <v>1.0</v>
      </c>
      <c r="G592" s="48">
        <v>1600.0</v>
      </c>
      <c r="H592" s="60">
        <v>1600.0</v>
      </c>
      <c r="I592" s="61" t="s">
        <v>144</v>
      </c>
      <c r="J592" s="161" t="s">
        <v>1387</v>
      </c>
      <c r="K592" s="30">
        <v>43753.0</v>
      </c>
      <c r="L592" s="52"/>
      <c r="M592" s="53"/>
      <c r="N592" s="53"/>
      <c r="O592" s="53"/>
      <c r="P592" s="53"/>
      <c r="Q592" s="54"/>
      <c r="R592" s="54"/>
      <c r="S592" s="55"/>
      <c r="T592" s="56">
        <v>43672.0</v>
      </c>
      <c r="U592" s="55"/>
      <c r="V592" s="55"/>
      <c r="W592" s="54" t="s">
        <v>50</v>
      </c>
      <c r="X592" s="54" t="s">
        <v>285</v>
      </c>
      <c r="Y592" s="54" t="s">
        <v>286</v>
      </c>
      <c r="Z592" s="54" t="s">
        <v>52</v>
      </c>
      <c r="AA592" s="54"/>
    </row>
    <row r="593" ht="42.75" customHeight="1">
      <c r="A593" s="69">
        <v>43665.0</v>
      </c>
      <c r="B593" s="144" t="s">
        <v>378</v>
      </c>
      <c r="C593" s="21" t="s">
        <v>1368</v>
      </c>
      <c r="D593" s="21" t="s">
        <v>1388</v>
      </c>
      <c r="E593" s="32" t="s">
        <v>1374</v>
      </c>
      <c r="F593" s="24">
        <v>9.0</v>
      </c>
      <c r="G593" s="48">
        <v>121.0</v>
      </c>
      <c r="H593" s="60">
        <v>1089.0</v>
      </c>
      <c r="I593" s="61" t="s">
        <v>144</v>
      </c>
      <c r="J593" s="58" t="s">
        <v>1387</v>
      </c>
      <c r="K593" s="30">
        <v>43753.0</v>
      </c>
      <c r="L593" s="462">
        <v>43774.0</v>
      </c>
      <c r="M593" s="462">
        <v>43746.0</v>
      </c>
      <c r="N593" s="306" t="s">
        <v>1389</v>
      </c>
      <c r="O593" s="306">
        <v>24570.0</v>
      </c>
      <c r="P593" s="306"/>
      <c r="Q593" s="298"/>
      <c r="R593" s="298"/>
      <c r="S593" s="299"/>
      <c r="T593" s="300">
        <v>43777.0</v>
      </c>
      <c r="U593" s="299">
        <f>2120.41*30.33</f>
        <v>64312.0353</v>
      </c>
      <c r="V593" s="299">
        <f>(2134-2120.41)*30.33</f>
        <v>412.1847</v>
      </c>
      <c r="W593" s="298" t="s">
        <v>50</v>
      </c>
      <c r="X593" s="298" t="s">
        <v>285</v>
      </c>
      <c r="Y593" s="298" t="s">
        <v>286</v>
      </c>
      <c r="Z593" s="298" t="s">
        <v>52</v>
      </c>
      <c r="AA593" s="82" t="s">
        <v>763</v>
      </c>
    </row>
    <row r="594" ht="42.75" customHeight="1">
      <c r="A594" s="69">
        <v>43665.0</v>
      </c>
      <c r="B594" s="144" t="s">
        <v>378</v>
      </c>
      <c r="C594" s="21" t="s">
        <v>1368</v>
      </c>
      <c r="D594" s="21" t="s">
        <v>1390</v>
      </c>
      <c r="E594" s="32" t="s">
        <v>1391</v>
      </c>
      <c r="F594" s="24">
        <v>9.0</v>
      </c>
      <c r="G594" s="48">
        <v>0.0</v>
      </c>
      <c r="H594" s="115">
        <v>0.0</v>
      </c>
      <c r="I594" s="61" t="s">
        <v>144</v>
      </c>
      <c r="J594" s="161" t="s">
        <v>1387</v>
      </c>
      <c r="K594" s="30">
        <v>43753.0</v>
      </c>
      <c r="L594" s="52"/>
      <c r="M594" s="53"/>
      <c r="N594" s="53"/>
      <c r="O594" s="53"/>
      <c r="P594" s="53"/>
      <c r="Q594" s="54"/>
      <c r="R594" s="54"/>
      <c r="S594" s="55"/>
      <c r="T594" s="298"/>
      <c r="U594" s="55"/>
      <c r="V594" s="55"/>
      <c r="W594" s="298" t="s">
        <v>1227</v>
      </c>
      <c r="X594" s="54" t="s">
        <v>285</v>
      </c>
      <c r="Y594" s="54" t="s">
        <v>286</v>
      </c>
      <c r="Z594" s="54" t="s">
        <v>52</v>
      </c>
      <c r="AA594" s="54"/>
    </row>
    <row r="595" ht="42.75" customHeight="1">
      <c r="A595" s="69">
        <v>43665.0</v>
      </c>
      <c r="B595" s="144" t="s">
        <v>378</v>
      </c>
      <c r="C595" s="21" t="s">
        <v>1368</v>
      </c>
      <c r="D595" s="21" t="s">
        <v>1392</v>
      </c>
      <c r="E595" s="32" t="s">
        <v>1393</v>
      </c>
      <c r="F595" s="24">
        <v>9.0</v>
      </c>
      <c r="G595" s="48">
        <v>85.0</v>
      </c>
      <c r="H595" s="60">
        <v>765.0</v>
      </c>
      <c r="I595" s="61" t="s">
        <v>144</v>
      </c>
      <c r="J595" s="58" t="s">
        <v>1387</v>
      </c>
      <c r="K595" s="30">
        <v>43753.0</v>
      </c>
      <c r="L595" s="462">
        <v>43743.0</v>
      </c>
      <c r="M595" s="306" t="s">
        <v>1394</v>
      </c>
      <c r="N595" s="306" t="s">
        <v>1395</v>
      </c>
      <c r="O595" s="306" t="s">
        <v>1396</v>
      </c>
      <c r="P595" s="462">
        <v>43743.0</v>
      </c>
      <c r="Q595" s="298"/>
      <c r="R595" s="298"/>
      <c r="S595" s="299"/>
      <c r="T595" s="298" t="s">
        <v>1397</v>
      </c>
      <c r="U595" s="299"/>
      <c r="V595" s="299"/>
      <c r="W595" s="298" t="s">
        <v>50</v>
      </c>
      <c r="X595" s="298" t="s">
        <v>285</v>
      </c>
      <c r="Y595" s="298" t="s">
        <v>286</v>
      </c>
      <c r="Z595" s="298" t="s">
        <v>52</v>
      </c>
      <c r="AA595" s="82" t="s">
        <v>763</v>
      </c>
    </row>
    <row r="596" ht="42.75" customHeight="1">
      <c r="A596" s="69">
        <v>43665.0</v>
      </c>
      <c r="B596" s="144" t="s">
        <v>378</v>
      </c>
      <c r="C596" s="21" t="s">
        <v>1368</v>
      </c>
      <c r="D596" s="21" t="s">
        <v>1398</v>
      </c>
      <c r="E596" s="32" t="s">
        <v>1399</v>
      </c>
      <c r="F596" s="24">
        <v>4.0</v>
      </c>
      <c r="G596" s="48">
        <v>0.0</v>
      </c>
      <c r="H596" s="115">
        <v>0.0</v>
      </c>
      <c r="I596" s="61" t="s">
        <v>144</v>
      </c>
      <c r="J596" s="58" t="s">
        <v>1122</v>
      </c>
      <c r="K596" s="58" t="s">
        <v>1400</v>
      </c>
      <c r="L596" s="306"/>
      <c r="M596" s="306"/>
      <c r="N596" s="306"/>
      <c r="O596" s="306"/>
      <c r="P596" s="306"/>
      <c r="Q596" s="298"/>
      <c r="R596" s="298"/>
      <c r="S596" s="299"/>
      <c r="T596" s="298"/>
      <c r="U596" s="299"/>
      <c r="V596" s="299"/>
      <c r="W596" s="298" t="s">
        <v>1227</v>
      </c>
      <c r="X596" s="82" t="s">
        <v>285</v>
      </c>
      <c r="Y596" s="298" t="s">
        <v>286</v>
      </c>
      <c r="Z596" s="298" t="s">
        <v>52</v>
      </c>
      <c r="AA596" s="298" t="s">
        <v>1371</v>
      </c>
    </row>
    <row r="597" ht="42.75" customHeight="1">
      <c r="A597" s="69">
        <v>43665.0</v>
      </c>
      <c r="B597" s="144" t="s">
        <v>378</v>
      </c>
      <c r="C597" s="21" t="s">
        <v>1368</v>
      </c>
      <c r="D597" s="21" t="s">
        <v>1401</v>
      </c>
      <c r="E597" s="32" t="s">
        <v>1393</v>
      </c>
      <c r="F597" s="24">
        <v>4.0</v>
      </c>
      <c r="G597" s="48">
        <v>85.0</v>
      </c>
      <c r="H597" s="60">
        <v>340.0</v>
      </c>
      <c r="I597" s="61" t="s">
        <v>144</v>
      </c>
      <c r="J597" s="58" t="s">
        <v>1122</v>
      </c>
      <c r="K597" s="58" t="s">
        <v>1400</v>
      </c>
      <c r="L597" s="306"/>
      <c r="M597" s="306"/>
      <c r="N597" s="306"/>
      <c r="O597" s="306"/>
      <c r="P597" s="306"/>
      <c r="Q597" s="298"/>
      <c r="R597" s="298"/>
      <c r="S597" s="299"/>
      <c r="T597" s="300">
        <v>43837.0</v>
      </c>
      <c r="U597" s="299"/>
      <c r="V597" s="299"/>
      <c r="W597" s="298" t="s">
        <v>50</v>
      </c>
      <c r="X597" s="82" t="s">
        <v>285</v>
      </c>
      <c r="Y597" s="298" t="s">
        <v>286</v>
      </c>
      <c r="Z597" s="298" t="s">
        <v>52</v>
      </c>
      <c r="AA597" s="298" t="s">
        <v>1371</v>
      </c>
    </row>
    <row r="598" ht="52.5" customHeight="1">
      <c r="A598" s="69">
        <v>43665.0</v>
      </c>
      <c r="B598" s="144" t="s">
        <v>378</v>
      </c>
      <c r="C598" s="21" t="s">
        <v>1368</v>
      </c>
      <c r="D598" s="21" t="s">
        <v>1402</v>
      </c>
      <c r="E598" s="32" t="s">
        <v>1374</v>
      </c>
      <c r="F598" s="24">
        <v>4.0</v>
      </c>
      <c r="G598" s="48">
        <v>121.0</v>
      </c>
      <c r="H598" s="60">
        <v>484.0</v>
      </c>
      <c r="I598" s="61" t="s">
        <v>144</v>
      </c>
      <c r="J598" s="58" t="s">
        <v>1122</v>
      </c>
      <c r="K598" s="58" t="s">
        <v>1400</v>
      </c>
      <c r="L598" s="306"/>
      <c r="M598" s="462">
        <v>43777.0</v>
      </c>
      <c r="N598" s="306" t="s">
        <v>1403</v>
      </c>
      <c r="O598" s="306"/>
      <c r="P598" s="306"/>
      <c r="Q598" s="298"/>
      <c r="R598" s="298"/>
      <c r="S598" s="299"/>
      <c r="T598" s="300">
        <v>43837.0</v>
      </c>
      <c r="U598" s="299"/>
      <c r="V598" s="299"/>
      <c r="W598" s="298" t="s">
        <v>50</v>
      </c>
      <c r="X598" s="82" t="s">
        <v>285</v>
      </c>
      <c r="Y598" s="298" t="s">
        <v>286</v>
      </c>
      <c r="Z598" s="298" t="s">
        <v>52</v>
      </c>
      <c r="AA598" s="298" t="s">
        <v>1371</v>
      </c>
    </row>
    <row r="599" ht="42.75" customHeight="1">
      <c r="A599" s="69">
        <v>43665.0</v>
      </c>
      <c r="B599" s="70" t="s">
        <v>77</v>
      </c>
      <c r="C599" s="21">
        <v>535.0</v>
      </c>
      <c r="D599" s="21" t="s">
        <v>1404</v>
      </c>
      <c r="E599" s="246" t="s">
        <v>318</v>
      </c>
      <c r="F599" s="435">
        <v>20.0</v>
      </c>
      <c r="G599" s="48">
        <v>255.0</v>
      </c>
      <c r="H599" s="60">
        <v>5100.0</v>
      </c>
      <c r="I599" s="61" t="s">
        <v>43</v>
      </c>
      <c r="J599" s="433" t="s">
        <v>936</v>
      </c>
      <c r="K599" s="29">
        <v>43700.0</v>
      </c>
      <c r="L599" s="462">
        <v>43738.0</v>
      </c>
      <c r="M599" s="462">
        <v>43696.0</v>
      </c>
      <c r="N599" s="306" t="s">
        <v>1405</v>
      </c>
      <c r="O599" s="306">
        <v>144606.0</v>
      </c>
      <c r="P599" s="462">
        <v>43739.0</v>
      </c>
      <c r="Q599" s="298"/>
      <c r="R599" s="298"/>
      <c r="S599" s="299"/>
      <c r="T599" s="300">
        <v>43731.0</v>
      </c>
      <c r="U599" s="299"/>
      <c r="V599" s="299"/>
      <c r="W599" s="298" t="s">
        <v>50</v>
      </c>
      <c r="X599" s="298" t="s">
        <v>285</v>
      </c>
      <c r="Y599" s="298" t="s">
        <v>51</v>
      </c>
      <c r="Z599" s="298" t="s">
        <v>52</v>
      </c>
      <c r="AA599" s="298" t="s">
        <v>507</v>
      </c>
    </row>
    <row r="600" ht="53.25" customHeight="1">
      <c r="A600" s="69">
        <v>43665.0</v>
      </c>
      <c r="B600" s="70" t="s">
        <v>77</v>
      </c>
      <c r="C600" s="21">
        <v>535.0</v>
      </c>
      <c r="D600" s="21" t="s">
        <v>1404</v>
      </c>
      <c r="E600" s="32" t="s">
        <v>478</v>
      </c>
      <c r="F600" s="82">
        <v>50.0</v>
      </c>
      <c r="G600" s="48">
        <v>2.25</v>
      </c>
      <c r="H600" s="60">
        <v>112.5</v>
      </c>
      <c r="I600" s="61" t="s">
        <v>43</v>
      </c>
      <c r="J600" s="433" t="s">
        <v>936</v>
      </c>
      <c r="K600" s="29">
        <v>43700.0</v>
      </c>
      <c r="L600" s="306"/>
      <c r="M600" s="306"/>
      <c r="N600" s="306"/>
      <c r="O600" s="306"/>
      <c r="P600" s="306"/>
      <c r="Q600" s="298"/>
      <c r="R600" s="298"/>
      <c r="S600" s="299"/>
      <c r="T600" s="300">
        <v>43731.0</v>
      </c>
      <c r="U600" s="299"/>
      <c r="V600" s="299"/>
      <c r="W600" s="298" t="s">
        <v>50</v>
      </c>
      <c r="X600" s="298" t="s">
        <v>285</v>
      </c>
      <c r="Y600" s="298" t="s">
        <v>51</v>
      </c>
      <c r="Z600" s="298" t="s">
        <v>52</v>
      </c>
      <c r="AA600" s="298" t="s">
        <v>507</v>
      </c>
    </row>
    <row r="601" ht="42.75" customHeight="1">
      <c r="A601" s="69">
        <v>43665.0</v>
      </c>
      <c r="B601" s="144" t="s">
        <v>378</v>
      </c>
      <c r="C601" s="21" t="s">
        <v>1368</v>
      </c>
      <c r="D601" s="21" t="s">
        <v>1406</v>
      </c>
      <c r="E601" s="32" t="s">
        <v>1407</v>
      </c>
      <c r="F601" s="24">
        <v>4.0</v>
      </c>
      <c r="G601" s="48">
        <v>26.0</v>
      </c>
      <c r="H601" s="60">
        <v>104.0</v>
      </c>
      <c r="I601" s="61" t="s">
        <v>144</v>
      </c>
      <c r="J601" s="58" t="s">
        <v>1122</v>
      </c>
      <c r="K601" s="58" t="s">
        <v>1408</v>
      </c>
      <c r="L601" s="306"/>
      <c r="M601" s="306"/>
      <c r="N601" s="306"/>
      <c r="O601" s="306"/>
      <c r="P601" s="306"/>
      <c r="Q601" s="298"/>
      <c r="R601" s="306"/>
      <c r="S601" s="299"/>
      <c r="T601" s="300">
        <v>43837.0</v>
      </c>
      <c r="U601" s="299"/>
      <c r="V601" s="299"/>
      <c r="W601" s="298" t="s">
        <v>50</v>
      </c>
      <c r="X601" s="82" t="s">
        <v>285</v>
      </c>
      <c r="Y601" s="298" t="s">
        <v>286</v>
      </c>
      <c r="Z601" s="298" t="s">
        <v>52</v>
      </c>
      <c r="AA601" s="298" t="s">
        <v>1371</v>
      </c>
    </row>
    <row r="602" ht="42.75" customHeight="1">
      <c r="A602" s="69">
        <v>43665.0</v>
      </c>
      <c r="B602" s="144" t="s">
        <v>378</v>
      </c>
      <c r="C602" s="21" t="s">
        <v>1368</v>
      </c>
      <c r="D602" s="21" t="s">
        <v>1409</v>
      </c>
      <c r="E602" s="32" t="s">
        <v>1410</v>
      </c>
      <c r="F602" s="24">
        <v>4.0</v>
      </c>
      <c r="G602" s="48">
        <v>20.0</v>
      </c>
      <c r="H602" s="60">
        <v>80.0</v>
      </c>
      <c r="I602" s="61" t="s">
        <v>144</v>
      </c>
      <c r="J602" s="58" t="s">
        <v>1122</v>
      </c>
      <c r="K602" s="58" t="s">
        <v>1400</v>
      </c>
      <c r="L602" s="306"/>
      <c r="M602" s="462">
        <v>43777.0</v>
      </c>
      <c r="N602" s="306" t="s">
        <v>1403</v>
      </c>
      <c r="O602" s="306"/>
      <c r="P602" s="306"/>
      <c r="Q602" s="298"/>
      <c r="R602" s="306"/>
      <c r="S602" s="299"/>
      <c r="T602" s="300">
        <v>43837.0</v>
      </c>
      <c r="U602" s="299"/>
      <c r="V602" s="299"/>
      <c r="W602" s="298" t="s">
        <v>50</v>
      </c>
      <c r="X602" s="82" t="s">
        <v>285</v>
      </c>
      <c r="Y602" s="298" t="s">
        <v>286</v>
      </c>
      <c r="Z602" s="298" t="s">
        <v>52</v>
      </c>
      <c r="AA602" s="298" t="s">
        <v>1371</v>
      </c>
    </row>
    <row r="603" ht="57.0" customHeight="1">
      <c r="A603" s="69">
        <v>43668.0</v>
      </c>
      <c r="B603" s="144" t="s">
        <v>77</v>
      </c>
      <c r="C603" s="21">
        <v>560.0</v>
      </c>
      <c r="D603" s="21" t="s">
        <v>1411</v>
      </c>
      <c r="E603" s="32" t="s">
        <v>1412</v>
      </c>
      <c r="F603" s="24">
        <v>1.0</v>
      </c>
      <c r="G603" s="48">
        <v>120.0</v>
      </c>
      <c r="H603" s="60">
        <v>120.0</v>
      </c>
      <c r="I603" s="61" t="s">
        <v>43</v>
      </c>
      <c r="J603" s="433" t="s">
        <v>936</v>
      </c>
      <c r="K603" s="29">
        <v>43700.0</v>
      </c>
      <c r="L603" s="306"/>
      <c r="M603" s="306"/>
      <c r="N603" s="306"/>
      <c r="O603" s="306"/>
      <c r="P603" s="306"/>
      <c r="Q603" s="298"/>
      <c r="R603" s="298"/>
      <c r="S603" s="299"/>
      <c r="T603" s="300">
        <v>43731.0</v>
      </c>
      <c r="U603" s="299"/>
      <c r="V603" s="299"/>
      <c r="W603" s="298" t="s">
        <v>50</v>
      </c>
      <c r="X603" s="298" t="s">
        <v>285</v>
      </c>
      <c r="Y603" s="298" t="s">
        <v>286</v>
      </c>
      <c r="Z603" s="298" t="s">
        <v>52</v>
      </c>
      <c r="AA603" s="298" t="s">
        <v>507</v>
      </c>
    </row>
    <row r="604" ht="42.75" customHeight="1">
      <c r="A604" s="69">
        <v>43668.0</v>
      </c>
      <c r="B604" s="144" t="s">
        <v>77</v>
      </c>
      <c r="C604" s="21">
        <v>560.0</v>
      </c>
      <c r="D604" s="21" t="s">
        <v>1411</v>
      </c>
      <c r="E604" s="32" t="s">
        <v>1413</v>
      </c>
      <c r="F604" s="24">
        <v>1.0</v>
      </c>
      <c r="G604" s="48">
        <v>80.0</v>
      </c>
      <c r="H604" s="470">
        <v>80.0</v>
      </c>
      <c r="I604" s="61" t="s">
        <v>43</v>
      </c>
      <c r="J604" s="433" t="s">
        <v>936</v>
      </c>
      <c r="K604" s="29">
        <v>43700.0</v>
      </c>
      <c r="L604" s="306"/>
      <c r="M604" s="306"/>
      <c r="N604" s="306"/>
      <c r="O604" s="306"/>
      <c r="P604" s="306"/>
      <c r="Q604" s="298"/>
      <c r="R604" s="298"/>
      <c r="S604" s="299"/>
      <c r="T604" s="300">
        <v>43731.0</v>
      </c>
      <c r="U604" s="299"/>
      <c r="V604" s="299"/>
      <c r="W604" s="298" t="s">
        <v>50</v>
      </c>
      <c r="X604" s="298" t="s">
        <v>285</v>
      </c>
      <c r="Y604" s="298" t="s">
        <v>286</v>
      </c>
      <c r="Z604" s="298" t="s">
        <v>52</v>
      </c>
      <c r="AA604" s="298" t="s">
        <v>507</v>
      </c>
    </row>
    <row r="605" ht="42.75" customHeight="1">
      <c r="A605" s="69">
        <v>43668.0</v>
      </c>
      <c r="B605" s="144" t="s">
        <v>77</v>
      </c>
      <c r="C605" s="21">
        <v>560.0</v>
      </c>
      <c r="D605" s="21" t="s">
        <v>1411</v>
      </c>
      <c r="E605" s="32" t="s">
        <v>1414</v>
      </c>
      <c r="F605" s="24">
        <v>1.0</v>
      </c>
      <c r="G605" s="48">
        <v>10.0</v>
      </c>
      <c r="H605" s="60">
        <v>10.0</v>
      </c>
      <c r="I605" s="61" t="s">
        <v>43</v>
      </c>
      <c r="J605" s="433" t="s">
        <v>936</v>
      </c>
      <c r="K605" s="29">
        <v>43700.0</v>
      </c>
      <c r="L605" s="306"/>
      <c r="M605" s="306"/>
      <c r="N605" s="306"/>
      <c r="O605" s="306"/>
      <c r="P605" s="306"/>
      <c r="Q605" s="298"/>
      <c r="R605" s="298"/>
      <c r="S605" s="299"/>
      <c r="T605" s="300">
        <v>43731.0</v>
      </c>
      <c r="U605" s="299"/>
      <c r="V605" s="299"/>
      <c r="W605" s="298" t="s">
        <v>50</v>
      </c>
      <c r="X605" s="298" t="s">
        <v>285</v>
      </c>
      <c r="Y605" s="298" t="s">
        <v>286</v>
      </c>
      <c r="Z605" s="298" t="s">
        <v>52</v>
      </c>
      <c r="AA605" s="298" t="s">
        <v>507</v>
      </c>
    </row>
    <row r="606" ht="42.75" customHeight="1">
      <c r="A606" s="69">
        <v>43668.0</v>
      </c>
      <c r="B606" s="70" t="s">
        <v>223</v>
      </c>
      <c r="C606" s="21" t="s">
        <v>1415</v>
      </c>
      <c r="D606" s="21" t="s">
        <v>1416</v>
      </c>
      <c r="E606" s="32" t="s">
        <v>1367</v>
      </c>
      <c r="F606" s="24">
        <v>1.0</v>
      </c>
      <c r="G606" s="48">
        <f>87*1.05</f>
        <v>91.35</v>
      </c>
      <c r="H606" s="60">
        <v>91.35000000000001</v>
      </c>
      <c r="I606" s="61" t="s">
        <v>144</v>
      </c>
      <c r="J606" s="63" t="s">
        <v>90</v>
      </c>
      <c r="K606" s="30">
        <v>43675.0</v>
      </c>
      <c r="L606" s="462">
        <v>43738.0</v>
      </c>
      <c r="M606" s="462">
        <v>43672.0</v>
      </c>
      <c r="N606" s="306" t="s">
        <v>1417</v>
      </c>
      <c r="O606" s="306">
        <v>2571.0</v>
      </c>
      <c r="P606" s="462">
        <v>43739.0</v>
      </c>
      <c r="Q606" s="298"/>
      <c r="R606" s="298"/>
      <c r="S606" s="299"/>
      <c r="T606" s="300">
        <v>43718.0</v>
      </c>
      <c r="U606" s="299"/>
      <c r="V606" s="299"/>
      <c r="W606" s="298" t="s">
        <v>50</v>
      </c>
      <c r="X606" s="298" t="s">
        <v>285</v>
      </c>
      <c r="Y606" s="298" t="s">
        <v>51</v>
      </c>
      <c r="Z606" s="298" t="s">
        <v>52</v>
      </c>
      <c r="AA606" s="298" t="s">
        <v>507</v>
      </c>
    </row>
    <row r="607" ht="42.75" customHeight="1">
      <c r="A607" s="69">
        <v>43668.0</v>
      </c>
      <c r="B607" s="70" t="s">
        <v>130</v>
      </c>
      <c r="C607" s="21" t="s">
        <v>1418</v>
      </c>
      <c r="D607" s="21" t="s">
        <v>1419</v>
      </c>
      <c r="E607" s="32" t="s">
        <v>1420</v>
      </c>
      <c r="F607" s="24">
        <v>10.0</v>
      </c>
      <c r="G607" s="48">
        <v>112.0</v>
      </c>
      <c r="H607" s="60">
        <v>1120.0</v>
      </c>
      <c r="I607" s="61" t="s">
        <v>144</v>
      </c>
      <c r="J607" s="63" t="s">
        <v>134</v>
      </c>
      <c r="K607" s="30">
        <v>43684.0</v>
      </c>
      <c r="L607" s="462">
        <v>43738.0</v>
      </c>
      <c r="M607" s="462">
        <v>43682.0</v>
      </c>
      <c r="N607" s="306" t="s">
        <v>1421</v>
      </c>
      <c r="O607" s="306">
        <v>33874.0</v>
      </c>
      <c r="P607" s="462">
        <v>43739.0</v>
      </c>
      <c r="Q607" s="298"/>
      <c r="R607" s="298"/>
      <c r="S607" s="299"/>
      <c r="T607" s="300">
        <v>43704.0</v>
      </c>
      <c r="U607" s="299">
        <f>1526.62*31.35</f>
        <v>47859.537</v>
      </c>
      <c r="V607" s="299">
        <f>(1544-1526.62)*31.35</f>
        <v>544.863</v>
      </c>
      <c r="W607" s="298" t="s">
        <v>50</v>
      </c>
      <c r="X607" s="298" t="s">
        <v>285</v>
      </c>
      <c r="Y607" s="298" t="s">
        <v>51</v>
      </c>
      <c r="Z607" s="298" t="s">
        <v>52</v>
      </c>
      <c r="AA607" s="298" t="s">
        <v>507</v>
      </c>
    </row>
    <row r="608" ht="42.75" customHeight="1">
      <c r="A608" s="69">
        <v>43668.0</v>
      </c>
      <c r="B608" s="70" t="s">
        <v>130</v>
      </c>
      <c r="C608" s="21" t="s">
        <v>1418</v>
      </c>
      <c r="D608" s="21" t="s">
        <v>1419</v>
      </c>
      <c r="E608" s="32" t="s">
        <v>244</v>
      </c>
      <c r="F608" s="24">
        <v>5.0</v>
      </c>
      <c r="G608" s="48">
        <v>50.0</v>
      </c>
      <c r="H608" s="470">
        <v>250.0</v>
      </c>
      <c r="I608" s="61" t="s">
        <v>144</v>
      </c>
      <c r="J608" s="63" t="s">
        <v>134</v>
      </c>
      <c r="K608" s="30">
        <v>43684.0</v>
      </c>
      <c r="L608" s="462">
        <v>43738.0</v>
      </c>
      <c r="M608" s="462">
        <v>43683.0</v>
      </c>
      <c r="N608" s="306" t="s">
        <v>1422</v>
      </c>
      <c r="O608" s="306">
        <v>11302.0</v>
      </c>
      <c r="P608" s="462">
        <v>43739.0</v>
      </c>
      <c r="Q608" s="298"/>
      <c r="R608" s="298"/>
      <c r="S608" s="299"/>
      <c r="T608" s="300">
        <v>43704.0</v>
      </c>
      <c r="U608" s="299"/>
      <c r="V608" s="299"/>
      <c r="W608" s="298" t="s">
        <v>50</v>
      </c>
      <c r="X608" s="298" t="s">
        <v>285</v>
      </c>
      <c r="Y608" s="298" t="s">
        <v>51</v>
      </c>
      <c r="Z608" s="298" t="s">
        <v>52</v>
      </c>
      <c r="AA608" s="298" t="s">
        <v>507</v>
      </c>
    </row>
    <row r="609" ht="42.75" customHeight="1">
      <c r="A609" s="69">
        <v>43668.0</v>
      </c>
      <c r="B609" s="70" t="s">
        <v>130</v>
      </c>
      <c r="C609" s="21" t="s">
        <v>1418</v>
      </c>
      <c r="D609" s="21" t="s">
        <v>1419</v>
      </c>
      <c r="E609" s="32" t="s">
        <v>239</v>
      </c>
      <c r="F609" s="24">
        <v>3.0</v>
      </c>
      <c r="G609" s="48">
        <v>58.0</v>
      </c>
      <c r="H609" s="60">
        <v>174.0</v>
      </c>
      <c r="I609" s="61" t="s">
        <v>144</v>
      </c>
      <c r="J609" s="63" t="s">
        <v>134</v>
      </c>
      <c r="K609" s="30">
        <v>43684.0</v>
      </c>
      <c r="L609" s="462">
        <v>43738.0</v>
      </c>
      <c r="M609" s="462">
        <v>43683.0</v>
      </c>
      <c r="N609" s="306" t="s">
        <v>1422</v>
      </c>
      <c r="O609" s="306"/>
      <c r="P609" s="462">
        <v>43739.0</v>
      </c>
      <c r="Q609" s="298"/>
      <c r="R609" s="298"/>
      <c r="S609" s="299"/>
      <c r="T609" s="300">
        <v>43704.0</v>
      </c>
      <c r="U609" s="299"/>
      <c r="V609" s="299"/>
      <c r="W609" s="298" t="s">
        <v>50</v>
      </c>
      <c r="X609" s="298" t="s">
        <v>285</v>
      </c>
      <c r="Y609" s="298" t="s">
        <v>51</v>
      </c>
      <c r="Z609" s="298" t="s">
        <v>52</v>
      </c>
      <c r="AA609" s="298" t="s">
        <v>507</v>
      </c>
    </row>
    <row r="610" ht="42.75" customHeight="1">
      <c r="A610" s="69">
        <v>43668.0</v>
      </c>
      <c r="B610" s="23" t="s">
        <v>406</v>
      </c>
      <c r="C610" s="21">
        <v>7.000148954E9</v>
      </c>
      <c r="D610" s="21" t="s">
        <v>1423</v>
      </c>
      <c r="E610" s="32" t="s">
        <v>1009</v>
      </c>
      <c r="F610" s="24">
        <v>1.0</v>
      </c>
      <c r="G610" s="48">
        <v>468.0</v>
      </c>
      <c r="H610" s="60">
        <v>468.0</v>
      </c>
      <c r="I610" s="61" t="s">
        <v>43</v>
      </c>
      <c r="J610" s="50" t="s">
        <v>513</v>
      </c>
      <c r="K610" s="30">
        <v>43675.0</v>
      </c>
      <c r="L610" s="305">
        <v>43769.0</v>
      </c>
      <c r="M610" s="462">
        <v>43672.0</v>
      </c>
      <c r="N610" s="306" t="s">
        <v>1424</v>
      </c>
      <c r="O610" s="306">
        <v>13000.0</v>
      </c>
      <c r="P610" s="306"/>
      <c r="Q610" s="298"/>
      <c r="R610" s="298"/>
      <c r="S610" s="299"/>
      <c r="T610" s="300">
        <v>43707.0</v>
      </c>
      <c r="U610" s="299"/>
      <c r="V610" s="299"/>
      <c r="W610" s="298" t="s">
        <v>50</v>
      </c>
      <c r="X610" s="298" t="s">
        <v>285</v>
      </c>
      <c r="Y610" s="298" t="s">
        <v>51</v>
      </c>
      <c r="Z610" s="298" t="s">
        <v>52</v>
      </c>
      <c r="AA610" s="298" t="s">
        <v>507</v>
      </c>
    </row>
    <row r="611" ht="42.75" customHeight="1">
      <c r="A611" s="69">
        <v>43669.0</v>
      </c>
      <c r="B611" s="70" t="s">
        <v>1030</v>
      </c>
      <c r="C611" s="21">
        <v>1.9000283E7</v>
      </c>
      <c r="D611" s="21" t="s">
        <v>1425</v>
      </c>
      <c r="E611" s="32" t="s">
        <v>1081</v>
      </c>
      <c r="F611" s="24">
        <v>8.0</v>
      </c>
      <c r="G611" s="48">
        <v>115.0</v>
      </c>
      <c r="H611" s="60">
        <v>920.0</v>
      </c>
      <c r="I611" s="61" t="s">
        <v>105</v>
      </c>
      <c r="J611" s="63" t="s">
        <v>199</v>
      </c>
      <c r="K611" s="30">
        <v>43675.0</v>
      </c>
      <c r="L611" s="462">
        <v>43708.0</v>
      </c>
      <c r="M611" s="462">
        <v>43671.0</v>
      </c>
      <c r="N611" s="306" t="s">
        <v>1426</v>
      </c>
      <c r="O611" s="306">
        <v>50278.0</v>
      </c>
      <c r="P611" s="462">
        <v>43706.0</v>
      </c>
      <c r="Q611" s="298"/>
      <c r="R611" s="298"/>
      <c r="S611" s="299"/>
      <c r="T611" s="300">
        <v>43676.0</v>
      </c>
      <c r="U611" s="299"/>
      <c r="V611" s="299"/>
      <c r="W611" s="298" t="s">
        <v>50</v>
      </c>
      <c r="X611" s="298" t="s">
        <v>285</v>
      </c>
      <c r="Y611" s="298" t="s">
        <v>51</v>
      </c>
      <c r="Z611" s="298" t="s">
        <v>52</v>
      </c>
      <c r="AA611" s="298" t="s">
        <v>507</v>
      </c>
    </row>
    <row r="612" ht="42.75" customHeight="1">
      <c r="A612" s="69">
        <v>43669.0</v>
      </c>
      <c r="B612" s="70" t="s">
        <v>1030</v>
      </c>
      <c r="C612" s="21">
        <v>1.9000283E7</v>
      </c>
      <c r="D612" s="21" t="s">
        <v>1425</v>
      </c>
      <c r="E612" s="32" t="s">
        <v>1427</v>
      </c>
      <c r="F612" s="24">
        <v>6.0</v>
      </c>
      <c r="G612" s="48">
        <v>134.0</v>
      </c>
      <c r="H612" s="60">
        <v>804.0</v>
      </c>
      <c r="I612" s="61" t="s">
        <v>105</v>
      </c>
      <c r="J612" s="63" t="s">
        <v>199</v>
      </c>
      <c r="K612" s="30">
        <v>43675.0</v>
      </c>
      <c r="L612" s="462">
        <v>43708.0</v>
      </c>
      <c r="M612" s="462">
        <v>43671.0</v>
      </c>
      <c r="N612" s="306" t="s">
        <v>1426</v>
      </c>
      <c r="O612" s="306"/>
      <c r="P612" s="462">
        <v>43706.0</v>
      </c>
      <c r="Q612" s="298"/>
      <c r="R612" s="298"/>
      <c r="S612" s="299"/>
      <c r="T612" s="300">
        <v>43676.0</v>
      </c>
      <c r="U612" s="299"/>
      <c r="V612" s="299"/>
      <c r="W612" s="298" t="s">
        <v>50</v>
      </c>
      <c r="X612" s="298" t="s">
        <v>285</v>
      </c>
      <c r="Y612" s="298" t="s">
        <v>51</v>
      </c>
      <c r="Z612" s="298" t="s">
        <v>52</v>
      </c>
      <c r="AA612" s="298" t="s">
        <v>507</v>
      </c>
    </row>
    <row r="613" ht="42.75" customHeight="1">
      <c r="A613" s="69">
        <v>43669.0</v>
      </c>
      <c r="B613" s="70" t="s">
        <v>1030</v>
      </c>
      <c r="C613" s="21">
        <v>1.9000283E7</v>
      </c>
      <c r="D613" s="21" t="s">
        <v>1425</v>
      </c>
      <c r="E613" s="518" t="s">
        <v>975</v>
      </c>
      <c r="F613" s="24">
        <v>1.0</v>
      </c>
      <c r="G613" s="48">
        <v>89.2</v>
      </c>
      <c r="H613" s="60">
        <v>89.2</v>
      </c>
      <c r="I613" s="61" t="s">
        <v>105</v>
      </c>
      <c r="J613" s="63" t="s">
        <v>199</v>
      </c>
      <c r="K613" s="30">
        <v>43675.0</v>
      </c>
      <c r="L613" s="462">
        <v>43708.0</v>
      </c>
      <c r="M613" s="462">
        <v>43671.0</v>
      </c>
      <c r="N613" s="306" t="s">
        <v>1426</v>
      </c>
      <c r="O613" s="306"/>
      <c r="P613" s="462">
        <v>43706.0</v>
      </c>
      <c r="Q613" s="298"/>
      <c r="R613" s="298"/>
      <c r="S613" s="299"/>
      <c r="T613" s="300">
        <v>43676.0</v>
      </c>
      <c r="U613" s="299"/>
      <c r="V613" s="299"/>
      <c r="W613" s="298" t="s">
        <v>50</v>
      </c>
      <c r="X613" s="298" t="s">
        <v>285</v>
      </c>
      <c r="Y613" s="298" t="s">
        <v>51</v>
      </c>
      <c r="Z613" s="298" t="s">
        <v>52</v>
      </c>
      <c r="AA613" s="298" t="s">
        <v>507</v>
      </c>
    </row>
    <row r="614" ht="42.75" customHeight="1">
      <c r="A614" s="69">
        <v>43669.0</v>
      </c>
      <c r="B614" s="70" t="s">
        <v>1030</v>
      </c>
      <c r="C614" s="21">
        <v>1.9000283E7</v>
      </c>
      <c r="D614" s="21" t="s">
        <v>1425</v>
      </c>
      <c r="E614" s="518" t="s">
        <v>978</v>
      </c>
      <c r="F614" s="24">
        <v>1.0</v>
      </c>
      <c r="G614" s="48">
        <v>20.0</v>
      </c>
      <c r="H614" s="60">
        <v>20.0</v>
      </c>
      <c r="I614" s="61" t="s">
        <v>105</v>
      </c>
      <c r="J614" s="63" t="s">
        <v>199</v>
      </c>
      <c r="K614" s="30">
        <v>43675.0</v>
      </c>
      <c r="L614" s="306"/>
      <c r="M614" s="306"/>
      <c r="N614" s="306"/>
      <c r="O614" s="306"/>
      <c r="P614" s="306"/>
      <c r="Q614" s="298"/>
      <c r="R614" s="298"/>
      <c r="S614" s="299"/>
      <c r="T614" s="300">
        <v>43676.0</v>
      </c>
      <c r="U614" s="299"/>
      <c r="V614" s="299"/>
      <c r="W614" s="298" t="s">
        <v>50</v>
      </c>
      <c r="X614" s="298" t="s">
        <v>285</v>
      </c>
      <c r="Y614" s="298" t="s">
        <v>51</v>
      </c>
      <c r="Z614" s="298" t="s">
        <v>52</v>
      </c>
      <c r="AA614" s="298" t="s">
        <v>507</v>
      </c>
    </row>
    <row r="615" ht="42.75" customHeight="1">
      <c r="A615" s="69">
        <v>43669.0</v>
      </c>
      <c r="B615" s="70" t="s">
        <v>1428</v>
      </c>
      <c r="C615" s="21" t="s">
        <v>1429</v>
      </c>
      <c r="D615" s="493" t="s">
        <v>1430</v>
      </c>
      <c r="E615" s="32" t="s">
        <v>1431</v>
      </c>
      <c r="F615" s="24">
        <v>7.0</v>
      </c>
      <c r="G615" s="48">
        <v>2475.0</v>
      </c>
      <c r="H615" s="60">
        <v>17325.0</v>
      </c>
      <c r="I615" s="61" t="s">
        <v>105</v>
      </c>
      <c r="J615" s="519"/>
      <c r="K615" s="300">
        <v>43685.0</v>
      </c>
      <c r="L615" s="462">
        <v>43713.0</v>
      </c>
      <c r="M615" s="462">
        <v>43684.0</v>
      </c>
      <c r="N615" s="306" t="s">
        <v>1432</v>
      </c>
      <c r="O615" s="306">
        <v>513030.0</v>
      </c>
      <c r="P615" s="462">
        <v>43713.0</v>
      </c>
      <c r="Q615" s="298"/>
      <c r="R615" s="298"/>
      <c r="S615" s="299"/>
      <c r="T615" s="300">
        <v>43675.0</v>
      </c>
      <c r="U615" s="299">
        <f>17310.34*31.05</f>
        <v>537486.057</v>
      </c>
      <c r="V615" s="299">
        <f>(17325-17310.34)*31.05</f>
        <v>455.193</v>
      </c>
      <c r="W615" s="298" t="s">
        <v>50</v>
      </c>
      <c r="X615" s="298" t="s">
        <v>285</v>
      </c>
      <c r="Y615" s="298" t="s">
        <v>51</v>
      </c>
      <c r="Z615" s="298" t="s">
        <v>52</v>
      </c>
      <c r="AA615" s="298" t="s">
        <v>507</v>
      </c>
    </row>
    <row r="616" ht="42.75" customHeight="1">
      <c r="A616" s="69">
        <v>43671.0</v>
      </c>
      <c r="B616" s="70" t="s">
        <v>223</v>
      </c>
      <c r="C616" s="21" t="s">
        <v>1433</v>
      </c>
      <c r="D616" s="21" t="s">
        <v>1434</v>
      </c>
      <c r="E616" s="32" t="s">
        <v>1435</v>
      </c>
      <c r="F616" s="24">
        <v>5.0</v>
      </c>
      <c r="G616" s="48">
        <f>251*1.05</f>
        <v>263.55</v>
      </c>
      <c r="H616" s="60">
        <v>1317.75</v>
      </c>
      <c r="I616" s="61" t="s">
        <v>144</v>
      </c>
      <c r="J616" s="50" t="s">
        <v>90</v>
      </c>
      <c r="K616" s="145">
        <v>43696.0</v>
      </c>
      <c r="L616" s="462">
        <v>43738.0</v>
      </c>
      <c r="M616" s="462">
        <v>43691.0</v>
      </c>
      <c r="N616" s="306" t="s">
        <v>1436</v>
      </c>
      <c r="O616" s="306">
        <v>37783.0</v>
      </c>
      <c r="P616" s="462">
        <v>43739.0</v>
      </c>
      <c r="Q616" s="298"/>
      <c r="R616" s="298"/>
      <c r="S616" s="299"/>
      <c r="T616" s="300">
        <v>43718.0</v>
      </c>
      <c r="U616" s="299"/>
      <c r="V616" s="299"/>
      <c r="W616" s="298" t="s">
        <v>50</v>
      </c>
      <c r="X616" s="298" t="s">
        <v>285</v>
      </c>
      <c r="Y616" s="298" t="s">
        <v>51</v>
      </c>
      <c r="Z616" s="298" t="s">
        <v>377</v>
      </c>
      <c r="AA616" s="298" t="s">
        <v>507</v>
      </c>
    </row>
    <row r="617" ht="42.75" customHeight="1">
      <c r="A617" s="69">
        <v>43672.0</v>
      </c>
      <c r="B617" s="70" t="s">
        <v>579</v>
      </c>
      <c r="C617" s="21">
        <v>2.0190723004E10</v>
      </c>
      <c r="D617" s="21" t="s">
        <v>1437</v>
      </c>
      <c r="E617" s="32" t="s">
        <v>1438</v>
      </c>
      <c r="F617" s="24">
        <v>1.0</v>
      </c>
      <c r="G617" s="48">
        <v>96.6</v>
      </c>
      <c r="H617" s="60">
        <v>96.6</v>
      </c>
      <c r="I617" s="61" t="s">
        <v>248</v>
      </c>
      <c r="J617" s="58" t="s">
        <v>1439</v>
      </c>
      <c r="K617" s="300">
        <v>43676.0</v>
      </c>
      <c r="L617" s="462">
        <v>43738.0</v>
      </c>
      <c r="M617" s="462">
        <v>43676.0</v>
      </c>
      <c r="N617" s="306" t="s">
        <v>1440</v>
      </c>
      <c r="O617" s="306">
        <v>2610.0</v>
      </c>
      <c r="P617" s="462">
        <v>43738.0</v>
      </c>
      <c r="Q617" s="298"/>
      <c r="R617" s="298"/>
      <c r="S617" s="299"/>
      <c r="T617" s="300">
        <v>43661.0</v>
      </c>
      <c r="U617" s="299"/>
      <c r="V617" s="299">
        <v>0.0</v>
      </c>
      <c r="W617" s="298" t="s">
        <v>50</v>
      </c>
      <c r="X617" s="298" t="s">
        <v>285</v>
      </c>
      <c r="Y617" s="298" t="s">
        <v>51</v>
      </c>
      <c r="Z617" s="298" t="s">
        <v>377</v>
      </c>
      <c r="AA617" s="298" t="s">
        <v>507</v>
      </c>
    </row>
    <row r="618" ht="15.75" customHeight="1">
      <c r="A618" s="69">
        <v>43672.0</v>
      </c>
      <c r="B618" s="70" t="s">
        <v>1251</v>
      </c>
      <c r="C618" s="21" t="s">
        <v>1441</v>
      </c>
      <c r="D618" s="520" t="s">
        <v>1442</v>
      </c>
      <c r="E618" s="32" t="s">
        <v>1443</v>
      </c>
      <c r="F618" s="24">
        <v>5.0</v>
      </c>
      <c r="G618" s="74">
        <v>576.0</v>
      </c>
      <c r="H618" s="60">
        <v>2880.0</v>
      </c>
      <c r="I618" s="61" t="s">
        <v>105</v>
      </c>
      <c r="J618" s="519" t="s">
        <v>134</v>
      </c>
      <c r="K618" s="29">
        <v>43692.0</v>
      </c>
      <c r="L618" s="462">
        <v>43738.0</v>
      </c>
      <c r="M618" s="462">
        <v>43684.0</v>
      </c>
      <c r="N618" s="306" t="s">
        <v>1444</v>
      </c>
      <c r="O618" s="306">
        <v>86508.0</v>
      </c>
      <c r="P618" s="462">
        <v>43739.0</v>
      </c>
      <c r="Q618" s="298"/>
      <c r="R618" s="298"/>
      <c r="S618" s="299"/>
      <c r="T618" s="300">
        <v>43734.0</v>
      </c>
      <c r="U618" s="299"/>
      <c r="V618" s="299"/>
      <c r="W618" s="298" t="s">
        <v>50</v>
      </c>
      <c r="X618" s="298" t="s">
        <v>285</v>
      </c>
      <c r="Y618" s="298" t="s">
        <v>51</v>
      </c>
      <c r="Z618" s="298" t="s">
        <v>52</v>
      </c>
      <c r="AA618" s="298" t="s">
        <v>507</v>
      </c>
    </row>
    <row r="619" ht="15.75" customHeight="1">
      <c r="A619" s="69">
        <v>43672.0</v>
      </c>
      <c r="B619" s="70" t="s">
        <v>1251</v>
      </c>
      <c r="C619" s="21" t="s">
        <v>1441</v>
      </c>
      <c r="D619" s="520" t="s">
        <v>1442</v>
      </c>
      <c r="E619" s="32" t="s">
        <v>1059</v>
      </c>
      <c r="F619" s="24">
        <v>5.0</v>
      </c>
      <c r="G619" s="74">
        <v>219.0</v>
      </c>
      <c r="H619" s="60">
        <v>1095.0</v>
      </c>
      <c r="I619" s="61" t="s">
        <v>105</v>
      </c>
      <c r="J619" s="519" t="s">
        <v>134</v>
      </c>
      <c r="K619" s="29">
        <v>43692.0</v>
      </c>
      <c r="L619" s="462">
        <v>43738.0</v>
      </c>
      <c r="M619" s="462">
        <v>43689.0</v>
      </c>
      <c r="N619" s="306" t="s">
        <v>1445</v>
      </c>
      <c r="O619" s="306">
        <v>31802.0</v>
      </c>
      <c r="P619" s="462">
        <v>43738.0</v>
      </c>
      <c r="Q619" s="298"/>
      <c r="R619" s="298"/>
      <c r="S619" s="299"/>
      <c r="T619" s="300">
        <v>43734.0</v>
      </c>
      <c r="U619" s="299"/>
      <c r="V619" s="299"/>
      <c r="W619" s="298" t="s">
        <v>50</v>
      </c>
      <c r="X619" s="298" t="s">
        <v>285</v>
      </c>
      <c r="Y619" s="298" t="s">
        <v>51</v>
      </c>
      <c r="Z619" s="298" t="s">
        <v>52</v>
      </c>
      <c r="AA619" s="298" t="s">
        <v>507</v>
      </c>
    </row>
    <row r="620" ht="42.75" customHeight="1">
      <c r="A620" s="69">
        <v>43672.0</v>
      </c>
      <c r="B620" s="70" t="s">
        <v>1251</v>
      </c>
      <c r="C620" s="21" t="s">
        <v>1441</v>
      </c>
      <c r="D620" s="493" t="s">
        <v>1442</v>
      </c>
      <c r="E620" s="32" t="s">
        <v>1446</v>
      </c>
      <c r="F620" s="24">
        <v>5.0</v>
      </c>
      <c r="G620" s="74">
        <v>54.0</v>
      </c>
      <c r="H620" s="60">
        <v>270.0</v>
      </c>
      <c r="I620" s="61" t="s">
        <v>105</v>
      </c>
      <c r="J620" s="519" t="s">
        <v>134</v>
      </c>
      <c r="K620" s="29">
        <v>43692.0</v>
      </c>
      <c r="L620" s="462">
        <v>43713.0</v>
      </c>
      <c r="M620" s="462">
        <v>43676.0</v>
      </c>
      <c r="N620" s="306" t="s">
        <v>1447</v>
      </c>
      <c r="O620" s="306">
        <v>6202.0</v>
      </c>
      <c r="P620" s="462">
        <v>43713.0</v>
      </c>
      <c r="Q620" s="298"/>
      <c r="R620" s="298"/>
      <c r="S620" s="299"/>
      <c r="T620" s="300">
        <v>43734.0</v>
      </c>
      <c r="U620" s="299"/>
      <c r="V620" s="299"/>
      <c r="W620" s="298" t="s">
        <v>50</v>
      </c>
      <c r="X620" s="298" t="s">
        <v>285</v>
      </c>
      <c r="Y620" s="298" t="s">
        <v>51</v>
      </c>
      <c r="Z620" s="298" t="s">
        <v>52</v>
      </c>
      <c r="AA620" s="298" t="s">
        <v>507</v>
      </c>
    </row>
    <row r="621" ht="42.75" customHeight="1">
      <c r="A621" s="69">
        <v>43672.0</v>
      </c>
      <c r="B621" s="70" t="s">
        <v>119</v>
      </c>
      <c r="C621" s="21" t="s">
        <v>1448</v>
      </c>
      <c r="D621" s="21" t="s">
        <v>1449</v>
      </c>
      <c r="E621" s="521" t="s">
        <v>165</v>
      </c>
      <c r="F621" s="24">
        <v>100.0</v>
      </c>
      <c r="G621" s="48">
        <v>105.0</v>
      </c>
      <c r="H621" s="60">
        <v>10500.0</v>
      </c>
      <c r="I621" s="61" t="s">
        <v>248</v>
      </c>
      <c r="J621" s="82" t="s">
        <v>122</v>
      </c>
      <c r="K621" s="84">
        <v>43732.0</v>
      </c>
      <c r="L621" s="305">
        <v>43769.0</v>
      </c>
      <c r="M621" s="462">
        <v>43728.0</v>
      </c>
      <c r="N621" s="306" t="s">
        <v>1450</v>
      </c>
      <c r="O621" s="306"/>
      <c r="P621" s="306"/>
      <c r="Q621" s="298"/>
      <c r="R621" s="298"/>
      <c r="S621" s="299"/>
      <c r="T621" s="300">
        <v>43696.0</v>
      </c>
      <c r="U621" s="299">
        <f>15982.01*31.3</f>
        <v>500236.913</v>
      </c>
      <c r="V621" s="299">
        <f>(16000-15982.01)*31.3</f>
        <v>563.087</v>
      </c>
      <c r="W621" s="298" t="s">
        <v>50</v>
      </c>
      <c r="X621" s="298" t="s">
        <v>285</v>
      </c>
      <c r="Y621" s="298" t="s">
        <v>51</v>
      </c>
      <c r="Z621" s="298" t="s">
        <v>52</v>
      </c>
      <c r="AA621" s="298" t="s">
        <v>1133</v>
      </c>
    </row>
    <row r="622" ht="42.75" customHeight="1">
      <c r="A622" s="69">
        <v>43676.0</v>
      </c>
      <c r="B622" s="144" t="s">
        <v>1251</v>
      </c>
      <c r="C622" s="21"/>
      <c r="D622" s="21" t="s">
        <v>1451</v>
      </c>
      <c r="E622" s="32" t="s">
        <v>347</v>
      </c>
      <c r="F622" s="24">
        <v>1.0</v>
      </c>
      <c r="G622" s="48">
        <v>96.0</v>
      </c>
      <c r="H622" s="26">
        <v>96.0</v>
      </c>
      <c r="I622" s="61" t="s">
        <v>105</v>
      </c>
      <c r="J622" s="50" t="s">
        <v>1452</v>
      </c>
      <c r="K622" s="29">
        <v>43676.0</v>
      </c>
      <c r="L622" s="462">
        <v>43708.0</v>
      </c>
      <c r="M622" s="462">
        <v>43686.0</v>
      </c>
      <c r="N622" s="306" t="s">
        <v>1453</v>
      </c>
      <c r="O622" s="306">
        <v>2482.0</v>
      </c>
      <c r="P622" s="462">
        <v>43710.0</v>
      </c>
      <c r="Q622" s="298"/>
      <c r="R622" s="298"/>
      <c r="S622" s="299"/>
      <c r="T622" s="300">
        <v>43734.0</v>
      </c>
      <c r="U622" s="299"/>
      <c r="V622" s="299"/>
      <c r="W622" s="298" t="s">
        <v>50</v>
      </c>
      <c r="X622" s="298" t="s">
        <v>285</v>
      </c>
      <c r="Y622" s="298" t="s">
        <v>286</v>
      </c>
      <c r="Z622" s="298" t="s">
        <v>52</v>
      </c>
      <c r="AA622" s="298" t="s">
        <v>507</v>
      </c>
    </row>
    <row r="623" ht="42.75" customHeight="1">
      <c r="A623" s="69">
        <v>43677.0</v>
      </c>
      <c r="B623" s="70" t="s">
        <v>906</v>
      </c>
      <c r="C623" s="21" t="s">
        <v>1454</v>
      </c>
      <c r="D623" s="21" t="s">
        <v>1455</v>
      </c>
      <c r="E623" s="22" t="s">
        <v>1456</v>
      </c>
      <c r="F623" s="24">
        <v>28.0</v>
      </c>
      <c r="G623" s="48">
        <v>212.0</v>
      </c>
      <c r="H623" s="60">
        <v>5936.0</v>
      </c>
      <c r="I623" s="61" t="s">
        <v>105</v>
      </c>
      <c r="J623" s="63" t="s">
        <v>934</v>
      </c>
      <c r="K623" s="29">
        <v>43686.0</v>
      </c>
      <c r="L623" s="462">
        <v>43738.0</v>
      </c>
      <c r="M623" s="462">
        <v>43683.0</v>
      </c>
      <c r="N623" s="306" t="s">
        <v>1457</v>
      </c>
      <c r="O623" s="306">
        <v>237642.0</v>
      </c>
      <c r="P623" s="462">
        <v>43739.0</v>
      </c>
      <c r="Q623" s="298"/>
      <c r="R623" s="298"/>
      <c r="S623" s="299"/>
      <c r="T623" s="300">
        <v>43678.0</v>
      </c>
      <c r="U623" s="299">
        <f>8521.17*31.09</f>
        <v>264923.1753</v>
      </c>
      <c r="V623" s="299">
        <f>(8538.6-8521.17)*31.09</f>
        <v>541.8987</v>
      </c>
      <c r="W623" s="298" t="s">
        <v>50</v>
      </c>
      <c r="X623" s="298" t="s">
        <v>285</v>
      </c>
      <c r="Y623" s="298" t="s">
        <v>51</v>
      </c>
      <c r="Z623" s="298" t="s">
        <v>52</v>
      </c>
      <c r="AA623" s="298" t="s">
        <v>507</v>
      </c>
    </row>
    <row r="624" ht="42.75" customHeight="1">
      <c r="A624" s="69">
        <v>43677.0</v>
      </c>
      <c r="B624" s="70" t="s">
        <v>906</v>
      </c>
      <c r="C624" s="21" t="s">
        <v>1454</v>
      </c>
      <c r="D624" s="21" t="s">
        <v>1455</v>
      </c>
      <c r="E624" s="22" t="s">
        <v>961</v>
      </c>
      <c r="F624" s="24">
        <v>4.0</v>
      </c>
      <c r="G624" s="48">
        <v>340.0</v>
      </c>
      <c r="H624" s="60">
        <v>1360.0</v>
      </c>
      <c r="I624" s="61" t="s">
        <v>105</v>
      </c>
      <c r="J624" s="63" t="s">
        <v>934</v>
      </c>
      <c r="K624" s="29">
        <v>43686.0</v>
      </c>
      <c r="L624" s="462">
        <v>43738.0</v>
      </c>
      <c r="M624" s="462">
        <v>43683.0</v>
      </c>
      <c r="N624" s="306" t="s">
        <v>1457</v>
      </c>
      <c r="O624" s="306"/>
      <c r="P624" s="462">
        <v>43739.0</v>
      </c>
      <c r="Q624" s="298"/>
      <c r="R624" s="298"/>
      <c r="S624" s="299"/>
      <c r="T624" s="300">
        <v>43678.0</v>
      </c>
      <c r="U624" s="299"/>
      <c r="V624" s="299"/>
      <c r="W624" s="298" t="s">
        <v>50</v>
      </c>
      <c r="X624" s="298" t="s">
        <v>285</v>
      </c>
      <c r="Y624" s="298" t="s">
        <v>51</v>
      </c>
      <c r="Z624" s="298" t="s">
        <v>52</v>
      </c>
      <c r="AA624" s="298" t="s">
        <v>507</v>
      </c>
    </row>
    <row r="625" ht="42.75" customHeight="1">
      <c r="A625" s="69">
        <v>43677.0</v>
      </c>
      <c r="B625" s="70" t="s">
        <v>906</v>
      </c>
      <c r="C625" s="21" t="s">
        <v>1454</v>
      </c>
      <c r="D625" s="21" t="s">
        <v>1455</v>
      </c>
      <c r="E625" s="22" t="s">
        <v>1458</v>
      </c>
      <c r="F625" s="24">
        <v>72.0</v>
      </c>
      <c r="G625" s="48">
        <v>5.8</v>
      </c>
      <c r="H625" s="60">
        <v>417.59999999999997</v>
      </c>
      <c r="I625" s="61" t="s">
        <v>105</v>
      </c>
      <c r="J625" s="63" t="s">
        <v>934</v>
      </c>
      <c r="K625" s="29">
        <v>43686.0</v>
      </c>
      <c r="L625" s="462">
        <v>43738.0</v>
      </c>
      <c r="M625" s="462">
        <v>43683.0</v>
      </c>
      <c r="N625" s="306" t="s">
        <v>1457</v>
      </c>
      <c r="O625" s="306"/>
      <c r="P625" s="462">
        <v>43739.0</v>
      </c>
      <c r="Q625" s="298"/>
      <c r="R625" s="298"/>
      <c r="S625" s="299"/>
      <c r="T625" s="300">
        <v>43678.0</v>
      </c>
      <c r="U625" s="299"/>
      <c r="V625" s="299"/>
      <c r="W625" s="298" t="s">
        <v>50</v>
      </c>
      <c r="X625" s="298" t="s">
        <v>285</v>
      </c>
      <c r="Y625" s="298" t="s">
        <v>51</v>
      </c>
      <c r="Z625" s="298" t="s">
        <v>52</v>
      </c>
      <c r="AA625" s="298" t="s">
        <v>507</v>
      </c>
    </row>
    <row r="626" ht="42.75" customHeight="1">
      <c r="A626" s="69">
        <v>43677.0</v>
      </c>
      <c r="B626" s="70" t="s">
        <v>906</v>
      </c>
      <c r="C626" s="21" t="s">
        <v>1454</v>
      </c>
      <c r="D626" s="21" t="s">
        <v>1455</v>
      </c>
      <c r="E626" s="22" t="s">
        <v>1459</v>
      </c>
      <c r="F626" s="24">
        <v>3.0</v>
      </c>
      <c r="G626" s="48">
        <v>275.0</v>
      </c>
      <c r="H626" s="60">
        <v>825.0</v>
      </c>
      <c r="I626" s="61" t="s">
        <v>105</v>
      </c>
      <c r="J626" s="63"/>
      <c r="K626" s="29">
        <v>43686.0</v>
      </c>
      <c r="L626" s="462">
        <v>43738.0</v>
      </c>
      <c r="M626" s="462">
        <v>43683.0</v>
      </c>
      <c r="N626" s="306" t="s">
        <v>1457</v>
      </c>
      <c r="O626" s="306"/>
      <c r="P626" s="462">
        <v>43739.0</v>
      </c>
      <c r="Q626" s="298"/>
      <c r="R626" s="298"/>
      <c r="S626" s="299"/>
      <c r="T626" s="300">
        <v>43678.0</v>
      </c>
      <c r="U626" s="299"/>
      <c r="V626" s="299"/>
      <c r="W626" s="298" t="s">
        <v>50</v>
      </c>
      <c r="X626" s="298" t="s">
        <v>285</v>
      </c>
      <c r="Y626" s="298" t="s">
        <v>51</v>
      </c>
      <c r="Z626" s="298" t="s">
        <v>52</v>
      </c>
      <c r="AA626" s="298" t="s">
        <v>507</v>
      </c>
    </row>
    <row r="627" ht="42.75" customHeight="1">
      <c r="A627" s="19">
        <v>43677.0</v>
      </c>
      <c r="B627" s="51" t="s">
        <v>54</v>
      </c>
      <c r="C627" s="21" t="s">
        <v>1460</v>
      </c>
      <c r="D627" s="22" t="s">
        <v>1461</v>
      </c>
      <c r="E627" s="32" t="s">
        <v>386</v>
      </c>
      <c r="F627" s="24">
        <v>10.0</v>
      </c>
      <c r="G627" s="48">
        <v>150.15</v>
      </c>
      <c r="H627" s="26">
        <v>1501.5</v>
      </c>
      <c r="I627" s="27" t="s">
        <v>43</v>
      </c>
      <c r="J627" s="161" t="s">
        <v>90</v>
      </c>
      <c r="K627" s="30">
        <v>43699.0</v>
      </c>
      <c r="L627" s="462">
        <v>43738.0</v>
      </c>
      <c r="M627" s="462">
        <v>43698.0</v>
      </c>
      <c r="N627" s="306" t="s">
        <v>1462</v>
      </c>
      <c r="O627" s="306">
        <v>42087.0</v>
      </c>
      <c r="P627" s="462">
        <v>43739.0</v>
      </c>
      <c r="Q627" s="298"/>
      <c r="R627" s="298"/>
      <c r="S627" s="299"/>
      <c r="T627" s="300">
        <v>43733.0</v>
      </c>
      <c r="U627" s="299">
        <v>47081.0</v>
      </c>
      <c r="V627" s="299">
        <v>15.0</v>
      </c>
      <c r="W627" s="298" t="s">
        <v>50</v>
      </c>
      <c r="X627" s="298" t="s">
        <v>285</v>
      </c>
      <c r="Y627" s="298" t="s">
        <v>51</v>
      </c>
      <c r="Z627" s="298" t="s">
        <v>377</v>
      </c>
      <c r="AA627" s="298" t="s">
        <v>507</v>
      </c>
    </row>
    <row r="628" ht="42.75" customHeight="1">
      <c r="A628" s="69">
        <v>43678.0</v>
      </c>
      <c r="B628" s="70" t="s">
        <v>817</v>
      </c>
      <c r="C628" s="21"/>
      <c r="D628" s="21" t="s">
        <v>1463</v>
      </c>
      <c r="E628" s="23" t="s">
        <v>1464</v>
      </c>
      <c r="F628" s="24">
        <v>1.0</v>
      </c>
      <c r="G628" s="48">
        <v>303.0</v>
      </c>
      <c r="H628" s="60">
        <v>303.0</v>
      </c>
      <c r="I628" s="61" t="s">
        <v>248</v>
      </c>
      <c r="J628" s="50" t="s">
        <v>534</v>
      </c>
      <c r="K628" s="29">
        <v>43706.0</v>
      </c>
      <c r="L628" s="305">
        <v>43769.0</v>
      </c>
      <c r="M628" s="462">
        <v>43703.0</v>
      </c>
      <c r="N628" s="306" t="s">
        <v>1465</v>
      </c>
      <c r="O628" s="306">
        <v>8763.0</v>
      </c>
      <c r="P628" s="306"/>
      <c r="Q628" s="298"/>
      <c r="R628" s="298"/>
      <c r="S628" s="299"/>
      <c r="T628" s="300">
        <v>43698.0</v>
      </c>
      <c r="U628" s="299">
        <f>337.61*31.32</f>
        <v>10573.9452</v>
      </c>
      <c r="V628" s="299">
        <f>(374-337.61)*31.32</f>
        <v>1139.7348</v>
      </c>
      <c r="W628" s="298" t="s">
        <v>50</v>
      </c>
      <c r="X628" s="298" t="s">
        <v>285</v>
      </c>
      <c r="Y628" s="298" t="s">
        <v>51</v>
      </c>
      <c r="Z628" s="298" t="s">
        <v>52</v>
      </c>
      <c r="AA628" s="298" t="s">
        <v>507</v>
      </c>
    </row>
    <row r="629" ht="42.75" customHeight="1">
      <c r="A629" s="69">
        <v>43678.0</v>
      </c>
      <c r="B629" s="70" t="s">
        <v>817</v>
      </c>
      <c r="C629" s="21"/>
      <c r="D629" s="21" t="s">
        <v>1463</v>
      </c>
      <c r="E629" s="32" t="s">
        <v>347</v>
      </c>
      <c r="F629" s="24">
        <v>1.0</v>
      </c>
      <c r="G629" s="48">
        <v>31.0</v>
      </c>
      <c r="H629" s="60">
        <v>31.0</v>
      </c>
      <c r="I629" s="61" t="s">
        <v>248</v>
      </c>
      <c r="J629" s="50" t="s">
        <v>534</v>
      </c>
      <c r="K629" s="29">
        <v>43706.0</v>
      </c>
      <c r="L629" s="462">
        <v>43738.0</v>
      </c>
      <c r="M629" s="462">
        <v>43708.0</v>
      </c>
      <c r="N629" s="306" t="s">
        <v>1466</v>
      </c>
      <c r="O629" s="306">
        <v>1057.0</v>
      </c>
      <c r="P629" s="462">
        <v>43745.0</v>
      </c>
      <c r="Q629" s="298"/>
      <c r="R629" s="298"/>
      <c r="S629" s="299"/>
      <c r="T629" s="300">
        <v>43698.0</v>
      </c>
      <c r="U629" s="299"/>
      <c r="V629" s="299"/>
      <c r="W629" s="298" t="s">
        <v>50</v>
      </c>
      <c r="X629" s="298" t="s">
        <v>285</v>
      </c>
      <c r="Y629" s="298" t="s">
        <v>51</v>
      </c>
      <c r="Z629" s="298" t="s">
        <v>52</v>
      </c>
      <c r="AA629" s="298" t="s">
        <v>507</v>
      </c>
    </row>
    <row r="630" ht="42.75" customHeight="1">
      <c r="A630" s="69">
        <v>43678.0</v>
      </c>
      <c r="B630" s="70" t="s">
        <v>817</v>
      </c>
      <c r="C630" s="21"/>
      <c r="D630" s="21" t="s">
        <v>1467</v>
      </c>
      <c r="E630" s="32" t="s">
        <v>700</v>
      </c>
      <c r="F630" s="24">
        <v>1.0</v>
      </c>
      <c r="G630" s="48">
        <v>40.0</v>
      </c>
      <c r="H630" s="60">
        <v>40.0</v>
      </c>
      <c r="I630" s="61" t="s">
        <v>248</v>
      </c>
      <c r="J630" s="50" t="s">
        <v>534</v>
      </c>
      <c r="K630" s="29">
        <v>43706.0</v>
      </c>
      <c r="L630" s="52"/>
      <c r="M630" s="53"/>
      <c r="N630" s="53"/>
      <c r="O630" s="53"/>
      <c r="P630" s="53"/>
      <c r="Q630" s="54"/>
      <c r="R630" s="54"/>
      <c r="S630" s="55"/>
      <c r="T630" s="56">
        <v>43698.0</v>
      </c>
      <c r="U630" s="55"/>
      <c r="V630" s="55"/>
      <c r="W630" s="54" t="s">
        <v>50</v>
      </c>
      <c r="X630" s="54" t="s">
        <v>285</v>
      </c>
      <c r="Y630" s="54" t="s">
        <v>51</v>
      </c>
      <c r="Z630" s="54" t="s">
        <v>52</v>
      </c>
      <c r="AA630" s="54"/>
    </row>
    <row r="631" ht="42.75" customHeight="1">
      <c r="A631" s="69">
        <v>43678.0</v>
      </c>
      <c r="B631" s="70" t="s">
        <v>906</v>
      </c>
      <c r="C631" s="21" t="s">
        <v>1454</v>
      </c>
      <c r="D631" s="21" t="s">
        <v>1468</v>
      </c>
      <c r="E631" s="522" t="s">
        <v>1458</v>
      </c>
      <c r="F631" s="24">
        <v>18.0</v>
      </c>
      <c r="G631" s="48">
        <v>5.8</v>
      </c>
      <c r="H631" s="26">
        <v>104.39999999999999</v>
      </c>
      <c r="I631" s="61" t="s">
        <v>105</v>
      </c>
      <c r="J631" s="63" t="s">
        <v>934</v>
      </c>
      <c r="K631" s="29">
        <v>43686.0</v>
      </c>
      <c r="L631" s="462">
        <v>43738.0</v>
      </c>
      <c r="M631" s="462">
        <v>43683.0</v>
      </c>
      <c r="N631" s="306" t="s">
        <v>1469</v>
      </c>
      <c r="O631" s="306">
        <v>43906.0</v>
      </c>
      <c r="P631" s="462">
        <v>43739.0</v>
      </c>
      <c r="Q631" s="298"/>
      <c r="R631" s="298"/>
      <c r="S631" s="299"/>
      <c r="T631" s="300">
        <v>43679.0</v>
      </c>
      <c r="U631" s="299">
        <f>1512.01*31.29</f>
        <v>47310.7929</v>
      </c>
      <c r="V631" s="299">
        <f>(1529.4-1512.01)*31.29</f>
        <v>544.1331</v>
      </c>
      <c r="W631" s="298" t="s">
        <v>50</v>
      </c>
      <c r="X631" s="298" t="s">
        <v>285</v>
      </c>
      <c r="Y631" s="298" t="s">
        <v>51</v>
      </c>
      <c r="Z631" s="298" t="s">
        <v>52</v>
      </c>
      <c r="AA631" s="298" t="s">
        <v>507</v>
      </c>
    </row>
    <row r="632" ht="42.75" customHeight="1">
      <c r="A632" s="69">
        <v>43678.0</v>
      </c>
      <c r="B632" s="70" t="s">
        <v>906</v>
      </c>
      <c r="C632" s="21" t="s">
        <v>1454</v>
      </c>
      <c r="D632" s="21" t="s">
        <v>1468</v>
      </c>
      <c r="E632" s="523" t="s">
        <v>1470</v>
      </c>
      <c r="F632" s="24">
        <v>1.0</v>
      </c>
      <c r="G632" s="48">
        <v>345.0</v>
      </c>
      <c r="H632" s="26">
        <v>345.0</v>
      </c>
      <c r="I632" s="61" t="s">
        <v>105</v>
      </c>
      <c r="J632" s="63" t="s">
        <v>934</v>
      </c>
      <c r="K632" s="29">
        <v>43686.0</v>
      </c>
      <c r="L632" s="462">
        <v>43738.0</v>
      </c>
      <c r="M632" s="462">
        <v>43683.0</v>
      </c>
      <c r="N632" s="306" t="s">
        <v>1469</v>
      </c>
      <c r="O632" s="306"/>
      <c r="P632" s="462">
        <v>43739.0</v>
      </c>
      <c r="Q632" s="298"/>
      <c r="R632" s="298"/>
      <c r="S632" s="299"/>
      <c r="T632" s="300">
        <v>43679.0</v>
      </c>
      <c r="U632" s="299"/>
      <c r="V632" s="299"/>
      <c r="W632" s="298" t="s">
        <v>50</v>
      </c>
      <c r="X632" s="298" t="s">
        <v>285</v>
      </c>
      <c r="Y632" s="298" t="s">
        <v>51</v>
      </c>
      <c r="Z632" s="298" t="s">
        <v>52</v>
      </c>
      <c r="AA632" s="298" t="s">
        <v>507</v>
      </c>
    </row>
    <row r="633" ht="42.75" customHeight="1">
      <c r="A633" s="69">
        <v>43678.0</v>
      </c>
      <c r="B633" s="70" t="s">
        <v>906</v>
      </c>
      <c r="C633" s="21" t="s">
        <v>1454</v>
      </c>
      <c r="D633" s="21" t="s">
        <v>1468</v>
      </c>
      <c r="E633" s="524" t="s">
        <v>1471</v>
      </c>
      <c r="F633" s="24">
        <v>9.0</v>
      </c>
      <c r="G633" s="48">
        <v>120.0</v>
      </c>
      <c r="H633" s="26">
        <v>1080.0</v>
      </c>
      <c r="I633" s="61" t="s">
        <v>105</v>
      </c>
      <c r="J633" s="63" t="s">
        <v>934</v>
      </c>
      <c r="K633" s="29">
        <v>43686.0</v>
      </c>
      <c r="L633" s="462">
        <v>43738.0</v>
      </c>
      <c r="M633" s="462">
        <v>43683.0</v>
      </c>
      <c r="N633" s="306" t="s">
        <v>1469</v>
      </c>
      <c r="O633" s="306"/>
      <c r="P633" s="462">
        <v>43739.0</v>
      </c>
      <c r="Q633" s="298"/>
      <c r="R633" s="298"/>
      <c r="S633" s="299"/>
      <c r="T633" s="300">
        <v>43679.0</v>
      </c>
      <c r="U633" s="299"/>
      <c r="V633" s="299"/>
      <c r="W633" s="298" t="s">
        <v>50</v>
      </c>
      <c r="X633" s="298" t="s">
        <v>285</v>
      </c>
      <c r="Y633" s="298" t="s">
        <v>51</v>
      </c>
      <c r="Z633" s="298" t="s">
        <v>52</v>
      </c>
      <c r="AA633" s="298" t="s">
        <v>507</v>
      </c>
    </row>
    <row r="634" ht="42.75" customHeight="1">
      <c r="A634" s="69">
        <v>43678.0</v>
      </c>
      <c r="B634" s="23" t="s">
        <v>77</v>
      </c>
      <c r="C634" s="21">
        <v>605.0</v>
      </c>
      <c r="D634" s="21" t="s">
        <v>1472</v>
      </c>
      <c r="E634" s="525" t="s">
        <v>827</v>
      </c>
      <c r="F634" s="24">
        <v>20.0</v>
      </c>
      <c r="G634" s="48">
        <v>14.0</v>
      </c>
      <c r="H634" s="26">
        <v>280.0</v>
      </c>
      <c r="I634" s="61" t="s">
        <v>43</v>
      </c>
      <c r="J634" s="433" t="s">
        <v>936</v>
      </c>
      <c r="K634" s="29">
        <v>43700.0</v>
      </c>
      <c r="L634" s="462">
        <v>43708.0</v>
      </c>
      <c r="M634" s="462">
        <v>43692.0</v>
      </c>
      <c r="N634" s="306" t="s">
        <v>1246</v>
      </c>
      <c r="O634" s="306"/>
      <c r="P634" s="462">
        <v>43710.0</v>
      </c>
      <c r="Q634" s="298"/>
      <c r="R634" s="298"/>
      <c r="S634" s="299"/>
      <c r="T634" s="300">
        <v>43731.0</v>
      </c>
      <c r="U634" s="299"/>
      <c r="V634" s="299"/>
      <c r="W634" s="298" t="s">
        <v>50</v>
      </c>
      <c r="X634" s="298" t="s">
        <v>285</v>
      </c>
      <c r="Y634" s="298" t="s">
        <v>51</v>
      </c>
      <c r="Z634" s="298" t="s">
        <v>52</v>
      </c>
      <c r="AA634" s="298" t="s">
        <v>507</v>
      </c>
    </row>
    <row r="635" ht="42.75" customHeight="1">
      <c r="A635" s="69">
        <v>43678.0</v>
      </c>
      <c r="B635" s="70" t="s">
        <v>119</v>
      </c>
      <c r="C635" s="21" t="s">
        <v>1473</v>
      </c>
      <c r="D635" s="21" t="s">
        <v>1474</v>
      </c>
      <c r="E635" s="150" t="s">
        <v>165</v>
      </c>
      <c r="F635" s="24">
        <v>100.0</v>
      </c>
      <c r="G635" s="48">
        <v>105.0</v>
      </c>
      <c r="H635" s="60">
        <v>10500.0</v>
      </c>
      <c r="I635" s="61" t="s">
        <v>248</v>
      </c>
      <c r="J635" s="82" t="s">
        <v>122</v>
      </c>
      <c r="K635" s="84">
        <v>43732.0</v>
      </c>
      <c r="L635" s="305">
        <v>43769.0</v>
      </c>
      <c r="M635" s="462">
        <v>43728.0</v>
      </c>
      <c r="N635" s="306" t="s">
        <v>1450</v>
      </c>
      <c r="O635" s="306">
        <v>537608.0</v>
      </c>
      <c r="P635" s="306"/>
      <c r="Q635" s="298"/>
      <c r="R635" s="298"/>
      <c r="S635" s="299"/>
      <c r="T635" s="300">
        <v>43726.0</v>
      </c>
      <c r="U635" s="299">
        <f>10483.53*30.92</f>
        <v>324150.7476</v>
      </c>
      <c r="V635" s="299">
        <f>(10500-10483.53)*30.92</f>
        <v>509.2524</v>
      </c>
      <c r="W635" s="298" t="s">
        <v>50</v>
      </c>
      <c r="X635" s="298" t="s">
        <v>285</v>
      </c>
      <c r="Y635" s="298" t="s">
        <v>51</v>
      </c>
      <c r="Z635" s="298" t="s">
        <v>52</v>
      </c>
      <c r="AA635" s="298" t="s">
        <v>1133</v>
      </c>
    </row>
    <row r="636" ht="42.75" customHeight="1">
      <c r="A636" s="69">
        <v>43678.0</v>
      </c>
      <c r="B636" s="70" t="s">
        <v>1085</v>
      </c>
      <c r="C636" s="21" t="s">
        <v>1475</v>
      </c>
      <c r="D636" s="21" t="s">
        <v>1476</v>
      </c>
      <c r="E636" s="32" t="s">
        <v>1088</v>
      </c>
      <c r="F636" s="24">
        <v>1.0</v>
      </c>
      <c r="G636" s="48">
        <v>155.4</v>
      </c>
      <c r="H636" s="60">
        <v>155.4</v>
      </c>
      <c r="I636" s="61" t="s">
        <v>248</v>
      </c>
      <c r="J636" s="161" t="s">
        <v>1164</v>
      </c>
      <c r="K636" s="29">
        <v>43683.0</v>
      </c>
      <c r="L636" s="306"/>
      <c r="M636" s="306"/>
      <c r="N636" s="306"/>
      <c r="O636" s="306"/>
      <c r="P636" s="306"/>
      <c r="Q636" s="298"/>
      <c r="R636" s="298"/>
      <c r="S636" s="299"/>
      <c r="T636" s="300">
        <v>43739.0</v>
      </c>
      <c r="U636" s="299">
        <v>14645.0</v>
      </c>
      <c r="V636" s="299">
        <v>15.0</v>
      </c>
      <c r="W636" s="298" t="s">
        <v>50</v>
      </c>
      <c r="X636" s="298" t="s">
        <v>285</v>
      </c>
      <c r="Y636" s="298" t="s">
        <v>51</v>
      </c>
      <c r="Z636" s="298" t="s">
        <v>377</v>
      </c>
      <c r="AA636" s="298" t="s">
        <v>507</v>
      </c>
    </row>
    <row r="637" ht="42.75" customHeight="1">
      <c r="A637" s="69">
        <v>43682.0</v>
      </c>
      <c r="B637" s="21" t="s">
        <v>1251</v>
      </c>
      <c r="C637" s="21" t="s">
        <v>1354</v>
      </c>
      <c r="D637" s="493" t="s">
        <v>1477</v>
      </c>
      <c r="E637" s="32" t="s">
        <v>347</v>
      </c>
      <c r="F637" s="24">
        <v>1.0</v>
      </c>
      <c r="G637" s="48">
        <v>442.0</v>
      </c>
      <c r="H637" s="26">
        <v>442.0</v>
      </c>
      <c r="I637" s="87" t="s">
        <v>105</v>
      </c>
      <c r="J637" s="63" t="s">
        <v>534</v>
      </c>
      <c r="K637" s="30">
        <v>43684.0</v>
      </c>
      <c r="L637" s="462">
        <v>43708.0</v>
      </c>
      <c r="M637" s="462">
        <v>43693.0</v>
      </c>
      <c r="N637" s="306" t="s">
        <v>1478</v>
      </c>
      <c r="O637" s="306">
        <v>11945.0</v>
      </c>
      <c r="P637" s="462">
        <v>43710.0</v>
      </c>
      <c r="Q637" s="298"/>
      <c r="R637" s="298"/>
      <c r="S637" s="299"/>
      <c r="T637" s="29">
        <v>43789.0</v>
      </c>
      <c r="U637" s="299">
        <f>11359.43*30.43</f>
        <v>345667.4549</v>
      </c>
      <c r="V637" s="299">
        <f>(11418-10359.43)*30.43</f>
        <v>32212.2851</v>
      </c>
      <c r="W637" s="298" t="s">
        <v>50</v>
      </c>
      <c r="X637" s="298" t="s">
        <v>285</v>
      </c>
      <c r="Y637" s="298" t="s">
        <v>51</v>
      </c>
      <c r="Z637" s="298" t="s">
        <v>52</v>
      </c>
      <c r="AA637" s="298" t="s">
        <v>507</v>
      </c>
    </row>
    <row r="638" ht="42.0" customHeight="1">
      <c r="A638" s="69">
        <v>43683.0</v>
      </c>
      <c r="B638" s="23" t="s">
        <v>1479</v>
      </c>
      <c r="C638" s="21" t="s">
        <v>1480</v>
      </c>
      <c r="D638" s="21" t="s">
        <v>1481</v>
      </c>
      <c r="E638" s="32" t="s">
        <v>1482</v>
      </c>
      <c r="F638" s="24">
        <v>1.0</v>
      </c>
      <c r="G638" s="48">
        <v>1888.53</v>
      </c>
      <c r="H638" s="526">
        <v>1888.53</v>
      </c>
      <c r="I638" s="61" t="s">
        <v>105</v>
      </c>
      <c r="J638" s="63" t="s">
        <v>1483</v>
      </c>
      <c r="K638" s="50" t="s">
        <v>1484</v>
      </c>
      <c r="L638" s="52"/>
      <c r="M638" s="53"/>
      <c r="N638" s="53"/>
      <c r="O638" s="53"/>
      <c r="P638" s="53"/>
      <c r="Q638" s="54"/>
      <c r="R638" s="54"/>
      <c r="S638" s="55"/>
      <c r="T638" s="56">
        <v>43705.0</v>
      </c>
      <c r="U638" s="55">
        <v>59611.0</v>
      </c>
      <c r="V638" s="55">
        <v>10.0</v>
      </c>
      <c r="W638" s="54" t="s">
        <v>50</v>
      </c>
      <c r="X638" s="54" t="s">
        <v>285</v>
      </c>
      <c r="Y638" s="54" t="s">
        <v>51</v>
      </c>
      <c r="Z638" s="54" t="s">
        <v>377</v>
      </c>
      <c r="AA638" s="54"/>
    </row>
    <row r="639" ht="42.75" customHeight="1">
      <c r="A639" s="69">
        <v>43685.0</v>
      </c>
      <c r="B639" s="23" t="s">
        <v>400</v>
      </c>
      <c r="C639" s="21" t="s">
        <v>1485</v>
      </c>
      <c r="D639" s="21" t="s">
        <v>1486</v>
      </c>
      <c r="E639" s="32" t="s">
        <v>403</v>
      </c>
      <c r="F639" s="24">
        <v>5.0</v>
      </c>
      <c r="G639" s="48">
        <v>231.0</v>
      </c>
      <c r="H639" s="26">
        <v>1155.0</v>
      </c>
      <c r="I639" s="61" t="s">
        <v>303</v>
      </c>
      <c r="J639" s="50" t="s">
        <v>404</v>
      </c>
      <c r="K639" s="527" t="s">
        <v>1487</v>
      </c>
      <c r="L639" s="305">
        <v>43799.0</v>
      </c>
      <c r="M639" s="462">
        <v>43740.0</v>
      </c>
      <c r="N639" s="306" t="s">
        <v>1488</v>
      </c>
      <c r="O639" s="306">
        <v>27641.0</v>
      </c>
      <c r="P639" s="306"/>
      <c r="Q639" s="298"/>
      <c r="R639" s="298"/>
      <c r="S639" s="299"/>
      <c r="T639" s="300">
        <v>43717.0</v>
      </c>
      <c r="U639" s="299"/>
      <c r="V639" s="299"/>
      <c r="W639" s="298" t="s">
        <v>50</v>
      </c>
      <c r="X639" s="298" t="s">
        <v>285</v>
      </c>
      <c r="Y639" s="298" t="s">
        <v>51</v>
      </c>
      <c r="Z639" s="298" t="s">
        <v>52</v>
      </c>
      <c r="AA639" s="298" t="s">
        <v>763</v>
      </c>
    </row>
    <row r="640" ht="42.75" customHeight="1">
      <c r="A640" s="69">
        <v>43685.0</v>
      </c>
      <c r="B640" s="23" t="s">
        <v>400</v>
      </c>
      <c r="C640" s="21" t="s">
        <v>1485</v>
      </c>
      <c r="D640" s="21" t="s">
        <v>1489</v>
      </c>
      <c r="E640" s="32" t="s">
        <v>700</v>
      </c>
      <c r="F640" s="24">
        <v>1.0</v>
      </c>
      <c r="G640" s="48">
        <v>25.0</v>
      </c>
      <c r="H640" s="60">
        <v>25.0</v>
      </c>
      <c r="I640" s="61" t="s">
        <v>303</v>
      </c>
      <c r="J640" s="63" t="s">
        <v>404</v>
      </c>
      <c r="K640" s="527" t="s">
        <v>1490</v>
      </c>
      <c r="L640" s="52"/>
      <c r="M640" s="53"/>
      <c r="N640" s="53"/>
      <c r="O640" s="53"/>
      <c r="P640" s="53"/>
      <c r="Q640" s="54"/>
      <c r="R640" s="54"/>
      <c r="S640" s="55"/>
      <c r="T640" s="56">
        <v>43717.0</v>
      </c>
      <c r="U640" s="55"/>
      <c r="V640" s="55"/>
      <c r="W640" s="54" t="s">
        <v>50</v>
      </c>
      <c r="X640" s="54" t="s">
        <v>285</v>
      </c>
      <c r="Y640" s="54" t="s">
        <v>51</v>
      </c>
      <c r="Z640" s="54" t="s">
        <v>52</v>
      </c>
      <c r="AA640" s="54"/>
    </row>
    <row r="641" ht="42.75" customHeight="1">
      <c r="A641" s="69">
        <v>43689.0</v>
      </c>
      <c r="B641" s="70" t="s">
        <v>906</v>
      </c>
      <c r="C641" s="21" t="s">
        <v>1454</v>
      </c>
      <c r="D641" s="21" t="s">
        <v>1491</v>
      </c>
      <c r="E641" s="523" t="s">
        <v>1492</v>
      </c>
      <c r="F641" s="24">
        <v>14.0</v>
      </c>
      <c r="G641" s="48">
        <v>212.0</v>
      </c>
      <c r="H641" s="26">
        <v>2968.0</v>
      </c>
      <c r="I641" s="61" t="s">
        <v>105</v>
      </c>
      <c r="J641" s="63" t="s">
        <v>934</v>
      </c>
      <c r="K641" s="528">
        <v>43696.0</v>
      </c>
      <c r="L641" s="462">
        <v>43738.0</v>
      </c>
      <c r="M641" s="462">
        <v>43692.0</v>
      </c>
      <c r="N641" s="306" t="s">
        <v>1493</v>
      </c>
      <c r="O641" s="306">
        <v>83521.0</v>
      </c>
      <c r="P641" s="462">
        <v>43739.0</v>
      </c>
      <c r="Q641" s="298"/>
      <c r="R641" s="298"/>
      <c r="S641" s="299"/>
      <c r="T641" s="300">
        <v>43690.0</v>
      </c>
      <c r="U641" s="299">
        <f>2957*31.38</f>
        <v>92790.66</v>
      </c>
      <c r="V641" s="299">
        <f>(2968-2957)*31.38</f>
        <v>345.18</v>
      </c>
      <c r="W641" s="298" t="s">
        <v>50</v>
      </c>
      <c r="X641" s="298" t="s">
        <v>285</v>
      </c>
      <c r="Y641" s="298" t="s">
        <v>51</v>
      </c>
      <c r="Z641" s="298" t="s">
        <v>52</v>
      </c>
      <c r="AA641" s="298" t="s">
        <v>507</v>
      </c>
    </row>
    <row r="642" ht="42.75" customHeight="1">
      <c r="A642" s="69">
        <v>43690.0</v>
      </c>
      <c r="B642" s="70" t="s">
        <v>1494</v>
      </c>
      <c r="C642" s="21"/>
      <c r="D642" s="21" t="s">
        <v>1495</v>
      </c>
      <c r="E642" s="529" t="s">
        <v>1496</v>
      </c>
      <c r="F642" s="24">
        <v>13.0</v>
      </c>
      <c r="G642" s="48">
        <v>12.0</v>
      </c>
      <c r="H642" s="60">
        <v>156.0</v>
      </c>
      <c r="I642" s="87" t="s">
        <v>144</v>
      </c>
      <c r="J642" s="58" t="s">
        <v>1497</v>
      </c>
      <c r="K642" s="30">
        <v>43718.0</v>
      </c>
      <c r="L642" s="462">
        <v>43703.0</v>
      </c>
      <c r="M642" s="462">
        <v>43705.0</v>
      </c>
      <c r="N642" s="306" t="s">
        <v>1498</v>
      </c>
      <c r="O642" s="306">
        <v>4368.0</v>
      </c>
      <c r="P642" s="462">
        <v>43703.0</v>
      </c>
      <c r="Q642" s="298"/>
      <c r="R642" s="298"/>
      <c r="S642" s="299"/>
      <c r="T642" s="300">
        <v>43718.0</v>
      </c>
      <c r="U642" s="299">
        <f>5589.58*31.17</f>
        <v>174227.2086</v>
      </c>
      <c r="V642" s="299">
        <f>(5607-5589.58)*31.17</f>
        <v>542.9814</v>
      </c>
      <c r="W642" s="298" t="s">
        <v>50</v>
      </c>
      <c r="X642" s="298" t="s">
        <v>285</v>
      </c>
      <c r="Y642" s="298" t="s">
        <v>51</v>
      </c>
      <c r="Z642" s="298" t="s">
        <v>52</v>
      </c>
      <c r="AA642" s="298" t="s">
        <v>1133</v>
      </c>
    </row>
    <row r="643" ht="42.75" customHeight="1">
      <c r="A643" s="69">
        <v>43690.0</v>
      </c>
      <c r="B643" s="70" t="s">
        <v>1494</v>
      </c>
      <c r="C643" s="21"/>
      <c r="D643" s="21" t="s">
        <v>1495</v>
      </c>
      <c r="E643" s="32" t="s">
        <v>1499</v>
      </c>
      <c r="F643" s="24">
        <v>23.0</v>
      </c>
      <c r="G643" s="48">
        <v>217.0</v>
      </c>
      <c r="H643" s="60">
        <v>4991.0</v>
      </c>
      <c r="I643" s="61" t="s">
        <v>144</v>
      </c>
      <c r="J643" s="58" t="s">
        <v>1497</v>
      </c>
      <c r="K643" s="30">
        <v>43718.0</v>
      </c>
      <c r="L643" s="305">
        <v>43769.0</v>
      </c>
      <c r="M643" s="462">
        <v>43713.0</v>
      </c>
      <c r="N643" s="306" t="s">
        <v>1500</v>
      </c>
      <c r="O643" s="306"/>
      <c r="P643" s="306"/>
      <c r="Q643" s="298"/>
      <c r="R643" s="298"/>
      <c r="S643" s="299"/>
      <c r="T643" s="300">
        <v>43718.0</v>
      </c>
      <c r="U643" s="299"/>
      <c r="V643" s="299"/>
      <c r="W643" s="298" t="s">
        <v>50</v>
      </c>
      <c r="X643" s="298" t="s">
        <v>285</v>
      </c>
      <c r="Y643" s="298" t="s">
        <v>51</v>
      </c>
      <c r="Z643" s="298" t="s">
        <v>52</v>
      </c>
      <c r="AA643" s="298" t="s">
        <v>1133</v>
      </c>
    </row>
    <row r="644" ht="60.75" customHeight="1">
      <c r="A644" s="69">
        <v>43690.0</v>
      </c>
      <c r="B644" s="70" t="s">
        <v>1494</v>
      </c>
      <c r="C644" s="21"/>
      <c r="D644" s="21" t="s">
        <v>1501</v>
      </c>
      <c r="E644" s="32" t="s">
        <v>1502</v>
      </c>
      <c r="F644" s="24">
        <v>23.0</v>
      </c>
      <c r="G644" s="48">
        <v>20.0</v>
      </c>
      <c r="H644" s="60">
        <v>460.0</v>
      </c>
      <c r="I644" s="61" t="s">
        <v>144</v>
      </c>
      <c r="J644" s="58" t="s">
        <v>1497</v>
      </c>
      <c r="K644" s="205">
        <v>43720.0</v>
      </c>
      <c r="L644" s="305">
        <v>43769.0</v>
      </c>
      <c r="M644" s="462">
        <v>43713.0</v>
      </c>
      <c r="N644" s="306" t="s">
        <v>1500</v>
      </c>
      <c r="O644" s="306">
        <v>159319.0</v>
      </c>
      <c r="P644" s="306"/>
      <c r="Q644" s="298"/>
      <c r="R644" s="298"/>
      <c r="S644" s="299"/>
      <c r="T644" s="300">
        <v>43718.0</v>
      </c>
      <c r="U644" s="299"/>
      <c r="V644" s="299"/>
      <c r="W644" s="298" t="s">
        <v>50</v>
      </c>
      <c r="X644" s="298" t="s">
        <v>285</v>
      </c>
      <c r="Y644" s="298" t="s">
        <v>51</v>
      </c>
      <c r="Z644" s="298" t="s">
        <v>52</v>
      </c>
      <c r="AA644" s="298" t="s">
        <v>1133</v>
      </c>
    </row>
    <row r="645" ht="42.75" customHeight="1">
      <c r="A645" s="69">
        <v>43690.0</v>
      </c>
      <c r="B645" s="70" t="s">
        <v>223</v>
      </c>
      <c r="C645" s="21" t="s">
        <v>1503</v>
      </c>
      <c r="D645" s="21" t="s">
        <v>1504</v>
      </c>
      <c r="E645" s="32" t="s">
        <v>1505</v>
      </c>
      <c r="F645" s="24">
        <v>7.0</v>
      </c>
      <c r="G645" s="48">
        <v>7.35</v>
      </c>
      <c r="H645" s="60">
        <v>51.449999999999996</v>
      </c>
      <c r="I645" s="61" t="s">
        <v>144</v>
      </c>
      <c r="J645" s="63" t="s">
        <v>90</v>
      </c>
      <c r="K645" s="205">
        <v>43697.0</v>
      </c>
      <c r="L645" s="462">
        <v>43738.0</v>
      </c>
      <c r="M645" s="462">
        <v>43696.0</v>
      </c>
      <c r="N645" s="306" t="s">
        <v>1506</v>
      </c>
      <c r="O645" s="306">
        <v>25023.0</v>
      </c>
      <c r="P645" s="462">
        <v>43739.0</v>
      </c>
      <c r="Q645" s="298"/>
      <c r="R645" s="298"/>
      <c r="S645" s="299"/>
      <c r="T645" s="300">
        <v>43718.0</v>
      </c>
      <c r="U645" s="299"/>
      <c r="V645" s="299"/>
      <c r="W645" s="298" t="s">
        <v>50</v>
      </c>
      <c r="X645" s="298" t="s">
        <v>285</v>
      </c>
      <c r="Y645" s="298" t="s">
        <v>51</v>
      </c>
      <c r="Z645" s="298" t="s">
        <v>377</v>
      </c>
      <c r="AA645" s="298" t="s">
        <v>507</v>
      </c>
    </row>
    <row r="646" ht="42.75" customHeight="1">
      <c r="A646" s="69">
        <v>43690.0</v>
      </c>
      <c r="B646" s="70" t="s">
        <v>223</v>
      </c>
      <c r="C646" s="21" t="s">
        <v>1503</v>
      </c>
      <c r="D646" s="21" t="s">
        <v>1504</v>
      </c>
      <c r="E646" s="32" t="s">
        <v>1427</v>
      </c>
      <c r="F646" s="24">
        <v>6.0</v>
      </c>
      <c r="G646" s="48">
        <v>148.05</v>
      </c>
      <c r="H646" s="60">
        <v>888.3000000000001</v>
      </c>
      <c r="I646" s="61" t="s">
        <v>144</v>
      </c>
      <c r="J646" s="63" t="s">
        <v>90</v>
      </c>
      <c r="K646" s="205">
        <v>43697.0</v>
      </c>
      <c r="L646" s="462">
        <v>43738.0</v>
      </c>
      <c r="M646" s="462">
        <v>43696.0</v>
      </c>
      <c r="N646" s="306" t="s">
        <v>1506</v>
      </c>
      <c r="O646" s="306"/>
      <c r="P646" s="462">
        <v>43739.0</v>
      </c>
      <c r="Q646" s="298"/>
      <c r="R646" s="298"/>
      <c r="S646" s="299"/>
      <c r="T646" s="300">
        <v>43718.0</v>
      </c>
      <c r="U646" s="299"/>
      <c r="V646" s="299"/>
      <c r="W646" s="298" t="s">
        <v>50</v>
      </c>
      <c r="X646" s="298" t="s">
        <v>285</v>
      </c>
      <c r="Y646" s="298" t="s">
        <v>51</v>
      </c>
      <c r="Z646" s="298" t="s">
        <v>377</v>
      </c>
      <c r="AA646" s="298" t="s">
        <v>507</v>
      </c>
    </row>
    <row r="647" ht="42.75" customHeight="1">
      <c r="A647" s="69">
        <v>43691.0</v>
      </c>
      <c r="B647" s="70" t="s">
        <v>621</v>
      </c>
      <c r="C647" s="21"/>
      <c r="D647" s="21" t="s">
        <v>1507</v>
      </c>
      <c r="E647" s="23" t="s">
        <v>1508</v>
      </c>
      <c r="F647" s="82">
        <v>1.0</v>
      </c>
      <c r="G647" s="48">
        <v>378.0</v>
      </c>
      <c r="H647" s="60">
        <v>378.0</v>
      </c>
      <c r="I647" s="61" t="s">
        <v>43</v>
      </c>
      <c r="J647" s="63" t="s">
        <v>90</v>
      </c>
      <c r="K647" s="29">
        <v>43696.0</v>
      </c>
      <c r="L647" s="462">
        <v>43738.0</v>
      </c>
      <c r="M647" s="462">
        <v>43693.0</v>
      </c>
      <c r="N647" s="306" t="s">
        <v>1509</v>
      </c>
      <c r="O647" s="306">
        <v>11004.0</v>
      </c>
      <c r="P647" s="462">
        <v>43739.0</v>
      </c>
      <c r="Q647" s="298"/>
      <c r="R647" s="298"/>
      <c r="S647" s="299"/>
      <c r="T647" s="300">
        <v>43699.0</v>
      </c>
      <c r="U647" s="299"/>
      <c r="V647" s="299"/>
      <c r="W647" s="298" t="s">
        <v>50</v>
      </c>
      <c r="X647" s="298" t="s">
        <v>285</v>
      </c>
      <c r="Y647" s="298" t="s">
        <v>51</v>
      </c>
      <c r="Z647" s="298" t="s">
        <v>377</v>
      </c>
      <c r="AA647" s="298" t="s">
        <v>507</v>
      </c>
    </row>
    <row r="648" ht="42.75" customHeight="1">
      <c r="A648" s="69">
        <v>43691.0</v>
      </c>
      <c r="B648" s="70" t="s">
        <v>229</v>
      </c>
      <c r="C648" s="21"/>
      <c r="D648" s="21" t="s">
        <v>1510</v>
      </c>
      <c r="E648" s="32" t="s">
        <v>1511</v>
      </c>
      <c r="F648" s="24">
        <v>24.0</v>
      </c>
      <c r="G648" s="48">
        <v>407.4</v>
      </c>
      <c r="H648" s="60">
        <v>9777.599999999999</v>
      </c>
      <c r="I648" s="61" t="s">
        <v>171</v>
      </c>
      <c r="J648" s="63" t="s">
        <v>90</v>
      </c>
      <c r="K648" s="29">
        <v>43724.0</v>
      </c>
      <c r="L648" s="305">
        <v>43769.0</v>
      </c>
      <c r="M648" s="462">
        <v>43720.0</v>
      </c>
      <c r="N648" s="306" t="s">
        <v>1512</v>
      </c>
      <c r="O648" s="306">
        <v>279294.0</v>
      </c>
      <c r="P648" s="306"/>
      <c r="Q648" s="298"/>
      <c r="R648" s="298"/>
      <c r="S648" s="299"/>
      <c r="T648" s="300">
        <v>43741.0</v>
      </c>
      <c r="U648" s="299">
        <v>303467.0</v>
      </c>
      <c r="V648" s="299">
        <v>30.0</v>
      </c>
      <c r="W648" s="298" t="s">
        <v>50</v>
      </c>
      <c r="X648" s="298" t="s">
        <v>285</v>
      </c>
      <c r="Y648" s="298" t="s">
        <v>51</v>
      </c>
      <c r="Z648" s="298" t="s">
        <v>377</v>
      </c>
      <c r="AA648" s="298" t="s">
        <v>1133</v>
      </c>
    </row>
    <row r="649" ht="42.75" customHeight="1">
      <c r="A649" s="69">
        <v>43691.0</v>
      </c>
      <c r="B649" s="70" t="s">
        <v>1000</v>
      </c>
      <c r="C649" s="21" t="s">
        <v>1513</v>
      </c>
      <c r="D649" s="21" t="s">
        <v>1514</v>
      </c>
      <c r="E649" s="23" t="s">
        <v>1515</v>
      </c>
      <c r="F649" s="24">
        <v>1.0</v>
      </c>
      <c r="G649" s="48">
        <v>120.0</v>
      </c>
      <c r="H649" s="60">
        <v>120.0</v>
      </c>
      <c r="I649" s="61" t="s">
        <v>105</v>
      </c>
      <c r="J649" s="530" t="s">
        <v>1296</v>
      </c>
      <c r="K649" s="300">
        <v>43703.0</v>
      </c>
      <c r="L649" s="305">
        <v>43769.0</v>
      </c>
      <c r="M649" s="462">
        <v>43693.0</v>
      </c>
      <c r="N649" s="306" t="s">
        <v>1516</v>
      </c>
      <c r="O649" s="306">
        <v>3320.0</v>
      </c>
      <c r="P649" s="306"/>
      <c r="Q649" s="298"/>
      <c r="R649" s="298"/>
      <c r="S649" s="299"/>
      <c r="T649" s="300">
        <v>43734.0</v>
      </c>
      <c r="U649" s="299">
        <f>1212*30.97</f>
        <v>37535.64</v>
      </c>
      <c r="V649" s="299">
        <v>0.0</v>
      </c>
      <c r="W649" s="298" t="s">
        <v>50</v>
      </c>
      <c r="X649" s="298" t="s">
        <v>285</v>
      </c>
      <c r="Y649" s="298" t="s">
        <v>51</v>
      </c>
      <c r="Z649" s="298" t="s">
        <v>52</v>
      </c>
      <c r="AA649" s="298" t="s">
        <v>507</v>
      </c>
    </row>
    <row r="650" ht="42.75" customHeight="1">
      <c r="A650" s="69">
        <v>43692.0</v>
      </c>
      <c r="B650" s="70" t="s">
        <v>1517</v>
      </c>
      <c r="C650" s="21" t="s">
        <v>1441</v>
      </c>
      <c r="D650" s="493" t="s">
        <v>1518</v>
      </c>
      <c r="E650" s="23" t="s">
        <v>347</v>
      </c>
      <c r="F650" s="24">
        <v>1.0</v>
      </c>
      <c r="G650" s="25">
        <v>182.0</v>
      </c>
      <c r="H650" s="60">
        <v>182.0</v>
      </c>
      <c r="I650" s="61" t="s">
        <v>105</v>
      </c>
      <c r="J650" s="63" t="s">
        <v>134</v>
      </c>
      <c r="K650" s="29">
        <v>43692.0</v>
      </c>
      <c r="L650" s="462">
        <v>43738.0</v>
      </c>
      <c r="M650" s="462">
        <v>43700.0</v>
      </c>
      <c r="N650" s="306" t="s">
        <v>1519</v>
      </c>
      <c r="O650" s="306">
        <v>5455.0</v>
      </c>
      <c r="P650" s="462">
        <v>43710.0</v>
      </c>
      <c r="Q650" s="298"/>
      <c r="R650" s="298"/>
      <c r="S650" s="299"/>
      <c r="T650" s="300">
        <v>43734.0</v>
      </c>
      <c r="U650" s="299"/>
      <c r="V650" s="299"/>
      <c r="W650" s="298" t="s">
        <v>50</v>
      </c>
      <c r="X650" s="298" t="s">
        <v>285</v>
      </c>
      <c r="Y650" s="298" t="s">
        <v>51</v>
      </c>
      <c r="Z650" s="298" t="s">
        <v>52</v>
      </c>
      <c r="AA650" s="298" t="s">
        <v>507</v>
      </c>
    </row>
    <row r="651" ht="42.75" customHeight="1">
      <c r="A651" s="69">
        <v>43692.0</v>
      </c>
      <c r="B651" s="70" t="s">
        <v>906</v>
      </c>
      <c r="C651" s="21" t="s">
        <v>1454</v>
      </c>
      <c r="D651" s="21" t="s">
        <v>1520</v>
      </c>
      <c r="E651" s="522" t="s">
        <v>1458</v>
      </c>
      <c r="F651" s="24">
        <v>47.0</v>
      </c>
      <c r="G651" s="48">
        <v>5.8</v>
      </c>
      <c r="H651" s="60">
        <v>272.59999999999997</v>
      </c>
      <c r="I651" s="61" t="s">
        <v>105</v>
      </c>
      <c r="J651" s="63"/>
      <c r="K651" s="29">
        <v>43711.0</v>
      </c>
      <c r="L651" s="305">
        <v>43769.0</v>
      </c>
      <c r="M651" s="462">
        <v>43706.0</v>
      </c>
      <c r="N651" s="306" t="s">
        <v>1521</v>
      </c>
      <c r="O651" s="306">
        <v>126098.0</v>
      </c>
      <c r="P651" s="306"/>
      <c r="Q651" s="298"/>
      <c r="R651" s="298"/>
      <c r="S651" s="299"/>
      <c r="T651" s="300">
        <v>43699.0</v>
      </c>
      <c r="U651" s="299">
        <f>4495.21*31.29</f>
        <v>140655.1209</v>
      </c>
      <c r="V651" s="299">
        <f>(4512.6-4495.21)*31.29</f>
        <v>544.1331</v>
      </c>
      <c r="W651" s="298" t="s">
        <v>50</v>
      </c>
      <c r="X651" s="298" t="s">
        <v>285</v>
      </c>
      <c r="Y651" s="298" t="s">
        <v>51</v>
      </c>
      <c r="Z651" s="298" t="s">
        <v>52</v>
      </c>
      <c r="AA651" s="298" t="s">
        <v>1133</v>
      </c>
    </row>
    <row r="652" ht="42.75" customHeight="1">
      <c r="A652" s="69">
        <v>43692.0</v>
      </c>
      <c r="B652" s="70" t="s">
        <v>906</v>
      </c>
      <c r="C652" s="21" t="s">
        <v>1454</v>
      </c>
      <c r="D652" s="21" t="s">
        <v>1520</v>
      </c>
      <c r="E652" s="522" t="s">
        <v>1456</v>
      </c>
      <c r="F652" s="24">
        <v>20.0</v>
      </c>
      <c r="G652" s="48">
        <v>212.0</v>
      </c>
      <c r="H652" s="60">
        <v>4240.0</v>
      </c>
      <c r="I652" s="61" t="s">
        <v>105</v>
      </c>
      <c r="J652" s="63"/>
      <c r="K652" s="29">
        <v>43711.0</v>
      </c>
      <c r="L652" s="305">
        <v>43769.0</v>
      </c>
      <c r="M652" s="462">
        <v>43706.0</v>
      </c>
      <c r="N652" s="306" t="s">
        <v>1521</v>
      </c>
      <c r="O652" s="306"/>
      <c r="P652" s="306"/>
      <c r="Q652" s="298"/>
      <c r="R652" s="298"/>
      <c r="S652" s="299"/>
      <c r="T652" s="300">
        <v>43699.0</v>
      </c>
      <c r="U652" s="299"/>
      <c r="V652" s="299"/>
      <c r="W652" s="298" t="s">
        <v>50</v>
      </c>
      <c r="X652" s="298" t="s">
        <v>285</v>
      </c>
      <c r="Y652" s="298" t="s">
        <v>51</v>
      </c>
      <c r="Z652" s="298" t="s">
        <v>52</v>
      </c>
      <c r="AA652" s="298" t="s">
        <v>1133</v>
      </c>
    </row>
    <row r="653" ht="15.75" customHeight="1">
      <c r="A653" s="69">
        <v>43692.0</v>
      </c>
      <c r="B653" s="144" t="s">
        <v>119</v>
      </c>
      <c r="C653" s="21"/>
      <c r="D653" s="71" t="s">
        <v>1522</v>
      </c>
      <c r="E653" s="23" t="s">
        <v>1523</v>
      </c>
      <c r="F653" s="24">
        <v>3.0</v>
      </c>
      <c r="G653" s="48">
        <v>415.0</v>
      </c>
      <c r="H653" s="60">
        <v>1245.0</v>
      </c>
      <c r="I653" s="61" t="s">
        <v>144</v>
      </c>
      <c r="J653" s="82" t="s">
        <v>122</v>
      </c>
      <c r="K653" s="30">
        <v>43747.0</v>
      </c>
      <c r="L653" s="462">
        <v>43774.0</v>
      </c>
      <c r="M653" s="462">
        <v>43742.0</v>
      </c>
      <c r="N653" s="306" t="s">
        <v>1524</v>
      </c>
      <c r="O653" s="306">
        <v>28693.0</v>
      </c>
      <c r="P653" s="306"/>
      <c r="Q653" s="298"/>
      <c r="R653" s="298"/>
      <c r="S653" s="299"/>
      <c r="T653" s="300">
        <v>43700.0</v>
      </c>
      <c r="U653" s="299"/>
      <c r="V653" s="299"/>
      <c r="W653" s="298" t="s">
        <v>50</v>
      </c>
      <c r="X653" s="298" t="s">
        <v>285</v>
      </c>
      <c r="Y653" s="298" t="s">
        <v>51</v>
      </c>
      <c r="Z653" s="298" t="s">
        <v>52</v>
      </c>
      <c r="AA653" s="298" t="s">
        <v>763</v>
      </c>
    </row>
    <row r="654" ht="15.75" customHeight="1">
      <c r="A654" s="69">
        <v>43692.0</v>
      </c>
      <c r="B654" s="144" t="s">
        <v>119</v>
      </c>
      <c r="C654" s="21"/>
      <c r="D654" s="112" t="s">
        <v>1525</v>
      </c>
      <c r="E654" s="23" t="s">
        <v>1526</v>
      </c>
      <c r="F654" s="24">
        <v>3.0</v>
      </c>
      <c r="G654" s="48">
        <v>0.0</v>
      </c>
      <c r="H654" s="60">
        <v>0.0</v>
      </c>
      <c r="I654" s="61" t="s">
        <v>144</v>
      </c>
      <c r="J654" s="82" t="s">
        <v>122</v>
      </c>
      <c r="K654" s="30">
        <v>43747.0</v>
      </c>
      <c r="L654" s="306"/>
      <c r="M654" s="306"/>
      <c r="N654" s="306"/>
      <c r="O654" s="306"/>
      <c r="P654" s="306"/>
      <c r="Q654" s="298"/>
      <c r="R654" s="298"/>
      <c r="S654" s="299"/>
      <c r="T654" s="300">
        <v>43700.0</v>
      </c>
      <c r="U654" s="299">
        <f>1228.61*31.3</f>
        <v>38455.493</v>
      </c>
      <c r="V654" s="299">
        <f>(1245-1228.61)*31.3</f>
        <v>513.007</v>
      </c>
      <c r="W654" s="298" t="s">
        <v>50</v>
      </c>
      <c r="X654" s="298" t="s">
        <v>285</v>
      </c>
      <c r="Y654" s="298" t="s">
        <v>51</v>
      </c>
      <c r="Z654" s="298" t="s">
        <v>52</v>
      </c>
      <c r="AA654" s="298" t="s">
        <v>763</v>
      </c>
    </row>
    <row r="655" ht="42.75" customHeight="1">
      <c r="A655" s="69">
        <v>43693.0</v>
      </c>
      <c r="B655" s="144" t="s">
        <v>378</v>
      </c>
      <c r="C655" s="21" t="s">
        <v>1118</v>
      </c>
      <c r="D655" s="21" t="s">
        <v>1527</v>
      </c>
      <c r="E655" s="246" t="s">
        <v>1528</v>
      </c>
      <c r="F655" s="24">
        <v>1.0</v>
      </c>
      <c r="G655" s="48">
        <v>454.0</v>
      </c>
      <c r="H655" s="60">
        <v>454.0</v>
      </c>
      <c r="I655" s="61" t="s">
        <v>144</v>
      </c>
      <c r="J655" s="161" t="s">
        <v>1529</v>
      </c>
      <c r="K655" s="30">
        <v>43727.0</v>
      </c>
      <c r="L655" s="462">
        <v>43693.0</v>
      </c>
      <c r="M655" s="306"/>
      <c r="N655" s="306"/>
      <c r="O655" s="306"/>
      <c r="P655" s="306"/>
      <c r="Q655" s="298"/>
      <c r="R655" s="298"/>
      <c r="S655" s="299"/>
      <c r="T655" s="300">
        <v>43707.0</v>
      </c>
      <c r="U655" s="299"/>
      <c r="V655" s="299"/>
      <c r="W655" s="298" t="s">
        <v>50</v>
      </c>
      <c r="X655" s="298" t="s">
        <v>285</v>
      </c>
      <c r="Y655" s="298" t="s">
        <v>286</v>
      </c>
      <c r="Z655" s="298" t="s">
        <v>52</v>
      </c>
      <c r="AA655" s="298" t="s">
        <v>1133</v>
      </c>
    </row>
    <row r="656" ht="42.75" customHeight="1">
      <c r="A656" s="69">
        <v>43696.0</v>
      </c>
      <c r="B656" s="70" t="s">
        <v>1000</v>
      </c>
      <c r="C656" s="21" t="s">
        <v>1530</v>
      </c>
      <c r="D656" s="21" t="s">
        <v>1531</v>
      </c>
      <c r="E656" s="23" t="s">
        <v>1532</v>
      </c>
      <c r="F656" s="24">
        <v>3.0</v>
      </c>
      <c r="G656" s="25">
        <v>175.0</v>
      </c>
      <c r="H656" s="60">
        <v>525.0</v>
      </c>
      <c r="I656" s="61" t="s">
        <v>105</v>
      </c>
      <c r="J656" s="63" t="s">
        <v>1296</v>
      </c>
      <c r="K656" s="29">
        <v>43703.0</v>
      </c>
      <c r="L656" s="462">
        <v>43738.0</v>
      </c>
      <c r="M656" s="462">
        <v>43700.0</v>
      </c>
      <c r="N656" s="306" t="s">
        <v>1533</v>
      </c>
      <c r="O656" s="306">
        <v>29987.0</v>
      </c>
      <c r="P656" s="462">
        <v>43739.0</v>
      </c>
      <c r="Q656" s="298"/>
      <c r="R656" s="298"/>
      <c r="S656" s="299"/>
      <c r="T656" s="300">
        <v>43734.0</v>
      </c>
      <c r="U656" s="299"/>
      <c r="V656" s="299">
        <v>0.0</v>
      </c>
      <c r="W656" s="298" t="s">
        <v>50</v>
      </c>
      <c r="X656" s="298" t="s">
        <v>285</v>
      </c>
      <c r="Y656" s="298" t="s">
        <v>51</v>
      </c>
      <c r="Z656" s="298" t="s">
        <v>52</v>
      </c>
      <c r="AA656" s="298" t="s">
        <v>507</v>
      </c>
    </row>
    <row r="657" ht="42.75" customHeight="1">
      <c r="A657" s="69">
        <v>43696.0</v>
      </c>
      <c r="B657" s="70" t="s">
        <v>1000</v>
      </c>
      <c r="C657" s="21" t="s">
        <v>1530</v>
      </c>
      <c r="D657" s="21" t="s">
        <v>1531</v>
      </c>
      <c r="E657" s="529" t="s">
        <v>1534</v>
      </c>
      <c r="F657" s="24">
        <v>3.0</v>
      </c>
      <c r="G657" s="48">
        <v>175.0</v>
      </c>
      <c r="H657" s="60">
        <v>525.0</v>
      </c>
      <c r="I657" s="61" t="s">
        <v>105</v>
      </c>
      <c r="J657" s="63" t="s">
        <v>1296</v>
      </c>
      <c r="K657" s="29">
        <v>43703.0</v>
      </c>
      <c r="L657" s="462">
        <v>43738.0</v>
      </c>
      <c r="M657" s="462">
        <v>43700.0</v>
      </c>
      <c r="N657" s="306" t="s">
        <v>1533</v>
      </c>
      <c r="O657" s="306"/>
      <c r="P657" s="462">
        <v>43739.0</v>
      </c>
      <c r="Q657" s="298"/>
      <c r="R657" s="298"/>
      <c r="S657" s="299"/>
      <c r="T657" s="300">
        <v>43734.0</v>
      </c>
      <c r="U657" s="299"/>
      <c r="V657" s="299">
        <v>0.0</v>
      </c>
      <c r="W657" s="298" t="s">
        <v>50</v>
      </c>
      <c r="X657" s="298" t="s">
        <v>285</v>
      </c>
      <c r="Y657" s="298" t="s">
        <v>51</v>
      </c>
      <c r="Z657" s="298" t="s">
        <v>52</v>
      </c>
      <c r="AA657" s="298" t="s">
        <v>507</v>
      </c>
    </row>
    <row r="658" ht="42.75" customHeight="1">
      <c r="A658" s="69">
        <v>43696.0</v>
      </c>
      <c r="B658" s="70" t="s">
        <v>1000</v>
      </c>
      <c r="C658" s="21" t="s">
        <v>1530</v>
      </c>
      <c r="D658" s="21" t="s">
        <v>1531</v>
      </c>
      <c r="E658" s="23" t="s">
        <v>1535</v>
      </c>
      <c r="F658" s="24">
        <v>6.0</v>
      </c>
      <c r="G658" s="48">
        <v>7.0</v>
      </c>
      <c r="H658" s="60">
        <v>42.0</v>
      </c>
      <c r="I658" s="61" t="s">
        <v>105</v>
      </c>
      <c r="J658" s="63" t="s">
        <v>1296</v>
      </c>
      <c r="K658" s="29">
        <v>43703.0</v>
      </c>
      <c r="L658" s="462">
        <v>43738.0</v>
      </c>
      <c r="M658" s="462">
        <v>43700.0</v>
      </c>
      <c r="N658" s="306" t="s">
        <v>1533</v>
      </c>
      <c r="O658" s="306"/>
      <c r="P658" s="462">
        <v>43739.0</v>
      </c>
      <c r="Q658" s="298"/>
      <c r="R658" s="298"/>
      <c r="S658" s="299"/>
      <c r="T658" s="300">
        <v>43734.0</v>
      </c>
      <c r="U658" s="299"/>
      <c r="V658" s="299">
        <v>0.0</v>
      </c>
      <c r="W658" s="298" t="s">
        <v>50</v>
      </c>
      <c r="X658" s="298" t="s">
        <v>285</v>
      </c>
      <c r="Y658" s="298" t="s">
        <v>51</v>
      </c>
      <c r="Z658" s="298" t="s">
        <v>52</v>
      </c>
      <c r="AA658" s="298" t="s">
        <v>507</v>
      </c>
    </row>
    <row r="659" ht="15.75" customHeight="1">
      <c r="A659" s="69">
        <v>43696.0</v>
      </c>
      <c r="B659" s="70" t="s">
        <v>1000</v>
      </c>
      <c r="C659" s="21" t="s">
        <v>1530</v>
      </c>
      <c r="D659" s="71" t="s">
        <v>1531</v>
      </c>
      <c r="E659" s="32" t="s">
        <v>1249</v>
      </c>
      <c r="F659" s="24">
        <v>12.0</v>
      </c>
      <c r="G659" s="48">
        <v>111.0</v>
      </c>
      <c r="H659" s="60">
        <v>1332.0</v>
      </c>
      <c r="I659" s="61" t="s">
        <v>105</v>
      </c>
      <c r="J659" s="63" t="s">
        <v>1296</v>
      </c>
      <c r="K659" s="29">
        <v>43725.0</v>
      </c>
      <c r="L659" s="305">
        <v>43769.0</v>
      </c>
      <c r="M659" s="462">
        <v>43720.0</v>
      </c>
      <c r="N659" s="306" t="s">
        <v>1536</v>
      </c>
      <c r="O659" s="306">
        <v>36584.0</v>
      </c>
      <c r="P659" s="306"/>
      <c r="Q659" s="298"/>
      <c r="R659" s="298"/>
      <c r="S659" s="299"/>
      <c r="T659" s="29">
        <v>43755.0</v>
      </c>
      <c r="U659" s="299">
        <f>1332*30.57</f>
        <v>40719.24</v>
      </c>
      <c r="V659" s="299">
        <v>0.0</v>
      </c>
      <c r="W659" s="298" t="s">
        <v>50</v>
      </c>
      <c r="X659" s="298" t="s">
        <v>285</v>
      </c>
      <c r="Y659" s="298" t="s">
        <v>51</v>
      </c>
      <c r="Z659" s="298" t="s">
        <v>52</v>
      </c>
      <c r="AA659" s="298" t="s">
        <v>1133</v>
      </c>
    </row>
    <row r="660" ht="42.75" customHeight="1">
      <c r="A660" s="110">
        <v>43697.0</v>
      </c>
      <c r="B660" s="70" t="s">
        <v>1537</v>
      </c>
      <c r="C660" s="21" t="s">
        <v>1538</v>
      </c>
      <c r="D660" s="21" t="s">
        <v>1539</v>
      </c>
      <c r="E660" s="32" t="s">
        <v>1088</v>
      </c>
      <c r="F660" s="24">
        <v>2.0</v>
      </c>
      <c r="G660" s="48">
        <v>155.4</v>
      </c>
      <c r="H660" s="470">
        <v>310.8</v>
      </c>
      <c r="I660" s="61" t="s">
        <v>248</v>
      </c>
      <c r="J660" s="161" t="s">
        <v>1164</v>
      </c>
      <c r="K660" s="29">
        <v>43699.0</v>
      </c>
      <c r="L660" s="306"/>
      <c r="M660" s="306"/>
      <c r="N660" s="306"/>
      <c r="O660" s="306"/>
      <c r="P660" s="306"/>
      <c r="Q660" s="298"/>
      <c r="R660" s="298"/>
      <c r="S660" s="299"/>
      <c r="T660" s="300">
        <v>43739.0</v>
      </c>
      <c r="U660" s="299"/>
      <c r="V660" s="299"/>
      <c r="W660" s="298" t="s">
        <v>50</v>
      </c>
      <c r="X660" s="298" t="s">
        <v>285</v>
      </c>
      <c r="Y660" s="298" t="s">
        <v>51</v>
      </c>
      <c r="Z660" s="298" t="s">
        <v>377</v>
      </c>
      <c r="AA660" s="298" t="s">
        <v>507</v>
      </c>
    </row>
    <row r="661" ht="49.5" customHeight="1">
      <c r="A661" s="69">
        <v>43697.0</v>
      </c>
      <c r="B661" s="70" t="s">
        <v>83</v>
      </c>
      <c r="C661" s="21" t="s">
        <v>1540</v>
      </c>
      <c r="D661" s="32" t="s">
        <v>1541</v>
      </c>
      <c r="E661" s="32" t="s">
        <v>100</v>
      </c>
      <c r="F661" s="24">
        <v>2.0</v>
      </c>
      <c r="G661" s="48">
        <v>1676.0</v>
      </c>
      <c r="H661" s="470">
        <v>3352.0</v>
      </c>
      <c r="I661" s="61" t="s">
        <v>1542</v>
      </c>
      <c r="J661" s="58" t="s">
        <v>1543</v>
      </c>
      <c r="K661" s="30">
        <v>43811.0</v>
      </c>
      <c r="L661" s="306"/>
      <c r="M661" s="306"/>
      <c r="N661" s="306"/>
      <c r="O661" s="306"/>
      <c r="P661" s="306"/>
      <c r="Q661" s="298"/>
      <c r="R661" s="299"/>
      <c r="S661" s="300">
        <v>43735.0</v>
      </c>
      <c r="T661" s="299">
        <f>3915.54*30.98</f>
        <v>121303.4292</v>
      </c>
      <c r="U661" s="299">
        <f>(3922-3915.54+40)*30.98</f>
        <v>1439.3308</v>
      </c>
      <c r="V661" s="298"/>
      <c r="W661" s="298" t="s">
        <v>50</v>
      </c>
      <c r="X661" s="82" t="s">
        <v>285</v>
      </c>
      <c r="Y661" s="298" t="s">
        <v>51</v>
      </c>
      <c r="Z661" s="298" t="s">
        <v>52</v>
      </c>
      <c r="AA661" s="298" t="s">
        <v>1371</v>
      </c>
    </row>
    <row r="662" ht="42.75" customHeight="1">
      <c r="A662" s="69">
        <v>43697.0</v>
      </c>
      <c r="B662" s="70" t="s">
        <v>83</v>
      </c>
      <c r="C662" s="21" t="s">
        <v>1540</v>
      </c>
      <c r="D662" s="21" t="s">
        <v>1544</v>
      </c>
      <c r="E662" s="23" t="s">
        <v>1545</v>
      </c>
      <c r="F662" s="24">
        <v>2.0</v>
      </c>
      <c r="G662" s="48">
        <v>90.0</v>
      </c>
      <c r="H662" s="60">
        <v>180.0</v>
      </c>
      <c r="I662" s="61" t="s">
        <v>1542</v>
      </c>
      <c r="J662" s="58" t="s">
        <v>1543</v>
      </c>
      <c r="K662" s="30">
        <v>43811.0</v>
      </c>
      <c r="L662" s="306"/>
      <c r="M662" s="306"/>
      <c r="N662" s="306"/>
      <c r="O662" s="306"/>
      <c r="P662" s="237"/>
      <c r="Q662" s="298"/>
      <c r="R662" s="299"/>
      <c r="S662" s="300">
        <v>43735.0</v>
      </c>
      <c r="T662" s="299"/>
      <c r="U662" s="299"/>
      <c r="V662" s="298"/>
      <c r="W662" s="298" t="s">
        <v>50</v>
      </c>
      <c r="X662" s="82" t="s">
        <v>285</v>
      </c>
      <c r="Y662" s="298" t="s">
        <v>51</v>
      </c>
      <c r="Z662" s="298" t="s">
        <v>52</v>
      </c>
      <c r="AA662" s="298" t="s">
        <v>1371</v>
      </c>
    </row>
    <row r="663" ht="42.75" customHeight="1">
      <c r="A663" s="69">
        <v>43697.0</v>
      </c>
      <c r="B663" s="70" t="s">
        <v>83</v>
      </c>
      <c r="C663" s="21" t="s">
        <v>1540</v>
      </c>
      <c r="D663" s="21" t="s">
        <v>1544</v>
      </c>
      <c r="E663" s="32" t="s">
        <v>1546</v>
      </c>
      <c r="F663" s="24">
        <v>2.0</v>
      </c>
      <c r="G663" s="48">
        <v>15.0</v>
      </c>
      <c r="H663" s="60">
        <v>30.0</v>
      </c>
      <c r="I663" s="61" t="s">
        <v>1542</v>
      </c>
      <c r="J663" s="58" t="s">
        <v>1543</v>
      </c>
      <c r="K663" s="30">
        <v>43811.0</v>
      </c>
      <c r="L663" s="306"/>
      <c r="M663" s="306"/>
      <c r="N663" s="306"/>
      <c r="O663" s="306"/>
      <c r="P663" s="306"/>
      <c r="Q663" s="298"/>
      <c r="R663" s="299"/>
      <c r="S663" s="300">
        <v>43735.0</v>
      </c>
      <c r="T663" s="299"/>
      <c r="U663" s="299"/>
      <c r="V663" s="298"/>
      <c r="W663" s="298" t="s">
        <v>50</v>
      </c>
      <c r="X663" s="82" t="s">
        <v>285</v>
      </c>
      <c r="Y663" s="298" t="s">
        <v>51</v>
      </c>
      <c r="Z663" s="298" t="s">
        <v>52</v>
      </c>
      <c r="AA663" s="298" t="s">
        <v>1371</v>
      </c>
    </row>
    <row r="664" ht="42.75" customHeight="1">
      <c r="A664" s="69">
        <v>43697.0</v>
      </c>
      <c r="B664" s="70" t="s">
        <v>83</v>
      </c>
      <c r="C664" s="21" t="s">
        <v>1540</v>
      </c>
      <c r="D664" s="21" t="s">
        <v>1544</v>
      </c>
      <c r="E664" s="32" t="s">
        <v>1547</v>
      </c>
      <c r="F664" s="24">
        <v>2.0</v>
      </c>
      <c r="G664" s="48">
        <v>200.0</v>
      </c>
      <c r="H664" s="60">
        <v>400.0</v>
      </c>
      <c r="I664" s="61" t="s">
        <v>1542</v>
      </c>
      <c r="J664" s="58" t="s">
        <v>1548</v>
      </c>
      <c r="K664" s="30">
        <v>43811.0</v>
      </c>
      <c r="L664" s="306"/>
      <c r="M664" s="306"/>
      <c r="N664" s="306"/>
      <c r="O664" s="306"/>
      <c r="P664" s="306"/>
      <c r="Q664" s="298"/>
      <c r="R664" s="299"/>
      <c r="S664" s="300">
        <v>43735.0</v>
      </c>
      <c r="T664" s="299"/>
      <c r="U664" s="299"/>
      <c r="V664" s="298"/>
      <c r="W664" s="298" t="s">
        <v>50</v>
      </c>
      <c r="X664" s="82" t="s">
        <v>285</v>
      </c>
      <c r="Y664" s="298" t="s">
        <v>51</v>
      </c>
      <c r="Z664" s="298" t="s">
        <v>52</v>
      </c>
      <c r="AA664" s="298" t="s">
        <v>1371</v>
      </c>
    </row>
    <row r="665" ht="42.75" customHeight="1">
      <c r="A665" s="69">
        <v>43698.0</v>
      </c>
      <c r="B665" s="23" t="s">
        <v>406</v>
      </c>
      <c r="C665" s="21">
        <v>7.000149574E9</v>
      </c>
      <c r="D665" s="21" t="s">
        <v>1549</v>
      </c>
      <c r="E665" s="32" t="s">
        <v>1550</v>
      </c>
      <c r="F665" s="24">
        <v>5.0</v>
      </c>
      <c r="G665" s="48">
        <v>83.0</v>
      </c>
      <c r="H665" s="60">
        <v>415.0</v>
      </c>
      <c r="I665" s="61" t="s">
        <v>43</v>
      </c>
      <c r="J665" s="50" t="s">
        <v>513</v>
      </c>
      <c r="K665" s="30">
        <v>43706.0</v>
      </c>
      <c r="L665" s="305">
        <v>43799.0</v>
      </c>
      <c r="M665" s="462">
        <v>43703.0</v>
      </c>
      <c r="N665" s="306" t="s">
        <v>1551</v>
      </c>
      <c r="O665" s="306">
        <v>18837.0</v>
      </c>
      <c r="P665" s="306"/>
      <c r="Q665" s="298"/>
      <c r="R665" s="298"/>
      <c r="S665" s="299"/>
      <c r="T665" s="300">
        <v>43747.0</v>
      </c>
      <c r="U665" s="299">
        <f>673.51*30.81</f>
        <v>20750.8431</v>
      </c>
      <c r="V665" s="299">
        <f>(700-673.51)*30.81</f>
        <v>816.1569</v>
      </c>
      <c r="W665" s="298" t="s">
        <v>50</v>
      </c>
      <c r="X665" s="298" t="s">
        <v>285</v>
      </c>
      <c r="Y665" s="298" t="s">
        <v>51</v>
      </c>
      <c r="Z665" s="298" t="s">
        <v>52</v>
      </c>
      <c r="AA665" s="298" t="s">
        <v>507</v>
      </c>
    </row>
    <row r="666" ht="42.75" customHeight="1">
      <c r="A666" s="69">
        <v>43698.0</v>
      </c>
      <c r="B666" s="23" t="s">
        <v>406</v>
      </c>
      <c r="C666" s="21">
        <v>7.000149574E9</v>
      </c>
      <c r="D666" s="21" t="s">
        <v>1549</v>
      </c>
      <c r="E666" s="32" t="s">
        <v>408</v>
      </c>
      <c r="F666" s="24">
        <v>5.0</v>
      </c>
      <c r="G666" s="48">
        <v>57.0</v>
      </c>
      <c r="H666" s="60">
        <v>285.0</v>
      </c>
      <c r="I666" s="61" t="s">
        <v>43</v>
      </c>
      <c r="J666" s="50" t="s">
        <v>513</v>
      </c>
      <c r="K666" s="30">
        <v>43706.0</v>
      </c>
      <c r="L666" s="305">
        <v>43799.0</v>
      </c>
      <c r="M666" s="462">
        <v>43703.0</v>
      </c>
      <c r="N666" s="306" t="s">
        <v>1551</v>
      </c>
      <c r="O666" s="306"/>
      <c r="P666" s="306"/>
      <c r="Q666" s="298"/>
      <c r="R666" s="298"/>
      <c r="S666" s="299"/>
      <c r="T666" s="300">
        <v>43747.0</v>
      </c>
      <c r="U666" s="299"/>
      <c r="V666" s="299"/>
      <c r="W666" s="298" t="s">
        <v>50</v>
      </c>
      <c r="X666" s="298" t="s">
        <v>285</v>
      </c>
      <c r="Y666" s="298" t="s">
        <v>51</v>
      </c>
      <c r="Z666" s="298" t="s">
        <v>52</v>
      </c>
      <c r="AA666" s="298" t="s">
        <v>507</v>
      </c>
    </row>
    <row r="667" ht="42.75" customHeight="1">
      <c r="A667" s="19">
        <v>43698.0</v>
      </c>
      <c r="B667" s="51" t="s">
        <v>54</v>
      </c>
      <c r="C667" s="21" t="s">
        <v>1552</v>
      </c>
      <c r="D667" s="22" t="s">
        <v>1553</v>
      </c>
      <c r="E667" s="32" t="s">
        <v>386</v>
      </c>
      <c r="F667" s="24">
        <v>10.0</v>
      </c>
      <c r="G667" s="48">
        <v>150.15</v>
      </c>
      <c r="H667" s="26">
        <v>1501.5</v>
      </c>
      <c r="I667" s="27" t="s">
        <v>43</v>
      </c>
      <c r="J667" s="161" t="s">
        <v>90</v>
      </c>
      <c r="K667" s="30">
        <v>43726.0</v>
      </c>
      <c r="L667" s="305">
        <v>43769.0</v>
      </c>
      <c r="M667" s="462">
        <v>43725.0</v>
      </c>
      <c r="N667" s="306" t="s">
        <v>1554</v>
      </c>
      <c r="O667" s="306">
        <v>41960.0</v>
      </c>
      <c r="P667" s="306"/>
      <c r="Q667" s="298"/>
      <c r="R667" s="298"/>
      <c r="S667" s="299"/>
      <c r="T667" s="29">
        <v>43763.0</v>
      </c>
      <c r="U667" s="299">
        <v>46584.0</v>
      </c>
      <c r="V667" s="299">
        <v>15.0</v>
      </c>
      <c r="W667" s="298" t="s">
        <v>50</v>
      </c>
      <c r="X667" s="298" t="s">
        <v>285</v>
      </c>
      <c r="Y667" s="298" t="s">
        <v>51</v>
      </c>
      <c r="Z667" s="298" t="s">
        <v>377</v>
      </c>
      <c r="AA667" s="298" t="s">
        <v>1133</v>
      </c>
    </row>
    <row r="668" ht="42.75" customHeight="1">
      <c r="A668" s="69">
        <v>43698.0</v>
      </c>
      <c r="B668" s="70" t="s">
        <v>223</v>
      </c>
      <c r="C668" s="21" t="s">
        <v>1555</v>
      </c>
      <c r="D668" s="22" t="s">
        <v>1556</v>
      </c>
      <c r="E668" s="32" t="s">
        <v>1505</v>
      </c>
      <c r="F668" s="24">
        <v>1.0</v>
      </c>
      <c r="G668" s="48">
        <v>7.35</v>
      </c>
      <c r="H668" s="60">
        <v>7.35</v>
      </c>
      <c r="I668" s="61" t="s">
        <v>144</v>
      </c>
      <c r="J668" s="63" t="s">
        <v>90</v>
      </c>
      <c r="K668" s="30">
        <v>43705.0</v>
      </c>
      <c r="L668" s="305">
        <v>43769.0</v>
      </c>
      <c r="M668" s="462">
        <v>43704.0</v>
      </c>
      <c r="N668" s="306" t="s">
        <v>1557</v>
      </c>
      <c r="O668" s="306">
        <v>4373.0</v>
      </c>
      <c r="P668" s="306"/>
      <c r="Q668" s="298"/>
      <c r="R668" s="298"/>
      <c r="S668" s="299"/>
      <c r="T668" s="300">
        <v>43743.0</v>
      </c>
      <c r="U668" s="299">
        <v>59340.0</v>
      </c>
      <c r="V668" s="299">
        <v>15.0</v>
      </c>
      <c r="W668" s="298" t="s">
        <v>50</v>
      </c>
      <c r="X668" s="298" t="s">
        <v>285</v>
      </c>
      <c r="Y668" s="298" t="s">
        <v>51</v>
      </c>
      <c r="Z668" s="298" t="s">
        <v>377</v>
      </c>
      <c r="AA668" s="298" t="s">
        <v>507</v>
      </c>
    </row>
    <row r="669" ht="42.75" customHeight="1">
      <c r="A669" s="69">
        <v>43698.0</v>
      </c>
      <c r="B669" s="70" t="s">
        <v>223</v>
      </c>
      <c r="C669" s="21" t="s">
        <v>1555</v>
      </c>
      <c r="D669" s="22" t="s">
        <v>1556</v>
      </c>
      <c r="E669" s="32" t="s">
        <v>1427</v>
      </c>
      <c r="F669" s="24">
        <v>1.0</v>
      </c>
      <c r="G669" s="48">
        <v>148.05</v>
      </c>
      <c r="H669" s="60">
        <v>148.05</v>
      </c>
      <c r="I669" s="61" t="s">
        <v>144</v>
      </c>
      <c r="J669" s="63" t="s">
        <v>90</v>
      </c>
      <c r="K669" s="30">
        <v>43705.0</v>
      </c>
      <c r="L669" s="305">
        <v>43769.0</v>
      </c>
      <c r="M669" s="462">
        <v>43704.0</v>
      </c>
      <c r="N669" s="306" t="s">
        <v>1557</v>
      </c>
      <c r="O669" s="306"/>
      <c r="P669" s="306"/>
      <c r="Q669" s="298"/>
      <c r="R669" s="298"/>
      <c r="S669" s="299"/>
      <c r="T669" s="300">
        <v>43743.0</v>
      </c>
      <c r="U669" s="299"/>
      <c r="V669" s="299"/>
      <c r="W669" s="298" t="s">
        <v>50</v>
      </c>
      <c r="X669" s="298" t="s">
        <v>285</v>
      </c>
      <c r="Y669" s="298" t="s">
        <v>51</v>
      </c>
      <c r="Z669" s="298" t="s">
        <v>377</v>
      </c>
      <c r="AA669" s="298" t="s">
        <v>507</v>
      </c>
    </row>
    <row r="670" ht="42.75" customHeight="1">
      <c r="A670" s="69">
        <v>43700.0</v>
      </c>
      <c r="B670" s="70" t="s">
        <v>601</v>
      </c>
      <c r="C670" s="21" t="s">
        <v>1558</v>
      </c>
      <c r="D670" s="21" t="s">
        <v>1559</v>
      </c>
      <c r="E670" s="23" t="s">
        <v>604</v>
      </c>
      <c r="F670" s="24">
        <v>5.0</v>
      </c>
      <c r="G670" s="48">
        <v>241.5</v>
      </c>
      <c r="H670" s="26">
        <v>1207.5</v>
      </c>
      <c r="I670" s="27" t="s">
        <v>43</v>
      </c>
      <c r="J670" s="161" t="s">
        <v>1164</v>
      </c>
      <c r="K670" s="30">
        <v>43711.0</v>
      </c>
      <c r="L670" s="461">
        <v>43743.0</v>
      </c>
      <c r="M670" s="531">
        <v>43705.0</v>
      </c>
      <c r="N670" s="352" t="s">
        <v>1560</v>
      </c>
      <c r="O670" s="473">
        <v>40864.0</v>
      </c>
      <c r="P670" s="461">
        <v>43743.0</v>
      </c>
      <c r="Q670" s="82"/>
      <c r="R670" s="82"/>
      <c r="S670" s="432"/>
      <c r="T670" s="145">
        <v>43769.0</v>
      </c>
      <c r="U670" s="432">
        <v>49350.0</v>
      </c>
      <c r="V670" s="432">
        <v>28.0</v>
      </c>
      <c r="W670" s="82" t="s">
        <v>50</v>
      </c>
      <c r="X670" s="298" t="s">
        <v>285</v>
      </c>
      <c r="Y670" s="298" t="s">
        <v>51</v>
      </c>
      <c r="Z670" s="298" t="s">
        <v>377</v>
      </c>
      <c r="AA670" s="298" t="s">
        <v>1133</v>
      </c>
    </row>
    <row r="671" ht="42.75" customHeight="1">
      <c r="A671" s="69">
        <v>43700.0</v>
      </c>
      <c r="B671" s="70" t="s">
        <v>601</v>
      </c>
      <c r="C671" s="21" t="s">
        <v>1558</v>
      </c>
      <c r="D671" s="21" t="s">
        <v>1559</v>
      </c>
      <c r="E671" s="32" t="s">
        <v>607</v>
      </c>
      <c r="F671" s="24">
        <v>3.0</v>
      </c>
      <c r="G671" s="48">
        <v>73.5</v>
      </c>
      <c r="H671" s="26">
        <v>220.5</v>
      </c>
      <c r="I671" s="27" t="s">
        <v>43</v>
      </c>
      <c r="J671" s="161" t="s">
        <v>1164</v>
      </c>
      <c r="K671" s="30">
        <v>43711.0</v>
      </c>
      <c r="L671" s="351">
        <v>43743.0</v>
      </c>
      <c r="M671" s="531">
        <v>43705.0</v>
      </c>
      <c r="N671" s="352" t="s">
        <v>1560</v>
      </c>
      <c r="O671" s="352"/>
      <c r="P671" s="461">
        <v>43743.0</v>
      </c>
      <c r="Q671" s="82"/>
      <c r="R671" s="82"/>
      <c r="S671" s="432"/>
      <c r="T671" s="145">
        <v>43769.0</v>
      </c>
      <c r="U671" s="432"/>
      <c r="V671" s="432"/>
      <c r="W671" s="82" t="s">
        <v>50</v>
      </c>
      <c r="X671" s="298" t="s">
        <v>285</v>
      </c>
      <c r="Y671" s="298" t="s">
        <v>51</v>
      </c>
      <c r="Z671" s="298" t="s">
        <v>377</v>
      </c>
      <c r="AA671" s="298" t="s">
        <v>1133</v>
      </c>
    </row>
    <row r="672" ht="42.75" customHeight="1">
      <c r="A672" s="69">
        <v>43700.0</v>
      </c>
      <c r="B672" s="70" t="s">
        <v>601</v>
      </c>
      <c r="C672" s="21" t="s">
        <v>1558</v>
      </c>
      <c r="D672" s="21" t="s">
        <v>1559</v>
      </c>
      <c r="E672" s="32" t="s">
        <v>607</v>
      </c>
      <c r="F672" s="24">
        <v>2.0</v>
      </c>
      <c r="G672" s="48">
        <v>73.5</v>
      </c>
      <c r="H672" s="26">
        <v>147.0</v>
      </c>
      <c r="I672" s="27" t="s">
        <v>43</v>
      </c>
      <c r="J672" s="161" t="s">
        <v>1164</v>
      </c>
      <c r="K672" s="30">
        <v>43727.0</v>
      </c>
      <c r="L672" s="462">
        <v>43743.0</v>
      </c>
      <c r="M672" s="462">
        <v>43719.0</v>
      </c>
      <c r="N672" s="306" t="s">
        <v>1561</v>
      </c>
      <c r="O672" s="306">
        <v>4075.0</v>
      </c>
      <c r="P672" s="461">
        <v>43743.0</v>
      </c>
      <c r="Q672" s="298"/>
      <c r="R672" s="298"/>
      <c r="S672" s="299"/>
      <c r="T672" s="29">
        <v>43769.0</v>
      </c>
      <c r="U672" s="432"/>
      <c r="V672" s="432"/>
      <c r="W672" s="82" t="s">
        <v>50</v>
      </c>
      <c r="X672" s="298" t="s">
        <v>285</v>
      </c>
      <c r="Y672" s="298" t="s">
        <v>51</v>
      </c>
      <c r="Z672" s="298" t="s">
        <v>377</v>
      </c>
      <c r="AA672" s="298" t="s">
        <v>1133</v>
      </c>
    </row>
    <row r="673" ht="42.75" customHeight="1">
      <c r="A673" s="69">
        <v>43703.0</v>
      </c>
      <c r="B673" s="23" t="s">
        <v>406</v>
      </c>
      <c r="C673" s="21"/>
      <c r="D673" s="21" t="s">
        <v>1562</v>
      </c>
      <c r="E673" s="32" t="s">
        <v>1563</v>
      </c>
      <c r="F673" s="24">
        <v>25.0</v>
      </c>
      <c r="G673" s="48">
        <v>0.0</v>
      </c>
      <c r="H673" s="216">
        <v>0.0</v>
      </c>
      <c r="I673" s="61" t="s">
        <v>43</v>
      </c>
      <c r="J673" s="63" t="s">
        <v>1324</v>
      </c>
      <c r="K673" s="29">
        <v>43703.0</v>
      </c>
      <c r="L673" s="306"/>
      <c r="M673" s="306"/>
      <c r="N673" s="306"/>
      <c r="O673" s="306"/>
      <c r="P673" s="306"/>
      <c r="Q673" s="298"/>
      <c r="R673" s="298"/>
      <c r="S673" s="299"/>
      <c r="T673" s="300">
        <v>43703.0</v>
      </c>
      <c r="U673" s="299"/>
      <c r="V673" s="299"/>
      <c r="W673" s="298" t="s">
        <v>50</v>
      </c>
      <c r="X673" s="298" t="s">
        <v>285</v>
      </c>
      <c r="Y673" s="298" t="s">
        <v>51</v>
      </c>
      <c r="Z673" s="298" t="s">
        <v>52</v>
      </c>
      <c r="AA673" s="298" t="s">
        <v>507</v>
      </c>
    </row>
    <row r="674" ht="42.75" customHeight="1">
      <c r="A674" s="69">
        <v>43703.0</v>
      </c>
      <c r="B674" s="23" t="s">
        <v>406</v>
      </c>
      <c r="C674" s="21"/>
      <c r="D674" s="21" t="s">
        <v>1562</v>
      </c>
      <c r="E674" s="32" t="s">
        <v>1564</v>
      </c>
      <c r="F674" s="24">
        <v>1.0</v>
      </c>
      <c r="G674" s="436">
        <v>0.0</v>
      </c>
      <c r="H674" s="60">
        <v>0.0</v>
      </c>
      <c r="I674" s="61" t="s">
        <v>43</v>
      </c>
      <c r="J674" s="532" t="s">
        <v>1324</v>
      </c>
      <c r="K674" s="29">
        <v>43703.0</v>
      </c>
      <c r="L674" s="533">
        <v>43769.0</v>
      </c>
      <c r="M674" s="472">
        <v>43732.0</v>
      </c>
      <c r="N674" s="53" t="s">
        <v>1565</v>
      </c>
      <c r="O674" s="53">
        <v>1893.0</v>
      </c>
      <c r="P674" s="53"/>
      <c r="Q674" s="54"/>
      <c r="R674" s="54"/>
      <c r="S674" s="55"/>
      <c r="T674" s="68"/>
      <c r="U674" s="55"/>
      <c r="V674" s="55"/>
      <c r="W674" s="54" t="s">
        <v>50</v>
      </c>
      <c r="X674" s="54" t="s">
        <v>285</v>
      </c>
      <c r="Y674" s="54" t="s">
        <v>51</v>
      </c>
      <c r="Z674" s="54" t="s">
        <v>52</v>
      </c>
      <c r="AA674" s="54" t="s">
        <v>507</v>
      </c>
    </row>
    <row r="675" ht="42.75" customHeight="1">
      <c r="A675" s="399">
        <v>43704.0</v>
      </c>
      <c r="B675" s="275" t="s">
        <v>378</v>
      </c>
      <c r="C675" s="183" t="s">
        <v>1566</v>
      </c>
      <c r="D675" s="183" t="s">
        <v>1231</v>
      </c>
      <c r="E675" s="185" t="s">
        <v>1567</v>
      </c>
      <c r="F675" s="186">
        <v>3.0</v>
      </c>
      <c r="G675" s="534">
        <v>62.0</v>
      </c>
      <c r="H675" s="188">
        <v>0.0</v>
      </c>
      <c r="I675" s="483" t="s">
        <v>144</v>
      </c>
      <c r="J675" s="383" t="s">
        <v>1122</v>
      </c>
      <c r="K675" s="192">
        <v>43781.0</v>
      </c>
      <c r="L675" s="195"/>
      <c r="M675" s="199"/>
      <c r="N675" s="199"/>
      <c r="O675" s="199"/>
      <c r="P675" s="199"/>
      <c r="Q675" s="200"/>
      <c r="R675" s="200"/>
      <c r="S675" s="201"/>
      <c r="T675" s="298"/>
      <c r="U675" s="201"/>
      <c r="V675" s="201"/>
      <c r="W675" s="298" t="s">
        <v>1227</v>
      </c>
      <c r="X675" s="200" t="s">
        <v>296</v>
      </c>
      <c r="Y675" s="200" t="s">
        <v>286</v>
      </c>
      <c r="Z675" s="200" t="s">
        <v>52</v>
      </c>
      <c r="AA675" s="200"/>
    </row>
    <row r="676" ht="42.75" customHeight="1">
      <c r="A676" s="69">
        <v>43705.0</v>
      </c>
      <c r="B676" s="70" t="s">
        <v>130</v>
      </c>
      <c r="C676" s="408" t="s">
        <v>1568</v>
      </c>
      <c r="D676" s="21" t="s">
        <v>1569</v>
      </c>
      <c r="E676" s="32" t="s">
        <v>1570</v>
      </c>
      <c r="F676" s="24">
        <v>10.0</v>
      </c>
      <c r="G676" s="48">
        <v>85.0</v>
      </c>
      <c r="H676" s="60">
        <v>850.0</v>
      </c>
      <c r="I676" s="61" t="s">
        <v>144</v>
      </c>
      <c r="J676" s="63" t="s">
        <v>134</v>
      </c>
      <c r="K676" s="205">
        <v>43720.0</v>
      </c>
      <c r="L676" s="305">
        <v>43769.0</v>
      </c>
      <c r="M676" s="462">
        <v>43717.0</v>
      </c>
      <c r="N676" s="306" t="s">
        <v>1571</v>
      </c>
      <c r="O676" s="306">
        <v>47725.0</v>
      </c>
      <c r="P676" s="306"/>
      <c r="Q676" s="298"/>
      <c r="R676" s="298"/>
      <c r="S676" s="299"/>
      <c r="T676" s="300">
        <v>43746.0</v>
      </c>
      <c r="U676" s="299">
        <f>1548.51*30.84</f>
        <v>47756.0484</v>
      </c>
      <c r="V676" s="299">
        <f>17.49*30.84</f>
        <v>539.3916</v>
      </c>
      <c r="W676" s="298" t="s">
        <v>50</v>
      </c>
      <c r="X676" s="298" t="s">
        <v>285</v>
      </c>
      <c r="Y676" s="298" t="s">
        <v>51</v>
      </c>
      <c r="Z676" s="298" t="s">
        <v>52</v>
      </c>
      <c r="AA676" s="298" t="s">
        <v>1133</v>
      </c>
    </row>
    <row r="677" ht="42.75" customHeight="1">
      <c r="A677" s="69">
        <v>43705.0</v>
      </c>
      <c r="B677" s="70" t="s">
        <v>130</v>
      </c>
      <c r="C677" s="408" t="s">
        <v>1568</v>
      </c>
      <c r="D677" s="21" t="s">
        <v>1569</v>
      </c>
      <c r="E677" s="32" t="s">
        <v>1572</v>
      </c>
      <c r="F677" s="24">
        <v>2.0</v>
      </c>
      <c r="G677" s="48">
        <v>104.0</v>
      </c>
      <c r="H677" s="60">
        <v>208.0</v>
      </c>
      <c r="I677" s="61" t="s">
        <v>144</v>
      </c>
      <c r="J677" s="63" t="s">
        <v>134</v>
      </c>
      <c r="K677" s="30">
        <v>43720.0</v>
      </c>
      <c r="L677" s="305">
        <v>43769.0</v>
      </c>
      <c r="M677" s="462">
        <v>43717.0</v>
      </c>
      <c r="N677" s="306" t="s">
        <v>1571</v>
      </c>
      <c r="O677" s="306"/>
      <c r="P677" s="306"/>
      <c r="Q677" s="298"/>
      <c r="R677" s="298"/>
      <c r="S677" s="299"/>
      <c r="T677" s="300">
        <v>43746.0</v>
      </c>
      <c r="U677" s="299"/>
      <c r="V677" s="299"/>
      <c r="W677" s="298" t="s">
        <v>50</v>
      </c>
      <c r="X677" s="298" t="s">
        <v>285</v>
      </c>
      <c r="Y677" s="298" t="s">
        <v>51</v>
      </c>
      <c r="Z677" s="298" t="s">
        <v>52</v>
      </c>
      <c r="AA677" s="298" t="s">
        <v>1133</v>
      </c>
    </row>
    <row r="678" ht="42.75" customHeight="1">
      <c r="A678" s="69">
        <v>43705.0</v>
      </c>
      <c r="B678" s="70" t="s">
        <v>130</v>
      </c>
      <c r="C678" s="408" t="s">
        <v>1568</v>
      </c>
      <c r="D678" s="21" t="s">
        <v>1569</v>
      </c>
      <c r="E678" s="32" t="s">
        <v>1573</v>
      </c>
      <c r="F678" s="24">
        <v>1.0</v>
      </c>
      <c r="G678" s="48">
        <v>58.0</v>
      </c>
      <c r="H678" s="468">
        <v>58.0</v>
      </c>
      <c r="I678" s="61" t="s">
        <v>144</v>
      </c>
      <c r="J678" s="63" t="s">
        <v>134</v>
      </c>
      <c r="K678" s="30">
        <v>43720.0</v>
      </c>
      <c r="L678" s="305">
        <v>43769.0</v>
      </c>
      <c r="M678" s="462">
        <v>43717.0</v>
      </c>
      <c r="N678" s="306" t="s">
        <v>1571</v>
      </c>
      <c r="O678" s="306"/>
      <c r="P678" s="306"/>
      <c r="Q678" s="298"/>
      <c r="R678" s="298"/>
      <c r="S678" s="299"/>
      <c r="T678" s="300">
        <v>43746.0</v>
      </c>
      <c r="U678" s="299"/>
      <c r="V678" s="299"/>
      <c r="W678" s="298" t="s">
        <v>50</v>
      </c>
      <c r="X678" s="298" t="s">
        <v>285</v>
      </c>
      <c r="Y678" s="298" t="s">
        <v>51</v>
      </c>
      <c r="Z678" s="298" t="s">
        <v>52</v>
      </c>
      <c r="AA678" s="298" t="s">
        <v>1133</v>
      </c>
    </row>
    <row r="679" ht="42.75" customHeight="1">
      <c r="A679" s="69">
        <v>43706.0</v>
      </c>
      <c r="B679" s="70" t="s">
        <v>130</v>
      </c>
      <c r="C679" s="408" t="s">
        <v>1568</v>
      </c>
      <c r="D679" s="21" t="s">
        <v>1569</v>
      </c>
      <c r="E679" s="32" t="s">
        <v>1574</v>
      </c>
      <c r="F679" s="24">
        <v>5.0</v>
      </c>
      <c r="G679" s="48">
        <v>90.0</v>
      </c>
      <c r="H679" s="60">
        <v>450.0</v>
      </c>
      <c r="I679" s="61" t="s">
        <v>144</v>
      </c>
      <c r="J679" s="63" t="s">
        <v>134</v>
      </c>
      <c r="K679" s="30">
        <v>43720.0</v>
      </c>
      <c r="L679" s="305">
        <v>43769.0</v>
      </c>
      <c r="M679" s="462">
        <v>43717.0</v>
      </c>
      <c r="N679" s="306" t="s">
        <v>1571</v>
      </c>
      <c r="O679" s="306"/>
      <c r="P679" s="306"/>
      <c r="Q679" s="298"/>
      <c r="R679" s="298"/>
      <c r="S679" s="299"/>
      <c r="T679" s="300">
        <v>43746.0</v>
      </c>
      <c r="U679" s="299"/>
      <c r="V679" s="299"/>
      <c r="W679" s="298" t="s">
        <v>50</v>
      </c>
      <c r="X679" s="298" t="s">
        <v>285</v>
      </c>
      <c r="Y679" s="298" t="s">
        <v>51</v>
      </c>
      <c r="Z679" s="298" t="s">
        <v>52</v>
      </c>
      <c r="AA679" s="298" t="s">
        <v>1133</v>
      </c>
    </row>
    <row r="680" ht="42.75" customHeight="1">
      <c r="A680" s="69">
        <v>43706.0</v>
      </c>
      <c r="B680" s="70" t="s">
        <v>906</v>
      </c>
      <c r="C680" s="21" t="s">
        <v>1454</v>
      </c>
      <c r="D680" s="21" t="s">
        <v>1575</v>
      </c>
      <c r="E680" s="522" t="s">
        <v>1458</v>
      </c>
      <c r="F680" s="24">
        <v>20.0</v>
      </c>
      <c r="G680" s="48">
        <v>5.8</v>
      </c>
      <c r="H680" s="60">
        <v>116.0</v>
      </c>
      <c r="I680" s="61" t="s">
        <v>105</v>
      </c>
      <c r="J680" s="63" t="s">
        <v>1576</v>
      </c>
      <c r="K680" s="29">
        <v>43726.0</v>
      </c>
      <c r="L680" s="305">
        <v>43769.0</v>
      </c>
      <c r="M680" s="462">
        <v>43717.0</v>
      </c>
      <c r="N680" s="306" t="s">
        <v>1577</v>
      </c>
      <c r="O680" s="306">
        <v>62493.0</v>
      </c>
      <c r="P680" s="306"/>
      <c r="Q680" s="298"/>
      <c r="R680" s="298"/>
      <c r="S680" s="299"/>
      <c r="T680" s="300">
        <v>43707.0</v>
      </c>
      <c r="U680" s="299">
        <f>2218.61*31.32</f>
        <v>69486.8652</v>
      </c>
      <c r="V680" s="299">
        <f>(2236-2218.61)*31.32</f>
        <v>544.6548</v>
      </c>
      <c r="W680" s="298" t="s">
        <v>50</v>
      </c>
      <c r="X680" s="298" t="s">
        <v>285</v>
      </c>
      <c r="Y680" s="298" t="s">
        <v>51</v>
      </c>
      <c r="Z680" s="298" t="s">
        <v>52</v>
      </c>
      <c r="AA680" s="298" t="s">
        <v>1133</v>
      </c>
    </row>
    <row r="681" ht="42.75" customHeight="1">
      <c r="A681" s="69">
        <v>43706.0</v>
      </c>
      <c r="B681" s="70" t="s">
        <v>906</v>
      </c>
      <c r="C681" s="21" t="s">
        <v>1454</v>
      </c>
      <c r="D681" s="21" t="s">
        <v>1575</v>
      </c>
      <c r="E681" s="522" t="s">
        <v>1456</v>
      </c>
      <c r="F681" s="24">
        <v>10.0</v>
      </c>
      <c r="G681" s="48">
        <v>212.0</v>
      </c>
      <c r="H681" s="60">
        <v>2120.0</v>
      </c>
      <c r="I681" s="61" t="s">
        <v>105</v>
      </c>
      <c r="J681" s="63" t="s">
        <v>1578</v>
      </c>
      <c r="K681" s="29">
        <v>43726.0</v>
      </c>
      <c r="L681" s="305">
        <v>43769.0</v>
      </c>
      <c r="M681" s="462">
        <v>43717.0</v>
      </c>
      <c r="N681" s="306" t="s">
        <v>1577</v>
      </c>
      <c r="O681" s="306"/>
      <c r="P681" s="306"/>
      <c r="Q681" s="298"/>
      <c r="R681" s="298"/>
      <c r="S681" s="299"/>
      <c r="T681" s="300">
        <v>43707.0</v>
      </c>
      <c r="U681" s="299"/>
      <c r="V681" s="299"/>
      <c r="W681" s="298" t="s">
        <v>50</v>
      </c>
      <c r="X681" s="298" t="s">
        <v>285</v>
      </c>
      <c r="Y681" s="298" t="s">
        <v>51</v>
      </c>
      <c r="Z681" s="298" t="s">
        <v>52</v>
      </c>
      <c r="AA681" s="298" t="s">
        <v>1133</v>
      </c>
    </row>
    <row r="682" ht="42.75" customHeight="1">
      <c r="A682" s="69">
        <v>43706.0</v>
      </c>
      <c r="B682" s="70" t="s">
        <v>223</v>
      </c>
      <c r="C682" s="21" t="s">
        <v>1579</v>
      </c>
      <c r="D682" s="21" t="s">
        <v>1580</v>
      </c>
      <c r="E682" s="32" t="s">
        <v>1581</v>
      </c>
      <c r="F682" s="24">
        <v>1.0</v>
      </c>
      <c r="G682" s="48">
        <v>805.35</v>
      </c>
      <c r="H682" s="60">
        <v>805.35</v>
      </c>
      <c r="I682" s="61" t="s">
        <v>144</v>
      </c>
      <c r="J682" s="63" t="s">
        <v>90</v>
      </c>
      <c r="K682" s="30">
        <v>43718.0</v>
      </c>
      <c r="L682" s="305">
        <v>43769.0</v>
      </c>
      <c r="M682" s="462">
        <v>43717.0</v>
      </c>
      <c r="N682" s="306" t="s">
        <v>1582</v>
      </c>
      <c r="O682" s="306">
        <v>22958.0</v>
      </c>
      <c r="P682" s="306"/>
      <c r="Q682" s="298"/>
      <c r="R682" s="298"/>
      <c r="S682" s="299"/>
      <c r="T682" s="300">
        <v>43743.0</v>
      </c>
      <c r="U682" s="299"/>
      <c r="V682" s="299"/>
      <c r="W682" s="298" t="s">
        <v>50</v>
      </c>
      <c r="X682" s="298" t="s">
        <v>285</v>
      </c>
      <c r="Y682" s="298" t="s">
        <v>51</v>
      </c>
      <c r="Z682" s="298" t="s">
        <v>52</v>
      </c>
      <c r="AA682" s="298" t="s">
        <v>1133</v>
      </c>
    </row>
    <row r="683" ht="42.75" customHeight="1">
      <c r="A683" s="69">
        <v>43710.0</v>
      </c>
      <c r="B683" s="144" t="s">
        <v>1251</v>
      </c>
      <c r="C683" s="21" t="s">
        <v>1583</v>
      </c>
      <c r="D683" s="21" t="s">
        <v>1584</v>
      </c>
      <c r="E683" s="32" t="s">
        <v>1585</v>
      </c>
      <c r="F683" s="24">
        <v>7.0</v>
      </c>
      <c r="G683" s="436">
        <v>621.0</v>
      </c>
      <c r="H683" s="60">
        <v>4347.0</v>
      </c>
      <c r="I683" s="61" t="s">
        <v>105</v>
      </c>
      <c r="J683" s="63" t="s">
        <v>1361</v>
      </c>
      <c r="K683" s="29">
        <v>43728.0</v>
      </c>
      <c r="L683" s="306"/>
      <c r="M683" s="306"/>
      <c r="N683" s="306"/>
      <c r="O683" s="306"/>
      <c r="P683" s="306"/>
      <c r="Q683" s="298"/>
      <c r="R683" s="298"/>
      <c r="S683" s="299"/>
      <c r="T683" s="29">
        <v>43760.0</v>
      </c>
      <c r="U683" s="299">
        <f>6442.44*30.5</f>
        <v>196494.42</v>
      </c>
      <c r="V683" s="299">
        <f>(6469-6442.44)*30.5</f>
        <v>810.08</v>
      </c>
      <c r="W683" s="298" t="s">
        <v>50</v>
      </c>
      <c r="X683" s="298" t="s">
        <v>285</v>
      </c>
      <c r="Y683" s="298" t="s">
        <v>286</v>
      </c>
      <c r="Z683" s="298" t="s">
        <v>52</v>
      </c>
      <c r="AA683" s="298" t="s">
        <v>1133</v>
      </c>
    </row>
    <row r="684" ht="42.75" customHeight="1">
      <c r="A684" s="69">
        <v>43710.0</v>
      </c>
      <c r="B684" s="144" t="s">
        <v>1251</v>
      </c>
      <c r="C684" s="21" t="s">
        <v>1583</v>
      </c>
      <c r="D684" s="21" t="s">
        <v>1584</v>
      </c>
      <c r="E684" s="32" t="s">
        <v>1586</v>
      </c>
      <c r="F684" s="24">
        <v>7.0</v>
      </c>
      <c r="G684" s="436">
        <v>71.0</v>
      </c>
      <c r="H684" s="60">
        <v>497.0</v>
      </c>
      <c r="I684" s="61" t="s">
        <v>105</v>
      </c>
      <c r="J684" s="63" t="s">
        <v>1361</v>
      </c>
      <c r="K684" s="29">
        <v>43728.0</v>
      </c>
      <c r="L684" s="306"/>
      <c r="M684" s="306"/>
      <c r="N684" s="306"/>
      <c r="O684" s="306"/>
      <c r="P684" s="306"/>
      <c r="Q684" s="298"/>
      <c r="R684" s="298"/>
      <c r="S684" s="299"/>
      <c r="T684" s="29">
        <v>43760.0</v>
      </c>
      <c r="U684" s="299"/>
      <c r="V684" s="299"/>
      <c r="W684" s="298" t="s">
        <v>50</v>
      </c>
      <c r="X684" s="298" t="s">
        <v>285</v>
      </c>
      <c r="Y684" s="298" t="s">
        <v>286</v>
      </c>
      <c r="Z684" s="298" t="s">
        <v>52</v>
      </c>
      <c r="AA684" s="298" t="s">
        <v>1133</v>
      </c>
    </row>
    <row r="685" ht="42.75" customHeight="1">
      <c r="A685" s="69">
        <v>43710.0</v>
      </c>
      <c r="B685" s="144" t="s">
        <v>1251</v>
      </c>
      <c r="C685" s="21" t="s">
        <v>1583</v>
      </c>
      <c r="D685" s="21" t="s">
        <v>1584</v>
      </c>
      <c r="E685" s="32" t="s">
        <v>1587</v>
      </c>
      <c r="F685" s="24">
        <v>7.0</v>
      </c>
      <c r="G685" s="436">
        <v>60.0</v>
      </c>
      <c r="H685" s="60">
        <v>420.0</v>
      </c>
      <c r="I685" s="61" t="s">
        <v>105</v>
      </c>
      <c r="J685" s="63" t="s">
        <v>1361</v>
      </c>
      <c r="K685" s="29">
        <v>43728.0</v>
      </c>
      <c r="L685" s="306"/>
      <c r="M685" s="306"/>
      <c r="N685" s="306"/>
      <c r="O685" s="306"/>
      <c r="P685" s="306"/>
      <c r="Q685" s="298"/>
      <c r="R685" s="298"/>
      <c r="S685" s="299"/>
      <c r="T685" s="29">
        <v>43760.0</v>
      </c>
      <c r="U685" s="299"/>
      <c r="V685" s="299"/>
      <c r="W685" s="298" t="s">
        <v>50</v>
      </c>
      <c r="X685" s="298" t="s">
        <v>285</v>
      </c>
      <c r="Y685" s="298" t="s">
        <v>286</v>
      </c>
      <c r="Z685" s="298" t="s">
        <v>52</v>
      </c>
      <c r="AA685" s="298" t="s">
        <v>1133</v>
      </c>
    </row>
    <row r="686" ht="42.75" customHeight="1">
      <c r="A686" s="69">
        <v>43710.0</v>
      </c>
      <c r="B686" s="144" t="s">
        <v>1251</v>
      </c>
      <c r="C686" s="21" t="s">
        <v>1583</v>
      </c>
      <c r="D686" s="21" t="s">
        <v>1584</v>
      </c>
      <c r="E686" s="32" t="s">
        <v>1588</v>
      </c>
      <c r="F686" s="24">
        <v>7.0</v>
      </c>
      <c r="G686" s="436">
        <v>38.0</v>
      </c>
      <c r="H686" s="60">
        <v>266.0</v>
      </c>
      <c r="I686" s="61" t="s">
        <v>105</v>
      </c>
      <c r="J686" s="63" t="s">
        <v>1361</v>
      </c>
      <c r="K686" s="29">
        <v>43728.0</v>
      </c>
      <c r="L686" s="306"/>
      <c r="M686" s="306"/>
      <c r="N686" s="306"/>
      <c r="O686" s="306"/>
      <c r="P686" s="306"/>
      <c r="Q686" s="298"/>
      <c r="R686" s="298"/>
      <c r="S686" s="299"/>
      <c r="T686" s="29">
        <v>43760.0</v>
      </c>
      <c r="U686" s="299"/>
      <c r="V686" s="299"/>
      <c r="W686" s="298" t="s">
        <v>50</v>
      </c>
      <c r="X686" s="298" t="s">
        <v>285</v>
      </c>
      <c r="Y686" s="298" t="s">
        <v>286</v>
      </c>
      <c r="Z686" s="298" t="s">
        <v>52</v>
      </c>
      <c r="AA686" s="298" t="s">
        <v>1133</v>
      </c>
    </row>
    <row r="687" ht="42.75" customHeight="1">
      <c r="A687" s="69">
        <v>43710.0</v>
      </c>
      <c r="B687" s="144" t="s">
        <v>1251</v>
      </c>
      <c r="C687" s="21" t="s">
        <v>1583</v>
      </c>
      <c r="D687" s="21" t="s">
        <v>1584</v>
      </c>
      <c r="E687" s="32" t="s">
        <v>1589</v>
      </c>
      <c r="F687" s="24">
        <v>7.0</v>
      </c>
      <c r="G687" s="436">
        <v>10.0</v>
      </c>
      <c r="H687" s="60">
        <v>70.0</v>
      </c>
      <c r="I687" s="61" t="s">
        <v>105</v>
      </c>
      <c r="J687" s="63" t="s">
        <v>1361</v>
      </c>
      <c r="K687" s="29">
        <v>43728.0</v>
      </c>
      <c r="L687" s="306"/>
      <c r="M687" s="306"/>
      <c r="N687" s="306"/>
      <c r="O687" s="306"/>
      <c r="P687" s="306"/>
      <c r="Q687" s="298"/>
      <c r="R687" s="298"/>
      <c r="S687" s="299"/>
      <c r="T687" s="29">
        <v>43760.0</v>
      </c>
      <c r="U687" s="299"/>
      <c r="V687" s="299"/>
      <c r="W687" s="298" t="s">
        <v>50</v>
      </c>
      <c r="X687" s="298" t="s">
        <v>285</v>
      </c>
      <c r="Y687" s="298" t="s">
        <v>286</v>
      </c>
      <c r="Z687" s="298" t="s">
        <v>52</v>
      </c>
      <c r="AA687" s="298" t="s">
        <v>1133</v>
      </c>
    </row>
    <row r="688" ht="42.75" customHeight="1">
      <c r="A688" s="69">
        <v>43710.0</v>
      </c>
      <c r="B688" s="144" t="s">
        <v>1251</v>
      </c>
      <c r="C688" s="21" t="s">
        <v>1583</v>
      </c>
      <c r="D688" s="21" t="s">
        <v>1584</v>
      </c>
      <c r="E688" s="32" t="s">
        <v>1590</v>
      </c>
      <c r="F688" s="24">
        <v>7.0</v>
      </c>
      <c r="G688" s="436">
        <v>47.0</v>
      </c>
      <c r="H688" s="60">
        <v>329.0</v>
      </c>
      <c r="I688" s="61" t="s">
        <v>105</v>
      </c>
      <c r="J688" s="63" t="s">
        <v>1361</v>
      </c>
      <c r="K688" s="29">
        <v>43728.0</v>
      </c>
      <c r="L688" s="306"/>
      <c r="M688" s="306"/>
      <c r="N688" s="306"/>
      <c r="O688" s="306"/>
      <c r="P688" s="306"/>
      <c r="Q688" s="298"/>
      <c r="R688" s="298"/>
      <c r="S688" s="299"/>
      <c r="T688" s="29">
        <v>43760.0</v>
      </c>
      <c r="U688" s="299"/>
      <c r="V688" s="299"/>
      <c r="W688" s="298" t="s">
        <v>50</v>
      </c>
      <c r="X688" s="298" t="s">
        <v>285</v>
      </c>
      <c r="Y688" s="298" t="s">
        <v>286</v>
      </c>
      <c r="Z688" s="298" t="s">
        <v>52</v>
      </c>
      <c r="AA688" s="298" t="s">
        <v>1133</v>
      </c>
    </row>
    <row r="689" ht="42.75" customHeight="1">
      <c r="A689" s="69">
        <v>43710.0</v>
      </c>
      <c r="B689" s="144" t="s">
        <v>1251</v>
      </c>
      <c r="C689" s="21" t="s">
        <v>1583</v>
      </c>
      <c r="D689" s="21" t="s">
        <v>1591</v>
      </c>
      <c r="E689" s="23" t="s">
        <v>1592</v>
      </c>
      <c r="F689" s="24">
        <v>1.0</v>
      </c>
      <c r="G689" s="436">
        <v>621.0</v>
      </c>
      <c r="H689" s="60">
        <v>621.0</v>
      </c>
      <c r="I689" s="61" t="s">
        <v>105</v>
      </c>
      <c r="J689" s="63" t="s">
        <v>1593</v>
      </c>
      <c r="K689" s="29">
        <v>43732.0</v>
      </c>
      <c r="L689" s="305"/>
      <c r="M689" s="462"/>
      <c r="N689" s="306"/>
      <c r="O689" s="306"/>
      <c r="P689" s="306"/>
      <c r="Q689" s="298"/>
      <c r="R689" s="298"/>
      <c r="S689" s="299"/>
      <c r="T689" s="29">
        <v>43789.0</v>
      </c>
      <c r="U689" s="299"/>
      <c r="V689" s="299"/>
      <c r="W689" s="298" t="s">
        <v>50</v>
      </c>
      <c r="X689" s="298" t="s">
        <v>285</v>
      </c>
      <c r="Y689" s="298" t="s">
        <v>286</v>
      </c>
      <c r="Z689" s="298" t="s">
        <v>52</v>
      </c>
      <c r="AA689" s="298" t="s">
        <v>1133</v>
      </c>
    </row>
    <row r="690" ht="42.75" customHeight="1">
      <c r="A690" s="69">
        <v>43710.0</v>
      </c>
      <c r="B690" s="144" t="s">
        <v>1251</v>
      </c>
      <c r="C690" s="21" t="s">
        <v>1583</v>
      </c>
      <c r="D690" s="21" t="s">
        <v>1591</v>
      </c>
      <c r="E690" s="23" t="s">
        <v>1586</v>
      </c>
      <c r="F690" s="24">
        <v>1.0</v>
      </c>
      <c r="G690" s="436">
        <v>71.0</v>
      </c>
      <c r="H690" s="60">
        <v>71.0</v>
      </c>
      <c r="I690" s="61" t="s">
        <v>105</v>
      </c>
      <c r="J690" s="63" t="s">
        <v>1593</v>
      </c>
      <c r="K690" s="29">
        <v>43732.0</v>
      </c>
      <c r="L690" s="305"/>
      <c r="M690" s="462"/>
      <c r="N690" s="306"/>
      <c r="O690" s="306"/>
      <c r="P690" s="306"/>
      <c r="Q690" s="298"/>
      <c r="R690" s="298"/>
      <c r="S690" s="299"/>
      <c r="T690" s="29">
        <v>43789.0</v>
      </c>
      <c r="U690" s="299"/>
      <c r="V690" s="299"/>
      <c r="W690" s="298" t="s">
        <v>50</v>
      </c>
      <c r="X690" s="298" t="s">
        <v>285</v>
      </c>
      <c r="Y690" s="298" t="s">
        <v>286</v>
      </c>
      <c r="Z690" s="298" t="s">
        <v>52</v>
      </c>
      <c r="AA690" s="298" t="s">
        <v>1133</v>
      </c>
    </row>
    <row r="691" ht="42.75" customHeight="1">
      <c r="A691" s="69">
        <v>43710.0</v>
      </c>
      <c r="B691" s="144" t="s">
        <v>1251</v>
      </c>
      <c r="C691" s="21" t="s">
        <v>1583</v>
      </c>
      <c r="D691" s="21" t="s">
        <v>1591</v>
      </c>
      <c r="E691" s="32" t="s">
        <v>1587</v>
      </c>
      <c r="F691" s="24">
        <v>1.0</v>
      </c>
      <c r="G691" s="436">
        <v>60.0</v>
      </c>
      <c r="H691" s="60">
        <v>60.0</v>
      </c>
      <c r="I691" s="61" t="s">
        <v>105</v>
      </c>
      <c r="J691" s="63" t="s">
        <v>1593</v>
      </c>
      <c r="K691" s="29">
        <v>43732.0</v>
      </c>
      <c r="L691" s="305"/>
      <c r="M691" s="462"/>
      <c r="N691" s="306"/>
      <c r="O691" s="306"/>
      <c r="P691" s="306"/>
      <c r="Q691" s="298"/>
      <c r="R691" s="298"/>
      <c r="S691" s="299"/>
      <c r="T691" s="29">
        <v>43789.0</v>
      </c>
      <c r="U691" s="299"/>
      <c r="V691" s="299"/>
      <c r="W691" s="298" t="s">
        <v>50</v>
      </c>
      <c r="X691" s="298" t="s">
        <v>285</v>
      </c>
      <c r="Y691" s="298" t="s">
        <v>286</v>
      </c>
      <c r="Z691" s="298" t="s">
        <v>52</v>
      </c>
      <c r="AA691" s="298" t="s">
        <v>1133</v>
      </c>
    </row>
    <row r="692" ht="42.75" customHeight="1">
      <c r="A692" s="69">
        <v>43710.0</v>
      </c>
      <c r="B692" s="144" t="s">
        <v>1251</v>
      </c>
      <c r="C692" s="21" t="s">
        <v>1583</v>
      </c>
      <c r="D692" s="21" t="s">
        <v>1591</v>
      </c>
      <c r="E692" s="32" t="s">
        <v>1588</v>
      </c>
      <c r="F692" s="24">
        <v>1.0</v>
      </c>
      <c r="G692" s="436">
        <v>38.0</v>
      </c>
      <c r="H692" s="60">
        <v>38.0</v>
      </c>
      <c r="I692" s="61" t="s">
        <v>105</v>
      </c>
      <c r="J692" s="63" t="s">
        <v>1593</v>
      </c>
      <c r="K692" s="29">
        <v>43732.0</v>
      </c>
      <c r="L692" s="305"/>
      <c r="M692" s="462"/>
      <c r="N692" s="306"/>
      <c r="O692" s="306"/>
      <c r="P692" s="306"/>
      <c r="Q692" s="298"/>
      <c r="R692" s="298"/>
      <c r="S692" s="299"/>
      <c r="T692" s="29">
        <v>43789.0</v>
      </c>
      <c r="U692" s="299"/>
      <c r="V692" s="299"/>
      <c r="W692" s="298" t="s">
        <v>50</v>
      </c>
      <c r="X692" s="298" t="s">
        <v>285</v>
      </c>
      <c r="Y692" s="298" t="s">
        <v>286</v>
      </c>
      <c r="Z692" s="298" t="s">
        <v>52</v>
      </c>
      <c r="AA692" s="298" t="s">
        <v>1133</v>
      </c>
    </row>
    <row r="693" ht="42.75" customHeight="1">
      <c r="A693" s="110">
        <v>43710.0</v>
      </c>
      <c r="B693" s="147" t="s">
        <v>1251</v>
      </c>
      <c r="C693" s="21" t="s">
        <v>1583</v>
      </c>
      <c r="D693" s="21" t="s">
        <v>1591</v>
      </c>
      <c r="E693" s="23" t="s">
        <v>1589</v>
      </c>
      <c r="F693" s="24">
        <v>1.0</v>
      </c>
      <c r="G693" s="436">
        <v>10.0</v>
      </c>
      <c r="H693" s="60">
        <v>10.0</v>
      </c>
      <c r="I693" s="61" t="s">
        <v>105</v>
      </c>
      <c r="J693" s="63" t="s">
        <v>1593</v>
      </c>
      <c r="K693" s="29">
        <v>43732.0</v>
      </c>
      <c r="L693" s="305"/>
      <c r="M693" s="462"/>
      <c r="N693" s="306"/>
      <c r="O693" s="306"/>
      <c r="P693" s="306"/>
      <c r="Q693" s="298"/>
      <c r="R693" s="298"/>
      <c r="S693" s="299"/>
      <c r="T693" s="29">
        <v>43789.0</v>
      </c>
      <c r="U693" s="299"/>
      <c r="V693" s="299"/>
      <c r="W693" s="298" t="s">
        <v>50</v>
      </c>
      <c r="X693" s="298" t="s">
        <v>285</v>
      </c>
      <c r="Y693" s="298" t="s">
        <v>286</v>
      </c>
      <c r="Z693" s="298" t="s">
        <v>52</v>
      </c>
      <c r="AA693" s="298" t="s">
        <v>1133</v>
      </c>
    </row>
    <row r="694" ht="42.75" customHeight="1">
      <c r="A694" s="110">
        <v>43710.0</v>
      </c>
      <c r="B694" s="147" t="s">
        <v>1251</v>
      </c>
      <c r="C694" s="21" t="s">
        <v>1583</v>
      </c>
      <c r="D694" s="21" t="s">
        <v>1591</v>
      </c>
      <c r="E694" s="23" t="s">
        <v>1590</v>
      </c>
      <c r="F694" s="24">
        <v>1.0</v>
      </c>
      <c r="G694" s="436">
        <v>47.0</v>
      </c>
      <c r="H694" s="60">
        <v>47.0</v>
      </c>
      <c r="I694" s="61" t="s">
        <v>105</v>
      </c>
      <c r="J694" s="63" t="s">
        <v>1593</v>
      </c>
      <c r="K694" s="29">
        <v>43732.0</v>
      </c>
      <c r="L694" s="305"/>
      <c r="M694" s="462"/>
      <c r="N694" s="306"/>
      <c r="O694" s="306"/>
      <c r="P694" s="306"/>
      <c r="Q694" s="298"/>
      <c r="R694" s="298"/>
      <c r="S694" s="299"/>
      <c r="T694" s="29">
        <v>43789.0</v>
      </c>
      <c r="U694" s="299"/>
      <c r="V694" s="299"/>
      <c r="W694" s="298" t="s">
        <v>50</v>
      </c>
      <c r="X694" s="298" t="s">
        <v>285</v>
      </c>
      <c r="Y694" s="298" t="s">
        <v>286</v>
      </c>
      <c r="Z694" s="298" t="s">
        <v>52</v>
      </c>
      <c r="AA694" s="298" t="s">
        <v>1133</v>
      </c>
    </row>
    <row r="695" ht="42.75" customHeight="1">
      <c r="A695" s="110">
        <v>43710.0</v>
      </c>
      <c r="B695" s="147" t="s">
        <v>1251</v>
      </c>
      <c r="C695" s="21" t="s">
        <v>1583</v>
      </c>
      <c r="D695" s="21" t="s">
        <v>1591</v>
      </c>
      <c r="E695" s="23" t="s">
        <v>347</v>
      </c>
      <c r="F695" s="24">
        <v>1.0</v>
      </c>
      <c r="G695" s="436">
        <v>0.0</v>
      </c>
      <c r="H695" s="60">
        <v>0.0</v>
      </c>
      <c r="I695" s="87" t="s">
        <v>105</v>
      </c>
      <c r="J695" s="63" t="s">
        <v>1593</v>
      </c>
      <c r="K695" s="29">
        <v>43732.0</v>
      </c>
      <c r="L695" s="533">
        <v>43769.0</v>
      </c>
      <c r="M695" s="472">
        <v>43738.0</v>
      </c>
      <c r="N695" s="53" t="s">
        <v>1594</v>
      </c>
      <c r="O695" s="53"/>
      <c r="P695" s="53"/>
      <c r="Q695" s="54"/>
      <c r="R695" s="54"/>
      <c r="S695" s="55"/>
      <c r="T695" s="29">
        <v>43789.0</v>
      </c>
      <c r="U695" s="299"/>
      <c r="V695" s="299"/>
      <c r="W695" s="298" t="s">
        <v>50</v>
      </c>
      <c r="X695" s="54" t="s">
        <v>285</v>
      </c>
      <c r="Y695" s="54" t="s">
        <v>286</v>
      </c>
      <c r="Z695" s="54" t="s">
        <v>52</v>
      </c>
      <c r="AA695" s="54" t="s">
        <v>1133</v>
      </c>
    </row>
    <row r="696" ht="42.75" customHeight="1">
      <c r="A696" s="69">
        <v>43710.0</v>
      </c>
      <c r="B696" s="144" t="s">
        <v>1251</v>
      </c>
      <c r="C696" s="21" t="s">
        <v>1595</v>
      </c>
      <c r="D696" s="21" t="s">
        <v>1596</v>
      </c>
      <c r="E696" s="32" t="s">
        <v>1597</v>
      </c>
      <c r="F696" s="24">
        <v>1.0</v>
      </c>
      <c r="G696" s="436">
        <v>621.0</v>
      </c>
      <c r="H696" s="60">
        <v>621.0</v>
      </c>
      <c r="I696" s="61" t="s">
        <v>105</v>
      </c>
      <c r="J696" s="63" t="s">
        <v>1361</v>
      </c>
      <c r="K696" s="29">
        <v>43734.0</v>
      </c>
      <c r="L696" s="305"/>
      <c r="M696" s="462"/>
      <c r="N696" s="306"/>
      <c r="O696" s="306"/>
      <c r="P696" s="306"/>
      <c r="Q696" s="298"/>
      <c r="R696" s="298"/>
      <c r="S696" s="299"/>
      <c r="T696" s="29">
        <v>43789.0</v>
      </c>
      <c r="U696" s="299"/>
      <c r="V696" s="299"/>
      <c r="W696" s="298" t="s">
        <v>50</v>
      </c>
      <c r="X696" s="298" t="s">
        <v>285</v>
      </c>
      <c r="Y696" s="298" t="s">
        <v>286</v>
      </c>
      <c r="Z696" s="298" t="s">
        <v>52</v>
      </c>
      <c r="AA696" s="298" t="s">
        <v>1133</v>
      </c>
    </row>
    <row r="697" ht="42.75" customHeight="1">
      <c r="A697" s="69">
        <v>43710.0</v>
      </c>
      <c r="B697" s="144" t="s">
        <v>1251</v>
      </c>
      <c r="C697" s="21" t="s">
        <v>1595</v>
      </c>
      <c r="D697" s="21" t="s">
        <v>1596</v>
      </c>
      <c r="E697" s="32" t="s">
        <v>1586</v>
      </c>
      <c r="F697" s="24">
        <v>1.0</v>
      </c>
      <c r="G697" s="436">
        <v>71.0</v>
      </c>
      <c r="H697" s="60">
        <v>71.0</v>
      </c>
      <c r="I697" s="61" t="s">
        <v>105</v>
      </c>
      <c r="J697" s="63" t="s">
        <v>1361</v>
      </c>
      <c r="K697" s="29">
        <v>43734.0</v>
      </c>
      <c r="L697" s="305"/>
      <c r="M697" s="462"/>
      <c r="N697" s="306"/>
      <c r="O697" s="306"/>
      <c r="P697" s="306"/>
      <c r="Q697" s="298"/>
      <c r="R697" s="298"/>
      <c r="S697" s="299"/>
      <c r="T697" s="29">
        <v>43789.0</v>
      </c>
      <c r="U697" s="299"/>
      <c r="V697" s="299"/>
      <c r="W697" s="298" t="s">
        <v>50</v>
      </c>
      <c r="X697" s="298" t="s">
        <v>285</v>
      </c>
      <c r="Y697" s="298" t="s">
        <v>286</v>
      </c>
      <c r="Z697" s="298" t="s">
        <v>52</v>
      </c>
      <c r="AA697" s="298" t="s">
        <v>1133</v>
      </c>
    </row>
    <row r="698" ht="42.75" customHeight="1">
      <c r="A698" s="69">
        <v>43710.0</v>
      </c>
      <c r="B698" s="144" t="s">
        <v>1251</v>
      </c>
      <c r="C698" s="21" t="s">
        <v>1595</v>
      </c>
      <c r="D698" s="21" t="s">
        <v>1596</v>
      </c>
      <c r="E698" s="32" t="s">
        <v>1587</v>
      </c>
      <c r="F698" s="24">
        <v>1.0</v>
      </c>
      <c r="G698" s="436">
        <v>60.0</v>
      </c>
      <c r="H698" s="60">
        <v>60.0</v>
      </c>
      <c r="I698" s="61" t="s">
        <v>105</v>
      </c>
      <c r="J698" s="63" t="s">
        <v>1361</v>
      </c>
      <c r="K698" s="29">
        <v>43734.0</v>
      </c>
      <c r="L698" s="305"/>
      <c r="M698" s="462"/>
      <c r="N698" s="306"/>
      <c r="O698" s="306"/>
      <c r="P698" s="306"/>
      <c r="Q698" s="298"/>
      <c r="R698" s="298"/>
      <c r="S698" s="299"/>
      <c r="T698" s="29">
        <v>43789.0</v>
      </c>
      <c r="U698" s="299"/>
      <c r="V698" s="299"/>
      <c r="W698" s="298" t="s">
        <v>50</v>
      </c>
      <c r="X698" s="298" t="s">
        <v>285</v>
      </c>
      <c r="Y698" s="298" t="s">
        <v>286</v>
      </c>
      <c r="Z698" s="298" t="s">
        <v>52</v>
      </c>
      <c r="AA698" s="298" t="s">
        <v>1133</v>
      </c>
    </row>
    <row r="699" ht="42.75" customHeight="1">
      <c r="A699" s="69">
        <v>43710.0</v>
      </c>
      <c r="B699" s="144" t="s">
        <v>1251</v>
      </c>
      <c r="C699" s="21" t="s">
        <v>1595</v>
      </c>
      <c r="D699" s="21" t="s">
        <v>1596</v>
      </c>
      <c r="E699" s="32" t="s">
        <v>1588</v>
      </c>
      <c r="F699" s="24">
        <v>1.0</v>
      </c>
      <c r="G699" s="436">
        <v>38.0</v>
      </c>
      <c r="H699" s="60">
        <v>38.0</v>
      </c>
      <c r="I699" s="61" t="s">
        <v>105</v>
      </c>
      <c r="J699" s="63" t="s">
        <v>1361</v>
      </c>
      <c r="K699" s="29">
        <v>43734.0</v>
      </c>
      <c r="L699" s="305"/>
      <c r="M699" s="462"/>
      <c r="N699" s="306"/>
      <c r="O699" s="306"/>
      <c r="P699" s="306"/>
      <c r="Q699" s="298"/>
      <c r="R699" s="298"/>
      <c r="S699" s="299"/>
      <c r="T699" s="29">
        <v>43789.0</v>
      </c>
      <c r="U699" s="299"/>
      <c r="V699" s="299"/>
      <c r="W699" s="298" t="s">
        <v>50</v>
      </c>
      <c r="X699" s="298" t="s">
        <v>285</v>
      </c>
      <c r="Y699" s="298" t="s">
        <v>286</v>
      </c>
      <c r="Z699" s="298" t="s">
        <v>52</v>
      </c>
      <c r="AA699" s="298" t="s">
        <v>1133</v>
      </c>
    </row>
    <row r="700" ht="42.75" customHeight="1">
      <c r="A700" s="69">
        <v>43710.0</v>
      </c>
      <c r="B700" s="144" t="s">
        <v>1251</v>
      </c>
      <c r="C700" s="21" t="s">
        <v>1595</v>
      </c>
      <c r="D700" s="21" t="s">
        <v>1596</v>
      </c>
      <c r="E700" s="32" t="s">
        <v>1589</v>
      </c>
      <c r="F700" s="24">
        <v>1.0</v>
      </c>
      <c r="G700" s="436">
        <v>10.0</v>
      </c>
      <c r="H700" s="60">
        <v>10.0</v>
      </c>
      <c r="I700" s="61" t="s">
        <v>105</v>
      </c>
      <c r="J700" s="63" t="s">
        <v>1361</v>
      </c>
      <c r="K700" s="29">
        <v>43734.0</v>
      </c>
      <c r="L700" s="305"/>
      <c r="M700" s="462"/>
      <c r="N700" s="306"/>
      <c r="O700" s="306"/>
      <c r="P700" s="306"/>
      <c r="Q700" s="298"/>
      <c r="R700" s="298"/>
      <c r="S700" s="299"/>
      <c r="T700" s="29">
        <v>43789.0</v>
      </c>
      <c r="U700" s="299"/>
      <c r="V700" s="299"/>
      <c r="W700" s="298" t="s">
        <v>50</v>
      </c>
      <c r="X700" s="298" t="s">
        <v>285</v>
      </c>
      <c r="Y700" s="298" t="s">
        <v>286</v>
      </c>
      <c r="Z700" s="298" t="s">
        <v>52</v>
      </c>
      <c r="AA700" s="298" t="s">
        <v>1133</v>
      </c>
    </row>
    <row r="701" ht="42.75" customHeight="1">
      <c r="A701" s="69">
        <v>43710.0</v>
      </c>
      <c r="B701" s="144" t="s">
        <v>1251</v>
      </c>
      <c r="C701" s="21" t="s">
        <v>1595</v>
      </c>
      <c r="D701" s="21" t="s">
        <v>1596</v>
      </c>
      <c r="E701" s="32" t="s">
        <v>1590</v>
      </c>
      <c r="F701" s="24">
        <v>1.0</v>
      </c>
      <c r="G701" s="436">
        <v>47.0</v>
      </c>
      <c r="H701" s="60">
        <v>47.0</v>
      </c>
      <c r="I701" s="61" t="s">
        <v>105</v>
      </c>
      <c r="J701" s="63" t="s">
        <v>1361</v>
      </c>
      <c r="K701" s="29">
        <v>43734.0</v>
      </c>
      <c r="L701" s="305"/>
      <c r="M701" s="462"/>
      <c r="N701" s="306"/>
      <c r="O701" s="306"/>
      <c r="P701" s="306"/>
      <c r="Q701" s="298"/>
      <c r="R701" s="298"/>
      <c r="S701" s="299"/>
      <c r="T701" s="29">
        <v>43789.0</v>
      </c>
      <c r="U701" s="299"/>
      <c r="V701" s="299"/>
      <c r="W701" s="298" t="s">
        <v>50</v>
      </c>
      <c r="X701" s="298" t="s">
        <v>285</v>
      </c>
      <c r="Y701" s="298" t="s">
        <v>286</v>
      </c>
      <c r="Z701" s="298" t="s">
        <v>52</v>
      </c>
      <c r="AA701" s="298" t="s">
        <v>1133</v>
      </c>
    </row>
    <row r="702" ht="42.75" customHeight="1">
      <c r="A702" s="69">
        <v>43712.0</v>
      </c>
      <c r="B702" s="70" t="s">
        <v>906</v>
      </c>
      <c r="C702" s="21" t="s">
        <v>1454</v>
      </c>
      <c r="D702" s="21" t="s">
        <v>1598</v>
      </c>
      <c r="E702" s="522" t="s">
        <v>1458</v>
      </c>
      <c r="F702" s="24">
        <v>48.0</v>
      </c>
      <c r="G702" s="436">
        <v>5.8</v>
      </c>
      <c r="H702" s="60">
        <v>278.4</v>
      </c>
      <c r="I702" s="61" t="s">
        <v>105</v>
      </c>
      <c r="J702" s="63" t="s">
        <v>934</v>
      </c>
      <c r="K702" s="29">
        <v>43726.0</v>
      </c>
      <c r="L702" s="305">
        <v>43769.0</v>
      </c>
      <c r="M702" s="462">
        <v>43719.0</v>
      </c>
      <c r="N702" s="306" t="s">
        <v>1599</v>
      </c>
      <c r="O702" s="306">
        <v>96376.0</v>
      </c>
      <c r="P702" s="306"/>
      <c r="Q702" s="298"/>
      <c r="R702" s="298"/>
      <c r="S702" s="299"/>
      <c r="T702" s="300">
        <v>43714.0</v>
      </c>
      <c r="U702" s="299">
        <f>4745.99*31.19</f>
        <v>148027.4281</v>
      </c>
      <c r="V702" s="299">
        <f>(4763.4-4745.99)*31.19</f>
        <v>543.0179</v>
      </c>
      <c r="W702" s="298" t="s">
        <v>50</v>
      </c>
      <c r="X702" s="298" t="s">
        <v>285</v>
      </c>
      <c r="Y702" s="298" t="s">
        <v>51</v>
      </c>
      <c r="Z702" s="298" t="s">
        <v>52</v>
      </c>
      <c r="AA702" s="298" t="s">
        <v>1133</v>
      </c>
    </row>
    <row r="703" ht="42.75" customHeight="1">
      <c r="A703" s="110">
        <v>43712.0</v>
      </c>
      <c r="B703" s="70" t="s">
        <v>906</v>
      </c>
      <c r="C703" s="21" t="s">
        <v>1454</v>
      </c>
      <c r="D703" s="21" t="s">
        <v>1598</v>
      </c>
      <c r="E703" s="535" t="s">
        <v>1456</v>
      </c>
      <c r="F703" s="24">
        <v>15.0</v>
      </c>
      <c r="G703" s="436">
        <v>212.0</v>
      </c>
      <c r="H703" s="60">
        <v>3180.0</v>
      </c>
      <c r="I703" s="61" t="s">
        <v>105</v>
      </c>
      <c r="J703" s="63" t="s">
        <v>934</v>
      </c>
      <c r="K703" s="29">
        <v>43726.0</v>
      </c>
      <c r="L703" s="305">
        <v>43769.0</v>
      </c>
      <c r="M703" s="462">
        <v>43719.0</v>
      </c>
      <c r="N703" s="306" t="s">
        <v>1599</v>
      </c>
      <c r="O703" s="306"/>
      <c r="P703" s="306"/>
      <c r="Q703" s="298"/>
      <c r="R703" s="298"/>
      <c r="S703" s="299"/>
      <c r="T703" s="300">
        <v>43714.0</v>
      </c>
      <c r="U703" s="299"/>
      <c r="V703" s="299"/>
      <c r="W703" s="298" t="s">
        <v>50</v>
      </c>
      <c r="X703" s="298" t="s">
        <v>285</v>
      </c>
      <c r="Y703" s="298" t="s">
        <v>51</v>
      </c>
      <c r="Z703" s="298" t="s">
        <v>52</v>
      </c>
      <c r="AA703" s="298" t="s">
        <v>1133</v>
      </c>
    </row>
    <row r="704" ht="42.75" customHeight="1">
      <c r="A704" s="110">
        <v>43712.0</v>
      </c>
      <c r="B704" s="70" t="s">
        <v>906</v>
      </c>
      <c r="C704" s="21" t="s">
        <v>1454</v>
      </c>
      <c r="D704" s="21" t="s">
        <v>1598</v>
      </c>
      <c r="E704" s="535" t="s">
        <v>1600</v>
      </c>
      <c r="F704" s="24">
        <v>3.0</v>
      </c>
      <c r="G704" s="436">
        <v>435.0</v>
      </c>
      <c r="H704" s="60">
        <v>1305.0</v>
      </c>
      <c r="I704" s="61" t="s">
        <v>105</v>
      </c>
      <c r="J704" s="63" t="s">
        <v>934</v>
      </c>
      <c r="K704" s="29">
        <v>43726.0</v>
      </c>
      <c r="L704" s="305">
        <v>43769.0</v>
      </c>
      <c r="M704" s="462">
        <v>43725.0</v>
      </c>
      <c r="N704" s="306" t="s">
        <v>1601</v>
      </c>
      <c r="O704" s="306">
        <v>35994.0</v>
      </c>
      <c r="P704" s="306"/>
      <c r="Q704" s="298"/>
      <c r="R704" s="298"/>
      <c r="S704" s="299"/>
      <c r="T704" s="300">
        <v>43714.0</v>
      </c>
      <c r="U704" s="299"/>
      <c r="V704" s="299"/>
      <c r="W704" s="298" t="s">
        <v>50</v>
      </c>
      <c r="X704" s="298" t="s">
        <v>285</v>
      </c>
      <c r="Y704" s="298" t="s">
        <v>51</v>
      </c>
      <c r="Z704" s="298" t="s">
        <v>52</v>
      </c>
      <c r="AA704" s="298" t="s">
        <v>1133</v>
      </c>
    </row>
    <row r="705" ht="42.75" customHeight="1">
      <c r="A705" s="536">
        <v>43713.0</v>
      </c>
      <c r="B705" s="70" t="s">
        <v>101</v>
      </c>
      <c r="C705" s="21" t="s">
        <v>1602</v>
      </c>
      <c r="D705" s="21" t="s">
        <v>1603</v>
      </c>
      <c r="E705" s="23" t="s">
        <v>1604</v>
      </c>
      <c r="F705" s="24">
        <v>3.0</v>
      </c>
      <c r="G705" s="48">
        <v>165.0</v>
      </c>
      <c r="H705" s="60">
        <v>495.0</v>
      </c>
      <c r="I705" s="61" t="s">
        <v>105</v>
      </c>
      <c r="J705" s="63" t="s">
        <v>534</v>
      </c>
      <c r="K705" s="29">
        <v>43718.0</v>
      </c>
      <c r="L705" s="305">
        <v>43769.0</v>
      </c>
      <c r="M705" s="462">
        <v>43714.0</v>
      </c>
      <c r="N705" s="537" t="s">
        <v>1605</v>
      </c>
      <c r="O705" s="306">
        <v>13703.0</v>
      </c>
      <c r="P705" s="306"/>
      <c r="Q705" s="298"/>
      <c r="R705" s="298"/>
      <c r="S705" s="299"/>
      <c r="T705" s="29">
        <v>43760.0</v>
      </c>
      <c r="U705" s="299"/>
      <c r="V705" s="299"/>
      <c r="W705" s="298" t="s">
        <v>50</v>
      </c>
      <c r="X705" s="298" t="s">
        <v>285</v>
      </c>
      <c r="Y705" s="298" t="s">
        <v>51</v>
      </c>
      <c r="Z705" s="298" t="s">
        <v>52</v>
      </c>
      <c r="AA705" s="298" t="s">
        <v>1133</v>
      </c>
    </row>
    <row r="706" ht="42.75" customHeight="1">
      <c r="A706" s="536">
        <v>43713.0</v>
      </c>
      <c r="B706" s="70" t="s">
        <v>101</v>
      </c>
      <c r="C706" s="21" t="s">
        <v>1606</v>
      </c>
      <c r="D706" s="477" t="s">
        <v>1607</v>
      </c>
      <c r="E706" s="23" t="s">
        <v>1608</v>
      </c>
      <c r="F706" s="24">
        <v>10.0</v>
      </c>
      <c r="G706" s="74">
        <v>610.0</v>
      </c>
      <c r="H706" s="60">
        <v>6100.0</v>
      </c>
      <c r="I706" s="61" t="s">
        <v>105</v>
      </c>
      <c r="J706" s="63" t="s">
        <v>1028</v>
      </c>
      <c r="K706" s="29">
        <v>43734.0</v>
      </c>
      <c r="L706" s="305">
        <v>43769.0</v>
      </c>
      <c r="M706" s="462">
        <v>43731.0</v>
      </c>
      <c r="N706" s="306" t="s">
        <v>1609</v>
      </c>
      <c r="O706" s="306">
        <v>249535.0</v>
      </c>
      <c r="P706" s="306"/>
      <c r="Q706" s="298"/>
      <c r="R706" s="298"/>
      <c r="S706" s="299"/>
      <c r="T706" s="29">
        <v>43789.0</v>
      </c>
      <c r="U706" s="299"/>
      <c r="V706" s="299"/>
      <c r="W706" s="298" t="s">
        <v>50</v>
      </c>
      <c r="X706" s="298" t="s">
        <v>285</v>
      </c>
      <c r="Y706" s="298" t="s">
        <v>51</v>
      </c>
      <c r="Z706" s="298" t="s">
        <v>52</v>
      </c>
      <c r="AA706" s="298" t="s">
        <v>1133</v>
      </c>
    </row>
    <row r="707" ht="42.75" customHeight="1">
      <c r="A707" s="536">
        <v>43713.0</v>
      </c>
      <c r="B707" s="70" t="s">
        <v>101</v>
      </c>
      <c r="C707" s="21" t="s">
        <v>1606</v>
      </c>
      <c r="D707" s="477" t="s">
        <v>1607</v>
      </c>
      <c r="E707" s="23" t="s">
        <v>1610</v>
      </c>
      <c r="F707" s="24">
        <v>10.0</v>
      </c>
      <c r="G707" s="74">
        <v>219.0</v>
      </c>
      <c r="H707" s="60">
        <v>2190.0</v>
      </c>
      <c r="I707" s="61" t="s">
        <v>105</v>
      </c>
      <c r="J707" s="63" t="s">
        <v>1028</v>
      </c>
      <c r="K707" s="29">
        <v>43734.0</v>
      </c>
      <c r="L707" s="305">
        <v>43769.0</v>
      </c>
      <c r="M707" s="462">
        <v>43731.0</v>
      </c>
      <c r="N707" s="306" t="s">
        <v>1609</v>
      </c>
      <c r="O707" s="306"/>
      <c r="P707" s="306"/>
      <c r="Q707" s="298"/>
      <c r="R707" s="298"/>
      <c r="S707" s="299"/>
      <c r="T707" s="29">
        <v>43789.0</v>
      </c>
      <c r="U707" s="299"/>
      <c r="V707" s="299"/>
      <c r="W707" s="298" t="s">
        <v>50</v>
      </c>
      <c r="X707" s="298" t="s">
        <v>285</v>
      </c>
      <c r="Y707" s="298" t="s">
        <v>51</v>
      </c>
      <c r="Z707" s="298" t="s">
        <v>52</v>
      </c>
      <c r="AA707" s="298" t="s">
        <v>1133</v>
      </c>
    </row>
    <row r="708" ht="42.75" customHeight="1">
      <c r="A708" s="536">
        <v>43713.0</v>
      </c>
      <c r="B708" s="70" t="s">
        <v>101</v>
      </c>
      <c r="C708" s="21" t="s">
        <v>1606</v>
      </c>
      <c r="D708" s="477" t="s">
        <v>1607</v>
      </c>
      <c r="E708" s="23" t="s">
        <v>1611</v>
      </c>
      <c r="F708" s="24">
        <v>10.0</v>
      </c>
      <c r="G708" s="74">
        <v>54.0</v>
      </c>
      <c r="H708" s="60">
        <v>540.0</v>
      </c>
      <c r="I708" s="61" t="s">
        <v>105</v>
      </c>
      <c r="J708" s="63" t="s">
        <v>1028</v>
      </c>
      <c r="K708" s="29">
        <v>43734.0</v>
      </c>
      <c r="L708" s="462">
        <v>43774.0</v>
      </c>
      <c r="M708" s="462">
        <v>43740.0</v>
      </c>
      <c r="N708" s="306" t="s">
        <v>1612</v>
      </c>
      <c r="O708" s="306">
        <v>12369.0</v>
      </c>
      <c r="P708" s="306"/>
      <c r="Q708" s="298"/>
      <c r="R708" s="298"/>
      <c r="S708" s="299"/>
      <c r="T708" s="29">
        <v>43789.0</v>
      </c>
      <c r="U708" s="299"/>
      <c r="V708" s="299"/>
      <c r="W708" s="298" t="s">
        <v>50</v>
      </c>
      <c r="X708" s="298" t="s">
        <v>285</v>
      </c>
      <c r="Y708" s="298" t="s">
        <v>51</v>
      </c>
      <c r="Z708" s="298" t="s">
        <v>52</v>
      </c>
      <c r="AA708" s="298" t="s">
        <v>1133</v>
      </c>
    </row>
    <row r="709" ht="42.75" customHeight="1">
      <c r="A709" s="110">
        <v>43714.0</v>
      </c>
      <c r="B709" s="70" t="s">
        <v>223</v>
      </c>
      <c r="C709" s="21" t="s">
        <v>1613</v>
      </c>
      <c r="D709" s="21" t="s">
        <v>1614</v>
      </c>
      <c r="E709" s="23" t="s">
        <v>1615</v>
      </c>
      <c r="F709" s="24">
        <v>2.0</v>
      </c>
      <c r="G709" s="48">
        <f>451*1.05</f>
        <v>473.55</v>
      </c>
      <c r="H709" s="60">
        <v>947.1</v>
      </c>
      <c r="I709" s="61" t="s">
        <v>248</v>
      </c>
      <c r="J709" s="63" t="s">
        <v>90</v>
      </c>
      <c r="K709" s="29">
        <v>43725.0</v>
      </c>
      <c r="L709" s="462">
        <v>43769.0</v>
      </c>
      <c r="M709" s="462">
        <v>43724.0</v>
      </c>
      <c r="N709" s="306" t="s">
        <v>1616</v>
      </c>
      <c r="O709" s="306">
        <v>26880.0</v>
      </c>
      <c r="P709" s="306"/>
      <c r="Q709" s="298"/>
      <c r="R709" s="298"/>
      <c r="S709" s="299"/>
      <c r="T709" s="300">
        <v>43743.0</v>
      </c>
      <c r="U709" s="299"/>
      <c r="V709" s="299"/>
      <c r="W709" s="298" t="s">
        <v>50</v>
      </c>
      <c r="X709" s="298" t="s">
        <v>285</v>
      </c>
      <c r="Y709" s="298" t="s">
        <v>51</v>
      </c>
      <c r="Z709" s="298" t="s">
        <v>377</v>
      </c>
      <c r="AA709" s="298" t="s">
        <v>1133</v>
      </c>
    </row>
    <row r="710" ht="42.75" customHeight="1">
      <c r="A710" s="110">
        <v>43714.0</v>
      </c>
      <c r="B710" s="70" t="s">
        <v>721</v>
      </c>
      <c r="C710" s="21" t="s">
        <v>1617</v>
      </c>
      <c r="D710" s="21" t="s">
        <v>1618</v>
      </c>
      <c r="E710" s="23" t="s">
        <v>736</v>
      </c>
      <c r="F710" s="24">
        <v>14.0</v>
      </c>
      <c r="G710" s="48">
        <v>320.0</v>
      </c>
      <c r="H710" s="60">
        <v>4480.0</v>
      </c>
      <c r="I710" s="348" t="s">
        <v>248</v>
      </c>
      <c r="J710" s="22" t="s">
        <v>724</v>
      </c>
      <c r="K710" s="145">
        <v>43735.0</v>
      </c>
      <c r="L710" s="305">
        <v>43769.0</v>
      </c>
      <c r="M710" s="462">
        <v>43733.0</v>
      </c>
      <c r="N710" s="306" t="s">
        <v>1619</v>
      </c>
      <c r="O710" s="306">
        <v>152293.0</v>
      </c>
      <c r="P710" s="306"/>
      <c r="Q710" s="298"/>
      <c r="R710" s="298"/>
      <c r="S710" s="299"/>
      <c r="T710" s="300">
        <v>43732.0</v>
      </c>
      <c r="U710" s="299">
        <f>5695.54*30.96</f>
        <v>176333.9184</v>
      </c>
      <c r="V710" s="299">
        <f>(5713-5695.54)*30.96</f>
        <v>540.5616</v>
      </c>
      <c r="W710" s="298" t="s">
        <v>50</v>
      </c>
      <c r="X710" s="298" t="s">
        <v>285</v>
      </c>
      <c r="Y710" s="298" t="s">
        <v>51</v>
      </c>
      <c r="Z710" s="298" t="s">
        <v>52</v>
      </c>
      <c r="AA710" s="298" t="s">
        <v>1133</v>
      </c>
    </row>
    <row r="711" ht="42.75" customHeight="1">
      <c r="A711" s="110">
        <v>43714.0</v>
      </c>
      <c r="B711" s="70" t="s">
        <v>721</v>
      </c>
      <c r="C711" s="21" t="s">
        <v>1617</v>
      </c>
      <c r="D711" s="21" t="s">
        <v>1618</v>
      </c>
      <c r="E711" s="23" t="s">
        <v>723</v>
      </c>
      <c r="F711" s="24">
        <v>3.0</v>
      </c>
      <c r="G711" s="48">
        <v>94.0</v>
      </c>
      <c r="H711" s="60">
        <v>282.0</v>
      </c>
      <c r="I711" s="348" t="s">
        <v>248</v>
      </c>
      <c r="J711" s="538" t="s">
        <v>724</v>
      </c>
      <c r="K711" s="145">
        <v>43735.0</v>
      </c>
      <c r="L711" s="305">
        <v>43769.0</v>
      </c>
      <c r="M711" s="462">
        <v>43733.0</v>
      </c>
      <c r="N711" s="306" t="s">
        <v>1619</v>
      </c>
      <c r="O711" s="306"/>
      <c r="P711" s="306"/>
      <c r="Q711" s="298"/>
      <c r="R711" s="298"/>
      <c r="S711" s="299"/>
      <c r="T711" s="300">
        <v>43732.0</v>
      </c>
      <c r="U711" s="299"/>
      <c r="V711" s="299"/>
      <c r="W711" s="298" t="s">
        <v>50</v>
      </c>
      <c r="X711" s="298" t="s">
        <v>285</v>
      </c>
      <c r="Y711" s="298" t="s">
        <v>51</v>
      </c>
      <c r="Z711" s="298" t="s">
        <v>52</v>
      </c>
      <c r="AA711" s="298" t="s">
        <v>1133</v>
      </c>
    </row>
    <row r="712" ht="42.75" customHeight="1">
      <c r="A712" s="110">
        <v>43714.0</v>
      </c>
      <c r="B712" s="70" t="s">
        <v>721</v>
      </c>
      <c r="C712" s="21" t="s">
        <v>1617</v>
      </c>
      <c r="D712" s="21" t="s">
        <v>1618</v>
      </c>
      <c r="E712" s="23" t="s">
        <v>1620</v>
      </c>
      <c r="F712" s="24">
        <v>3.0</v>
      </c>
      <c r="G712" s="48">
        <v>317.0</v>
      </c>
      <c r="H712" s="60">
        <v>951.0</v>
      </c>
      <c r="I712" s="348" t="s">
        <v>248</v>
      </c>
      <c r="J712" s="58" t="s">
        <v>724</v>
      </c>
      <c r="K712" s="145">
        <v>43735.0</v>
      </c>
      <c r="L712" s="305">
        <v>43769.0</v>
      </c>
      <c r="M712" s="462">
        <v>43733.0</v>
      </c>
      <c r="N712" s="306" t="s">
        <v>1619</v>
      </c>
      <c r="O712" s="306"/>
      <c r="P712" s="306"/>
      <c r="Q712" s="298"/>
      <c r="R712" s="298"/>
      <c r="S712" s="299"/>
      <c r="T712" s="300">
        <v>43732.0</v>
      </c>
      <c r="U712" s="299"/>
      <c r="V712" s="299"/>
      <c r="W712" s="298" t="s">
        <v>50</v>
      </c>
      <c r="X712" s="298" t="s">
        <v>285</v>
      </c>
      <c r="Y712" s="298" t="s">
        <v>51</v>
      </c>
      <c r="Z712" s="298" t="s">
        <v>52</v>
      </c>
      <c r="AA712" s="298" t="s">
        <v>1133</v>
      </c>
    </row>
    <row r="713" ht="42.75" customHeight="1">
      <c r="A713" s="110">
        <v>43717.0</v>
      </c>
      <c r="B713" s="70" t="s">
        <v>130</v>
      </c>
      <c r="C713" s="21"/>
      <c r="D713" s="21" t="s">
        <v>1621</v>
      </c>
      <c r="E713" s="23" t="s">
        <v>1622</v>
      </c>
      <c r="F713" s="24">
        <v>15.0</v>
      </c>
      <c r="G713" s="48">
        <v>66.0</v>
      </c>
      <c r="H713" s="60">
        <v>990.0</v>
      </c>
      <c r="I713" s="61" t="s">
        <v>248</v>
      </c>
      <c r="J713" s="50" t="s">
        <v>134</v>
      </c>
      <c r="K713" s="30">
        <v>43741.0</v>
      </c>
      <c r="L713" s="305">
        <v>43769.0</v>
      </c>
      <c r="M713" s="462">
        <v>43733.0</v>
      </c>
      <c r="N713" s="306" t="s">
        <v>1046</v>
      </c>
      <c r="O713" s="306"/>
      <c r="P713" s="306"/>
      <c r="Q713" s="298"/>
      <c r="R713" s="298"/>
      <c r="S713" s="299"/>
      <c r="T713" s="29">
        <v>43756.0</v>
      </c>
      <c r="U713" s="299"/>
      <c r="V713" s="299"/>
      <c r="W713" s="298" t="s">
        <v>50</v>
      </c>
      <c r="X713" s="298" t="s">
        <v>285</v>
      </c>
      <c r="Y713" s="298" t="s">
        <v>51</v>
      </c>
      <c r="Z713" s="298" t="s">
        <v>52</v>
      </c>
      <c r="AA713" s="298" t="s">
        <v>763</v>
      </c>
    </row>
    <row r="714" ht="42.75" customHeight="1">
      <c r="A714" s="110">
        <v>43717.0</v>
      </c>
      <c r="B714" s="70" t="s">
        <v>130</v>
      </c>
      <c r="C714" s="21"/>
      <c r="D714" s="21" t="s">
        <v>1621</v>
      </c>
      <c r="E714" s="23" t="s">
        <v>1623</v>
      </c>
      <c r="F714" s="24">
        <v>10.0</v>
      </c>
      <c r="G714" s="48">
        <v>85.0</v>
      </c>
      <c r="H714" s="60">
        <v>850.0</v>
      </c>
      <c r="I714" s="61" t="s">
        <v>248</v>
      </c>
      <c r="J714" s="50" t="s">
        <v>134</v>
      </c>
      <c r="K714" s="30">
        <v>43741.0</v>
      </c>
      <c r="L714" s="305">
        <v>43769.0</v>
      </c>
      <c r="M714" s="462">
        <v>43733.0</v>
      </c>
      <c r="N714" s="306" t="s">
        <v>1046</v>
      </c>
      <c r="O714" s="306"/>
      <c r="P714" s="306"/>
      <c r="Q714" s="298"/>
      <c r="R714" s="298"/>
      <c r="S714" s="299"/>
      <c r="T714" s="29">
        <v>43756.0</v>
      </c>
      <c r="U714" s="299"/>
      <c r="V714" s="299"/>
      <c r="W714" s="298" t="s">
        <v>50</v>
      </c>
      <c r="X714" s="298" t="s">
        <v>285</v>
      </c>
      <c r="Y714" s="298" t="s">
        <v>51</v>
      </c>
      <c r="Z714" s="298" t="s">
        <v>52</v>
      </c>
      <c r="AA714" s="298" t="s">
        <v>763</v>
      </c>
    </row>
    <row r="715" ht="42.75" customHeight="1">
      <c r="A715" s="110">
        <v>43717.0</v>
      </c>
      <c r="B715" s="70" t="s">
        <v>130</v>
      </c>
      <c r="C715" s="21"/>
      <c r="D715" s="21" t="s">
        <v>1621</v>
      </c>
      <c r="E715" s="23" t="s">
        <v>1624</v>
      </c>
      <c r="F715" s="24">
        <v>20.0</v>
      </c>
      <c r="G715" s="48">
        <v>90.0</v>
      </c>
      <c r="H715" s="60">
        <v>1800.0</v>
      </c>
      <c r="I715" s="61" t="s">
        <v>248</v>
      </c>
      <c r="J715" s="50" t="s">
        <v>134</v>
      </c>
      <c r="K715" s="30">
        <v>43741.0</v>
      </c>
      <c r="L715" s="305">
        <v>43769.0</v>
      </c>
      <c r="M715" s="462">
        <v>43733.0</v>
      </c>
      <c r="N715" s="306" t="s">
        <v>1046</v>
      </c>
      <c r="O715" s="306"/>
      <c r="P715" s="306"/>
      <c r="Q715" s="298"/>
      <c r="R715" s="298"/>
      <c r="S715" s="299"/>
      <c r="T715" s="29">
        <v>43756.0</v>
      </c>
      <c r="U715" s="299"/>
      <c r="V715" s="299"/>
      <c r="W715" s="298" t="s">
        <v>50</v>
      </c>
      <c r="X715" s="298" t="s">
        <v>285</v>
      </c>
      <c r="Y715" s="298" t="s">
        <v>51</v>
      </c>
      <c r="Z715" s="298" t="s">
        <v>52</v>
      </c>
      <c r="AA715" s="298" t="s">
        <v>763</v>
      </c>
    </row>
    <row r="716" ht="42.75" customHeight="1">
      <c r="A716" s="110">
        <v>43717.0</v>
      </c>
      <c r="B716" s="70" t="s">
        <v>130</v>
      </c>
      <c r="C716" s="21"/>
      <c r="D716" s="21" t="s">
        <v>1621</v>
      </c>
      <c r="E716" s="23" t="s">
        <v>1625</v>
      </c>
      <c r="F716" s="24">
        <v>5.0</v>
      </c>
      <c r="G716" s="48">
        <v>50.0</v>
      </c>
      <c r="H716" s="60">
        <v>250.0</v>
      </c>
      <c r="I716" s="61" t="s">
        <v>248</v>
      </c>
      <c r="J716" s="50" t="s">
        <v>134</v>
      </c>
      <c r="K716" s="30">
        <v>43741.0</v>
      </c>
      <c r="L716" s="305">
        <v>43769.0</v>
      </c>
      <c r="M716" s="462">
        <v>43733.0</v>
      </c>
      <c r="N716" s="306" t="s">
        <v>1046</v>
      </c>
      <c r="O716" s="306"/>
      <c r="P716" s="306"/>
      <c r="Q716" s="298"/>
      <c r="R716" s="298"/>
      <c r="S716" s="299"/>
      <c r="T716" s="29">
        <v>43756.0</v>
      </c>
      <c r="U716" s="299"/>
      <c r="V716" s="299"/>
      <c r="W716" s="298" t="s">
        <v>50</v>
      </c>
      <c r="X716" s="298" t="s">
        <v>285</v>
      </c>
      <c r="Y716" s="298" t="s">
        <v>51</v>
      </c>
      <c r="Z716" s="298" t="s">
        <v>52</v>
      </c>
      <c r="AA716" s="298" t="s">
        <v>763</v>
      </c>
    </row>
    <row r="717" ht="42.75" customHeight="1">
      <c r="A717" s="110">
        <v>43717.0</v>
      </c>
      <c r="B717" s="70" t="s">
        <v>130</v>
      </c>
      <c r="C717" s="21"/>
      <c r="D717" s="21" t="s">
        <v>1621</v>
      </c>
      <c r="E717" s="23" t="s">
        <v>1626</v>
      </c>
      <c r="F717" s="24">
        <v>10.0</v>
      </c>
      <c r="G717" s="48">
        <v>58.0</v>
      </c>
      <c r="H717" s="60">
        <v>580.0</v>
      </c>
      <c r="I717" s="61" t="s">
        <v>248</v>
      </c>
      <c r="J717" s="50" t="s">
        <v>134</v>
      </c>
      <c r="K717" s="30">
        <v>43741.0</v>
      </c>
      <c r="L717" s="305">
        <v>43769.0</v>
      </c>
      <c r="M717" s="462">
        <v>43733.0</v>
      </c>
      <c r="N717" s="306" t="s">
        <v>1046</v>
      </c>
      <c r="O717" s="306"/>
      <c r="P717" s="306"/>
      <c r="Q717" s="298"/>
      <c r="R717" s="298"/>
      <c r="S717" s="299"/>
      <c r="T717" s="29">
        <v>43756.0</v>
      </c>
      <c r="U717" s="299"/>
      <c r="V717" s="299"/>
      <c r="W717" s="298" t="s">
        <v>50</v>
      </c>
      <c r="X717" s="298" t="s">
        <v>285</v>
      </c>
      <c r="Y717" s="298" t="s">
        <v>51</v>
      </c>
      <c r="Z717" s="298" t="s">
        <v>52</v>
      </c>
      <c r="AA717" s="298" t="s">
        <v>763</v>
      </c>
    </row>
    <row r="718" ht="42.75" customHeight="1">
      <c r="A718" s="110">
        <v>43718.0</v>
      </c>
      <c r="B718" s="144" t="s">
        <v>1627</v>
      </c>
      <c r="C718" s="21"/>
      <c r="D718" s="21" t="s">
        <v>1628</v>
      </c>
      <c r="E718" s="23" t="s">
        <v>1629</v>
      </c>
      <c r="F718" s="24">
        <v>1.0</v>
      </c>
      <c r="G718" s="48">
        <v>0.0</v>
      </c>
      <c r="H718" s="26">
        <v>0.0</v>
      </c>
      <c r="I718" s="61" t="s">
        <v>105</v>
      </c>
      <c r="J718" s="63" t="s">
        <v>1630</v>
      </c>
      <c r="K718" s="29">
        <v>43718.0</v>
      </c>
      <c r="L718" s="52"/>
      <c r="M718" s="53"/>
      <c r="N718" s="53"/>
      <c r="O718" s="53"/>
      <c r="P718" s="53"/>
      <c r="Q718" s="54"/>
      <c r="R718" s="54"/>
      <c r="S718" s="55"/>
      <c r="T718" s="68"/>
      <c r="U718" s="55"/>
      <c r="V718" s="55"/>
      <c r="W718" s="298" t="s">
        <v>50</v>
      </c>
      <c r="X718" s="54" t="s">
        <v>1631</v>
      </c>
      <c r="Y718" s="54" t="s">
        <v>286</v>
      </c>
      <c r="Z718" s="54" t="s">
        <v>52</v>
      </c>
      <c r="AA718" s="54"/>
    </row>
    <row r="719" ht="42.75" customHeight="1">
      <c r="A719" s="536">
        <v>43718.0</v>
      </c>
      <c r="B719" s="70" t="s">
        <v>101</v>
      </c>
      <c r="C719" s="21" t="s">
        <v>1602</v>
      </c>
      <c r="D719" s="21" t="s">
        <v>1632</v>
      </c>
      <c r="E719" s="23" t="s">
        <v>347</v>
      </c>
      <c r="F719" s="24">
        <v>1.0</v>
      </c>
      <c r="G719" s="74">
        <v>45.0</v>
      </c>
      <c r="H719" s="60">
        <v>45.0</v>
      </c>
      <c r="I719" s="61" t="s">
        <v>105</v>
      </c>
      <c r="J719" s="63" t="s">
        <v>534</v>
      </c>
      <c r="K719" s="29">
        <v>43718.0</v>
      </c>
      <c r="L719" s="462">
        <v>43738.0</v>
      </c>
      <c r="M719" s="462">
        <v>43721.0</v>
      </c>
      <c r="N719" s="306" t="s">
        <v>1633</v>
      </c>
      <c r="O719" s="306">
        <v>3768.0</v>
      </c>
      <c r="P719" s="462">
        <v>43745.0</v>
      </c>
      <c r="Q719" s="298"/>
      <c r="R719" s="298"/>
      <c r="S719" s="299"/>
      <c r="T719" s="29">
        <v>43760.0</v>
      </c>
      <c r="U719" s="299"/>
      <c r="V719" s="299"/>
      <c r="W719" s="298" t="s">
        <v>50</v>
      </c>
      <c r="X719" s="298" t="s">
        <v>285</v>
      </c>
      <c r="Y719" s="298" t="s">
        <v>51</v>
      </c>
      <c r="Z719" s="298" t="s">
        <v>52</v>
      </c>
      <c r="AA719" s="298" t="s">
        <v>1133</v>
      </c>
    </row>
    <row r="720" ht="42.75" customHeight="1">
      <c r="A720" s="110">
        <v>43718.0</v>
      </c>
      <c r="B720" s="144" t="s">
        <v>378</v>
      </c>
      <c r="C720" s="21" t="s">
        <v>1634</v>
      </c>
      <c r="D720" s="21" t="s">
        <v>1635</v>
      </c>
      <c r="E720" s="23" t="s">
        <v>1636</v>
      </c>
      <c r="F720" s="24">
        <v>1.0</v>
      </c>
      <c r="G720" s="48">
        <v>29.0</v>
      </c>
      <c r="H720" s="60">
        <v>29.0</v>
      </c>
      <c r="I720" s="61" t="s">
        <v>248</v>
      </c>
      <c r="J720" s="161" t="s">
        <v>1122</v>
      </c>
      <c r="K720" s="30">
        <v>43734.0</v>
      </c>
      <c r="L720" s="462">
        <v>43743.0</v>
      </c>
      <c r="M720" s="462">
        <v>43725.0</v>
      </c>
      <c r="N720" s="306" t="s">
        <v>1637</v>
      </c>
      <c r="O720" s="306"/>
      <c r="P720" s="462">
        <v>43743.0</v>
      </c>
      <c r="Q720" s="298"/>
      <c r="R720" s="298"/>
      <c r="S720" s="299"/>
      <c r="T720" s="29">
        <v>43783.0</v>
      </c>
      <c r="U720" s="299">
        <f>237*0.43*30.453</f>
        <v>3103.46523</v>
      </c>
      <c r="V720" s="299">
        <f>(244-234.43)*30.453</f>
        <v>291.43521</v>
      </c>
      <c r="W720" s="298" t="s">
        <v>50</v>
      </c>
      <c r="X720" s="298" t="s">
        <v>285</v>
      </c>
      <c r="Y720" s="298" t="s">
        <v>51</v>
      </c>
      <c r="Z720" s="298" t="s">
        <v>52</v>
      </c>
      <c r="AA720" s="298" t="s">
        <v>1133</v>
      </c>
    </row>
    <row r="721" ht="42.75" customHeight="1">
      <c r="A721" s="110">
        <v>43718.0</v>
      </c>
      <c r="B721" s="144" t="s">
        <v>378</v>
      </c>
      <c r="C721" s="21" t="s">
        <v>1634</v>
      </c>
      <c r="D721" s="21" t="s">
        <v>1638</v>
      </c>
      <c r="E721" s="23" t="s">
        <v>1639</v>
      </c>
      <c r="F721" s="24">
        <v>1.0</v>
      </c>
      <c r="G721" s="48">
        <v>61.0</v>
      </c>
      <c r="H721" s="216">
        <v>61.0</v>
      </c>
      <c r="I721" s="61" t="s">
        <v>248</v>
      </c>
      <c r="J721" s="161" t="s">
        <v>1122</v>
      </c>
      <c r="K721" s="30">
        <v>43734.0</v>
      </c>
      <c r="L721" s="462">
        <v>43743.0</v>
      </c>
      <c r="M721" s="462">
        <v>43725.0</v>
      </c>
      <c r="N721" s="306" t="s">
        <v>1637</v>
      </c>
      <c r="O721" s="306"/>
      <c r="P721" s="462">
        <v>43743.0</v>
      </c>
      <c r="Q721" s="298"/>
      <c r="R721" s="298"/>
      <c r="S721" s="299"/>
      <c r="T721" s="29">
        <v>43783.0</v>
      </c>
      <c r="U721" s="299"/>
      <c r="V721" s="299"/>
      <c r="W721" s="298" t="s">
        <v>50</v>
      </c>
      <c r="X721" s="298" t="s">
        <v>285</v>
      </c>
      <c r="Y721" s="298" t="s">
        <v>51</v>
      </c>
      <c r="Z721" s="298" t="s">
        <v>52</v>
      </c>
      <c r="AA721" s="298" t="s">
        <v>1133</v>
      </c>
    </row>
    <row r="722" ht="42.75" customHeight="1">
      <c r="A722" s="110">
        <v>43718.0</v>
      </c>
      <c r="B722" s="144" t="s">
        <v>378</v>
      </c>
      <c r="C722" s="21" t="s">
        <v>1634</v>
      </c>
      <c r="D722" s="21" t="s">
        <v>1640</v>
      </c>
      <c r="E722" s="23" t="s">
        <v>1641</v>
      </c>
      <c r="F722" s="24">
        <v>1.0</v>
      </c>
      <c r="G722" s="48">
        <v>47.0</v>
      </c>
      <c r="H722" s="60">
        <v>47.0</v>
      </c>
      <c r="I722" s="61" t="s">
        <v>248</v>
      </c>
      <c r="J722" s="161" t="s">
        <v>1122</v>
      </c>
      <c r="K722" s="30">
        <v>43734.0</v>
      </c>
      <c r="L722" s="462">
        <v>43743.0</v>
      </c>
      <c r="M722" s="462">
        <v>43725.0</v>
      </c>
      <c r="N722" s="306" t="s">
        <v>1637</v>
      </c>
      <c r="O722" s="306"/>
      <c r="P722" s="462">
        <v>43743.0</v>
      </c>
      <c r="Q722" s="298"/>
      <c r="R722" s="298"/>
      <c r="S722" s="299"/>
      <c r="T722" s="29">
        <v>43783.0</v>
      </c>
      <c r="U722" s="299"/>
      <c r="V722" s="299"/>
      <c r="W722" s="298" t="s">
        <v>50</v>
      </c>
      <c r="X722" s="298" t="s">
        <v>285</v>
      </c>
      <c r="Y722" s="298" t="s">
        <v>51</v>
      </c>
      <c r="Z722" s="298" t="s">
        <v>52</v>
      </c>
      <c r="AA722" s="298" t="s">
        <v>1133</v>
      </c>
    </row>
    <row r="723" ht="42.75" customHeight="1">
      <c r="A723" s="110">
        <v>43718.0</v>
      </c>
      <c r="B723" s="23" t="s">
        <v>213</v>
      </c>
      <c r="C723" s="21" t="s">
        <v>1642</v>
      </c>
      <c r="D723" s="21" t="s">
        <v>1643</v>
      </c>
      <c r="E723" s="23" t="s">
        <v>1644</v>
      </c>
      <c r="F723" s="24">
        <v>2.0</v>
      </c>
      <c r="G723" s="48">
        <v>222.0</v>
      </c>
      <c r="H723" s="60">
        <v>444.0</v>
      </c>
      <c r="I723" s="27" t="s">
        <v>248</v>
      </c>
      <c r="J723" s="161" t="s">
        <v>217</v>
      </c>
      <c r="K723" s="30">
        <v>43732.0</v>
      </c>
      <c r="L723" s="305">
        <v>43769.0</v>
      </c>
      <c r="M723" s="462">
        <v>43725.0</v>
      </c>
      <c r="N723" s="306" t="s">
        <v>1645</v>
      </c>
      <c r="O723" s="306">
        <v>40711.0</v>
      </c>
      <c r="P723" s="306"/>
      <c r="Q723" s="298"/>
      <c r="R723" s="298"/>
      <c r="S723" s="299"/>
      <c r="T723" s="300">
        <v>43720.0</v>
      </c>
      <c r="U723" s="299">
        <f>1456.56*31.05</f>
        <v>45226.188</v>
      </c>
      <c r="V723" s="299">
        <f>(1463-1456.56)*31.05</f>
        <v>199.962</v>
      </c>
      <c r="W723" s="298" t="s">
        <v>50</v>
      </c>
      <c r="X723" s="298" t="s">
        <v>285</v>
      </c>
      <c r="Y723" s="298" t="s">
        <v>51</v>
      </c>
      <c r="Z723" s="298" t="s">
        <v>52</v>
      </c>
      <c r="AA723" s="298" t="s">
        <v>1133</v>
      </c>
    </row>
    <row r="724" ht="42.75" customHeight="1">
      <c r="A724" s="69">
        <v>43718.0</v>
      </c>
      <c r="B724" s="23" t="s">
        <v>213</v>
      </c>
      <c r="C724" s="21" t="s">
        <v>1642</v>
      </c>
      <c r="D724" s="21" t="s">
        <v>1643</v>
      </c>
      <c r="E724" s="32" t="s">
        <v>1646</v>
      </c>
      <c r="F724" s="24">
        <v>1.0</v>
      </c>
      <c r="G724" s="48">
        <v>97.0</v>
      </c>
      <c r="H724" s="60">
        <v>97.0</v>
      </c>
      <c r="I724" s="27" t="s">
        <v>248</v>
      </c>
      <c r="J724" s="161" t="s">
        <v>217</v>
      </c>
      <c r="K724" s="30">
        <v>43732.0</v>
      </c>
      <c r="L724" s="305">
        <v>43769.0</v>
      </c>
      <c r="M724" s="462">
        <v>43725.0</v>
      </c>
      <c r="N724" s="306" t="s">
        <v>1645</v>
      </c>
      <c r="O724" s="306"/>
      <c r="P724" s="306"/>
      <c r="Q724" s="298"/>
      <c r="R724" s="298"/>
      <c r="S724" s="299"/>
      <c r="T724" s="300">
        <v>43720.0</v>
      </c>
      <c r="U724" s="299"/>
      <c r="V724" s="299"/>
      <c r="W724" s="298" t="s">
        <v>50</v>
      </c>
      <c r="X724" s="298" t="s">
        <v>285</v>
      </c>
      <c r="Y724" s="298" t="s">
        <v>51</v>
      </c>
      <c r="Z724" s="298" t="s">
        <v>52</v>
      </c>
      <c r="AA724" s="298" t="s">
        <v>1133</v>
      </c>
    </row>
    <row r="725" ht="42.75" customHeight="1">
      <c r="A725" s="69">
        <v>43718.0</v>
      </c>
      <c r="B725" s="23" t="s">
        <v>213</v>
      </c>
      <c r="C725" s="21" t="s">
        <v>1642</v>
      </c>
      <c r="D725" s="21" t="s">
        <v>1643</v>
      </c>
      <c r="E725" s="32" t="s">
        <v>133</v>
      </c>
      <c r="F725" s="24">
        <v>3.0</v>
      </c>
      <c r="G725" s="48">
        <v>109.0</v>
      </c>
      <c r="H725" s="60">
        <v>327.0</v>
      </c>
      <c r="I725" s="27" t="s">
        <v>248</v>
      </c>
      <c r="J725" s="161" t="s">
        <v>217</v>
      </c>
      <c r="K725" s="30">
        <v>43732.0</v>
      </c>
      <c r="L725" s="305">
        <v>43769.0</v>
      </c>
      <c r="M725" s="462">
        <v>43725.0</v>
      </c>
      <c r="N725" s="306" t="s">
        <v>1645</v>
      </c>
      <c r="O725" s="306"/>
      <c r="P725" s="306"/>
      <c r="Q725" s="298"/>
      <c r="R725" s="298"/>
      <c r="S725" s="299"/>
      <c r="T725" s="300">
        <v>43720.0</v>
      </c>
      <c r="U725" s="299"/>
      <c r="V725" s="299"/>
      <c r="W725" s="298" t="s">
        <v>50</v>
      </c>
      <c r="X725" s="298" t="s">
        <v>285</v>
      </c>
      <c r="Y725" s="298" t="s">
        <v>51</v>
      </c>
      <c r="Z725" s="298" t="s">
        <v>52</v>
      </c>
      <c r="AA725" s="298" t="s">
        <v>1133</v>
      </c>
    </row>
    <row r="726" ht="42.75" customHeight="1">
      <c r="A726" s="69">
        <v>43718.0</v>
      </c>
      <c r="B726" s="23" t="s">
        <v>213</v>
      </c>
      <c r="C726" s="21" t="s">
        <v>1642</v>
      </c>
      <c r="D726" s="21" t="s">
        <v>1643</v>
      </c>
      <c r="E726" s="32" t="s">
        <v>137</v>
      </c>
      <c r="F726" s="24">
        <v>3.0</v>
      </c>
      <c r="G726" s="48">
        <v>31.0</v>
      </c>
      <c r="H726" s="60">
        <v>93.0</v>
      </c>
      <c r="I726" s="27" t="s">
        <v>248</v>
      </c>
      <c r="J726" s="161" t="s">
        <v>217</v>
      </c>
      <c r="K726" s="30">
        <v>43732.0</v>
      </c>
      <c r="L726" s="305">
        <v>43769.0</v>
      </c>
      <c r="M726" s="462">
        <v>43725.0</v>
      </c>
      <c r="N726" s="306" t="s">
        <v>1645</v>
      </c>
      <c r="O726" s="306"/>
      <c r="P726" s="306"/>
      <c r="Q726" s="298"/>
      <c r="R726" s="298"/>
      <c r="S726" s="299"/>
      <c r="T726" s="300">
        <v>43720.0</v>
      </c>
      <c r="U726" s="299"/>
      <c r="V726" s="299"/>
      <c r="W726" s="298" t="s">
        <v>50</v>
      </c>
      <c r="X726" s="298" t="s">
        <v>285</v>
      </c>
      <c r="Y726" s="298" t="s">
        <v>51</v>
      </c>
      <c r="Z726" s="298" t="s">
        <v>52</v>
      </c>
      <c r="AA726" s="298" t="s">
        <v>1133</v>
      </c>
    </row>
    <row r="727" ht="42.75" customHeight="1">
      <c r="A727" s="69">
        <v>43718.0</v>
      </c>
      <c r="B727" s="23" t="s">
        <v>213</v>
      </c>
      <c r="C727" s="21" t="s">
        <v>1642</v>
      </c>
      <c r="D727" s="21" t="s">
        <v>1643</v>
      </c>
      <c r="E727" s="32" t="s">
        <v>1647</v>
      </c>
      <c r="F727" s="24">
        <v>1.0</v>
      </c>
      <c r="G727" s="48">
        <v>443.0</v>
      </c>
      <c r="H727" s="60">
        <v>443.0</v>
      </c>
      <c r="I727" s="27" t="s">
        <v>248</v>
      </c>
      <c r="J727" s="161" t="s">
        <v>217</v>
      </c>
      <c r="K727" s="30">
        <v>43732.0</v>
      </c>
      <c r="L727" s="305">
        <v>43769.0</v>
      </c>
      <c r="M727" s="462">
        <v>43725.0</v>
      </c>
      <c r="N727" s="237" t="s">
        <v>1645</v>
      </c>
      <c r="O727" s="306"/>
      <c r="P727" s="306"/>
      <c r="Q727" s="298"/>
      <c r="R727" s="298"/>
      <c r="S727" s="299"/>
      <c r="T727" s="300">
        <v>43720.0</v>
      </c>
      <c r="U727" s="299"/>
      <c r="V727" s="299"/>
      <c r="W727" s="298" t="s">
        <v>50</v>
      </c>
      <c r="X727" s="298" t="s">
        <v>285</v>
      </c>
      <c r="Y727" s="298" t="s">
        <v>51</v>
      </c>
      <c r="Z727" s="298" t="s">
        <v>52</v>
      </c>
      <c r="AA727" s="298" t="s">
        <v>1133</v>
      </c>
    </row>
    <row r="728" ht="42.75" customHeight="1">
      <c r="A728" s="69">
        <v>43718.0</v>
      </c>
      <c r="B728" s="23" t="s">
        <v>213</v>
      </c>
      <c r="C728" s="21" t="s">
        <v>1642</v>
      </c>
      <c r="D728" s="21" t="s">
        <v>1643</v>
      </c>
      <c r="E728" s="32" t="s">
        <v>1648</v>
      </c>
      <c r="F728" s="24">
        <v>1.0</v>
      </c>
      <c r="G728" s="48">
        <v>34.0</v>
      </c>
      <c r="H728" s="60">
        <v>34.0</v>
      </c>
      <c r="I728" s="27" t="s">
        <v>248</v>
      </c>
      <c r="J728" s="161" t="s">
        <v>217</v>
      </c>
      <c r="K728" s="30">
        <v>43732.0</v>
      </c>
      <c r="L728" s="305">
        <v>43769.0</v>
      </c>
      <c r="M728" s="462">
        <v>43725.0</v>
      </c>
      <c r="N728" s="306" t="s">
        <v>1645</v>
      </c>
      <c r="O728" s="306"/>
      <c r="P728" s="306"/>
      <c r="Q728" s="298"/>
      <c r="R728" s="298"/>
      <c r="S728" s="299"/>
      <c r="T728" s="300">
        <v>43720.0</v>
      </c>
      <c r="U728" s="299"/>
      <c r="V728" s="299"/>
      <c r="W728" s="298" t="s">
        <v>50</v>
      </c>
      <c r="X728" s="298" t="s">
        <v>285</v>
      </c>
      <c r="Y728" s="298" t="s">
        <v>51</v>
      </c>
      <c r="Z728" s="298" t="s">
        <v>52</v>
      </c>
      <c r="AA728" s="298" t="s">
        <v>1133</v>
      </c>
    </row>
    <row r="729" ht="42.75" customHeight="1">
      <c r="A729" s="69">
        <v>43718.0</v>
      </c>
      <c r="B729" s="23" t="s">
        <v>213</v>
      </c>
      <c r="C729" s="21" t="s">
        <v>1642</v>
      </c>
      <c r="D729" s="21" t="s">
        <v>1643</v>
      </c>
      <c r="E729" s="32" t="s">
        <v>700</v>
      </c>
      <c r="F729" s="24">
        <v>1.0</v>
      </c>
      <c r="G729" s="48">
        <v>25.0</v>
      </c>
      <c r="H729" s="60">
        <v>25.0</v>
      </c>
      <c r="I729" s="27" t="s">
        <v>248</v>
      </c>
      <c r="J729" s="349" t="s">
        <v>217</v>
      </c>
      <c r="K729" s="30">
        <v>43732.0</v>
      </c>
      <c r="L729" s="52"/>
      <c r="M729" s="53"/>
      <c r="N729" s="53"/>
      <c r="O729" s="53"/>
      <c r="P729" s="53"/>
      <c r="Q729" s="54"/>
      <c r="R729" s="54"/>
      <c r="S729" s="55"/>
      <c r="T729" s="56">
        <v>43720.0</v>
      </c>
      <c r="U729" s="55"/>
      <c r="V729" s="55"/>
      <c r="W729" s="54" t="s">
        <v>50</v>
      </c>
      <c r="X729" s="54" t="s">
        <v>285</v>
      </c>
      <c r="Y729" s="54" t="s">
        <v>51</v>
      </c>
      <c r="Z729" s="54" t="s">
        <v>52</v>
      </c>
      <c r="AA729" s="54"/>
    </row>
    <row r="730" ht="42.75" customHeight="1">
      <c r="A730" s="69">
        <v>43720.0</v>
      </c>
      <c r="B730" s="144" t="s">
        <v>1649</v>
      </c>
      <c r="C730" s="21"/>
      <c r="D730" s="21" t="s">
        <v>1650</v>
      </c>
      <c r="E730" s="32" t="s">
        <v>1651</v>
      </c>
      <c r="F730" s="24">
        <v>1.0</v>
      </c>
      <c r="G730" s="48">
        <v>0.0</v>
      </c>
      <c r="H730" s="216">
        <v>0.0</v>
      </c>
      <c r="I730" s="27" t="s">
        <v>248</v>
      </c>
      <c r="J730" s="79" t="s">
        <v>1652</v>
      </c>
      <c r="K730" s="30">
        <v>43734.0</v>
      </c>
      <c r="L730" s="52"/>
      <c r="M730" s="53"/>
      <c r="N730" s="53"/>
      <c r="O730" s="53"/>
      <c r="P730" s="53"/>
      <c r="Q730" s="54"/>
      <c r="R730" s="54"/>
      <c r="S730" s="55"/>
      <c r="T730" s="68"/>
      <c r="U730" s="55"/>
      <c r="V730" s="55"/>
      <c r="W730" s="200" t="s">
        <v>1653</v>
      </c>
      <c r="X730" s="54" t="s">
        <v>1631</v>
      </c>
      <c r="Y730" s="54" t="s">
        <v>51</v>
      </c>
      <c r="Z730" s="54" t="s">
        <v>52</v>
      </c>
      <c r="AA730" s="54"/>
    </row>
    <row r="731" ht="42.75" customHeight="1">
      <c r="A731" s="69">
        <v>43721.0</v>
      </c>
      <c r="B731" s="23" t="s">
        <v>406</v>
      </c>
      <c r="C731" s="21">
        <v>7.000150145E9</v>
      </c>
      <c r="D731" s="21" t="s">
        <v>1654</v>
      </c>
      <c r="E731" s="32" t="s">
        <v>1655</v>
      </c>
      <c r="F731" s="24">
        <v>1.0</v>
      </c>
      <c r="G731" s="48">
        <v>212.0</v>
      </c>
      <c r="H731" s="60">
        <v>212.0</v>
      </c>
      <c r="I731" s="61" t="s">
        <v>43</v>
      </c>
      <c r="J731" s="407" t="s">
        <v>513</v>
      </c>
      <c r="K731" s="29">
        <v>43731.0</v>
      </c>
      <c r="L731" s="305">
        <v>43799.0</v>
      </c>
      <c r="M731" s="462">
        <v>43725.0</v>
      </c>
      <c r="N731" s="306" t="s">
        <v>1656</v>
      </c>
      <c r="O731" s="306">
        <v>13211.0</v>
      </c>
      <c r="P731" s="306"/>
      <c r="Q731" s="298"/>
      <c r="R731" s="298"/>
      <c r="S731" s="299"/>
      <c r="T731" s="29">
        <v>43762.0</v>
      </c>
      <c r="U731" s="299">
        <f>451.45*30.54</f>
        <v>13787.283</v>
      </c>
      <c r="V731" s="299">
        <f>(478-451.45)*30.54</f>
        <v>810.837</v>
      </c>
      <c r="W731" s="298" t="s">
        <v>50</v>
      </c>
      <c r="X731" s="298" t="s">
        <v>285</v>
      </c>
      <c r="Y731" s="298" t="s">
        <v>51</v>
      </c>
      <c r="Z731" s="298" t="s">
        <v>52</v>
      </c>
      <c r="AA731" s="298" t="s">
        <v>1133</v>
      </c>
    </row>
    <row r="732" ht="42.75" customHeight="1">
      <c r="A732" s="69">
        <v>43721.0</v>
      </c>
      <c r="B732" s="23" t="s">
        <v>406</v>
      </c>
      <c r="C732" s="21">
        <v>7.000150145E9</v>
      </c>
      <c r="D732" s="21" t="s">
        <v>1654</v>
      </c>
      <c r="E732" s="32" t="s">
        <v>684</v>
      </c>
      <c r="F732" s="24">
        <v>1.0</v>
      </c>
      <c r="G732" s="48">
        <v>129.0</v>
      </c>
      <c r="H732" s="60">
        <v>129.0</v>
      </c>
      <c r="I732" s="61" t="s">
        <v>43</v>
      </c>
      <c r="J732" s="50" t="s">
        <v>513</v>
      </c>
      <c r="K732" s="29">
        <v>43731.0</v>
      </c>
      <c r="L732" s="305">
        <v>43799.0</v>
      </c>
      <c r="M732" s="462">
        <v>43725.0</v>
      </c>
      <c r="N732" s="306" t="s">
        <v>1656</v>
      </c>
      <c r="O732" s="306"/>
      <c r="P732" s="306"/>
      <c r="Q732" s="298"/>
      <c r="R732" s="298"/>
      <c r="S732" s="299"/>
      <c r="T732" s="29">
        <v>43762.0</v>
      </c>
      <c r="U732" s="299"/>
      <c r="V732" s="299"/>
      <c r="W732" s="298" t="s">
        <v>50</v>
      </c>
      <c r="X732" s="298" t="s">
        <v>285</v>
      </c>
      <c r="Y732" s="298" t="s">
        <v>51</v>
      </c>
      <c r="Z732" s="298" t="s">
        <v>52</v>
      </c>
      <c r="AA732" s="298" t="s">
        <v>1133</v>
      </c>
    </row>
    <row r="733" ht="42.75" customHeight="1">
      <c r="A733" s="69">
        <v>43721.0</v>
      </c>
      <c r="B733" s="23" t="s">
        <v>406</v>
      </c>
      <c r="C733" s="21">
        <v>7.000150145E9</v>
      </c>
      <c r="D733" s="21" t="s">
        <v>1654</v>
      </c>
      <c r="E733" s="32" t="s">
        <v>481</v>
      </c>
      <c r="F733" s="24">
        <v>1.0</v>
      </c>
      <c r="G733" s="48">
        <v>137.0</v>
      </c>
      <c r="H733" s="60">
        <v>137.0</v>
      </c>
      <c r="I733" s="61" t="s">
        <v>43</v>
      </c>
      <c r="J733" s="50" t="s">
        <v>513</v>
      </c>
      <c r="K733" s="29">
        <v>43731.0</v>
      </c>
      <c r="L733" s="305">
        <v>43799.0</v>
      </c>
      <c r="M733" s="462">
        <v>43725.0</v>
      </c>
      <c r="N733" s="306" t="s">
        <v>1656</v>
      </c>
      <c r="O733" s="306"/>
      <c r="P733" s="306"/>
      <c r="Q733" s="298"/>
      <c r="R733" s="298"/>
      <c r="S733" s="299"/>
      <c r="T733" s="29">
        <v>43762.0</v>
      </c>
      <c r="U733" s="299"/>
      <c r="V733" s="299"/>
      <c r="W733" s="298" t="s">
        <v>50</v>
      </c>
      <c r="X733" s="298" t="s">
        <v>285</v>
      </c>
      <c r="Y733" s="298" t="s">
        <v>51</v>
      </c>
      <c r="Z733" s="298" t="s">
        <v>52</v>
      </c>
      <c r="AA733" s="298" t="s">
        <v>1133</v>
      </c>
    </row>
    <row r="734" ht="42.75" customHeight="1">
      <c r="A734" s="69">
        <v>43721.0</v>
      </c>
      <c r="B734" s="309" t="s">
        <v>40</v>
      </c>
      <c r="C734" s="21">
        <v>2030683.0</v>
      </c>
      <c r="D734" s="22" t="s">
        <v>1657</v>
      </c>
      <c r="E734" s="32" t="s">
        <v>1658</v>
      </c>
      <c r="F734" s="24">
        <v>1.0</v>
      </c>
      <c r="G734" s="48">
        <v>70.0</v>
      </c>
      <c r="H734" s="60">
        <v>70.0</v>
      </c>
      <c r="I734" s="61" t="s">
        <v>43</v>
      </c>
      <c r="J734" s="50" t="s">
        <v>915</v>
      </c>
      <c r="K734" s="29">
        <v>43746.0</v>
      </c>
      <c r="L734" s="306"/>
      <c r="M734" s="306"/>
      <c r="N734" s="306"/>
      <c r="O734" s="306"/>
      <c r="P734" s="306"/>
      <c r="Q734" s="298"/>
      <c r="R734" s="298"/>
      <c r="S734" s="299"/>
      <c r="T734" s="29">
        <v>43760.0</v>
      </c>
      <c r="U734" s="299"/>
      <c r="V734" s="299"/>
      <c r="W734" s="298" t="s">
        <v>50</v>
      </c>
      <c r="X734" s="298" t="s">
        <v>285</v>
      </c>
      <c r="Y734" s="298" t="s">
        <v>51</v>
      </c>
      <c r="Z734" s="298" t="s">
        <v>52</v>
      </c>
      <c r="AA734" s="298" t="s">
        <v>763</v>
      </c>
    </row>
    <row r="735" ht="42.75" customHeight="1">
      <c r="A735" s="69">
        <v>43721.0</v>
      </c>
      <c r="B735" s="309" t="s">
        <v>40</v>
      </c>
      <c r="C735" s="21">
        <v>2030683.0</v>
      </c>
      <c r="D735" s="22" t="s">
        <v>1657</v>
      </c>
      <c r="E735" s="32" t="s">
        <v>1659</v>
      </c>
      <c r="F735" s="24">
        <v>1.0</v>
      </c>
      <c r="G735" s="48">
        <v>1335.0</v>
      </c>
      <c r="H735" s="60">
        <v>1335.0</v>
      </c>
      <c r="I735" s="61" t="s">
        <v>43</v>
      </c>
      <c r="J735" s="50" t="s">
        <v>915</v>
      </c>
      <c r="K735" s="29">
        <v>43746.0</v>
      </c>
      <c r="L735" s="306"/>
      <c r="M735" s="306"/>
      <c r="N735" s="306"/>
      <c r="O735" s="306"/>
      <c r="P735" s="306"/>
      <c r="Q735" s="298"/>
      <c r="R735" s="298"/>
      <c r="S735" s="299"/>
      <c r="T735" s="29">
        <v>43760.0</v>
      </c>
      <c r="U735" s="299">
        <f>1398.45*30.55</f>
        <v>42722.6475</v>
      </c>
      <c r="V735" s="299">
        <f>(1405-1398.45)*30.55</f>
        <v>200.1025</v>
      </c>
      <c r="W735" s="298" t="s">
        <v>50</v>
      </c>
      <c r="X735" s="298" t="s">
        <v>285</v>
      </c>
      <c r="Y735" s="298" t="s">
        <v>51</v>
      </c>
      <c r="Z735" s="298" t="s">
        <v>52</v>
      </c>
      <c r="AA735" s="298" t="s">
        <v>763</v>
      </c>
    </row>
    <row r="736" ht="15.75" customHeight="1">
      <c r="A736" s="69">
        <v>43724.0</v>
      </c>
      <c r="B736" s="70" t="s">
        <v>1649</v>
      </c>
      <c r="C736" s="21" t="s">
        <v>1660</v>
      </c>
      <c r="D736" s="21" t="s">
        <v>1661</v>
      </c>
      <c r="E736" s="32" t="s">
        <v>1662</v>
      </c>
      <c r="F736" s="24">
        <v>5.0</v>
      </c>
      <c r="G736" s="48">
        <v>2.5</v>
      </c>
      <c r="H736" s="81">
        <v>12.5</v>
      </c>
      <c r="I736" s="61" t="s">
        <v>248</v>
      </c>
      <c r="J736" s="63" t="s">
        <v>1663</v>
      </c>
      <c r="K736" s="30">
        <v>43734.0</v>
      </c>
      <c r="L736" s="306"/>
      <c r="M736" s="306"/>
      <c r="N736" s="306"/>
      <c r="O736" s="306"/>
      <c r="P736" s="306"/>
      <c r="Q736" s="298"/>
      <c r="R736" s="298"/>
      <c r="S736" s="299"/>
      <c r="T736" s="539"/>
      <c r="U736" s="299"/>
      <c r="V736" s="299"/>
      <c r="W736" s="298"/>
      <c r="X736" s="298" t="s">
        <v>285</v>
      </c>
      <c r="Y736" s="298" t="s">
        <v>51</v>
      </c>
      <c r="Z736" s="298" t="s">
        <v>52</v>
      </c>
      <c r="AA736" s="298" t="s">
        <v>1133</v>
      </c>
    </row>
    <row r="737" ht="15.75" customHeight="1">
      <c r="A737" s="399">
        <v>43724.0</v>
      </c>
      <c r="B737" s="377" t="s">
        <v>1649</v>
      </c>
      <c r="C737" s="183" t="s">
        <v>1660</v>
      </c>
      <c r="D737" s="183" t="s">
        <v>1661</v>
      </c>
      <c r="E737" s="185" t="s">
        <v>1664</v>
      </c>
      <c r="F737" s="186">
        <v>6.0</v>
      </c>
      <c r="G737" s="187"/>
      <c r="H737" s="540"/>
      <c r="I737" s="483"/>
      <c r="J737" s="190" t="s">
        <v>1663</v>
      </c>
      <c r="K737" s="541"/>
      <c r="L737" s="195"/>
      <c r="M737" s="199"/>
      <c r="N737" s="199"/>
      <c r="O737" s="199"/>
      <c r="P737" s="199"/>
      <c r="Q737" s="200"/>
      <c r="R737" s="200"/>
      <c r="S737" s="201"/>
      <c r="T737" s="202"/>
      <c r="U737" s="201"/>
      <c r="V737" s="201"/>
      <c r="W737" s="200" t="s">
        <v>1653</v>
      </c>
      <c r="X737" s="54" t="s">
        <v>296</v>
      </c>
      <c r="Y737" s="54" t="s">
        <v>51</v>
      </c>
      <c r="Z737" s="54" t="s">
        <v>52</v>
      </c>
      <c r="AA737" s="200"/>
    </row>
    <row r="738" ht="15.75" customHeight="1">
      <c r="A738" s="399">
        <v>43724.0</v>
      </c>
      <c r="B738" s="377" t="s">
        <v>1649</v>
      </c>
      <c r="C738" s="183" t="s">
        <v>1660</v>
      </c>
      <c r="D738" s="183" t="s">
        <v>1661</v>
      </c>
      <c r="E738" s="185" t="s">
        <v>1665</v>
      </c>
      <c r="F738" s="186">
        <v>1.0</v>
      </c>
      <c r="G738" s="187"/>
      <c r="H738" s="540"/>
      <c r="I738" s="483"/>
      <c r="J738" s="190" t="s">
        <v>1663</v>
      </c>
      <c r="K738" s="541"/>
      <c r="L738" s="195"/>
      <c r="M738" s="199"/>
      <c r="N738" s="199"/>
      <c r="O738" s="199"/>
      <c r="P738" s="199"/>
      <c r="Q738" s="200"/>
      <c r="R738" s="200"/>
      <c r="S738" s="201"/>
      <c r="T738" s="202"/>
      <c r="U738" s="201"/>
      <c r="V738" s="201"/>
      <c r="W738" s="200" t="s">
        <v>1653</v>
      </c>
      <c r="X738" s="54" t="s">
        <v>296</v>
      </c>
      <c r="Y738" s="54" t="s">
        <v>51</v>
      </c>
      <c r="Z738" s="54" t="s">
        <v>52</v>
      </c>
      <c r="AA738" s="200"/>
    </row>
    <row r="739" ht="15.75" customHeight="1">
      <c r="A739" s="69">
        <v>43724.0</v>
      </c>
      <c r="B739" s="70" t="s">
        <v>1649</v>
      </c>
      <c r="C739" s="21" t="s">
        <v>1660</v>
      </c>
      <c r="D739" s="21" t="s">
        <v>1661</v>
      </c>
      <c r="E739" s="32" t="s">
        <v>700</v>
      </c>
      <c r="F739" s="24">
        <v>1.0</v>
      </c>
      <c r="G739" s="48">
        <v>40.0</v>
      </c>
      <c r="H739" s="81">
        <v>40.0</v>
      </c>
      <c r="I739" s="61" t="s">
        <v>248</v>
      </c>
      <c r="J739" s="63" t="s">
        <v>1663</v>
      </c>
      <c r="K739" s="542">
        <v>43734.0</v>
      </c>
      <c r="L739" s="52"/>
      <c r="M739" s="53"/>
      <c r="N739" s="53"/>
      <c r="O739" s="53"/>
      <c r="P739" s="53"/>
      <c r="Q739" s="54"/>
      <c r="R739" s="54"/>
      <c r="S739" s="55"/>
      <c r="T739" s="68"/>
      <c r="U739" s="55"/>
      <c r="V739" s="55"/>
      <c r="W739" s="54"/>
      <c r="X739" s="54" t="s">
        <v>285</v>
      </c>
      <c r="Y739" s="54" t="s">
        <v>51</v>
      </c>
      <c r="Z739" s="54" t="s">
        <v>52</v>
      </c>
      <c r="AA739" s="54"/>
    </row>
    <row r="740" ht="15.75" customHeight="1">
      <c r="A740" s="69">
        <v>43725.0</v>
      </c>
      <c r="B740" s="70" t="s">
        <v>119</v>
      </c>
      <c r="C740" s="21" t="s">
        <v>1666</v>
      </c>
      <c r="D740" s="21" t="s">
        <v>1667</v>
      </c>
      <c r="E740" s="32" t="s">
        <v>152</v>
      </c>
      <c r="F740" s="24">
        <v>2.0</v>
      </c>
      <c r="G740" s="48">
        <v>1045.0</v>
      </c>
      <c r="H740" s="60">
        <v>2090.0</v>
      </c>
      <c r="I740" s="61" t="s">
        <v>248</v>
      </c>
      <c r="J740" s="82" t="s">
        <v>122</v>
      </c>
      <c r="K740" s="542">
        <v>43742.0</v>
      </c>
      <c r="L740" s="305">
        <v>43799.0</v>
      </c>
      <c r="M740" s="462">
        <v>43739.0</v>
      </c>
      <c r="N740" s="306" t="s">
        <v>1668</v>
      </c>
      <c r="O740" s="306">
        <v>163568.0</v>
      </c>
      <c r="P740" s="306"/>
      <c r="Q740" s="298"/>
      <c r="R740" s="298"/>
      <c r="S740" s="299"/>
      <c r="T740" s="300">
        <v>43777.0</v>
      </c>
      <c r="U740" s="299">
        <f>5758.4*30.3</f>
        <v>174479.52</v>
      </c>
      <c r="V740" s="299">
        <f>(5775-5758.4)*30.3</f>
        <v>502.98</v>
      </c>
      <c r="W740" s="298" t="s">
        <v>50</v>
      </c>
      <c r="X740" s="298" t="s">
        <v>285</v>
      </c>
      <c r="Y740" s="298" t="s">
        <v>51</v>
      </c>
      <c r="Z740" s="298" t="s">
        <v>52</v>
      </c>
      <c r="AA740" s="298" t="s">
        <v>763</v>
      </c>
    </row>
    <row r="741" ht="15.75" customHeight="1">
      <c r="A741" s="69">
        <v>43725.0</v>
      </c>
      <c r="B741" s="70" t="s">
        <v>119</v>
      </c>
      <c r="C741" s="21" t="s">
        <v>1666</v>
      </c>
      <c r="D741" s="21" t="s">
        <v>1667</v>
      </c>
      <c r="E741" s="23" t="s">
        <v>415</v>
      </c>
      <c r="F741" s="24">
        <v>11.0</v>
      </c>
      <c r="G741" s="48">
        <v>335.0</v>
      </c>
      <c r="H741" s="60">
        <v>3685.0</v>
      </c>
      <c r="I741" s="61" t="s">
        <v>248</v>
      </c>
      <c r="J741" s="82" t="s">
        <v>122</v>
      </c>
      <c r="K741" s="542">
        <v>43742.0</v>
      </c>
      <c r="L741" s="305">
        <v>43799.0</v>
      </c>
      <c r="M741" s="462">
        <v>43739.0</v>
      </c>
      <c r="N741" s="306" t="s">
        <v>1668</v>
      </c>
      <c r="O741" s="306"/>
      <c r="P741" s="306"/>
      <c r="Q741" s="298"/>
      <c r="R741" s="298"/>
      <c r="S741" s="299"/>
      <c r="T741" s="300">
        <v>43777.0</v>
      </c>
      <c r="U741" s="299"/>
      <c r="V741" s="299"/>
      <c r="W741" s="298" t="s">
        <v>50</v>
      </c>
      <c r="X741" s="298" t="s">
        <v>285</v>
      </c>
      <c r="Y741" s="298" t="s">
        <v>51</v>
      </c>
      <c r="Z741" s="298" t="s">
        <v>52</v>
      </c>
      <c r="AA741" s="298" t="s">
        <v>763</v>
      </c>
    </row>
    <row r="742" ht="15.75" customHeight="1">
      <c r="A742" s="69">
        <v>43725.0</v>
      </c>
      <c r="B742" s="22" t="s">
        <v>1181</v>
      </c>
      <c r="C742" s="22"/>
      <c r="D742" s="22" t="s">
        <v>1669</v>
      </c>
      <c r="E742" s="35" t="s">
        <v>1300</v>
      </c>
      <c r="F742" s="24">
        <v>3.0</v>
      </c>
      <c r="G742" s="48">
        <v>109.0</v>
      </c>
      <c r="H742" s="60">
        <v>327.0</v>
      </c>
      <c r="I742" s="61" t="s">
        <v>144</v>
      </c>
      <c r="J742" s="543" t="s">
        <v>1670</v>
      </c>
      <c r="K742" s="30">
        <v>43734.0</v>
      </c>
      <c r="L742" s="305">
        <v>43769.0</v>
      </c>
      <c r="M742" s="462">
        <v>43732.0</v>
      </c>
      <c r="N742" s="306" t="s">
        <v>1671</v>
      </c>
      <c r="O742" s="306">
        <v>12005.0</v>
      </c>
      <c r="P742" s="306"/>
      <c r="Q742" s="298"/>
      <c r="R742" s="298"/>
      <c r="S742" s="299"/>
      <c r="T742" s="300">
        <v>43727.0</v>
      </c>
      <c r="U742" s="299">
        <f>418.54*30.95</f>
        <v>12953.813</v>
      </c>
      <c r="V742" s="299">
        <f>(440-418.54)*30.95</f>
        <v>664.187</v>
      </c>
      <c r="W742" s="298" t="s">
        <v>50</v>
      </c>
      <c r="X742" s="298" t="s">
        <v>285</v>
      </c>
      <c r="Y742" s="298" t="s">
        <v>51</v>
      </c>
      <c r="Z742" s="298" t="s">
        <v>52</v>
      </c>
      <c r="AA742" s="298" t="s">
        <v>1133</v>
      </c>
    </row>
    <row r="743" ht="15.75" customHeight="1">
      <c r="A743" s="69">
        <v>43725.0</v>
      </c>
      <c r="B743" s="22" t="s">
        <v>1181</v>
      </c>
      <c r="C743" s="22"/>
      <c r="D743" s="22" t="s">
        <v>1669</v>
      </c>
      <c r="E743" s="35" t="s">
        <v>137</v>
      </c>
      <c r="F743" s="24">
        <v>3.0</v>
      </c>
      <c r="G743" s="48">
        <v>31.0</v>
      </c>
      <c r="H743" s="60">
        <v>93.0</v>
      </c>
      <c r="I743" s="61" t="s">
        <v>144</v>
      </c>
      <c r="J743" s="543" t="s">
        <v>1670</v>
      </c>
      <c r="K743" s="30">
        <v>43734.0</v>
      </c>
      <c r="L743" s="305">
        <v>43769.0</v>
      </c>
      <c r="M743" s="462">
        <v>43732.0</v>
      </c>
      <c r="N743" s="306" t="s">
        <v>1671</v>
      </c>
      <c r="O743" s="306"/>
      <c r="P743" s="306"/>
      <c r="Q743" s="298"/>
      <c r="R743" s="298"/>
      <c r="S743" s="299"/>
      <c r="T743" s="300">
        <v>43727.0</v>
      </c>
      <c r="U743" s="299"/>
      <c r="V743" s="299"/>
      <c r="W743" s="298" t="s">
        <v>50</v>
      </c>
      <c r="X743" s="298" t="s">
        <v>285</v>
      </c>
      <c r="Y743" s="298" t="s">
        <v>51</v>
      </c>
      <c r="Z743" s="298" t="s">
        <v>52</v>
      </c>
      <c r="AA743" s="298" t="s">
        <v>1133</v>
      </c>
    </row>
    <row r="744" ht="15.75" customHeight="1">
      <c r="A744" s="69">
        <v>43725.0</v>
      </c>
      <c r="B744" s="22" t="s">
        <v>1181</v>
      </c>
      <c r="C744" s="22"/>
      <c r="D744" s="22" t="s">
        <v>1669</v>
      </c>
      <c r="E744" s="35" t="s">
        <v>700</v>
      </c>
      <c r="F744" s="24">
        <v>1.0</v>
      </c>
      <c r="G744" s="48">
        <v>40.0</v>
      </c>
      <c r="H744" s="81">
        <v>40.0</v>
      </c>
      <c r="I744" s="61" t="s">
        <v>87</v>
      </c>
      <c r="J744" s="543"/>
      <c r="K744" s="30">
        <v>43734.0</v>
      </c>
      <c r="L744" s="52"/>
      <c r="M744" s="53"/>
      <c r="N744" s="53"/>
      <c r="O744" s="53"/>
      <c r="P744" s="53"/>
      <c r="Q744" s="54"/>
      <c r="R744" s="54"/>
      <c r="S744" s="55"/>
      <c r="T744" s="56">
        <v>43727.0</v>
      </c>
      <c r="U744" s="55"/>
      <c r="V744" s="55"/>
      <c r="W744" s="54"/>
      <c r="X744" s="54" t="s">
        <v>285</v>
      </c>
      <c r="Y744" s="54" t="s">
        <v>51</v>
      </c>
      <c r="Z744" s="54" t="s">
        <v>52</v>
      </c>
      <c r="AA744" s="54"/>
    </row>
    <row r="745" ht="15.75" customHeight="1">
      <c r="A745" s="69">
        <v>43725.0</v>
      </c>
      <c r="B745" s="70" t="s">
        <v>621</v>
      </c>
      <c r="C745" s="21"/>
      <c r="D745" s="21" t="s">
        <v>1672</v>
      </c>
      <c r="E745" s="32" t="s">
        <v>1673</v>
      </c>
      <c r="F745" s="82">
        <v>4.0</v>
      </c>
      <c r="G745" s="48">
        <v>344.4</v>
      </c>
      <c r="H745" s="26">
        <v>1377.6</v>
      </c>
      <c r="I745" s="27" t="s">
        <v>43</v>
      </c>
      <c r="J745" s="50" t="s">
        <v>90</v>
      </c>
      <c r="K745" s="29">
        <v>43728.0</v>
      </c>
      <c r="L745" s="462">
        <v>43769.0</v>
      </c>
      <c r="M745" s="462">
        <v>43727.0</v>
      </c>
      <c r="N745" s="306" t="s">
        <v>1674</v>
      </c>
      <c r="O745" s="306">
        <v>54482.0</v>
      </c>
      <c r="P745" s="306"/>
      <c r="Q745" s="298"/>
      <c r="R745" s="298"/>
      <c r="S745" s="299"/>
      <c r="T745" s="300">
        <v>43743.0</v>
      </c>
      <c r="U745" s="299">
        <v>66001.0</v>
      </c>
      <c r="V745" s="299">
        <v>0.0</v>
      </c>
      <c r="W745" s="298" t="s">
        <v>50</v>
      </c>
      <c r="X745" s="298" t="s">
        <v>285</v>
      </c>
      <c r="Y745" s="298" t="s">
        <v>51</v>
      </c>
      <c r="Z745" s="298" t="s">
        <v>377</v>
      </c>
      <c r="AA745" s="298" t="s">
        <v>1133</v>
      </c>
    </row>
    <row r="746" ht="15.75" customHeight="1">
      <c r="A746" s="69">
        <v>43725.0</v>
      </c>
      <c r="B746" s="70" t="s">
        <v>621</v>
      </c>
      <c r="C746" s="21"/>
      <c r="D746" s="21" t="s">
        <v>1672</v>
      </c>
      <c r="E746" s="32" t="s">
        <v>1675</v>
      </c>
      <c r="F746" s="82">
        <v>2.0</v>
      </c>
      <c r="G746" s="48">
        <v>375.9</v>
      </c>
      <c r="H746" s="26">
        <v>751.8</v>
      </c>
      <c r="I746" s="27" t="s">
        <v>43</v>
      </c>
      <c r="J746" s="50" t="s">
        <v>90</v>
      </c>
      <c r="K746" s="29">
        <v>43728.0</v>
      </c>
      <c r="L746" s="462">
        <v>43769.0</v>
      </c>
      <c r="M746" s="462">
        <v>43727.0</v>
      </c>
      <c r="N746" s="306" t="s">
        <v>1674</v>
      </c>
      <c r="O746" s="306"/>
      <c r="P746" s="306"/>
      <c r="Q746" s="298"/>
      <c r="R746" s="298"/>
      <c r="S746" s="299"/>
      <c r="T746" s="300">
        <v>43743.0</v>
      </c>
      <c r="U746" s="299"/>
      <c r="V746" s="299"/>
      <c r="W746" s="298" t="s">
        <v>50</v>
      </c>
      <c r="X746" s="298" t="s">
        <v>285</v>
      </c>
      <c r="Y746" s="298" t="s">
        <v>51</v>
      </c>
      <c r="Z746" s="298" t="s">
        <v>377</v>
      </c>
      <c r="AA746" s="298" t="s">
        <v>1133</v>
      </c>
    </row>
    <row r="747" ht="15.75" customHeight="1">
      <c r="A747" s="69">
        <v>43727.0</v>
      </c>
      <c r="B747" s="23" t="s">
        <v>406</v>
      </c>
      <c r="C747" s="21">
        <v>7.000150303E9</v>
      </c>
      <c r="D747" s="21" t="s">
        <v>1676</v>
      </c>
      <c r="E747" s="32" t="s">
        <v>1677</v>
      </c>
      <c r="F747" s="24">
        <v>1.0</v>
      </c>
      <c r="G747" s="48">
        <v>208.0</v>
      </c>
      <c r="H747" s="26">
        <v>208.0</v>
      </c>
      <c r="I747" s="27" t="s">
        <v>43</v>
      </c>
      <c r="J747" s="50" t="s">
        <v>513</v>
      </c>
      <c r="K747" s="29">
        <v>43739.0</v>
      </c>
      <c r="L747" s="305">
        <v>43830.0</v>
      </c>
      <c r="M747" s="462">
        <v>43734.0</v>
      </c>
      <c r="N747" s="306" t="s">
        <v>1678</v>
      </c>
      <c r="O747" s="306">
        <v>11012.0</v>
      </c>
      <c r="P747" s="306"/>
      <c r="Q747" s="298"/>
      <c r="R747" s="298"/>
      <c r="S747" s="299"/>
      <c r="T747" s="300">
        <v>43773.0</v>
      </c>
      <c r="U747" s="299">
        <f>380.41*30.35</f>
        <v>11545.4435</v>
      </c>
      <c r="V747" s="299">
        <f>(407-380.41)*30.35</f>
        <v>807.0065</v>
      </c>
      <c r="W747" s="298" t="s">
        <v>50</v>
      </c>
      <c r="X747" s="298" t="s">
        <v>285</v>
      </c>
      <c r="Y747" s="298" t="s">
        <v>51</v>
      </c>
      <c r="Z747" s="298" t="s">
        <v>52</v>
      </c>
      <c r="AA747" s="298" t="s">
        <v>763</v>
      </c>
    </row>
    <row r="748" ht="15.75" customHeight="1">
      <c r="A748" s="69">
        <v>43727.0</v>
      </c>
      <c r="B748" s="23" t="s">
        <v>406</v>
      </c>
      <c r="C748" s="21">
        <v>7.000150303E9</v>
      </c>
      <c r="D748" s="21" t="s">
        <v>1676</v>
      </c>
      <c r="E748" s="32" t="s">
        <v>1679</v>
      </c>
      <c r="F748" s="24">
        <v>1.0</v>
      </c>
      <c r="G748" s="48">
        <v>59.0</v>
      </c>
      <c r="H748" s="26">
        <v>59.0</v>
      </c>
      <c r="I748" s="27" t="s">
        <v>43</v>
      </c>
      <c r="J748" s="50" t="s">
        <v>513</v>
      </c>
      <c r="K748" s="29">
        <v>43739.0</v>
      </c>
      <c r="L748" s="305">
        <v>43830.0</v>
      </c>
      <c r="M748" s="462">
        <v>43734.0</v>
      </c>
      <c r="N748" s="306" t="s">
        <v>1678</v>
      </c>
      <c r="O748" s="306"/>
      <c r="P748" s="306"/>
      <c r="Q748" s="298"/>
      <c r="R748" s="298"/>
      <c r="S748" s="299"/>
      <c r="T748" s="300">
        <v>43773.0</v>
      </c>
      <c r="U748" s="299"/>
      <c r="V748" s="299"/>
      <c r="W748" s="298" t="s">
        <v>50</v>
      </c>
      <c r="X748" s="298" t="s">
        <v>285</v>
      </c>
      <c r="Y748" s="298" t="s">
        <v>51</v>
      </c>
      <c r="Z748" s="298" t="s">
        <v>52</v>
      </c>
      <c r="AA748" s="82" t="s">
        <v>763</v>
      </c>
    </row>
    <row r="749" ht="15.75" customHeight="1">
      <c r="A749" s="69">
        <v>43727.0</v>
      </c>
      <c r="B749" s="23" t="s">
        <v>406</v>
      </c>
      <c r="C749" s="21">
        <v>7.000150303E9</v>
      </c>
      <c r="D749" s="21" t="s">
        <v>1676</v>
      </c>
      <c r="E749" s="32" t="s">
        <v>1680</v>
      </c>
      <c r="F749" s="24">
        <v>1.0</v>
      </c>
      <c r="G749" s="48">
        <v>54.0</v>
      </c>
      <c r="H749" s="26">
        <v>54.0</v>
      </c>
      <c r="I749" s="27" t="s">
        <v>43</v>
      </c>
      <c r="J749" s="50" t="s">
        <v>513</v>
      </c>
      <c r="K749" s="29">
        <v>43739.0</v>
      </c>
      <c r="L749" s="305">
        <v>43830.0</v>
      </c>
      <c r="M749" s="462">
        <v>43734.0</v>
      </c>
      <c r="N749" s="306" t="s">
        <v>1678</v>
      </c>
      <c r="O749" s="306"/>
      <c r="P749" s="306"/>
      <c r="Q749" s="298"/>
      <c r="R749" s="298"/>
      <c r="S749" s="299"/>
      <c r="T749" s="300">
        <v>43773.0</v>
      </c>
      <c r="U749" s="299"/>
      <c r="V749" s="299"/>
      <c r="W749" s="298" t="s">
        <v>50</v>
      </c>
      <c r="X749" s="298" t="s">
        <v>285</v>
      </c>
      <c r="Y749" s="298" t="s">
        <v>51</v>
      </c>
      <c r="Z749" s="298" t="s">
        <v>52</v>
      </c>
      <c r="AA749" s="82" t="s">
        <v>763</v>
      </c>
    </row>
    <row r="750" ht="27.75" customHeight="1">
      <c r="A750" s="69">
        <v>43727.0</v>
      </c>
      <c r="B750" s="23" t="s">
        <v>406</v>
      </c>
      <c r="C750" s="21">
        <v>7.000150303E9</v>
      </c>
      <c r="D750" s="21" t="s">
        <v>1676</v>
      </c>
      <c r="E750" s="32" t="s">
        <v>1681</v>
      </c>
      <c r="F750" s="24">
        <v>1.0</v>
      </c>
      <c r="G750" s="48">
        <v>86.0</v>
      </c>
      <c r="H750" s="26">
        <v>86.0</v>
      </c>
      <c r="I750" s="27" t="s">
        <v>43</v>
      </c>
      <c r="J750" s="50" t="s">
        <v>513</v>
      </c>
      <c r="K750" s="29">
        <v>43739.0</v>
      </c>
      <c r="L750" s="305">
        <v>43830.0</v>
      </c>
      <c r="M750" s="462">
        <v>43734.0</v>
      </c>
      <c r="N750" s="306" t="s">
        <v>1678</v>
      </c>
      <c r="O750" s="306"/>
      <c r="P750" s="306"/>
      <c r="Q750" s="298"/>
      <c r="R750" s="298"/>
      <c r="S750" s="299"/>
      <c r="T750" s="300">
        <v>43773.0</v>
      </c>
      <c r="U750" s="299"/>
      <c r="V750" s="299"/>
      <c r="W750" s="298" t="s">
        <v>50</v>
      </c>
      <c r="X750" s="298" t="s">
        <v>285</v>
      </c>
      <c r="Y750" s="298" t="s">
        <v>51</v>
      </c>
      <c r="Z750" s="298" t="s">
        <v>52</v>
      </c>
      <c r="AA750" s="82" t="s">
        <v>763</v>
      </c>
    </row>
    <row r="751" ht="27.75" customHeight="1">
      <c r="A751" s="469">
        <v>43728.0</v>
      </c>
      <c r="B751" s="144" t="s">
        <v>1251</v>
      </c>
      <c r="C751" s="21" t="s">
        <v>1583</v>
      </c>
      <c r="D751" s="21" t="s">
        <v>1682</v>
      </c>
      <c r="E751" s="32" t="s">
        <v>347</v>
      </c>
      <c r="F751" s="24">
        <v>1.0</v>
      </c>
      <c r="G751" s="436">
        <v>452.0</v>
      </c>
      <c r="H751" s="60">
        <v>452.0</v>
      </c>
      <c r="I751" s="61"/>
      <c r="J751" s="63" t="s">
        <v>1361</v>
      </c>
      <c r="K751" s="29">
        <v>43728.0</v>
      </c>
      <c r="L751" s="305">
        <v>43769.0</v>
      </c>
      <c r="M751" s="462">
        <v>43738.0</v>
      </c>
      <c r="N751" s="306" t="s">
        <v>1594</v>
      </c>
      <c r="O751" s="306">
        <v>14604.0</v>
      </c>
      <c r="P751" s="306"/>
      <c r="Q751" s="298"/>
      <c r="R751" s="298"/>
      <c r="S751" s="299"/>
      <c r="T751" s="29">
        <v>43789.0</v>
      </c>
      <c r="U751" s="299"/>
      <c r="V751" s="299"/>
      <c r="W751" s="298" t="s">
        <v>50</v>
      </c>
      <c r="X751" s="298" t="s">
        <v>285</v>
      </c>
      <c r="Y751" s="298" t="s">
        <v>286</v>
      </c>
      <c r="Z751" s="298" t="s">
        <v>52</v>
      </c>
      <c r="AA751" s="298" t="s">
        <v>1133</v>
      </c>
    </row>
    <row r="752" ht="15.75" customHeight="1">
      <c r="A752" s="69">
        <v>43731.0</v>
      </c>
      <c r="B752" s="70" t="s">
        <v>1683</v>
      </c>
      <c r="C752" s="21"/>
      <c r="D752" s="21" t="s">
        <v>1684</v>
      </c>
      <c r="E752" s="522" t="s">
        <v>1685</v>
      </c>
      <c r="F752" s="24">
        <v>1.0</v>
      </c>
      <c r="G752" s="48">
        <v>212.0</v>
      </c>
      <c r="H752" s="60">
        <v>212.0</v>
      </c>
      <c r="I752" s="61" t="s">
        <v>105</v>
      </c>
      <c r="J752" s="50"/>
      <c r="K752" s="29">
        <v>43782.0</v>
      </c>
      <c r="L752" s="305">
        <v>43830.0</v>
      </c>
      <c r="M752" s="305">
        <v>43781.0</v>
      </c>
      <c r="N752" s="306" t="s">
        <v>1686</v>
      </c>
      <c r="O752" s="306">
        <v>39444.0</v>
      </c>
      <c r="P752" s="306"/>
      <c r="Q752" s="298"/>
      <c r="R752" s="298"/>
      <c r="S752" s="299"/>
      <c r="T752" s="300">
        <v>43732.0</v>
      </c>
      <c r="U752" s="299">
        <f>1390.04*30.96</f>
        <v>43035.6384</v>
      </c>
      <c r="V752" s="299">
        <f>(1407.5-1390.04)*30.96</f>
        <v>540.5616</v>
      </c>
      <c r="W752" s="298" t="s">
        <v>50</v>
      </c>
      <c r="X752" s="298" t="s">
        <v>285</v>
      </c>
      <c r="Y752" s="298" t="s">
        <v>51</v>
      </c>
      <c r="Z752" s="298" t="s">
        <v>52</v>
      </c>
      <c r="AA752" s="82" t="s">
        <v>763</v>
      </c>
    </row>
    <row r="753" ht="15.75" customHeight="1">
      <c r="A753" s="69">
        <v>43731.0</v>
      </c>
      <c r="B753" s="70" t="s">
        <v>1683</v>
      </c>
      <c r="C753" s="21"/>
      <c r="D753" s="21" t="s">
        <v>1684</v>
      </c>
      <c r="E753" s="522" t="s">
        <v>1687</v>
      </c>
      <c r="F753" s="24">
        <v>1.0</v>
      </c>
      <c r="G753" s="48">
        <v>345.0</v>
      </c>
      <c r="H753" s="60">
        <v>345.0</v>
      </c>
      <c r="I753" s="61" t="s">
        <v>105</v>
      </c>
      <c r="J753" s="50"/>
      <c r="K753" s="29">
        <v>43782.0</v>
      </c>
      <c r="L753" s="305">
        <v>43830.0</v>
      </c>
      <c r="M753" s="305">
        <v>43781.0</v>
      </c>
      <c r="N753" s="306" t="s">
        <v>1686</v>
      </c>
      <c r="O753" s="306"/>
      <c r="P753" s="306"/>
      <c r="Q753" s="298"/>
      <c r="R753" s="298"/>
      <c r="S753" s="299"/>
      <c r="T753" s="300">
        <v>43732.0</v>
      </c>
      <c r="U753" s="299"/>
      <c r="V753" s="299"/>
      <c r="W753" s="298" t="s">
        <v>50</v>
      </c>
      <c r="X753" s="298" t="s">
        <v>285</v>
      </c>
      <c r="Y753" s="298" t="s">
        <v>51</v>
      </c>
      <c r="Z753" s="298" t="s">
        <v>52</v>
      </c>
      <c r="AA753" s="82" t="s">
        <v>763</v>
      </c>
    </row>
    <row r="754" ht="15.75" customHeight="1">
      <c r="A754" s="69">
        <v>43731.0</v>
      </c>
      <c r="B754" s="70" t="s">
        <v>1683</v>
      </c>
      <c r="C754" s="21"/>
      <c r="D754" s="21" t="s">
        <v>1684</v>
      </c>
      <c r="E754" s="522" t="s">
        <v>1688</v>
      </c>
      <c r="F754" s="24">
        <v>6.0</v>
      </c>
      <c r="G754" s="48">
        <v>138.0</v>
      </c>
      <c r="H754" s="60">
        <v>828.0</v>
      </c>
      <c r="I754" s="61" t="s">
        <v>105</v>
      </c>
      <c r="J754" s="50"/>
      <c r="K754" s="29">
        <v>43782.0</v>
      </c>
      <c r="L754" s="305">
        <v>43830.0</v>
      </c>
      <c r="M754" s="305">
        <v>43781.0</v>
      </c>
      <c r="N754" s="306" t="s">
        <v>1686</v>
      </c>
      <c r="O754" s="306"/>
      <c r="P754" s="306"/>
      <c r="Q754" s="298"/>
      <c r="R754" s="298"/>
      <c r="S754" s="299"/>
      <c r="T754" s="300">
        <v>43732.0</v>
      </c>
      <c r="U754" s="299"/>
      <c r="V754" s="299"/>
      <c r="W754" s="298" t="s">
        <v>50</v>
      </c>
      <c r="X754" s="298" t="s">
        <v>285</v>
      </c>
      <c r="Y754" s="298" t="s">
        <v>51</v>
      </c>
      <c r="Z754" s="298" t="s">
        <v>52</v>
      </c>
      <c r="AA754" s="82" t="s">
        <v>763</v>
      </c>
    </row>
    <row r="755" ht="15.75" customHeight="1">
      <c r="A755" s="69">
        <v>43731.0</v>
      </c>
      <c r="B755" s="70" t="s">
        <v>1683</v>
      </c>
      <c r="C755" s="21"/>
      <c r="D755" s="21" t="s">
        <v>1684</v>
      </c>
      <c r="E755" s="522" t="s">
        <v>1689</v>
      </c>
      <c r="F755" s="24">
        <v>6.0</v>
      </c>
      <c r="G755" s="48">
        <v>3.75</v>
      </c>
      <c r="H755" s="60">
        <v>22.5</v>
      </c>
      <c r="I755" s="61" t="s">
        <v>105</v>
      </c>
      <c r="J755" s="50"/>
      <c r="K755" s="29">
        <v>43782.0</v>
      </c>
      <c r="L755" s="305">
        <v>43830.0</v>
      </c>
      <c r="M755" s="305">
        <v>43781.0</v>
      </c>
      <c r="N755" s="306" t="s">
        <v>1686</v>
      </c>
      <c r="O755" s="306"/>
      <c r="P755" s="306"/>
      <c r="Q755" s="298"/>
      <c r="R755" s="298"/>
      <c r="S755" s="299"/>
      <c r="T755" s="300">
        <v>43732.0</v>
      </c>
      <c r="U755" s="299"/>
      <c r="V755" s="299"/>
      <c r="W755" s="298" t="s">
        <v>50</v>
      </c>
      <c r="X755" s="298" t="s">
        <v>285</v>
      </c>
      <c r="Y755" s="298" t="s">
        <v>51</v>
      </c>
      <c r="Z755" s="298" t="s">
        <v>52</v>
      </c>
      <c r="AA755" s="82" t="s">
        <v>763</v>
      </c>
    </row>
    <row r="756" ht="15.75" customHeight="1">
      <c r="A756" s="69">
        <v>43731.0</v>
      </c>
      <c r="B756" s="70" t="s">
        <v>77</v>
      </c>
      <c r="C756" s="21"/>
      <c r="D756" s="21" t="s">
        <v>1690</v>
      </c>
      <c r="E756" s="32" t="s">
        <v>555</v>
      </c>
      <c r="F756" s="82">
        <v>50.0</v>
      </c>
      <c r="G756" s="150">
        <v>2.5</v>
      </c>
      <c r="H756" s="26">
        <v>125.0</v>
      </c>
      <c r="I756" s="61" t="s">
        <v>43</v>
      </c>
      <c r="J756" s="431" t="s">
        <v>936</v>
      </c>
      <c r="K756" s="29">
        <v>43769.0</v>
      </c>
      <c r="L756" s="462">
        <v>43774.0</v>
      </c>
      <c r="M756" s="305">
        <v>43755.0</v>
      </c>
      <c r="N756" s="306" t="s">
        <v>1691</v>
      </c>
      <c r="O756" s="306"/>
      <c r="P756" s="306"/>
      <c r="Q756" s="298"/>
      <c r="R756" s="298"/>
      <c r="S756" s="299"/>
      <c r="T756" s="539"/>
      <c r="U756" s="300"/>
      <c r="V756" s="299"/>
      <c r="W756" s="298" t="s">
        <v>50</v>
      </c>
      <c r="X756" s="298" t="s">
        <v>285</v>
      </c>
      <c r="Y756" s="298" t="s">
        <v>51</v>
      </c>
      <c r="Z756" s="298" t="s">
        <v>52</v>
      </c>
      <c r="AA756" s="82" t="s">
        <v>763</v>
      </c>
    </row>
    <row r="757" ht="15.75" customHeight="1">
      <c r="A757" s="69">
        <v>43733.0</v>
      </c>
      <c r="B757" s="70" t="s">
        <v>631</v>
      </c>
      <c r="C757" s="21" t="s">
        <v>1692</v>
      </c>
      <c r="D757" s="21" t="s">
        <v>1693</v>
      </c>
      <c r="E757" s="32" t="s">
        <v>634</v>
      </c>
      <c r="F757" s="24">
        <v>15.0</v>
      </c>
      <c r="G757" s="48">
        <v>173.25</v>
      </c>
      <c r="H757" s="60">
        <v>2598.75</v>
      </c>
      <c r="I757" s="61" t="s">
        <v>144</v>
      </c>
      <c r="J757" s="407" t="s">
        <v>1089</v>
      </c>
      <c r="K757" s="30">
        <v>43740.0</v>
      </c>
      <c r="L757" s="462">
        <v>43774.0</v>
      </c>
      <c r="M757" s="462">
        <v>43735.0</v>
      </c>
      <c r="N757" s="306" t="s">
        <v>1694</v>
      </c>
      <c r="O757" s="306">
        <v>76388.0</v>
      </c>
      <c r="P757" s="306"/>
      <c r="Q757" s="298"/>
      <c r="R757" s="298"/>
      <c r="S757" s="299"/>
      <c r="T757" s="29">
        <v>43780.0</v>
      </c>
      <c r="U757" s="299">
        <v>80622.0</v>
      </c>
      <c r="V757" s="299">
        <v>30.0</v>
      </c>
      <c r="W757" s="298" t="s">
        <v>50</v>
      </c>
      <c r="X757" s="298" t="s">
        <v>285</v>
      </c>
      <c r="Y757" s="298" t="s">
        <v>51</v>
      </c>
      <c r="Z757" s="298" t="s">
        <v>377</v>
      </c>
      <c r="AA757" s="82" t="s">
        <v>763</v>
      </c>
    </row>
    <row r="758" ht="15.75" customHeight="1">
      <c r="A758" s="469">
        <v>43733.0</v>
      </c>
      <c r="B758" s="144" t="s">
        <v>378</v>
      </c>
      <c r="C758" s="21">
        <v>9109.0</v>
      </c>
      <c r="D758" s="21" t="s">
        <v>1695</v>
      </c>
      <c r="E758" s="32" t="s">
        <v>1696</v>
      </c>
      <c r="F758" s="24">
        <v>50.0</v>
      </c>
      <c r="G758" s="48">
        <v>253.0</v>
      </c>
      <c r="H758" s="81">
        <v>12650.0</v>
      </c>
      <c r="I758" s="61" t="s">
        <v>248</v>
      </c>
      <c r="J758" s="58" t="s">
        <v>1122</v>
      </c>
      <c r="K758" s="84">
        <v>43816.0</v>
      </c>
      <c r="L758" s="305">
        <v>43781.0</v>
      </c>
      <c r="M758" s="305">
        <v>43782.0</v>
      </c>
      <c r="N758" s="306" t="s">
        <v>1697</v>
      </c>
      <c r="O758" s="306">
        <v>260988.0</v>
      </c>
      <c r="P758" s="305">
        <v>43781.0</v>
      </c>
      <c r="Q758" s="298"/>
      <c r="R758" s="298"/>
      <c r="S758" s="299"/>
      <c r="T758" s="539"/>
      <c r="U758" s="299"/>
      <c r="V758" s="299"/>
      <c r="W758" s="298"/>
      <c r="X758" s="82" t="s">
        <v>285</v>
      </c>
      <c r="Y758" s="298" t="s">
        <v>286</v>
      </c>
      <c r="Z758" s="298" t="s">
        <v>52</v>
      </c>
      <c r="AA758" s="298" t="s">
        <v>1371</v>
      </c>
    </row>
    <row r="759" ht="15.75" customHeight="1">
      <c r="A759" s="469">
        <v>43733.0</v>
      </c>
      <c r="B759" s="144" t="s">
        <v>378</v>
      </c>
      <c r="C759" s="21">
        <v>9109.0</v>
      </c>
      <c r="D759" s="21" t="s">
        <v>1698</v>
      </c>
      <c r="E759" s="246" t="s">
        <v>1699</v>
      </c>
      <c r="F759" s="24">
        <v>50.0</v>
      </c>
      <c r="G759" s="48">
        <v>0.0</v>
      </c>
      <c r="H759" s="216">
        <v>0.0</v>
      </c>
      <c r="I759" s="61" t="s">
        <v>248</v>
      </c>
      <c r="J759" s="58" t="s">
        <v>1122</v>
      </c>
      <c r="K759" s="84">
        <v>43816.0</v>
      </c>
      <c r="L759" s="306"/>
      <c r="M759" s="306"/>
      <c r="N759" s="306"/>
      <c r="O759" s="306"/>
      <c r="P759" s="306"/>
      <c r="Q759" s="298"/>
      <c r="R759" s="298"/>
      <c r="S759" s="299"/>
      <c r="T759" s="298"/>
      <c r="U759" s="299"/>
      <c r="V759" s="299"/>
      <c r="W759" s="298" t="s">
        <v>1227</v>
      </c>
      <c r="X759" s="82" t="s">
        <v>285</v>
      </c>
      <c r="Y759" s="298" t="s">
        <v>286</v>
      </c>
      <c r="Z759" s="298" t="s">
        <v>52</v>
      </c>
      <c r="AA759" s="298" t="s">
        <v>1371</v>
      </c>
    </row>
    <row r="760" ht="15.75" customHeight="1">
      <c r="A760" s="469">
        <v>43733.0</v>
      </c>
      <c r="B760" s="144" t="s">
        <v>378</v>
      </c>
      <c r="C760" s="21">
        <v>9109.0</v>
      </c>
      <c r="D760" s="21" t="s">
        <v>1698</v>
      </c>
      <c r="E760" s="246" t="s">
        <v>1700</v>
      </c>
      <c r="F760" s="24">
        <v>50.0</v>
      </c>
      <c r="G760" s="48">
        <v>0.0</v>
      </c>
      <c r="H760" s="60">
        <v>0.0</v>
      </c>
      <c r="I760" s="61" t="s">
        <v>248</v>
      </c>
      <c r="J760" s="58" t="s">
        <v>1122</v>
      </c>
      <c r="K760" s="84">
        <v>43816.0</v>
      </c>
      <c r="L760" s="306"/>
      <c r="M760" s="306"/>
      <c r="N760" s="306"/>
      <c r="O760" s="306"/>
      <c r="P760" s="306"/>
      <c r="Q760" s="298"/>
      <c r="R760" s="298"/>
      <c r="S760" s="299"/>
      <c r="T760" s="298"/>
      <c r="U760" s="299"/>
      <c r="V760" s="299"/>
      <c r="W760" s="298" t="s">
        <v>1227</v>
      </c>
      <c r="X760" s="82" t="s">
        <v>285</v>
      </c>
      <c r="Y760" s="298" t="s">
        <v>286</v>
      </c>
      <c r="Z760" s="298" t="s">
        <v>52</v>
      </c>
      <c r="AA760" s="298" t="s">
        <v>1371</v>
      </c>
    </row>
    <row r="761" ht="15.75" customHeight="1">
      <c r="A761" s="69">
        <v>43735.0</v>
      </c>
      <c r="B761" s="70" t="s">
        <v>130</v>
      </c>
      <c r="C761" s="21"/>
      <c r="D761" s="21" t="s">
        <v>1701</v>
      </c>
      <c r="E761" s="32" t="s">
        <v>1420</v>
      </c>
      <c r="F761" s="24">
        <v>1.0</v>
      </c>
      <c r="G761" s="48">
        <v>112.0</v>
      </c>
      <c r="H761" s="60">
        <v>112.0</v>
      </c>
      <c r="I761" s="61" t="s">
        <v>248</v>
      </c>
      <c r="J761" s="50" t="s">
        <v>134</v>
      </c>
      <c r="K761" s="30">
        <v>43741.0</v>
      </c>
      <c r="L761" s="305">
        <v>43799.0</v>
      </c>
      <c r="M761" s="462">
        <v>43739.0</v>
      </c>
      <c r="N761" s="306" t="s">
        <v>1702</v>
      </c>
      <c r="O761" s="306">
        <v>3382.0</v>
      </c>
      <c r="P761" s="306"/>
      <c r="Q761" s="298"/>
      <c r="R761" s="298"/>
      <c r="S761" s="299"/>
      <c r="T761" s="29">
        <v>43756.0</v>
      </c>
      <c r="U761" s="299"/>
      <c r="V761" s="299"/>
      <c r="W761" s="298" t="s">
        <v>50</v>
      </c>
      <c r="X761" s="298" t="s">
        <v>285</v>
      </c>
      <c r="Y761" s="298" t="s">
        <v>51</v>
      </c>
      <c r="Z761" s="298" t="s">
        <v>52</v>
      </c>
      <c r="AA761" s="82" t="s">
        <v>763</v>
      </c>
    </row>
    <row r="762" ht="15.75" customHeight="1">
      <c r="A762" s="69">
        <v>43738.0</v>
      </c>
      <c r="B762" s="23" t="s">
        <v>406</v>
      </c>
      <c r="C762" s="21">
        <v>7.000150545E9</v>
      </c>
      <c r="D762" s="21" t="s">
        <v>1703</v>
      </c>
      <c r="E762" s="32" t="s">
        <v>812</v>
      </c>
      <c r="F762" s="24">
        <v>2.0</v>
      </c>
      <c r="G762" s="48">
        <v>43.0</v>
      </c>
      <c r="H762" s="60">
        <v>86.0</v>
      </c>
      <c r="I762" s="61" t="s">
        <v>43</v>
      </c>
      <c r="J762" s="82" t="s">
        <v>520</v>
      </c>
      <c r="K762" s="145">
        <v>43756.0</v>
      </c>
      <c r="L762" s="305">
        <v>43830.0</v>
      </c>
      <c r="M762" s="306"/>
      <c r="N762" s="306"/>
      <c r="O762" s="306">
        <v>98301.0</v>
      </c>
      <c r="P762" s="306"/>
      <c r="Q762" s="298"/>
      <c r="R762" s="298"/>
      <c r="S762" s="299"/>
      <c r="T762" s="29">
        <v>43789.0</v>
      </c>
      <c r="U762" s="299"/>
      <c r="V762" s="299"/>
      <c r="W762" s="298" t="s">
        <v>50</v>
      </c>
      <c r="X762" s="298" t="s">
        <v>285</v>
      </c>
      <c r="Y762" s="298" t="s">
        <v>51</v>
      </c>
      <c r="Z762" s="298" t="s">
        <v>52</v>
      </c>
      <c r="AA762" s="82" t="s">
        <v>763</v>
      </c>
    </row>
    <row r="763" ht="15.75" customHeight="1">
      <c r="A763" s="69">
        <v>43738.0</v>
      </c>
      <c r="B763" s="23" t="s">
        <v>406</v>
      </c>
      <c r="C763" s="21">
        <v>7.000150545E9</v>
      </c>
      <c r="D763" s="21" t="s">
        <v>1703</v>
      </c>
      <c r="E763" s="32" t="s">
        <v>616</v>
      </c>
      <c r="F763" s="24">
        <v>4.0</v>
      </c>
      <c r="G763" s="48">
        <v>24.0</v>
      </c>
      <c r="H763" s="60">
        <v>96.0</v>
      </c>
      <c r="I763" s="61" t="s">
        <v>43</v>
      </c>
      <c r="J763" s="82" t="s">
        <v>520</v>
      </c>
      <c r="K763" s="145">
        <v>43756.0</v>
      </c>
      <c r="L763" s="305">
        <v>43830.0</v>
      </c>
      <c r="M763" s="306"/>
      <c r="N763" s="306"/>
      <c r="O763" s="306">
        <v>98301.0</v>
      </c>
      <c r="P763" s="306"/>
      <c r="Q763" s="298"/>
      <c r="R763" s="298"/>
      <c r="S763" s="299"/>
      <c r="T763" s="29">
        <v>43789.0</v>
      </c>
      <c r="U763" s="299"/>
      <c r="V763" s="299"/>
      <c r="W763" s="298" t="s">
        <v>50</v>
      </c>
      <c r="X763" s="298" t="s">
        <v>285</v>
      </c>
      <c r="Y763" s="298" t="s">
        <v>51</v>
      </c>
      <c r="Z763" s="298" t="s">
        <v>52</v>
      </c>
      <c r="AA763" s="82" t="s">
        <v>763</v>
      </c>
    </row>
    <row r="764" ht="15.75" customHeight="1">
      <c r="A764" s="110">
        <v>43738.0</v>
      </c>
      <c r="B764" s="72" t="s">
        <v>406</v>
      </c>
      <c r="C764" s="71">
        <v>7.000150545E9</v>
      </c>
      <c r="D764" s="71" t="s">
        <v>1703</v>
      </c>
      <c r="E764" s="72" t="s">
        <v>813</v>
      </c>
      <c r="F764" s="114">
        <v>2.0</v>
      </c>
      <c r="G764" s="115">
        <v>8.5</v>
      </c>
      <c r="H764" s="60">
        <v>17.0</v>
      </c>
      <c r="I764" s="154" t="s">
        <v>43</v>
      </c>
      <c r="J764" s="82" t="s">
        <v>520</v>
      </c>
      <c r="K764" s="145">
        <v>43756.0</v>
      </c>
      <c r="L764" s="305">
        <v>43830.0</v>
      </c>
      <c r="M764" s="306"/>
      <c r="N764" s="306"/>
      <c r="O764" s="306">
        <v>98301.0</v>
      </c>
      <c r="P764" s="306"/>
      <c r="Q764" s="298"/>
      <c r="R764" s="298"/>
      <c r="S764" s="299"/>
      <c r="T764" s="29">
        <v>43789.0</v>
      </c>
      <c r="U764" s="299"/>
      <c r="V764" s="299"/>
      <c r="W764" s="298" t="s">
        <v>50</v>
      </c>
      <c r="X764" s="298" t="s">
        <v>285</v>
      </c>
      <c r="Y764" s="298" t="s">
        <v>51</v>
      </c>
      <c r="Z764" s="298" t="s">
        <v>52</v>
      </c>
      <c r="AA764" s="82" t="s">
        <v>763</v>
      </c>
    </row>
    <row r="765" ht="15.75" customHeight="1">
      <c r="A765" s="110">
        <v>43738.0</v>
      </c>
      <c r="B765" s="23" t="s">
        <v>406</v>
      </c>
      <c r="C765" s="70">
        <v>7.000150545E9</v>
      </c>
      <c r="D765" s="71" t="s">
        <v>1703</v>
      </c>
      <c r="E765" s="23" t="s">
        <v>1704</v>
      </c>
      <c r="F765" s="130">
        <v>2.0</v>
      </c>
      <c r="G765" s="25">
        <v>290.0</v>
      </c>
      <c r="H765" s="60">
        <v>580.0</v>
      </c>
      <c r="I765" s="61" t="s">
        <v>43</v>
      </c>
      <c r="J765" s="82" t="s">
        <v>520</v>
      </c>
      <c r="K765" s="145">
        <v>43756.0</v>
      </c>
      <c r="L765" s="305">
        <v>43830.0</v>
      </c>
      <c r="M765" s="305">
        <v>43752.0</v>
      </c>
      <c r="N765" s="306" t="s">
        <v>1705</v>
      </c>
      <c r="O765" s="306">
        <v>98301.0</v>
      </c>
      <c r="P765" s="306"/>
      <c r="Q765" s="298"/>
      <c r="R765" s="298"/>
      <c r="S765" s="299"/>
      <c r="T765" s="29">
        <v>43789.0</v>
      </c>
      <c r="U765" s="299">
        <f>5808.43*30.43</f>
        <v>176750.5249</v>
      </c>
      <c r="V765" s="299">
        <f>(5837-5808.43)*30.43</f>
        <v>869.3851</v>
      </c>
      <c r="W765" s="298" t="s">
        <v>50</v>
      </c>
      <c r="X765" s="298" t="s">
        <v>285</v>
      </c>
      <c r="Y765" s="298" t="s">
        <v>51</v>
      </c>
      <c r="Z765" s="298" t="s">
        <v>52</v>
      </c>
      <c r="AA765" s="82" t="s">
        <v>763</v>
      </c>
    </row>
    <row r="766" ht="15.75" customHeight="1">
      <c r="A766" s="110">
        <v>43738.0</v>
      </c>
      <c r="B766" s="23" t="s">
        <v>406</v>
      </c>
      <c r="C766" s="70">
        <v>7.000150545E9</v>
      </c>
      <c r="D766" s="71" t="s">
        <v>1703</v>
      </c>
      <c r="E766" s="23" t="s">
        <v>611</v>
      </c>
      <c r="F766" s="130">
        <v>10.0</v>
      </c>
      <c r="G766" s="25">
        <v>148.0</v>
      </c>
      <c r="H766" s="60">
        <v>1480.0</v>
      </c>
      <c r="I766" s="61" t="s">
        <v>43</v>
      </c>
      <c r="J766" s="82" t="s">
        <v>520</v>
      </c>
      <c r="K766" s="145">
        <v>43756.0</v>
      </c>
      <c r="L766" s="305">
        <v>43830.0</v>
      </c>
      <c r="M766" s="306"/>
      <c r="N766" s="306"/>
      <c r="O766" s="306">
        <v>98301.0</v>
      </c>
      <c r="P766" s="306"/>
      <c r="Q766" s="298"/>
      <c r="R766" s="298"/>
      <c r="S766" s="299"/>
      <c r="T766" s="29">
        <v>43789.0</v>
      </c>
      <c r="U766" s="299"/>
      <c r="V766" s="299"/>
      <c r="W766" s="298" t="s">
        <v>50</v>
      </c>
      <c r="X766" s="298" t="s">
        <v>285</v>
      </c>
      <c r="Y766" s="298" t="s">
        <v>51</v>
      </c>
      <c r="Z766" s="298" t="s">
        <v>52</v>
      </c>
      <c r="AA766" s="82" t="s">
        <v>763</v>
      </c>
    </row>
    <row r="767" ht="15.75" customHeight="1">
      <c r="A767" s="69">
        <v>43738.0</v>
      </c>
      <c r="B767" s="23" t="s">
        <v>406</v>
      </c>
      <c r="C767" s="21">
        <v>7.000150545E9</v>
      </c>
      <c r="D767" s="21" t="s">
        <v>1703</v>
      </c>
      <c r="E767" s="23" t="s">
        <v>811</v>
      </c>
      <c r="F767" s="24">
        <v>2.0</v>
      </c>
      <c r="G767" s="25">
        <v>291.0</v>
      </c>
      <c r="H767" s="60">
        <v>582.0</v>
      </c>
      <c r="I767" s="61" t="s">
        <v>43</v>
      </c>
      <c r="J767" s="82" t="s">
        <v>520</v>
      </c>
      <c r="K767" s="145">
        <v>43756.0</v>
      </c>
      <c r="L767" s="305">
        <v>43830.0</v>
      </c>
      <c r="M767" s="306"/>
      <c r="N767" s="306"/>
      <c r="O767" s="306">
        <v>98301.0</v>
      </c>
      <c r="P767" s="306"/>
      <c r="Q767" s="298"/>
      <c r="R767" s="298"/>
      <c r="S767" s="299"/>
      <c r="T767" s="29">
        <v>43789.0</v>
      </c>
      <c r="U767" s="299"/>
      <c r="V767" s="299"/>
      <c r="W767" s="298" t="s">
        <v>50</v>
      </c>
      <c r="X767" s="298" t="s">
        <v>285</v>
      </c>
      <c r="Y767" s="298" t="s">
        <v>51</v>
      </c>
      <c r="Z767" s="298" t="s">
        <v>52</v>
      </c>
      <c r="AA767" s="82" t="s">
        <v>763</v>
      </c>
    </row>
    <row r="768" ht="15.75" customHeight="1">
      <c r="A768" s="69">
        <v>43738.0</v>
      </c>
      <c r="B768" s="23" t="s">
        <v>406</v>
      </c>
      <c r="C768" s="21">
        <v>7.000150545E9</v>
      </c>
      <c r="D768" s="21" t="s">
        <v>1703</v>
      </c>
      <c r="E768" s="23" t="s">
        <v>1706</v>
      </c>
      <c r="F768" s="24">
        <v>2.0</v>
      </c>
      <c r="G768" s="25">
        <v>300.0</v>
      </c>
      <c r="H768" s="60">
        <v>600.0</v>
      </c>
      <c r="I768" s="61" t="s">
        <v>43</v>
      </c>
      <c r="J768" s="82" t="s">
        <v>520</v>
      </c>
      <c r="K768" s="145">
        <v>43756.0</v>
      </c>
      <c r="L768" s="305">
        <v>43830.0</v>
      </c>
      <c r="M768" s="306"/>
      <c r="N768" s="306"/>
      <c r="O768" s="306">
        <v>98301.0</v>
      </c>
      <c r="P768" s="306"/>
      <c r="Q768" s="298"/>
      <c r="R768" s="298"/>
      <c r="S768" s="299"/>
      <c r="T768" s="29">
        <v>43789.0</v>
      </c>
      <c r="U768" s="299"/>
      <c r="V768" s="299"/>
      <c r="W768" s="298" t="s">
        <v>50</v>
      </c>
      <c r="X768" s="298" t="s">
        <v>285</v>
      </c>
      <c r="Y768" s="298" t="s">
        <v>51</v>
      </c>
      <c r="Z768" s="298" t="s">
        <v>52</v>
      </c>
      <c r="AA768" s="82" t="s">
        <v>763</v>
      </c>
    </row>
    <row r="769" ht="15.75" customHeight="1">
      <c r="A769" s="69">
        <v>43738.0</v>
      </c>
      <c r="B769" s="23" t="s">
        <v>406</v>
      </c>
      <c r="C769" s="21">
        <v>7.000150545E9</v>
      </c>
      <c r="D769" s="21" t="s">
        <v>1703</v>
      </c>
      <c r="E769" s="23" t="s">
        <v>1707</v>
      </c>
      <c r="F769" s="130">
        <v>2.0</v>
      </c>
      <c r="G769" s="25">
        <v>185.0</v>
      </c>
      <c r="H769" s="60">
        <v>370.0</v>
      </c>
      <c r="I769" s="61" t="s">
        <v>43</v>
      </c>
      <c r="J769" s="82" t="s">
        <v>520</v>
      </c>
      <c r="K769" s="145">
        <v>43756.0</v>
      </c>
      <c r="L769" s="305">
        <v>43799.0</v>
      </c>
      <c r="M769" s="305">
        <v>43752.0</v>
      </c>
      <c r="N769" s="306" t="s">
        <v>1708</v>
      </c>
      <c r="O769" s="306">
        <v>10920.0</v>
      </c>
      <c r="P769" s="306"/>
      <c r="Q769" s="298"/>
      <c r="R769" s="298"/>
      <c r="S769" s="299"/>
      <c r="T769" s="29">
        <v>43789.0</v>
      </c>
      <c r="U769" s="299"/>
      <c r="V769" s="299"/>
      <c r="W769" s="298" t="s">
        <v>50</v>
      </c>
      <c r="X769" s="298" t="s">
        <v>285</v>
      </c>
      <c r="Y769" s="298" t="s">
        <v>51</v>
      </c>
      <c r="Z769" s="298" t="s">
        <v>52</v>
      </c>
      <c r="AA769" s="82" t="s">
        <v>763</v>
      </c>
    </row>
    <row r="770" ht="15.75" customHeight="1">
      <c r="A770" s="69">
        <v>43738.0</v>
      </c>
      <c r="B770" s="23" t="s">
        <v>406</v>
      </c>
      <c r="C770" s="21">
        <v>7.000150545E9</v>
      </c>
      <c r="D770" s="21" t="s">
        <v>1703</v>
      </c>
      <c r="E770" s="23" t="s">
        <v>809</v>
      </c>
      <c r="F770" s="130">
        <v>2.0</v>
      </c>
      <c r="G770" s="25">
        <v>67.0</v>
      </c>
      <c r="H770" s="60">
        <v>134.0</v>
      </c>
      <c r="I770" s="61" t="s">
        <v>43</v>
      </c>
      <c r="J770" s="82" t="s">
        <v>520</v>
      </c>
      <c r="K770" s="145">
        <v>43756.0</v>
      </c>
      <c r="L770" s="305">
        <v>43830.0</v>
      </c>
      <c r="M770" s="306"/>
      <c r="N770" s="306"/>
      <c r="O770" s="306">
        <v>98301.0</v>
      </c>
      <c r="P770" s="306"/>
      <c r="Q770" s="298"/>
      <c r="R770" s="298"/>
      <c r="S770" s="299"/>
      <c r="T770" s="29">
        <v>43789.0</v>
      </c>
      <c r="U770" s="299"/>
      <c r="V770" s="299"/>
      <c r="W770" s="298" t="s">
        <v>50</v>
      </c>
      <c r="X770" s="298" t="s">
        <v>285</v>
      </c>
      <c r="Y770" s="298" t="s">
        <v>51</v>
      </c>
      <c r="Z770" s="298" t="s">
        <v>52</v>
      </c>
      <c r="AA770" s="82" t="s">
        <v>763</v>
      </c>
    </row>
    <row r="771" ht="15.75" customHeight="1">
      <c r="A771" s="69">
        <v>43738.0</v>
      </c>
      <c r="B771" s="144" t="s">
        <v>77</v>
      </c>
      <c r="C771" s="21">
        <v>710.0</v>
      </c>
      <c r="D771" s="71" t="s">
        <v>1709</v>
      </c>
      <c r="E771" s="23" t="s">
        <v>644</v>
      </c>
      <c r="F771" s="130">
        <v>6.0</v>
      </c>
      <c r="G771" s="25">
        <v>200.0</v>
      </c>
      <c r="H771" s="60">
        <v>1200.0</v>
      </c>
      <c r="I771" s="61" t="s">
        <v>43</v>
      </c>
      <c r="J771" s="82" t="s">
        <v>936</v>
      </c>
      <c r="K771" s="30">
        <v>43769.0</v>
      </c>
      <c r="L771" s="462">
        <v>43774.0</v>
      </c>
      <c r="M771" s="305">
        <v>43761.0</v>
      </c>
      <c r="N771" s="306" t="s">
        <v>1710</v>
      </c>
      <c r="O771" s="306"/>
      <c r="P771" s="306"/>
      <c r="Q771" s="298"/>
      <c r="R771" s="298"/>
      <c r="S771" s="299"/>
      <c r="T771" s="539"/>
      <c r="U771" s="300"/>
      <c r="V771" s="299"/>
      <c r="W771" s="298" t="s">
        <v>50</v>
      </c>
      <c r="X771" s="298" t="s">
        <v>285</v>
      </c>
      <c r="Y771" s="298" t="s">
        <v>286</v>
      </c>
      <c r="Z771" s="298" t="s">
        <v>52</v>
      </c>
      <c r="AA771" s="82" t="s">
        <v>763</v>
      </c>
    </row>
    <row r="772" ht="66.75" customHeight="1">
      <c r="A772" s="69">
        <v>43738.0</v>
      </c>
      <c r="B772" s="144" t="s">
        <v>77</v>
      </c>
      <c r="C772" s="70">
        <v>710.0</v>
      </c>
      <c r="D772" s="71" t="s">
        <v>1709</v>
      </c>
      <c r="E772" s="32" t="s">
        <v>646</v>
      </c>
      <c r="F772" s="130">
        <v>6.0</v>
      </c>
      <c r="G772" s="25">
        <v>0.0</v>
      </c>
      <c r="H772" s="60">
        <v>0.0</v>
      </c>
      <c r="I772" s="61" t="s">
        <v>43</v>
      </c>
      <c r="J772" s="82" t="s">
        <v>936</v>
      </c>
      <c r="K772" s="30">
        <v>43769.0</v>
      </c>
      <c r="L772" s="462">
        <v>43774.0</v>
      </c>
      <c r="M772" s="305">
        <v>43761.0</v>
      </c>
      <c r="N772" s="306" t="s">
        <v>1710</v>
      </c>
      <c r="O772" s="306"/>
      <c r="P772" s="306"/>
      <c r="Q772" s="298"/>
      <c r="R772" s="298"/>
      <c r="S772" s="299"/>
      <c r="T772" s="539"/>
      <c r="U772" s="298"/>
      <c r="V772" s="299"/>
      <c r="W772" s="298" t="s">
        <v>50</v>
      </c>
      <c r="X772" s="298" t="s">
        <v>285</v>
      </c>
      <c r="Y772" s="298" t="s">
        <v>286</v>
      </c>
      <c r="Z772" s="298" t="s">
        <v>52</v>
      </c>
      <c r="AA772" s="82" t="s">
        <v>763</v>
      </c>
    </row>
    <row r="773" ht="15.75" customHeight="1">
      <c r="A773" s="69">
        <v>43738.0</v>
      </c>
      <c r="B773" s="144" t="s">
        <v>77</v>
      </c>
      <c r="C773" s="70">
        <v>710.0</v>
      </c>
      <c r="D773" s="71" t="s">
        <v>1709</v>
      </c>
      <c r="E773" s="32" t="s">
        <v>647</v>
      </c>
      <c r="F773" s="130">
        <v>6.0</v>
      </c>
      <c r="G773" s="25">
        <v>0.0</v>
      </c>
      <c r="H773" s="60">
        <v>0.0</v>
      </c>
      <c r="I773" s="61" t="s">
        <v>43</v>
      </c>
      <c r="J773" s="82" t="s">
        <v>936</v>
      </c>
      <c r="K773" s="30">
        <v>43769.0</v>
      </c>
      <c r="L773" s="462">
        <v>43774.0</v>
      </c>
      <c r="M773" s="305">
        <v>43761.0</v>
      </c>
      <c r="N773" s="306" t="s">
        <v>1710</v>
      </c>
      <c r="O773" s="306"/>
      <c r="P773" s="306"/>
      <c r="Q773" s="298"/>
      <c r="R773" s="298"/>
      <c r="S773" s="299"/>
      <c r="T773" s="539"/>
      <c r="U773" s="298"/>
      <c r="V773" s="299"/>
      <c r="W773" s="298" t="s">
        <v>50</v>
      </c>
      <c r="X773" s="298" t="s">
        <v>285</v>
      </c>
      <c r="Y773" s="298" t="s">
        <v>286</v>
      </c>
      <c r="Z773" s="298" t="s">
        <v>52</v>
      </c>
      <c r="AA773" s="82" t="s">
        <v>763</v>
      </c>
    </row>
    <row r="774" ht="15.75" customHeight="1">
      <c r="A774" s="110">
        <v>43738.0</v>
      </c>
      <c r="B774" s="144" t="s">
        <v>77</v>
      </c>
      <c r="C774" s="21">
        <v>710.0</v>
      </c>
      <c r="D774" s="21" t="s">
        <v>1709</v>
      </c>
      <c r="E774" s="23" t="s">
        <v>648</v>
      </c>
      <c r="F774" s="421">
        <v>6.0</v>
      </c>
      <c r="G774" s="48">
        <v>0.0</v>
      </c>
      <c r="H774" s="60">
        <v>0.0</v>
      </c>
      <c r="I774" s="61" t="s">
        <v>43</v>
      </c>
      <c r="J774" s="82" t="s">
        <v>936</v>
      </c>
      <c r="K774" s="30">
        <v>43769.0</v>
      </c>
      <c r="L774" s="306"/>
      <c r="M774" s="306"/>
      <c r="N774" s="306"/>
      <c r="O774" s="306"/>
      <c r="P774" s="306"/>
      <c r="Q774" s="298"/>
      <c r="R774" s="298"/>
      <c r="S774" s="299"/>
      <c r="T774" s="539"/>
      <c r="U774" s="298"/>
      <c r="V774" s="299"/>
      <c r="W774" s="298" t="s">
        <v>50</v>
      </c>
      <c r="X774" s="298" t="s">
        <v>285</v>
      </c>
      <c r="Y774" s="298" t="s">
        <v>286</v>
      </c>
      <c r="Z774" s="298" t="s">
        <v>52</v>
      </c>
      <c r="AA774" s="82" t="s">
        <v>763</v>
      </c>
    </row>
    <row r="775" ht="15.75" customHeight="1">
      <c r="A775" s="69">
        <v>43738.0</v>
      </c>
      <c r="B775" s="144" t="s">
        <v>77</v>
      </c>
      <c r="C775" s="70">
        <v>710.0</v>
      </c>
      <c r="D775" s="71" t="s">
        <v>1709</v>
      </c>
      <c r="E775" s="23" t="s">
        <v>649</v>
      </c>
      <c r="F775" s="130">
        <v>6.0</v>
      </c>
      <c r="G775" s="25">
        <v>0.0</v>
      </c>
      <c r="H775" s="60">
        <v>0.0</v>
      </c>
      <c r="I775" s="61" t="s">
        <v>43</v>
      </c>
      <c r="J775" s="82" t="s">
        <v>936</v>
      </c>
      <c r="K775" s="30">
        <v>43769.0</v>
      </c>
      <c r="L775" s="306"/>
      <c r="M775" s="306"/>
      <c r="N775" s="306"/>
      <c r="O775" s="306"/>
      <c r="P775" s="306"/>
      <c r="Q775" s="298"/>
      <c r="R775" s="298"/>
      <c r="S775" s="299"/>
      <c r="T775" s="539"/>
      <c r="U775" s="298"/>
      <c r="V775" s="299"/>
      <c r="W775" s="298" t="s">
        <v>50</v>
      </c>
      <c r="X775" s="298" t="s">
        <v>285</v>
      </c>
      <c r="Y775" s="298" t="s">
        <v>286</v>
      </c>
      <c r="Z775" s="298" t="s">
        <v>52</v>
      </c>
      <c r="AA775" s="82" t="s">
        <v>763</v>
      </c>
    </row>
    <row r="776" ht="15.75" customHeight="1">
      <c r="A776" s="69">
        <v>43738.0</v>
      </c>
      <c r="B776" s="144" t="s">
        <v>77</v>
      </c>
      <c r="C776" s="70">
        <v>710.0</v>
      </c>
      <c r="D776" s="71" t="s">
        <v>1709</v>
      </c>
      <c r="E776" s="32" t="s">
        <v>652</v>
      </c>
      <c r="F776" s="130">
        <v>6.0</v>
      </c>
      <c r="G776" s="25">
        <v>0.0</v>
      </c>
      <c r="H776" s="60">
        <v>0.0</v>
      </c>
      <c r="I776" s="61" t="s">
        <v>43</v>
      </c>
      <c r="J776" s="82" t="s">
        <v>936</v>
      </c>
      <c r="K776" s="30">
        <v>43769.0</v>
      </c>
      <c r="L776" s="306"/>
      <c r="M776" s="306"/>
      <c r="N776" s="306"/>
      <c r="O776" s="306"/>
      <c r="P776" s="306"/>
      <c r="Q776" s="298"/>
      <c r="R776" s="298"/>
      <c r="S776" s="299"/>
      <c r="T776" s="539"/>
      <c r="U776" s="298"/>
      <c r="V776" s="299"/>
      <c r="W776" s="298" t="s">
        <v>50</v>
      </c>
      <c r="X776" s="298" t="s">
        <v>285</v>
      </c>
      <c r="Y776" s="298" t="s">
        <v>286</v>
      </c>
      <c r="Z776" s="298" t="s">
        <v>52</v>
      </c>
      <c r="AA776" s="82" t="s">
        <v>763</v>
      </c>
    </row>
    <row r="777" ht="15.75" customHeight="1">
      <c r="A777" s="69">
        <v>43738.0</v>
      </c>
      <c r="B777" s="144" t="s">
        <v>77</v>
      </c>
      <c r="C777" s="70">
        <v>710.0</v>
      </c>
      <c r="D777" s="71" t="s">
        <v>1709</v>
      </c>
      <c r="E777" s="23" t="s">
        <v>650</v>
      </c>
      <c r="F777" s="130">
        <v>6.0</v>
      </c>
      <c r="G777" s="25">
        <v>2.0</v>
      </c>
      <c r="H777" s="60">
        <v>12.0</v>
      </c>
      <c r="I777" s="61" t="s">
        <v>43</v>
      </c>
      <c r="J777" s="82" t="s">
        <v>936</v>
      </c>
      <c r="K777" s="30">
        <v>43769.0</v>
      </c>
      <c r="L777" s="306"/>
      <c r="M777" s="306"/>
      <c r="N777" s="306"/>
      <c r="O777" s="306"/>
      <c r="P777" s="306"/>
      <c r="Q777" s="298"/>
      <c r="R777" s="298"/>
      <c r="S777" s="299"/>
      <c r="T777" s="539"/>
      <c r="U777" s="300"/>
      <c r="V777" s="299"/>
      <c r="W777" s="298" t="s">
        <v>50</v>
      </c>
      <c r="X777" s="298" t="s">
        <v>285</v>
      </c>
      <c r="Y777" s="298" t="s">
        <v>286</v>
      </c>
      <c r="Z777" s="298" t="s">
        <v>52</v>
      </c>
      <c r="AA777" s="82" t="s">
        <v>763</v>
      </c>
    </row>
    <row r="778" ht="15.75" customHeight="1">
      <c r="A778" s="69">
        <v>43738.0</v>
      </c>
      <c r="B778" s="144" t="s">
        <v>77</v>
      </c>
      <c r="C778" s="21">
        <v>710.0</v>
      </c>
      <c r="D778" s="71" t="s">
        <v>1709</v>
      </c>
      <c r="E778" s="23" t="s">
        <v>651</v>
      </c>
      <c r="F778" s="130">
        <v>6.0</v>
      </c>
      <c r="G778" s="25">
        <v>6.0</v>
      </c>
      <c r="H778" s="60">
        <v>36.0</v>
      </c>
      <c r="I778" s="61" t="s">
        <v>43</v>
      </c>
      <c r="J778" s="82" t="s">
        <v>936</v>
      </c>
      <c r="K778" s="30">
        <v>43769.0</v>
      </c>
      <c r="L778" s="306"/>
      <c r="M778" s="306"/>
      <c r="N778" s="306"/>
      <c r="O778" s="306"/>
      <c r="P778" s="306"/>
      <c r="Q778" s="298"/>
      <c r="R778" s="298"/>
      <c r="S778" s="299"/>
      <c r="T778" s="539"/>
      <c r="U778" s="300"/>
      <c r="V778" s="299"/>
      <c r="W778" s="298" t="s">
        <v>50</v>
      </c>
      <c r="X778" s="298" t="s">
        <v>285</v>
      </c>
      <c r="Y778" s="298" t="s">
        <v>286</v>
      </c>
      <c r="Z778" s="298" t="s">
        <v>52</v>
      </c>
      <c r="AA778" s="82" t="s">
        <v>763</v>
      </c>
    </row>
    <row r="779" ht="15.75" customHeight="1">
      <c r="A779" s="69">
        <v>43738.0</v>
      </c>
      <c r="B779" s="144" t="s">
        <v>77</v>
      </c>
      <c r="C779" s="21">
        <v>710.0</v>
      </c>
      <c r="D779" s="21" t="s">
        <v>1709</v>
      </c>
      <c r="E779" s="23" t="s">
        <v>646</v>
      </c>
      <c r="F779" s="130">
        <v>3.0</v>
      </c>
      <c r="G779" s="25">
        <v>0.0</v>
      </c>
      <c r="H779" s="60">
        <v>0.0</v>
      </c>
      <c r="I779" s="61" t="s">
        <v>43</v>
      </c>
      <c r="J779" s="82" t="s">
        <v>936</v>
      </c>
      <c r="K779" s="30">
        <v>43769.0</v>
      </c>
      <c r="L779" s="462">
        <v>43774.0</v>
      </c>
      <c r="M779" s="305">
        <v>43761.0</v>
      </c>
      <c r="N779" s="306" t="s">
        <v>1710</v>
      </c>
      <c r="O779" s="306"/>
      <c r="P779" s="306"/>
      <c r="Q779" s="298"/>
      <c r="R779" s="298"/>
      <c r="S779" s="299"/>
      <c r="T779" s="539"/>
      <c r="U779" s="298"/>
      <c r="V779" s="299"/>
      <c r="W779" s="298" t="s">
        <v>50</v>
      </c>
      <c r="X779" s="298" t="s">
        <v>285</v>
      </c>
      <c r="Y779" s="298" t="s">
        <v>286</v>
      </c>
      <c r="Z779" s="298" t="s">
        <v>52</v>
      </c>
      <c r="AA779" s="82" t="s">
        <v>763</v>
      </c>
    </row>
    <row r="780" ht="15.75" customHeight="1">
      <c r="A780" s="69">
        <v>43738.0</v>
      </c>
      <c r="B780" s="144" t="s">
        <v>77</v>
      </c>
      <c r="C780" s="70">
        <v>710.0</v>
      </c>
      <c r="D780" s="71" t="s">
        <v>1709</v>
      </c>
      <c r="E780" s="32" t="s">
        <v>647</v>
      </c>
      <c r="F780" s="130">
        <v>3.0</v>
      </c>
      <c r="G780" s="25">
        <v>0.0</v>
      </c>
      <c r="H780" s="60">
        <v>0.0</v>
      </c>
      <c r="I780" s="61" t="s">
        <v>43</v>
      </c>
      <c r="J780" s="82" t="s">
        <v>936</v>
      </c>
      <c r="K780" s="30">
        <v>43769.0</v>
      </c>
      <c r="L780" s="462">
        <v>43774.0</v>
      </c>
      <c r="M780" s="305">
        <v>43761.0</v>
      </c>
      <c r="N780" s="306" t="s">
        <v>1710</v>
      </c>
      <c r="O780" s="306"/>
      <c r="P780" s="306"/>
      <c r="Q780" s="298"/>
      <c r="R780" s="298"/>
      <c r="S780" s="299"/>
      <c r="T780" s="539"/>
      <c r="U780" s="298"/>
      <c r="V780" s="299"/>
      <c r="W780" s="298" t="s">
        <v>50</v>
      </c>
      <c r="X780" s="298" t="s">
        <v>285</v>
      </c>
      <c r="Y780" s="298" t="s">
        <v>286</v>
      </c>
      <c r="Z780" s="298" t="s">
        <v>52</v>
      </c>
      <c r="AA780" s="82" t="s">
        <v>763</v>
      </c>
    </row>
    <row r="781" ht="15.75" customHeight="1">
      <c r="A781" s="69">
        <v>43738.0</v>
      </c>
      <c r="B781" s="144" t="s">
        <v>77</v>
      </c>
      <c r="C781" s="70">
        <v>710.0</v>
      </c>
      <c r="D781" s="71" t="s">
        <v>1709</v>
      </c>
      <c r="E781" s="32" t="s">
        <v>648</v>
      </c>
      <c r="F781" s="130">
        <v>3.0</v>
      </c>
      <c r="G781" s="25">
        <v>0.0</v>
      </c>
      <c r="H781" s="60">
        <v>0.0</v>
      </c>
      <c r="I781" s="61" t="s">
        <v>43</v>
      </c>
      <c r="J781" s="82" t="s">
        <v>936</v>
      </c>
      <c r="K781" s="30">
        <v>43769.0</v>
      </c>
      <c r="L781" s="306"/>
      <c r="M781" s="306"/>
      <c r="N781" s="306"/>
      <c r="O781" s="306"/>
      <c r="P781" s="306"/>
      <c r="Q781" s="298"/>
      <c r="R781" s="298"/>
      <c r="S781" s="299"/>
      <c r="T781" s="539"/>
      <c r="U781" s="298"/>
      <c r="V781" s="299"/>
      <c r="W781" s="298" t="s">
        <v>50</v>
      </c>
      <c r="X781" s="298" t="s">
        <v>285</v>
      </c>
      <c r="Y781" s="298" t="s">
        <v>286</v>
      </c>
      <c r="Z781" s="298" t="s">
        <v>52</v>
      </c>
      <c r="AA781" s="82" t="s">
        <v>763</v>
      </c>
    </row>
    <row r="782" ht="15.75" customHeight="1">
      <c r="A782" s="69">
        <v>43738.0</v>
      </c>
      <c r="B782" s="144" t="s">
        <v>77</v>
      </c>
      <c r="C782" s="70">
        <v>710.0</v>
      </c>
      <c r="D782" s="71" t="s">
        <v>1709</v>
      </c>
      <c r="E782" s="23" t="s">
        <v>649</v>
      </c>
      <c r="F782" s="130">
        <v>3.0</v>
      </c>
      <c r="G782" s="25">
        <v>0.0</v>
      </c>
      <c r="H782" s="60">
        <v>0.0</v>
      </c>
      <c r="I782" s="61" t="s">
        <v>43</v>
      </c>
      <c r="J782" s="82" t="s">
        <v>936</v>
      </c>
      <c r="K782" s="30">
        <v>43769.0</v>
      </c>
      <c r="L782" s="306"/>
      <c r="M782" s="306"/>
      <c r="N782" s="306"/>
      <c r="O782" s="306"/>
      <c r="P782" s="306"/>
      <c r="Q782" s="298"/>
      <c r="R782" s="298"/>
      <c r="S782" s="299"/>
      <c r="T782" s="539"/>
      <c r="U782" s="298"/>
      <c r="V782" s="299"/>
      <c r="W782" s="298" t="s">
        <v>50</v>
      </c>
      <c r="X782" s="298" t="s">
        <v>285</v>
      </c>
      <c r="Y782" s="298" t="s">
        <v>286</v>
      </c>
      <c r="Z782" s="298" t="s">
        <v>52</v>
      </c>
      <c r="AA782" s="82" t="s">
        <v>763</v>
      </c>
    </row>
    <row r="783" ht="15.75" customHeight="1">
      <c r="A783" s="69">
        <v>43738.0</v>
      </c>
      <c r="B783" s="144" t="s">
        <v>77</v>
      </c>
      <c r="C783" s="70">
        <v>710.0</v>
      </c>
      <c r="D783" s="71" t="s">
        <v>1709</v>
      </c>
      <c r="E783" s="32" t="s">
        <v>652</v>
      </c>
      <c r="F783" s="130">
        <v>3.0</v>
      </c>
      <c r="G783" s="25">
        <v>0.0</v>
      </c>
      <c r="H783" s="60">
        <v>0.0</v>
      </c>
      <c r="I783" s="61" t="s">
        <v>43</v>
      </c>
      <c r="J783" s="82" t="s">
        <v>936</v>
      </c>
      <c r="K783" s="30">
        <v>43769.0</v>
      </c>
      <c r="L783" s="306"/>
      <c r="M783" s="306"/>
      <c r="N783" s="306"/>
      <c r="O783" s="306"/>
      <c r="P783" s="306"/>
      <c r="Q783" s="298"/>
      <c r="R783" s="298"/>
      <c r="S783" s="299"/>
      <c r="T783" s="539"/>
      <c r="U783" s="298"/>
      <c r="V783" s="299"/>
      <c r="W783" s="298" t="s">
        <v>50</v>
      </c>
      <c r="X783" s="298" t="s">
        <v>285</v>
      </c>
      <c r="Y783" s="298" t="s">
        <v>286</v>
      </c>
      <c r="Z783" s="298" t="s">
        <v>52</v>
      </c>
      <c r="AA783" s="82" t="s">
        <v>763</v>
      </c>
    </row>
    <row r="784" ht="15.75" customHeight="1">
      <c r="A784" s="69">
        <v>43738.0</v>
      </c>
      <c r="B784" s="144" t="s">
        <v>77</v>
      </c>
      <c r="C784" s="70">
        <v>710.0</v>
      </c>
      <c r="D784" s="71" t="s">
        <v>1709</v>
      </c>
      <c r="E784" s="32" t="s">
        <v>650</v>
      </c>
      <c r="F784" s="130">
        <v>3.0</v>
      </c>
      <c r="G784" s="25">
        <v>2.0</v>
      </c>
      <c r="H784" s="60">
        <v>6.0</v>
      </c>
      <c r="I784" s="61" t="s">
        <v>43</v>
      </c>
      <c r="J784" s="82" t="s">
        <v>936</v>
      </c>
      <c r="K784" s="30">
        <v>43769.0</v>
      </c>
      <c r="L784" s="306"/>
      <c r="M784" s="306"/>
      <c r="N784" s="306"/>
      <c r="O784" s="306"/>
      <c r="P784" s="306"/>
      <c r="Q784" s="298"/>
      <c r="R784" s="298"/>
      <c r="S784" s="299"/>
      <c r="T784" s="539"/>
      <c r="U784" s="300"/>
      <c r="V784" s="299"/>
      <c r="W784" s="298" t="s">
        <v>50</v>
      </c>
      <c r="X784" s="298" t="s">
        <v>285</v>
      </c>
      <c r="Y784" s="298" t="s">
        <v>286</v>
      </c>
      <c r="Z784" s="298" t="s">
        <v>52</v>
      </c>
      <c r="AA784" s="82" t="s">
        <v>763</v>
      </c>
    </row>
    <row r="785" ht="15.75" customHeight="1">
      <c r="A785" s="69">
        <v>43738.0</v>
      </c>
      <c r="B785" s="144" t="s">
        <v>77</v>
      </c>
      <c r="C785" s="21">
        <v>710.0</v>
      </c>
      <c r="D785" s="71" t="s">
        <v>1709</v>
      </c>
      <c r="E785" s="23" t="s">
        <v>651</v>
      </c>
      <c r="F785" s="130">
        <v>3.0</v>
      </c>
      <c r="G785" s="25">
        <v>6.0</v>
      </c>
      <c r="H785" s="60">
        <v>18.0</v>
      </c>
      <c r="I785" s="61" t="s">
        <v>43</v>
      </c>
      <c r="J785" s="82" t="s">
        <v>936</v>
      </c>
      <c r="K785" s="30">
        <v>43769.0</v>
      </c>
      <c r="L785" s="306"/>
      <c r="M785" s="306"/>
      <c r="N785" s="306"/>
      <c r="O785" s="306"/>
      <c r="P785" s="306"/>
      <c r="Q785" s="298"/>
      <c r="R785" s="298"/>
      <c r="S785" s="299"/>
      <c r="T785" s="539"/>
      <c r="U785" s="300"/>
      <c r="V785" s="299"/>
      <c r="W785" s="298" t="s">
        <v>50</v>
      </c>
      <c r="X785" s="298" t="s">
        <v>285</v>
      </c>
      <c r="Y785" s="298" t="s">
        <v>286</v>
      </c>
      <c r="Z785" s="298" t="s">
        <v>52</v>
      </c>
      <c r="AA785" s="82" t="s">
        <v>763</v>
      </c>
    </row>
    <row r="786" ht="15.75" customHeight="1">
      <c r="A786" s="69">
        <v>43738.0</v>
      </c>
      <c r="B786" s="144" t="s">
        <v>77</v>
      </c>
      <c r="C786" s="21">
        <v>710.0</v>
      </c>
      <c r="D786" s="71" t="s">
        <v>1709</v>
      </c>
      <c r="E786" s="23" t="s">
        <v>1711</v>
      </c>
      <c r="F786" s="130">
        <v>3.0</v>
      </c>
      <c r="G786" s="25">
        <v>200.0</v>
      </c>
      <c r="H786" s="60">
        <v>600.0</v>
      </c>
      <c r="I786" s="61" t="s">
        <v>43</v>
      </c>
      <c r="J786" s="82" t="s">
        <v>936</v>
      </c>
      <c r="K786" s="30">
        <v>43769.0</v>
      </c>
      <c r="L786" s="462">
        <v>43774.0</v>
      </c>
      <c r="M786" s="305">
        <v>43761.0</v>
      </c>
      <c r="N786" s="306" t="s">
        <v>1710</v>
      </c>
      <c r="O786" s="306">
        <v>45247.0</v>
      </c>
      <c r="P786" s="306"/>
      <c r="Q786" s="298"/>
      <c r="R786" s="298"/>
      <c r="S786" s="299"/>
      <c r="T786" s="539"/>
      <c r="U786" s="300"/>
      <c r="V786" s="299"/>
      <c r="W786" s="298" t="s">
        <v>50</v>
      </c>
      <c r="X786" s="298" t="s">
        <v>285</v>
      </c>
      <c r="Y786" s="298" t="s">
        <v>286</v>
      </c>
      <c r="Z786" s="298" t="s">
        <v>52</v>
      </c>
      <c r="AA786" s="82" t="s">
        <v>763</v>
      </c>
    </row>
    <row r="787" ht="15.75" customHeight="1">
      <c r="A787" s="69">
        <v>43739.0</v>
      </c>
      <c r="B787" s="70" t="s">
        <v>229</v>
      </c>
      <c r="C787" s="21"/>
      <c r="D787" s="71" t="s">
        <v>1712</v>
      </c>
      <c r="E787" s="23" t="s">
        <v>232</v>
      </c>
      <c r="F787" s="130">
        <v>23.0</v>
      </c>
      <c r="G787" s="25">
        <v>407.4</v>
      </c>
      <c r="H787" s="60">
        <v>9370.199999999999</v>
      </c>
      <c r="I787" s="61" t="s">
        <v>171</v>
      </c>
      <c r="J787" s="544" t="s">
        <v>233</v>
      </c>
      <c r="K787" s="30">
        <v>43780.0</v>
      </c>
      <c r="L787" s="305">
        <v>43830.0</v>
      </c>
      <c r="M787" s="462">
        <v>43777.0</v>
      </c>
      <c r="N787" s="306" t="s">
        <v>1713</v>
      </c>
      <c r="O787" s="306">
        <v>279210.0</v>
      </c>
      <c r="P787" s="306"/>
      <c r="Q787" s="298"/>
      <c r="R787" s="298"/>
      <c r="S787" s="299"/>
      <c r="T787" s="300">
        <v>43801.0</v>
      </c>
      <c r="U787" s="299">
        <v>328617.0</v>
      </c>
      <c r="V787" s="299">
        <v>30.0</v>
      </c>
      <c r="W787" s="298" t="s">
        <v>50</v>
      </c>
      <c r="X787" s="298" t="s">
        <v>285</v>
      </c>
      <c r="Y787" s="298" t="s">
        <v>51</v>
      </c>
      <c r="Z787" s="298" t="s">
        <v>377</v>
      </c>
      <c r="AA787" s="82" t="s">
        <v>763</v>
      </c>
    </row>
    <row r="788" ht="15.75" customHeight="1">
      <c r="A788" s="69">
        <v>43739.0</v>
      </c>
      <c r="B788" s="70" t="s">
        <v>229</v>
      </c>
      <c r="C788" s="21"/>
      <c r="D788" s="71" t="s">
        <v>1712</v>
      </c>
      <c r="E788" s="23" t="s">
        <v>736</v>
      </c>
      <c r="F788" s="130">
        <v>2.0</v>
      </c>
      <c r="G788" s="545">
        <v>336.0</v>
      </c>
      <c r="H788" s="60">
        <v>672.0</v>
      </c>
      <c r="I788" s="61" t="s">
        <v>171</v>
      </c>
      <c r="J788" s="50" t="s">
        <v>233</v>
      </c>
      <c r="K788" s="30">
        <v>43780.0</v>
      </c>
      <c r="L788" s="305">
        <v>43830.0</v>
      </c>
      <c r="M788" s="462">
        <v>43777.0</v>
      </c>
      <c r="N788" s="306" t="s">
        <v>1713</v>
      </c>
      <c r="O788" s="306"/>
      <c r="P788" s="306"/>
      <c r="Q788" s="298"/>
      <c r="R788" s="298"/>
      <c r="S788" s="299"/>
      <c r="T788" s="300">
        <v>43801.0</v>
      </c>
      <c r="U788" s="299"/>
      <c r="V788" s="299"/>
      <c r="W788" s="298" t="s">
        <v>50</v>
      </c>
      <c r="X788" s="298" t="s">
        <v>285</v>
      </c>
      <c r="Y788" s="298" t="s">
        <v>51</v>
      </c>
      <c r="Z788" s="298" t="s">
        <v>377</v>
      </c>
      <c r="AA788" s="82" t="s">
        <v>763</v>
      </c>
    </row>
    <row r="789" ht="15.75" customHeight="1">
      <c r="A789" s="69">
        <v>43739.0</v>
      </c>
      <c r="B789" s="70" t="s">
        <v>229</v>
      </c>
      <c r="C789" s="21"/>
      <c r="D789" s="71" t="s">
        <v>1712</v>
      </c>
      <c r="E789" s="23" t="s">
        <v>737</v>
      </c>
      <c r="F789" s="130">
        <v>2.0</v>
      </c>
      <c r="G789" s="25">
        <v>21.0</v>
      </c>
      <c r="H789" s="60">
        <v>42.0</v>
      </c>
      <c r="I789" s="61" t="s">
        <v>171</v>
      </c>
      <c r="J789" s="50" t="s">
        <v>233</v>
      </c>
      <c r="K789" s="30">
        <v>43780.0</v>
      </c>
      <c r="L789" s="305">
        <v>43830.0</v>
      </c>
      <c r="M789" s="462">
        <v>43777.0</v>
      </c>
      <c r="N789" s="306" t="s">
        <v>1713</v>
      </c>
      <c r="O789" s="306"/>
      <c r="P789" s="306"/>
      <c r="Q789" s="298"/>
      <c r="R789" s="298"/>
      <c r="S789" s="299"/>
      <c r="T789" s="300">
        <v>43801.0</v>
      </c>
      <c r="U789" s="299"/>
      <c r="V789" s="299"/>
      <c r="W789" s="298" t="s">
        <v>50</v>
      </c>
      <c r="X789" s="298" t="s">
        <v>285</v>
      </c>
      <c r="Y789" s="298" t="s">
        <v>51</v>
      </c>
      <c r="Z789" s="298" t="s">
        <v>377</v>
      </c>
      <c r="AA789" s="82" t="s">
        <v>763</v>
      </c>
    </row>
    <row r="790" ht="15.75" customHeight="1">
      <c r="A790" s="69">
        <v>43739.0</v>
      </c>
      <c r="B790" s="70" t="s">
        <v>229</v>
      </c>
      <c r="C790" s="21"/>
      <c r="D790" s="71" t="s">
        <v>1712</v>
      </c>
      <c r="E790" s="32" t="s">
        <v>232</v>
      </c>
      <c r="F790" s="24">
        <v>12.0</v>
      </c>
      <c r="G790" s="48">
        <v>407.4</v>
      </c>
      <c r="H790" s="60">
        <v>4888.799999999999</v>
      </c>
      <c r="I790" s="61" t="s">
        <v>171</v>
      </c>
      <c r="J790" s="50" t="s">
        <v>233</v>
      </c>
      <c r="K790" s="30">
        <v>43825.0</v>
      </c>
      <c r="L790" s="306"/>
      <c r="M790" s="306"/>
      <c r="N790" s="306"/>
      <c r="O790" s="306"/>
      <c r="P790" s="306"/>
      <c r="Q790" s="298"/>
      <c r="R790" s="299"/>
      <c r="S790" s="539"/>
      <c r="T790" s="300">
        <v>43864.0</v>
      </c>
      <c r="U790" s="299">
        <v>858362.0</v>
      </c>
      <c r="V790" s="298">
        <v>0.0</v>
      </c>
      <c r="W790" s="298" t="s">
        <v>50</v>
      </c>
      <c r="X790" s="82" t="s">
        <v>285</v>
      </c>
      <c r="Y790" s="298" t="s">
        <v>51</v>
      </c>
      <c r="Z790" s="298" t="s">
        <v>377</v>
      </c>
      <c r="AA790" s="298" t="s">
        <v>1371</v>
      </c>
    </row>
    <row r="791" ht="15.75" customHeight="1">
      <c r="A791" s="69">
        <v>43739.0</v>
      </c>
      <c r="B791" s="70" t="s">
        <v>1714</v>
      </c>
      <c r="C791" s="21" t="s">
        <v>1454</v>
      </c>
      <c r="D791" s="71" t="s">
        <v>1715</v>
      </c>
      <c r="E791" s="546" t="s">
        <v>1716</v>
      </c>
      <c r="F791" s="130">
        <v>18.0</v>
      </c>
      <c r="G791" s="25">
        <v>305.0</v>
      </c>
      <c r="H791" s="60">
        <v>5490.0</v>
      </c>
      <c r="I791" s="61" t="s">
        <v>105</v>
      </c>
      <c r="J791" s="50" t="s">
        <v>934</v>
      </c>
      <c r="K791" s="29">
        <v>43767.0</v>
      </c>
      <c r="L791" s="305">
        <v>43799.0</v>
      </c>
      <c r="M791" s="305">
        <v>43752.0</v>
      </c>
      <c r="N791" s="306" t="s">
        <v>1717</v>
      </c>
      <c r="O791" s="306">
        <v>201224.0</v>
      </c>
      <c r="P791" s="306"/>
      <c r="Q791" s="298"/>
      <c r="R791" s="298"/>
      <c r="S791" s="299"/>
      <c r="T791" s="300">
        <v>43747.0</v>
      </c>
      <c r="U791" s="299">
        <f>6956.51*30.8</f>
        <v>214260.508</v>
      </c>
      <c r="V791" s="299">
        <f>(6974-6956.51)*30.8</f>
        <v>538.692</v>
      </c>
      <c r="W791" s="298" t="s">
        <v>50</v>
      </c>
      <c r="X791" s="298" t="s">
        <v>285</v>
      </c>
      <c r="Y791" s="298" t="s">
        <v>51</v>
      </c>
      <c r="Z791" s="298" t="s">
        <v>52</v>
      </c>
      <c r="AA791" s="82" t="s">
        <v>763</v>
      </c>
    </row>
    <row r="792" ht="15.75" customHeight="1">
      <c r="A792" s="69">
        <v>43739.0</v>
      </c>
      <c r="B792" s="70" t="s">
        <v>1714</v>
      </c>
      <c r="C792" s="21" t="s">
        <v>1454</v>
      </c>
      <c r="D792" s="71" t="s">
        <v>1715</v>
      </c>
      <c r="E792" s="546" t="s">
        <v>1718</v>
      </c>
      <c r="F792" s="130">
        <v>14.0</v>
      </c>
      <c r="G792" s="25">
        <v>106.0</v>
      </c>
      <c r="H792" s="60">
        <v>1484.0</v>
      </c>
      <c r="I792" s="61" t="s">
        <v>105</v>
      </c>
      <c r="J792" s="50" t="s">
        <v>934</v>
      </c>
      <c r="K792" s="29">
        <v>43767.0</v>
      </c>
      <c r="L792" s="305">
        <v>43799.0</v>
      </c>
      <c r="M792" s="305">
        <v>43752.0</v>
      </c>
      <c r="N792" s="306" t="s">
        <v>1717</v>
      </c>
      <c r="O792" s="306"/>
      <c r="P792" s="306"/>
      <c r="Q792" s="298"/>
      <c r="R792" s="298"/>
      <c r="S792" s="299"/>
      <c r="T792" s="300">
        <v>43747.0</v>
      </c>
      <c r="U792" s="299"/>
      <c r="V792" s="299"/>
      <c r="W792" s="298" t="s">
        <v>50</v>
      </c>
      <c r="X792" s="298" t="s">
        <v>285</v>
      </c>
      <c r="Y792" s="298" t="s">
        <v>51</v>
      </c>
      <c r="Z792" s="298" t="s">
        <v>52</v>
      </c>
      <c r="AA792" s="82" t="s">
        <v>763</v>
      </c>
    </row>
    <row r="793" ht="15.75" customHeight="1">
      <c r="A793" s="69">
        <v>43739.0</v>
      </c>
      <c r="B793" s="70" t="s">
        <v>1000</v>
      </c>
      <c r="C793" s="21" t="s">
        <v>1719</v>
      </c>
      <c r="D793" s="71" t="s">
        <v>1720</v>
      </c>
      <c r="E793" s="23" t="s">
        <v>1721</v>
      </c>
      <c r="F793" s="130">
        <v>1.0</v>
      </c>
      <c r="G793" s="25">
        <v>260.0</v>
      </c>
      <c r="H793" s="60">
        <v>260.0</v>
      </c>
      <c r="I793" s="61" t="s">
        <v>1722</v>
      </c>
      <c r="J793" s="50"/>
      <c r="K793" s="29">
        <v>43811.0</v>
      </c>
      <c r="L793" s="306"/>
      <c r="M793" s="306"/>
      <c r="N793" s="306"/>
      <c r="O793" s="306"/>
      <c r="P793" s="306"/>
      <c r="Q793" s="298"/>
      <c r="R793" s="298"/>
      <c r="S793" s="299"/>
      <c r="T793" s="300">
        <v>43839.0</v>
      </c>
      <c r="U793" s="299">
        <f>1590*29.915</f>
        <v>47564.85</v>
      </c>
      <c r="V793" s="299">
        <v>0.0</v>
      </c>
      <c r="W793" s="298" t="s">
        <v>50</v>
      </c>
      <c r="X793" s="82" t="s">
        <v>285</v>
      </c>
      <c r="Y793" s="298" t="s">
        <v>51</v>
      </c>
      <c r="Z793" s="298" t="s">
        <v>52</v>
      </c>
      <c r="AA793" s="298" t="s">
        <v>1371</v>
      </c>
    </row>
    <row r="794" ht="15.75" customHeight="1">
      <c r="A794" s="69">
        <v>43739.0</v>
      </c>
      <c r="B794" s="70" t="s">
        <v>1000</v>
      </c>
      <c r="C794" s="21" t="s">
        <v>1719</v>
      </c>
      <c r="D794" s="71" t="s">
        <v>1720</v>
      </c>
      <c r="E794" s="23" t="s">
        <v>1723</v>
      </c>
      <c r="F794" s="130">
        <v>2.0</v>
      </c>
      <c r="G794" s="25">
        <v>125.0</v>
      </c>
      <c r="H794" s="60">
        <v>250.0</v>
      </c>
      <c r="I794" s="61" t="s">
        <v>1722</v>
      </c>
      <c r="J794" s="50"/>
      <c r="K794" s="29">
        <v>43811.0</v>
      </c>
      <c r="L794" s="306"/>
      <c r="M794" s="306"/>
      <c r="N794" s="306"/>
      <c r="O794" s="306"/>
      <c r="P794" s="306"/>
      <c r="Q794" s="298"/>
      <c r="R794" s="298"/>
      <c r="S794" s="299"/>
      <c r="T794" s="300">
        <v>43839.0</v>
      </c>
      <c r="U794" s="299"/>
      <c r="V794" s="299"/>
      <c r="W794" s="298" t="s">
        <v>50</v>
      </c>
      <c r="X794" s="298" t="s">
        <v>285</v>
      </c>
      <c r="Y794" s="298" t="s">
        <v>51</v>
      </c>
      <c r="Z794" s="298" t="s">
        <v>52</v>
      </c>
      <c r="AA794" s="298" t="s">
        <v>1371</v>
      </c>
    </row>
    <row r="795" ht="15.75" customHeight="1">
      <c r="A795" s="69">
        <v>43739.0</v>
      </c>
      <c r="B795" s="70" t="s">
        <v>1000</v>
      </c>
      <c r="C795" s="21" t="s">
        <v>1719</v>
      </c>
      <c r="D795" s="71" t="s">
        <v>1720</v>
      </c>
      <c r="E795" s="23" t="s">
        <v>1724</v>
      </c>
      <c r="F795" s="130">
        <v>10.0</v>
      </c>
      <c r="G795" s="25">
        <v>108.0</v>
      </c>
      <c r="H795" s="216">
        <v>1080.0</v>
      </c>
      <c r="I795" s="61" t="s">
        <v>1722</v>
      </c>
      <c r="J795" s="50"/>
      <c r="K795" s="29">
        <v>43811.0</v>
      </c>
      <c r="L795" s="306"/>
      <c r="M795" s="306"/>
      <c r="N795" s="306"/>
      <c r="O795" s="306"/>
      <c r="P795" s="306"/>
      <c r="Q795" s="298"/>
      <c r="R795" s="298"/>
      <c r="S795" s="299"/>
      <c r="T795" s="300">
        <v>43839.0</v>
      </c>
      <c r="U795" s="299"/>
      <c r="V795" s="299"/>
      <c r="W795" s="298" t="s">
        <v>50</v>
      </c>
      <c r="X795" s="82" t="s">
        <v>285</v>
      </c>
      <c r="Y795" s="298" t="s">
        <v>51</v>
      </c>
      <c r="Z795" s="298" t="s">
        <v>52</v>
      </c>
      <c r="AA795" s="298" t="s">
        <v>1371</v>
      </c>
    </row>
    <row r="796" ht="15.75" customHeight="1">
      <c r="A796" s="69">
        <v>43740.0</v>
      </c>
      <c r="B796" s="23" t="s">
        <v>213</v>
      </c>
      <c r="C796" s="21" t="s">
        <v>1725</v>
      </c>
      <c r="D796" s="71" t="s">
        <v>1726</v>
      </c>
      <c r="E796" s="23" t="s">
        <v>1727</v>
      </c>
      <c r="F796" s="130">
        <v>3.0</v>
      </c>
      <c r="G796" s="25">
        <v>207.0</v>
      </c>
      <c r="H796" s="60">
        <v>621.0</v>
      </c>
      <c r="I796" s="27" t="s">
        <v>248</v>
      </c>
      <c r="J796" s="58" t="s">
        <v>217</v>
      </c>
      <c r="K796" s="30">
        <v>43780.0</v>
      </c>
      <c r="L796" s="305">
        <v>43830.0</v>
      </c>
      <c r="M796" s="462">
        <v>43775.0</v>
      </c>
      <c r="N796" s="306" t="s">
        <v>1728</v>
      </c>
      <c r="O796" s="306">
        <v>21439.0</v>
      </c>
      <c r="P796" s="306"/>
      <c r="Q796" s="298"/>
      <c r="R796" s="298"/>
      <c r="S796" s="299"/>
      <c r="T796" s="300">
        <v>43745.0</v>
      </c>
      <c r="U796" s="299">
        <f>794.52*30.85</f>
        <v>24510.942</v>
      </c>
      <c r="V796" s="299">
        <f>(801-794.52)*30.85</f>
        <v>199.908</v>
      </c>
      <c r="W796" s="298" t="s">
        <v>50</v>
      </c>
      <c r="X796" s="298" t="s">
        <v>285</v>
      </c>
      <c r="Y796" s="298" t="s">
        <v>51</v>
      </c>
      <c r="Z796" s="298" t="s">
        <v>52</v>
      </c>
      <c r="AA796" s="82" t="s">
        <v>763</v>
      </c>
    </row>
    <row r="797" ht="15.75" customHeight="1">
      <c r="A797" s="69">
        <v>43740.0</v>
      </c>
      <c r="B797" s="23" t="s">
        <v>213</v>
      </c>
      <c r="C797" s="21" t="s">
        <v>1725</v>
      </c>
      <c r="D797" s="71" t="s">
        <v>1726</v>
      </c>
      <c r="E797" s="23" t="s">
        <v>133</v>
      </c>
      <c r="F797" s="130">
        <v>1.0</v>
      </c>
      <c r="G797" s="25">
        <v>109.0</v>
      </c>
      <c r="H797" s="60">
        <v>109.0</v>
      </c>
      <c r="I797" s="27" t="s">
        <v>248</v>
      </c>
      <c r="J797" s="58" t="s">
        <v>217</v>
      </c>
      <c r="K797" s="30">
        <v>43780.0</v>
      </c>
      <c r="L797" s="305">
        <v>43830.0</v>
      </c>
      <c r="M797" s="462">
        <v>43775.0</v>
      </c>
      <c r="N797" s="306" t="s">
        <v>1728</v>
      </c>
      <c r="O797" s="306"/>
      <c r="P797" s="306"/>
      <c r="Q797" s="298"/>
      <c r="R797" s="298"/>
      <c r="S797" s="299"/>
      <c r="T797" s="300">
        <v>43745.0</v>
      </c>
      <c r="U797" s="299"/>
      <c r="V797" s="299"/>
      <c r="W797" s="298" t="s">
        <v>50</v>
      </c>
      <c r="X797" s="298" t="s">
        <v>285</v>
      </c>
      <c r="Y797" s="298" t="s">
        <v>51</v>
      </c>
      <c r="Z797" s="298" t="s">
        <v>52</v>
      </c>
      <c r="AA797" s="82" t="s">
        <v>763</v>
      </c>
    </row>
    <row r="798" ht="15.75" customHeight="1">
      <c r="A798" s="69">
        <v>43740.0</v>
      </c>
      <c r="B798" s="23" t="s">
        <v>213</v>
      </c>
      <c r="C798" s="21" t="s">
        <v>1725</v>
      </c>
      <c r="D798" s="71" t="s">
        <v>1726</v>
      </c>
      <c r="E798" s="23" t="s">
        <v>137</v>
      </c>
      <c r="F798" s="130">
        <v>1.0</v>
      </c>
      <c r="G798" s="25">
        <v>31.0</v>
      </c>
      <c r="H798" s="60">
        <v>31.0</v>
      </c>
      <c r="I798" s="27" t="s">
        <v>248</v>
      </c>
      <c r="J798" s="58" t="s">
        <v>217</v>
      </c>
      <c r="K798" s="30">
        <v>43780.0</v>
      </c>
      <c r="L798" s="305">
        <v>43830.0</v>
      </c>
      <c r="M798" s="462">
        <v>43775.0</v>
      </c>
      <c r="N798" s="306" t="s">
        <v>1728</v>
      </c>
      <c r="O798" s="306"/>
      <c r="P798" s="306"/>
      <c r="Q798" s="298"/>
      <c r="R798" s="298"/>
      <c r="S798" s="299"/>
      <c r="T798" s="300">
        <v>43745.0</v>
      </c>
      <c r="U798" s="299"/>
      <c r="V798" s="299"/>
      <c r="W798" s="298" t="s">
        <v>50</v>
      </c>
      <c r="X798" s="298" t="s">
        <v>285</v>
      </c>
      <c r="Y798" s="298" t="s">
        <v>51</v>
      </c>
      <c r="Z798" s="298" t="s">
        <v>52</v>
      </c>
      <c r="AA798" s="82" t="s">
        <v>763</v>
      </c>
    </row>
    <row r="799" ht="15.75" customHeight="1">
      <c r="A799" s="69">
        <v>43740.0</v>
      </c>
      <c r="B799" s="23" t="s">
        <v>213</v>
      </c>
      <c r="C799" s="21" t="s">
        <v>1725</v>
      </c>
      <c r="D799" s="71" t="s">
        <v>1726</v>
      </c>
      <c r="E799" s="23" t="s">
        <v>700</v>
      </c>
      <c r="F799" s="130">
        <v>1.0</v>
      </c>
      <c r="G799" s="25">
        <v>40.0</v>
      </c>
      <c r="H799" s="60">
        <v>40.0</v>
      </c>
      <c r="I799" s="27" t="s">
        <v>248</v>
      </c>
      <c r="J799" s="161" t="s">
        <v>217</v>
      </c>
      <c r="K799" s="30">
        <v>43780.0</v>
      </c>
      <c r="L799" s="52"/>
      <c r="M799" s="53"/>
      <c r="N799" s="53"/>
      <c r="O799" s="53"/>
      <c r="P799" s="53"/>
      <c r="Q799" s="54"/>
      <c r="R799" s="54"/>
      <c r="S799" s="55"/>
      <c r="T799" s="56">
        <v>43745.0</v>
      </c>
      <c r="U799" s="55"/>
      <c r="V799" s="55"/>
      <c r="W799" s="54" t="s">
        <v>50</v>
      </c>
      <c r="X799" s="54" t="s">
        <v>285</v>
      </c>
      <c r="Y799" s="54" t="s">
        <v>51</v>
      </c>
      <c r="Z799" s="54" t="s">
        <v>52</v>
      </c>
      <c r="AA799" s="54"/>
    </row>
    <row r="800" ht="15.75" customHeight="1">
      <c r="A800" s="69">
        <v>43741.0</v>
      </c>
      <c r="B800" s="23" t="s">
        <v>406</v>
      </c>
      <c r="C800" s="21">
        <v>7.000150659E9</v>
      </c>
      <c r="D800" s="71" t="s">
        <v>1729</v>
      </c>
      <c r="E800" s="32" t="s">
        <v>481</v>
      </c>
      <c r="F800" s="24">
        <v>1.0</v>
      </c>
      <c r="G800" s="48">
        <v>137.0</v>
      </c>
      <c r="H800" s="60">
        <v>137.0</v>
      </c>
      <c r="I800" s="61" t="s">
        <v>43</v>
      </c>
      <c r="J800" s="82" t="s">
        <v>520</v>
      </c>
      <c r="K800" s="145">
        <v>43756.0</v>
      </c>
      <c r="L800" s="305">
        <v>43830.0</v>
      </c>
      <c r="M800" s="305">
        <v>43752.0</v>
      </c>
      <c r="N800" s="306" t="s">
        <v>1730</v>
      </c>
      <c r="O800" s="306">
        <v>3774.0</v>
      </c>
      <c r="P800" s="306"/>
      <c r="Q800" s="298"/>
      <c r="R800" s="298"/>
      <c r="S800" s="299"/>
      <c r="T800" s="29">
        <v>43789.0</v>
      </c>
      <c r="U800" s="299"/>
      <c r="V800" s="299"/>
      <c r="W800" s="298" t="s">
        <v>50</v>
      </c>
      <c r="X800" s="298" t="s">
        <v>285</v>
      </c>
      <c r="Y800" s="298" t="s">
        <v>51</v>
      </c>
      <c r="Z800" s="298" t="s">
        <v>52</v>
      </c>
      <c r="AA800" s="82" t="s">
        <v>763</v>
      </c>
    </row>
    <row r="801" ht="15.75" customHeight="1">
      <c r="A801" s="69">
        <v>43743.0</v>
      </c>
      <c r="B801" s="23" t="s">
        <v>406</v>
      </c>
      <c r="C801" s="21">
        <v>7.000150764E9</v>
      </c>
      <c r="D801" s="71" t="s">
        <v>1731</v>
      </c>
      <c r="E801" s="23" t="s">
        <v>587</v>
      </c>
      <c r="F801" s="24">
        <v>1.0</v>
      </c>
      <c r="G801" s="48">
        <v>15.0</v>
      </c>
      <c r="H801" s="60">
        <v>15.0</v>
      </c>
      <c r="I801" s="61" t="s">
        <v>43</v>
      </c>
      <c r="J801" s="82" t="s">
        <v>520</v>
      </c>
      <c r="K801" s="145">
        <v>43756.0</v>
      </c>
      <c r="L801" s="305">
        <v>43830.0</v>
      </c>
      <c r="M801" s="305">
        <v>43754.0</v>
      </c>
      <c r="N801" s="306" t="s">
        <v>1732</v>
      </c>
      <c r="O801" s="306"/>
      <c r="P801" s="306"/>
      <c r="Q801" s="298"/>
      <c r="R801" s="298"/>
      <c r="S801" s="299"/>
      <c r="T801" s="29">
        <v>43789.0</v>
      </c>
      <c r="U801" s="299"/>
      <c r="V801" s="299"/>
      <c r="W801" s="298" t="s">
        <v>50</v>
      </c>
      <c r="X801" s="298" t="s">
        <v>285</v>
      </c>
      <c r="Y801" s="298" t="s">
        <v>51</v>
      </c>
      <c r="Z801" s="298" t="s">
        <v>52</v>
      </c>
      <c r="AA801" s="82" t="s">
        <v>763</v>
      </c>
    </row>
    <row r="802" ht="15.75" customHeight="1">
      <c r="A802" s="69">
        <v>43743.0</v>
      </c>
      <c r="B802" s="23" t="s">
        <v>406</v>
      </c>
      <c r="C802" s="21">
        <v>7.000150764E9</v>
      </c>
      <c r="D802" s="71" t="s">
        <v>1731</v>
      </c>
      <c r="E802" s="23" t="s">
        <v>1733</v>
      </c>
      <c r="F802" s="24">
        <v>1.0</v>
      </c>
      <c r="G802" s="48">
        <v>671.0</v>
      </c>
      <c r="H802" s="60">
        <v>671.0</v>
      </c>
      <c r="I802" s="61" t="s">
        <v>43</v>
      </c>
      <c r="J802" s="82" t="s">
        <v>520</v>
      </c>
      <c r="K802" s="145">
        <v>43756.0</v>
      </c>
      <c r="L802" s="305">
        <v>43830.0</v>
      </c>
      <c r="M802" s="305">
        <v>43754.0</v>
      </c>
      <c r="N802" s="306" t="s">
        <v>1732</v>
      </c>
      <c r="O802" s="306"/>
      <c r="P802" s="306"/>
      <c r="Q802" s="298"/>
      <c r="R802" s="298"/>
      <c r="S802" s="299"/>
      <c r="T802" s="29">
        <v>43789.0</v>
      </c>
      <c r="U802" s="299"/>
      <c r="V802" s="299"/>
      <c r="W802" s="298" t="s">
        <v>50</v>
      </c>
      <c r="X802" s="298" t="s">
        <v>285</v>
      </c>
      <c r="Y802" s="298" t="s">
        <v>51</v>
      </c>
      <c r="Z802" s="298" t="s">
        <v>52</v>
      </c>
      <c r="AA802" s="82" t="s">
        <v>763</v>
      </c>
    </row>
    <row r="803" ht="15.75" customHeight="1">
      <c r="A803" s="69">
        <v>43743.0</v>
      </c>
      <c r="B803" s="23" t="s">
        <v>406</v>
      </c>
      <c r="C803" s="21">
        <v>7.000150764E9</v>
      </c>
      <c r="D803" s="71" t="s">
        <v>1731</v>
      </c>
      <c r="E803" s="23" t="s">
        <v>585</v>
      </c>
      <c r="F803" s="24">
        <v>1.0</v>
      </c>
      <c r="G803" s="48">
        <v>1069.0</v>
      </c>
      <c r="H803" s="60">
        <v>1069.0</v>
      </c>
      <c r="I803" s="61" t="s">
        <v>43</v>
      </c>
      <c r="J803" s="82" t="s">
        <v>520</v>
      </c>
      <c r="K803" s="145">
        <v>43756.0</v>
      </c>
      <c r="L803" s="305">
        <v>43830.0</v>
      </c>
      <c r="M803" s="305">
        <v>43754.0</v>
      </c>
      <c r="N803" s="306" t="s">
        <v>1732</v>
      </c>
      <c r="O803" s="306">
        <v>48663.0</v>
      </c>
      <c r="P803" s="306"/>
      <c r="Q803" s="298"/>
      <c r="R803" s="298"/>
      <c r="S803" s="299"/>
      <c r="T803" s="29">
        <v>43789.0</v>
      </c>
      <c r="U803" s="299"/>
      <c r="V803" s="299"/>
      <c r="W803" s="298" t="s">
        <v>50</v>
      </c>
      <c r="X803" s="298" t="s">
        <v>285</v>
      </c>
      <c r="Y803" s="298" t="s">
        <v>51</v>
      </c>
      <c r="Z803" s="298" t="s">
        <v>52</v>
      </c>
      <c r="AA803" s="82" t="s">
        <v>763</v>
      </c>
    </row>
    <row r="804" ht="15.75" customHeight="1">
      <c r="A804" s="69">
        <v>43746.0</v>
      </c>
      <c r="B804" s="144" t="s">
        <v>378</v>
      </c>
      <c r="C804" s="21">
        <v>8998.0</v>
      </c>
      <c r="D804" s="71" t="s">
        <v>1734</v>
      </c>
      <c r="E804" s="23" t="s">
        <v>1735</v>
      </c>
      <c r="F804" s="24">
        <v>1.0</v>
      </c>
      <c r="G804" s="48">
        <v>52.59</v>
      </c>
      <c r="H804" s="60">
        <v>52.59</v>
      </c>
      <c r="I804" s="61" t="s">
        <v>144</v>
      </c>
      <c r="J804" s="58" t="s">
        <v>1122</v>
      </c>
      <c r="K804" s="30">
        <v>43781.0</v>
      </c>
      <c r="L804" s="306"/>
      <c r="M804" s="306"/>
      <c r="N804" s="306"/>
      <c r="O804" s="306"/>
      <c r="P804" s="306"/>
      <c r="Q804" s="298"/>
      <c r="R804" s="298"/>
      <c r="S804" s="299"/>
      <c r="T804" s="29">
        <v>43766.0</v>
      </c>
      <c r="U804" s="299">
        <f>46.02*30.45</f>
        <v>1401.309</v>
      </c>
      <c r="V804" s="299">
        <f>(52.59-46.02)*30.45</f>
        <v>200.0565</v>
      </c>
      <c r="W804" s="298" t="s">
        <v>50</v>
      </c>
      <c r="X804" s="298" t="s">
        <v>285</v>
      </c>
      <c r="Y804" s="298" t="s">
        <v>51</v>
      </c>
      <c r="Z804" s="298" t="s">
        <v>52</v>
      </c>
      <c r="AA804" s="82" t="s">
        <v>763</v>
      </c>
    </row>
    <row r="805" ht="15.75" customHeight="1">
      <c r="A805" s="69">
        <v>43746.0</v>
      </c>
      <c r="B805" s="144" t="s">
        <v>167</v>
      </c>
      <c r="C805" s="504" t="s">
        <v>0</v>
      </c>
      <c r="D805" s="71" t="s">
        <v>1736</v>
      </c>
      <c r="E805" s="23" t="s">
        <v>177</v>
      </c>
      <c r="F805" s="58">
        <v>1.0</v>
      </c>
      <c r="G805" s="47">
        <v>105.0</v>
      </c>
      <c r="H805" s="60">
        <v>105.0</v>
      </c>
      <c r="I805" s="27" t="s">
        <v>105</v>
      </c>
      <c r="J805" s="58" t="s">
        <v>172</v>
      </c>
      <c r="K805" s="29">
        <v>43769.0</v>
      </c>
      <c r="L805" s="306"/>
      <c r="M805" s="306"/>
      <c r="N805" s="306"/>
      <c r="O805" s="306"/>
      <c r="P805" s="306"/>
      <c r="Q805" s="298"/>
      <c r="R805" s="306">
        <v>30.62</v>
      </c>
      <c r="S805" s="299"/>
      <c r="T805" s="29">
        <v>43762.0</v>
      </c>
      <c r="U805" s="299"/>
      <c r="V805" s="299"/>
      <c r="W805" s="298" t="s">
        <v>50</v>
      </c>
      <c r="X805" s="298" t="s">
        <v>285</v>
      </c>
      <c r="Y805" s="298" t="s">
        <v>286</v>
      </c>
      <c r="Z805" s="298" t="s">
        <v>52</v>
      </c>
      <c r="AA805" s="82" t="s">
        <v>763</v>
      </c>
    </row>
    <row r="806" ht="15.75" customHeight="1">
      <c r="A806" s="69">
        <v>43746.0</v>
      </c>
      <c r="B806" s="144" t="s">
        <v>167</v>
      </c>
      <c r="C806" s="21"/>
      <c r="D806" s="71" t="s">
        <v>1736</v>
      </c>
      <c r="E806" s="32" t="s">
        <v>174</v>
      </c>
      <c r="F806" s="58">
        <v>1.0</v>
      </c>
      <c r="G806" s="47">
        <v>78.0</v>
      </c>
      <c r="H806" s="165">
        <v>78.0</v>
      </c>
      <c r="I806" s="27" t="s">
        <v>171</v>
      </c>
      <c r="J806" s="58" t="s">
        <v>172</v>
      </c>
      <c r="K806" s="29">
        <v>43769.0</v>
      </c>
      <c r="L806" s="306"/>
      <c r="M806" s="306"/>
      <c r="N806" s="306"/>
      <c r="O806" s="306"/>
      <c r="P806" s="306"/>
      <c r="Q806" s="298"/>
      <c r="R806" s="306"/>
      <c r="S806" s="299"/>
      <c r="T806" s="29">
        <v>43797.0</v>
      </c>
      <c r="U806" s="299">
        <f>7801.93*30.443</f>
        <v>237514.155</v>
      </c>
      <c r="V806" s="299">
        <f>(7843-7801.93)*30.443</f>
        <v>1250.29401</v>
      </c>
      <c r="W806" s="298" t="s">
        <v>50</v>
      </c>
      <c r="X806" s="298" t="s">
        <v>285</v>
      </c>
      <c r="Y806" s="298" t="s">
        <v>286</v>
      </c>
      <c r="Z806" s="298" t="s">
        <v>52</v>
      </c>
      <c r="AA806" s="298" t="s">
        <v>1371</v>
      </c>
    </row>
    <row r="807" ht="15.75" customHeight="1">
      <c r="A807" s="69">
        <v>43746.0</v>
      </c>
      <c r="B807" s="144" t="s">
        <v>167</v>
      </c>
      <c r="C807" s="21"/>
      <c r="D807" s="21" t="s">
        <v>1736</v>
      </c>
      <c r="E807" s="23" t="s">
        <v>1737</v>
      </c>
      <c r="F807" s="24">
        <v>1.0</v>
      </c>
      <c r="G807" s="48">
        <v>1552.0</v>
      </c>
      <c r="H807" s="165">
        <v>1552.0</v>
      </c>
      <c r="I807" s="27" t="s">
        <v>105</v>
      </c>
      <c r="J807" s="58" t="s">
        <v>172</v>
      </c>
      <c r="K807" s="29">
        <v>43769.0</v>
      </c>
      <c r="L807" s="306"/>
      <c r="M807" s="306"/>
      <c r="N807" s="306"/>
      <c r="O807" s="306"/>
      <c r="P807" s="306"/>
      <c r="Q807" s="298"/>
      <c r="R807" s="306">
        <v>30.62</v>
      </c>
      <c r="S807" s="299"/>
      <c r="T807" s="29">
        <v>43762.0</v>
      </c>
      <c r="U807" s="299">
        <f>13249.38*30.53</f>
        <v>404503.5714</v>
      </c>
      <c r="V807" s="299">
        <f>(13256-13249.38)*30.53</f>
        <v>202.1086</v>
      </c>
      <c r="W807" s="298" t="s">
        <v>50</v>
      </c>
      <c r="X807" s="298" t="s">
        <v>285</v>
      </c>
      <c r="Y807" s="298" t="s">
        <v>286</v>
      </c>
      <c r="Z807" s="298" t="s">
        <v>52</v>
      </c>
      <c r="AA807" s="82" t="s">
        <v>763</v>
      </c>
    </row>
    <row r="808" ht="15.75" customHeight="1">
      <c r="A808" s="69">
        <v>43746.0</v>
      </c>
      <c r="B808" s="144" t="s">
        <v>167</v>
      </c>
      <c r="C808" s="21"/>
      <c r="D808" s="21" t="s">
        <v>1738</v>
      </c>
      <c r="E808" s="547" t="s">
        <v>1739</v>
      </c>
      <c r="F808" s="24">
        <v>7.0</v>
      </c>
      <c r="G808" s="48">
        <v>1552.0</v>
      </c>
      <c r="H808" s="165">
        <v>10864.0</v>
      </c>
      <c r="I808" s="27" t="s">
        <v>105</v>
      </c>
      <c r="J808" s="58" t="s">
        <v>172</v>
      </c>
      <c r="K808" s="29">
        <v>43804.0</v>
      </c>
      <c r="L808" s="306"/>
      <c r="M808" s="306"/>
      <c r="N808" s="306"/>
      <c r="O808" s="306"/>
      <c r="P808" s="306"/>
      <c r="Q808" s="298"/>
      <c r="R808" s="306"/>
      <c r="S808" s="299"/>
      <c r="T808" s="29">
        <v>43762.0</v>
      </c>
      <c r="U808" s="299"/>
      <c r="V808" s="299"/>
      <c r="W808" s="298" t="s">
        <v>50</v>
      </c>
      <c r="X808" s="82" t="s">
        <v>285</v>
      </c>
      <c r="Y808" s="298" t="s">
        <v>286</v>
      </c>
      <c r="Z808" s="298" t="s">
        <v>52</v>
      </c>
      <c r="AA808" s="298" t="s">
        <v>1371</v>
      </c>
    </row>
    <row r="809" ht="15.75" customHeight="1">
      <c r="A809" s="69">
        <v>43746.0</v>
      </c>
      <c r="B809" s="144" t="s">
        <v>167</v>
      </c>
      <c r="C809" s="548"/>
      <c r="D809" s="71" t="s">
        <v>1738</v>
      </c>
      <c r="E809" s="32" t="s">
        <v>174</v>
      </c>
      <c r="F809" s="58">
        <v>7.0</v>
      </c>
      <c r="G809" s="47">
        <v>78.0</v>
      </c>
      <c r="H809" s="60">
        <v>546.0</v>
      </c>
      <c r="I809" s="27" t="s">
        <v>171</v>
      </c>
      <c r="J809" s="58" t="s">
        <v>172</v>
      </c>
      <c r="K809" s="29">
        <v>43804.0</v>
      </c>
      <c r="L809" s="306"/>
      <c r="M809" s="306"/>
      <c r="N809" s="306"/>
      <c r="O809" s="306"/>
      <c r="P809" s="306"/>
      <c r="Q809" s="298"/>
      <c r="R809" s="306"/>
      <c r="S809" s="299"/>
      <c r="T809" s="29">
        <v>43797.0</v>
      </c>
      <c r="U809" s="299"/>
      <c r="V809" s="299"/>
      <c r="W809" s="298" t="s">
        <v>50</v>
      </c>
      <c r="X809" s="82" t="s">
        <v>285</v>
      </c>
      <c r="Y809" s="298" t="s">
        <v>286</v>
      </c>
      <c r="Z809" s="298" t="s">
        <v>52</v>
      </c>
      <c r="AA809" s="298" t="s">
        <v>1371</v>
      </c>
    </row>
    <row r="810" ht="15.75" customHeight="1">
      <c r="A810" s="69">
        <v>43746.0</v>
      </c>
      <c r="B810" s="144" t="s">
        <v>167</v>
      </c>
      <c r="C810" s="548" t="s">
        <v>0</v>
      </c>
      <c r="D810" s="71" t="s">
        <v>1738</v>
      </c>
      <c r="E810" s="32" t="s">
        <v>177</v>
      </c>
      <c r="F810" s="58">
        <v>7.0</v>
      </c>
      <c r="G810" s="47">
        <v>61.0</v>
      </c>
      <c r="H810" s="60">
        <v>427.0</v>
      </c>
      <c r="I810" s="27" t="s">
        <v>105</v>
      </c>
      <c r="J810" s="58" t="s">
        <v>172</v>
      </c>
      <c r="K810" s="29">
        <v>43804.0</v>
      </c>
      <c r="L810" s="306"/>
      <c r="M810" s="306"/>
      <c r="N810" s="306"/>
      <c r="O810" s="306"/>
      <c r="P810" s="306"/>
      <c r="Q810" s="298"/>
      <c r="R810" s="306"/>
      <c r="S810" s="299"/>
      <c r="T810" s="29">
        <v>43762.0</v>
      </c>
      <c r="U810" s="299"/>
      <c r="V810" s="299"/>
      <c r="W810" s="298" t="s">
        <v>50</v>
      </c>
      <c r="X810" s="82" t="s">
        <v>285</v>
      </c>
      <c r="Y810" s="298" t="s">
        <v>286</v>
      </c>
      <c r="Z810" s="298" t="s">
        <v>52</v>
      </c>
      <c r="AA810" s="298" t="s">
        <v>1371</v>
      </c>
    </row>
    <row r="811" ht="15.75" customHeight="1">
      <c r="A811" s="69">
        <v>43746.0</v>
      </c>
      <c r="B811" s="70" t="s">
        <v>1112</v>
      </c>
      <c r="C811" s="70" t="s">
        <v>0</v>
      </c>
      <c r="D811" s="71" t="s">
        <v>1740</v>
      </c>
      <c r="E811" s="32" t="s">
        <v>1741</v>
      </c>
      <c r="F811" s="24">
        <v>3.0</v>
      </c>
      <c r="G811" s="48">
        <v>157.0</v>
      </c>
      <c r="H811" s="60">
        <v>471.0</v>
      </c>
      <c r="I811" s="61" t="s">
        <v>144</v>
      </c>
      <c r="J811" s="50" t="s">
        <v>263</v>
      </c>
      <c r="K811" s="29">
        <v>43760.0</v>
      </c>
      <c r="L811" s="305">
        <v>43799.0</v>
      </c>
      <c r="M811" s="305">
        <v>43755.0</v>
      </c>
      <c r="N811" s="306" t="s">
        <v>1742</v>
      </c>
      <c r="O811" s="306">
        <v>13427.0</v>
      </c>
      <c r="P811" s="306"/>
      <c r="Q811" s="298"/>
      <c r="R811" s="306">
        <v>30.62</v>
      </c>
      <c r="S811" s="299"/>
      <c r="T811" s="29">
        <v>43752.0</v>
      </c>
      <c r="U811" s="299">
        <f>539.47*30.645</f>
        <v>16532.05815</v>
      </c>
      <c r="V811" s="299">
        <f>(557-539.47)*30.645</f>
        <v>537.20685</v>
      </c>
      <c r="W811" s="298" t="s">
        <v>50</v>
      </c>
      <c r="X811" s="298" t="s">
        <v>285</v>
      </c>
      <c r="Y811" s="298" t="s">
        <v>51</v>
      </c>
      <c r="Z811" s="298" t="s">
        <v>52</v>
      </c>
      <c r="AA811" s="82" t="s">
        <v>763</v>
      </c>
    </row>
    <row r="812" ht="15.75" customHeight="1">
      <c r="A812" s="69">
        <v>43746.0</v>
      </c>
      <c r="B812" s="70" t="s">
        <v>1112</v>
      </c>
      <c r="C812" s="21"/>
      <c r="D812" s="71" t="s">
        <v>1740</v>
      </c>
      <c r="E812" s="32" t="s">
        <v>1743</v>
      </c>
      <c r="F812" s="24">
        <v>1.0</v>
      </c>
      <c r="G812" s="48">
        <v>46.0</v>
      </c>
      <c r="H812" s="60">
        <v>46.0</v>
      </c>
      <c r="I812" s="61" t="s">
        <v>144</v>
      </c>
      <c r="J812" s="50" t="s">
        <v>263</v>
      </c>
      <c r="K812" s="29">
        <v>43760.0</v>
      </c>
      <c r="L812" s="305">
        <v>43755.0</v>
      </c>
      <c r="M812" s="305">
        <v>43755.0</v>
      </c>
      <c r="N812" s="306" t="s">
        <v>1744</v>
      </c>
      <c r="O812" s="306">
        <v>1298.0</v>
      </c>
      <c r="P812" s="306"/>
      <c r="Q812" s="298"/>
      <c r="R812" s="306">
        <v>30.62</v>
      </c>
      <c r="S812" s="299"/>
      <c r="T812" s="29">
        <v>43752.0</v>
      </c>
      <c r="U812" s="299"/>
      <c r="V812" s="299"/>
      <c r="W812" s="298" t="s">
        <v>50</v>
      </c>
      <c r="X812" s="298" t="s">
        <v>285</v>
      </c>
      <c r="Y812" s="298" t="s">
        <v>51</v>
      </c>
      <c r="Z812" s="298" t="s">
        <v>52</v>
      </c>
      <c r="AA812" s="82" t="s">
        <v>763</v>
      </c>
    </row>
    <row r="813" ht="15.75" customHeight="1">
      <c r="A813" s="69">
        <v>43746.0</v>
      </c>
      <c r="B813" s="70" t="s">
        <v>1112</v>
      </c>
      <c r="C813" s="21"/>
      <c r="D813" s="71" t="s">
        <v>1740</v>
      </c>
      <c r="E813" s="32" t="s">
        <v>700</v>
      </c>
      <c r="F813" s="24">
        <v>1.0</v>
      </c>
      <c r="G813" s="48">
        <v>40.0</v>
      </c>
      <c r="H813" s="60">
        <v>40.0</v>
      </c>
      <c r="I813" s="61" t="s">
        <v>144</v>
      </c>
      <c r="J813" s="63" t="s">
        <v>263</v>
      </c>
      <c r="K813" s="29">
        <v>43760.0</v>
      </c>
      <c r="L813" s="52"/>
      <c r="M813" s="53"/>
      <c r="N813" s="53"/>
      <c r="O813" s="53"/>
      <c r="P813" s="53"/>
      <c r="Q813" s="54"/>
      <c r="R813" s="53">
        <v>30.62</v>
      </c>
      <c r="S813" s="55"/>
      <c r="T813" s="146">
        <v>43752.0</v>
      </c>
      <c r="U813" s="55"/>
      <c r="V813" s="55"/>
      <c r="W813" s="54" t="s">
        <v>50</v>
      </c>
      <c r="X813" s="54" t="s">
        <v>285</v>
      </c>
      <c r="Y813" s="54"/>
      <c r="Z813" s="54"/>
      <c r="AA813" s="54"/>
    </row>
    <row r="814" ht="15.75" customHeight="1">
      <c r="A814" s="465">
        <v>43747.0</v>
      </c>
      <c r="B814" s="144" t="s">
        <v>1745</v>
      </c>
      <c r="C814" s="21" t="s">
        <v>1746</v>
      </c>
      <c r="D814" s="71" t="s">
        <v>1747</v>
      </c>
      <c r="E814" s="32" t="s">
        <v>1748</v>
      </c>
      <c r="F814" s="24">
        <v>20.0</v>
      </c>
      <c r="G814" s="48">
        <f>75+29+5</f>
        <v>109</v>
      </c>
      <c r="H814" s="60">
        <v>2180.0</v>
      </c>
      <c r="I814" s="27" t="s">
        <v>105</v>
      </c>
      <c r="J814" s="58" t="s">
        <v>1749</v>
      </c>
      <c r="K814" s="29">
        <v>43774.0</v>
      </c>
      <c r="L814" s="462"/>
      <c r="M814" s="462"/>
      <c r="N814" s="306"/>
      <c r="O814" s="306"/>
      <c r="P814" s="306"/>
      <c r="Q814" s="298"/>
      <c r="R814" s="306">
        <v>30.52</v>
      </c>
      <c r="S814" s="299"/>
      <c r="T814" s="29"/>
      <c r="U814" s="299"/>
      <c r="V814" s="299"/>
      <c r="W814" s="298" t="s">
        <v>50</v>
      </c>
      <c r="X814" s="298" t="s">
        <v>285</v>
      </c>
      <c r="Y814" s="298" t="s">
        <v>286</v>
      </c>
      <c r="Z814" s="298" t="s">
        <v>52</v>
      </c>
      <c r="AA814" s="82" t="s">
        <v>763</v>
      </c>
    </row>
    <row r="815" ht="15.75" customHeight="1">
      <c r="A815" s="465">
        <v>43747.0</v>
      </c>
      <c r="B815" s="144" t="s">
        <v>1745</v>
      </c>
      <c r="C815" s="21" t="s">
        <v>1746</v>
      </c>
      <c r="D815" s="71" t="s">
        <v>1747</v>
      </c>
      <c r="E815" s="35" t="s">
        <v>1750</v>
      </c>
      <c r="F815" s="24">
        <v>20.0</v>
      </c>
      <c r="G815" s="48">
        <v>0.0</v>
      </c>
      <c r="H815" s="60">
        <v>0.0</v>
      </c>
      <c r="I815" s="61"/>
      <c r="J815" s="58"/>
      <c r="K815" s="29"/>
      <c r="L815" s="306"/>
      <c r="M815" s="306"/>
      <c r="N815" s="306"/>
      <c r="O815" s="306"/>
      <c r="P815" s="306"/>
      <c r="Q815" s="298"/>
      <c r="R815" s="306"/>
      <c r="S815" s="299"/>
      <c r="T815" s="539"/>
      <c r="U815" s="299"/>
      <c r="V815" s="299"/>
      <c r="W815" s="298" t="s">
        <v>50</v>
      </c>
      <c r="X815" s="298" t="s">
        <v>285</v>
      </c>
      <c r="Y815" s="298" t="s">
        <v>286</v>
      </c>
      <c r="Z815" s="298" t="s">
        <v>52</v>
      </c>
      <c r="AA815" s="298" t="s">
        <v>1371</v>
      </c>
    </row>
    <row r="816" ht="15.75" customHeight="1">
      <c r="A816" s="465">
        <v>43747.0</v>
      </c>
      <c r="B816" s="144" t="s">
        <v>1745</v>
      </c>
      <c r="C816" s="21" t="s">
        <v>1746</v>
      </c>
      <c r="D816" s="71" t="s">
        <v>1747</v>
      </c>
      <c r="E816" s="549" t="s">
        <v>1751</v>
      </c>
      <c r="F816" s="24">
        <v>20.0</v>
      </c>
      <c r="G816" s="48">
        <v>0.0</v>
      </c>
      <c r="H816" s="60">
        <v>0.0</v>
      </c>
      <c r="I816" s="61"/>
      <c r="J816" s="58"/>
      <c r="K816" s="29"/>
      <c r="L816" s="462">
        <v>43804.0</v>
      </c>
      <c r="M816" s="462">
        <v>43773.0</v>
      </c>
      <c r="N816" s="306" t="s">
        <v>1752</v>
      </c>
      <c r="O816" s="306">
        <v>2556.0</v>
      </c>
      <c r="P816" s="306"/>
      <c r="Q816" s="298"/>
      <c r="R816" s="306">
        <v>30.52</v>
      </c>
      <c r="S816" s="299"/>
      <c r="T816" s="29">
        <v>43753.0</v>
      </c>
      <c r="U816" s="299">
        <f>2413.47*30.62</f>
        <v>73900.4514</v>
      </c>
      <c r="V816" s="299">
        <f>(2440-2413.47)*30.62</f>
        <v>812.3486</v>
      </c>
      <c r="W816" s="298" t="s">
        <v>50</v>
      </c>
      <c r="X816" s="298" t="s">
        <v>285</v>
      </c>
      <c r="Y816" s="298" t="s">
        <v>286</v>
      </c>
      <c r="Z816" s="298" t="s">
        <v>52</v>
      </c>
      <c r="AA816" s="82" t="s">
        <v>763</v>
      </c>
    </row>
    <row r="817" ht="15.75" customHeight="1">
      <c r="A817" s="465">
        <v>43747.0</v>
      </c>
      <c r="B817" s="144" t="s">
        <v>1745</v>
      </c>
      <c r="C817" s="21" t="s">
        <v>1746</v>
      </c>
      <c r="D817" s="71" t="s">
        <v>1747</v>
      </c>
      <c r="E817" s="22" t="s">
        <v>1753</v>
      </c>
      <c r="F817" s="24">
        <v>20.0</v>
      </c>
      <c r="G817" s="48">
        <v>13.0</v>
      </c>
      <c r="H817" s="60">
        <v>260.0</v>
      </c>
      <c r="I817" s="61" t="s">
        <v>144</v>
      </c>
      <c r="J817" s="58" t="s">
        <v>1749</v>
      </c>
      <c r="K817" s="29">
        <v>43774.0</v>
      </c>
      <c r="L817" s="306"/>
      <c r="M817" s="306"/>
      <c r="N817" s="306"/>
      <c r="O817" s="306"/>
      <c r="P817" s="306"/>
      <c r="Q817" s="298"/>
      <c r="R817" s="306"/>
      <c r="S817" s="299"/>
      <c r="T817" s="539"/>
      <c r="U817" s="299"/>
      <c r="V817" s="299"/>
      <c r="W817" s="298" t="s">
        <v>50</v>
      </c>
      <c r="X817" s="298" t="s">
        <v>285</v>
      </c>
      <c r="Y817" s="298" t="s">
        <v>286</v>
      </c>
      <c r="Z817" s="298" t="s">
        <v>52</v>
      </c>
      <c r="AA817" s="82" t="s">
        <v>763</v>
      </c>
    </row>
    <row r="818" ht="15.75" customHeight="1">
      <c r="A818" s="69">
        <v>43752.0</v>
      </c>
      <c r="B818" s="23" t="s">
        <v>213</v>
      </c>
      <c r="C818" s="21" t="s">
        <v>1754</v>
      </c>
      <c r="D818" s="71" t="s">
        <v>1755</v>
      </c>
      <c r="E818" s="32" t="s">
        <v>137</v>
      </c>
      <c r="F818" s="24">
        <v>9.0</v>
      </c>
      <c r="G818" s="48">
        <v>31.0</v>
      </c>
      <c r="H818" s="60">
        <v>279.0</v>
      </c>
      <c r="I818" s="61" t="s">
        <v>144</v>
      </c>
      <c r="J818" s="58" t="s">
        <v>217</v>
      </c>
      <c r="K818" s="30">
        <v>43782.0</v>
      </c>
      <c r="L818" s="305">
        <v>43830.0</v>
      </c>
      <c r="M818" s="305">
        <v>43781.0</v>
      </c>
      <c r="N818" s="306" t="s">
        <v>1756</v>
      </c>
      <c r="O818" s="306">
        <v>35213.0</v>
      </c>
      <c r="P818" s="306"/>
      <c r="Q818" s="298"/>
      <c r="R818" s="306"/>
      <c r="S818" s="299"/>
      <c r="T818" s="29">
        <v>43754.0</v>
      </c>
      <c r="U818" s="299">
        <f>1278.47*30.64</f>
        <v>39172.3208</v>
      </c>
      <c r="V818" s="299">
        <f>(1285-1278.47)*30.64</f>
        <v>200.0792</v>
      </c>
      <c r="W818" s="298" t="s">
        <v>50</v>
      </c>
      <c r="X818" s="298" t="s">
        <v>285</v>
      </c>
      <c r="Y818" s="298" t="s">
        <v>51</v>
      </c>
      <c r="Z818" s="298" t="s">
        <v>52</v>
      </c>
      <c r="AA818" s="82" t="s">
        <v>763</v>
      </c>
    </row>
    <row r="819" ht="15.75" customHeight="1">
      <c r="A819" s="69">
        <v>43752.0</v>
      </c>
      <c r="B819" s="23" t="s">
        <v>213</v>
      </c>
      <c r="C819" s="21" t="s">
        <v>1754</v>
      </c>
      <c r="D819" s="71" t="s">
        <v>1755</v>
      </c>
      <c r="E819" s="32" t="s">
        <v>133</v>
      </c>
      <c r="F819" s="24">
        <v>9.0</v>
      </c>
      <c r="G819" s="48">
        <v>109.0</v>
      </c>
      <c r="H819" s="60">
        <v>981.0</v>
      </c>
      <c r="I819" s="61" t="s">
        <v>144</v>
      </c>
      <c r="J819" s="58" t="s">
        <v>217</v>
      </c>
      <c r="K819" s="30">
        <v>43782.0</v>
      </c>
      <c r="L819" s="305">
        <v>43830.0</v>
      </c>
      <c r="M819" s="305">
        <v>43781.0</v>
      </c>
      <c r="N819" s="306" t="s">
        <v>1756</v>
      </c>
      <c r="O819" s="306"/>
      <c r="P819" s="306"/>
      <c r="Q819" s="298"/>
      <c r="R819" s="306"/>
      <c r="S819" s="299"/>
      <c r="T819" s="29">
        <v>43754.0</v>
      </c>
      <c r="U819" s="299"/>
      <c r="V819" s="299"/>
      <c r="W819" s="298" t="s">
        <v>50</v>
      </c>
      <c r="X819" s="298" t="s">
        <v>285</v>
      </c>
      <c r="Y819" s="298" t="s">
        <v>51</v>
      </c>
      <c r="Z819" s="298" t="s">
        <v>52</v>
      </c>
      <c r="AA819" s="82" t="s">
        <v>763</v>
      </c>
    </row>
    <row r="820" ht="15.75" customHeight="1">
      <c r="A820" s="69">
        <v>43752.0</v>
      </c>
      <c r="B820" s="23" t="s">
        <v>213</v>
      </c>
      <c r="C820" s="21" t="s">
        <v>1754</v>
      </c>
      <c r="D820" s="71" t="s">
        <v>1755</v>
      </c>
      <c r="E820" s="32" t="s">
        <v>700</v>
      </c>
      <c r="F820" s="24">
        <v>1.0</v>
      </c>
      <c r="G820" s="48">
        <v>25.0</v>
      </c>
      <c r="H820" s="60">
        <v>25.0</v>
      </c>
      <c r="I820" s="61" t="s">
        <v>144</v>
      </c>
      <c r="J820" s="161" t="s">
        <v>217</v>
      </c>
      <c r="K820" s="30">
        <v>43782.0</v>
      </c>
      <c r="L820" s="52"/>
      <c r="M820" s="53"/>
      <c r="N820" s="53"/>
      <c r="O820" s="53"/>
      <c r="P820" s="53"/>
      <c r="Q820" s="54"/>
      <c r="R820" s="53"/>
      <c r="S820" s="55"/>
      <c r="T820" s="146">
        <v>43754.0</v>
      </c>
      <c r="U820" s="55"/>
      <c r="V820" s="55"/>
      <c r="W820" s="54" t="s">
        <v>50</v>
      </c>
      <c r="X820" s="54" t="s">
        <v>285</v>
      </c>
      <c r="Y820" s="54"/>
      <c r="Z820" s="54"/>
      <c r="AA820" s="54"/>
    </row>
    <row r="821" ht="15.75" customHeight="1">
      <c r="A821" s="69">
        <v>43752.0</v>
      </c>
      <c r="B821" s="70" t="s">
        <v>77</v>
      </c>
      <c r="C821" s="21">
        <v>760.0</v>
      </c>
      <c r="D821" s="71" t="s">
        <v>1757</v>
      </c>
      <c r="E821" s="22" t="s">
        <v>1758</v>
      </c>
      <c r="F821" s="435">
        <v>50.0</v>
      </c>
      <c r="G821" s="48">
        <v>3.0</v>
      </c>
      <c r="H821" s="26">
        <v>150.0</v>
      </c>
      <c r="I821" s="61" t="s">
        <v>43</v>
      </c>
      <c r="J821" s="82" t="s">
        <v>936</v>
      </c>
      <c r="K821" s="30">
        <v>43769.0</v>
      </c>
      <c r="L821" s="306"/>
      <c r="M821" s="306"/>
      <c r="N821" s="306"/>
      <c r="O821" s="306"/>
      <c r="P821" s="306"/>
      <c r="Q821" s="298"/>
      <c r="R821" s="306"/>
      <c r="S821" s="299"/>
      <c r="T821" s="539"/>
      <c r="U821" s="300">
        <v>43803.0</v>
      </c>
      <c r="V821" s="299"/>
      <c r="W821" s="298" t="s">
        <v>50</v>
      </c>
      <c r="X821" s="298" t="s">
        <v>285</v>
      </c>
      <c r="Y821" s="298" t="s">
        <v>51</v>
      </c>
      <c r="Z821" s="298" t="s">
        <v>52</v>
      </c>
      <c r="AA821" s="82" t="s">
        <v>763</v>
      </c>
    </row>
    <row r="822" ht="15.75" customHeight="1">
      <c r="A822" s="69">
        <v>43753.0</v>
      </c>
      <c r="B822" s="70" t="s">
        <v>631</v>
      </c>
      <c r="C822" s="550" t="s">
        <v>1759</v>
      </c>
      <c r="D822" s="112" t="s">
        <v>1760</v>
      </c>
      <c r="E822" s="32" t="s">
        <v>634</v>
      </c>
      <c r="F822" s="24">
        <v>14.0</v>
      </c>
      <c r="G822" s="48">
        <v>173.25</v>
      </c>
      <c r="H822" s="60">
        <v>2425.5</v>
      </c>
      <c r="I822" s="61" t="s">
        <v>144</v>
      </c>
      <c r="J822" s="50" t="s">
        <v>1089</v>
      </c>
      <c r="K822" s="30">
        <v>43784.0</v>
      </c>
      <c r="L822" s="462">
        <v>43804.0</v>
      </c>
      <c r="M822" s="305">
        <v>43783.0</v>
      </c>
      <c r="N822" s="306" t="s">
        <v>1761</v>
      </c>
      <c r="O822" s="306">
        <v>127313.0</v>
      </c>
      <c r="P822" s="306"/>
      <c r="Q822" s="298"/>
      <c r="R822" s="306" t="s">
        <v>1762</v>
      </c>
      <c r="S822" s="299"/>
      <c r="T822" s="29">
        <v>43811.0</v>
      </c>
      <c r="U822" s="299">
        <v>132075.0</v>
      </c>
      <c r="V822" s="299">
        <v>28.0</v>
      </c>
      <c r="W822" s="298" t="s">
        <v>50</v>
      </c>
      <c r="X822" s="298" t="s">
        <v>285</v>
      </c>
      <c r="Y822" s="298" t="s">
        <v>51</v>
      </c>
      <c r="Z822" s="298" t="s">
        <v>377</v>
      </c>
      <c r="AA822" s="82" t="s">
        <v>763</v>
      </c>
    </row>
    <row r="823" ht="15.75" customHeight="1">
      <c r="A823" s="69">
        <v>43753.0</v>
      </c>
      <c r="B823" s="70" t="s">
        <v>631</v>
      </c>
      <c r="C823" s="550" t="s">
        <v>1759</v>
      </c>
      <c r="D823" s="112" t="s">
        <v>1763</v>
      </c>
      <c r="E823" s="32" t="s">
        <v>634</v>
      </c>
      <c r="F823" s="24">
        <v>11.0</v>
      </c>
      <c r="G823" s="48">
        <v>173.25</v>
      </c>
      <c r="H823" s="60">
        <v>1905.75</v>
      </c>
      <c r="I823" s="61" t="s">
        <v>144</v>
      </c>
      <c r="J823" s="50" t="s">
        <v>1089</v>
      </c>
      <c r="K823" s="30">
        <v>43784.0</v>
      </c>
      <c r="L823" s="462">
        <v>43804.0</v>
      </c>
      <c r="M823" s="305">
        <v>43783.0</v>
      </c>
      <c r="N823" s="306" t="s">
        <v>1761</v>
      </c>
      <c r="O823" s="306"/>
      <c r="P823" s="306"/>
      <c r="Q823" s="298"/>
      <c r="R823" s="306" t="s">
        <v>1762</v>
      </c>
      <c r="S823" s="299"/>
      <c r="T823" s="29">
        <v>43811.0</v>
      </c>
      <c r="U823" s="299"/>
      <c r="V823" s="299"/>
      <c r="W823" s="298" t="s">
        <v>50</v>
      </c>
      <c r="X823" s="298" t="s">
        <v>285</v>
      </c>
      <c r="Y823" s="298" t="s">
        <v>51</v>
      </c>
      <c r="Z823" s="298" t="s">
        <v>377</v>
      </c>
      <c r="AA823" s="82" t="s">
        <v>763</v>
      </c>
    </row>
    <row r="824" ht="15.75" customHeight="1">
      <c r="A824" s="69">
        <v>43753.0</v>
      </c>
      <c r="B824" s="70" t="s">
        <v>130</v>
      </c>
      <c r="C824" s="21" t="s">
        <v>1764</v>
      </c>
      <c r="D824" s="71" t="s">
        <v>1765</v>
      </c>
      <c r="E824" s="21" t="s">
        <v>133</v>
      </c>
      <c r="F824" s="24">
        <v>5.0</v>
      </c>
      <c r="G824" s="48">
        <v>103.0</v>
      </c>
      <c r="H824" s="60">
        <v>515.0</v>
      </c>
      <c r="I824" s="61" t="s">
        <v>144</v>
      </c>
      <c r="J824" s="50" t="s">
        <v>134</v>
      </c>
      <c r="K824" s="30">
        <v>43782.0</v>
      </c>
      <c r="L824" s="305">
        <v>43830.0</v>
      </c>
      <c r="M824" s="305">
        <v>43781.0</v>
      </c>
      <c r="N824" s="306" t="s">
        <v>1766</v>
      </c>
      <c r="O824" s="306">
        <v>19563.0</v>
      </c>
      <c r="P824" s="306"/>
      <c r="Q824" s="298"/>
      <c r="R824" s="306"/>
      <c r="S824" s="299"/>
      <c r="T824" s="29">
        <v>43797.0</v>
      </c>
      <c r="U824" s="299"/>
      <c r="V824" s="299"/>
      <c r="W824" s="298" t="s">
        <v>50</v>
      </c>
      <c r="X824" s="298" t="s">
        <v>285</v>
      </c>
      <c r="Y824" s="298" t="s">
        <v>51</v>
      </c>
      <c r="Z824" s="298" t="s">
        <v>52</v>
      </c>
      <c r="AA824" s="82" t="s">
        <v>763</v>
      </c>
    </row>
    <row r="825" ht="15.75" customHeight="1">
      <c r="A825" s="69">
        <v>43753.0</v>
      </c>
      <c r="B825" s="70" t="s">
        <v>130</v>
      </c>
      <c r="C825" s="21" t="s">
        <v>1764</v>
      </c>
      <c r="D825" s="21" t="s">
        <v>1765</v>
      </c>
      <c r="E825" s="32" t="s">
        <v>137</v>
      </c>
      <c r="F825" s="24">
        <v>5.0</v>
      </c>
      <c r="G825" s="48">
        <v>29.0</v>
      </c>
      <c r="H825" s="60">
        <v>145.0</v>
      </c>
      <c r="I825" s="61" t="s">
        <v>144</v>
      </c>
      <c r="J825" s="50" t="s">
        <v>134</v>
      </c>
      <c r="K825" s="30">
        <v>43782.0</v>
      </c>
      <c r="L825" s="305">
        <v>43830.0</v>
      </c>
      <c r="M825" s="305">
        <v>43781.0</v>
      </c>
      <c r="N825" s="306" t="s">
        <v>1766</v>
      </c>
      <c r="O825" s="306"/>
      <c r="P825" s="306"/>
      <c r="Q825" s="298"/>
      <c r="R825" s="306"/>
      <c r="S825" s="299"/>
      <c r="T825" s="29">
        <v>43797.0</v>
      </c>
      <c r="U825" s="299"/>
      <c r="V825" s="299"/>
      <c r="W825" s="298" t="s">
        <v>50</v>
      </c>
      <c r="X825" s="298" t="s">
        <v>285</v>
      </c>
      <c r="Y825" s="298" t="s">
        <v>51</v>
      </c>
      <c r="Z825" s="298" t="s">
        <v>52</v>
      </c>
      <c r="AA825" s="82" t="s">
        <v>763</v>
      </c>
    </row>
    <row r="826" ht="15.75" customHeight="1">
      <c r="A826" s="69">
        <v>43754.0</v>
      </c>
      <c r="B826" s="70" t="s">
        <v>223</v>
      </c>
      <c r="C826" s="21" t="s">
        <v>1767</v>
      </c>
      <c r="D826" s="71" t="s">
        <v>1768</v>
      </c>
      <c r="E826" s="32" t="s">
        <v>1769</v>
      </c>
      <c r="F826" s="24">
        <v>5.0</v>
      </c>
      <c r="G826" s="48">
        <v>10.5</v>
      </c>
      <c r="H826" s="60">
        <v>52.5</v>
      </c>
      <c r="I826" s="61" t="s">
        <v>248</v>
      </c>
      <c r="J826" s="50" t="s">
        <v>90</v>
      </c>
      <c r="K826" s="30">
        <v>43768.0</v>
      </c>
      <c r="L826" s="305">
        <v>43830.0</v>
      </c>
      <c r="M826" s="305">
        <v>43768.0</v>
      </c>
      <c r="N826" s="306" t="s">
        <v>1770</v>
      </c>
      <c r="O826" s="306">
        <v>1286.0</v>
      </c>
      <c r="P826" s="306"/>
      <c r="Q826" s="298"/>
      <c r="R826" s="306">
        <v>30.5</v>
      </c>
      <c r="S826" s="299"/>
      <c r="T826" s="29">
        <v>43809.0</v>
      </c>
      <c r="U826" s="299">
        <v>86152.0</v>
      </c>
      <c r="V826" s="299">
        <v>15.0</v>
      </c>
      <c r="W826" s="298" t="s">
        <v>50</v>
      </c>
      <c r="X826" s="298" t="s">
        <v>285</v>
      </c>
      <c r="Y826" s="298" t="s">
        <v>51</v>
      </c>
      <c r="Z826" s="298" t="s">
        <v>377</v>
      </c>
      <c r="AA826" s="82" t="s">
        <v>763</v>
      </c>
    </row>
    <row r="827" ht="15.75" customHeight="1">
      <c r="A827" s="469">
        <v>43755.0</v>
      </c>
      <c r="B827" s="144" t="s">
        <v>378</v>
      </c>
      <c r="C827" s="21">
        <v>9109.0</v>
      </c>
      <c r="D827" s="551" t="s">
        <v>1771</v>
      </c>
      <c r="E827" s="246" t="s">
        <v>1772</v>
      </c>
      <c r="F827" s="24">
        <v>10.0</v>
      </c>
      <c r="G827" s="48">
        <v>0.0</v>
      </c>
      <c r="H827" s="60">
        <v>0.0</v>
      </c>
      <c r="I827" s="61" t="s">
        <v>248</v>
      </c>
      <c r="J827" s="58" t="s">
        <v>1122</v>
      </c>
      <c r="K827" s="58" t="s">
        <v>1773</v>
      </c>
      <c r="L827" s="306"/>
      <c r="M827" s="306"/>
      <c r="N827" s="306"/>
      <c r="O827" s="306"/>
      <c r="P827" s="306"/>
      <c r="Q827" s="298"/>
      <c r="R827" s="306"/>
      <c r="S827" s="299"/>
      <c r="T827" s="298"/>
      <c r="U827" s="299"/>
      <c r="V827" s="299"/>
      <c r="W827" s="298" t="s">
        <v>1227</v>
      </c>
      <c r="X827" s="82" t="s">
        <v>285</v>
      </c>
      <c r="Y827" s="298" t="s">
        <v>286</v>
      </c>
      <c r="Z827" s="298" t="s">
        <v>52</v>
      </c>
      <c r="AA827" s="298" t="s">
        <v>1371</v>
      </c>
    </row>
    <row r="828" ht="15.75" customHeight="1">
      <c r="A828" s="69">
        <v>43755.0</v>
      </c>
      <c r="B828" s="70" t="s">
        <v>223</v>
      </c>
      <c r="C828" s="21" t="s">
        <v>1774</v>
      </c>
      <c r="D828" s="71" t="s">
        <v>1775</v>
      </c>
      <c r="E828" s="32" t="s">
        <v>1776</v>
      </c>
      <c r="F828" s="24">
        <v>4.0</v>
      </c>
      <c r="G828" s="48">
        <v>131.25</v>
      </c>
      <c r="H828" s="60">
        <v>525.0</v>
      </c>
      <c r="I828" s="61" t="s">
        <v>248</v>
      </c>
      <c r="J828" s="50" t="s">
        <v>90</v>
      </c>
      <c r="K828" s="30">
        <v>43781.0</v>
      </c>
      <c r="L828" s="305">
        <v>43830.0</v>
      </c>
      <c r="M828" s="305">
        <v>43781.0</v>
      </c>
      <c r="N828" s="306" t="s">
        <v>1777</v>
      </c>
      <c r="O828" s="306">
        <v>30665.0</v>
      </c>
      <c r="P828" s="306"/>
      <c r="Q828" s="298"/>
      <c r="R828" s="306">
        <v>30.42</v>
      </c>
      <c r="S828" s="299"/>
      <c r="T828" s="29">
        <v>43809.0</v>
      </c>
      <c r="U828" s="299"/>
      <c r="V828" s="299"/>
      <c r="W828" s="298" t="s">
        <v>50</v>
      </c>
      <c r="X828" s="298" t="s">
        <v>285</v>
      </c>
      <c r="Y828" s="298" t="s">
        <v>51</v>
      </c>
      <c r="Z828" s="298" t="s">
        <v>377</v>
      </c>
      <c r="AA828" s="82" t="s">
        <v>763</v>
      </c>
    </row>
    <row r="829" ht="15.75" customHeight="1">
      <c r="A829" s="69">
        <v>43755.0</v>
      </c>
      <c r="B829" s="70" t="s">
        <v>223</v>
      </c>
      <c r="C829" s="21" t="s">
        <v>1774</v>
      </c>
      <c r="D829" s="71" t="s">
        <v>1775</v>
      </c>
      <c r="E829" s="32" t="s">
        <v>1778</v>
      </c>
      <c r="F829" s="24">
        <v>4.0</v>
      </c>
      <c r="G829" s="48">
        <v>147.0</v>
      </c>
      <c r="H829" s="60">
        <v>588.0</v>
      </c>
      <c r="I829" s="61" t="s">
        <v>248</v>
      </c>
      <c r="J829" s="50" t="s">
        <v>90</v>
      </c>
      <c r="K829" s="30">
        <v>43781.0</v>
      </c>
      <c r="L829" s="305">
        <v>43830.0</v>
      </c>
      <c r="M829" s="305">
        <v>43781.0</v>
      </c>
      <c r="N829" s="306" t="s">
        <v>1777</v>
      </c>
      <c r="O829" s="306"/>
      <c r="P829" s="306"/>
      <c r="Q829" s="298"/>
      <c r="R829" s="306">
        <v>30.42</v>
      </c>
      <c r="S829" s="299"/>
      <c r="T829" s="29">
        <v>43809.0</v>
      </c>
      <c r="U829" s="299"/>
      <c r="V829" s="299"/>
      <c r="W829" s="298" t="s">
        <v>50</v>
      </c>
      <c r="X829" s="298" t="s">
        <v>285</v>
      </c>
      <c r="Y829" s="298" t="s">
        <v>51</v>
      </c>
      <c r="Z829" s="298" t="s">
        <v>377</v>
      </c>
      <c r="AA829" s="82" t="s">
        <v>763</v>
      </c>
    </row>
    <row r="830" ht="15.75" customHeight="1">
      <c r="A830" s="69">
        <v>43755.0</v>
      </c>
      <c r="B830" s="23" t="s">
        <v>406</v>
      </c>
      <c r="C830" s="21">
        <v>7.000151038E9</v>
      </c>
      <c r="D830" s="71" t="s">
        <v>1779</v>
      </c>
      <c r="E830" s="32" t="s">
        <v>1780</v>
      </c>
      <c r="F830" s="24">
        <v>2.0</v>
      </c>
      <c r="G830" s="48">
        <v>160.0</v>
      </c>
      <c r="H830" s="60">
        <v>320.0</v>
      </c>
      <c r="I830" s="61" t="s">
        <v>43</v>
      </c>
      <c r="J830" s="50" t="s">
        <v>513</v>
      </c>
      <c r="K830" s="30">
        <v>43774.0</v>
      </c>
      <c r="L830" s="462">
        <v>43861.0</v>
      </c>
      <c r="M830" s="462">
        <v>43770.0</v>
      </c>
      <c r="N830" s="306" t="s">
        <v>1781</v>
      </c>
      <c r="O830" s="306">
        <v>36910.0</v>
      </c>
      <c r="P830" s="306"/>
      <c r="Q830" s="298"/>
      <c r="R830" s="306">
        <v>30.52</v>
      </c>
      <c r="S830" s="299"/>
      <c r="T830" s="29">
        <v>43812.0</v>
      </c>
      <c r="U830" s="299">
        <f>1534.19*30.245</f>
        <v>46401.57655</v>
      </c>
      <c r="V830" s="299">
        <f>(1562.8-1534.19)*30.245</f>
        <v>865.30945</v>
      </c>
      <c r="W830" s="298" t="s">
        <v>50</v>
      </c>
      <c r="X830" s="298" t="s">
        <v>285</v>
      </c>
      <c r="Y830" s="298" t="s">
        <v>51</v>
      </c>
      <c r="Z830" s="298" t="s">
        <v>52</v>
      </c>
      <c r="AA830" s="82" t="s">
        <v>763</v>
      </c>
    </row>
    <row r="831" ht="15.75" customHeight="1">
      <c r="A831" s="69">
        <v>43755.0</v>
      </c>
      <c r="B831" s="23" t="s">
        <v>406</v>
      </c>
      <c r="C831" s="21">
        <v>7.000151038E9</v>
      </c>
      <c r="D831" s="71" t="s">
        <v>1779</v>
      </c>
      <c r="E831" s="32" t="s">
        <v>1706</v>
      </c>
      <c r="F831" s="24">
        <v>3.0</v>
      </c>
      <c r="G831" s="48">
        <v>300.0</v>
      </c>
      <c r="H831" s="60">
        <v>900.0</v>
      </c>
      <c r="I831" s="61" t="s">
        <v>43</v>
      </c>
      <c r="J831" s="50" t="s">
        <v>513</v>
      </c>
      <c r="K831" s="30">
        <v>43774.0</v>
      </c>
      <c r="L831" s="462">
        <v>43861.0</v>
      </c>
      <c r="M831" s="462">
        <v>43770.0</v>
      </c>
      <c r="N831" s="306" t="s">
        <v>1781</v>
      </c>
      <c r="O831" s="306"/>
      <c r="P831" s="306"/>
      <c r="Q831" s="298"/>
      <c r="R831" s="306">
        <v>30.52</v>
      </c>
      <c r="S831" s="299"/>
      <c r="T831" s="29">
        <v>43812.0</v>
      </c>
      <c r="U831" s="299"/>
      <c r="V831" s="299"/>
      <c r="W831" s="298" t="s">
        <v>50</v>
      </c>
      <c r="X831" s="298" t="s">
        <v>285</v>
      </c>
      <c r="Y831" s="298" t="s">
        <v>51</v>
      </c>
      <c r="Z831" s="298" t="s">
        <v>52</v>
      </c>
      <c r="AA831" s="82" t="s">
        <v>763</v>
      </c>
    </row>
    <row r="832" ht="15.75" customHeight="1">
      <c r="A832" s="69">
        <v>43755.0</v>
      </c>
      <c r="B832" s="32" t="s">
        <v>406</v>
      </c>
      <c r="C832" s="21">
        <v>7.000151038E9</v>
      </c>
      <c r="D832" s="21" t="s">
        <v>1779</v>
      </c>
      <c r="E832" s="23" t="s">
        <v>616</v>
      </c>
      <c r="F832" s="24">
        <v>2.0</v>
      </c>
      <c r="G832" s="48">
        <v>24.0</v>
      </c>
      <c r="H832" s="60">
        <v>48.0</v>
      </c>
      <c r="I832" s="87" t="s">
        <v>43</v>
      </c>
      <c r="J832" s="439" t="s">
        <v>513</v>
      </c>
      <c r="K832" s="30">
        <v>43774.0</v>
      </c>
      <c r="L832" s="462">
        <v>43861.0</v>
      </c>
      <c r="M832" s="462">
        <v>43770.0</v>
      </c>
      <c r="N832" s="306" t="s">
        <v>1781</v>
      </c>
      <c r="O832" s="306"/>
      <c r="P832" s="306"/>
      <c r="Q832" s="298"/>
      <c r="R832" s="306">
        <v>30.52</v>
      </c>
      <c r="S832" s="299"/>
      <c r="T832" s="29">
        <v>43812.0</v>
      </c>
      <c r="U832" s="299"/>
      <c r="V832" s="299"/>
      <c r="W832" s="298" t="s">
        <v>50</v>
      </c>
      <c r="X832" s="298" t="s">
        <v>285</v>
      </c>
      <c r="Y832" s="298" t="s">
        <v>51</v>
      </c>
      <c r="Z832" s="298" t="s">
        <v>52</v>
      </c>
      <c r="AA832" s="82" t="s">
        <v>763</v>
      </c>
    </row>
    <row r="833" ht="15.75" customHeight="1">
      <c r="A833" s="69">
        <v>43755.0</v>
      </c>
      <c r="B833" s="23" t="s">
        <v>406</v>
      </c>
      <c r="C833" s="21">
        <v>7.000151038E9</v>
      </c>
      <c r="D833" s="21" t="s">
        <v>1779</v>
      </c>
      <c r="E833" s="23" t="s">
        <v>1782</v>
      </c>
      <c r="F833" s="24">
        <v>4.0</v>
      </c>
      <c r="G833" s="48">
        <v>5.0</v>
      </c>
      <c r="H833" s="60">
        <v>20.0</v>
      </c>
      <c r="I833" s="61" t="s">
        <v>43</v>
      </c>
      <c r="J833" s="50" t="s">
        <v>513</v>
      </c>
      <c r="K833" s="30">
        <v>43774.0</v>
      </c>
      <c r="L833" s="462">
        <v>43861.0</v>
      </c>
      <c r="M833" s="462">
        <v>43770.0</v>
      </c>
      <c r="N833" s="306" t="s">
        <v>1781</v>
      </c>
      <c r="O833" s="306"/>
      <c r="P833" s="306"/>
      <c r="Q833" s="298"/>
      <c r="R833" s="306">
        <v>30.52</v>
      </c>
      <c r="S833" s="299"/>
      <c r="T833" s="29">
        <v>43812.0</v>
      </c>
      <c r="U833" s="299"/>
      <c r="V833" s="299"/>
      <c r="W833" s="298" t="s">
        <v>50</v>
      </c>
      <c r="X833" s="298" t="s">
        <v>285</v>
      </c>
      <c r="Y833" s="298" t="s">
        <v>51</v>
      </c>
      <c r="Z833" s="298" t="s">
        <v>52</v>
      </c>
      <c r="AA833" s="82" t="s">
        <v>763</v>
      </c>
    </row>
    <row r="834" ht="15.75" customHeight="1">
      <c r="A834" s="69">
        <v>43755.0</v>
      </c>
      <c r="B834" s="32" t="s">
        <v>406</v>
      </c>
      <c r="C834" s="21">
        <v>7.000151038E9</v>
      </c>
      <c r="D834" s="21" t="s">
        <v>1779</v>
      </c>
      <c r="E834" s="23" t="s">
        <v>1679</v>
      </c>
      <c r="F834" s="24">
        <v>1.0</v>
      </c>
      <c r="G834" s="48">
        <v>59.0</v>
      </c>
      <c r="H834" s="60">
        <v>59.0</v>
      </c>
      <c r="I834" s="87" t="s">
        <v>43</v>
      </c>
      <c r="J834" s="439" t="s">
        <v>513</v>
      </c>
      <c r="K834" s="30">
        <v>43774.0</v>
      </c>
      <c r="L834" s="462">
        <v>43861.0</v>
      </c>
      <c r="M834" s="462">
        <v>43770.0</v>
      </c>
      <c r="N834" s="306" t="s">
        <v>1781</v>
      </c>
      <c r="O834" s="306"/>
      <c r="P834" s="306"/>
      <c r="Q834" s="298"/>
      <c r="R834" s="306">
        <v>30.52</v>
      </c>
      <c r="S834" s="299"/>
      <c r="T834" s="29">
        <v>43812.0</v>
      </c>
      <c r="U834" s="299"/>
      <c r="V834" s="299"/>
      <c r="W834" s="298" t="s">
        <v>50</v>
      </c>
      <c r="X834" s="298" t="s">
        <v>285</v>
      </c>
      <c r="Y834" s="298" t="s">
        <v>51</v>
      </c>
      <c r="Z834" s="298" t="s">
        <v>52</v>
      </c>
      <c r="AA834" s="82" t="s">
        <v>763</v>
      </c>
    </row>
    <row r="835" ht="42.0" customHeight="1">
      <c r="A835" s="552">
        <v>43756.0</v>
      </c>
      <c r="B835" s="144" t="s">
        <v>378</v>
      </c>
      <c r="C835" s="21" t="s">
        <v>1368</v>
      </c>
      <c r="D835" s="71" t="s">
        <v>1402</v>
      </c>
      <c r="E835" s="32" t="s">
        <v>1783</v>
      </c>
      <c r="F835" s="24">
        <v>5.0</v>
      </c>
      <c r="G835" s="48">
        <v>26.0</v>
      </c>
      <c r="H835" s="216">
        <v>130.0</v>
      </c>
      <c r="I835" s="61" t="s">
        <v>144</v>
      </c>
      <c r="J835" s="58" t="s">
        <v>1122</v>
      </c>
      <c r="K835" s="84">
        <v>43781.0</v>
      </c>
      <c r="L835" s="306"/>
      <c r="M835" s="306"/>
      <c r="N835" s="306"/>
      <c r="O835" s="306"/>
      <c r="P835" s="306"/>
      <c r="Q835" s="298"/>
      <c r="R835" s="306"/>
      <c r="S835" s="299"/>
      <c r="T835" s="300">
        <v>43837.0</v>
      </c>
      <c r="U835" s="299"/>
      <c r="V835" s="299"/>
      <c r="W835" s="298" t="s">
        <v>50</v>
      </c>
      <c r="X835" s="298" t="s">
        <v>285</v>
      </c>
      <c r="Y835" s="298" t="s">
        <v>286</v>
      </c>
      <c r="Z835" s="298" t="s">
        <v>52</v>
      </c>
      <c r="AA835" s="82" t="s">
        <v>763</v>
      </c>
    </row>
    <row r="836" ht="15.75" customHeight="1">
      <c r="A836" s="69">
        <v>43756.0</v>
      </c>
      <c r="B836" s="144" t="s">
        <v>378</v>
      </c>
      <c r="C836" s="21" t="s">
        <v>1368</v>
      </c>
      <c r="D836" s="71" t="s">
        <v>1784</v>
      </c>
      <c r="E836" s="32" t="s">
        <v>1785</v>
      </c>
      <c r="F836" s="24">
        <v>7.0</v>
      </c>
      <c r="G836" s="48">
        <v>0.0</v>
      </c>
      <c r="H836" s="60">
        <v>0.0</v>
      </c>
      <c r="I836" s="61" t="s">
        <v>144</v>
      </c>
      <c r="J836" s="58" t="s">
        <v>1122</v>
      </c>
      <c r="K836" s="30">
        <v>43781.0</v>
      </c>
      <c r="L836" s="306"/>
      <c r="M836" s="306"/>
      <c r="N836" s="306"/>
      <c r="O836" s="306"/>
      <c r="P836" s="306"/>
      <c r="Q836" s="298"/>
      <c r="R836" s="306"/>
      <c r="S836" s="299"/>
      <c r="T836" s="298"/>
      <c r="U836" s="299"/>
      <c r="V836" s="299"/>
      <c r="W836" s="298" t="s">
        <v>1227</v>
      </c>
      <c r="X836" s="298" t="s">
        <v>285</v>
      </c>
      <c r="Y836" s="298" t="s">
        <v>286</v>
      </c>
      <c r="Z836" s="298" t="s">
        <v>52</v>
      </c>
      <c r="AA836" s="82" t="s">
        <v>763</v>
      </c>
    </row>
    <row r="837" ht="15.75" customHeight="1">
      <c r="A837" s="69">
        <v>43756.0</v>
      </c>
      <c r="B837" s="144" t="s">
        <v>378</v>
      </c>
      <c r="C837" s="21" t="s">
        <v>1368</v>
      </c>
      <c r="D837" s="71" t="s">
        <v>1784</v>
      </c>
      <c r="E837" s="23" t="s">
        <v>1373</v>
      </c>
      <c r="F837" s="24">
        <v>7.0</v>
      </c>
      <c r="G837" s="48">
        <v>76.0</v>
      </c>
      <c r="H837" s="60">
        <v>532.0</v>
      </c>
      <c r="I837" s="61" t="s">
        <v>144</v>
      </c>
      <c r="J837" s="58" t="s">
        <v>1122</v>
      </c>
      <c r="K837" s="30">
        <v>43781.0</v>
      </c>
      <c r="L837" s="306"/>
      <c r="M837" s="306"/>
      <c r="N837" s="306"/>
      <c r="O837" s="306"/>
      <c r="P837" s="306"/>
      <c r="Q837" s="298"/>
      <c r="R837" s="306"/>
      <c r="S837" s="299"/>
      <c r="T837" s="300">
        <v>43672.0</v>
      </c>
      <c r="U837" s="299"/>
      <c r="V837" s="299"/>
      <c r="W837" s="298" t="s">
        <v>50</v>
      </c>
      <c r="X837" s="298" t="s">
        <v>285</v>
      </c>
      <c r="Y837" s="298" t="s">
        <v>286</v>
      </c>
      <c r="Z837" s="298" t="s">
        <v>52</v>
      </c>
      <c r="AA837" s="82" t="s">
        <v>763</v>
      </c>
    </row>
    <row r="838" ht="15.75" customHeight="1">
      <c r="A838" s="69">
        <v>43756.0</v>
      </c>
      <c r="B838" s="144" t="s">
        <v>378</v>
      </c>
      <c r="C838" s="21" t="s">
        <v>1368</v>
      </c>
      <c r="D838" s="21" t="s">
        <v>1784</v>
      </c>
      <c r="E838" s="32" t="s">
        <v>1374</v>
      </c>
      <c r="F838" s="24">
        <v>7.0</v>
      </c>
      <c r="G838" s="25">
        <v>100.0</v>
      </c>
      <c r="H838" s="60">
        <v>700.0</v>
      </c>
      <c r="I838" s="61" t="s">
        <v>144</v>
      </c>
      <c r="J838" s="58" t="s">
        <v>1122</v>
      </c>
      <c r="K838" s="30">
        <v>43781.0</v>
      </c>
      <c r="L838" s="462"/>
      <c r="M838" s="462">
        <v>43777.0</v>
      </c>
      <c r="N838" s="306" t="s">
        <v>1786</v>
      </c>
      <c r="O838" s="406">
        <v>24203.0</v>
      </c>
      <c r="P838" s="306"/>
      <c r="Q838" s="298"/>
      <c r="R838" s="306"/>
      <c r="S838" s="299"/>
      <c r="T838" s="300">
        <v>43837.0</v>
      </c>
      <c r="U838" s="299"/>
      <c r="V838" s="299"/>
      <c r="W838" s="298" t="s">
        <v>50</v>
      </c>
      <c r="X838" s="298" t="s">
        <v>285</v>
      </c>
      <c r="Y838" s="298" t="s">
        <v>286</v>
      </c>
      <c r="Z838" s="298" t="s">
        <v>52</v>
      </c>
      <c r="AA838" s="82" t="s">
        <v>763</v>
      </c>
    </row>
    <row r="839" ht="15.75" customHeight="1">
      <c r="A839" s="69">
        <v>43756.0</v>
      </c>
      <c r="B839" s="144" t="s">
        <v>378</v>
      </c>
      <c r="C839" s="21" t="s">
        <v>1368</v>
      </c>
      <c r="D839" s="71" t="s">
        <v>1784</v>
      </c>
      <c r="E839" s="23" t="s">
        <v>1787</v>
      </c>
      <c r="F839" s="24">
        <v>7.0</v>
      </c>
      <c r="G839" s="48">
        <v>26.0</v>
      </c>
      <c r="H839" s="60">
        <v>182.0</v>
      </c>
      <c r="I839" s="61" t="s">
        <v>144</v>
      </c>
      <c r="J839" s="58" t="s">
        <v>1122</v>
      </c>
      <c r="K839" s="30">
        <v>43781.0</v>
      </c>
      <c r="L839" s="306"/>
      <c r="M839" s="306"/>
      <c r="N839" s="306"/>
      <c r="O839" s="306"/>
      <c r="P839" s="306"/>
      <c r="Q839" s="298"/>
      <c r="R839" s="306"/>
      <c r="S839" s="299"/>
      <c r="T839" s="300">
        <v>43837.0</v>
      </c>
      <c r="U839" s="299"/>
      <c r="V839" s="299"/>
      <c r="W839" s="298" t="s">
        <v>50</v>
      </c>
      <c r="X839" s="298" t="s">
        <v>285</v>
      </c>
      <c r="Y839" s="298" t="s">
        <v>286</v>
      </c>
      <c r="Z839" s="298" t="s">
        <v>52</v>
      </c>
      <c r="AA839" s="82" t="s">
        <v>763</v>
      </c>
    </row>
    <row r="840" ht="15.75" customHeight="1">
      <c r="A840" s="69">
        <v>43756.0</v>
      </c>
      <c r="B840" s="144" t="s">
        <v>378</v>
      </c>
      <c r="C840" s="21" t="s">
        <v>1368</v>
      </c>
      <c r="D840" s="71" t="s">
        <v>1788</v>
      </c>
      <c r="E840" s="23" t="s">
        <v>1789</v>
      </c>
      <c r="F840" s="24">
        <v>7.0</v>
      </c>
      <c r="G840" s="48">
        <v>20.0</v>
      </c>
      <c r="H840" s="60">
        <v>140.0</v>
      </c>
      <c r="I840" s="61" t="s">
        <v>144</v>
      </c>
      <c r="J840" s="58" t="s">
        <v>1122</v>
      </c>
      <c r="K840" s="30">
        <v>43781.0</v>
      </c>
      <c r="L840" s="462"/>
      <c r="M840" s="462">
        <v>43777.0</v>
      </c>
      <c r="N840" s="306" t="s">
        <v>1786</v>
      </c>
      <c r="O840" s="306"/>
      <c r="P840" s="306"/>
      <c r="Q840" s="298"/>
      <c r="R840" s="306"/>
      <c r="S840" s="299"/>
      <c r="T840" s="300">
        <v>43837.0</v>
      </c>
      <c r="U840" s="299"/>
      <c r="V840" s="299"/>
      <c r="W840" s="298" t="s">
        <v>50</v>
      </c>
      <c r="X840" s="298" t="s">
        <v>285</v>
      </c>
      <c r="Y840" s="298" t="s">
        <v>286</v>
      </c>
      <c r="Z840" s="298" t="s">
        <v>52</v>
      </c>
      <c r="AA840" s="82" t="s">
        <v>763</v>
      </c>
    </row>
    <row r="841" ht="15.75" customHeight="1">
      <c r="A841" s="69">
        <v>43756.0</v>
      </c>
      <c r="B841" s="144" t="s">
        <v>378</v>
      </c>
      <c r="C841" s="21" t="s">
        <v>1368</v>
      </c>
      <c r="D841" s="71" t="s">
        <v>1790</v>
      </c>
      <c r="E841" s="32" t="s">
        <v>1791</v>
      </c>
      <c r="F841" s="24">
        <v>3.0</v>
      </c>
      <c r="G841" s="48">
        <v>0.0</v>
      </c>
      <c r="H841" s="60">
        <v>0.0</v>
      </c>
      <c r="I841" s="61" t="s">
        <v>144</v>
      </c>
      <c r="J841" s="58" t="s">
        <v>1122</v>
      </c>
      <c r="K841" s="30">
        <v>43804.0</v>
      </c>
      <c r="L841" s="306"/>
      <c r="M841" s="306"/>
      <c r="N841" s="306"/>
      <c r="O841" s="306"/>
      <c r="P841" s="306"/>
      <c r="Q841" s="298"/>
      <c r="R841" s="306"/>
      <c r="S841" s="299"/>
      <c r="T841" s="298"/>
      <c r="U841" s="299"/>
      <c r="V841" s="299"/>
      <c r="W841" s="298" t="s">
        <v>1227</v>
      </c>
      <c r="X841" s="82" t="s">
        <v>285</v>
      </c>
      <c r="Y841" s="298" t="s">
        <v>286</v>
      </c>
      <c r="Z841" s="298" t="s">
        <v>52</v>
      </c>
      <c r="AA841" s="298" t="s">
        <v>1371</v>
      </c>
    </row>
    <row r="842" ht="15.75" customHeight="1">
      <c r="A842" s="69">
        <v>43756.0</v>
      </c>
      <c r="B842" s="144" t="s">
        <v>378</v>
      </c>
      <c r="C842" s="21" t="s">
        <v>1368</v>
      </c>
      <c r="D842" s="71" t="s">
        <v>1792</v>
      </c>
      <c r="E842" s="32" t="s">
        <v>1393</v>
      </c>
      <c r="F842" s="24">
        <v>3.0</v>
      </c>
      <c r="G842" s="48">
        <v>85.0</v>
      </c>
      <c r="H842" s="60">
        <v>255.0</v>
      </c>
      <c r="I842" s="61" t="s">
        <v>144</v>
      </c>
      <c r="J842" s="58" t="s">
        <v>1122</v>
      </c>
      <c r="K842" s="30">
        <v>43804.0</v>
      </c>
      <c r="L842" s="306"/>
      <c r="M842" s="306"/>
      <c r="N842" s="306"/>
      <c r="O842" s="306"/>
      <c r="P842" s="306"/>
      <c r="Q842" s="298"/>
      <c r="R842" s="306"/>
      <c r="S842" s="299"/>
      <c r="T842" s="300">
        <v>43837.0</v>
      </c>
      <c r="U842" s="299"/>
      <c r="V842" s="299"/>
      <c r="W842" s="298" t="s">
        <v>50</v>
      </c>
      <c r="X842" s="82" t="s">
        <v>285</v>
      </c>
      <c r="Y842" s="298" t="s">
        <v>286</v>
      </c>
      <c r="Z842" s="298" t="s">
        <v>52</v>
      </c>
      <c r="AA842" s="298" t="s">
        <v>1371</v>
      </c>
    </row>
    <row r="843" ht="15.75" customHeight="1">
      <c r="A843" s="69">
        <v>43756.0</v>
      </c>
      <c r="B843" s="144" t="s">
        <v>378</v>
      </c>
      <c r="C843" s="21" t="s">
        <v>1368</v>
      </c>
      <c r="D843" s="71" t="s">
        <v>1793</v>
      </c>
      <c r="E843" s="32" t="s">
        <v>1794</v>
      </c>
      <c r="F843" s="24">
        <v>3.0</v>
      </c>
      <c r="G843" s="48">
        <v>25.0</v>
      </c>
      <c r="H843" s="60">
        <v>75.0</v>
      </c>
      <c r="I843" s="61" t="s">
        <v>144</v>
      </c>
      <c r="J843" s="58" t="s">
        <v>1122</v>
      </c>
      <c r="K843" s="30">
        <v>43804.0</v>
      </c>
      <c r="L843" s="306"/>
      <c r="M843" s="306"/>
      <c r="N843" s="306"/>
      <c r="O843" s="306"/>
      <c r="P843" s="306"/>
      <c r="Q843" s="298"/>
      <c r="R843" s="306"/>
      <c r="S843" s="299"/>
      <c r="T843" s="300">
        <v>43837.0</v>
      </c>
      <c r="U843" s="299"/>
      <c r="V843" s="299"/>
      <c r="W843" s="298" t="s">
        <v>50</v>
      </c>
      <c r="X843" s="82" t="s">
        <v>285</v>
      </c>
      <c r="Y843" s="298" t="s">
        <v>286</v>
      </c>
      <c r="Z843" s="298" t="s">
        <v>52</v>
      </c>
      <c r="AA843" s="298" t="s">
        <v>1371</v>
      </c>
    </row>
    <row r="844" ht="15.75" customHeight="1">
      <c r="A844" s="69">
        <v>43756.0</v>
      </c>
      <c r="B844" s="144" t="s">
        <v>378</v>
      </c>
      <c r="C844" s="21" t="s">
        <v>1368</v>
      </c>
      <c r="D844" s="71" t="s">
        <v>1795</v>
      </c>
      <c r="E844" s="32" t="s">
        <v>1374</v>
      </c>
      <c r="F844" s="24">
        <v>3.0</v>
      </c>
      <c r="G844" s="48">
        <v>121.0</v>
      </c>
      <c r="H844" s="60">
        <v>363.0</v>
      </c>
      <c r="I844" s="61" t="s">
        <v>144</v>
      </c>
      <c r="J844" s="58" t="s">
        <v>1122</v>
      </c>
      <c r="K844" s="30">
        <v>43804.0</v>
      </c>
      <c r="L844" s="306"/>
      <c r="M844" s="306"/>
      <c r="N844" s="306"/>
      <c r="O844" s="306"/>
      <c r="P844" s="306"/>
      <c r="Q844" s="298"/>
      <c r="R844" s="306"/>
      <c r="S844" s="299"/>
      <c r="T844" s="300">
        <v>43837.0</v>
      </c>
      <c r="U844" s="299"/>
      <c r="V844" s="299"/>
      <c r="W844" s="298" t="s">
        <v>50</v>
      </c>
      <c r="X844" s="298" t="s">
        <v>285</v>
      </c>
      <c r="Y844" s="298" t="s">
        <v>286</v>
      </c>
      <c r="Z844" s="298" t="s">
        <v>52</v>
      </c>
      <c r="AA844" s="298" t="s">
        <v>1371</v>
      </c>
    </row>
    <row r="845" ht="15.75" customHeight="1">
      <c r="A845" s="553">
        <v>43756.0</v>
      </c>
      <c r="B845" s="70" t="s">
        <v>1796</v>
      </c>
      <c r="C845" s="21"/>
      <c r="D845" s="71" t="s">
        <v>1797</v>
      </c>
      <c r="E845" s="32" t="s">
        <v>1798</v>
      </c>
      <c r="F845" s="24">
        <v>4.0</v>
      </c>
      <c r="G845" s="48">
        <v>1060.0</v>
      </c>
      <c r="H845" s="60">
        <v>4240.0</v>
      </c>
      <c r="I845" s="61" t="s">
        <v>105</v>
      </c>
      <c r="J845" s="50" t="s">
        <v>1799</v>
      </c>
      <c r="K845" s="29">
        <v>43769.0</v>
      </c>
      <c r="L845" s="305">
        <v>43830.0</v>
      </c>
      <c r="M845" s="305">
        <v>43767.0</v>
      </c>
      <c r="N845" s="306" t="s">
        <v>1800</v>
      </c>
      <c r="O845" s="306">
        <v>120069.0</v>
      </c>
      <c r="P845" s="306"/>
      <c r="Q845" s="298"/>
      <c r="R845" s="306">
        <v>30.62</v>
      </c>
      <c r="S845" s="299"/>
      <c r="T845" s="29">
        <v>43767.0</v>
      </c>
      <c r="U845" s="299">
        <f>4240*30.47</f>
        <v>129192.8</v>
      </c>
      <c r="V845" s="299">
        <v>0.0</v>
      </c>
      <c r="W845" s="298" t="s">
        <v>50</v>
      </c>
      <c r="X845" s="298" t="s">
        <v>285</v>
      </c>
      <c r="Y845" s="298" t="s">
        <v>51</v>
      </c>
      <c r="Z845" s="298" t="s">
        <v>52</v>
      </c>
      <c r="AA845" s="459" t="s">
        <v>763</v>
      </c>
    </row>
    <row r="846" ht="15.75" customHeight="1">
      <c r="A846" s="69">
        <v>43762.0</v>
      </c>
      <c r="B846" s="70" t="s">
        <v>130</v>
      </c>
      <c r="C846" s="21" t="s">
        <v>1801</v>
      </c>
      <c r="D846" s="71" t="s">
        <v>1802</v>
      </c>
      <c r="E846" s="21" t="s">
        <v>133</v>
      </c>
      <c r="F846" s="24">
        <v>40.0</v>
      </c>
      <c r="G846" s="48">
        <v>103.0</v>
      </c>
      <c r="H846" s="60">
        <v>4120.0</v>
      </c>
      <c r="I846" s="61" t="s">
        <v>144</v>
      </c>
      <c r="J846" s="50" t="s">
        <v>134</v>
      </c>
      <c r="K846" s="30">
        <v>43782.0</v>
      </c>
      <c r="L846" s="305">
        <v>43830.0</v>
      </c>
      <c r="M846" s="305">
        <v>43781.0</v>
      </c>
      <c r="N846" s="306" t="s">
        <v>1803</v>
      </c>
      <c r="O846" s="306">
        <v>177976.0</v>
      </c>
      <c r="P846" s="306"/>
      <c r="Q846" s="298"/>
      <c r="R846" s="306"/>
      <c r="S846" s="299"/>
      <c r="T846" s="29">
        <v>43797.0</v>
      </c>
      <c r="U846" s="299"/>
      <c r="V846" s="299"/>
      <c r="W846" s="298" t="s">
        <v>50</v>
      </c>
      <c r="X846" s="298" t="s">
        <v>285</v>
      </c>
      <c r="Y846" s="298" t="s">
        <v>51</v>
      </c>
      <c r="Z846" s="298" t="s">
        <v>52</v>
      </c>
      <c r="AA846" s="459" t="s">
        <v>763</v>
      </c>
    </row>
    <row r="847" ht="15.75" customHeight="1">
      <c r="A847" s="69">
        <v>43762.0</v>
      </c>
      <c r="B847" s="70" t="s">
        <v>130</v>
      </c>
      <c r="C847" s="21" t="s">
        <v>1801</v>
      </c>
      <c r="D847" s="71" t="s">
        <v>1802</v>
      </c>
      <c r="E847" s="32" t="s">
        <v>137</v>
      </c>
      <c r="F847" s="24">
        <v>65.0</v>
      </c>
      <c r="G847" s="48">
        <v>29.0</v>
      </c>
      <c r="H847" s="60">
        <v>1885.0</v>
      </c>
      <c r="I847" s="61" t="s">
        <v>144</v>
      </c>
      <c r="J847" s="50" t="s">
        <v>134</v>
      </c>
      <c r="K847" s="30">
        <v>43782.0</v>
      </c>
      <c r="L847" s="305">
        <v>43830.0</v>
      </c>
      <c r="M847" s="305">
        <v>43781.0</v>
      </c>
      <c r="N847" s="306" t="s">
        <v>1803</v>
      </c>
      <c r="O847" s="306"/>
      <c r="P847" s="306"/>
      <c r="Q847" s="298"/>
      <c r="R847" s="306"/>
      <c r="S847" s="299"/>
      <c r="T847" s="29">
        <v>43797.0</v>
      </c>
      <c r="U847" s="299"/>
      <c r="V847" s="299"/>
      <c r="W847" s="298" t="s">
        <v>50</v>
      </c>
      <c r="X847" s="298" t="s">
        <v>285</v>
      </c>
      <c r="Y847" s="298" t="s">
        <v>51</v>
      </c>
      <c r="Z847" s="298" t="s">
        <v>52</v>
      </c>
      <c r="AA847" s="459" t="s">
        <v>763</v>
      </c>
    </row>
    <row r="848" ht="15.75" customHeight="1">
      <c r="A848" s="69">
        <v>43762.0</v>
      </c>
      <c r="B848" s="70" t="s">
        <v>1112</v>
      </c>
      <c r="C848" s="21"/>
      <c r="D848" s="71" t="s">
        <v>1804</v>
      </c>
      <c r="E848" s="554" t="s">
        <v>1805</v>
      </c>
      <c r="F848" s="24">
        <v>2.0</v>
      </c>
      <c r="G848" s="48">
        <v>1049.0</v>
      </c>
      <c r="H848" s="165">
        <v>2098.0</v>
      </c>
      <c r="I848" s="61" t="s">
        <v>144</v>
      </c>
      <c r="J848" s="50" t="s">
        <v>263</v>
      </c>
      <c r="K848" s="30">
        <v>43790.0</v>
      </c>
      <c r="L848" s="462">
        <v>43861.0</v>
      </c>
      <c r="M848" s="305">
        <v>43787.0</v>
      </c>
      <c r="N848" s="306" t="s">
        <v>1806</v>
      </c>
      <c r="O848" s="306">
        <v>84296.0</v>
      </c>
      <c r="P848" s="306"/>
      <c r="Q848" s="298"/>
      <c r="R848" s="306">
        <v>30.465</v>
      </c>
      <c r="S848" s="299"/>
      <c r="T848" s="29">
        <v>43766.0</v>
      </c>
      <c r="U848" s="299">
        <f>2834.44*30.503</f>
        <v>86458.92332</v>
      </c>
      <c r="V848" s="299">
        <f>(2852-2834.44)*30.503</f>
        <v>535.63268</v>
      </c>
      <c r="W848" s="298" t="s">
        <v>50</v>
      </c>
      <c r="X848" s="298" t="s">
        <v>285</v>
      </c>
      <c r="Y848" s="298" t="s">
        <v>51</v>
      </c>
      <c r="Z848" s="298" t="s">
        <v>52</v>
      </c>
      <c r="AA848" s="459" t="s">
        <v>763</v>
      </c>
    </row>
    <row r="849" ht="15.75" customHeight="1">
      <c r="A849" s="552">
        <v>43762.0</v>
      </c>
      <c r="B849" s="70" t="s">
        <v>1112</v>
      </c>
      <c r="C849" s="70"/>
      <c r="D849" s="71" t="s">
        <v>1804</v>
      </c>
      <c r="E849" s="554" t="s">
        <v>1807</v>
      </c>
      <c r="F849" s="130">
        <v>2.0</v>
      </c>
      <c r="G849" s="25">
        <v>365.0</v>
      </c>
      <c r="H849" s="165">
        <v>730.0</v>
      </c>
      <c r="I849" s="61" t="s">
        <v>144</v>
      </c>
      <c r="J849" s="50" t="s">
        <v>263</v>
      </c>
      <c r="K849" s="30">
        <v>43790.0</v>
      </c>
      <c r="L849" s="462">
        <v>43861.0</v>
      </c>
      <c r="M849" s="305">
        <v>43787.0</v>
      </c>
      <c r="N849" s="306" t="s">
        <v>1806</v>
      </c>
      <c r="O849" s="306"/>
      <c r="P849" s="306"/>
      <c r="Q849" s="298"/>
      <c r="R849" s="306">
        <v>30.465</v>
      </c>
      <c r="S849" s="299"/>
      <c r="T849" s="29">
        <v>43766.0</v>
      </c>
      <c r="U849" s="299"/>
      <c r="V849" s="299"/>
      <c r="W849" s="298" t="s">
        <v>50</v>
      </c>
      <c r="X849" s="298" t="s">
        <v>285</v>
      </c>
      <c r="Y849" s="298" t="s">
        <v>51</v>
      </c>
      <c r="Z849" s="298" t="s">
        <v>52</v>
      </c>
      <c r="AA849" s="459" t="s">
        <v>763</v>
      </c>
    </row>
    <row r="850" ht="15.75" customHeight="1">
      <c r="A850" s="69">
        <v>43762.0</v>
      </c>
      <c r="B850" s="70" t="s">
        <v>1112</v>
      </c>
      <c r="C850" s="21"/>
      <c r="D850" s="71" t="s">
        <v>1804</v>
      </c>
      <c r="E850" s="554" t="s">
        <v>1808</v>
      </c>
      <c r="F850" s="24">
        <v>2.0</v>
      </c>
      <c r="G850" s="48">
        <v>12.0</v>
      </c>
      <c r="H850" s="165">
        <v>24.0</v>
      </c>
      <c r="I850" s="61" t="s">
        <v>144</v>
      </c>
      <c r="J850" s="50" t="s">
        <v>263</v>
      </c>
      <c r="K850" s="30">
        <v>43790.0</v>
      </c>
      <c r="L850" s="462">
        <v>43861.0</v>
      </c>
      <c r="M850" s="305">
        <v>43787.0</v>
      </c>
      <c r="N850" s="306" t="s">
        <v>1806</v>
      </c>
      <c r="O850" s="306"/>
      <c r="P850" s="306"/>
      <c r="Q850" s="298"/>
      <c r="R850" s="306">
        <v>30.465</v>
      </c>
      <c r="S850" s="299"/>
      <c r="T850" s="29">
        <v>43766.0</v>
      </c>
      <c r="U850" s="299"/>
      <c r="V850" s="299"/>
      <c r="W850" s="298" t="s">
        <v>50</v>
      </c>
      <c r="X850" s="298" t="s">
        <v>285</v>
      </c>
      <c r="Y850" s="298" t="s">
        <v>51</v>
      </c>
      <c r="Z850" s="298" t="s">
        <v>52</v>
      </c>
      <c r="AA850" s="459" t="s">
        <v>763</v>
      </c>
    </row>
    <row r="851" ht="15.75" customHeight="1">
      <c r="A851" s="69">
        <v>43763.0</v>
      </c>
      <c r="B851" s="309" t="s">
        <v>464</v>
      </c>
      <c r="C851" s="408" t="s">
        <v>1809</v>
      </c>
      <c r="D851" s="59" t="s">
        <v>1810</v>
      </c>
      <c r="E851" s="555" t="s">
        <v>1811</v>
      </c>
      <c r="F851" s="54">
        <v>1.0</v>
      </c>
      <c r="G851" s="48">
        <v>470.0</v>
      </c>
      <c r="H851" s="26">
        <v>470.0</v>
      </c>
      <c r="I851" s="61" t="s">
        <v>105</v>
      </c>
      <c r="J851" s="50" t="s">
        <v>1812</v>
      </c>
      <c r="K851" s="30">
        <v>43795.0</v>
      </c>
      <c r="L851" s="462">
        <v>43835.0</v>
      </c>
      <c r="M851" s="305">
        <v>43794.0</v>
      </c>
      <c r="N851" s="306" t="s">
        <v>1813</v>
      </c>
      <c r="O851" s="306">
        <v>11820.0</v>
      </c>
      <c r="P851" s="306"/>
      <c r="Q851" s="298"/>
      <c r="R851" s="306"/>
      <c r="S851" s="299"/>
      <c r="T851" s="539"/>
      <c r="U851" s="299"/>
      <c r="V851" s="299"/>
      <c r="W851" s="298" t="s">
        <v>50</v>
      </c>
      <c r="X851" s="298" t="s">
        <v>285</v>
      </c>
      <c r="Y851" s="298" t="s">
        <v>286</v>
      </c>
      <c r="Z851" s="298" t="s">
        <v>52</v>
      </c>
      <c r="AA851" s="459" t="s">
        <v>763</v>
      </c>
    </row>
    <row r="852" ht="15.75" customHeight="1">
      <c r="A852" s="19">
        <v>43763.0</v>
      </c>
      <c r="B852" s="51" t="s">
        <v>77</v>
      </c>
      <c r="C852" s="21">
        <v>792.0</v>
      </c>
      <c r="D852" s="59" t="s">
        <v>1814</v>
      </c>
      <c r="E852" s="32" t="s">
        <v>720</v>
      </c>
      <c r="F852" s="82">
        <v>50.0</v>
      </c>
      <c r="G852" s="47">
        <v>1.9</v>
      </c>
      <c r="H852" s="60">
        <v>95.0</v>
      </c>
      <c r="I852" s="61" t="s">
        <v>43</v>
      </c>
      <c r="J852" s="82" t="s">
        <v>936</v>
      </c>
      <c r="K852" s="30">
        <v>43769.0</v>
      </c>
      <c r="L852" s="306"/>
      <c r="M852" s="306"/>
      <c r="N852" s="306"/>
      <c r="O852" s="306"/>
      <c r="P852" s="306"/>
      <c r="Q852" s="298"/>
      <c r="R852" s="306"/>
      <c r="S852" s="299"/>
      <c r="T852" s="539"/>
      <c r="U852" s="300">
        <v>43803.0</v>
      </c>
      <c r="V852" s="299"/>
      <c r="W852" s="298" t="s">
        <v>50</v>
      </c>
      <c r="X852" s="298" t="s">
        <v>285</v>
      </c>
      <c r="Y852" s="298" t="s">
        <v>51</v>
      </c>
      <c r="Z852" s="298" t="s">
        <v>52</v>
      </c>
      <c r="AA852" s="459" t="s">
        <v>763</v>
      </c>
    </row>
    <row r="853" ht="15.75" customHeight="1">
      <c r="A853" s="69">
        <v>43765.0</v>
      </c>
      <c r="B853" s="309" t="s">
        <v>40</v>
      </c>
      <c r="C853" s="21">
        <v>2031536.0</v>
      </c>
      <c r="D853" s="59" t="s">
        <v>1815</v>
      </c>
      <c r="E853" s="32" t="s">
        <v>1816</v>
      </c>
      <c r="F853" s="24">
        <v>3.0</v>
      </c>
      <c r="G853" s="48">
        <v>1335.0</v>
      </c>
      <c r="H853" s="60">
        <v>4005.0</v>
      </c>
      <c r="I853" s="61" t="s">
        <v>43</v>
      </c>
      <c r="J853" s="50" t="s">
        <v>1817</v>
      </c>
      <c r="K853" s="30">
        <v>43788.0</v>
      </c>
      <c r="L853" s="306"/>
      <c r="M853" s="306"/>
      <c r="N853" s="306"/>
      <c r="O853" s="306"/>
      <c r="P853" s="306"/>
      <c r="Q853" s="298"/>
      <c r="R853" s="306">
        <v>30.295</v>
      </c>
      <c r="S853" s="299"/>
      <c r="T853" s="300">
        <v>43808.0</v>
      </c>
      <c r="U853" s="299">
        <f>4208.43*30.439</f>
        <v>128100.4008</v>
      </c>
      <c r="V853" s="299">
        <f>6.57*30.439</f>
        <v>199.98423</v>
      </c>
      <c r="W853" s="298" t="s">
        <v>50</v>
      </c>
      <c r="X853" s="298" t="s">
        <v>285</v>
      </c>
      <c r="Y853" s="298" t="s">
        <v>286</v>
      </c>
      <c r="Z853" s="298" t="s">
        <v>52</v>
      </c>
      <c r="AA853" s="459" t="s">
        <v>763</v>
      </c>
    </row>
    <row r="854" ht="15.75" customHeight="1">
      <c r="A854" s="69">
        <v>43765.0</v>
      </c>
      <c r="B854" s="309" t="s">
        <v>40</v>
      </c>
      <c r="C854" s="21">
        <v>2030683.0</v>
      </c>
      <c r="D854" s="59" t="s">
        <v>1815</v>
      </c>
      <c r="E854" s="32" t="s">
        <v>1658</v>
      </c>
      <c r="F854" s="24">
        <v>3.0</v>
      </c>
      <c r="G854" s="48">
        <v>70.0</v>
      </c>
      <c r="H854" s="60">
        <v>210.0</v>
      </c>
      <c r="I854" s="61" t="s">
        <v>43</v>
      </c>
      <c r="J854" s="50" t="s">
        <v>1817</v>
      </c>
      <c r="K854" s="30">
        <v>43788.0</v>
      </c>
      <c r="L854" s="306"/>
      <c r="M854" s="306"/>
      <c r="N854" s="306"/>
      <c r="O854" s="306"/>
      <c r="P854" s="306"/>
      <c r="Q854" s="298"/>
      <c r="R854" s="306">
        <v>30.295</v>
      </c>
      <c r="S854" s="299"/>
      <c r="T854" s="300">
        <v>43808.0</v>
      </c>
      <c r="U854" s="299"/>
      <c r="V854" s="299"/>
      <c r="W854" s="298" t="s">
        <v>50</v>
      </c>
      <c r="X854" s="298" t="s">
        <v>285</v>
      </c>
      <c r="Y854" s="298" t="s">
        <v>286</v>
      </c>
      <c r="Z854" s="298" t="s">
        <v>52</v>
      </c>
      <c r="AA854" s="459" t="s">
        <v>763</v>
      </c>
    </row>
    <row r="855" ht="15.75" customHeight="1">
      <c r="A855" s="110">
        <v>43767.0</v>
      </c>
      <c r="B855" s="72" t="s">
        <v>406</v>
      </c>
      <c r="C855" s="71">
        <v>7.000151328E9</v>
      </c>
      <c r="D855" s="71" t="s">
        <v>1818</v>
      </c>
      <c r="E855" s="72" t="s">
        <v>519</v>
      </c>
      <c r="F855" s="114">
        <v>50.0</v>
      </c>
      <c r="G855" s="115">
        <v>141.8</v>
      </c>
      <c r="H855" s="60">
        <v>7090.000000000001</v>
      </c>
      <c r="I855" s="61" t="s">
        <v>43</v>
      </c>
      <c r="J855" s="50" t="s">
        <v>513</v>
      </c>
      <c r="K855" s="30">
        <v>43769.0</v>
      </c>
      <c r="L855" s="462">
        <v>43861.0</v>
      </c>
      <c r="M855" s="305">
        <v>43768.0</v>
      </c>
      <c r="N855" s="306" t="s">
        <v>1819</v>
      </c>
      <c r="O855" s="306">
        <v>207585.0</v>
      </c>
      <c r="P855" s="306"/>
      <c r="Q855" s="298"/>
      <c r="R855" s="306">
        <v>30.62</v>
      </c>
      <c r="S855" s="299"/>
      <c r="T855" s="300">
        <v>43805.0</v>
      </c>
      <c r="U855" s="299">
        <f>7061.43*30.44</f>
        <v>214949.9292</v>
      </c>
      <c r="V855" s="299">
        <f>(7090-7061.43)*30.44</f>
        <v>869.6708</v>
      </c>
      <c r="W855" s="298" t="s">
        <v>50</v>
      </c>
      <c r="X855" s="298" t="s">
        <v>285</v>
      </c>
      <c r="Y855" s="298" t="s">
        <v>51</v>
      </c>
      <c r="Z855" s="298" t="s">
        <v>52</v>
      </c>
      <c r="AA855" s="459" t="s">
        <v>763</v>
      </c>
    </row>
    <row r="856" ht="15.75" customHeight="1">
      <c r="A856" s="69">
        <v>43767.0</v>
      </c>
      <c r="B856" s="70" t="s">
        <v>101</v>
      </c>
      <c r="C856" s="21" t="s">
        <v>1820</v>
      </c>
      <c r="D856" s="80" t="s">
        <v>1821</v>
      </c>
      <c r="E856" s="23" t="s">
        <v>1822</v>
      </c>
      <c r="F856" s="24">
        <v>5.0</v>
      </c>
      <c r="G856" s="48">
        <v>576.0</v>
      </c>
      <c r="H856" s="60">
        <v>2880.0</v>
      </c>
      <c r="I856" s="61" t="s">
        <v>105</v>
      </c>
      <c r="J856" s="50" t="s">
        <v>1056</v>
      </c>
      <c r="K856" s="29">
        <v>43790.0</v>
      </c>
      <c r="L856" s="305">
        <v>43830.0</v>
      </c>
      <c r="M856" s="305">
        <v>43780.0</v>
      </c>
      <c r="N856" s="306" t="s">
        <v>1823</v>
      </c>
      <c r="O856" s="306">
        <v>150293.0</v>
      </c>
      <c r="P856" s="306"/>
      <c r="Q856" s="298"/>
      <c r="R856" s="306">
        <v>30.465</v>
      </c>
      <c r="S856" s="299"/>
      <c r="T856" s="300">
        <v>43845.0</v>
      </c>
      <c r="U856" s="299">
        <f>8799.3*29.852</f>
        <v>262676.7036</v>
      </c>
      <c r="V856" s="299">
        <f>(8853-8799.3)*29.852</f>
        <v>1603.0524</v>
      </c>
      <c r="W856" s="298" t="s">
        <v>50</v>
      </c>
      <c r="X856" s="298" t="s">
        <v>285</v>
      </c>
      <c r="Y856" s="298" t="s">
        <v>51</v>
      </c>
      <c r="Z856" s="298" t="s">
        <v>52</v>
      </c>
      <c r="AA856" s="459" t="s">
        <v>763</v>
      </c>
    </row>
    <row r="857" ht="15.75" customHeight="1">
      <c r="A857" s="69">
        <v>43767.0</v>
      </c>
      <c r="B857" s="70" t="s">
        <v>101</v>
      </c>
      <c r="C857" s="21" t="s">
        <v>1820</v>
      </c>
      <c r="D857" s="80" t="s">
        <v>1821</v>
      </c>
      <c r="E857" s="32" t="s">
        <v>1824</v>
      </c>
      <c r="F857" s="24">
        <v>5.0</v>
      </c>
      <c r="G857" s="48">
        <v>225.0</v>
      </c>
      <c r="H857" s="60">
        <v>1125.0</v>
      </c>
      <c r="I857" s="61" t="s">
        <v>105</v>
      </c>
      <c r="J857" s="50" t="s">
        <v>1056</v>
      </c>
      <c r="K857" s="29">
        <v>43790.0</v>
      </c>
      <c r="L857" s="462">
        <v>43830.0</v>
      </c>
      <c r="M857" s="305">
        <v>43783.0</v>
      </c>
      <c r="N857" s="306" t="s">
        <v>1825</v>
      </c>
      <c r="O857" s="306">
        <v>31225.0</v>
      </c>
      <c r="P857" s="306"/>
      <c r="Q857" s="298"/>
      <c r="R857" s="517">
        <v>30.465</v>
      </c>
      <c r="S857" s="299"/>
      <c r="T857" s="300">
        <v>43845.0</v>
      </c>
      <c r="U857" s="299"/>
      <c r="V857" s="299"/>
      <c r="W857" s="298" t="s">
        <v>50</v>
      </c>
      <c r="X857" s="298" t="s">
        <v>285</v>
      </c>
      <c r="Y857" s="298" t="s">
        <v>51</v>
      </c>
      <c r="Z857" s="298" t="s">
        <v>52</v>
      </c>
      <c r="AA857" s="459" t="s">
        <v>763</v>
      </c>
    </row>
    <row r="858" ht="15.75" customHeight="1">
      <c r="A858" s="69">
        <v>43767.0</v>
      </c>
      <c r="B858" s="70" t="s">
        <v>101</v>
      </c>
      <c r="C858" s="21" t="s">
        <v>1820</v>
      </c>
      <c r="D858" s="80" t="s">
        <v>1821</v>
      </c>
      <c r="E858" s="32" t="s">
        <v>1826</v>
      </c>
      <c r="F858" s="24">
        <v>5.0</v>
      </c>
      <c r="G858" s="48">
        <v>54.0</v>
      </c>
      <c r="H858" s="60">
        <v>270.0</v>
      </c>
      <c r="I858" s="61" t="s">
        <v>105</v>
      </c>
      <c r="J858" s="50" t="s">
        <v>1056</v>
      </c>
      <c r="K858" s="29">
        <v>43790.0</v>
      </c>
      <c r="L858" s="462">
        <v>43804.0</v>
      </c>
      <c r="M858" s="305">
        <v>43769.0</v>
      </c>
      <c r="N858" s="306" t="s">
        <v>1827</v>
      </c>
      <c r="O858" s="306">
        <v>5716.0</v>
      </c>
      <c r="P858" s="306"/>
      <c r="Q858" s="298"/>
      <c r="R858" s="517">
        <v>30.465</v>
      </c>
      <c r="S858" s="299"/>
      <c r="T858" s="300">
        <v>43845.0</v>
      </c>
      <c r="U858" s="299"/>
      <c r="V858" s="299"/>
      <c r="W858" s="298" t="s">
        <v>50</v>
      </c>
      <c r="X858" s="298" t="s">
        <v>285</v>
      </c>
      <c r="Y858" s="298" t="s">
        <v>51</v>
      </c>
      <c r="Z858" s="298" t="s">
        <v>52</v>
      </c>
      <c r="AA858" s="459" t="s">
        <v>763</v>
      </c>
    </row>
    <row r="859" ht="15.75" customHeight="1">
      <c r="A859" s="69">
        <v>43767.0</v>
      </c>
      <c r="B859" s="70" t="s">
        <v>101</v>
      </c>
      <c r="C859" s="21" t="s">
        <v>1828</v>
      </c>
      <c r="D859" s="73" t="s">
        <v>1829</v>
      </c>
      <c r="E859" s="32" t="s">
        <v>1830</v>
      </c>
      <c r="F859" s="24">
        <v>3.0</v>
      </c>
      <c r="G859" s="48">
        <v>339.0</v>
      </c>
      <c r="H859" s="216">
        <v>1017.0</v>
      </c>
      <c r="I859" s="61" t="s">
        <v>105</v>
      </c>
      <c r="J859" s="50" t="s">
        <v>1056</v>
      </c>
      <c r="K859" s="29">
        <v>43790.0</v>
      </c>
      <c r="L859" s="305">
        <v>43830.0</v>
      </c>
      <c r="M859" s="305">
        <v>43780.0</v>
      </c>
      <c r="N859" s="306" t="s">
        <v>1823</v>
      </c>
      <c r="O859" s="21"/>
      <c r="P859" s="556"/>
      <c r="Q859" s="30"/>
      <c r="R859" s="517">
        <v>30.465</v>
      </c>
      <c r="S859" s="21"/>
      <c r="T859" s="300">
        <v>43845.0</v>
      </c>
      <c r="U859" s="299"/>
      <c r="V859" s="299"/>
      <c r="W859" s="298" t="s">
        <v>50</v>
      </c>
      <c r="X859" s="298" t="s">
        <v>285</v>
      </c>
      <c r="Y859" s="298" t="s">
        <v>51</v>
      </c>
      <c r="Z859" s="298" t="s">
        <v>52</v>
      </c>
      <c r="AA859" s="459" t="s">
        <v>763</v>
      </c>
    </row>
    <row r="860" ht="15.75" customHeight="1">
      <c r="A860" s="69">
        <v>43767.0</v>
      </c>
      <c r="B860" s="70" t="s">
        <v>101</v>
      </c>
      <c r="C860" s="21" t="s">
        <v>1828</v>
      </c>
      <c r="D860" s="73" t="s">
        <v>1829</v>
      </c>
      <c r="E860" s="32" t="s">
        <v>1831</v>
      </c>
      <c r="F860" s="24">
        <v>3.0</v>
      </c>
      <c r="G860" s="48">
        <v>322.0</v>
      </c>
      <c r="H860" s="60">
        <v>966.0</v>
      </c>
      <c r="I860" s="61" t="s">
        <v>105</v>
      </c>
      <c r="J860" s="50" t="s">
        <v>1056</v>
      </c>
      <c r="K860" s="29">
        <v>43790.0</v>
      </c>
      <c r="L860" s="305">
        <v>43830.0</v>
      </c>
      <c r="M860" s="305">
        <v>43780.0</v>
      </c>
      <c r="N860" s="306" t="s">
        <v>1823</v>
      </c>
      <c r="O860" s="21"/>
      <c r="P860" s="306"/>
      <c r="Q860" s="298"/>
      <c r="R860" s="517">
        <v>30.465</v>
      </c>
      <c r="S860" s="299"/>
      <c r="T860" s="300">
        <v>43845.0</v>
      </c>
      <c r="U860" s="299"/>
      <c r="V860" s="299"/>
      <c r="W860" s="298" t="s">
        <v>50</v>
      </c>
      <c r="X860" s="298" t="s">
        <v>285</v>
      </c>
      <c r="Y860" s="298" t="s">
        <v>51</v>
      </c>
      <c r="Z860" s="298" t="s">
        <v>52</v>
      </c>
      <c r="AA860" s="459" t="s">
        <v>763</v>
      </c>
    </row>
    <row r="861" ht="15.75" customHeight="1">
      <c r="A861" s="69">
        <v>43767.0</v>
      </c>
      <c r="B861" s="70" t="s">
        <v>101</v>
      </c>
      <c r="C861" s="21" t="s">
        <v>1828</v>
      </c>
      <c r="D861" s="73" t="s">
        <v>1829</v>
      </c>
      <c r="E861" s="32" t="s">
        <v>1832</v>
      </c>
      <c r="F861" s="24">
        <v>6.0</v>
      </c>
      <c r="G861" s="48">
        <v>42.0</v>
      </c>
      <c r="H861" s="60">
        <v>252.0</v>
      </c>
      <c r="I861" s="61" t="s">
        <v>105</v>
      </c>
      <c r="J861" s="50" t="s">
        <v>1056</v>
      </c>
      <c r="K861" s="29">
        <v>43790.0</v>
      </c>
      <c r="L861" s="30">
        <v>43804.0</v>
      </c>
      <c r="M861" s="557">
        <v>43770.0</v>
      </c>
      <c r="N861" s="21" t="s">
        <v>1833</v>
      </c>
      <c r="O861" s="21">
        <v>7623.0</v>
      </c>
      <c r="P861" s="556"/>
      <c r="Q861" s="30"/>
      <c r="R861" s="517">
        <v>30.465</v>
      </c>
      <c r="S861" s="21"/>
      <c r="T861" s="300">
        <v>43845.0</v>
      </c>
      <c r="U861" s="299"/>
      <c r="V861" s="299"/>
      <c r="W861" s="298" t="s">
        <v>50</v>
      </c>
      <c r="X861" s="298" t="s">
        <v>285</v>
      </c>
      <c r="Y861" s="298" t="s">
        <v>51</v>
      </c>
      <c r="Z861" s="298" t="s">
        <v>52</v>
      </c>
      <c r="AA861" s="459" t="s">
        <v>763</v>
      </c>
    </row>
    <row r="862" ht="15.75" customHeight="1">
      <c r="A862" s="69">
        <v>43767.0</v>
      </c>
      <c r="B862" s="70" t="s">
        <v>101</v>
      </c>
      <c r="C862" s="21" t="s">
        <v>1834</v>
      </c>
      <c r="D862" s="71" t="s">
        <v>1835</v>
      </c>
      <c r="E862" s="32" t="s">
        <v>1836</v>
      </c>
      <c r="F862" s="24">
        <v>2.0</v>
      </c>
      <c r="G862" s="48">
        <v>994.0</v>
      </c>
      <c r="H862" s="60">
        <v>1988.0</v>
      </c>
      <c r="I862" s="61" t="s">
        <v>105</v>
      </c>
      <c r="J862" s="50" t="s">
        <v>1056</v>
      </c>
      <c r="K862" s="29">
        <v>43790.0</v>
      </c>
      <c r="L862" s="462">
        <v>43804.0</v>
      </c>
      <c r="M862" s="305">
        <v>43782.0</v>
      </c>
      <c r="N862" s="306" t="s">
        <v>1837</v>
      </c>
      <c r="O862" s="306">
        <v>56612.0</v>
      </c>
      <c r="P862" s="306"/>
      <c r="Q862" s="298"/>
      <c r="R862" s="517">
        <v>30.465</v>
      </c>
      <c r="S862" s="299"/>
      <c r="T862" s="300">
        <v>43845.0</v>
      </c>
      <c r="U862" s="299"/>
      <c r="V862" s="299"/>
      <c r="W862" s="298" t="s">
        <v>50</v>
      </c>
      <c r="X862" s="298" t="s">
        <v>285</v>
      </c>
      <c r="Y862" s="298" t="s">
        <v>51</v>
      </c>
      <c r="Z862" s="298" t="s">
        <v>52</v>
      </c>
      <c r="AA862" s="459" t="s">
        <v>763</v>
      </c>
    </row>
    <row r="863" ht="15.75" customHeight="1">
      <c r="A863" s="69">
        <v>43768.0</v>
      </c>
      <c r="B863" s="23" t="s">
        <v>406</v>
      </c>
      <c r="C863" s="21">
        <v>7.000151353E9</v>
      </c>
      <c r="D863" s="71" t="s">
        <v>1838</v>
      </c>
      <c r="E863" s="32" t="s">
        <v>519</v>
      </c>
      <c r="F863" s="24">
        <v>1.0</v>
      </c>
      <c r="G863" s="48">
        <v>141.8</v>
      </c>
      <c r="H863" s="216">
        <v>141.8</v>
      </c>
      <c r="I863" s="61" t="s">
        <v>43</v>
      </c>
      <c r="J863" s="50" t="s">
        <v>513</v>
      </c>
      <c r="K863" s="30">
        <v>43774.0</v>
      </c>
      <c r="L863" s="558">
        <v>43861.0</v>
      </c>
      <c r="M863" s="559">
        <v>43770.0</v>
      </c>
      <c r="N863" s="306" t="s">
        <v>1839</v>
      </c>
      <c r="O863" s="517">
        <v>6262.0</v>
      </c>
      <c r="P863" s="306"/>
      <c r="Q863" s="560"/>
      <c r="R863" s="517">
        <v>30.52</v>
      </c>
      <c r="S863" s="299"/>
      <c r="T863" s="29">
        <v>43812.0</v>
      </c>
      <c r="U863" s="299"/>
      <c r="V863" s="299"/>
      <c r="W863" s="298" t="s">
        <v>50</v>
      </c>
      <c r="X863" s="298" t="s">
        <v>285</v>
      </c>
      <c r="Y863" s="298" t="s">
        <v>51</v>
      </c>
      <c r="Z863" s="298" t="s">
        <v>52</v>
      </c>
      <c r="AA863" s="459" t="s">
        <v>763</v>
      </c>
    </row>
    <row r="864" ht="15.75" customHeight="1">
      <c r="A864" s="69">
        <v>43768.0</v>
      </c>
      <c r="B864" s="23" t="s">
        <v>406</v>
      </c>
      <c r="C864" s="21">
        <v>7.000151353E9</v>
      </c>
      <c r="D864" s="71" t="s">
        <v>1838</v>
      </c>
      <c r="E864" s="32" t="s">
        <v>958</v>
      </c>
      <c r="F864" s="24">
        <v>1.0</v>
      </c>
      <c r="G864" s="48">
        <v>74.0</v>
      </c>
      <c r="H864" s="60">
        <v>74.0</v>
      </c>
      <c r="I864" s="61" t="s">
        <v>43</v>
      </c>
      <c r="J864" s="50" t="s">
        <v>513</v>
      </c>
      <c r="K864" s="30">
        <v>43774.0</v>
      </c>
      <c r="L864" s="462">
        <v>43861.0</v>
      </c>
      <c r="M864" s="462">
        <v>43770.0</v>
      </c>
      <c r="N864" s="306" t="s">
        <v>1839</v>
      </c>
      <c r="O864" s="306"/>
      <c r="P864" s="306"/>
      <c r="Q864" s="298"/>
      <c r="R864" s="306">
        <v>30.52</v>
      </c>
      <c r="S864" s="299"/>
      <c r="T864" s="29">
        <v>43812.0</v>
      </c>
      <c r="U864" s="299"/>
      <c r="V864" s="299"/>
      <c r="W864" s="298" t="s">
        <v>50</v>
      </c>
      <c r="X864" s="298" t="s">
        <v>285</v>
      </c>
      <c r="Y864" s="298" t="s">
        <v>51</v>
      </c>
      <c r="Z864" s="298" t="s">
        <v>52</v>
      </c>
      <c r="AA864" s="459" t="s">
        <v>763</v>
      </c>
    </row>
    <row r="865" ht="15.75" customHeight="1">
      <c r="A865" s="69">
        <v>43768.0</v>
      </c>
      <c r="B865" s="70" t="s">
        <v>223</v>
      </c>
      <c r="C865" s="21" t="s">
        <v>1840</v>
      </c>
      <c r="D865" s="71" t="s">
        <v>1841</v>
      </c>
      <c r="E865" s="32" t="s">
        <v>1842</v>
      </c>
      <c r="F865" s="24">
        <v>3.0</v>
      </c>
      <c r="G865" s="48">
        <v>434.7</v>
      </c>
      <c r="H865" s="60">
        <v>1304.1</v>
      </c>
      <c r="I865" s="61" t="s">
        <v>144</v>
      </c>
      <c r="J865" s="50" t="s">
        <v>90</v>
      </c>
      <c r="K865" s="30">
        <v>43788.0</v>
      </c>
      <c r="L865" s="561">
        <v>43830.0</v>
      </c>
      <c r="M865" s="562">
        <v>43785.0</v>
      </c>
      <c r="N865" s="306" t="s">
        <v>1843</v>
      </c>
      <c r="O865" s="563">
        <v>37885.0</v>
      </c>
      <c r="P865" s="306"/>
      <c r="Q865" s="560"/>
      <c r="R865" s="517">
        <v>30.49</v>
      </c>
      <c r="S865" s="299"/>
      <c r="T865" s="29">
        <v>43809.0</v>
      </c>
      <c r="U865" s="299"/>
      <c r="V865" s="299"/>
      <c r="W865" s="298" t="s">
        <v>50</v>
      </c>
      <c r="X865" s="298" t="s">
        <v>285</v>
      </c>
      <c r="Y865" s="298" t="s">
        <v>51</v>
      </c>
      <c r="Z865" s="298" t="s">
        <v>377</v>
      </c>
      <c r="AA865" s="459" t="s">
        <v>763</v>
      </c>
    </row>
    <row r="866" ht="15.75" customHeight="1">
      <c r="A866" s="69">
        <v>43768.0</v>
      </c>
      <c r="B866" s="70" t="s">
        <v>223</v>
      </c>
      <c r="C866" s="21" t="s">
        <v>1840</v>
      </c>
      <c r="D866" s="71" t="s">
        <v>1841</v>
      </c>
      <c r="E866" s="32" t="s">
        <v>1844</v>
      </c>
      <c r="F866" s="24">
        <v>12.0</v>
      </c>
      <c r="G866" s="48">
        <v>7.35</v>
      </c>
      <c r="H866" s="60">
        <v>88.19999999999999</v>
      </c>
      <c r="I866" s="61" t="s">
        <v>144</v>
      </c>
      <c r="J866" s="50" t="s">
        <v>90</v>
      </c>
      <c r="K866" s="30">
        <v>43788.0</v>
      </c>
      <c r="L866" s="305">
        <v>43830.0</v>
      </c>
      <c r="M866" s="305">
        <v>43785.0</v>
      </c>
      <c r="N866" s="306" t="s">
        <v>1843</v>
      </c>
      <c r="O866" s="406"/>
      <c r="P866" s="306"/>
      <c r="Q866" s="298"/>
      <c r="R866" s="306">
        <v>30.49</v>
      </c>
      <c r="S866" s="299"/>
      <c r="T866" s="29">
        <v>43809.0</v>
      </c>
      <c r="U866" s="299"/>
      <c r="V866" s="299"/>
      <c r="W866" s="298" t="s">
        <v>50</v>
      </c>
      <c r="X866" s="298" t="s">
        <v>285</v>
      </c>
      <c r="Y866" s="298" t="s">
        <v>51</v>
      </c>
      <c r="Z866" s="298" t="s">
        <v>377</v>
      </c>
      <c r="AA866" s="459" t="s">
        <v>763</v>
      </c>
    </row>
    <row r="867" ht="15.75" customHeight="1">
      <c r="A867" s="69">
        <v>43768.0</v>
      </c>
      <c r="B867" s="23" t="s">
        <v>213</v>
      </c>
      <c r="C867" s="21" t="s">
        <v>1845</v>
      </c>
      <c r="D867" s="71" t="s">
        <v>1846</v>
      </c>
      <c r="E867" s="32" t="s">
        <v>1847</v>
      </c>
      <c r="F867" s="24">
        <v>2.0</v>
      </c>
      <c r="G867" s="48">
        <v>226.0</v>
      </c>
      <c r="H867" s="60">
        <v>452.0</v>
      </c>
      <c r="I867" s="61" t="s">
        <v>144</v>
      </c>
      <c r="J867" s="58" t="s">
        <v>217</v>
      </c>
      <c r="K867" s="30">
        <v>43780.0</v>
      </c>
      <c r="L867" s="462">
        <v>43861.0</v>
      </c>
      <c r="M867" s="462">
        <v>43774.0</v>
      </c>
      <c r="N867" s="306" t="s">
        <v>1848</v>
      </c>
      <c r="O867" s="306">
        <v>42749.0</v>
      </c>
      <c r="P867" s="306"/>
      <c r="Q867" s="298"/>
      <c r="R867" s="306">
        <v>30.295</v>
      </c>
      <c r="S867" s="299"/>
      <c r="T867" s="300">
        <v>43773.0</v>
      </c>
      <c r="U867" s="299">
        <f>1516.41</f>
        <v>1516.41</v>
      </c>
      <c r="V867" s="299">
        <f>(1523-1516.41)*30.35</f>
        <v>200.0065</v>
      </c>
      <c r="W867" s="298" t="s">
        <v>50</v>
      </c>
      <c r="X867" s="298" t="s">
        <v>285</v>
      </c>
      <c r="Y867" s="298" t="s">
        <v>51</v>
      </c>
      <c r="Z867" s="298" t="s">
        <v>52</v>
      </c>
      <c r="AA867" s="459" t="s">
        <v>763</v>
      </c>
    </row>
    <row r="868" ht="15.75" customHeight="1">
      <c r="A868" s="69">
        <v>43768.0</v>
      </c>
      <c r="B868" s="23" t="s">
        <v>213</v>
      </c>
      <c r="C868" s="21" t="s">
        <v>1845</v>
      </c>
      <c r="D868" s="71" t="s">
        <v>1846</v>
      </c>
      <c r="E868" s="32" t="s">
        <v>1849</v>
      </c>
      <c r="F868" s="24">
        <v>2.0</v>
      </c>
      <c r="G868" s="48">
        <v>419.0</v>
      </c>
      <c r="H868" s="60">
        <v>838.0</v>
      </c>
      <c r="I868" s="61" t="s">
        <v>144</v>
      </c>
      <c r="J868" s="58" t="s">
        <v>217</v>
      </c>
      <c r="K868" s="30">
        <v>43780.0</v>
      </c>
      <c r="L868" s="462">
        <v>43861.0</v>
      </c>
      <c r="M868" s="462">
        <v>43774.0</v>
      </c>
      <c r="N868" s="306" t="s">
        <v>1848</v>
      </c>
      <c r="O868" s="306"/>
      <c r="P868" s="306"/>
      <c r="Q868" s="298"/>
      <c r="R868" s="306">
        <v>30.295</v>
      </c>
      <c r="S868" s="299"/>
      <c r="T868" s="300">
        <v>43773.0</v>
      </c>
      <c r="U868" s="299"/>
      <c r="V868" s="299"/>
      <c r="W868" s="298" t="s">
        <v>50</v>
      </c>
      <c r="X868" s="298" t="s">
        <v>285</v>
      </c>
      <c r="Y868" s="298" t="s">
        <v>51</v>
      </c>
      <c r="Z868" s="298" t="s">
        <v>52</v>
      </c>
      <c r="AA868" s="459" t="s">
        <v>763</v>
      </c>
    </row>
    <row r="869" ht="15.75" customHeight="1">
      <c r="A869" s="69">
        <v>43768.0</v>
      </c>
      <c r="B869" s="23" t="s">
        <v>213</v>
      </c>
      <c r="C869" s="21" t="s">
        <v>1845</v>
      </c>
      <c r="D869" s="71" t="s">
        <v>1846</v>
      </c>
      <c r="E869" s="32" t="s">
        <v>1850</v>
      </c>
      <c r="F869" s="24">
        <v>2.0</v>
      </c>
      <c r="G869" s="48">
        <v>104.0</v>
      </c>
      <c r="H869" s="60">
        <v>208.0</v>
      </c>
      <c r="I869" s="61" t="s">
        <v>144</v>
      </c>
      <c r="J869" s="58" t="s">
        <v>217</v>
      </c>
      <c r="K869" s="30">
        <v>43780.0</v>
      </c>
      <c r="L869" s="462">
        <v>43861.0</v>
      </c>
      <c r="M869" s="462">
        <v>43774.0</v>
      </c>
      <c r="N869" s="306" t="s">
        <v>1848</v>
      </c>
      <c r="O869" s="306"/>
      <c r="P869" s="306"/>
      <c r="Q869" s="298"/>
      <c r="R869" s="306">
        <v>30.295</v>
      </c>
      <c r="S869" s="299"/>
      <c r="T869" s="300">
        <v>43773.0</v>
      </c>
      <c r="U869" s="299"/>
      <c r="V869" s="299"/>
      <c r="W869" s="298" t="s">
        <v>50</v>
      </c>
      <c r="X869" s="298" t="s">
        <v>285</v>
      </c>
      <c r="Y869" s="298" t="s">
        <v>51</v>
      </c>
      <c r="Z869" s="298" t="s">
        <v>52</v>
      </c>
      <c r="AA869" s="459" t="s">
        <v>763</v>
      </c>
    </row>
    <row r="870" ht="15.75" customHeight="1">
      <c r="A870" s="69">
        <v>43768.0</v>
      </c>
      <c r="B870" s="23" t="s">
        <v>213</v>
      </c>
      <c r="C870" s="21" t="s">
        <v>1845</v>
      </c>
      <c r="D870" s="71" t="s">
        <v>1846</v>
      </c>
      <c r="E870" s="32" t="s">
        <v>1851</v>
      </c>
      <c r="F870" s="24">
        <v>1.0</v>
      </c>
      <c r="G870" s="48">
        <v>25.0</v>
      </c>
      <c r="H870" s="60">
        <v>25.0</v>
      </c>
      <c r="I870" s="61" t="s">
        <v>144</v>
      </c>
      <c r="J870" s="58" t="s">
        <v>217</v>
      </c>
      <c r="K870" s="30">
        <v>43780.0</v>
      </c>
      <c r="L870" s="306"/>
      <c r="M870" s="306"/>
      <c r="N870" s="306"/>
      <c r="O870" s="306"/>
      <c r="P870" s="306"/>
      <c r="Q870" s="298"/>
      <c r="R870" s="306">
        <v>30.295</v>
      </c>
      <c r="S870" s="299"/>
      <c r="T870" s="300">
        <v>43773.0</v>
      </c>
      <c r="U870" s="299"/>
      <c r="V870" s="299"/>
      <c r="W870" s="298" t="s">
        <v>50</v>
      </c>
      <c r="X870" s="298" t="s">
        <v>285</v>
      </c>
      <c r="Y870" s="298" t="s">
        <v>51</v>
      </c>
      <c r="Z870" s="298" t="s">
        <v>52</v>
      </c>
      <c r="AA870" s="459" t="s">
        <v>763</v>
      </c>
    </row>
    <row r="871" ht="15.75" customHeight="1">
      <c r="A871" s="69">
        <v>43769.0</v>
      </c>
      <c r="B871" s="70" t="s">
        <v>1537</v>
      </c>
      <c r="C871" s="21" t="s">
        <v>1852</v>
      </c>
      <c r="D871" s="71" t="s">
        <v>1853</v>
      </c>
      <c r="E871" s="32" t="s">
        <v>1854</v>
      </c>
      <c r="F871" s="24">
        <v>2.0</v>
      </c>
      <c r="G871" s="48">
        <v>155.4</v>
      </c>
      <c r="H871" s="60">
        <v>310.8</v>
      </c>
      <c r="I871" s="61" t="s">
        <v>1855</v>
      </c>
      <c r="J871" s="58" t="s">
        <v>1164</v>
      </c>
      <c r="K871" s="145">
        <v>43773.0</v>
      </c>
      <c r="L871" s="306"/>
      <c r="M871" s="306"/>
      <c r="N871" s="306"/>
      <c r="O871" s="306"/>
      <c r="P871" s="306"/>
      <c r="Q871" s="298"/>
      <c r="R871" s="306">
        <v>30.44</v>
      </c>
      <c r="S871" s="299"/>
      <c r="T871" s="300">
        <v>43833.0</v>
      </c>
      <c r="U871" s="299">
        <v>14181.0</v>
      </c>
      <c r="V871" s="299">
        <v>15.0</v>
      </c>
      <c r="W871" s="298" t="s">
        <v>50</v>
      </c>
      <c r="X871" s="298" t="s">
        <v>285</v>
      </c>
      <c r="Y871" s="298" t="s">
        <v>51</v>
      </c>
      <c r="Z871" s="298" t="s">
        <v>377</v>
      </c>
      <c r="AA871" s="459" t="s">
        <v>763</v>
      </c>
    </row>
    <row r="872" ht="15.75" customHeight="1">
      <c r="A872" s="95">
        <v>43769.0</v>
      </c>
      <c r="B872" s="564" t="s">
        <v>1537</v>
      </c>
      <c r="C872" s="97" t="s">
        <v>1852</v>
      </c>
      <c r="D872" s="98" t="s">
        <v>1853</v>
      </c>
      <c r="E872" s="99" t="s">
        <v>1854</v>
      </c>
      <c r="F872" s="100">
        <v>1.0</v>
      </c>
      <c r="G872" s="101">
        <v>155.4</v>
      </c>
      <c r="H872" s="102">
        <v>155.4</v>
      </c>
      <c r="I872" s="61" t="s">
        <v>1855</v>
      </c>
      <c r="J872" s="58" t="s">
        <v>1164</v>
      </c>
      <c r="K872" s="145">
        <v>43773.0</v>
      </c>
      <c r="L872" s="306"/>
      <c r="M872" s="306"/>
      <c r="N872" s="306"/>
      <c r="O872" s="306"/>
      <c r="P872" s="306"/>
      <c r="Q872" s="298"/>
      <c r="R872" s="306">
        <v>30.47</v>
      </c>
      <c r="S872" s="299"/>
      <c r="T872" s="300">
        <v>43833.0</v>
      </c>
      <c r="U872" s="299"/>
      <c r="V872" s="299"/>
      <c r="W872" s="298" t="s">
        <v>50</v>
      </c>
      <c r="X872" s="298" t="s">
        <v>285</v>
      </c>
      <c r="Y872" s="298" t="s">
        <v>51</v>
      </c>
      <c r="Z872" s="298" t="s">
        <v>377</v>
      </c>
      <c r="AA872" s="459" t="s">
        <v>763</v>
      </c>
    </row>
    <row r="873" ht="15.75" customHeight="1">
      <c r="A873" s="69">
        <v>43769.0</v>
      </c>
      <c r="B873" s="144" t="s">
        <v>1856</v>
      </c>
      <c r="C873" s="21" t="s">
        <v>1857</v>
      </c>
      <c r="D873" s="71" t="s">
        <v>1858</v>
      </c>
      <c r="E873" s="32" t="s">
        <v>1859</v>
      </c>
      <c r="F873" s="24">
        <v>1.0</v>
      </c>
      <c r="G873" s="48">
        <v>25.0</v>
      </c>
      <c r="H873" s="60">
        <v>25.0</v>
      </c>
      <c r="I873" s="61" t="s">
        <v>144</v>
      </c>
      <c r="J873" s="58" t="s">
        <v>1860</v>
      </c>
      <c r="K873" s="30">
        <v>43783.0</v>
      </c>
      <c r="L873" s="306"/>
      <c r="M873" s="306"/>
      <c r="N873" s="306"/>
      <c r="O873" s="306"/>
      <c r="P873" s="306"/>
      <c r="Q873" s="298"/>
      <c r="R873" s="306"/>
      <c r="S873" s="299"/>
      <c r="T873" s="300">
        <v>43777.0</v>
      </c>
      <c r="U873" s="299"/>
      <c r="V873" s="299"/>
      <c r="W873" s="298" t="s">
        <v>50</v>
      </c>
      <c r="X873" s="298" t="s">
        <v>285</v>
      </c>
      <c r="Y873" s="298" t="s">
        <v>286</v>
      </c>
      <c r="Z873" s="298" t="s">
        <v>52</v>
      </c>
      <c r="AA873" s="459" t="s">
        <v>763</v>
      </c>
    </row>
    <row r="874" ht="15.75" customHeight="1">
      <c r="A874" s="69">
        <v>43769.0</v>
      </c>
      <c r="B874" s="144" t="s">
        <v>1856</v>
      </c>
      <c r="C874" s="21" t="s">
        <v>1857</v>
      </c>
      <c r="D874" s="72" t="s">
        <v>1861</v>
      </c>
      <c r="E874" s="32" t="s">
        <v>1862</v>
      </c>
      <c r="F874" s="24">
        <v>33.0</v>
      </c>
      <c r="G874" s="48">
        <v>212.0</v>
      </c>
      <c r="H874" s="60">
        <v>6996.0</v>
      </c>
      <c r="I874" s="61" t="s">
        <v>144</v>
      </c>
      <c r="J874" s="58" t="s">
        <v>1860</v>
      </c>
      <c r="K874" s="565">
        <v>43783.0</v>
      </c>
      <c r="L874" s="306"/>
      <c r="M874" s="306"/>
      <c r="N874" s="306"/>
      <c r="O874" s="306"/>
      <c r="P874" s="306"/>
      <c r="Q874" s="298"/>
      <c r="R874" s="306"/>
      <c r="S874" s="299"/>
      <c r="T874" s="300">
        <v>43777.0</v>
      </c>
      <c r="U874" s="299">
        <f>6979.4*30.3</f>
        <v>211475.82</v>
      </c>
      <c r="V874" s="299">
        <f>(7021-6979.4)*30.3</f>
        <v>1260.48</v>
      </c>
      <c r="W874" s="298" t="s">
        <v>50</v>
      </c>
      <c r="X874" s="298" t="s">
        <v>285</v>
      </c>
      <c r="Y874" s="298" t="s">
        <v>286</v>
      </c>
      <c r="Z874" s="298" t="s">
        <v>52</v>
      </c>
      <c r="AA874" s="459" t="s">
        <v>763</v>
      </c>
    </row>
    <row r="875" ht="15.75" customHeight="1">
      <c r="A875" s="69">
        <v>43770.0</v>
      </c>
      <c r="B875" s="144" t="s">
        <v>1649</v>
      </c>
      <c r="C875" s="21"/>
      <c r="D875" s="112" t="s">
        <v>1863</v>
      </c>
      <c r="E875" s="32" t="s">
        <v>1864</v>
      </c>
      <c r="F875" s="24">
        <v>1.0</v>
      </c>
      <c r="G875" s="74">
        <v>1450.0</v>
      </c>
      <c r="H875" s="60">
        <v>1450.0</v>
      </c>
      <c r="I875" s="61" t="s">
        <v>248</v>
      </c>
      <c r="J875" s="50" t="s">
        <v>1663</v>
      </c>
      <c r="K875" s="298"/>
      <c r="L875" s="306"/>
      <c r="M875" s="306"/>
      <c r="N875" s="306"/>
      <c r="O875" s="306"/>
      <c r="P875" s="306"/>
      <c r="Q875" s="298"/>
      <c r="R875" s="306"/>
      <c r="S875" s="299"/>
      <c r="T875" s="300">
        <v>43467.0</v>
      </c>
      <c r="U875" s="299">
        <f>1428.33*29.988</f>
        <v>42832.76004</v>
      </c>
      <c r="V875" s="299">
        <f>(1450-1428.33)*29.988</f>
        <v>649.83996</v>
      </c>
      <c r="W875" s="298" t="s">
        <v>50</v>
      </c>
      <c r="X875" s="298" t="s">
        <v>285</v>
      </c>
      <c r="Y875" s="298" t="s">
        <v>286</v>
      </c>
      <c r="Z875" s="298" t="s">
        <v>52</v>
      </c>
      <c r="AA875" s="298" t="s">
        <v>1371</v>
      </c>
    </row>
    <row r="876" ht="15.75" customHeight="1">
      <c r="A876" s="69">
        <v>43773.0</v>
      </c>
      <c r="B876" s="70" t="s">
        <v>1112</v>
      </c>
      <c r="C876" s="21"/>
      <c r="D876" s="71" t="s">
        <v>1865</v>
      </c>
      <c r="E876" s="32" t="s">
        <v>1866</v>
      </c>
      <c r="F876" s="24">
        <v>1.0</v>
      </c>
      <c r="G876" s="48">
        <v>960.0</v>
      </c>
      <c r="H876" s="165">
        <v>960.0</v>
      </c>
      <c r="I876" s="61" t="s">
        <v>144</v>
      </c>
      <c r="J876" s="50" t="s">
        <v>263</v>
      </c>
      <c r="K876" s="29">
        <v>43790.0</v>
      </c>
      <c r="L876" s="462">
        <v>43861.0</v>
      </c>
      <c r="M876" s="305">
        <v>43787.0</v>
      </c>
      <c r="N876" s="306" t="s">
        <v>1867</v>
      </c>
      <c r="O876" s="306">
        <v>28406.0</v>
      </c>
      <c r="P876" s="306"/>
      <c r="Q876" s="298"/>
      <c r="R876" s="306">
        <v>30.465</v>
      </c>
      <c r="S876" s="299"/>
      <c r="T876" s="300">
        <v>43774.0</v>
      </c>
      <c r="U876" s="299">
        <f>942.41*30.366</f>
        <v>28617.22206</v>
      </c>
      <c r="V876" s="299">
        <f>(960-942.41)*30.366</f>
        <v>534.13794</v>
      </c>
      <c r="W876" s="298" t="s">
        <v>50</v>
      </c>
      <c r="X876" s="298" t="s">
        <v>285</v>
      </c>
      <c r="Y876" s="298" t="s">
        <v>51</v>
      </c>
      <c r="Z876" s="298" t="s">
        <v>52</v>
      </c>
      <c r="AA876" s="459" t="s">
        <v>763</v>
      </c>
    </row>
    <row r="877" ht="15.75" customHeight="1">
      <c r="A877" s="69">
        <v>43774.0</v>
      </c>
      <c r="B877" s="70" t="s">
        <v>631</v>
      </c>
      <c r="C877" s="21" t="s">
        <v>1868</v>
      </c>
      <c r="D877" s="71" t="s">
        <v>1869</v>
      </c>
      <c r="E877" s="32" t="s">
        <v>634</v>
      </c>
      <c r="F877" s="24">
        <v>19.0</v>
      </c>
      <c r="G877" s="48">
        <v>173.25</v>
      </c>
      <c r="H877" s="60">
        <v>3291.75</v>
      </c>
      <c r="I877" s="61" t="s">
        <v>144</v>
      </c>
      <c r="J877" s="50" t="s">
        <v>1089</v>
      </c>
      <c r="K877" s="30">
        <v>43795.0</v>
      </c>
      <c r="L877" s="462">
        <v>43835.0</v>
      </c>
      <c r="M877" s="305">
        <v>43795.0</v>
      </c>
      <c r="N877" s="306" t="s">
        <v>1870</v>
      </c>
      <c r="O877" s="306">
        <v>96758.0</v>
      </c>
      <c r="P877" s="306"/>
      <c r="Q877" s="298"/>
      <c r="R877" s="306"/>
      <c r="S877" s="299"/>
      <c r="T877" s="300">
        <v>43840.0</v>
      </c>
      <c r="U877" s="299">
        <v>100398.0</v>
      </c>
      <c r="V877" s="299">
        <v>0.0</v>
      </c>
      <c r="W877" s="298" t="s">
        <v>50</v>
      </c>
      <c r="X877" s="298" t="s">
        <v>285</v>
      </c>
      <c r="Y877" s="298" t="s">
        <v>51</v>
      </c>
      <c r="Z877" s="298" t="s">
        <v>377</v>
      </c>
      <c r="AA877" s="459" t="s">
        <v>763</v>
      </c>
    </row>
    <row r="878" ht="15.75" customHeight="1">
      <c r="A878" s="69">
        <v>43774.0</v>
      </c>
      <c r="B878" s="70" t="s">
        <v>101</v>
      </c>
      <c r="C878" s="21" t="s">
        <v>1871</v>
      </c>
      <c r="D878" s="71" t="s">
        <v>1872</v>
      </c>
      <c r="E878" s="32" t="s">
        <v>1873</v>
      </c>
      <c r="F878" s="24">
        <v>1.0</v>
      </c>
      <c r="G878" s="48">
        <v>355.0</v>
      </c>
      <c r="H878" s="60">
        <v>355.0</v>
      </c>
      <c r="I878" s="61" t="s">
        <v>105</v>
      </c>
      <c r="J878" s="50" t="s">
        <v>1056</v>
      </c>
      <c r="K878" s="29">
        <v>43790.0</v>
      </c>
      <c r="L878" s="305">
        <v>43830.0</v>
      </c>
      <c r="M878" s="305">
        <v>43780.0</v>
      </c>
      <c r="N878" s="306" t="s">
        <v>1823</v>
      </c>
      <c r="O878" s="21"/>
      <c r="P878" s="306"/>
      <c r="Q878" s="298"/>
      <c r="R878" s="306"/>
      <c r="S878" s="299"/>
      <c r="T878" s="300">
        <v>43845.0</v>
      </c>
      <c r="U878" s="299"/>
      <c r="V878" s="299"/>
      <c r="W878" s="298" t="s">
        <v>50</v>
      </c>
      <c r="X878" s="298" t="s">
        <v>285</v>
      </c>
      <c r="Y878" s="298" t="s">
        <v>51</v>
      </c>
      <c r="Z878" s="298" t="s">
        <v>52</v>
      </c>
      <c r="AA878" s="459" t="s">
        <v>763</v>
      </c>
    </row>
    <row r="879" ht="15.75" customHeight="1">
      <c r="A879" s="69">
        <v>43777.0</v>
      </c>
      <c r="B879" s="70" t="s">
        <v>119</v>
      </c>
      <c r="C879" s="21">
        <v>1672019.0</v>
      </c>
      <c r="D879" s="21" t="s">
        <v>120</v>
      </c>
      <c r="E879" s="23" t="s">
        <v>162</v>
      </c>
      <c r="F879" s="24">
        <v>8.0</v>
      </c>
      <c r="G879" s="48">
        <v>738.0</v>
      </c>
      <c r="H879" s="26">
        <v>5904.0</v>
      </c>
      <c r="I879" s="132" t="s">
        <v>1855</v>
      </c>
      <c r="J879" s="82" t="s">
        <v>122</v>
      </c>
      <c r="K879" s="29">
        <v>43795.0</v>
      </c>
      <c r="L879" s="306"/>
      <c r="M879" s="306"/>
      <c r="N879" s="306"/>
      <c r="O879" s="306"/>
      <c r="P879" s="306"/>
      <c r="Q879" s="298"/>
      <c r="R879" s="298"/>
      <c r="S879" s="299"/>
      <c r="T879" s="300">
        <v>43840.0</v>
      </c>
      <c r="U879" s="299">
        <f>36993.49*29.927</f>
        <v>1107104.175</v>
      </c>
      <c r="V879" s="299">
        <f>(37024-36993.49)*29.927</f>
        <v>913.07277</v>
      </c>
      <c r="W879" s="298" t="s">
        <v>50</v>
      </c>
      <c r="X879" s="298" t="s">
        <v>285</v>
      </c>
      <c r="Y879" s="298" t="s">
        <v>51</v>
      </c>
      <c r="Z879" s="298" t="s">
        <v>52</v>
      </c>
      <c r="AA879" s="298" t="s">
        <v>1371</v>
      </c>
    </row>
    <row r="880" ht="15.75" customHeight="1">
      <c r="A880" s="69">
        <v>43777.0</v>
      </c>
      <c r="B880" s="70" t="s">
        <v>119</v>
      </c>
      <c r="C880" s="21">
        <v>1672019.0</v>
      </c>
      <c r="D880" s="21" t="s">
        <v>120</v>
      </c>
      <c r="E880" s="23" t="s">
        <v>165</v>
      </c>
      <c r="F880" s="24">
        <v>120.0</v>
      </c>
      <c r="G880" s="48">
        <v>105.0</v>
      </c>
      <c r="H880" s="26">
        <v>12600.0</v>
      </c>
      <c r="I880" s="132" t="s">
        <v>1855</v>
      </c>
      <c r="J880" s="82" t="s">
        <v>122</v>
      </c>
      <c r="K880" s="29">
        <v>43795.0</v>
      </c>
      <c r="L880" s="306"/>
      <c r="M880" s="306"/>
      <c r="N880" s="306"/>
      <c r="O880" s="306"/>
      <c r="P880" s="306"/>
      <c r="Q880" s="298"/>
      <c r="R880" s="298"/>
      <c r="S880" s="299"/>
      <c r="T880" s="298" t="s">
        <v>1874</v>
      </c>
      <c r="U880" s="299">
        <f>10935.35*30.094</f>
        <v>329088.4229</v>
      </c>
      <c r="V880" s="299">
        <f>(10954-10935.35)</f>
        <v>18.65</v>
      </c>
      <c r="W880" s="298" t="s">
        <v>50</v>
      </c>
      <c r="X880" s="298" t="s">
        <v>285</v>
      </c>
      <c r="Y880" s="298" t="s">
        <v>51</v>
      </c>
      <c r="Z880" s="298" t="s">
        <v>52</v>
      </c>
      <c r="AA880" s="298" t="s">
        <v>1371</v>
      </c>
    </row>
    <row r="881" ht="15.75" customHeight="1">
      <c r="A881" s="69">
        <v>43777.0</v>
      </c>
      <c r="B881" s="70" t="s">
        <v>119</v>
      </c>
      <c r="C881" s="21">
        <v>1672019.0</v>
      </c>
      <c r="D881" s="71" t="s">
        <v>120</v>
      </c>
      <c r="E881" s="32" t="s">
        <v>1875</v>
      </c>
      <c r="F881" s="24">
        <v>6.0</v>
      </c>
      <c r="G881" s="48">
        <v>335.0</v>
      </c>
      <c r="H881" s="26">
        <v>2010.0</v>
      </c>
      <c r="I881" s="132" t="s">
        <v>1855</v>
      </c>
      <c r="J881" s="82" t="s">
        <v>122</v>
      </c>
      <c r="K881" s="29">
        <v>43795.0</v>
      </c>
      <c r="L881" s="306"/>
      <c r="M881" s="306"/>
      <c r="N881" s="306"/>
      <c r="O881" s="306"/>
      <c r="P881" s="306"/>
      <c r="Q881" s="298"/>
      <c r="R881" s="298"/>
      <c r="S881" s="299"/>
      <c r="T881" s="300">
        <v>43840.0</v>
      </c>
      <c r="U881" s="299"/>
      <c r="V881" s="299"/>
      <c r="W881" s="298" t="s">
        <v>50</v>
      </c>
      <c r="X881" s="298" t="s">
        <v>285</v>
      </c>
      <c r="Y881" s="298" t="s">
        <v>51</v>
      </c>
      <c r="Z881" s="298" t="s">
        <v>52</v>
      </c>
      <c r="AA881" s="298" t="s">
        <v>1371</v>
      </c>
    </row>
    <row r="882" ht="15.75" customHeight="1">
      <c r="A882" s="69">
        <v>43777.0</v>
      </c>
      <c r="B882" s="70" t="s">
        <v>119</v>
      </c>
      <c r="C882" s="21">
        <v>1672019.0</v>
      </c>
      <c r="D882" s="71" t="s">
        <v>120</v>
      </c>
      <c r="E882" s="32" t="s">
        <v>164</v>
      </c>
      <c r="F882" s="24">
        <v>10.0</v>
      </c>
      <c r="G882" s="48">
        <v>44.0</v>
      </c>
      <c r="H882" s="26">
        <v>440.0</v>
      </c>
      <c r="I882" s="132" t="s">
        <v>1855</v>
      </c>
      <c r="J882" s="82" t="s">
        <v>122</v>
      </c>
      <c r="K882" s="29">
        <v>43795.0</v>
      </c>
      <c r="L882" s="306"/>
      <c r="M882" s="306"/>
      <c r="N882" s="306"/>
      <c r="O882" s="306"/>
      <c r="P882" s="306"/>
      <c r="Q882" s="298"/>
      <c r="R882" s="298"/>
      <c r="S882" s="299"/>
      <c r="T882" s="300">
        <v>43840.0</v>
      </c>
      <c r="U882" s="299"/>
      <c r="V882" s="299"/>
      <c r="W882" s="298" t="s">
        <v>50</v>
      </c>
      <c r="X882" s="298" t="s">
        <v>285</v>
      </c>
      <c r="Y882" s="298" t="s">
        <v>51</v>
      </c>
      <c r="Z882" s="298" t="s">
        <v>52</v>
      </c>
      <c r="AA882" s="298" t="s">
        <v>1371</v>
      </c>
    </row>
    <row r="883" ht="15.75" customHeight="1">
      <c r="A883" s="69">
        <v>43777.0</v>
      </c>
      <c r="B883" s="70" t="s">
        <v>119</v>
      </c>
      <c r="C883" s="21">
        <v>1672019.0</v>
      </c>
      <c r="D883" s="71" t="s">
        <v>120</v>
      </c>
      <c r="E883" s="32" t="s">
        <v>121</v>
      </c>
      <c r="F883" s="24">
        <v>56.0</v>
      </c>
      <c r="G883" s="48">
        <v>359.0</v>
      </c>
      <c r="H883" s="60">
        <v>20104.0</v>
      </c>
      <c r="I883" s="132" t="s">
        <v>1855</v>
      </c>
      <c r="J883" s="82" t="s">
        <v>122</v>
      </c>
      <c r="K883" s="30">
        <v>43825.0</v>
      </c>
      <c r="L883" s="306"/>
      <c r="M883" s="306"/>
      <c r="N883" s="306"/>
      <c r="O883" s="306"/>
      <c r="P883" s="306"/>
      <c r="Q883" s="306"/>
      <c r="R883" s="299"/>
      <c r="S883" s="539"/>
      <c r="T883" s="300">
        <v>43840.0</v>
      </c>
      <c r="U883" s="299"/>
      <c r="V883" s="299"/>
      <c r="W883" s="298" t="s">
        <v>50</v>
      </c>
      <c r="X883" s="298" t="s">
        <v>285</v>
      </c>
      <c r="Y883" s="298" t="s">
        <v>51</v>
      </c>
      <c r="Z883" s="298" t="s">
        <v>52</v>
      </c>
      <c r="AA883" s="298" t="s">
        <v>1371</v>
      </c>
    </row>
    <row r="884" ht="15.75" customHeight="1">
      <c r="A884" s="69">
        <v>43777.0</v>
      </c>
      <c r="B884" s="70" t="s">
        <v>119</v>
      </c>
      <c r="C884" s="21">
        <v>1672019.0</v>
      </c>
      <c r="D884" s="71" t="s">
        <v>120</v>
      </c>
      <c r="E884" s="32" t="s">
        <v>163</v>
      </c>
      <c r="F884" s="24">
        <v>5.0</v>
      </c>
      <c r="G884" s="48">
        <v>190.0</v>
      </c>
      <c r="H884" s="60">
        <v>950.0</v>
      </c>
      <c r="I884" s="132" t="s">
        <v>1855</v>
      </c>
      <c r="J884" s="82" t="s">
        <v>122</v>
      </c>
      <c r="K884" s="30">
        <v>43825.0</v>
      </c>
      <c r="L884" s="306"/>
      <c r="M884" s="306"/>
      <c r="N884" s="306"/>
      <c r="O884" s="306"/>
      <c r="P884" s="306"/>
      <c r="Q884" s="306"/>
      <c r="R884" s="299"/>
      <c r="S884" s="539"/>
      <c r="T884" s="300">
        <v>43840.0</v>
      </c>
      <c r="U884" s="299"/>
      <c r="V884" s="299"/>
      <c r="W884" s="298" t="s">
        <v>50</v>
      </c>
      <c r="X884" s="298" t="s">
        <v>285</v>
      </c>
      <c r="Y884" s="298" t="s">
        <v>51</v>
      </c>
      <c r="Z884" s="298" t="s">
        <v>52</v>
      </c>
      <c r="AA884" s="298" t="s">
        <v>1371</v>
      </c>
    </row>
    <row r="885" ht="15.75" customHeight="1">
      <c r="A885" s="69">
        <v>43777.0</v>
      </c>
      <c r="B885" s="70" t="s">
        <v>119</v>
      </c>
      <c r="C885" s="21">
        <v>1672019.0</v>
      </c>
      <c r="D885" s="71" t="s">
        <v>120</v>
      </c>
      <c r="E885" s="32" t="s">
        <v>1876</v>
      </c>
      <c r="F885" s="24">
        <v>20.0</v>
      </c>
      <c r="G885" s="48">
        <v>485.0</v>
      </c>
      <c r="H885" s="60">
        <v>9700.0</v>
      </c>
      <c r="I885" s="132" t="s">
        <v>1855</v>
      </c>
      <c r="J885" s="82" t="s">
        <v>122</v>
      </c>
      <c r="K885" s="30">
        <v>43825.0</v>
      </c>
      <c r="L885" s="306"/>
      <c r="M885" s="306"/>
      <c r="N885" s="306"/>
      <c r="O885" s="306"/>
      <c r="P885" s="306"/>
      <c r="Q885" s="306"/>
      <c r="R885" s="299"/>
      <c r="S885" s="539"/>
      <c r="T885" s="300">
        <v>43850.0</v>
      </c>
      <c r="U885" s="299">
        <f>9981.31*29.889</f>
        <v>298331.3746</v>
      </c>
      <c r="V885" s="299">
        <f>(10000-9981.31)*29.889</f>
        <v>558.62541</v>
      </c>
      <c r="W885" s="298" t="s">
        <v>50</v>
      </c>
      <c r="X885" s="298" t="s">
        <v>285</v>
      </c>
      <c r="Y885" s="298" t="s">
        <v>51</v>
      </c>
      <c r="Z885" s="298" t="s">
        <v>52</v>
      </c>
      <c r="AA885" s="298" t="s">
        <v>1371</v>
      </c>
    </row>
    <row r="886" ht="15.75" customHeight="1">
      <c r="A886" s="69">
        <v>43777.0</v>
      </c>
      <c r="B886" s="70" t="s">
        <v>119</v>
      </c>
      <c r="C886" s="21">
        <v>1672019.0</v>
      </c>
      <c r="D886" s="71" t="s">
        <v>120</v>
      </c>
      <c r="E886" s="32" t="s">
        <v>152</v>
      </c>
      <c r="F886" s="24">
        <v>6.0</v>
      </c>
      <c r="G886" s="48">
        <v>1045.0</v>
      </c>
      <c r="H886" s="60">
        <v>6270.0</v>
      </c>
      <c r="I886" s="132" t="s">
        <v>1855</v>
      </c>
      <c r="J886" s="82" t="s">
        <v>122</v>
      </c>
      <c r="K886" s="30">
        <v>43825.0</v>
      </c>
      <c r="L886" s="306"/>
      <c r="M886" s="306"/>
      <c r="N886" s="306"/>
      <c r="O886" s="306"/>
      <c r="P886" s="306"/>
      <c r="Q886" s="306"/>
      <c r="R886" s="299"/>
      <c r="S886" s="539"/>
      <c r="T886" s="300">
        <v>43840.0</v>
      </c>
      <c r="U886" s="299"/>
      <c r="V886" s="299"/>
      <c r="W886" s="298" t="s">
        <v>50</v>
      </c>
      <c r="X886" s="298" t="s">
        <v>285</v>
      </c>
      <c r="Y886" s="298" t="s">
        <v>51</v>
      </c>
      <c r="Z886" s="298" t="s">
        <v>52</v>
      </c>
      <c r="AA886" s="298" t="s">
        <v>1371</v>
      </c>
    </row>
    <row r="887" ht="15.75" customHeight="1">
      <c r="A887" s="69">
        <v>43781.0</v>
      </c>
      <c r="B887" s="144" t="s">
        <v>167</v>
      </c>
      <c r="C887" s="21"/>
      <c r="D887" s="71" t="s">
        <v>1877</v>
      </c>
      <c r="E887" s="566" t="s">
        <v>1878</v>
      </c>
      <c r="F887" s="24">
        <v>3.0</v>
      </c>
      <c r="G887" s="48">
        <v>1429.0</v>
      </c>
      <c r="H887" s="60">
        <v>4287.0</v>
      </c>
      <c r="I887" s="27" t="s">
        <v>171</v>
      </c>
      <c r="J887" s="58" t="s">
        <v>172</v>
      </c>
      <c r="K887" s="29">
        <v>43811.0</v>
      </c>
      <c r="L887" s="306"/>
      <c r="M887" s="306"/>
      <c r="N887" s="306"/>
      <c r="O887" s="306"/>
      <c r="P887" s="306"/>
      <c r="Q887" s="298"/>
      <c r="R887" s="306"/>
      <c r="S887" s="299"/>
      <c r="T887" s="29">
        <v>43797.0</v>
      </c>
      <c r="U887" s="299"/>
      <c r="V887" s="299"/>
      <c r="W887" s="298" t="s">
        <v>50</v>
      </c>
      <c r="X887" s="298" t="s">
        <v>285</v>
      </c>
      <c r="Y887" s="298" t="s">
        <v>286</v>
      </c>
      <c r="Z887" s="298" t="s">
        <v>52</v>
      </c>
      <c r="AA887" s="298" t="s">
        <v>1371</v>
      </c>
    </row>
    <row r="888" ht="15.75" customHeight="1">
      <c r="A888" s="69">
        <v>43781.0</v>
      </c>
      <c r="B888" s="144" t="s">
        <v>167</v>
      </c>
      <c r="C888" s="21"/>
      <c r="D888" s="71" t="s">
        <v>1877</v>
      </c>
      <c r="E888" s="32" t="s">
        <v>174</v>
      </c>
      <c r="F888" s="24">
        <v>3.0</v>
      </c>
      <c r="G888" s="48">
        <v>72.0</v>
      </c>
      <c r="H888" s="60">
        <v>216.0</v>
      </c>
      <c r="I888" s="27" t="s">
        <v>171</v>
      </c>
      <c r="J888" s="58" t="s">
        <v>172</v>
      </c>
      <c r="K888" s="29">
        <v>43811.0</v>
      </c>
      <c r="L888" s="306"/>
      <c r="M888" s="306"/>
      <c r="N888" s="306"/>
      <c r="O888" s="306"/>
      <c r="P888" s="306"/>
      <c r="Q888" s="298"/>
      <c r="R888" s="306"/>
      <c r="S888" s="299"/>
      <c r="T888" s="29">
        <v>43797.0</v>
      </c>
      <c r="U888" s="299"/>
      <c r="V888" s="299"/>
      <c r="W888" s="298" t="s">
        <v>50</v>
      </c>
      <c r="X888" s="298" t="s">
        <v>285</v>
      </c>
      <c r="Y888" s="298" t="s">
        <v>286</v>
      </c>
      <c r="Z888" s="298" t="s">
        <v>52</v>
      </c>
      <c r="AA888" s="298" t="s">
        <v>1371</v>
      </c>
    </row>
    <row r="889" ht="15.75" customHeight="1">
      <c r="A889" s="69">
        <v>43781.0</v>
      </c>
      <c r="B889" s="144" t="s">
        <v>167</v>
      </c>
      <c r="C889" s="21"/>
      <c r="D889" s="71" t="s">
        <v>1877</v>
      </c>
      <c r="E889" s="23" t="s">
        <v>177</v>
      </c>
      <c r="F889" s="130">
        <v>3.0</v>
      </c>
      <c r="G889" s="25">
        <v>61.0</v>
      </c>
      <c r="H889" s="60">
        <v>183.0</v>
      </c>
      <c r="I889" s="27" t="s">
        <v>171</v>
      </c>
      <c r="J889" s="58" t="s">
        <v>172</v>
      </c>
      <c r="K889" s="29">
        <v>43811.0</v>
      </c>
      <c r="L889" s="306"/>
      <c r="M889" s="306"/>
      <c r="N889" s="306"/>
      <c r="O889" s="306"/>
      <c r="P889" s="306"/>
      <c r="Q889" s="298"/>
      <c r="R889" s="306"/>
      <c r="S889" s="299"/>
      <c r="T889" s="29">
        <v>43797.0</v>
      </c>
      <c r="U889" s="299"/>
      <c r="V889" s="299"/>
      <c r="W889" s="298" t="s">
        <v>50</v>
      </c>
      <c r="X889" s="298" t="s">
        <v>285</v>
      </c>
      <c r="Y889" s="298" t="s">
        <v>286</v>
      </c>
      <c r="Z889" s="298" t="s">
        <v>52</v>
      </c>
      <c r="AA889" s="298" t="s">
        <v>1371</v>
      </c>
    </row>
    <row r="890" ht="15.75" customHeight="1">
      <c r="A890" s="69">
        <v>43781.0</v>
      </c>
      <c r="B890" s="144" t="s">
        <v>167</v>
      </c>
      <c r="C890" s="21"/>
      <c r="D890" s="71" t="s">
        <v>1879</v>
      </c>
      <c r="E890" s="547" t="s">
        <v>1878</v>
      </c>
      <c r="F890" s="130">
        <v>1.0</v>
      </c>
      <c r="G890" s="25">
        <v>1429.0</v>
      </c>
      <c r="H890" s="60">
        <v>1429.0</v>
      </c>
      <c r="I890" s="27" t="s">
        <v>171</v>
      </c>
      <c r="J890" s="58" t="s">
        <v>172</v>
      </c>
      <c r="K890" s="29">
        <v>43811.0</v>
      </c>
      <c r="L890" s="306"/>
      <c r="M890" s="306"/>
      <c r="N890" s="306"/>
      <c r="O890" s="306"/>
      <c r="P890" s="306"/>
      <c r="Q890" s="298"/>
      <c r="R890" s="306"/>
      <c r="S890" s="299"/>
      <c r="T890" s="29">
        <v>43797.0</v>
      </c>
      <c r="U890" s="299"/>
      <c r="V890" s="299"/>
      <c r="W890" s="298" t="s">
        <v>50</v>
      </c>
      <c r="X890" s="298" t="s">
        <v>285</v>
      </c>
      <c r="Y890" s="298" t="s">
        <v>286</v>
      </c>
      <c r="Z890" s="298" t="s">
        <v>52</v>
      </c>
      <c r="AA890" s="298" t="s">
        <v>1371</v>
      </c>
    </row>
    <row r="891" ht="15.75" customHeight="1">
      <c r="A891" s="69">
        <v>43781.0</v>
      </c>
      <c r="B891" s="144" t="s">
        <v>167</v>
      </c>
      <c r="C891" s="21"/>
      <c r="D891" s="71" t="s">
        <v>1879</v>
      </c>
      <c r="E891" s="23" t="s">
        <v>174</v>
      </c>
      <c r="F891" s="130">
        <v>1.0</v>
      </c>
      <c r="G891" s="25">
        <v>72.0</v>
      </c>
      <c r="H891" s="60">
        <v>72.0</v>
      </c>
      <c r="I891" s="27" t="s">
        <v>171</v>
      </c>
      <c r="J891" s="58" t="s">
        <v>172</v>
      </c>
      <c r="K891" s="29">
        <v>43811.0</v>
      </c>
      <c r="L891" s="306"/>
      <c r="M891" s="306"/>
      <c r="N891" s="306"/>
      <c r="O891" s="306"/>
      <c r="P891" s="306"/>
      <c r="Q891" s="298"/>
      <c r="R891" s="306"/>
      <c r="S891" s="299"/>
      <c r="T891" s="29">
        <v>43797.0</v>
      </c>
      <c r="U891" s="299"/>
      <c r="V891" s="299"/>
      <c r="W891" s="298" t="s">
        <v>50</v>
      </c>
      <c r="X891" s="298" t="s">
        <v>285</v>
      </c>
      <c r="Y891" s="298" t="s">
        <v>286</v>
      </c>
      <c r="Z891" s="298" t="s">
        <v>52</v>
      </c>
      <c r="AA891" s="298" t="s">
        <v>1371</v>
      </c>
    </row>
    <row r="892" ht="15.75" customHeight="1">
      <c r="A892" s="69">
        <v>43781.0</v>
      </c>
      <c r="B892" s="144" t="s">
        <v>167</v>
      </c>
      <c r="C892" s="21"/>
      <c r="D892" s="71" t="s">
        <v>1879</v>
      </c>
      <c r="E892" s="32" t="s">
        <v>177</v>
      </c>
      <c r="F892" s="24">
        <v>1.0</v>
      </c>
      <c r="G892" s="48">
        <v>61.0</v>
      </c>
      <c r="H892" s="60">
        <v>61.0</v>
      </c>
      <c r="I892" s="27" t="s">
        <v>171</v>
      </c>
      <c r="J892" s="58" t="s">
        <v>172</v>
      </c>
      <c r="K892" s="29">
        <v>43811.0</v>
      </c>
      <c r="L892" s="306"/>
      <c r="M892" s="306"/>
      <c r="N892" s="306"/>
      <c r="O892" s="306"/>
      <c r="P892" s="306"/>
      <c r="Q892" s="298"/>
      <c r="R892" s="306"/>
      <c r="S892" s="299"/>
      <c r="T892" s="29">
        <v>43797.0</v>
      </c>
      <c r="U892" s="299"/>
      <c r="V892" s="299"/>
      <c r="W892" s="298" t="s">
        <v>50</v>
      </c>
      <c r="X892" s="298" t="s">
        <v>285</v>
      </c>
      <c r="Y892" s="298" t="s">
        <v>286</v>
      </c>
      <c r="Z892" s="298" t="s">
        <v>52</v>
      </c>
      <c r="AA892" s="298" t="s">
        <v>1371</v>
      </c>
    </row>
    <row r="893" ht="15.75" customHeight="1">
      <c r="A893" s="69">
        <v>43781.0</v>
      </c>
      <c r="B893" s="144" t="s">
        <v>101</v>
      </c>
      <c r="C893" s="21"/>
      <c r="D893" s="71" t="s">
        <v>1880</v>
      </c>
      <c r="E893" s="32" t="s">
        <v>1881</v>
      </c>
      <c r="F893" s="24">
        <v>1.0</v>
      </c>
      <c r="G893" s="48">
        <v>0.0</v>
      </c>
      <c r="H893" s="60">
        <v>0.0</v>
      </c>
      <c r="I893" s="61" t="s">
        <v>171</v>
      </c>
      <c r="J893" s="63" t="s">
        <v>1056</v>
      </c>
      <c r="K893" s="29">
        <v>43790.0</v>
      </c>
      <c r="L893" s="52"/>
      <c r="M893" s="53"/>
      <c r="N893" s="53"/>
      <c r="O893" s="53"/>
      <c r="P893" s="53"/>
      <c r="Q893" s="54"/>
      <c r="R893" s="53">
        <v>30.465</v>
      </c>
      <c r="S893" s="55"/>
      <c r="T893" s="68"/>
      <c r="U893" s="55"/>
      <c r="V893" s="55"/>
      <c r="W893" s="298" t="s">
        <v>50</v>
      </c>
      <c r="X893" s="54" t="s">
        <v>1631</v>
      </c>
      <c r="Y893" s="54"/>
      <c r="Z893" s="54"/>
      <c r="AA893" s="57"/>
    </row>
    <row r="894" ht="15.75" customHeight="1">
      <c r="A894" s="69">
        <v>43781.0</v>
      </c>
      <c r="B894" s="144" t="s">
        <v>101</v>
      </c>
      <c r="C894" s="21"/>
      <c r="D894" s="71" t="s">
        <v>1880</v>
      </c>
      <c r="E894" s="32" t="s">
        <v>1882</v>
      </c>
      <c r="F894" s="24">
        <v>1.0</v>
      </c>
      <c r="G894" s="48">
        <v>0.0</v>
      </c>
      <c r="H894" s="165">
        <v>0.0</v>
      </c>
      <c r="I894" s="61" t="s">
        <v>171</v>
      </c>
      <c r="J894" s="63" t="s">
        <v>1883</v>
      </c>
      <c r="K894" s="29">
        <v>43796.0</v>
      </c>
      <c r="L894" s="533"/>
      <c r="M894" s="78"/>
      <c r="N894" s="53"/>
      <c r="O894" s="53"/>
      <c r="P894" s="53"/>
      <c r="Q894" s="54"/>
      <c r="R894" s="53"/>
      <c r="S894" s="55"/>
      <c r="T894" s="68"/>
      <c r="U894" s="55"/>
      <c r="V894" s="55"/>
      <c r="W894" s="298" t="s">
        <v>50</v>
      </c>
      <c r="X894" s="54" t="s">
        <v>1631</v>
      </c>
      <c r="Y894" s="54"/>
      <c r="Z894" s="54"/>
      <c r="AA894" s="57"/>
    </row>
    <row r="895" ht="15.75" customHeight="1">
      <c r="A895" s="69">
        <v>43781.0</v>
      </c>
      <c r="B895" s="70" t="s">
        <v>223</v>
      </c>
      <c r="C895" s="21" t="s">
        <v>1884</v>
      </c>
      <c r="D895" s="111" t="s">
        <v>1885</v>
      </c>
      <c r="E895" s="32" t="s">
        <v>1886</v>
      </c>
      <c r="F895" s="24">
        <v>2.0</v>
      </c>
      <c r="G895" s="48">
        <f t="shared" ref="G895:G896" si="14">129*1.05</f>
        <v>135.45</v>
      </c>
      <c r="H895" s="165">
        <v>270.90000000000003</v>
      </c>
      <c r="I895" s="61" t="s">
        <v>1855</v>
      </c>
      <c r="J895" s="50" t="s">
        <v>90</v>
      </c>
      <c r="K895" s="29">
        <v>43791.0</v>
      </c>
      <c r="L895" s="305">
        <v>43830.0</v>
      </c>
      <c r="M895" s="305">
        <v>43790.0</v>
      </c>
      <c r="N895" s="306" t="s">
        <v>1887</v>
      </c>
      <c r="O895" s="306">
        <v>7485.0</v>
      </c>
      <c r="P895" s="306"/>
      <c r="Q895" s="298"/>
      <c r="R895" s="306">
        <v>30.48</v>
      </c>
      <c r="S895" s="299"/>
      <c r="T895" s="29">
        <v>43809.0</v>
      </c>
      <c r="U895" s="299"/>
      <c r="V895" s="299"/>
      <c r="W895" s="298" t="s">
        <v>50</v>
      </c>
      <c r="X895" s="298" t="s">
        <v>285</v>
      </c>
      <c r="Y895" s="298" t="s">
        <v>51</v>
      </c>
      <c r="Z895" s="298" t="s">
        <v>377</v>
      </c>
      <c r="AA895" s="459" t="s">
        <v>763</v>
      </c>
    </row>
    <row r="896" ht="15.75" customHeight="1">
      <c r="A896" s="69">
        <v>43781.0</v>
      </c>
      <c r="B896" s="70" t="s">
        <v>223</v>
      </c>
      <c r="C896" s="21" t="s">
        <v>1884</v>
      </c>
      <c r="D896" s="111" t="s">
        <v>1885</v>
      </c>
      <c r="E896" s="32" t="s">
        <v>1888</v>
      </c>
      <c r="F896" s="24">
        <v>2.0</v>
      </c>
      <c r="G896" s="48">
        <f t="shared" si="14"/>
        <v>135.45</v>
      </c>
      <c r="H896" s="165">
        <v>270.90000000000003</v>
      </c>
      <c r="I896" s="61" t="s">
        <v>1855</v>
      </c>
      <c r="J896" s="50" t="s">
        <v>90</v>
      </c>
      <c r="K896" s="84">
        <v>43805.0</v>
      </c>
      <c r="L896" s="306"/>
      <c r="M896" s="306"/>
      <c r="N896" s="306"/>
      <c r="O896" s="306"/>
      <c r="P896" s="306"/>
      <c r="Q896" s="306"/>
      <c r="R896" s="299"/>
      <c r="S896" s="539"/>
      <c r="T896" s="300">
        <v>43838.0</v>
      </c>
      <c r="U896" s="299">
        <v>46486.0</v>
      </c>
      <c r="V896" s="298">
        <v>15.0</v>
      </c>
      <c r="W896" s="298" t="s">
        <v>50</v>
      </c>
      <c r="X896" s="298" t="s">
        <v>285</v>
      </c>
      <c r="Y896" s="298" t="s">
        <v>51</v>
      </c>
      <c r="Z896" s="298" t="s">
        <v>377</v>
      </c>
      <c r="AA896" s="298" t="s">
        <v>1371</v>
      </c>
    </row>
    <row r="897" ht="15.75" customHeight="1">
      <c r="A897" s="69">
        <v>43781.0</v>
      </c>
      <c r="B897" s="70" t="s">
        <v>229</v>
      </c>
      <c r="C897" s="21" t="s">
        <v>1889</v>
      </c>
      <c r="D897" s="71" t="s">
        <v>1890</v>
      </c>
      <c r="E897" s="32" t="s">
        <v>736</v>
      </c>
      <c r="F897" s="24">
        <v>2.0</v>
      </c>
      <c r="G897" s="436">
        <v>336.0</v>
      </c>
      <c r="H897" s="165">
        <v>672.0</v>
      </c>
      <c r="I897" s="61" t="s">
        <v>171</v>
      </c>
      <c r="J897" s="50" t="s">
        <v>233</v>
      </c>
      <c r="K897" s="30">
        <v>43789.0</v>
      </c>
      <c r="L897" s="305">
        <v>43830.0</v>
      </c>
      <c r="M897" s="305">
        <v>43789.0</v>
      </c>
      <c r="N897" s="306" t="s">
        <v>1891</v>
      </c>
      <c r="O897" s="306">
        <v>17425.0</v>
      </c>
      <c r="P897" s="306"/>
      <c r="Q897" s="298"/>
      <c r="R897" s="306"/>
      <c r="S897" s="299"/>
      <c r="T897" s="300">
        <v>43801.0</v>
      </c>
      <c r="U897" s="299"/>
      <c r="V897" s="299"/>
      <c r="W897" s="298" t="s">
        <v>50</v>
      </c>
      <c r="X897" s="298" t="s">
        <v>285</v>
      </c>
      <c r="Y897" s="298" t="s">
        <v>51</v>
      </c>
      <c r="Z897" s="298" t="s">
        <v>377</v>
      </c>
      <c r="AA897" s="459" t="s">
        <v>763</v>
      </c>
    </row>
    <row r="898" ht="15.75" customHeight="1">
      <c r="A898" s="69">
        <v>43781.0</v>
      </c>
      <c r="B898" s="70" t="s">
        <v>229</v>
      </c>
      <c r="C898" s="21" t="s">
        <v>1889</v>
      </c>
      <c r="D898" s="71" t="s">
        <v>1890</v>
      </c>
      <c r="E898" s="32" t="s">
        <v>737</v>
      </c>
      <c r="F898" s="24">
        <v>2.0</v>
      </c>
      <c r="G898" s="48">
        <v>21.0</v>
      </c>
      <c r="H898" s="165">
        <v>42.0</v>
      </c>
      <c r="I898" s="61" t="s">
        <v>171</v>
      </c>
      <c r="J898" s="50" t="s">
        <v>233</v>
      </c>
      <c r="K898" s="30">
        <v>43789.0</v>
      </c>
      <c r="L898" s="305">
        <v>43830.0</v>
      </c>
      <c r="M898" s="305">
        <v>43789.0</v>
      </c>
      <c r="N898" s="306" t="s">
        <v>1891</v>
      </c>
      <c r="O898" s="306"/>
      <c r="P898" s="306"/>
      <c r="Q898" s="298"/>
      <c r="R898" s="306"/>
      <c r="S898" s="299"/>
      <c r="T898" s="300">
        <v>43801.0</v>
      </c>
      <c r="U898" s="299"/>
      <c r="V898" s="299"/>
      <c r="W898" s="298" t="s">
        <v>50</v>
      </c>
      <c r="X898" s="298" t="s">
        <v>285</v>
      </c>
      <c r="Y898" s="298" t="s">
        <v>51</v>
      </c>
      <c r="Z898" s="298" t="s">
        <v>377</v>
      </c>
      <c r="AA898" s="459" t="s">
        <v>763</v>
      </c>
    </row>
    <row r="899" ht="15.75" customHeight="1">
      <c r="A899" s="69">
        <v>43781.0</v>
      </c>
      <c r="B899" s="21" t="s">
        <v>229</v>
      </c>
      <c r="C899" s="21" t="s">
        <v>1889</v>
      </c>
      <c r="D899" s="71" t="s">
        <v>1890</v>
      </c>
      <c r="E899" s="32" t="s">
        <v>232</v>
      </c>
      <c r="F899" s="24">
        <v>58.0</v>
      </c>
      <c r="G899" s="48">
        <v>407.4</v>
      </c>
      <c r="H899" s="165">
        <v>23629.199999999997</v>
      </c>
      <c r="I899" s="61" t="s">
        <v>171</v>
      </c>
      <c r="J899" s="50" t="s">
        <v>233</v>
      </c>
      <c r="K899" s="298"/>
      <c r="L899" s="306"/>
      <c r="M899" s="306"/>
      <c r="N899" s="306"/>
      <c r="O899" s="306"/>
      <c r="P899" s="306"/>
      <c r="Q899" s="306"/>
      <c r="R899" s="299"/>
      <c r="S899" s="539"/>
      <c r="T899" s="300">
        <v>43864.0</v>
      </c>
      <c r="U899" s="299"/>
      <c r="V899" s="298">
        <v>0.0</v>
      </c>
      <c r="W899" s="298" t="s">
        <v>50</v>
      </c>
      <c r="X899" s="298" t="s">
        <v>285</v>
      </c>
      <c r="Y899" s="298" t="s">
        <v>51</v>
      </c>
      <c r="Z899" s="298" t="s">
        <v>377</v>
      </c>
      <c r="AA899" s="298" t="s">
        <v>1371</v>
      </c>
    </row>
    <row r="900" ht="15.75" customHeight="1">
      <c r="A900" s="399">
        <v>43783.0</v>
      </c>
      <c r="B900" s="275" t="s">
        <v>1892</v>
      </c>
      <c r="C900" s="567"/>
      <c r="D900" s="184" t="s">
        <v>1893</v>
      </c>
      <c r="E900" s="185" t="s">
        <v>1894</v>
      </c>
      <c r="F900" s="186"/>
      <c r="G900" s="187">
        <v>1838.0</v>
      </c>
      <c r="H900" s="568">
        <v>0.0</v>
      </c>
      <c r="I900" s="483" t="s">
        <v>171</v>
      </c>
      <c r="J900" s="402"/>
      <c r="K900" s="87"/>
      <c r="L900" s="52"/>
      <c r="M900" s="53"/>
      <c r="N900" s="53"/>
      <c r="O900" s="53"/>
      <c r="P900" s="53"/>
      <c r="Q900" s="54"/>
      <c r="R900" s="53"/>
      <c r="S900" s="55"/>
      <c r="T900" s="68"/>
      <c r="U900" s="55"/>
      <c r="V900" s="55"/>
      <c r="W900" s="298" t="s">
        <v>50</v>
      </c>
      <c r="X900" s="54" t="s">
        <v>296</v>
      </c>
      <c r="Y900" s="54"/>
      <c r="Z900" s="54"/>
      <c r="AA900" s="57"/>
    </row>
    <row r="901" ht="15.75" customHeight="1">
      <c r="A901" s="399">
        <v>43783.0</v>
      </c>
      <c r="B901" s="275" t="s">
        <v>1892</v>
      </c>
      <c r="C901" s="567"/>
      <c r="D901" s="184" t="s">
        <v>1893</v>
      </c>
      <c r="E901" s="185" t="s">
        <v>1611</v>
      </c>
      <c r="F901" s="186"/>
      <c r="G901" s="187">
        <v>48.0</v>
      </c>
      <c r="H901" s="568">
        <v>0.0</v>
      </c>
      <c r="I901" s="483" t="s">
        <v>171</v>
      </c>
      <c r="J901" s="402"/>
      <c r="K901" s="87"/>
      <c r="L901" s="52"/>
      <c r="M901" s="53"/>
      <c r="N901" s="53"/>
      <c r="O901" s="53"/>
      <c r="P901" s="53"/>
      <c r="Q901" s="54"/>
      <c r="R901" s="53"/>
      <c r="S901" s="55"/>
      <c r="T901" s="68"/>
      <c r="U901" s="55"/>
      <c r="V901" s="55"/>
      <c r="W901" s="298" t="s">
        <v>50</v>
      </c>
      <c r="X901" s="54" t="s">
        <v>296</v>
      </c>
      <c r="Y901" s="54"/>
      <c r="Z901" s="54"/>
      <c r="AA901" s="57"/>
    </row>
    <row r="902" ht="15.75" customHeight="1">
      <c r="A902" s="399">
        <v>43783.0</v>
      </c>
      <c r="B902" s="275" t="s">
        <v>1892</v>
      </c>
      <c r="C902" s="567"/>
      <c r="D902" s="184" t="s">
        <v>1893</v>
      </c>
      <c r="E902" s="185" t="s">
        <v>1895</v>
      </c>
      <c r="F902" s="186"/>
      <c r="G902" s="187">
        <v>79.0</v>
      </c>
      <c r="H902" s="568">
        <v>0.0</v>
      </c>
      <c r="I902" s="483" t="s">
        <v>171</v>
      </c>
      <c r="J902" s="402"/>
      <c r="K902" s="87"/>
      <c r="L902" s="52"/>
      <c r="M902" s="53"/>
      <c r="N902" s="53"/>
      <c r="O902" s="53"/>
      <c r="P902" s="53"/>
      <c r="Q902" s="54"/>
      <c r="R902" s="53"/>
      <c r="S902" s="55"/>
      <c r="T902" s="68"/>
      <c r="U902" s="55"/>
      <c r="V902" s="55"/>
      <c r="W902" s="298" t="s">
        <v>50</v>
      </c>
      <c r="X902" s="54" t="s">
        <v>296</v>
      </c>
      <c r="Y902" s="54"/>
      <c r="Z902" s="54"/>
      <c r="AA902" s="57"/>
    </row>
    <row r="903" ht="15.75" customHeight="1">
      <c r="A903" s="69">
        <v>43783.0</v>
      </c>
      <c r="B903" s="70" t="s">
        <v>1112</v>
      </c>
      <c r="C903" s="92"/>
      <c r="D903" s="71" t="s">
        <v>1896</v>
      </c>
      <c r="E903" s="32" t="s">
        <v>1897</v>
      </c>
      <c r="F903" s="24">
        <v>1.0</v>
      </c>
      <c r="G903" s="48">
        <v>498.0</v>
      </c>
      <c r="H903" s="60">
        <v>498.0</v>
      </c>
      <c r="I903" s="61" t="s">
        <v>144</v>
      </c>
      <c r="J903" s="50" t="s">
        <v>263</v>
      </c>
      <c r="K903" s="30">
        <v>43790.0</v>
      </c>
      <c r="L903" s="462">
        <v>43861.0</v>
      </c>
      <c r="M903" s="305">
        <v>43788.0</v>
      </c>
      <c r="N903" s="306" t="s">
        <v>1898</v>
      </c>
      <c r="O903" s="306">
        <v>31250.0</v>
      </c>
      <c r="P903" s="306"/>
      <c r="Q903" s="298"/>
      <c r="R903" s="306">
        <v>30.465</v>
      </c>
      <c r="S903" s="299"/>
      <c r="T903" s="29">
        <v>43783.0</v>
      </c>
      <c r="U903" s="299"/>
      <c r="V903" s="299"/>
      <c r="W903" s="298" t="s">
        <v>50</v>
      </c>
      <c r="X903" s="298" t="s">
        <v>285</v>
      </c>
      <c r="Y903" s="298" t="s">
        <v>51</v>
      </c>
      <c r="Z903" s="298" t="s">
        <v>52</v>
      </c>
      <c r="AA903" s="459" t="s">
        <v>763</v>
      </c>
    </row>
    <row r="904" ht="15.75" customHeight="1">
      <c r="A904" s="69">
        <v>43783.0</v>
      </c>
      <c r="B904" s="70" t="s">
        <v>1112</v>
      </c>
      <c r="C904" s="92"/>
      <c r="D904" s="71" t="s">
        <v>1896</v>
      </c>
      <c r="E904" s="32" t="s">
        <v>1899</v>
      </c>
      <c r="F904" s="24">
        <v>1.0</v>
      </c>
      <c r="G904" s="48">
        <v>31.0</v>
      </c>
      <c r="H904" s="60">
        <v>31.0</v>
      </c>
      <c r="I904" s="61" t="s">
        <v>144</v>
      </c>
      <c r="J904" s="50" t="s">
        <v>263</v>
      </c>
      <c r="K904" s="30">
        <v>43790.0</v>
      </c>
      <c r="L904" s="462">
        <v>43861.0</v>
      </c>
      <c r="M904" s="305">
        <v>43788.0</v>
      </c>
      <c r="N904" s="306" t="s">
        <v>1898</v>
      </c>
      <c r="O904" s="306"/>
      <c r="P904" s="569"/>
      <c r="Q904" s="298"/>
      <c r="R904" s="306">
        <v>30.465</v>
      </c>
      <c r="S904" s="299"/>
      <c r="T904" s="29">
        <v>43783.0</v>
      </c>
      <c r="U904" s="299"/>
      <c r="V904" s="299"/>
      <c r="W904" s="298" t="s">
        <v>50</v>
      </c>
      <c r="X904" s="298" t="s">
        <v>285</v>
      </c>
      <c r="Y904" s="298" t="s">
        <v>51</v>
      </c>
      <c r="Z904" s="298" t="s">
        <v>52</v>
      </c>
      <c r="AA904" s="459" t="s">
        <v>763</v>
      </c>
    </row>
    <row r="905" ht="15.75" customHeight="1">
      <c r="A905" s="399">
        <v>43783.0</v>
      </c>
      <c r="B905" s="377" t="s">
        <v>1112</v>
      </c>
      <c r="C905" s="567"/>
      <c r="D905" s="184" t="s">
        <v>1896</v>
      </c>
      <c r="E905" s="185" t="s">
        <v>1900</v>
      </c>
      <c r="F905" s="186">
        <v>1.0</v>
      </c>
      <c r="G905" s="187">
        <v>0.0</v>
      </c>
      <c r="H905" s="188">
        <v>0.0</v>
      </c>
      <c r="I905" s="483" t="s">
        <v>144</v>
      </c>
      <c r="J905" s="190" t="s">
        <v>263</v>
      </c>
      <c r="K905" s="384">
        <v>43790.0</v>
      </c>
      <c r="L905" s="52" t="s">
        <v>1653</v>
      </c>
      <c r="M905" s="199"/>
      <c r="N905" s="199"/>
      <c r="O905" s="199"/>
      <c r="P905" s="199" t="s">
        <v>1653</v>
      </c>
      <c r="Q905" s="200"/>
      <c r="R905" s="200"/>
      <c r="S905" s="201"/>
      <c r="T905" s="570">
        <v>43783.0</v>
      </c>
      <c r="U905" s="201"/>
      <c r="V905" s="201"/>
      <c r="W905" s="200" t="s">
        <v>50</v>
      </c>
      <c r="X905" s="298" t="s">
        <v>285</v>
      </c>
      <c r="Y905" s="200"/>
      <c r="Z905" s="200"/>
      <c r="AA905" s="203"/>
    </row>
    <row r="906" ht="15.75" customHeight="1">
      <c r="A906" s="69">
        <v>43783.0</v>
      </c>
      <c r="B906" s="70" t="s">
        <v>1112</v>
      </c>
      <c r="C906" s="92"/>
      <c r="D906" s="71" t="s">
        <v>1896</v>
      </c>
      <c r="E906" s="32" t="s">
        <v>1901</v>
      </c>
      <c r="F906" s="24">
        <v>4.0</v>
      </c>
      <c r="G906" s="48">
        <v>137.0</v>
      </c>
      <c r="H906" s="60">
        <v>548.0</v>
      </c>
      <c r="I906" s="61" t="s">
        <v>144</v>
      </c>
      <c r="J906" s="50" t="s">
        <v>263</v>
      </c>
      <c r="K906" s="30">
        <v>43790.0</v>
      </c>
      <c r="L906" s="462">
        <v>43861.0</v>
      </c>
      <c r="M906" s="305">
        <v>43788.0</v>
      </c>
      <c r="N906" s="306" t="s">
        <v>1898</v>
      </c>
      <c r="O906" s="306"/>
      <c r="P906" s="306"/>
      <c r="Q906" s="298"/>
      <c r="R906" s="306">
        <v>30.465</v>
      </c>
      <c r="S906" s="299"/>
      <c r="T906" s="29">
        <v>43783.0</v>
      </c>
      <c r="U906" s="299"/>
      <c r="V906" s="299"/>
      <c r="W906" s="298" t="s">
        <v>50</v>
      </c>
      <c r="X906" s="298" t="s">
        <v>285</v>
      </c>
      <c r="Y906" s="298" t="s">
        <v>51</v>
      </c>
      <c r="Z906" s="298" t="s">
        <v>52</v>
      </c>
      <c r="AA906" s="459" t="s">
        <v>763</v>
      </c>
    </row>
    <row r="907" ht="15.75" customHeight="1">
      <c r="A907" s="69">
        <v>43784.0</v>
      </c>
      <c r="B907" s="23" t="s">
        <v>406</v>
      </c>
      <c r="C907" s="21">
        <v>7.000151827E9</v>
      </c>
      <c r="D907" s="71" t="s">
        <v>1902</v>
      </c>
      <c r="E907" s="32" t="s">
        <v>519</v>
      </c>
      <c r="F907" s="24">
        <v>5.0</v>
      </c>
      <c r="G907" s="48">
        <v>141.8</v>
      </c>
      <c r="H907" s="60">
        <v>709.0</v>
      </c>
      <c r="I907" s="61" t="s">
        <v>43</v>
      </c>
      <c r="J907" s="50" t="s">
        <v>513</v>
      </c>
      <c r="K907" s="30">
        <v>43790.0</v>
      </c>
      <c r="L907" s="462">
        <v>43861.0</v>
      </c>
      <c r="M907" s="305">
        <v>43787.0</v>
      </c>
      <c r="N907" s="306" t="s">
        <v>1903</v>
      </c>
      <c r="O907" s="306">
        <v>20759.0</v>
      </c>
      <c r="P907" s="306"/>
      <c r="Q907" s="298"/>
      <c r="R907" s="306">
        <v>30.465</v>
      </c>
      <c r="S907" s="299"/>
      <c r="T907" s="300">
        <v>43860.0</v>
      </c>
      <c r="U907" s="299">
        <f>2325.38*30.213</f>
        <v>70256.70594</v>
      </c>
      <c r="V907" s="299">
        <f>(2352-2325.38)*30.213</f>
        <v>804.27006</v>
      </c>
      <c r="W907" s="298" t="s">
        <v>50</v>
      </c>
      <c r="X907" s="298" t="s">
        <v>285</v>
      </c>
      <c r="Y907" s="298" t="s">
        <v>51</v>
      </c>
      <c r="Z907" s="298" t="s">
        <v>52</v>
      </c>
      <c r="AA907" s="459" t="s">
        <v>763</v>
      </c>
    </row>
    <row r="908" ht="15.75" customHeight="1">
      <c r="A908" s="69">
        <v>43784.0</v>
      </c>
      <c r="B908" s="23" t="s">
        <v>406</v>
      </c>
      <c r="C908" s="21">
        <v>7.000151848E9</v>
      </c>
      <c r="D908" s="71" t="s">
        <v>1904</v>
      </c>
      <c r="E908" s="32" t="s">
        <v>1905</v>
      </c>
      <c r="F908" s="24">
        <v>1.0</v>
      </c>
      <c r="G908" s="48">
        <v>75.0</v>
      </c>
      <c r="H908" s="60">
        <v>75.0</v>
      </c>
      <c r="I908" s="61" t="s">
        <v>43</v>
      </c>
      <c r="J908" s="50" t="s">
        <v>513</v>
      </c>
      <c r="K908" s="30">
        <v>43809.0</v>
      </c>
      <c r="L908" s="306"/>
      <c r="M908" s="306"/>
      <c r="N908" s="306"/>
      <c r="O908" s="306"/>
      <c r="P908" s="306"/>
      <c r="Q908" s="298"/>
      <c r="R908" s="298"/>
      <c r="S908" s="299"/>
      <c r="T908" s="300">
        <v>43860.0</v>
      </c>
      <c r="U908" s="299"/>
      <c r="V908" s="299"/>
      <c r="W908" s="298" t="s">
        <v>50</v>
      </c>
      <c r="X908" s="298" t="s">
        <v>285</v>
      </c>
      <c r="Y908" s="298" t="s">
        <v>51</v>
      </c>
      <c r="Z908" s="298" t="s">
        <v>52</v>
      </c>
      <c r="AA908" s="298" t="s">
        <v>1371</v>
      </c>
    </row>
    <row r="909" ht="15.75" customHeight="1">
      <c r="A909" s="69">
        <v>43787.0</v>
      </c>
      <c r="B909" s="70" t="s">
        <v>1112</v>
      </c>
      <c r="C909" s="21"/>
      <c r="D909" s="71" t="s">
        <v>1896</v>
      </c>
      <c r="E909" s="32" t="s">
        <v>1906</v>
      </c>
      <c r="F909" s="24">
        <v>3.0</v>
      </c>
      <c r="G909" s="48">
        <v>72.0</v>
      </c>
      <c r="H909" s="60">
        <v>216.0</v>
      </c>
      <c r="I909" s="61" t="s">
        <v>144</v>
      </c>
      <c r="J909" s="50" t="s">
        <v>263</v>
      </c>
      <c r="K909" s="30">
        <v>43790.0</v>
      </c>
      <c r="L909" s="462">
        <v>43861.0</v>
      </c>
      <c r="M909" s="305">
        <v>43789.0</v>
      </c>
      <c r="N909" s="306" t="s">
        <v>1907</v>
      </c>
      <c r="O909" s="306">
        <v>16787.0</v>
      </c>
      <c r="P909" s="306"/>
      <c r="Q909" s="298"/>
      <c r="R909" s="306">
        <v>30.465</v>
      </c>
      <c r="S909" s="299"/>
      <c r="T909" s="29">
        <v>43783.0</v>
      </c>
      <c r="U909" s="299"/>
      <c r="V909" s="299"/>
      <c r="W909" s="298" t="s">
        <v>50</v>
      </c>
      <c r="X909" s="298" t="s">
        <v>285</v>
      </c>
      <c r="Y909" s="298" t="s">
        <v>51</v>
      </c>
      <c r="Z909" s="298" t="s">
        <v>52</v>
      </c>
      <c r="AA909" s="459" t="s">
        <v>763</v>
      </c>
    </row>
    <row r="910" ht="15.75" customHeight="1">
      <c r="A910" s="69">
        <v>43787.0</v>
      </c>
      <c r="B910" s="70" t="s">
        <v>1112</v>
      </c>
      <c r="C910" s="21"/>
      <c r="D910" s="71" t="s">
        <v>1896</v>
      </c>
      <c r="E910" s="32" t="s">
        <v>408</v>
      </c>
      <c r="F910" s="24">
        <v>6.0</v>
      </c>
      <c r="G910" s="48">
        <v>55.0</v>
      </c>
      <c r="H910" s="60">
        <v>330.0</v>
      </c>
      <c r="I910" s="61" t="s">
        <v>144</v>
      </c>
      <c r="J910" s="50" t="s">
        <v>263</v>
      </c>
      <c r="K910" s="30">
        <v>43790.0</v>
      </c>
      <c r="L910" s="462">
        <v>43861.0</v>
      </c>
      <c r="M910" s="305">
        <v>43789.0</v>
      </c>
      <c r="N910" s="306" t="s">
        <v>1907</v>
      </c>
      <c r="O910" s="306"/>
      <c r="P910" s="306"/>
      <c r="Q910" s="298"/>
      <c r="R910" s="306">
        <v>30.465</v>
      </c>
      <c r="S910" s="299"/>
      <c r="T910" s="29">
        <v>43783.0</v>
      </c>
      <c r="U910" s="299"/>
      <c r="V910" s="299"/>
      <c r="W910" s="298" t="s">
        <v>50</v>
      </c>
      <c r="X910" s="298" t="s">
        <v>285</v>
      </c>
      <c r="Y910" s="298" t="s">
        <v>51</v>
      </c>
      <c r="Z910" s="298" t="s">
        <v>52</v>
      </c>
      <c r="AA910" s="459" t="s">
        <v>763</v>
      </c>
    </row>
    <row r="911" ht="15.75" customHeight="1">
      <c r="A911" s="69">
        <v>43787.0</v>
      </c>
      <c r="B911" s="70" t="s">
        <v>1112</v>
      </c>
      <c r="C911" s="21"/>
      <c r="D911" s="71" t="s">
        <v>1896</v>
      </c>
      <c r="E911" s="32" t="s">
        <v>1908</v>
      </c>
      <c r="F911" s="24">
        <v>1.0</v>
      </c>
      <c r="G911" s="48">
        <v>53.0</v>
      </c>
      <c r="H911" s="60">
        <v>53.0</v>
      </c>
      <c r="I911" s="61" t="s">
        <v>144</v>
      </c>
      <c r="J911" s="50" t="s">
        <v>263</v>
      </c>
      <c r="K911" s="30">
        <v>43790.0</v>
      </c>
      <c r="L911" s="462">
        <v>43861.0</v>
      </c>
      <c r="M911" s="305">
        <v>43789.0</v>
      </c>
      <c r="N911" s="306" t="s">
        <v>1907</v>
      </c>
      <c r="O911" s="306"/>
      <c r="P911" s="306"/>
      <c r="Q911" s="298"/>
      <c r="R911" s="306">
        <v>30.465</v>
      </c>
      <c r="S911" s="299"/>
      <c r="T911" s="29">
        <v>43783.0</v>
      </c>
      <c r="U911" s="299"/>
      <c r="V911" s="299"/>
      <c r="W911" s="298" t="s">
        <v>50</v>
      </c>
      <c r="X911" s="298" t="s">
        <v>285</v>
      </c>
      <c r="Y911" s="298" t="s">
        <v>51</v>
      </c>
      <c r="Z911" s="298" t="s">
        <v>52</v>
      </c>
      <c r="AA911" s="459" t="s">
        <v>763</v>
      </c>
    </row>
    <row r="912" ht="15.75" customHeight="1">
      <c r="A912" s="69">
        <v>43788.0</v>
      </c>
      <c r="B912" s="70" t="s">
        <v>721</v>
      </c>
      <c r="C912" s="92"/>
      <c r="D912" s="71" t="s">
        <v>1909</v>
      </c>
      <c r="E912" s="32" t="s">
        <v>1910</v>
      </c>
      <c r="F912" s="24">
        <v>4.0</v>
      </c>
      <c r="G912" s="48">
        <v>320.0</v>
      </c>
      <c r="H912" s="60">
        <v>1280.0</v>
      </c>
      <c r="I912" s="61" t="s">
        <v>1542</v>
      </c>
      <c r="J912" s="58" t="s">
        <v>1138</v>
      </c>
      <c r="K912" s="30">
        <v>43804.0</v>
      </c>
      <c r="L912" s="306"/>
      <c r="M912" s="306"/>
      <c r="N912" s="306"/>
      <c r="O912" s="306"/>
      <c r="P912" s="306"/>
      <c r="Q912" s="298"/>
      <c r="R912" s="298"/>
      <c r="S912" s="299"/>
      <c r="T912" s="29">
        <v>43790.0</v>
      </c>
      <c r="U912" s="299">
        <f>1288.44*30.465</f>
        <v>39252.3246</v>
      </c>
      <c r="V912" s="299">
        <f>16.56*30.465</f>
        <v>504.5004</v>
      </c>
      <c r="W912" s="298" t="s">
        <v>50</v>
      </c>
      <c r="X912" s="298" t="s">
        <v>285</v>
      </c>
      <c r="Y912" s="298" t="s">
        <v>51</v>
      </c>
      <c r="Z912" s="298" t="s">
        <v>52</v>
      </c>
      <c r="AA912" s="298" t="s">
        <v>1371</v>
      </c>
    </row>
    <row r="913" ht="15.75" customHeight="1">
      <c r="A913" s="69">
        <v>43788.0</v>
      </c>
      <c r="B913" s="70" t="s">
        <v>721</v>
      </c>
      <c r="C913" s="92"/>
      <c r="D913" s="71" t="s">
        <v>1909</v>
      </c>
      <c r="E913" s="23" t="s">
        <v>1911</v>
      </c>
      <c r="F913" s="24">
        <v>1.0</v>
      </c>
      <c r="G913" s="48">
        <v>25.0</v>
      </c>
      <c r="H913" s="60">
        <v>25.0</v>
      </c>
      <c r="I913" s="61" t="s">
        <v>1542</v>
      </c>
      <c r="J913" s="58" t="s">
        <v>1138</v>
      </c>
      <c r="K913" s="30">
        <v>43804.0</v>
      </c>
      <c r="L913" s="306"/>
      <c r="M913" s="306"/>
      <c r="N913" s="306"/>
      <c r="O913" s="306"/>
      <c r="P913" s="306"/>
      <c r="Q913" s="298"/>
      <c r="R913" s="298"/>
      <c r="S913" s="299"/>
      <c r="T913" s="29">
        <v>43790.0</v>
      </c>
      <c r="U913" s="299"/>
      <c r="V913" s="299"/>
      <c r="W913" s="298" t="s">
        <v>50</v>
      </c>
      <c r="X913" s="298" t="s">
        <v>285</v>
      </c>
      <c r="Y913" s="298" t="s">
        <v>51</v>
      </c>
      <c r="Z913" s="298" t="s">
        <v>52</v>
      </c>
      <c r="AA913" s="298" t="s">
        <v>1371</v>
      </c>
    </row>
    <row r="914" ht="15.75" customHeight="1">
      <c r="A914" s="69">
        <v>43789.0</v>
      </c>
      <c r="B914" s="23" t="s">
        <v>406</v>
      </c>
      <c r="C914" s="21">
        <v>7.000151941E9</v>
      </c>
      <c r="D914" s="71" t="s">
        <v>1912</v>
      </c>
      <c r="E914" s="23" t="s">
        <v>1913</v>
      </c>
      <c r="F914" s="24">
        <v>2.0</v>
      </c>
      <c r="G914" s="48">
        <v>75.0</v>
      </c>
      <c r="H914" s="60">
        <v>150.0</v>
      </c>
      <c r="I914" s="61" t="s">
        <v>43</v>
      </c>
      <c r="J914" s="50" t="s">
        <v>513</v>
      </c>
      <c r="K914" s="30">
        <v>43809.0</v>
      </c>
      <c r="L914" s="305">
        <v>43795.0</v>
      </c>
      <c r="M914" s="306" t="s">
        <v>1914</v>
      </c>
      <c r="N914" s="306" t="s">
        <v>1914</v>
      </c>
      <c r="O914" s="306">
        <v>2503.0</v>
      </c>
      <c r="P914" s="305">
        <v>43795.0</v>
      </c>
      <c r="Q914" s="298"/>
      <c r="R914" s="298"/>
      <c r="S914" s="299"/>
      <c r="T914" s="300">
        <v>43860.0</v>
      </c>
      <c r="U914" s="299"/>
      <c r="V914" s="299"/>
      <c r="W914" s="298" t="s">
        <v>50</v>
      </c>
      <c r="X914" s="298" t="s">
        <v>285</v>
      </c>
      <c r="Y914" s="298" t="s">
        <v>51</v>
      </c>
      <c r="Z914" s="298" t="s">
        <v>52</v>
      </c>
      <c r="AA914" s="298" t="s">
        <v>1371</v>
      </c>
    </row>
    <row r="915" ht="15.75" customHeight="1">
      <c r="A915" s="69">
        <v>43791.0</v>
      </c>
      <c r="B915" s="144" t="s">
        <v>167</v>
      </c>
      <c r="C915" s="128"/>
      <c r="D915" s="70" t="s">
        <v>1915</v>
      </c>
      <c r="E915" s="23" t="s">
        <v>1916</v>
      </c>
      <c r="F915" s="421">
        <v>1.0</v>
      </c>
      <c r="G915" s="25">
        <v>1218.0</v>
      </c>
      <c r="H915" s="60">
        <v>1218.0</v>
      </c>
      <c r="I915" s="61" t="s">
        <v>171</v>
      </c>
      <c r="J915" s="58" t="s">
        <v>172</v>
      </c>
      <c r="K915" s="29">
        <v>43811.0</v>
      </c>
      <c r="L915" s="306"/>
      <c r="M915" s="306"/>
      <c r="N915" s="306"/>
      <c r="O915" s="306"/>
      <c r="P915" s="306"/>
      <c r="Q915" s="298"/>
      <c r="R915" s="298"/>
      <c r="S915" s="299"/>
      <c r="T915" s="29">
        <v>43797.0</v>
      </c>
      <c r="U915" s="299"/>
      <c r="V915" s="299"/>
      <c r="W915" s="298" t="s">
        <v>50</v>
      </c>
      <c r="X915" s="298" t="s">
        <v>285</v>
      </c>
      <c r="Y915" s="298" t="s">
        <v>286</v>
      </c>
      <c r="Z915" s="298" t="s">
        <v>52</v>
      </c>
      <c r="AA915" s="298" t="s">
        <v>1371</v>
      </c>
    </row>
    <row r="916" ht="15.75" customHeight="1">
      <c r="A916" s="69">
        <v>43791.0</v>
      </c>
      <c r="B916" s="144" t="s">
        <v>167</v>
      </c>
      <c r="C916" s="128"/>
      <c r="D916" s="70" t="s">
        <v>1915</v>
      </c>
      <c r="E916" s="23" t="s">
        <v>177</v>
      </c>
      <c r="F916" s="130">
        <v>1.0</v>
      </c>
      <c r="G916" s="25">
        <v>61.0</v>
      </c>
      <c r="H916" s="60">
        <v>61.0</v>
      </c>
      <c r="I916" s="61" t="s">
        <v>171</v>
      </c>
      <c r="J916" s="58" t="s">
        <v>172</v>
      </c>
      <c r="K916" s="29">
        <v>43811.0</v>
      </c>
      <c r="L916" s="306"/>
      <c r="M916" s="306"/>
      <c r="N916" s="306"/>
      <c r="O916" s="306"/>
      <c r="P916" s="306"/>
      <c r="Q916" s="298"/>
      <c r="R916" s="298"/>
      <c r="S916" s="299"/>
      <c r="T916" s="539" t="s">
        <v>1917</v>
      </c>
      <c r="U916" s="299"/>
      <c r="V916" s="299"/>
      <c r="W916" s="298" t="s">
        <v>50</v>
      </c>
      <c r="X916" s="298" t="s">
        <v>285</v>
      </c>
      <c r="Y916" s="298" t="s">
        <v>286</v>
      </c>
      <c r="Z916" s="298" t="s">
        <v>52</v>
      </c>
      <c r="AA916" s="298" t="s">
        <v>1371</v>
      </c>
    </row>
    <row r="917" ht="15.75" customHeight="1">
      <c r="A917" s="69">
        <v>43792.0</v>
      </c>
      <c r="B917" s="70" t="s">
        <v>621</v>
      </c>
      <c r="C917" s="70"/>
      <c r="D917" s="70" t="s">
        <v>1918</v>
      </c>
      <c r="E917" s="23" t="s">
        <v>1919</v>
      </c>
      <c r="F917" s="431">
        <v>1.0</v>
      </c>
      <c r="G917" s="25">
        <v>1417.5</v>
      </c>
      <c r="H917" s="26">
        <v>1417.5</v>
      </c>
      <c r="I917" s="27" t="s">
        <v>43</v>
      </c>
      <c r="J917" s="58" t="s">
        <v>90</v>
      </c>
      <c r="K917" s="29">
        <v>43805.0</v>
      </c>
      <c r="L917" s="306"/>
      <c r="M917" s="306"/>
      <c r="N917" s="306"/>
      <c r="O917" s="306"/>
      <c r="P917" s="306"/>
      <c r="Q917" s="298"/>
      <c r="R917" s="298"/>
      <c r="S917" s="299"/>
      <c r="T917" s="29">
        <v>43829.0</v>
      </c>
      <c r="U917" s="299">
        <v>43191.0</v>
      </c>
      <c r="V917" s="299">
        <v>0.0</v>
      </c>
      <c r="W917" s="298" t="s">
        <v>50</v>
      </c>
      <c r="X917" s="298" t="s">
        <v>285</v>
      </c>
      <c r="Y917" s="298" t="s">
        <v>51</v>
      </c>
      <c r="Z917" s="298" t="s">
        <v>377</v>
      </c>
      <c r="AA917" s="298" t="s">
        <v>1371</v>
      </c>
    </row>
    <row r="918" ht="15.75" customHeight="1">
      <c r="A918" s="69">
        <v>43792.0</v>
      </c>
      <c r="B918" s="23" t="s">
        <v>406</v>
      </c>
      <c r="C918" s="70">
        <v>7.000152002E9</v>
      </c>
      <c r="D918" s="70" t="s">
        <v>1920</v>
      </c>
      <c r="E918" s="23" t="s">
        <v>481</v>
      </c>
      <c r="F918" s="130">
        <v>4.0</v>
      </c>
      <c r="G918" s="25">
        <v>137.0</v>
      </c>
      <c r="H918" s="60">
        <v>548.0</v>
      </c>
      <c r="I918" s="61" t="s">
        <v>43</v>
      </c>
      <c r="J918" s="50" t="s">
        <v>513</v>
      </c>
      <c r="K918" s="30">
        <v>43809.0</v>
      </c>
      <c r="L918" s="306"/>
      <c r="M918" s="306"/>
      <c r="N918" s="306"/>
      <c r="O918" s="306"/>
      <c r="P918" s="306"/>
      <c r="Q918" s="298"/>
      <c r="R918" s="298"/>
      <c r="S918" s="299"/>
      <c r="T918" s="300">
        <v>43860.0</v>
      </c>
      <c r="U918" s="299"/>
      <c r="V918" s="299"/>
      <c r="W918" s="298" t="s">
        <v>50</v>
      </c>
      <c r="X918" s="298" t="s">
        <v>285</v>
      </c>
      <c r="Y918" s="298" t="s">
        <v>51</v>
      </c>
      <c r="Z918" s="298" t="s">
        <v>52</v>
      </c>
      <c r="AA918" s="298" t="s">
        <v>1371</v>
      </c>
    </row>
    <row r="919" ht="15.75" customHeight="1">
      <c r="A919" s="69">
        <v>43792.0</v>
      </c>
      <c r="B919" s="23" t="s">
        <v>406</v>
      </c>
      <c r="C919" s="70">
        <v>7.000152002E9</v>
      </c>
      <c r="D919" s="70" t="s">
        <v>1920</v>
      </c>
      <c r="E919" s="23" t="s">
        <v>558</v>
      </c>
      <c r="F919" s="130">
        <v>2.0</v>
      </c>
      <c r="G919" s="25">
        <v>161.0</v>
      </c>
      <c r="H919" s="60">
        <v>322.0</v>
      </c>
      <c r="I919" s="61" t="s">
        <v>43</v>
      </c>
      <c r="J919" s="50" t="s">
        <v>513</v>
      </c>
      <c r="K919" s="30">
        <v>43809.0</v>
      </c>
      <c r="L919" s="306"/>
      <c r="M919" s="306"/>
      <c r="N919" s="306"/>
      <c r="O919" s="306"/>
      <c r="P919" s="306"/>
      <c r="Q919" s="298"/>
      <c r="R919" s="298"/>
      <c r="S919" s="299"/>
      <c r="T919" s="300">
        <v>43860.0</v>
      </c>
      <c r="U919" s="299"/>
      <c r="V919" s="299"/>
      <c r="W919" s="298" t="s">
        <v>50</v>
      </c>
      <c r="X919" s="298" t="s">
        <v>285</v>
      </c>
      <c r="Y919" s="298" t="s">
        <v>51</v>
      </c>
      <c r="Z919" s="298" t="s">
        <v>52</v>
      </c>
      <c r="AA919" s="298" t="s">
        <v>1371</v>
      </c>
    </row>
    <row r="920" ht="15.75" customHeight="1">
      <c r="A920" s="69">
        <v>43793.0</v>
      </c>
      <c r="B920" s="70" t="s">
        <v>229</v>
      </c>
      <c r="C920" s="128"/>
      <c r="D920" s="129" t="s">
        <v>1921</v>
      </c>
      <c r="E920" s="23" t="s">
        <v>1922</v>
      </c>
      <c r="F920" s="130">
        <v>1.0</v>
      </c>
      <c r="G920" s="25">
        <v>525.0</v>
      </c>
      <c r="H920" s="60">
        <v>525.0</v>
      </c>
      <c r="I920" s="61" t="s">
        <v>171</v>
      </c>
      <c r="J920" s="50" t="s">
        <v>90</v>
      </c>
      <c r="K920" s="29">
        <v>43805.0</v>
      </c>
      <c r="L920" s="306"/>
      <c r="M920" s="306"/>
      <c r="N920" s="306"/>
      <c r="O920" s="306"/>
      <c r="P920" s="306"/>
      <c r="Q920" s="298"/>
      <c r="R920" s="298"/>
      <c r="S920" s="299"/>
      <c r="T920" s="300">
        <v>43837.0</v>
      </c>
      <c r="U920" s="299">
        <v>37761.0</v>
      </c>
      <c r="V920" s="299">
        <v>30.0</v>
      </c>
      <c r="W920" s="298" t="s">
        <v>50</v>
      </c>
      <c r="X920" s="298" t="s">
        <v>285</v>
      </c>
      <c r="Y920" s="298" t="s">
        <v>51</v>
      </c>
      <c r="Z920" s="298" t="s">
        <v>377</v>
      </c>
      <c r="AA920" s="298" t="s">
        <v>1371</v>
      </c>
    </row>
    <row r="921" ht="15.75" customHeight="1">
      <c r="A921" s="69">
        <v>43794.0</v>
      </c>
      <c r="B921" s="70" t="s">
        <v>77</v>
      </c>
      <c r="C921" s="453">
        <v>877.0</v>
      </c>
      <c r="D921" s="453" t="s">
        <v>1923</v>
      </c>
      <c r="E921" s="23" t="s">
        <v>429</v>
      </c>
      <c r="F921" s="137">
        <v>3.0</v>
      </c>
      <c r="G921" s="25">
        <v>133.0</v>
      </c>
      <c r="H921" s="60">
        <v>399.0</v>
      </c>
      <c r="I921" s="61" t="s">
        <v>43</v>
      </c>
      <c r="J921" s="58" t="s">
        <v>1924</v>
      </c>
      <c r="K921" s="30">
        <v>43816.0</v>
      </c>
      <c r="L921" s="306"/>
      <c r="M921" s="306"/>
      <c r="N921" s="306"/>
      <c r="O921" s="306"/>
      <c r="P921" s="306"/>
      <c r="Q921" s="298"/>
      <c r="R921" s="298"/>
      <c r="S921" s="299"/>
      <c r="T921" s="300">
        <v>43850.0</v>
      </c>
      <c r="U921" s="299">
        <f>1308*29.884</f>
        <v>39088.272</v>
      </c>
      <c r="V921" s="299">
        <v>0.0</v>
      </c>
      <c r="W921" s="298" t="s">
        <v>50</v>
      </c>
      <c r="X921" s="298" t="s">
        <v>285</v>
      </c>
      <c r="Y921" s="298" t="s">
        <v>51</v>
      </c>
      <c r="Z921" s="298" t="s">
        <v>52</v>
      </c>
      <c r="AA921" s="298" t="s">
        <v>1371</v>
      </c>
    </row>
    <row r="922" ht="15.75" customHeight="1">
      <c r="A922" s="69">
        <v>43794.0</v>
      </c>
      <c r="B922" s="70" t="s">
        <v>77</v>
      </c>
      <c r="C922" s="292">
        <v>877.0</v>
      </c>
      <c r="D922" s="571" t="s">
        <v>1923</v>
      </c>
      <c r="E922" s="23" t="s">
        <v>1925</v>
      </c>
      <c r="F922" s="24">
        <v>4.0</v>
      </c>
      <c r="G922" s="48">
        <v>200.0</v>
      </c>
      <c r="H922" s="60">
        <v>800.0</v>
      </c>
      <c r="I922" s="61" t="s">
        <v>43</v>
      </c>
      <c r="J922" s="58" t="s">
        <v>1924</v>
      </c>
      <c r="K922" s="30">
        <v>43816.0</v>
      </c>
      <c r="L922" s="306"/>
      <c r="M922" s="306"/>
      <c r="N922" s="306"/>
      <c r="O922" s="306"/>
      <c r="P922" s="306"/>
      <c r="Q922" s="298"/>
      <c r="R922" s="298"/>
      <c r="S922" s="299"/>
      <c r="T922" s="300">
        <v>43850.0</v>
      </c>
      <c r="U922" s="299"/>
      <c r="V922" s="299"/>
      <c r="W922" s="298" t="s">
        <v>50</v>
      </c>
      <c r="X922" s="298" t="s">
        <v>285</v>
      </c>
      <c r="Y922" s="298" t="s">
        <v>51</v>
      </c>
      <c r="Z922" s="298" t="s">
        <v>52</v>
      </c>
      <c r="AA922" s="298" t="s">
        <v>1371</v>
      </c>
    </row>
    <row r="923" ht="15.75" customHeight="1">
      <c r="A923" s="69">
        <v>43794.0</v>
      </c>
      <c r="B923" s="70" t="s">
        <v>77</v>
      </c>
      <c r="C923" s="453">
        <v>877.0</v>
      </c>
      <c r="D923" s="453" t="s">
        <v>1923</v>
      </c>
      <c r="E923" s="23" t="s">
        <v>646</v>
      </c>
      <c r="F923" s="130">
        <v>4.0</v>
      </c>
      <c r="G923" s="25">
        <v>0.0</v>
      </c>
      <c r="H923" s="60">
        <v>0.0</v>
      </c>
      <c r="I923" s="61" t="s">
        <v>43</v>
      </c>
      <c r="J923" s="58" t="s">
        <v>1924</v>
      </c>
      <c r="K923" s="30">
        <v>43816.0</v>
      </c>
      <c r="L923" s="306"/>
      <c r="M923" s="306"/>
      <c r="N923" s="306"/>
      <c r="O923" s="306"/>
      <c r="P923" s="306"/>
      <c r="Q923" s="298"/>
      <c r="R923" s="298"/>
      <c r="S923" s="299"/>
      <c r="T923" s="300">
        <v>43850.0</v>
      </c>
      <c r="U923" s="299"/>
      <c r="V923" s="299"/>
      <c r="W923" s="298" t="s">
        <v>50</v>
      </c>
      <c r="X923" s="298" t="s">
        <v>285</v>
      </c>
      <c r="Y923" s="298" t="s">
        <v>51</v>
      </c>
      <c r="Z923" s="298" t="s">
        <v>52</v>
      </c>
      <c r="AA923" s="298" t="s">
        <v>1371</v>
      </c>
    </row>
    <row r="924" ht="15.75" customHeight="1">
      <c r="A924" s="69">
        <v>43794.0</v>
      </c>
      <c r="B924" s="70" t="s">
        <v>77</v>
      </c>
      <c r="C924" s="453">
        <v>877.0</v>
      </c>
      <c r="D924" s="453" t="s">
        <v>1923</v>
      </c>
      <c r="E924" s="23" t="s">
        <v>647</v>
      </c>
      <c r="F924" s="130">
        <v>4.0</v>
      </c>
      <c r="G924" s="25">
        <v>0.0</v>
      </c>
      <c r="H924" s="60">
        <v>0.0</v>
      </c>
      <c r="I924" s="61" t="s">
        <v>43</v>
      </c>
      <c r="J924" s="58" t="s">
        <v>1924</v>
      </c>
      <c r="K924" s="30">
        <v>43816.0</v>
      </c>
      <c r="L924" s="306"/>
      <c r="M924" s="306"/>
      <c r="N924" s="306"/>
      <c r="O924" s="306"/>
      <c r="P924" s="306"/>
      <c r="Q924" s="298"/>
      <c r="R924" s="298"/>
      <c r="S924" s="299"/>
      <c r="T924" s="300">
        <v>43850.0</v>
      </c>
      <c r="U924" s="299"/>
      <c r="V924" s="299"/>
      <c r="W924" s="298" t="s">
        <v>50</v>
      </c>
      <c r="X924" s="298" t="s">
        <v>285</v>
      </c>
      <c r="Y924" s="298" t="s">
        <v>51</v>
      </c>
      <c r="Z924" s="298" t="s">
        <v>52</v>
      </c>
      <c r="AA924" s="298" t="s">
        <v>1371</v>
      </c>
    </row>
    <row r="925" ht="15.75" customHeight="1">
      <c r="A925" s="69">
        <v>43794.0</v>
      </c>
      <c r="B925" s="70" t="s">
        <v>77</v>
      </c>
      <c r="C925" s="292">
        <v>877.0</v>
      </c>
      <c r="D925" s="571" t="s">
        <v>1923</v>
      </c>
      <c r="E925" s="23" t="s">
        <v>648</v>
      </c>
      <c r="F925" s="24">
        <v>4.0</v>
      </c>
      <c r="G925" s="48">
        <v>0.0</v>
      </c>
      <c r="H925" s="60">
        <v>0.0</v>
      </c>
      <c r="I925" s="61" t="s">
        <v>43</v>
      </c>
      <c r="J925" s="58" t="s">
        <v>1924</v>
      </c>
      <c r="K925" s="30">
        <v>43816.0</v>
      </c>
      <c r="L925" s="306"/>
      <c r="M925" s="306"/>
      <c r="N925" s="306"/>
      <c r="O925" s="306"/>
      <c r="P925" s="306"/>
      <c r="Q925" s="298"/>
      <c r="R925" s="298"/>
      <c r="S925" s="299"/>
      <c r="T925" s="300">
        <v>43850.0</v>
      </c>
      <c r="U925" s="299"/>
      <c r="V925" s="299"/>
      <c r="W925" s="298" t="s">
        <v>50</v>
      </c>
      <c r="X925" s="298" t="s">
        <v>285</v>
      </c>
      <c r="Y925" s="298" t="s">
        <v>51</v>
      </c>
      <c r="Z925" s="298" t="s">
        <v>52</v>
      </c>
      <c r="AA925" s="298" t="s">
        <v>1371</v>
      </c>
    </row>
    <row r="926" ht="30.75" customHeight="1">
      <c r="A926" s="69">
        <v>43794.0</v>
      </c>
      <c r="B926" s="70" t="s">
        <v>77</v>
      </c>
      <c r="C926" s="292">
        <v>877.0</v>
      </c>
      <c r="D926" s="571" t="s">
        <v>1923</v>
      </c>
      <c r="E926" s="23" t="s">
        <v>649</v>
      </c>
      <c r="F926" s="24">
        <v>4.0</v>
      </c>
      <c r="G926" s="48">
        <v>0.0</v>
      </c>
      <c r="H926" s="60">
        <v>0.0</v>
      </c>
      <c r="I926" s="61" t="s">
        <v>43</v>
      </c>
      <c r="J926" s="58" t="s">
        <v>1924</v>
      </c>
      <c r="K926" s="30">
        <v>43816.0</v>
      </c>
      <c r="L926" s="306"/>
      <c r="M926" s="306"/>
      <c r="N926" s="306"/>
      <c r="O926" s="306"/>
      <c r="P926" s="306"/>
      <c r="Q926" s="298"/>
      <c r="R926" s="298"/>
      <c r="S926" s="299"/>
      <c r="T926" s="300">
        <v>43850.0</v>
      </c>
      <c r="U926" s="299"/>
      <c r="V926" s="299"/>
      <c r="W926" s="298" t="s">
        <v>50</v>
      </c>
      <c r="X926" s="298" t="s">
        <v>285</v>
      </c>
      <c r="Y926" s="298" t="s">
        <v>51</v>
      </c>
      <c r="Z926" s="298" t="s">
        <v>52</v>
      </c>
      <c r="AA926" s="298" t="s">
        <v>1371</v>
      </c>
    </row>
    <row r="927" ht="15.75" customHeight="1">
      <c r="A927" s="69">
        <v>43794.0</v>
      </c>
      <c r="B927" s="70" t="s">
        <v>77</v>
      </c>
      <c r="C927" s="292">
        <v>877.0</v>
      </c>
      <c r="D927" s="571" t="s">
        <v>1923</v>
      </c>
      <c r="E927" s="32" t="s">
        <v>652</v>
      </c>
      <c r="F927" s="24">
        <v>4.0</v>
      </c>
      <c r="G927" s="48">
        <v>0.0</v>
      </c>
      <c r="H927" s="60">
        <v>0.0</v>
      </c>
      <c r="I927" s="61" t="s">
        <v>43</v>
      </c>
      <c r="J927" s="58" t="s">
        <v>1924</v>
      </c>
      <c r="K927" s="30">
        <v>43816.0</v>
      </c>
      <c r="L927" s="306"/>
      <c r="M927" s="306"/>
      <c r="N927" s="306"/>
      <c r="O927" s="306"/>
      <c r="P927" s="306"/>
      <c r="Q927" s="298"/>
      <c r="R927" s="298"/>
      <c r="S927" s="299"/>
      <c r="T927" s="300">
        <v>43850.0</v>
      </c>
      <c r="U927" s="299"/>
      <c r="V927" s="299"/>
      <c r="W927" s="298" t="s">
        <v>50</v>
      </c>
      <c r="X927" s="298" t="s">
        <v>285</v>
      </c>
      <c r="Y927" s="298" t="s">
        <v>51</v>
      </c>
      <c r="Z927" s="298" t="s">
        <v>52</v>
      </c>
      <c r="AA927" s="298" t="s">
        <v>1371</v>
      </c>
    </row>
    <row r="928" ht="15.75" customHeight="1">
      <c r="A928" s="69">
        <v>43794.0</v>
      </c>
      <c r="B928" s="70" t="s">
        <v>77</v>
      </c>
      <c r="C928" s="292">
        <v>877.0</v>
      </c>
      <c r="D928" s="571" t="s">
        <v>1923</v>
      </c>
      <c r="E928" s="32" t="s">
        <v>1926</v>
      </c>
      <c r="F928" s="24">
        <v>4.0</v>
      </c>
      <c r="G928" s="48">
        <v>2.0</v>
      </c>
      <c r="H928" s="60">
        <v>8.0</v>
      </c>
      <c r="I928" s="61" t="s">
        <v>43</v>
      </c>
      <c r="J928" s="58" t="s">
        <v>1924</v>
      </c>
      <c r="K928" s="30">
        <v>43816.0</v>
      </c>
      <c r="L928" s="306"/>
      <c r="M928" s="306"/>
      <c r="N928" s="306"/>
      <c r="O928" s="306"/>
      <c r="P928" s="306"/>
      <c r="Q928" s="298"/>
      <c r="R928" s="298"/>
      <c r="S928" s="299"/>
      <c r="T928" s="300">
        <v>43850.0</v>
      </c>
      <c r="U928" s="299"/>
      <c r="V928" s="299"/>
      <c r="W928" s="298" t="s">
        <v>50</v>
      </c>
      <c r="X928" s="298" t="s">
        <v>285</v>
      </c>
      <c r="Y928" s="298" t="s">
        <v>51</v>
      </c>
      <c r="Z928" s="298" t="s">
        <v>52</v>
      </c>
      <c r="AA928" s="298" t="s">
        <v>1371</v>
      </c>
    </row>
    <row r="929" ht="15.75" customHeight="1">
      <c r="A929" s="69">
        <v>43794.0</v>
      </c>
      <c r="B929" s="70" t="s">
        <v>77</v>
      </c>
      <c r="C929" s="292">
        <v>877.0</v>
      </c>
      <c r="D929" s="571" t="s">
        <v>1923</v>
      </c>
      <c r="E929" s="23" t="s">
        <v>1927</v>
      </c>
      <c r="F929" s="24">
        <v>4.0</v>
      </c>
      <c r="G929" s="48">
        <v>6.0</v>
      </c>
      <c r="H929" s="60">
        <v>24.0</v>
      </c>
      <c r="I929" s="61" t="s">
        <v>43</v>
      </c>
      <c r="J929" s="58" t="s">
        <v>1924</v>
      </c>
      <c r="K929" s="30">
        <v>43816.0</v>
      </c>
      <c r="L929" s="306"/>
      <c r="M929" s="306"/>
      <c r="N929" s="306"/>
      <c r="O929" s="306"/>
      <c r="P929" s="306"/>
      <c r="Q929" s="298"/>
      <c r="R929" s="298"/>
      <c r="S929" s="299"/>
      <c r="T929" s="300">
        <v>43850.0</v>
      </c>
      <c r="U929" s="299"/>
      <c r="V929" s="299"/>
      <c r="W929" s="298" t="s">
        <v>50</v>
      </c>
      <c r="X929" s="298" t="s">
        <v>285</v>
      </c>
      <c r="Y929" s="298" t="s">
        <v>51</v>
      </c>
      <c r="Z929" s="298" t="s">
        <v>52</v>
      </c>
      <c r="AA929" s="298" t="s">
        <v>1371</v>
      </c>
    </row>
    <row r="930" ht="15.75" customHeight="1">
      <c r="A930" s="69">
        <v>43794.0</v>
      </c>
      <c r="B930" s="147" t="s">
        <v>101</v>
      </c>
      <c r="C930" s="21" t="s">
        <v>1928</v>
      </c>
      <c r="D930" s="71" t="s">
        <v>1929</v>
      </c>
      <c r="E930" s="23" t="s">
        <v>1586</v>
      </c>
      <c r="F930" s="24">
        <v>8.0</v>
      </c>
      <c r="G930" s="436">
        <v>71.0</v>
      </c>
      <c r="H930" s="60">
        <v>568.0</v>
      </c>
      <c r="I930" s="61" t="s">
        <v>171</v>
      </c>
      <c r="J930" s="50" t="s">
        <v>534</v>
      </c>
      <c r="K930" s="29">
        <v>43829.0</v>
      </c>
      <c r="L930" s="306"/>
      <c r="M930" s="306"/>
      <c r="N930" s="306"/>
      <c r="O930" s="306"/>
      <c r="P930" s="306"/>
      <c r="Q930" s="298"/>
      <c r="R930" s="298"/>
      <c r="S930" s="299"/>
      <c r="T930" s="300">
        <v>43885.0</v>
      </c>
      <c r="U930" s="299"/>
      <c r="V930" s="299"/>
      <c r="W930" s="298" t="s">
        <v>50</v>
      </c>
      <c r="X930" s="298" t="s">
        <v>285</v>
      </c>
      <c r="Y930" s="298" t="s">
        <v>286</v>
      </c>
      <c r="Z930" s="298" t="s">
        <v>52</v>
      </c>
      <c r="AA930" s="298" t="s">
        <v>1371</v>
      </c>
    </row>
    <row r="931" ht="15.75" customHeight="1">
      <c r="A931" s="69">
        <v>43794.0</v>
      </c>
      <c r="B931" s="147" t="s">
        <v>101</v>
      </c>
      <c r="C931" s="21" t="s">
        <v>1928</v>
      </c>
      <c r="D931" s="71" t="s">
        <v>1929</v>
      </c>
      <c r="E931" s="23" t="s">
        <v>1587</v>
      </c>
      <c r="F931" s="24">
        <v>8.0</v>
      </c>
      <c r="G931" s="436">
        <v>60.0</v>
      </c>
      <c r="H931" s="60">
        <v>480.0</v>
      </c>
      <c r="I931" s="61" t="s">
        <v>171</v>
      </c>
      <c r="J931" s="50" t="s">
        <v>534</v>
      </c>
      <c r="K931" s="29">
        <v>43829.0</v>
      </c>
      <c r="L931" s="306"/>
      <c r="M931" s="306"/>
      <c r="N931" s="306"/>
      <c r="O931" s="306"/>
      <c r="P931" s="306"/>
      <c r="Q931" s="298"/>
      <c r="R931" s="298"/>
      <c r="S931" s="299"/>
      <c r="T931" s="300">
        <v>43885.0</v>
      </c>
      <c r="U931" s="299"/>
      <c r="V931" s="299"/>
      <c r="W931" s="298" t="s">
        <v>50</v>
      </c>
      <c r="X931" s="298" t="s">
        <v>285</v>
      </c>
      <c r="Y931" s="298" t="s">
        <v>286</v>
      </c>
      <c r="Z931" s="298" t="s">
        <v>52</v>
      </c>
      <c r="AA931" s="298" t="s">
        <v>1371</v>
      </c>
    </row>
    <row r="932" ht="15.75" customHeight="1">
      <c r="A932" s="69">
        <v>43794.0</v>
      </c>
      <c r="B932" s="144" t="s">
        <v>101</v>
      </c>
      <c r="C932" s="21" t="s">
        <v>1928</v>
      </c>
      <c r="D932" s="71" t="s">
        <v>1929</v>
      </c>
      <c r="E932" s="23" t="s">
        <v>1590</v>
      </c>
      <c r="F932" s="24">
        <v>8.0</v>
      </c>
      <c r="G932" s="436">
        <v>47.0</v>
      </c>
      <c r="H932" s="60">
        <v>376.0</v>
      </c>
      <c r="I932" s="61" t="s">
        <v>171</v>
      </c>
      <c r="J932" s="50" t="s">
        <v>534</v>
      </c>
      <c r="K932" s="29">
        <v>43829.0</v>
      </c>
      <c r="L932" s="306"/>
      <c r="M932" s="306"/>
      <c r="N932" s="306"/>
      <c r="O932" s="306"/>
      <c r="P932" s="306"/>
      <c r="Q932" s="298"/>
      <c r="R932" s="298"/>
      <c r="S932" s="299"/>
      <c r="T932" s="300">
        <v>43885.0</v>
      </c>
      <c r="U932" s="299"/>
      <c r="V932" s="299"/>
      <c r="W932" s="298" t="s">
        <v>50</v>
      </c>
      <c r="X932" s="298" t="s">
        <v>285</v>
      </c>
      <c r="Y932" s="298" t="s">
        <v>286</v>
      </c>
      <c r="Z932" s="298" t="s">
        <v>52</v>
      </c>
      <c r="AA932" s="298" t="s">
        <v>1371</v>
      </c>
    </row>
    <row r="933" ht="15.75" customHeight="1">
      <c r="A933" s="69">
        <v>43794.0</v>
      </c>
      <c r="B933" s="144" t="s">
        <v>101</v>
      </c>
      <c r="C933" s="21" t="s">
        <v>1928</v>
      </c>
      <c r="D933" s="71" t="s">
        <v>1929</v>
      </c>
      <c r="E933" s="23" t="s">
        <v>1930</v>
      </c>
      <c r="F933" s="24">
        <v>1.0</v>
      </c>
      <c r="G933" s="48">
        <v>8.0</v>
      </c>
      <c r="H933" s="60">
        <v>8.0</v>
      </c>
      <c r="I933" s="61" t="s">
        <v>171</v>
      </c>
      <c r="J933" s="50" t="s">
        <v>534</v>
      </c>
      <c r="K933" s="29">
        <v>43829.0</v>
      </c>
      <c r="L933" s="306"/>
      <c r="M933" s="306"/>
      <c r="N933" s="306"/>
      <c r="O933" s="306"/>
      <c r="P933" s="306"/>
      <c r="Q933" s="298"/>
      <c r="R933" s="298"/>
      <c r="S933" s="299"/>
      <c r="T933" s="300">
        <v>43885.0</v>
      </c>
      <c r="U933" s="299"/>
      <c r="V933" s="299"/>
      <c r="W933" s="298" t="s">
        <v>50</v>
      </c>
      <c r="X933" s="298" t="s">
        <v>285</v>
      </c>
      <c r="Y933" s="298" t="s">
        <v>286</v>
      </c>
      <c r="Z933" s="298" t="s">
        <v>52</v>
      </c>
      <c r="AA933" s="298" t="s">
        <v>1371</v>
      </c>
    </row>
    <row r="934" ht="15.75" customHeight="1">
      <c r="A934" s="69">
        <v>43795.0</v>
      </c>
      <c r="B934" s="144" t="s">
        <v>101</v>
      </c>
      <c r="C934" s="21" t="s">
        <v>1928</v>
      </c>
      <c r="D934" s="71" t="s">
        <v>1929</v>
      </c>
      <c r="E934" s="23" t="s">
        <v>1931</v>
      </c>
      <c r="F934" s="24">
        <v>8.0</v>
      </c>
      <c r="G934" s="436">
        <v>669.0</v>
      </c>
      <c r="H934" s="60">
        <v>5352.0</v>
      </c>
      <c r="I934" s="61" t="s">
        <v>171</v>
      </c>
      <c r="J934" s="50" t="s">
        <v>534</v>
      </c>
      <c r="K934" s="29">
        <v>43829.0</v>
      </c>
      <c r="L934" s="306"/>
      <c r="M934" s="306"/>
      <c r="N934" s="306"/>
      <c r="O934" s="306"/>
      <c r="P934" s="306"/>
      <c r="Q934" s="298"/>
      <c r="R934" s="298"/>
      <c r="S934" s="299"/>
      <c r="T934" s="300">
        <v>43885.0</v>
      </c>
      <c r="U934" s="299"/>
      <c r="V934" s="299"/>
      <c r="W934" s="298" t="s">
        <v>50</v>
      </c>
      <c r="X934" s="298" t="s">
        <v>285</v>
      </c>
      <c r="Y934" s="298" t="s">
        <v>286</v>
      </c>
      <c r="Z934" s="298" t="s">
        <v>52</v>
      </c>
      <c r="AA934" s="298" t="s">
        <v>1371</v>
      </c>
    </row>
    <row r="935" ht="15.75" customHeight="1">
      <c r="A935" s="69">
        <v>43797.0</v>
      </c>
      <c r="B935" s="70" t="s">
        <v>378</v>
      </c>
      <c r="C935" s="92"/>
      <c r="D935" s="71" t="s">
        <v>1932</v>
      </c>
      <c r="E935" s="23" t="s">
        <v>1933</v>
      </c>
      <c r="F935" s="24">
        <v>1.0</v>
      </c>
      <c r="G935" s="48">
        <v>20.0</v>
      </c>
      <c r="H935" s="60">
        <v>20.0</v>
      </c>
      <c r="I935" s="61" t="s">
        <v>144</v>
      </c>
      <c r="J935" s="58" t="s">
        <v>1122</v>
      </c>
      <c r="K935" s="30">
        <v>43797.0</v>
      </c>
      <c r="L935" s="306"/>
      <c r="M935" s="306"/>
      <c r="N935" s="306"/>
      <c r="O935" s="306"/>
      <c r="P935" s="306"/>
      <c r="Q935" s="298"/>
      <c r="R935" s="298"/>
      <c r="S935" s="299"/>
      <c r="T935" s="300">
        <v>43837.0</v>
      </c>
      <c r="U935" s="299"/>
      <c r="V935" s="299"/>
      <c r="W935" s="298" t="s">
        <v>50</v>
      </c>
      <c r="X935" s="298" t="s">
        <v>285</v>
      </c>
      <c r="Y935" s="298" t="s">
        <v>51</v>
      </c>
      <c r="Z935" s="298" t="s">
        <v>52</v>
      </c>
      <c r="AA935" s="298" t="s">
        <v>1371</v>
      </c>
    </row>
    <row r="936" ht="15.75" customHeight="1">
      <c r="A936" s="110">
        <v>43798.0</v>
      </c>
      <c r="B936" s="21" t="s">
        <v>119</v>
      </c>
      <c r="C936" s="92"/>
      <c r="D936" s="21" t="s">
        <v>1934</v>
      </c>
      <c r="E936" s="23" t="s">
        <v>1859</v>
      </c>
      <c r="F936" s="24">
        <v>1.0</v>
      </c>
      <c r="G936" s="48">
        <v>25.0</v>
      </c>
      <c r="H936" s="81">
        <v>25.0</v>
      </c>
      <c r="I936" s="61" t="s">
        <v>87</v>
      </c>
      <c r="J936" s="50" t="s">
        <v>513</v>
      </c>
      <c r="K936" s="300">
        <v>43803.0</v>
      </c>
      <c r="L936" s="306"/>
      <c r="M936" s="306"/>
      <c r="N936" s="306"/>
      <c r="O936" s="306"/>
      <c r="P936" s="306"/>
      <c r="Q936" s="298"/>
      <c r="R936" s="298"/>
      <c r="S936" s="299"/>
      <c r="T936" s="539"/>
      <c r="U936" s="299"/>
      <c r="V936" s="299"/>
      <c r="W936" s="298"/>
      <c r="X936" s="298" t="s">
        <v>285</v>
      </c>
      <c r="Y936" s="298" t="s">
        <v>51</v>
      </c>
      <c r="Z936" s="298" t="s">
        <v>52</v>
      </c>
      <c r="AA936" s="298" t="s">
        <v>1371</v>
      </c>
    </row>
    <row r="937" ht="15.75" customHeight="1">
      <c r="A937" s="110">
        <v>43798.0</v>
      </c>
      <c r="B937" s="21" t="s">
        <v>119</v>
      </c>
      <c r="C937" s="92"/>
      <c r="D937" s="71" t="s">
        <v>1934</v>
      </c>
      <c r="E937" s="23" t="s">
        <v>1935</v>
      </c>
      <c r="F937" s="24">
        <v>1.0</v>
      </c>
      <c r="G937" s="48">
        <v>15.0</v>
      </c>
      <c r="H937" s="81">
        <v>15.0</v>
      </c>
      <c r="I937" s="61" t="s">
        <v>87</v>
      </c>
      <c r="J937" s="50" t="s">
        <v>513</v>
      </c>
      <c r="K937" s="300">
        <v>43803.0</v>
      </c>
      <c r="L937" s="306"/>
      <c r="M937" s="306"/>
      <c r="N937" s="306"/>
      <c r="O937" s="306"/>
      <c r="P937" s="306"/>
      <c r="Q937" s="298"/>
      <c r="R937" s="298"/>
      <c r="S937" s="299"/>
      <c r="T937" s="539"/>
      <c r="U937" s="299"/>
      <c r="V937" s="299"/>
      <c r="W937" s="298"/>
      <c r="X937" s="298" t="s">
        <v>285</v>
      </c>
      <c r="Y937" s="298" t="s">
        <v>51</v>
      </c>
      <c r="Z937" s="298" t="s">
        <v>52</v>
      </c>
      <c r="AA937" s="298" t="s">
        <v>1371</v>
      </c>
    </row>
    <row r="938" ht="15.75" customHeight="1">
      <c r="A938" s="69">
        <v>43801.0</v>
      </c>
      <c r="B938" s="70" t="s">
        <v>250</v>
      </c>
      <c r="C938" s="92"/>
      <c r="D938" s="71" t="s">
        <v>1936</v>
      </c>
      <c r="E938" s="23" t="s">
        <v>1937</v>
      </c>
      <c r="F938" s="24">
        <v>1.0</v>
      </c>
      <c r="G938" s="48">
        <v>0.0</v>
      </c>
      <c r="H938" s="60">
        <v>0.0</v>
      </c>
      <c r="I938" s="61" t="s">
        <v>171</v>
      </c>
      <c r="J938" s="63"/>
      <c r="K938" s="29">
        <v>43801.0</v>
      </c>
      <c r="L938" s="52"/>
      <c r="M938" s="53"/>
      <c r="N938" s="53"/>
      <c r="O938" s="53"/>
      <c r="P938" s="53"/>
      <c r="Q938" s="54"/>
      <c r="R938" s="54"/>
      <c r="S938" s="55"/>
      <c r="T938" s="68"/>
      <c r="U938" s="55"/>
      <c r="V938" s="55"/>
      <c r="W938" s="54"/>
      <c r="X938" s="54" t="s">
        <v>1631</v>
      </c>
      <c r="Y938" s="54"/>
      <c r="Z938" s="54"/>
      <c r="AA938" s="57"/>
    </row>
    <row r="939" ht="15.75" customHeight="1">
      <c r="A939" s="69">
        <v>43801.0</v>
      </c>
      <c r="B939" s="70" t="s">
        <v>250</v>
      </c>
      <c r="C939" s="128"/>
      <c r="D939" s="71" t="s">
        <v>1936</v>
      </c>
      <c r="E939" s="572" t="s">
        <v>1938</v>
      </c>
      <c r="F939" s="130">
        <v>1.0</v>
      </c>
      <c r="G939" s="25">
        <v>0.0</v>
      </c>
      <c r="H939" s="60">
        <v>0.0</v>
      </c>
      <c r="I939" s="61" t="s">
        <v>171</v>
      </c>
      <c r="J939" s="63"/>
      <c r="K939" s="29">
        <v>43801.0</v>
      </c>
      <c r="L939" s="52"/>
      <c r="M939" s="53"/>
      <c r="N939" s="53"/>
      <c r="O939" s="53"/>
      <c r="P939" s="53"/>
      <c r="Q939" s="54"/>
      <c r="R939" s="54"/>
      <c r="S939" s="55"/>
      <c r="T939" s="68"/>
      <c r="U939" s="55"/>
      <c r="V939" s="55"/>
      <c r="W939" s="54"/>
      <c r="X939" s="54" t="s">
        <v>1631</v>
      </c>
      <c r="Y939" s="54"/>
      <c r="Z939" s="57"/>
      <c r="AA939" s="57"/>
    </row>
    <row r="940" ht="15.75" customHeight="1">
      <c r="A940" s="69">
        <v>43801.0</v>
      </c>
      <c r="B940" s="70" t="s">
        <v>250</v>
      </c>
      <c r="C940" s="92"/>
      <c r="D940" s="71" t="s">
        <v>1936</v>
      </c>
      <c r="E940" s="572" t="s">
        <v>1939</v>
      </c>
      <c r="F940" s="24">
        <v>1.0</v>
      </c>
      <c r="G940" s="48">
        <v>0.0</v>
      </c>
      <c r="H940" s="470">
        <v>0.0</v>
      </c>
      <c r="I940" s="61" t="s">
        <v>171</v>
      </c>
      <c r="J940" s="63"/>
      <c r="K940" s="29">
        <v>43801.0</v>
      </c>
      <c r="L940" s="52"/>
      <c r="M940" s="53"/>
      <c r="N940" s="53"/>
      <c r="O940" s="53"/>
      <c r="P940" s="53"/>
      <c r="Q940" s="54"/>
      <c r="R940" s="54"/>
      <c r="S940" s="55"/>
      <c r="T940" s="68"/>
      <c r="U940" s="55"/>
      <c r="V940" s="55"/>
      <c r="W940" s="54"/>
      <c r="X940" s="54" t="s">
        <v>1631</v>
      </c>
      <c r="Y940" s="54"/>
      <c r="Z940" s="54"/>
      <c r="AA940" s="57"/>
    </row>
    <row r="941" ht="15.75" customHeight="1">
      <c r="A941" s="69">
        <v>43801.0</v>
      </c>
      <c r="B941" s="70" t="s">
        <v>250</v>
      </c>
      <c r="C941" s="92"/>
      <c r="D941" s="71" t="s">
        <v>1936</v>
      </c>
      <c r="E941" s="23" t="s">
        <v>1940</v>
      </c>
      <c r="F941" s="24">
        <v>1.0</v>
      </c>
      <c r="G941" s="48">
        <v>0.0</v>
      </c>
      <c r="H941" s="470">
        <v>0.0</v>
      </c>
      <c r="I941" s="61" t="s">
        <v>171</v>
      </c>
      <c r="J941" s="63"/>
      <c r="K941" s="29">
        <v>43801.0</v>
      </c>
      <c r="L941" s="52"/>
      <c r="M941" s="53"/>
      <c r="N941" s="53"/>
      <c r="O941" s="53"/>
      <c r="P941" s="53"/>
      <c r="Q941" s="54"/>
      <c r="R941" s="54"/>
      <c r="S941" s="55"/>
      <c r="T941" s="68"/>
      <c r="U941" s="55"/>
      <c r="V941" s="55"/>
      <c r="W941" s="54"/>
      <c r="X941" s="54" t="s">
        <v>1631</v>
      </c>
      <c r="Y941" s="54"/>
      <c r="Z941" s="54"/>
      <c r="AA941" s="57"/>
    </row>
    <row r="942" ht="15.75" customHeight="1">
      <c r="A942" s="69">
        <v>43802.0</v>
      </c>
      <c r="B942" s="32" t="s">
        <v>77</v>
      </c>
      <c r="C942" s="21">
        <v>913.0</v>
      </c>
      <c r="D942" s="32" t="s">
        <v>181</v>
      </c>
      <c r="E942" s="23" t="s">
        <v>589</v>
      </c>
      <c r="F942" s="130">
        <v>1.0</v>
      </c>
      <c r="G942" s="25">
        <v>77.0</v>
      </c>
      <c r="H942" s="26">
        <v>77.0</v>
      </c>
      <c r="I942" s="61" t="s">
        <v>43</v>
      </c>
      <c r="J942" s="58" t="s">
        <v>1924</v>
      </c>
      <c r="K942" s="30">
        <v>43816.0</v>
      </c>
      <c r="L942" s="306"/>
      <c r="M942" s="306"/>
      <c r="N942" s="306"/>
      <c r="O942" s="306"/>
      <c r="P942" s="306"/>
      <c r="Q942" s="298"/>
      <c r="R942" s="298"/>
      <c r="S942" s="299"/>
      <c r="T942" s="300">
        <v>43850.0</v>
      </c>
      <c r="U942" s="299"/>
      <c r="V942" s="299"/>
      <c r="W942" s="298" t="s">
        <v>50</v>
      </c>
      <c r="X942" s="298" t="s">
        <v>285</v>
      </c>
      <c r="Y942" s="298" t="s">
        <v>51</v>
      </c>
      <c r="Z942" s="234" t="s">
        <v>52</v>
      </c>
      <c r="AA942" s="298" t="s">
        <v>1371</v>
      </c>
    </row>
    <row r="943" ht="15.75" customHeight="1">
      <c r="A943" s="69">
        <v>43804.0</v>
      </c>
      <c r="B943" s="70" t="s">
        <v>223</v>
      </c>
      <c r="C943" s="21" t="s">
        <v>1941</v>
      </c>
      <c r="D943" s="111" t="s">
        <v>1942</v>
      </c>
      <c r="E943" s="23" t="s">
        <v>1943</v>
      </c>
      <c r="F943" s="24">
        <v>4.0</v>
      </c>
      <c r="G943" s="48">
        <f>31*1.05</f>
        <v>32.55</v>
      </c>
      <c r="H943" s="60">
        <v>130.20000000000002</v>
      </c>
      <c r="I943" s="132" t="s">
        <v>87</v>
      </c>
      <c r="J943" s="50" t="s">
        <v>90</v>
      </c>
      <c r="K943" s="30">
        <v>43818.0</v>
      </c>
      <c r="L943" s="306"/>
      <c r="M943" s="306"/>
      <c r="N943" s="306"/>
      <c r="O943" s="306"/>
      <c r="P943" s="306"/>
      <c r="Q943" s="298"/>
      <c r="R943" s="299"/>
      <c r="S943" s="539"/>
      <c r="T943" s="300">
        <v>43838.0</v>
      </c>
      <c r="U943" s="299"/>
      <c r="V943" s="298"/>
      <c r="W943" s="298" t="s">
        <v>50</v>
      </c>
      <c r="X943" s="298" t="s">
        <v>285</v>
      </c>
      <c r="Y943" s="298" t="s">
        <v>51</v>
      </c>
      <c r="Z943" s="234" t="s">
        <v>377</v>
      </c>
      <c r="AA943" s="298" t="s">
        <v>1371</v>
      </c>
    </row>
    <row r="944" ht="15.75" customHeight="1">
      <c r="A944" s="69">
        <v>43804.0</v>
      </c>
      <c r="B944" s="70" t="s">
        <v>223</v>
      </c>
      <c r="C944" s="21" t="s">
        <v>1941</v>
      </c>
      <c r="D944" s="111" t="s">
        <v>1942</v>
      </c>
      <c r="E944" s="23" t="s">
        <v>1944</v>
      </c>
      <c r="F944" s="24">
        <v>2.0</v>
      </c>
      <c r="G944" s="48">
        <v>519.75</v>
      </c>
      <c r="H944" s="60">
        <v>1039.5</v>
      </c>
      <c r="I944" s="132" t="s">
        <v>87</v>
      </c>
      <c r="J944" s="50" t="s">
        <v>90</v>
      </c>
      <c r="K944" s="29">
        <v>43822.0</v>
      </c>
      <c r="L944" s="306"/>
      <c r="M944" s="306"/>
      <c r="N944" s="306"/>
      <c r="O944" s="306"/>
      <c r="P944" s="306"/>
      <c r="Q944" s="298"/>
      <c r="R944" s="299"/>
      <c r="S944" s="539"/>
      <c r="T944" s="300">
        <v>43838.0</v>
      </c>
      <c r="U944" s="299"/>
      <c r="V944" s="298"/>
      <c r="W944" s="298" t="s">
        <v>50</v>
      </c>
      <c r="X944" s="298" t="s">
        <v>285</v>
      </c>
      <c r="Y944" s="298" t="s">
        <v>51</v>
      </c>
      <c r="Z944" s="234" t="s">
        <v>377</v>
      </c>
      <c r="AA944" s="298" t="s">
        <v>1371</v>
      </c>
    </row>
    <row r="945" ht="15.75" customHeight="1">
      <c r="A945" s="69">
        <v>43810.0</v>
      </c>
      <c r="B945" s="70" t="s">
        <v>1479</v>
      </c>
      <c r="C945" s="21" t="s">
        <v>1480</v>
      </c>
      <c r="D945" s="71" t="s">
        <v>1945</v>
      </c>
      <c r="E945" s="23" t="s">
        <v>1946</v>
      </c>
      <c r="F945" s="24">
        <v>1.0</v>
      </c>
      <c r="G945" s="48">
        <v>667.374</v>
      </c>
      <c r="H945" s="26">
        <v>667.37</v>
      </c>
      <c r="I945" s="61" t="s">
        <v>144</v>
      </c>
      <c r="J945" s="63" t="s">
        <v>1483</v>
      </c>
      <c r="K945" s="298"/>
      <c r="L945" s="52"/>
      <c r="M945" s="53"/>
      <c r="N945" s="53"/>
      <c r="O945" s="53"/>
      <c r="P945" s="53"/>
      <c r="Q945" s="54"/>
      <c r="R945" s="54"/>
      <c r="S945" s="55"/>
      <c r="T945" s="68"/>
      <c r="U945" s="55"/>
      <c r="V945" s="55"/>
      <c r="W945" s="298" t="s">
        <v>50</v>
      </c>
      <c r="X945" s="54" t="s">
        <v>285</v>
      </c>
      <c r="Y945" s="54"/>
      <c r="Z945" s="54"/>
      <c r="AA945" s="57"/>
    </row>
    <row r="946" ht="15.75" customHeight="1">
      <c r="A946" s="69">
        <v>43810.0</v>
      </c>
      <c r="B946" s="70" t="s">
        <v>1479</v>
      </c>
      <c r="C946" s="21" t="s">
        <v>1480</v>
      </c>
      <c r="D946" s="71" t="s">
        <v>1945</v>
      </c>
      <c r="E946" s="23" t="s">
        <v>1947</v>
      </c>
      <c r="F946" s="24">
        <v>1.0</v>
      </c>
      <c r="G946" s="48">
        <v>1283.82</v>
      </c>
      <c r="H946" s="26">
        <v>1283.82</v>
      </c>
      <c r="I946" s="61" t="s">
        <v>144</v>
      </c>
      <c r="J946" s="63" t="s">
        <v>1483</v>
      </c>
      <c r="K946" s="298"/>
      <c r="L946" s="52"/>
      <c r="M946" s="53"/>
      <c r="N946" s="53"/>
      <c r="O946" s="53"/>
      <c r="P946" s="53"/>
      <c r="Q946" s="54"/>
      <c r="R946" s="54"/>
      <c r="S946" s="55"/>
      <c r="T946" s="68"/>
      <c r="U946" s="55"/>
      <c r="V946" s="55"/>
      <c r="W946" s="298" t="s">
        <v>50</v>
      </c>
      <c r="X946" s="54" t="s">
        <v>285</v>
      </c>
      <c r="Y946" s="54"/>
      <c r="Z946" s="54"/>
      <c r="AA946" s="57"/>
    </row>
    <row r="947" ht="15.75" customHeight="1">
      <c r="A947" s="69">
        <v>43810.0</v>
      </c>
      <c r="B947" s="70" t="s">
        <v>223</v>
      </c>
      <c r="C947" s="21" t="s">
        <v>1948</v>
      </c>
      <c r="D947" s="112" t="s">
        <v>1949</v>
      </c>
      <c r="E947" s="23" t="s">
        <v>1950</v>
      </c>
      <c r="F947" s="24">
        <v>1.0</v>
      </c>
      <c r="G947" s="48">
        <v>97.65</v>
      </c>
      <c r="H947" s="60">
        <v>97.65</v>
      </c>
      <c r="I947" s="61" t="s">
        <v>87</v>
      </c>
      <c r="J947" s="50" t="s">
        <v>227</v>
      </c>
      <c r="K947" s="30">
        <v>43822.0</v>
      </c>
      <c r="L947" s="306"/>
      <c r="M947" s="306"/>
      <c r="N947" s="306"/>
      <c r="O947" s="306"/>
      <c r="P947" s="306"/>
      <c r="Q947" s="298"/>
      <c r="R947" s="298"/>
      <c r="S947" s="299"/>
      <c r="T947" s="300">
        <v>43838.0</v>
      </c>
      <c r="U947" s="299"/>
      <c r="V947" s="298"/>
      <c r="W947" s="298" t="s">
        <v>50</v>
      </c>
      <c r="X947" s="298" t="s">
        <v>285</v>
      </c>
      <c r="Y947" s="298" t="s">
        <v>51</v>
      </c>
      <c r="Z947" s="234" t="s">
        <v>377</v>
      </c>
      <c r="AA947" s="298" t="s">
        <v>1371</v>
      </c>
    </row>
    <row r="948" ht="15.75" customHeight="1">
      <c r="A948" s="69">
        <v>43812.0</v>
      </c>
      <c r="B948" s="70" t="s">
        <v>101</v>
      </c>
      <c r="C948" s="21" t="s">
        <v>1951</v>
      </c>
      <c r="D948" s="112" t="s">
        <v>1952</v>
      </c>
      <c r="E948" s="23" t="s">
        <v>1953</v>
      </c>
      <c r="F948" s="24">
        <v>3.0</v>
      </c>
      <c r="G948" s="48">
        <v>550.0</v>
      </c>
      <c r="H948" s="60">
        <v>1650.0</v>
      </c>
      <c r="I948" s="61" t="s">
        <v>87</v>
      </c>
      <c r="J948" s="50" t="s">
        <v>1056</v>
      </c>
      <c r="K948" s="29">
        <v>43829.0</v>
      </c>
      <c r="L948" s="306"/>
      <c r="M948" s="306"/>
      <c r="N948" s="306"/>
      <c r="O948" s="306"/>
      <c r="P948" s="306"/>
      <c r="Q948" s="298"/>
      <c r="R948" s="298"/>
      <c r="S948" s="299"/>
      <c r="T948" s="300">
        <v>43885.0</v>
      </c>
      <c r="U948" s="299"/>
      <c r="V948" s="299"/>
      <c r="W948" s="298" t="s">
        <v>50</v>
      </c>
      <c r="X948" s="298" t="s">
        <v>285</v>
      </c>
      <c r="Y948" s="298" t="s">
        <v>51</v>
      </c>
      <c r="Z948" s="234" t="s">
        <v>52</v>
      </c>
      <c r="AA948" s="298" t="s">
        <v>1371</v>
      </c>
    </row>
    <row r="949" ht="15.75" customHeight="1">
      <c r="A949" s="69">
        <v>43812.0</v>
      </c>
      <c r="B949" s="70" t="s">
        <v>101</v>
      </c>
      <c r="C949" s="21" t="s">
        <v>1951</v>
      </c>
      <c r="D949" s="112" t="s">
        <v>1952</v>
      </c>
      <c r="E949" s="23" t="s">
        <v>1954</v>
      </c>
      <c r="F949" s="24">
        <v>3.0</v>
      </c>
      <c r="G949" s="48">
        <v>352.0</v>
      </c>
      <c r="H949" s="60">
        <v>1056.0</v>
      </c>
      <c r="I949" s="61" t="s">
        <v>87</v>
      </c>
      <c r="J949" s="50" t="s">
        <v>1056</v>
      </c>
      <c r="K949" s="29">
        <v>43829.0</v>
      </c>
      <c r="L949" s="306"/>
      <c r="M949" s="306"/>
      <c r="N949" s="306"/>
      <c r="O949" s="306"/>
      <c r="P949" s="306"/>
      <c r="Q949" s="298"/>
      <c r="R949" s="298"/>
      <c r="S949" s="299"/>
      <c r="T949" s="300">
        <v>43885.0</v>
      </c>
      <c r="U949" s="299"/>
      <c r="V949" s="299"/>
      <c r="W949" s="298" t="s">
        <v>50</v>
      </c>
      <c r="X949" s="298" t="s">
        <v>285</v>
      </c>
      <c r="Y949" s="298" t="s">
        <v>51</v>
      </c>
      <c r="Z949" s="234" t="s">
        <v>52</v>
      </c>
      <c r="AA949" s="298" t="s">
        <v>1371</v>
      </c>
    </row>
    <row r="950" ht="15.75" customHeight="1">
      <c r="A950" s="69">
        <v>43812.0</v>
      </c>
      <c r="B950" s="70" t="s">
        <v>101</v>
      </c>
      <c r="C950" s="21" t="s">
        <v>1951</v>
      </c>
      <c r="D950" s="112" t="s">
        <v>1952</v>
      </c>
      <c r="E950" s="23" t="s">
        <v>1955</v>
      </c>
      <c r="F950" s="130">
        <v>3.0</v>
      </c>
      <c r="G950" s="25">
        <v>38.0</v>
      </c>
      <c r="H950" s="212">
        <v>114.0</v>
      </c>
      <c r="I950" s="61" t="s">
        <v>87</v>
      </c>
      <c r="J950" s="50" t="s">
        <v>1056</v>
      </c>
      <c r="K950" s="29">
        <v>43829.0</v>
      </c>
      <c r="L950" s="306"/>
      <c r="M950" s="306"/>
      <c r="N950" s="306"/>
      <c r="O950" s="306"/>
      <c r="P950" s="306"/>
      <c r="Q950" s="298"/>
      <c r="R950" s="298"/>
      <c r="S950" s="299"/>
      <c r="T950" s="300">
        <v>43885.0</v>
      </c>
      <c r="U950" s="299"/>
      <c r="V950" s="299"/>
      <c r="W950" s="298" t="s">
        <v>50</v>
      </c>
      <c r="X950" s="298" t="s">
        <v>285</v>
      </c>
      <c r="Y950" s="298" t="s">
        <v>51</v>
      </c>
      <c r="Z950" s="234" t="s">
        <v>52</v>
      </c>
      <c r="AA950" s="298" t="s">
        <v>1371</v>
      </c>
    </row>
    <row r="951" ht="15.75" customHeight="1">
      <c r="A951" s="69">
        <v>43812.0</v>
      </c>
      <c r="B951" s="70" t="s">
        <v>101</v>
      </c>
      <c r="C951" s="70" t="s">
        <v>1951</v>
      </c>
      <c r="D951" s="112" t="s">
        <v>1952</v>
      </c>
      <c r="E951" s="23" t="s">
        <v>1956</v>
      </c>
      <c r="F951" s="421">
        <v>3.0</v>
      </c>
      <c r="G951" s="25">
        <v>15.0</v>
      </c>
      <c r="H951" s="60">
        <v>45.0</v>
      </c>
      <c r="I951" s="61" t="s">
        <v>87</v>
      </c>
      <c r="J951" s="50" t="s">
        <v>1056</v>
      </c>
      <c r="K951" s="29">
        <v>43829.0</v>
      </c>
      <c r="L951" s="306"/>
      <c r="M951" s="306"/>
      <c r="N951" s="306"/>
      <c r="O951" s="306"/>
      <c r="P951" s="306"/>
      <c r="Q951" s="298"/>
      <c r="R951" s="298"/>
      <c r="S951" s="299"/>
      <c r="T951" s="300">
        <v>43885.0</v>
      </c>
      <c r="U951" s="299"/>
      <c r="V951" s="299"/>
      <c r="W951" s="298" t="s">
        <v>50</v>
      </c>
      <c r="X951" s="298" t="s">
        <v>285</v>
      </c>
      <c r="Y951" s="298" t="s">
        <v>51</v>
      </c>
      <c r="Z951" s="234" t="s">
        <v>52</v>
      </c>
      <c r="AA951" s="298" t="s">
        <v>1371</v>
      </c>
    </row>
    <row r="952" ht="15.75" customHeight="1">
      <c r="A952" s="69">
        <v>43812.0</v>
      </c>
      <c r="B952" s="70" t="s">
        <v>101</v>
      </c>
      <c r="C952" s="21" t="s">
        <v>1951</v>
      </c>
      <c r="D952" s="112" t="s">
        <v>1952</v>
      </c>
      <c r="E952" s="23" t="s">
        <v>1957</v>
      </c>
      <c r="F952" s="24">
        <v>3.0</v>
      </c>
      <c r="G952" s="48">
        <v>10.0</v>
      </c>
      <c r="H952" s="60">
        <v>30.0</v>
      </c>
      <c r="I952" s="61" t="s">
        <v>87</v>
      </c>
      <c r="J952" s="50" t="s">
        <v>1056</v>
      </c>
      <c r="K952" s="29">
        <v>43829.0</v>
      </c>
      <c r="L952" s="306"/>
      <c r="M952" s="306"/>
      <c r="N952" s="306"/>
      <c r="O952" s="306"/>
      <c r="P952" s="306"/>
      <c r="Q952" s="298"/>
      <c r="R952" s="298"/>
      <c r="S952" s="299"/>
      <c r="T952" s="300">
        <v>43885.0</v>
      </c>
      <c r="U952" s="299"/>
      <c r="V952" s="299"/>
      <c r="W952" s="298" t="s">
        <v>50</v>
      </c>
      <c r="X952" s="298" t="s">
        <v>285</v>
      </c>
      <c r="Y952" s="298" t="s">
        <v>51</v>
      </c>
      <c r="Z952" s="234" t="s">
        <v>52</v>
      </c>
      <c r="AA952" s="298" t="s">
        <v>1371</v>
      </c>
    </row>
    <row r="953" ht="15.75" customHeight="1">
      <c r="A953" s="69">
        <v>43812.0</v>
      </c>
      <c r="B953" s="70" t="s">
        <v>101</v>
      </c>
      <c r="C953" s="21" t="s">
        <v>1951</v>
      </c>
      <c r="D953" s="112" t="s">
        <v>1952</v>
      </c>
      <c r="E953" s="23" t="s">
        <v>1958</v>
      </c>
      <c r="F953" s="24">
        <v>3.0</v>
      </c>
      <c r="G953" s="48">
        <v>79.0</v>
      </c>
      <c r="H953" s="60">
        <v>237.0</v>
      </c>
      <c r="I953" s="61" t="s">
        <v>87</v>
      </c>
      <c r="J953" s="50" t="s">
        <v>1056</v>
      </c>
      <c r="K953" s="29">
        <v>43829.0</v>
      </c>
      <c r="L953" s="306"/>
      <c r="M953" s="306"/>
      <c r="N953" s="306"/>
      <c r="O953" s="306"/>
      <c r="P953" s="306"/>
      <c r="Q953" s="298"/>
      <c r="R953" s="298"/>
      <c r="S953" s="299"/>
      <c r="T953" s="300">
        <v>43885.0</v>
      </c>
      <c r="U953" s="299"/>
      <c r="V953" s="299"/>
      <c r="W953" s="298" t="s">
        <v>50</v>
      </c>
      <c r="X953" s="298" t="s">
        <v>285</v>
      </c>
      <c r="Y953" s="298" t="s">
        <v>51</v>
      </c>
      <c r="Z953" s="234" t="s">
        <v>52</v>
      </c>
      <c r="AA953" s="298" t="s">
        <v>1371</v>
      </c>
    </row>
    <row r="954" ht="15.75" customHeight="1">
      <c r="A954" s="69">
        <v>43812.0</v>
      </c>
      <c r="B954" s="70" t="s">
        <v>101</v>
      </c>
      <c r="C954" s="21" t="s">
        <v>1951</v>
      </c>
      <c r="D954" s="112" t="s">
        <v>1952</v>
      </c>
      <c r="E954" s="23" t="s">
        <v>1959</v>
      </c>
      <c r="F954" s="24">
        <v>3.0</v>
      </c>
      <c r="G954" s="48">
        <v>58.0</v>
      </c>
      <c r="H954" s="60">
        <v>174.0</v>
      </c>
      <c r="I954" s="61" t="s">
        <v>87</v>
      </c>
      <c r="J954" s="50" t="s">
        <v>1056</v>
      </c>
      <c r="K954" s="29">
        <v>43829.0</v>
      </c>
      <c r="L954" s="306"/>
      <c r="M954" s="306"/>
      <c r="N954" s="306"/>
      <c r="O954" s="306"/>
      <c r="P954" s="306"/>
      <c r="Q954" s="298"/>
      <c r="R954" s="298"/>
      <c r="S954" s="299"/>
      <c r="T954" s="300">
        <v>43885.0</v>
      </c>
      <c r="U954" s="299"/>
      <c r="V954" s="299"/>
      <c r="W954" s="298" t="s">
        <v>50</v>
      </c>
      <c r="X954" s="298" t="s">
        <v>285</v>
      </c>
      <c r="Y954" s="298" t="s">
        <v>51</v>
      </c>
      <c r="Z954" s="234" t="s">
        <v>52</v>
      </c>
      <c r="AA954" s="298" t="s">
        <v>1371</v>
      </c>
    </row>
    <row r="955" ht="15.75" customHeight="1">
      <c r="A955" s="69">
        <v>43812.0</v>
      </c>
      <c r="B955" s="70" t="s">
        <v>1479</v>
      </c>
      <c r="C955" s="21" t="s">
        <v>1480</v>
      </c>
      <c r="D955" s="71" t="s">
        <v>1960</v>
      </c>
      <c r="E955" s="23" t="s">
        <v>1961</v>
      </c>
      <c r="F955" s="24">
        <v>1.0</v>
      </c>
      <c r="G955" s="48">
        <v>2404.72</v>
      </c>
      <c r="H955" s="26">
        <v>2404.72</v>
      </c>
      <c r="I955" s="132" t="s">
        <v>144</v>
      </c>
      <c r="J955" s="63" t="s">
        <v>1483</v>
      </c>
      <c r="K955" s="298"/>
      <c r="L955" s="53"/>
      <c r="M955" s="53"/>
      <c r="N955" s="53"/>
      <c r="O955" s="53"/>
      <c r="P955" s="53"/>
      <c r="Q955" s="54"/>
      <c r="R955" s="55"/>
      <c r="S955" s="68"/>
      <c r="T955" s="55"/>
      <c r="U955" s="55"/>
      <c r="V955" s="54"/>
      <c r="W955" s="298" t="s">
        <v>50</v>
      </c>
      <c r="X955" s="54" t="s">
        <v>285</v>
      </c>
      <c r="Y955" s="54"/>
      <c r="Z955" s="54"/>
      <c r="AA955" s="57"/>
    </row>
    <row r="956" ht="15.75" customHeight="1">
      <c r="A956" s="69">
        <v>43815.0</v>
      </c>
      <c r="B956" s="23" t="s">
        <v>406</v>
      </c>
      <c r="C956" s="21">
        <v>7.000152702E9</v>
      </c>
      <c r="D956" s="71" t="s">
        <v>1962</v>
      </c>
      <c r="E956" s="32" t="s">
        <v>481</v>
      </c>
      <c r="F956" s="24">
        <v>1.0</v>
      </c>
      <c r="G956" s="48">
        <v>137.0</v>
      </c>
      <c r="H956" s="60">
        <v>137.0</v>
      </c>
      <c r="I956" s="61" t="s">
        <v>43</v>
      </c>
      <c r="J956" s="50" t="s">
        <v>513</v>
      </c>
      <c r="K956" s="30">
        <v>43826.0</v>
      </c>
      <c r="L956" s="306"/>
      <c r="M956" s="306"/>
      <c r="N956" s="306"/>
      <c r="O956" s="306"/>
      <c r="P956" s="306"/>
      <c r="Q956" s="298"/>
      <c r="R956" s="298"/>
      <c r="S956" s="299"/>
      <c r="T956" s="300">
        <v>43860.0</v>
      </c>
      <c r="U956" s="299"/>
      <c r="V956" s="299"/>
      <c r="W956" s="298" t="s">
        <v>50</v>
      </c>
      <c r="X956" s="298" t="s">
        <v>285</v>
      </c>
      <c r="Y956" s="298" t="s">
        <v>51</v>
      </c>
      <c r="Z956" s="234" t="s">
        <v>52</v>
      </c>
      <c r="AA956" s="298" t="s">
        <v>1371</v>
      </c>
    </row>
    <row r="957" ht="15.75" customHeight="1">
      <c r="A957" s="69">
        <v>43817.0</v>
      </c>
      <c r="B957" s="21" t="s">
        <v>1494</v>
      </c>
      <c r="C957" s="92"/>
      <c r="D957" s="21" t="s">
        <v>1963</v>
      </c>
      <c r="E957" s="23" t="s">
        <v>1964</v>
      </c>
      <c r="F957" s="130">
        <v>2.0</v>
      </c>
      <c r="G957" s="25">
        <v>431.0</v>
      </c>
      <c r="H957" s="60">
        <v>862.0</v>
      </c>
      <c r="I957" s="132" t="s">
        <v>144</v>
      </c>
      <c r="J957" s="407" t="s">
        <v>1497</v>
      </c>
      <c r="K957" s="30">
        <v>43826.0</v>
      </c>
      <c r="L957" s="306"/>
      <c r="M957" s="306"/>
      <c r="N957" s="306"/>
      <c r="O957" s="306"/>
      <c r="P957" s="306"/>
      <c r="Q957" s="298"/>
      <c r="R957" s="298"/>
      <c r="S957" s="299"/>
      <c r="T957" s="29">
        <v>43823.0</v>
      </c>
      <c r="U957" s="299"/>
      <c r="V957" s="299"/>
      <c r="W957" s="298" t="s">
        <v>50</v>
      </c>
      <c r="X957" s="298" t="s">
        <v>285</v>
      </c>
      <c r="Y957" s="298" t="s">
        <v>51</v>
      </c>
      <c r="Z957" s="234" t="s">
        <v>52</v>
      </c>
      <c r="AA957" s="298" t="s">
        <v>1371</v>
      </c>
    </row>
    <row r="958" ht="15.75" customHeight="1">
      <c r="A958" s="69">
        <v>43817.0</v>
      </c>
      <c r="B958" s="21" t="s">
        <v>1494</v>
      </c>
      <c r="C958" s="92"/>
      <c r="D958" s="71" t="s">
        <v>1963</v>
      </c>
      <c r="E958" s="32" t="s">
        <v>1965</v>
      </c>
      <c r="F958" s="24">
        <v>2.0</v>
      </c>
      <c r="G958" s="48">
        <v>16.0</v>
      </c>
      <c r="H958" s="60">
        <v>32.0</v>
      </c>
      <c r="I958" s="132" t="s">
        <v>144</v>
      </c>
      <c r="J958" s="50" t="s">
        <v>1497</v>
      </c>
      <c r="K958" s="30">
        <v>43826.0</v>
      </c>
      <c r="L958" s="306"/>
      <c r="M958" s="306"/>
      <c r="N958" s="306"/>
      <c r="O958" s="306"/>
      <c r="P958" s="306"/>
      <c r="Q958" s="298"/>
      <c r="R958" s="298"/>
      <c r="S958" s="299"/>
      <c r="T958" s="29">
        <v>43823.0</v>
      </c>
      <c r="U958" s="299"/>
      <c r="V958" s="299"/>
      <c r="W958" s="298" t="s">
        <v>50</v>
      </c>
      <c r="X958" s="298" t="s">
        <v>285</v>
      </c>
      <c r="Y958" s="298" t="s">
        <v>51</v>
      </c>
      <c r="Z958" s="234" t="s">
        <v>52</v>
      </c>
      <c r="AA958" s="298" t="s">
        <v>1371</v>
      </c>
    </row>
    <row r="959" ht="15.75" customHeight="1">
      <c r="A959" s="69">
        <v>43817.0</v>
      </c>
      <c r="B959" s="21" t="s">
        <v>1494</v>
      </c>
      <c r="C959" s="92"/>
      <c r="D959" s="71" t="s">
        <v>1963</v>
      </c>
      <c r="E959" s="32" t="s">
        <v>1966</v>
      </c>
      <c r="F959" s="24">
        <v>1.0</v>
      </c>
      <c r="G959" s="48">
        <v>30.0</v>
      </c>
      <c r="H959" s="81">
        <v>30.0</v>
      </c>
      <c r="I959" s="132" t="s">
        <v>144</v>
      </c>
      <c r="J959" s="50" t="s">
        <v>1497</v>
      </c>
      <c r="K959" s="29">
        <v>43830.0</v>
      </c>
      <c r="L959" s="306"/>
      <c r="M959" s="306"/>
      <c r="N959" s="306"/>
      <c r="O959" s="306"/>
      <c r="P959" s="306"/>
      <c r="Q959" s="298"/>
      <c r="R959" s="298"/>
      <c r="S959" s="299"/>
      <c r="T959" s="29">
        <v>43823.0</v>
      </c>
      <c r="U959" s="299"/>
      <c r="V959" s="299"/>
      <c r="W959" s="298"/>
      <c r="X959" s="298" t="s">
        <v>285</v>
      </c>
      <c r="Y959" s="298" t="s">
        <v>51</v>
      </c>
      <c r="Z959" s="234" t="s">
        <v>52</v>
      </c>
      <c r="AA959" s="298" t="s">
        <v>1371</v>
      </c>
    </row>
    <row r="960" ht="15.75" customHeight="1">
      <c r="A960" s="204">
        <v>43823.0</v>
      </c>
      <c r="B960" s="23" t="s">
        <v>406</v>
      </c>
      <c r="C960" s="21">
        <v>7.000152921E9</v>
      </c>
      <c r="D960" s="71" t="s">
        <v>1967</v>
      </c>
      <c r="E960" s="32" t="s">
        <v>1968</v>
      </c>
      <c r="F960" s="24">
        <v>1.0</v>
      </c>
      <c r="G960" s="48">
        <v>137.0</v>
      </c>
      <c r="H960" s="216">
        <v>137.0</v>
      </c>
      <c r="I960" s="61" t="s">
        <v>43</v>
      </c>
      <c r="J960" s="50" t="s">
        <v>513</v>
      </c>
      <c r="K960" s="29">
        <v>43826.0</v>
      </c>
      <c r="L960" s="306"/>
      <c r="M960" s="306"/>
      <c r="N960" s="306"/>
      <c r="O960" s="306"/>
      <c r="P960" s="306"/>
      <c r="Q960" s="298"/>
      <c r="R960" s="298"/>
      <c r="S960" s="299"/>
      <c r="T960" s="300">
        <v>43860.0</v>
      </c>
      <c r="U960" s="299"/>
      <c r="V960" s="299"/>
      <c r="W960" s="298" t="s">
        <v>50</v>
      </c>
      <c r="X960" s="298" t="s">
        <v>285</v>
      </c>
      <c r="Y960" s="298" t="s">
        <v>51</v>
      </c>
      <c r="Z960" s="234" t="s">
        <v>52</v>
      </c>
      <c r="AA960" s="298" t="s">
        <v>1371</v>
      </c>
    </row>
    <row r="961" ht="15.75" customHeight="1">
      <c r="A961" s="204">
        <v>43823.0</v>
      </c>
      <c r="B961" s="23" t="s">
        <v>406</v>
      </c>
      <c r="C961" s="21">
        <v>7.000152921E9</v>
      </c>
      <c r="D961" s="21" t="s">
        <v>1967</v>
      </c>
      <c r="E961" s="32" t="s">
        <v>481</v>
      </c>
      <c r="F961" s="24">
        <v>2.0</v>
      </c>
      <c r="G961" s="48">
        <v>137.0</v>
      </c>
      <c r="H961" s="60">
        <v>274.0</v>
      </c>
      <c r="I961" s="61" t="s">
        <v>43</v>
      </c>
      <c r="J961" s="50" t="s">
        <v>513</v>
      </c>
      <c r="K961" s="29">
        <v>43826.0</v>
      </c>
      <c r="L961" s="306"/>
      <c r="M961" s="306"/>
      <c r="N961" s="306"/>
      <c r="O961" s="306"/>
      <c r="P961" s="306"/>
      <c r="Q961" s="298"/>
      <c r="R961" s="298"/>
      <c r="S961" s="299"/>
      <c r="T961" s="300">
        <v>43860.0</v>
      </c>
      <c r="U961" s="299"/>
      <c r="V961" s="299"/>
      <c r="W961" s="298" t="s">
        <v>50</v>
      </c>
      <c r="X961" s="298" t="s">
        <v>285</v>
      </c>
      <c r="Y961" s="298" t="s">
        <v>51</v>
      </c>
      <c r="Z961" s="234" t="s">
        <v>52</v>
      </c>
      <c r="AA961" s="298" t="s">
        <v>1371</v>
      </c>
    </row>
    <row r="962" ht="15.75" customHeight="1">
      <c r="A962" s="204"/>
      <c r="B962" s="70"/>
      <c r="C962" s="92"/>
      <c r="D962" s="21"/>
      <c r="E962" s="32"/>
      <c r="F962" s="24"/>
      <c r="G962" s="48"/>
      <c r="H962" s="216"/>
      <c r="I962" s="61"/>
      <c r="J962" s="63"/>
      <c r="K962" s="43"/>
      <c r="L962" s="52"/>
      <c r="M962" s="53"/>
      <c r="N962" s="53"/>
      <c r="O962" s="53"/>
      <c r="P962" s="53"/>
      <c r="Q962" s="54"/>
      <c r="R962" s="54"/>
      <c r="S962" s="55"/>
      <c r="T962" s="68"/>
      <c r="U962" s="55"/>
      <c r="V962" s="55"/>
      <c r="W962" s="54"/>
      <c r="X962" s="54"/>
      <c r="Y962" s="54"/>
      <c r="Z962" s="54"/>
      <c r="AA962" s="57"/>
    </row>
    <row r="963" ht="15.75" customHeight="1">
      <c r="A963" s="204"/>
      <c r="B963" s="70"/>
      <c r="C963" s="92"/>
      <c r="D963" s="21"/>
      <c r="E963" s="32"/>
      <c r="F963" s="24"/>
      <c r="G963" s="48"/>
      <c r="H963" s="216"/>
      <c r="I963" s="61"/>
      <c r="J963" s="63"/>
      <c r="K963" s="43"/>
      <c r="L963" s="52"/>
      <c r="M963" s="53"/>
      <c r="N963" s="53"/>
      <c r="O963" s="53"/>
      <c r="P963" s="53"/>
      <c r="Q963" s="54"/>
      <c r="R963" s="54"/>
      <c r="S963" s="55"/>
      <c r="T963" s="68"/>
      <c r="U963" s="55"/>
      <c r="V963" s="55"/>
      <c r="W963" s="54"/>
      <c r="X963" s="54"/>
      <c r="Y963" s="54"/>
      <c r="Z963" s="54"/>
      <c r="AA963" s="57"/>
    </row>
    <row r="964" ht="15.75" customHeight="1">
      <c r="A964" s="204"/>
      <c r="B964" s="70"/>
      <c r="C964" s="92"/>
      <c r="D964" s="21"/>
      <c r="E964" s="32"/>
      <c r="F964" s="24"/>
      <c r="G964" s="48"/>
      <c r="H964" s="216"/>
      <c r="I964" s="61"/>
      <c r="J964" s="63"/>
      <c r="K964" s="43"/>
      <c r="L964" s="52"/>
      <c r="M964" s="53"/>
      <c r="N964" s="53"/>
      <c r="O964" s="53"/>
      <c r="P964" s="53"/>
      <c r="Q964" s="54"/>
      <c r="R964" s="54"/>
      <c r="S964" s="55"/>
      <c r="T964" s="68"/>
      <c r="U964" s="55"/>
      <c r="V964" s="55"/>
      <c r="W964" s="54"/>
      <c r="X964" s="54"/>
      <c r="Y964" s="54"/>
      <c r="Z964" s="54"/>
      <c r="AA964" s="57"/>
    </row>
    <row r="965" ht="15.75" customHeight="1">
      <c r="A965" s="204"/>
      <c r="B965" s="70"/>
      <c r="C965" s="92"/>
      <c r="D965" s="21"/>
      <c r="E965" s="32"/>
      <c r="F965" s="24"/>
      <c r="G965" s="48"/>
      <c r="H965" s="216"/>
      <c r="I965" s="61"/>
      <c r="J965" s="63"/>
      <c r="K965" s="43"/>
      <c r="L965" s="52"/>
      <c r="M965" s="53"/>
      <c r="N965" s="53"/>
      <c r="O965" s="53"/>
      <c r="P965" s="53"/>
      <c r="Q965" s="54"/>
      <c r="R965" s="54"/>
      <c r="S965" s="55"/>
      <c r="T965" s="68"/>
      <c r="U965" s="55"/>
      <c r="V965" s="55"/>
      <c r="W965" s="54"/>
      <c r="X965" s="54"/>
      <c r="Y965" s="54"/>
      <c r="Z965" s="54"/>
      <c r="AA965" s="57"/>
    </row>
    <row r="966" ht="15.75" customHeight="1">
      <c r="A966" s="204"/>
      <c r="B966" s="70"/>
      <c r="C966" s="92"/>
      <c r="D966" s="21"/>
      <c r="E966" s="32"/>
      <c r="F966" s="24"/>
      <c r="G966" s="48"/>
      <c r="H966" s="216"/>
      <c r="I966" s="61"/>
      <c r="J966" s="63"/>
      <c r="K966" s="43"/>
      <c r="L966" s="52"/>
      <c r="M966" s="53"/>
      <c r="N966" s="53"/>
      <c r="O966" s="53"/>
      <c r="P966" s="53"/>
      <c r="Q966" s="54"/>
      <c r="R966" s="54"/>
      <c r="S966" s="55"/>
      <c r="T966" s="68"/>
      <c r="U966" s="55"/>
      <c r="V966" s="55"/>
      <c r="W966" s="54"/>
      <c r="X966" s="54"/>
      <c r="Y966" s="54"/>
      <c r="Z966" s="54"/>
      <c r="AA966" s="57"/>
    </row>
    <row r="967" ht="15.75" customHeight="1">
      <c r="A967" s="204"/>
      <c r="B967" s="70"/>
      <c r="C967" s="92"/>
      <c r="D967" s="21"/>
      <c r="E967" s="32"/>
      <c r="F967" s="24"/>
      <c r="G967" s="48"/>
      <c r="H967" s="216"/>
      <c r="I967" s="61"/>
      <c r="J967" s="63"/>
      <c r="K967" s="43"/>
      <c r="L967" s="52"/>
      <c r="M967" s="53"/>
      <c r="N967" s="53"/>
      <c r="O967" s="53"/>
      <c r="P967" s="53"/>
      <c r="Q967" s="54"/>
      <c r="R967" s="54"/>
      <c r="S967" s="55"/>
      <c r="T967" s="68"/>
      <c r="U967" s="55"/>
      <c r="V967" s="55"/>
      <c r="W967" s="54"/>
      <c r="X967" s="54"/>
      <c r="Y967" s="54"/>
      <c r="Z967" s="54"/>
      <c r="AA967" s="57"/>
    </row>
    <row r="968" ht="15.75" customHeight="1">
      <c r="A968" s="204"/>
      <c r="B968" s="70"/>
      <c r="C968" s="92"/>
      <c r="D968" s="21"/>
      <c r="E968" s="32"/>
      <c r="F968" s="24"/>
      <c r="G968" s="48"/>
      <c r="H968" s="216"/>
      <c r="I968" s="61"/>
      <c r="J968" s="63"/>
      <c r="K968" s="43"/>
      <c r="L968" s="52"/>
      <c r="M968" s="53"/>
      <c r="N968" s="53"/>
      <c r="O968" s="53"/>
      <c r="P968" s="53"/>
      <c r="Q968" s="54"/>
      <c r="R968" s="54"/>
      <c r="S968" s="55"/>
      <c r="T968" s="68"/>
      <c r="U968" s="55"/>
      <c r="V968" s="55"/>
      <c r="W968" s="54"/>
      <c r="X968" s="54"/>
      <c r="Y968" s="54"/>
      <c r="Z968" s="54"/>
      <c r="AA968" s="57"/>
    </row>
    <row r="969" ht="15.75" customHeight="1">
      <c r="A969" s="205"/>
      <c r="B969" s="21"/>
      <c r="C969" s="92"/>
      <c r="D969" s="21"/>
      <c r="E969" s="32"/>
      <c r="F969" s="24"/>
      <c r="G969" s="48"/>
      <c r="H969" s="464"/>
      <c r="I969" s="87"/>
      <c r="J969" s="63"/>
      <c r="K969" s="43"/>
      <c r="L969" s="52"/>
      <c r="M969" s="53"/>
      <c r="N969" s="53"/>
      <c r="O969" s="53"/>
      <c r="P969" s="53"/>
      <c r="Q969" s="54"/>
      <c r="R969" s="54"/>
      <c r="S969" s="55"/>
      <c r="T969" s="68"/>
      <c r="U969" s="55"/>
      <c r="V969" s="55"/>
      <c r="W969" s="54"/>
      <c r="X969" s="54"/>
      <c r="Y969" s="54"/>
      <c r="Z969" s="54"/>
      <c r="AA969" s="54"/>
    </row>
    <row r="970" ht="15.75" customHeight="1">
      <c r="A970" s="91"/>
      <c r="B970" s="91"/>
      <c r="C970" s="220"/>
      <c r="D970" s="91"/>
      <c r="E970" s="221" t="s">
        <v>0</v>
      </c>
      <c r="F970" s="91"/>
      <c r="G970" s="91"/>
      <c r="H970" s="222"/>
      <c r="I970" s="91"/>
      <c r="J970" s="57"/>
      <c r="K970" s="153"/>
      <c r="L970" s="225"/>
      <c r="M970" s="226"/>
      <c r="N970" s="226"/>
      <c r="O970" s="226"/>
      <c r="P970" s="226"/>
      <c r="Q970" s="57"/>
      <c r="R970" s="57"/>
      <c r="S970" s="227"/>
      <c r="T970" s="228"/>
      <c r="U970" s="227"/>
      <c r="V970" s="227"/>
      <c r="W970" s="57"/>
      <c r="X970" s="57"/>
      <c r="Y970" s="57"/>
      <c r="Z970" s="57"/>
      <c r="AA970" s="57"/>
    </row>
    <row r="971" ht="15.75" customHeight="1">
      <c r="A971" s="91"/>
      <c r="B971" s="91"/>
      <c r="C971" s="220"/>
      <c r="D971" s="91"/>
      <c r="E971" s="221"/>
      <c r="F971" s="91"/>
      <c r="G971" s="91"/>
      <c r="H971" s="242"/>
      <c r="I971" s="91"/>
      <c r="J971" s="234"/>
      <c r="K971" s="243"/>
      <c r="L971" s="236"/>
      <c r="M971" s="237"/>
      <c r="N971" s="237"/>
      <c r="O971" s="237"/>
      <c r="P971" s="237"/>
      <c r="Q971" s="234"/>
      <c r="R971" s="234"/>
      <c r="S971" s="238"/>
      <c r="T971" s="239"/>
      <c r="U971" s="238"/>
      <c r="V971" s="238"/>
      <c r="W971" s="234"/>
      <c r="X971" s="234"/>
      <c r="Y971" s="234"/>
      <c r="Z971" s="234"/>
      <c r="AA971" s="234"/>
    </row>
    <row r="972" ht="15.75" customHeight="1">
      <c r="A972" s="91"/>
      <c r="B972" s="91"/>
      <c r="C972" s="220"/>
      <c r="D972" s="91"/>
      <c r="E972" s="221"/>
      <c r="F972" s="91"/>
      <c r="G972" s="91"/>
      <c r="H972" s="242"/>
      <c r="I972" s="91"/>
      <c r="J972" s="234"/>
      <c r="K972" s="243"/>
      <c r="L972" s="236"/>
      <c r="M972" s="236"/>
      <c r="N972" s="236"/>
      <c r="O972" s="244"/>
      <c r="P972" s="244"/>
      <c r="Q972" s="234"/>
      <c r="R972" s="234"/>
      <c r="S972" s="238"/>
      <c r="T972" s="239"/>
      <c r="U972" s="238"/>
      <c r="V972" s="238"/>
      <c r="W972" s="234"/>
      <c r="X972" s="234"/>
      <c r="Y972" s="234"/>
      <c r="Z972" s="234"/>
      <c r="AA972" s="234"/>
    </row>
    <row r="973" ht="15.75" customHeight="1">
      <c r="A973" s="91"/>
      <c r="B973" s="91"/>
      <c r="C973" s="220"/>
      <c r="D973" s="91"/>
      <c r="E973" s="221"/>
      <c r="F973" s="91"/>
      <c r="G973" s="91"/>
      <c r="H973" s="242"/>
      <c r="I973" s="91"/>
      <c r="J973" s="234"/>
      <c r="K973" s="243"/>
      <c r="L973" s="236"/>
      <c r="M973" s="236"/>
      <c r="N973" s="236"/>
      <c r="O973" s="244"/>
      <c r="P973" s="244"/>
      <c r="Q973" s="234"/>
      <c r="R973" s="234"/>
      <c r="S973" s="238"/>
      <c r="T973" s="239"/>
      <c r="U973" s="238"/>
      <c r="V973" s="238"/>
      <c r="W973" s="234"/>
      <c r="X973" s="234"/>
      <c r="Y973" s="234"/>
      <c r="Z973" s="234"/>
      <c r="AA973" s="234"/>
    </row>
    <row r="974" ht="15.75" customHeight="1">
      <c r="A974" s="91"/>
      <c r="B974" s="91"/>
      <c r="C974" s="220"/>
      <c r="D974" s="91"/>
      <c r="E974" s="221"/>
      <c r="F974" s="91"/>
      <c r="G974" s="91"/>
      <c r="H974" s="242"/>
      <c r="J974" s="234"/>
      <c r="K974" s="243"/>
      <c r="L974" s="236"/>
      <c r="M974" s="236"/>
      <c r="N974" s="236"/>
      <c r="O974" s="244"/>
      <c r="P974" s="244"/>
      <c r="Q974" s="234"/>
      <c r="R974" s="234"/>
      <c r="S974" s="238"/>
      <c r="T974" s="239"/>
      <c r="U974" s="238"/>
      <c r="V974" s="238"/>
      <c r="W974" s="234"/>
      <c r="X974" s="234"/>
      <c r="Y974" s="234"/>
      <c r="Z974" s="234"/>
      <c r="AA974" s="234"/>
    </row>
    <row r="975" ht="15.75" customHeight="1">
      <c r="A975" s="91"/>
      <c r="B975" s="91"/>
      <c r="C975" s="220"/>
      <c r="D975" s="91"/>
      <c r="E975" s="221"/>
      <c r="F975" s="91"/>
      <c r="G975" s="91"/>
      <c r="H975" s="242"/>
      <c r="I975" s="91"/>
      <c r="J975" s="234"/>
      <c r="K975" s="243"/>
      <c r="L975" s="236"/>
      <c r="M975" s="236"/>
      <c r="N975" s="236"/>
      <c r="O975" s="244"/>
      <c r="P975" s="244"/>
      <c r="Q975" s="234"/>
      <c r="R975" s="234"/>
      <c r="S975" s="238"/>
      <c r="T975" s="239"/>
      <c r="U975" s="238"/>
      <c r="V975" s="238"/>
      <c r="W975" s="234"/>
      <c r="X975" s="234"/>
      <c r="Y975" s="234"/>
      <c r="Z975" s="234"/>
      <c r="AA975" s="234"/>
    </row>
    <row r="976" ht="15.75" customHeight="1">
      <c r="A976" s="91"/>
      <c r="B976" s="91"/>
      <c r="C976" s="220"/>
      <c r="D976" s="91"/>
      <c r="E976" s="221"/>
      <c r="F976" s="91"/>
      <c r="G976" s="91"/>
      <c r="H976" s="242"/>
      <c r="I976" s="91"/>
      <c r="J976" s="234"/>
      <c r="K976" s="243"/>
      <c r="L976" s="236"/>
      <c r="M976" s="236"/>
      <c r="N976" s="236"/>
      <c r="O976" s="244"/>
      <c r="P976" s="244"/>
      <c r="Q976" s="234"/>
      <c r="R976" s="234"/>
      <c r="S976" s="238"/>
      <c r="T976" s="239"/>
      <c r="U976" s="238"/>
      <c r="V976" s="238"/>
      <c r="W976" s="234"/>
      <c r="X976" s="234"/>
      <c r="Y976" s="234"/>
      <c r="Z976" s="234"/>
      <c r="AA976" s="234"/>
    </row>
    <row r="977" ht="15.75" customHeight="1">
      <c r="A977" s="91"/>
      <c r="B977" s="91"/>
      <c r="C977" s="220"/>
      <c r="D977" s="91"/>
      <c r="E977" s="221"/>
      <c r="F977" s="91"/>
      <c r="G977" s="91"/>
      <c r="H977" s="242"/>
      <c r="I977" s="91"/>
      <c r="J977" s="234"/>
      <c r="K977" s="243"/>
      <c r="L977" s="236"/>
      <c r="M977" s="236"/>
      <c r="N977" s="236"/>
      <c r="O977" s="244"/>
      <c r="P977" s="244"/>
      <c r="Q977" s="234"/>
      <c r="R977" s="234"/>
      <c r="S977" s="238"/>
      <c r="T977" s="239"/>
      <c r="U977" s="238"/>
      <c r="V977" s="238"/>
      <c r="W977" s="234"/>
      <c r="X977" s="234"/>
      <c r="Y977" s="234"/>
      <c r="Z977" s="234"/>
      <c r="AA977" s="234"/>
    </row>
    <row r="978" ht="15.75" customHeight="1">
      <c r="A978" s="91"/>
      <c r="B978" s="91"/>
      <c r="C978" s="220"/>
      <c r="D978" s="91"/>
      <c r="E978" s="221"/>
      <c r="F978" s="91"/>
      <c r="G978" s="91"/>
      <c r="H978" s="242"/>
      <c r="I978" s="91"/>
      <c r="J978" s="234"/>
      <c r="K978" s="243"/>
      <c r="L978" s="236"/>
      <c r="M978" s="236"/>
      <c r="N978" s="236"/>
      <c r="O978" s="244"/>
      <c r="P978" s="244"/>
      <c r="Q978" s="234"/>
      <c r="R978" s="234"/>
      <c r="S978" s="238"/>
      <c r="T978" s="239"/>
      <c r="U978" s="238"/>
      <c r="V978" s="238"/>
      <c r="W978" s="234"/>
      <c r="X978" s="234"/>
      <c r="Y978" s="234"/>
      <c r="Z978" s="234"/>
      <c r="AA978" s="234"/>
    </row>
    <row r="979" ht="15.75" customHeight="1">
      <c r="A979" s="91"/>
      <c r="B979" s="91"/>
      <c r="C979" s="220"/>
      <c r="D979" s="91"/>
      <c r="E979" s="221"/>
      <c r="F979" s="91"/>
      <c r="G979" s="91"/>
      <c r="H979" s="242"/>
      <c r="I979" s="91"/>
      <c r="J979" s="234"/>
      <c r="K979" s="243"/>
      <c r="L979" s="236"/>
      <c r="M979" s="236"/>
      <c r="N979" s="236"/>
      <c r="O979" s="244"/>
      <c r="P979" s="244"/>
      <c r="Q979" s="234"/>
      <c r="R979" s="234"/>
      <c r="S979" s="238"/>
      <c r="T979" s="239"/>
      <c r="U979" s="238"/>
      <c r="V979" s="238"/>
      <c r="W979" s="234"/>
      <c r="X979" s="234"/>
      <c r="Y979" s="234"/>
      <c r="Z979" s="234"/>
      <c r="AA979" s="234"/>
    </row>
    <row r="980" ht="15.75" customHeight="1">
      <c r="A980" s="91"/>
      <c r="B980" s="91"/>
      <c r="C980" s="220"/>
      <c r="D980" s="91"/>
      <c r="E980" s="221"/>
      <c r="F980" s="91"/>
      <c r="G980" s="91"/>
      <c r="H980" s="242"/>
      <c r="I980" s="91"/>
      <c r="J980" s="234"/>
      <c r="K980" s="243"/>
      <c r="L980" s="236"/>
      <c r="M980" s="236"/>
      <c r="N980" s="236"/>
      <c r="O980" s="244"/>
      <c r="P980" s="244"/>
      <c r="Q980" s="234"/>
      <c r="R980" s="234"/>
      <c r="S980" s="238"/>
      <c r="T980" s="239"/>
      <c r="U980" s="238"/>
      <c r="V980" s="238"/>
      <c r="W980" s="234"/>
      <c r="X980" s="234"/>
      <c r="Y980" s="234"/>
      <c r="Z980" s="234"/>
      <c r="AA980" s="234"/>
    </row>
    <row r="981" ht="15.75" customHeight="1">
      <c r="A981" s="91"/>
      <c r="B981" s="91"/>
      <c r="C981" s="220"/>
      <c r="D981" s="91"/>
      <c r="E981" s="221"/>
      <c r="F981" s="91"/>
      <c r="G981" s="91"/>
      <c r="H981" s="242"/>
      <c r="I981" s="91"/>
      <c r="J981" s="234"/>
      <c r="K981" s="243"/>
      <c r="L981" s="236"/>
      <c r="M981" s="236"/>
      <c r="N981" s="236"/>
      <c r="O981" s="244"/>
      <c r="P981" s="244"/>
      <c r="Q981" s="234"/>
      <c r="R981" s="234"/>
      <c r="S981" s="238"/>
      <c r="T981" s="239"/>
      <c r="U981" s="238"/>
      <c r="V981" s="238"/>
      <c r="W981" s="234"/>
      <c r="X981" s="234"/>
      <c r="Y981" s="234"/>
      <c r="Z981" s="234"/>
      <c r="AA981" s="234"/>
    </row>
    <row r="982" ht="15.75" customHeight="1">
      <c r="A982" s="248"/>
      <c r="B982" s="91"/>
      <c r="C982" s="220"/>
      <c r="D982" s="91"/>
      <c r="E982" s="221"/>
      <c r="F982" s="91"/>
      <c r="G982" s="91"/>
      <c r="H982" s="242"/>
      <c r="I982" s="91"/>
      <c r="J982" s="234"/>
      <c r="K982" s="243"/>
      <c r="L982" s="236"/>
      <c r="M982" s="236"/>
      <c r="N982" s="236"/>
      <c r="O982" s="244"/>
      <c r="P982" s="244"/>
      <c r="Q982" s="234"/>
      <c r="R982" s="234"/>
      <c r="S982" s="238"/>
      <c r="T982" s="239"/>
      <c r="U982" s="238"/>
      <c r="V982" s="238"/>
      <c r="W982" s="234"/>
      <c r="X982" s="234"/>
      <c r="Y982" s="234"/>
      <c r="Z982" s="234"/>
      <c r="AA982" s="234"/>
    </row>
    <row r="983" ht="15.75" customHeight="1">
      <c r="A983" s="91"/>
      <c r="B983" s="91"/>
      <c r="C983" s="220"/>
      <c r="D983" s="91"/>
      <c r="E983" s="221"/>
      <c r="F983" s="91"/>
      <c r="G983" s="91"/>
      <c r="H983" s="242"/>
      <c r="I983" s="91"/>
      <c r="J983" s="234"/>
      <c r="K983" s="243"/>
      <c r="L983" s="236"/>
      <c r="M983" s="236"/>
      <c r="N983" s="236"/>
      <c r="O983" s="244"/>
      <c r="P983" s="244"/>
      <c r="Q983" s="234"/>
      <c r="R983" s="234"/>
      <c r="S983" s="238"/>
      <c r="T983" s="239"/>
      <c r="U983" s="238"/>
      <c r="V983" s="238"/>
      <c r="W983" s="234"/>
      <c r="X983" s="234"/>
      <c r="Y983" s="234"/>
      <c r="Z983" s="234"/>
      <c r="AA983" s="234"/>
    </row>
    <row r="984" ht="15.75" customHeight="1">
      <c r="A984" s="91"/>
      <c r="B984" s="91"/>
      <c r="C984" s="220"/>
      <c r="D984" s="91"/>
      <c r="E984" s="221"/>
      <c r="F984" s="91"/>
      <c r="G984" s="91"/>
      <c r="H984" s="242"/>
      <c r="I984" s="91"/>
      <c r="J984" s="234"/>
      <c r="K984" s="243"/>
      <c r="L984" s="236"/>
      <c r="M984" s="236"/>
      <c r="N984" s="236"/>
      <c r="O984" s="244"/>
      <c r="P984" s="244"/>
      <c r="Q984" s="234"/>
      <c r="R984" s="234"/>
      <c r="S984" s="238"/>
      <c r="T984" s="239"/>
      <c r="U984" s="238"/>
      <c r="V984" s="238"/>
      <c r="W984" s="234"/>
      <c r="X984" s="234"/>
      <c r="Y984" s="234"/>
      <c r="Z984" s="234"/>
      <c r="AA984" s="234"/>
    </row>
    <row r="985" ht="15.75" customHeight="1">
      <c r="A985" s="91"/>
      <c r="B985" s="91"/>
      <c r="C985" s="220"/>
      <c r="D985" s="91"/>
      <c r="E985" s="221"/>
      <c r="F985" s="91"/>
      <c r="G985" s="91"/>
      <c r="H985" s="242"/>
      <c r="I985" s="91"/>
      <c r="J985" s="234"/>
      <c r="K985" s="243"/>
      <c r="L985" s="236"/>
      <c r="M985" s="236"/>
      <c r="N985" s="236"/>
      <c r="O985" s="244"/>
      <c r="P985" s="244"/>
      <c r="Q985" s="234"/>
      <c r="R985" s="234"/>
      <c r="S985" s="238"/>
      <c r="T985" s="239"/>
      <c r="U985" s="238"/>
      <c r="V985" s="238"/>
      <c r="W985" s="234"/>
      <c r="X985" s="234"/>
      <c r="Y985" s="234"/>
      <c r="Z985" s="234"/>
      <c r="AA985" s="234"/>
    </row>
    <row r="986" ht="15.75" customHeight="1">
      <c r="A986" s="91"/>
      <c r="B986" s="91"/>
      <c r="C986" s="220"/>
      <c r="D986" s="91"/>
      <c r="E986" s="221"/>
      <c r="F986" s="91"/>
      <c r="G986" s="91"/>
      <c r="H986" s="242"/>
      <c r="I986" s="91"/>
      <c r="J986" s="234"/>
      <c r="K986" s="243"/>
      <c r="L986" s="236"/>
      <c r="M986" s="236"/>
      <c r="N986" s="236"/>
      <c r="O986" s="244"/>
      <c r="P986" s="244"/>
      <c r="Q986" s="234"/>
      <c r="R986" s="234"/>
      <c r="S986" s="238"/>
      <c r="T986" s="239"/>
      <c r="U986" s="238"/>
      <c r="V986" s="238"/>
      <c r="W986" s="234"/>
      <c r="X986" s="234"/>
      <c r="Y986" s="234"/>
      <c r="Z986" s="234"/>
      <c r="AA986" s="234"/>
    </row>
    <row r="987" ht="15.75" customHeight="1">
      <c r="A987" s="91"/>
      <c r="B987" s="91"/>
      <c r="C987" s="220"/>
      <c r="D987" s="91"/>
      <c r="E987" s="221"/>
      <c r="F987" s="91"/>
      <c r="G987" s="91"/>
      <c r="H987" s="242"/>
      <c r="I987" s="91"/>
      <c r="J987" s="234"/>
      <c r="K987" s="243"/>
      <c r="L987" s="236"/>
      <c r="M987" s="236"/>
      <c r="N987" s="236"/>
      <c r="O987" s="244"/>
      <c r="P987" s="244"/>
      <c r="Q987" s="234"/>
      <c r="R987" s="234"/>
      <c r="S987" s="238"/>
      <c r="T987" s="239"/>
      <c r="U987" s="238"/>
      <c r="V987" s="238"/>
      <c r="W987" s="234"/>
      <c r="X987" s="234"/>
      <c r="Y987" s="234"/>
      <c r="Z987" s="234"/>
      <c r="AA987" s="234"/>
    </row>
    <row r="988" ht="15.75" customHeight="1">
      <c r="A988" s="91"/>
      <c r="B988" s="91"/>
      <c r="C988" s="220"/>
      <c r="D988" s="91"/>
      <c r="E988" s="221"/>
      <c r="F988" s="91"/>
      <c r="G988" s="91"/>
      <c r="H988" s="242"/>
      <c r="I988" s="91"/>
      <c r="J988" s="234"/>
      <c r="K988" s="243"/>
      <c r="L988" s="236"/>
      <c r="M988" s="236"/>
      <c r="N988" s="236"/>
      <c r="O988" s="244"/>
      <c r="P988" s="244"/>
      <c r="Q988" s="234"/>
      <c r="R988" s="234"/>
      <c r="S988" s="238"/>
      <c r="T988" s="239"/>
      <c r="U988" s="238"/>
      <c r="V988" s="238"/>
      <c r="W988" s="234"/>
      <c r="X988" s="234"/>
      <c r="Y988" s="234"/>
      <c r="Z988" s="234"/>
      <c r="AA988" s="234"/>
    </row>
    <row r="989" ht="15.75" customHeight="1">
      <c r="A989" s="91"/>
      <c r="B989" s="91"/>
      <c r="C989" s="220"/>
      <c r="D989" s="91"/>
      <c r="E989" s="221"/>
      <c r="F989" s="91"/>
      <c r="G989" s="91"/>
      <c r="H989" s="242"/>
      <c r="I989" s="91"/>
      <c r="J989" s="234"/>
      <c r="K989" s="243"/>
      <c r="L989" s="236"/>
      <c r="M989" s="236"/>
      <c r="N989" s="236"/>
      <c r="O989" s="244"/>
      <c r="P989" s="244"/>
      <c r="Q989" s="234"/>
      <c r="R989" s="234"/>
      <c r="S989" s="238"/>
      <c r="T989" s="239"/>
      <c r="U989" s="238"/>
      <c r="V989" s="238"/>
      <c r="W989" s="234"/>
      <c r="X989" s="234"/>
      <c r="Y989" s="234"/>
      <c r="Z989" s="234"/>
      <c r="AA989" s="234"/>
    </row>
    <row r="990" ht="15.75" customHeight="1">
      <c r="A990" s="91"/>
      <c r="B990" s="91"/>
      <c r="C990" s="220"/>
      <c r="D990" s="91"/>
      <c r="E990" s="221"/>
      <c r="F990" s="91"/>
      <c r="G990" s="91"/>
      <c r="H990" s="242"/>
      <c r="I990" s="91"/>
      <c r="J990" s="234"/>
      <c r="K990" s="243"/>
      <c r="L990" s="236"/>
      <c r="M990" s="236"/>
      <c r="N990" s="236"/>
      <c r="O990" s="244"/>
      <c r="P990" s="244"/>
      <c r="Q990" s="234"/>
      <c r="R990" s="234"/>
      <c r="S990" s="238"/>
      <c r="T990" s="239"/>
      <c r="U990" s="238"/>
      <c r="V990" s="238"/>
      <c r="W990" s="234"/>
      <c r="X990" s="234"/>
      <c r="Y990" s="234"/>
      <c r="Z990" s="234"/>
      <c r="AA990" s="234"/>
    </row>
    <row r="991" ht="15.75" customHeight="1">
      <c r="A991" s="91"/>
      <c r="B991" s="91"/>
      <c r="C991" s="220"/>
      <c r="D991" s="91"/>
      <c r="E991" s="221"/>
      <c r="F991" s="91"/>
      <c r="G991" s="91"/>
      <c r="H991" s="242"/>
      <c r="I991" s="91"/>
      <c r="J991" s="234"/>
      <c r="K991" s="243"/>
      <c r="L991" s="236"/>
      <c r="M991" s="236"/>
      <c r="N991" s="236"/>
      <c r="O991" s="244"/>
      <c r="P991" s="244"/>
      <c r="Q991" s="234"/>
      <c r="R991" s="234"/>
      <c r="S991" s="238"/>
      <c r="T991" s="239"/>
      <c r="U991" s="238"/>
      <c r="V991" s="238"/>
      <c r="W991" s="234"/>
      <c r="X991" s="234"/>
      <c r="Y991" s="234"/>
      <c r="Z991" s="234"/>
      <c r="AA991" s="234"/>
    </row>
    <row r="992" ht="15.75" customHeight="1">
      <c r="A992" s="91"/>
      <c r="B992" s="91"/>
      <c r="C992" s="220"/>
      <c r="D992" s="91"/>
      <c r="E992" s="221"/>
      <c r="F992" s="91"/>
      <c r="G992" s="91"/>
      <c r="H992" s="242"/>
      <c r="I992" s="91"/>
      <c r="J992" s="234"/>
      <c r="K992" s="243"/>
      <c r="L992" s="236"/>
      <c r="M992" s="236"/>
      <c r="N992" s="236"/>
      <c r="O992" s="244"/>
      <c r="P992" s="244"/>
      <c r="Q992" s="234"/>
      <c r="R992" s="234"/>
      <c r="S992" s="238"/>
      <c r="T992" s="239"/>
      <c r="U992" s="238"/>
      <c r="V992" s="238"/>
      <c r="W992" s="234"/>
      <c r="X992" s="234"/>
      <c r="Y992" s="234"/>
      <c r="Z992" s="234"/>
      <c r="AA992" s="234"/>
    </row>
    <row r="993" ht="15.75" customHeight="1">
      <c r="A993" s="91"/>
      <c r="B993" s="91"/>
      <c r="C993" s="220"/>
      <c r="D993" s="91"/>
      <c r="E993" s="221"/>
      <c r="F993" s="91"/>
      <c r="G993" s="91"/>
      <c r="H993" s="242"/>
      <c r="I993" s="91"/>
      <c r="J993" s="234"/>
      <c r="K993" s="243"/>
      <c r="L993" s="236"/>
      <c r="M993" s="236"/>
      <c r="N993" s="236"/>
      <c r="O993" s="244"/>
      <c r="P993" s="244"/>
      <c r="Q993" s="234"/>
      <c r="R993" s="234"/>
      <c r="S993" s="238"/>
      <c r="T993" s="239"/>
      <c r="U993" s="238"/>
      <c r="V993" s="238"/>
      <c r="W993" s="234"/>
      <c r="X993" s="234"/>
      <c r="Y993" s="234"/>
      <c r="Z993" s="234"/>
      <c r="AA993" s="234"/>
    </row>
    <row r="994" ht="15.75" customHeight="1">
      <c r="A994" s="91"/>
      <c r="B994" s="91"/>
      <c r="C994" s="220"/>
      <c r="D994" s="91"/>
      <c r="E994" s="221"/>
      <c r="F994" s="91"/>
      <c r="G994" s="91"/>
      <c r="H994" s="242"/>
      <c r="I994" s="91"/>
      <c r="J994" s="234"/>
      <c r="K994" s="243"/>
      <c r="L994" s="236"/>
      <c r="M994" s="236"/>
      <c r="N994" s="236"/>
      <c r="O994" s="244"/>
      <c r="P994" s="244"/>
      <c r="Q994" s="234"/>
      <c r="R994" s="234"/>
      <c r="S994" s="238"/>
      <c r="T994" s="239"/>
      <c r="U994" s="238"/>
      <c r="V994" s="238"/>
      <c r="W994" s="234"/>
      <c r="X994" s="234"/>
      <c r="Y994" s="234"/>
      <c r="Z994" s="234"/>
      <c r="AA994" s="234"/>
    </row>
    <row r="995" ht="15.75" customHeight="1">
      <c r="A995" s="91"/>
      <c r="B995" s="91"/>
      <c r="C995" s="220"/>
      <c r="D995" s="91"/>
      <c r="E995" s="221"/>
      <c r="F995" s="91"/>
      <c r="G995" s="91"/>
      <c r="H995" s="242"/>
      <c r="I995" s="91"/>
      <c r="J995" s="234"/>
      <c r="K995" s="243"/>
      <c r="L995" s="236"/>
      <c r="M995" s="236"/>
      <c r="N995" s="236"/>
      <c r="O995" s="244"/>
      <c r="P995" s="244"/>
      <c r="Q995" s="234"/>
      <c r="R995" s="234"/>
      <c r="S995" s="238"/>
      <c r="T995" s="239"/>
      <c r="U995" s="238"/>
      <c r="V995" s="238"/>
      <c r="W995" s="234"/>
      <c r="X995" s="234"/>
      <c r="Y995" s="234"/>
      <c r="Z995" s="234"/>
      <c r="AA995" s="234"/>
    </row>
    <row r="996" ht="15.75" customHeight="1">
      <c r="A996" s="91"/>
      <c r="B996" s="91"/>
      <c r="C996" s="220"/>
      <c r="D996" s="91"/>
      <c r="E996" s="221"/>
      <c r="F996" s="91"/>
      <c r="G996" s="91"/>
      <c r="H996" s="242"/>
      <c r="I996" s="91"/>
      <c r="J996" s="234"/>
      <c r="K996" s="243"/>
      <c r="L996" s="236"/>
      <c r="M996" s="236"/>
      <c r="N996" s="236"/>
      <c r="O996" s="244"/>
      <c r="P996" s="244"/>
      <c r="Q996" s="234"/>
      <c r="R996" s="234"/>
      <c r="S996" s="238"/>
      <c r="T996" s="239"/>
      <c r="U996" s="238"/>
      <c r="V996" s="238"/>
      <c r="W996" s="234"/>
      <c r="X996" s="234"/>
      <c r="Y996" s="234"/>
      <c r="Z996" s="234"/>
      <c r="AA996" s="234"/>
    </row>
    <row r="997" ht="15.75" customHeight="1">
      <c r="A997" s="91"/>
      <c r="B997" s="91"/>
      <c r="C997" s="220"/>
      <c r="D997" s="91"/>
      <c r="E997" s="221"/>
      <c r="F997" s="91"/>
      <c r="G997" s="91"/>
      <c r="H997" s="242"/>
      <c r="I997" s="91"/>
      <c r="J997" s="234"/>
      <c r="K997" s="243"/>
      <c r="L997" s="236"/>
      <c r="M997" s="236"/>
      <c r="N997" s="236"/>
      <c r="O997" s="244"/>
      <c r="P997" s="244"/>
      <c r="Q997" s="234"/>
      <c r="R997" s="234"/>
      <c r="S997" s="238"/>
      <c r="T997" s="239"/>
      <c r="U997" s="238"/>
      <c r="V997" s="238"/>
      <c r="W997" s="234"/>
      <c r="X997" s="234"/>
      <c r="Y997" s="234"/>
      <c r="Z997" s="234"/>
      <c r="AA997" s="234"/>
    </row>
    <row r="998" ht="15.75" customHeight="1">
      <c r="A998" s="91"/>
      <c r="B998" s="91"/>
      <c r="C998" s="220"/>
      <c r="D998" s="91"/>
      <c r="E998" s="221"/>
      <c r="F998" s="91"/>
      <c r="G998" s="91"/>
      <c r="H998" s="242"/>
      <c r="I998" s="91"/>
      <c r="J998" s="234"/>
      <c r="K998" s="243"/>
      <c r="L998" s="236"/>
      <c r="M998" s="236"/>
      <c r="N998" s="236"/>
      <c r="O998" s="244"/>
      <c r="P998" s="244"/>
      <c r="Q998" s="234"/>
      <c r="R998" s="234"/>
      <c r="S998" s="238"/>
      <c r="T998" s="239"/>
      <c r="U998" s="238"/>
      <c r="V998" s="238"/>
      <c r="W998" s="234"/>
      <c r="X998" s="234"/>
      <c r="Y998" s="234"/>
      <c r="Z998" s="234"/>
      <c r="AA998" s="234"/>
    </row>
    <row r="999" ht="15.75" customHeight="1">
      <c r="A999" s="91"/>
      <c r="B999" s="91"/>
      <c r="C999" s="220"/>
      <c r="D999" s="91"/>
      <c r="E999" s="221"/>
      <c r="F999" s="91"/>
      <c r="G999" s="91"/>
      <c r="H999" s="242"/>
      <c r="I999" s="91"/>
      <c r="J999" s="234"/>
      <c r="K999" s="243"/>
      <c r="L999" s="236"/>
      <c r="M999" s="236"/>
      <c r="N999" s="236"/>
      <c r="O999" s="244"/>
      <c r="P999" s="244"/>
      <c r="Q999" s="234"/>
      <c r="R999" s="234"/>
      <c r="S999" s="238"/>
      <c r="T999" s="239"/>
      <c r="U999" s="238"/>
      <c r="V999" s="238"/>
      <c r="W999" s="234"/>
      <c r="X999" s="234"/>
      <c r="Y999" s="234"/>
      <c r="Z999" s="234"/>
      <c r="AA999" s="234"/>
    </row>
    <row r="1000" ht="15.75" customHeight="1">
      <c r="A1000" s="91"/>
      <c r="B1000" s="91"/>
      <c r="C1000" s="220"/>
      <c r="D1000" s="91"/>
      <c r="E1000" s="221"/>
      <c r="F1000" s="91"/>
      <c r="G1000" s="91"/>
      <c r="H1000" s="242"/>
      <c r="I1000" s="91"/>
      <c r="J1000" s="234"/>
      <c r="K1000" s="243"/>
      <c r="L1000" s="236"/>
      <c r="M1000" s="236"/>
      <c r="N1000" s="236"/>
      <c r="O1000" s="244"/>
      <c r="P1000" s="244"/>
      <c r="Q1000" s="234"/>
      <c r="R1000" s="234"/>
      <c r="S1000" s="238"/>
      <c r="T1000" s="239"/>
      <c r="U1000" s="238"/>
      <c r="V1000" s="238"/>
      <c r="W1000" s="234"/>
      <c r="X1000" s="234"/>
      <c r="Y1000" s="234"/>
      <c r="Z1000" s="234"/>
      <c r="AA1000" s="234"/>
    </row>
    <row r="1001" ht="15.75" customHeight="1">
      <c r="A1001" s="91"/>
      <c r="B1001" s="91"/>
      <c r="C1001" s="220"/>
      <c r="D1001" s="91"/>
      <c r="E1001" s="221"/>
      <c r="F1001" s="91"/>
      <c r="G1001" s="91"/>
      <c r="H1001" s="242"/>
      <c r="I1001" s="91"/>
      <c r="J1001" s="234"/>
      <c r="K1001" s="243"/>
      <c r="L1001" s="236"/>
      <c r="M1001" s="236"/>
      <c r="N1001" s="236"/>
      <c r="O1001" s="244"/>
      <c r="P1001" s="244"/>
      <c r="Q1001" s="234"/>
      <c r="R1001" s="234"/>
      <c r="S1001" s="238"/>
      <c r="T1001" s="239"/>
      <c r="U1001" s="238"/>
      <c r="V1001" s="238"/>
      <c r="W1001" s="234"/>
      <c r="X1001" s="234"/>
      <c r="Y1001" s="234"/>
      <c r="Z1001" s="234"/>
      <c r="AA1001" s="234"/>
    </row>
    <row r="1002" ht="15.75" customHeight="1">
      <c r="A1002" s="91"/>
      <c r="B1002" s="91"/>
      <c r="C1002" s="220"/>
      <c r="D1002" s="91"/>
      <c r="E1002" s="221"/>
      <c r="F1002" s="91"/>
      <c r="G1002" s="91"/>
      <c r="H1002" s="242"/>
      <c r="I1002" s="91"/>
      <c r="J1002" s="234"/>
      <c r="K1002" s="243"/>
      <c r="L1002" s="236"/>
      <c r="M1002" s="236"/>
      <c r="N1002" s="236"/>
      <c r="O1002" s="244"/>
      <c r="P1002" s="244"/>
      <c r="Q1002" s="234"/>
      <c r="R1002" s="234"/>
      <c r="S1002" s="238"/>
      <c r="T1002" s="239"/>
      <c r="U1002" s="238"/>
      <c r="V1002" s="238"/>
      <c r="W1002" s="234"/>
      <c r="X1002" s="234"/>
      <c r="Y1002" s="234"/>
      <c r="Z1002" s="234"/>
      <c r="AA1002" s="234"/>
    </row>
    <row r="1003" ht="15.75" customHeight="1">
      <c r="A1003" s="91"/>
      <c r="B1003" s="91"/>
      <c r="C1003" s="220"/>
      <c r="D1003" s="91"/>
      <c r="E1003" s="221"/>
      <c r="F1003" s="91"/>
      <c r="G1003" s="91"/>
      <c r="H1003" s="242"/>
      <c r="I1003" s="91"/>
      <c r="J1003" s="234"/>
      <c r="K1003" s="243"/>
      <c r="L1003" s="236"/>
      <c r="M1003" s="236"/>
      <c r="N1003" s="236"/>
      <c r="O1003" s="244"/>
      <c r="P1003" s="244"/>
      <c r="Q1003" s="234"/>
      <c r="R1003" s="234"/>
      <c r="S1003" s="238"/>
      <c r="T1003" s="239"/>
      <c r="U1003" s="238"/>
      <c r="V1003" s="238"/>
      <c r="W1003" s="234"/>
      <c r="X1003" s="234"/>
      <c r="Y1003" s="234"/>
      <c r="Z1003" s="234"/>
      <c r="AA1003" s="234"/>
    </row>
    <row r="1004" ht="15.75" customHeight="1">
      <c r="A1004" s="91"/>
      <c r="B1004" s="91"/>
      <c r="C1004" s="220"/>
      <c r="D1004" s="91"/>
      <c r="E1004" s="221"/>
      <c r="F1004" s="91"/>
      <c r="G1004" s="91"/>
      <c r="H1004" s="242"/>
      <c r="I1004" s="91"/>
      <c r="J1004" s="234"/>
      <c r="K1004" s="243"/>
      <c r="L1004" s="236"/>
      <c r="M1004" s="236"/>
      <c r="N1004" s="236"/>
      <c r="O1004" s="244"/>
      <c r="P1004" s="244"/>
      <c r="Q1004" s="234"/>
      <c r="R1004" s="234"/>
      <c r="S1004" s="238"/>
      <c r="T1004" s="239"/>
      <c r="U1004" s="238"/>
      <c r="V1004" s="238"/>
      <c r="W1004" s="234"/>
      <c r="X1004" s="234"/>
      <c r="Y1004" s="234"/>
      <c r="Z1004" s="234"/>
      <c r="AA1004" s="234"/>
    </row>
    <row r="1005" ht="15.75" customHeight="1">
      <c r="A1005" s="91"/>
      <c r="B1005" s="91"/>
      <c r="C1005" s="220"/>
      <c r="D1005" s="91"/>
      <c r="E1005" s="221"/>
      <c r="F1005" s="91"/>
      <c r="G1005" s="91"/>
      <c r="H1005" s="242"/>
      <c r="I1005" s="91"/>
      <c r="J1005" s="234"/>
      <c r="K1005" s="243"/>
      <c r="L1005" s="236"/>
      <c r="M1005" s="236"/>
      <c r="N1005" s="236"/>
      <c r="O1005" s="244"/>
      <c r="P1005" s="244"/>
      <c r="Q1005" s="234"/>
      <c r="R1005" s="234"/>
      <c r="S1005" s="238"/>
      <c r="T1005" s="239"/>
      <c r="U1005" s="238"/>
      <c r="V1005" s="238"/>
      <c r="W1005" s="234"/>
      <c r="X1005" s="234"/>
      <c r="Y1005" s="234"/>
      <c r="Z1005" s="234"/>
      <c r="AA1005" s="234"/>
    </row>
    <row r="1006" ht="15.75" customHeight="1">
      <c r="A1006" s="91"/>
      <c r="B1006" s="91"/>
      <c r="C1006" s="220"/>
      <c r="D1006" s="91"/>
      <c r="E1006" s="221"/>
      <c r="F1006" s="91"/>
      <c r="G1006" s="91"/>
      <c r="H1006" s="242"/>
      <c r="I1006" s="91"/>
      <c r="J1006" s="234"/>
      <c r="K1006" s="243"/>
      <c r="L1006" s="236"/>
      <c r="M1006" s="236"/>
      <c r="N1006" s="236"/>
      <c r="O1006" s="244"/>
      <c r="P1006" s="244"/>
      <c r="Q1006" s="234"/>
      <c r="R1006" s="234"/>
      <c r="S1006" s="238"/>
      <c r="T1006" s="239"/>
      <c r="U1006" s="238"/>
      <c r="V1006" s="238"/>
      <c r="W1006" s="234"/>
      <c r="X1006" s="234"/>
      <c r="Y1006" s="234"/>
      <c r="Z1006" s="234"/>
      <c r="AA1006" s="234"/>
    </row>
    <row r="1007" ht="15.75" customHeight="1">
      <c r="A1007" s="91"/>
      <c r="B1007" s="91"/>
      <c r="C1007" s="220"/>
      <c r="D1007" s="91"/>
      <c r="E1007" s="221"/>
      <c r="F1007" s="91"/>
      <c r="G1007" s="91"/>
      <c r="H1007" s="242"/>
      <c r="I1007" s="91"/>
      <c r="J1007" s="234"/>
      <c r="K1007" s="243"/>
      <c r="L1007" s="236"/>
      <c r="M1007" s="236"/>
      <c r="N1007" s="236"/>
      <c r="O1007" s="244"/>
      <c r="P1007" s="244"/>
      <c r="Q1007" s="234"/>
      <c r="R1007" s="234"/>
      <c r="S1007" s="238"/>
      <c r="T1007" s="239"/>
      <c r="U1007" s="238"/>
      <c r="V1007" s="238"/>
      <c r="W1007" s="234"/>
      <c r="X1007" s="234"/>
      <c r="Y1007" s="234"/>
      <c r="Z1007" s="234"/>
      <c r="AA1007" s="234"/>
    </row>
    <row r="1008" ht="15.75" customHeight="1">
      <c r="A1008" s="91"/>
      <c r="B1008" s="91"/>
      <c r="C1008" s="220"/>
      <c r="D1008" s="91"/>
      <c r="E1008" s="221"/>
      <c r="F1008" s="91"/>
      <c r="G1008" s="91"/>
      <c r="H1008" s="242"/>
      <c r="I1008" s="91"/>
      <c r="J1008" s="234"/>
      <c r="K1008" s="243"/>
      <c r="L1008" s="236"/>
      <c r="M1008" s="236"/>
      <c r="N1008" s="236"/>
      <c r="O1008" s="244"/>
      <c r="P1008" s="244"/>
      <c r="Q1008" s="234"/>
      <c r="R1008" s="234"/>
      <c r="S1008" s="238"/>
      <c r="T1008" s="239"/>
      <c r="U1008" s="238"/>
      <c r="V1008" s="238"/>
      <c r="W1008" s="234"/>
      <c r="X1008" s="234"/>
      <c r="Y1008" s="234"/>
      <c r="Z1008" s="234"/>
      <c r="AA1008" s="234"/>
    </row>
    <row r="1009" ht="15.75" customHeight="1">
      <c r="A1009" s="91"/>
      <c r="B1009" s="91"/>
      <c r="C1009" s="220"/>
      <c r="D1009" s="91"/>
      <c r="E1009" s="221"/>
      <c r="F1009" s="91"/>
      <c r="G1009" s="91"/>
      <c r="H1009" s="242"/>
      <c r="I1009" s="91"/>
      <c r="J1009" s="234"/>
      <c r="K1009" s="243"/>
      <c r="L1009" s="236"/>
      <c r="M1009" s="236"/>
      <c r="N1009" s="236"/>
      <c r="O1009" s="244"/>
      <c r="P1009" s="244"/>
      <c r="Q1009" s="234"/>
      <c r="R1009" s="234"/>
      <c r="S1009" s="238"/>
      <c r="T1009" s="239"/>
      <c r="U1009" s="238"/>
      <c r="V1009" s="238"/>
      <c r="W1009" s="234"/>
      <c r="X1009" s="234"/>
      <c r="Y1009" s="234"/>
      <c r="Z1009" s="234"/>
      <c r="AA1009" s="234"/>
    </row>
    <row r="1010" ht="15.75" customHeight="1">
      <c r="A1010" s="91"/>
      <c r="B1010" s="91"/>
      <c r="C1010" s="220"/>
      <c r="D1010" s="91"/>
      <c r="E1010" s="221"/>
      <c r="F1010" s="91"/>
      <c r="G1010" s="91"/>
      <c r="H1010" s="242"/>
      <c r="I1010" s="91"/>
      <c r="J1010" s="234"/>
      <c r="K1010" s="243"/>
      <c r="L1010" s="236"/>
      <c r="M1010" s="236"/>
      <c r="N1010" s="236"/>
      <c r="O1010" s="244"/>
      <c r="P1010" s="244"/>
      <c r="Q1010" s="234"/>
      <c r="R1010" s="234"/>
      <c r="S1010" s="238"/>
      <c r="T1010" s="239"/>
      <c r="U1010" s="238"/>
      <c r="V1010" s="238"/>
      <c r="W1010" s="234"/>
      <c r="X1010" s="234"/>
      <c r="Y1010" s="234"/>
      <c r="Z1010" s="234"/>
      <c r="AA1010" s="234"/>
    </row>
    <row r="1011" ht="15.75" customHeight="1">
      <c r="A1011" s="91"/>
      <c r="B1011" s="91"/>
      <c r="C1011" s="220"/>
      <c r="D1011" s="91"/>
      <c r="E1011" s="221"/>
      <c r="F1011" s="91"/>
      <c r="G1011" s="91"/>
      <c r="H1011" s="242"/>
      <c r="I1011" s="91"/>
      <c r="J1011" s="234"/>
      <c r="K1011" s="243"/>
      <c r="L1011" s="236"/>
      <c r="M1011" s="236"/>
      <c r="N1011" s="236"/>
      <c r="O1011" s="244"/>
      <c r="P1011" s="244"/>
      <c r="Q1011" s="234"/>
      <c r="R1011" s="234"/>
      <c r="S1011" s="238"/>
      <c r="T1011" s="239"/>
      <c r="U1011" s="238"/>
      <c r="V1011" s="238"/>
      <c r="W1011" s="234"/>
      <c r="X1011" s="234"/>
      <c r="Y1011" s="234"/>
      <c r="Z1011" s="234"/>
      <c r="AA1011" s="234"/>
    </row>
    <row r="1012" ht="15.75" customHeight="1">
      <c r="A1012" s="91"/>
      <c r="B1012" s="91"/>
      <c r="C1012" s="220"/>
      <c r="D1012" s="91"/>
      <c r="E1012" s="221"/>
      <c r="F1012" s="91"/>
      <c r="G1012" s="91"/>
      <c r="H1012" s="242"/>
      <c r="I1012" s="91"/>
      <c r="J1012" s="234"/>
      <c r="K1012" s="243"/>
      <c r="L1012" s="236"/>
      <c r="M1012" s="236"/>
      <c r="N1012" s="236"/>
      <c r="O1012" s="244"/>
      <c r="P1012" s="244"/>
      <c r="Q1012" s="234"/>
      <c r="R1012" s="234"/>
      <c r="S1012" s="238"/>
      <c r="T1012" s="239"/>
      <c r="U1012" s="238"/>
      <c r="V1012" s="238"/>
      <c r="W1012" s="234"/>
      <c r="X1012" s="234"/>
      <c r="Y1012" s="234"/>
      <c r="Z1012" s="234"/>
      <c r="AA1012" s="234"/>
    </row>
    <row r="1013" ht="15.75" customHeight="1">
      <c r="A1013" s="91"/>
      <c r="B1013" s="91"/>
      <c r="C1013" s="220"/>
      <c r="D1013" s="91"/>
      <c r="E1013" s="221"/>
      <c r="F1013" s="91"/>
      <c r="G1013" s="91"/>
      <c r="H1013" s="242"/>
      <c r="I1013" s="91"/>
      <c r="J1013" s="234"/>
      <c r="K1013" s="243"/>
      <c r="L1013" s="236"/>
      <c r="M1013" s="236"/>
      <c r="N1013" s="236"/>
      <c r="O1013" s="244"/>
      <c r="P1013" s="244"/>
      <c r="Q1013" s="234"/>
      <c r="R1013" s="234"/>
      <c r="S1013" s="238"/>
      <c r="T1013" s="239"/>
      <c r="U1013" s="238"/>
      <c r="V1013" s="238"/>
      <c r="W1013" s="234"/>
      <c r="X1013" s="234"/>
      <c r="Y1013" s="234"/>
      <c r="Z1013" s="234"/>
      <c r="AA1013" s="234"/>
    </row>
    <row r="1014" ht="15.75" customHeight="1">
      <c r="A1014" s="91"/>
      <c r="B1014" s="91"/>
      <c r="C1014" s="220"/>
      <c r="D1014" s="91"/>
      <c r="E1014" s="221"/>
      <c r="F1014" s="91"/>
      <c r="G1014" s="91"/>
      <c r="H1014" s="242"/>
      <c r="I1014" s="91"/>
      <c r="J1014" s="234"/>
      <c r="K1014" s="243"/>
      <c r="L1014" s="236"/>
      <c r="M1014" s="236"/>
      <c r="N1014" s="236"/>
      <c r="O1014" s="244"/>
      <c r="P1014" s="244"/>
      <c r="Q1014" s="234"/>
      <c r="R1014" s="234"/>
      <c r="S1014" s="238"/>
      <c r="T1014" s="239"/>
      <c r="U1014" s="238"/>
      <c r="V1014" s="238"/>
      <c r="W1014" s="234"/>
      <c r="X1014" s="234"/>
      <c r="Y1014" s="234"/>
      <c r="Z1014" s="234"/>
      <c r="AA1014" s="234"/>
    </row>
    <row r="1015" ht="15.75" customHeight="1">
      <c r="A1015" s="91"/>
      <c r="B1015" s="91"/>
      <c r="C1015" s="220"/>
      <c r="D1015" s="91"/>
      <c r="E1015" s="221"/>
      <c r="F1015" s="91"/>
      <c r="G1015" s="91"/>
      <c r="H1015" s="242"/>
      <c r="I1015" s="91"/>
      <c r="J1015" s="234"/>
      <c r="K1015" s="243"/>
      <c r="L1015" s="236"/>
      <c r="M1015" s="236"/>
      <c r="N1015" s="236"/>
      <c r="O1015" s="244"/>
      <c r="P1015" s="244"/>
      <c r="Q1015" s="234"/>
      <c r="R1015" s="234"/>
      <c r="S1015" s="238"/>
      <c r="T1015" s="239"/>
      <c r="U1015" s="238"/>
      <c r="V1015" s="238"/>
      <c r="W1015" s="234"/>
      <c r="X1015" s="234"/>
      <c r="Y1015" s="234"/>
      <c r="Z1015" s="234"/>
      <c r="AA1015" s="234"/>
    </row>
    <row r="1016" ht="15.75" customHeight="1">
      <c r="A1016" s="91"/>
      <c r="B1016" s="91"/>
      <c r="C1016" s="220"/>
      <c r="D1016" s="91"/>
      <c r="E1016" s="221"/>
      <c r="F1016" s="91"/>
      <c r="G1016" s="91"/>
      <c r="H1016" s="242"/>
      <c r="I1016" s="91"/>
      <c r="J1016" s="234"/>
      <c r="K1016" s="243"/>
      <c r="L1016" s="236"/>
      <c r="M1016" s="236"/>
      <c r="N1016" s="236"/>
      <c r="O1016" s="244"/>
      <c r="P1016" s="244"/>
      <c r="Q1016" s="234"/>
      <c r="R1016" s="234"/>
      <c r="S1016" s="238"/>
      <c r="T1016" s="239"/>
      <c r="U1016" s="238"/>
      <c r="V1016" s="238"/>
      <c r="W1016" s="234"/>
      <c r="X1016" s="234"/>
      <c r="Y1016" s="234"/>
      <c r="Z1016" s="234"/>
      <c r="AA1016" s="234"/>
    </row>
    <row r="1017" ht="15.75" customHeight="1">
      <c r="A1017" s="91"/>
      <c r="B1017" s="91"/>
      <c r="C1017" s="220"/>
      <c r="D1017" s="91"/>
      <c r="E1017" s="221"/>
      <c r="F1017" s="91"/>
      <c r="G1017" s="91"/>
      <c r="H1017" s="242"/>
      <c r="I1017" s="91"/>
      <c r="J1017" s="234"/>
      <c r="K1017" s="243"/>
      <c r="L1017" s="236"/>
      <c r="M1017" s="236"/>
      <c r="N1017" s="236"/>
      <c r="O1017" s="244"/>
      <c r="P1017" s="244"/>
      <c r="Q1017" s="234"/>
      <c r="R1017" s="234"/>
      <c r="S1017" s="238"/>
      <c r="T1017" s="239"/>
      <c r="U1017" s="238"/>
      <c r="V1017" s="238"/>
      <c r="W1017" s="234"/>
      <c r="X1017" s="234"/>
      <c r="Y1017" s="234"/>
      <c r="Z1017" s="234"/>
      <c r="AA1017" s="234"/>
    </row>
    <row r="1018" ht="15.75" customHeight="1">
      <c r="A1018" s="91"/>
      <c r="B1018" s="91"/>
      <c r="C1018" s="220"/>
      <c r="D1018" s="91"/>
      <c r="E1018" s="221"/>
      <c r="F1018" s="91"/>
      <c r="G1018" s="91"/>
      <c r="H1018" s="242"/>
      <c r="I1018" s="91"/>
      <c r="J1018" s="234"/>
      <c r="K1018" s="243"/>
      <c r="L1018" s="236"/>
      <c r="M1018" s="236"/>
      <c r="N1018" s="236"/>
      <c r="O1018" s="244"/>
      <c r="P1018" s="244"/>
      <c r="Q1018" s="234"/>
      <c r="R1018" s="234"/>
      <c r="S1018" s="238"/>
      <c r="T1018" s="239"/>
      <c r="U1018" s="238"/>
      <c r="V1018" s="238"/>
      <c r="W1018" s="234"/>
      <c r="X1018" s="234"/>
      <c r="Y1018" s="234"/>
      <c r="Z1018" s="234"/>
      <c r="AA1018" s="234"/>
    </row>
    <row r="1019" ht="15.75" customHeight="1">
      <c r="A1019" s="91"/>
      <c r="B1019" s="91"/>
      <c r="C1019" s="220"/>
      <c r="D1019" s="91"/>
      <c r="E1019" s="221"/>
      <c r="F1019" s="91"/>
      <c r="G1019" s="91"/>
      <c r="H1019" s="242"/>
      <c r="I1019" s="91"/>
      <c r="J1019" s="234"/>
      <c r="K1019" s="243"/>
      <c r="L1019" s="236"/>
      <c r="M1019" s="236"/>
      <c r="N1019" s="236"/>
      <c r="O1019" s="244"/>
      <c r="P1019" s="244"/>
      <c r="Q1019" s="234"/>
      <c r="R1019" s="234"/>
      <c r="S1019" s="238"/>
      <c r="T1019" s="239"/>
      <c r="U1019" s="238"/>
      <c r="V1019" s="238"/>
      <c r="W1019" s="234"/>
      <c r="X1019" s="234"/>
      <c r="Y1019" s="234"/>
      <c r="Z1019" s="234"/>
      <c r="AA1019" s="234"/>
    </row>
    <row r="1020" ht="15.75" customHeight="1">
      <c r="A1020" s="91"/>
      <c r="B1020" s="91"/>
      <c r="C1020" s="220"/>
      <c r="D1020" s="91"/>
      <c r="E1020" s="221"/>
      <c r="F1020" s="91"/>
      <c r="G1020" s="91"/>
      <c r="H1020" s="242"/>
      <c r="I1020" s="91"/>
      <c r="J1020" s="234"/>
      <c r="K1020" s="243"/>
      <c r="L1020" s="236"/>
      <c r="M1020" s="236"/>
      <c r="N1020" s="236"/>
      <c r="O1020" s="244"/>
      <c r="P1020" s="244"/>
      <c r="Q1020" s="234"/>
      <c r="R1020" s="234"/>
      <c r="S1020" s="238"/>
      <c r="T1020" s="239"/>
      <c r="U1020" s="238"/>
      <c r="V1020" s="238"/>
      <c r="W1020" s="234"/>
      <c r="X1020" s="234"/>
      <c r="Y1020" s="234"/>
      <c r="Z1020" s="234"/>
      <c r="AA1020" s="234"/>
    </row>
    <row r="1021" ht="15.75" customHeight="1">
      <c r="A1021" s="91"/>
      <c r="B1021" s="91"/>
      <c r="C1021" s="220"/>
      <c r="D1021" s="91"/>
      <c r="E1021" s="221"/>
      <c r="F1021" s="91"/>
      <c r="G1021" s="91"/>
      <c r="H1021" s="242"/>
      <c r="I1021" s="91"/>
      <c r="J1021" s="234"/>
      <c r="K1021" s="243"/>
      <c r="L1021" s="236"/>
      <c r="M1021" s="236"/>
      <c r="N1021" s="236"/>
      <c r="O1021" s="244"/>
      <c r="P1021" s="244"/>
      <c r="Q1021" s="234"/>
      <c r="R1021" s="234"/>
      <c r="S1021" s="238"/>
      <c r="T1021" s="239"/>
      <c r="U1021" s="238"/>
      <c r="V1021" s="238"/>
      <c r="W1021" s="234"/>
      <c r="X1021" s="234"/>
      <c r="Y1021" s="234"/>
      <c r="Z1021" s="234"/>
      <c r="AA1021" s="234"/>
    </row>
    <row r="1022" ht="15.75" customHeight="1">
      <c r="A1022" s="91"/>
      <c r="B1022" s="91"/>
      <c r="C1022" s="220"/>
      <c r="D1022" s="91"/>
      <c r="E1022" s="221"/>
      <c r="F1022" s="91"/>
      <c r="G1022" s="91"/>
      <c r="H1022" s="242"/>
      <c r="I1022" s="91"/>
      <c r="J1022" s="234"/>
      <c r="K1022" s="243"/>
      <c r="L1022" s="236"/>
      <c r="M1022" s="236"/>
      <c r="N1022" s="236"/>
      <c r="O1022" s="244"/>
      <c r="P1022" s="244"/>
      <c r="Q1022" s="234"/>
      <c r="R1022" s="234"/>
      <c r="S1022" s="238"/>
      <c r="T1022" s="239"/>
      <c r="U1022" s="238"/>
      <c r="V1022" s="238"/>
      <c r="W1022" s="234"/>
      <c r="X1022" s="234"/>
      <c r="Y1022" s="234"/>
      <c r="Z1022" s="234"/>
      <c r="AA1022" s="234"/>
    </row>
    <row r="1023" ht="15.75" customHeight="1">
      <c r="A1023" s="91"/>
      <c r="B1023" s="91"/>
      <c r="C1023" s="220"/>
      <c r="D1023" s="91"/>
      <c r="E1023" s="221"/>
      <c r="F1023" s="91"/>
      <c r="G1023" s="91"/>
      <c r="H1023" s="242"/>
      <c r="I1023" s="91"/>
      <c r="J1023" s="234"/>
      <c r="K1023" s="243"/>
      <c r="L1023" s="236"/>
      <c r="M1023" s="236"/>
      <c r="N1023" s="236"/>
      <c r="O1023" s="244"/>
      <c r="P1023" s="244"/>
      <c r="Q1023" s="234"/>
      <c r="R1023" s="234"/>
      <c r="S1023" s="238"/>
      <c r="T1023" s="239"/>
      <c r="U1023" s="238"/>
      <c r="V1023" s="238"/>
      <c r="W1023" s="234"/>
      <c r="X1023" s="234"/>
      <c r="Y1023" s="234"/>
      <c r="Z1023" s="234"/>
      <c r="AA1023" s="234"/>
    </row>
    <row r="1024" ht="15.75" customHeight="1">
      <c r="A1024" s="91"/>
      <c r="B1024" s="91"/>
      <c r="C1024" s="220"/>
      <c r="D1024" s="91"/>
      <c r="E1024" s="221"/>
      <c r="F1024" s="91"/>
      <c r="G1024" s="91"/>
      <c r="H1024" s="242"/>
      <c r="I1024" s="91"/>
      <c r="J1024" s="234"/>
      <c r="K1024" s="243"/>
      <c r="L1024" s="236"/>
      <c r="M1024" s="236"/>
      <c r="N1024" s="236"/>
      <c r="O1024" s="244"/>
      <c r="P1024" s="244"/>
      <c r="Q1024" s="234"/>
      <c r="R1024" s="234"/>
      <c r="S1024" s="238"/>
      <c r="T1024" s="239"/>
      <c r="U1024" s="238"/>
      <c r="V1024" s="238"/>
      <c r="W1024" s="234"/>
      <c r="X1024" s="234"/>
      <c r="Y1024" s="234"/>
      <c r="Z1024" s="234"/>
      <c r="AA1024" s="234"/>
    </row>
    <row r="1025" ht="15.75" customHeight="1">
      <c r="A1025" s="91"/>
      <c r="B1025" s="91"/>
      <c r="C1025" s="220"/>
      <c r="D1025" s="91"/>
      <c r="E1025" s="221"/>
      <c r="F1025" s="91"/>
      <c r="G1025" s="91"/>
      <c r="H1025" s="242"/>
      <c r="I1025" s="91"/>
      <c r="J1025" s="234"/>
      <c r="K1025" s="243"/>
      <c r="L1025" s="236"/>
      <c r="M1025" s="236"/>
      <c r="N1025" s="236"/>
      <c r="O1025" s="244"/>
      <c r="P1025" s="244"/>
      <c r="Q1025" s="234"/>
      <c r="R1025" s="234"/>
      <c r="S1025" s="238"/>
      <c r="T1025" s="239"/>
      <c r="U1025" s="238"/>
      <c r="V1025" s="238"/>
      <c r="W1025" s="234"/>
      <c r="X1025" s="234"/>
      <c r="Y1025" s="234"/>
      <c r="Z1025" s="234"/>
      <c r="AA1025" s="234"/>
    </row>
    <row r="1026" ht="15.75" customHeight="1">
      <c r="A1026" s="91"/>
      <c r="B1026" s="91"/>
      <c r="C1026" s="220"/>
      <c r="D1026" s="91"/>
      <c r="E1026" s="221"/>
      <c r="F1026" s="91"/>
      <c r="G1026" s="91"/>
      <c r="H1026" s="242"/>
      <c r="I1026" s="91"/>
      <c r="J1026" s="234"/>
      <c r="K1026" s="243"/>
      <c r="L1026" s="236"/>
      <c r="M1026" s="236"/>
      <c r="N1026" s="236"/>
      <c r="O1026" s="244"/>
      <c r="P1026" s="244"/>
      <c r="Q1026" s="234"/>
      <c r="R1026" s="234"/>
      <c r="S1026" s="238"/>
      <c r="T1026" s="239"/>
      <c r="U1026" s="238"/>
      <c r="V1026" s="238"/>
      <c r="W1026" s="234"/>
      <c r="X1026" s="234"/>
      <c r="Y1026" s="234"/>
      <c r="Z1026" s="234"/>
      <c r="AA1026" s="234"/>
    </row>
    <row r="1027" ht="15.75" customHeight="1">
      <c r="A1027" s="91"/>
      <c r="B1027" s="91"/>
      <c r="C1027" s="220"/>
      <c r="D1027" s="91"/>
      <c r="E1027" s="221"/>
      <c r="F1027" s="91"/>
      <c r="G1027" s="91"/>
      <c r="H1027" s="242"/>
      <c r="I1027" s="91"/>
      <c r="J1027" s="234"/>
      <c r="K1027" s="243"/>
      <c r="L1027" s="236"/>
      <c r="M1027" s="236"/>
      <c r="N1027" s="236"/>
      <c r="O1027" s="244"/>
      <c r="P1027" s="244"/>
      <c r="Q1027" s="234"/>
      <c r="R1027" s="234"/>
      <c r="S1027" s="238"/>
      <c r="T1027" s="239"/>
      <c r="U1027" s="238"/>
      <c r="V1027" s="238"/>
      <c r="W1027" s="234"/>
      <c r="X1027" s="234"/>
      <c r="Y1027" s="234"/>
      <c r="Z1027" s="234"/>
      <c r="AA1027" s="234"/>
    </row>
    <row r="1028" ht="15.75" customHeight="1">
      <c r="A1028" s="91"/>
      <c r="B1028" s="91"/>
      <c r="C1028" s="220"/>
      <c r="D1028" s="91"/>
      <c r="E1028" s="221"/>
      <c r="F1028" s="91"/>
      <c r="G1028" s="91"/>
      <c r="H1028" s="242"/>
      <c r="I1028" s="91"/>
      <c r="J1028" s="234"/>
      <c r="K1028" s="243"/>
      <c r="L1028" s="236"/>
      <c r="M1028" s="236"/>
      <c r="N1028" s="236"/>
      <c r="O1028" s="244"/>
      <c r="P1028" s="244"/>
      <c r="Q1028" s="234"/>
      <c r="R1028" s="234"/>
      <c r="S1028" s="238"/>
      <c r="T1028" s="239"/>
      <c r="U1028" s="238"/>
      <c r="V1028" s="238"/>
      <c r="W1028" s="234"/>
      <c r="X1028" s="234"/>
      <c r="Y1028" s="234"/>
      <c r="Z1028" s="234"/>
      <c r="AA1028" s="234"/>
    </row>
    <row r="1029" ht="15.75" customHeight="1">
      <c r="A1029" s="91"/>
      <c r="B1029" s="91"/>
      <c r="C1029" s="220"/>
      <c r="D1029" s="91"/>
      <c r="E1029" s="221"/>
      <c r="F1029" s="91"/>
      <c r="G1029" s="91"/>
      <c r="H1029" s="242"/>
      <c r="I1029" s="91"/>
      <c r="J1029" s="234"/>
      <c r="K1029" s="243"/>
      <c r="L1029" s="236"/>
      <c r="M1029" s="236"/>
      <c r="N1029" s="236"/>
      <c r="O1029" s="244"/>
      <c r="P1029" s="244"/>
      <c r="Q1029" s="234"/>
      <c r="R1029" s="234"/>
      <c r="S1029" s="238"/>
      <c r="T1029" s="239"/>
      <c r="U1029" s="238"/>
      <c r="V1029" s="238"/>
      <c r="W1029" s="234"/>
      <c r="X1029" s="234"/>
      <c r="Y1029" s="234"/>
      <c r="Z1029" s="234"/>
      <c r="AA1029" s="234"/>
    </row>
    <row r="1030" ht="15.75" customHeight="1">
      <c r="A1030" s="91"/>
      <c r="B1030" s="91"/>
      <c r="C1030" s="220"/>
      <c r="D1030" s="91"/>
      <c r="E1030" s="221"/>
      <c r="F1030" s="91"/>
      <c r="G1030" s="91"/>
      <c r="H1030" s="242"/>
      <c r="I1030" s="91"/>
      <c r="J1030" s="234"/>
      <c r="K1030" s="243"/>
      <c r="L1030" s="236"/>
      <c r="M1030" s="236"/>
      <c r="N1030" s="236"/>
      <c r="O1030" s="244"/>
      <c r="P1030" s="244"/>
      <c r="Q1030" s="234"/>
      <c r="R1030" s="234"/>
      <c r="S1030" s="238"/>
      <c r="T1030" s="239"/>
      <c r="U1030" s="238"/>
      <c r="V1030" s="238"/>
      <c r="W1030" s="234"/>
      <c r="X1030" s="234"/>
      <c r="Y1030" s="234"/>
      <c r="Z1030" s="234"/>
      <c r="AA1030" s="234"/>
    </row>
    <row r="1031" ht="15.75" customHeight="1">
      <c r="A1031" s="91"/>
      <c r="B1031" s="91"/>
      <c r="C1031" s="220"/>
      <c r="D1031" s="91"/>
      <c r="E1031" s="221"/>
      <c r="F1031" s="91"/>
      <c r="G1031" s="91"/>
      <c r="H1031" s="242"/>
      <c r="I1031" s="91"/>
      <c r="J1031" s="234"/>
      <c r="K1031" s="243"/>
      <c r="L1031" s="236"/>
      <c r="M1031" s="236"/>
      <c r="N1031" s="236"/>
      <c r="O1031" s="244"/>
      <c r="P1031" s="244"/>
      <c r="Q1031" s="234"/>
      <c r="R1031" s="234"/>
      <c r="S1031" s="238"/>
      <c r="T1031" s="239"/>
      <c r="U1031" s="238"/>
      <c r="V1031" s="238"/>
      <c r="W1031" s="234"/>
      <c r="X1031" s="234"/>
      <c r="Y1031" s="234"/>
      <c r="Z1031" s="234"/>
      <c r="AA1031" s="234"/>
    </row>
    <row r="1032" ht="15.75" customHeight="1">
      <c r="A1032" s="91"/>
      <c r="B1032" s="91"/>
      <c r="C1032" s="220"/>
      <c r="D1032" s="91"/>
      <c r="E1032" s="221"/>
      <c r="F1032" s="91"/>
      <c r="G1032" s="91"/>
      <c r="H1032" s="242"/>
      <c r="I1032" s="91"/>
      <c r="J1032" s="234"/>
      <c r="K1032" s="243"/>
      <c r="L1032" s="236"/>
      <c r="M1032" s="236"/>
      <c r="N1032" s="236"/>
      <c r="O1032" s="244"/>
      <c r="P1032" s="244"/>
      <c r="Q1032" s="234"/>
      <c r="R1032" s="234"/>
      <c r="S1032" s="238"/>
      <c r="T1032" s="239"/>
      <c r="U1032" s="238"/>
      <c r="V1032" s="238"/>
      <c r="W1032" s="234"/>
      <c r="X1032" s="234"/>
      <c r="Y1032" s="234"/>
      <c r="Z1032" s="234"/>
      <c r="AA1032" s="234"/>
    </row>
    <row r="1033" ht="15.75" customHeight="1">
      <c r="A1033" s="91"/>
      <c r="B1033" s="91"/>
      <c r="C1033" s="220"/>
      <c r="D1033" s="91"/>
      <c r="E1033" s="221"/>
      <c r="F1033" s="91"/>
      <c r="G1033" s="91"/>
      <c r="H1033" s="242"/>
      <c r="I1033" s="91"/>
      <c r="J1033" s="234"/>
      <c r="K1033" s="243"/>
      <c r="L1033" s="236"/>
      <c r="M1033" s="236"/>
      <c r="N1033" s="236"/>
      <c r="O1033" s="244"/>
      <c r="P1033" s="244"/>
      <c r="Q1033" s="234"/>
      <c r="R1033" s="234"/>
      <c r="S1033" s="238"/>
      <c r="T1033" s="239"/>
      <c r="U1033" s="238"/>
      <c r="V1033" s="238"/>
      <c r="W1033" s="234"/>
      <c r="X1033" s="234"/>
      <c r="Y1033" s="234"/>
      <c r="Z1033" s="234"/>
      <c r="AA1033" s="234"/>
    </row>
    <row r="1034" ht="15.75" customHeight="1">
      <c r="A1034" s="91"/>
      <c r="B1034" s="91"/>
      <c r="C1034" s="220"/>
      <c r="D1034" s="91"/>
      <c r="E1034" s="221"/>
      <c r="F1034" s="91"/>
      <c r="G1034" s="91"/>
      <c r="H1034" s="242"/>
      <c r="I1034" s="91"/>
      <c r="J1034" s="234"/>
      <c r="K1034" s="243"/>
      <c r="L1034" s="236"/>
      <c r="M1034" s="236"/>
      <c r="N1034" s="236"/>
      <c r="O1034" s="244"/>
      <c r="P1034" s="244"/>
      <c r="Q1034" s="234"/>
      <c r="R1034" s="234"/>
      <c r="S1034" s="238"/>
      <c r="T1034" s="239"/>
      <c r="U1034" s="238"/>
      <c r="V1034" s="238"/>
      <c r="W1034" s="234"/>
      <c r="X1034" s="234"/>
      <c r="Y1034" s="234"/>
      <c r="Z1034" s="234"/>
      <c r="AA1034" s="234"/>
    </row>
    <row r="1035" ht="15.75" customHeight="1">
      <c r="A1035" s="91"/>
      <c r="B1035" s="91"/>
      <c r="C1035" s="220"/>
      <c r="D1035" s="91"/>
      <c r="E1035" s="221"/>
      <c r="F1035" s="91"/>
      <c r="G1035" s="91"/>
      <c r="H1035" s="242"/>
      <c r="I1035" s="91"/>
      <c r="J1035" s="234"/>
      <c r="K1035" s="243"/>
      <c r="L1035" s="236"/>
      <c r="M1035" s="236"/>
      <c r="N1035" s="236"/>
      <c r="O1035" s="244"/>
      <c r="P1035" s="244"/>
      <c r="Q1035" s="234"/>
      <c r="R1035" s="234"/>
      <c r="S1035" s="238"/>
      <c r="T1035" s="239"/>
      <c r="U1035" s="238"/>
      <c r="V1035" s="238"/>
      <c r="W1035" s="234"/>
      <c r="X1035" s="234"/>
      <c r="Y1035" s="234"/>
      <c r="Z1035" s="234"/>
      <c r="AA1035" s="234"/>
    </row>
    <row r="1036" ht="15.75" customHeight="1">
      <c r="A1036" s="91"/>
      <c r="B1036" s="91"/>
      <c r="C1036" s="220"/>
      <c r="D1036" s="91"/>
      <c r="E1036" s="221"/>
      <c r="F1036" s="91"/>
      <c r="G1036" s="91"/>
      <c r="H1036" s="242"/>
      <c r="I1036" s="91"/>
      <c r="J1036" s="234"/>
      <c r="K1036" s="243"/>
      <c r="L1036" s="236"/>
      <c r="M1036" s="236"/>
      <c r="N1036" s="236"/>
      <c r="O1036" s="244"/>
      <c r="P1036" s="244"/>
      <c r="Q1036" s="234"/>
      <c r="R1036" s="234"/>
      <c r="S1036" s="238"/>
      <c r="T1036" s="239"/>
      <c r="U1036" s="238"/>
      <c r="V1036" s="238"/>
      <c r="W1036" s="234"/>
      <c r="X1036" s="234"/>
      <c r="Y1036" s="234"/>
      <c r="Z1036" s="234"/>
      <c r="AA1036" s="234"/>
    </row>
    <row r="1037" ht="15.75" customHeight="1">
      <c r="A1037" s="91"/>
      <c r="B1037" s="91"/>
      <c r="C1037" s="220"/>
      <c r="D1037" s="91"/>
      <c r="E1037" s="221"/>
      <c r="F1037" s="91"/>
      <c r="G1037" s="91"/>
      <c r="H1037" s="242"/>
      <c r="I1037" s="91"/>
      <c r="J1037" s="234"/>
      <c r="K1037" s="243"/>
      <c r="L1037" s="236"/>
      <c r="M1037" s="236"/>
      <c r="N1037" s="236"/>
      <c r="O1037" s="244"/>
      <c r="P1037" s="244"/>
      <c r="Q1037" s="234"/>
      <c r="R1037" s="234"/>
      <c r="S1037" s="238"/>
      <c r="T1037" s="239"/>
      <c r="U1037" s="238"/>
      <c r="V1037" s="238"/>
      <c r="W1037" s="234"/>
      <c r="X1037" s="234"/>
      <c r="Y1037" s="234"/>
      <c r="Z1037" s="234"/>
      <c r="AA1037" s="234"/>
    </row>
    <row r="1038" ht="15.75" customHeight="1">
      <c r="A1038" s="91"/>
      <c r="B1038" s="91"/>
      <c r="C1038" s="220"/>
      <c r="D1038" s="91"/>
      <c r="E1038" s="221"/>
      <c r="F1038" s="91"/>
      <c r="G1038" s="91"/>
      <c r="H1038" s="242"/>
      <c r="I1038" s="91"/>
      <c r="J1038" s="234"/>
      <c r="K1038" s="243"/>
      <c r="L1038" s="236"/>
      <c r="M1038" s="236"/>
      <c r="N1038" s="236"/>
      <c r="O1038" s="244"/>
      <c r="P1038" s="244"/>
      <c r="Q1038" s="234"/>
      <c r="R1038" s="234"/>
      <c r="S1038" s="238"/>
      <c r="T1038" s="239"/>
      <c r="U1038" s="238"/>
      <c r="V1038" s="238"/>
      <c r="W1038" s="234"/>
      <c r="X1038" s="234"/>
      <c r="Y1038" s="234"/>
      <c r="Z1038" s="234"/>
      <c r="AA1038" s="234"/>
    </row>
    <row r="1039" ht="15.75" customHeight="1">
      <c r="A1039" s="91"/>
      <c r="B1039" s="91"/>
      <c r="C1039" s="220"/>
      <c r="D1039" s="91"/>
      <c r="E1039" s="221"/>
      <c r="F1039" s="91"/>
      <c r="G1039" s="91"/>
      <c r="H1039" s="242"/>
      <c r="I1039" s="91"/>
      <c r="J1039" s="234"/>
      <c r="K1039" s="243"/>
      <c r="L1039" s="236"/>
      <c r="M1039" s="236"/>
      <c r="N1039" s="236"/>
      <c r="O1039" s="244"/>
      <c r="P1039" s="244"/>
      <c r="Q1039" s="234"/>
      <c r="R1039" s="234"/>
      <c r="S1039" s="238"/>
      <c r="T1039" s="239"/>
      <c r="U1039" s="238"/>
      <c r="V1039" s="238"/>
      <c r="W1039" s="234"/>
      <c r="X1039" s="234"/>
      <c r="Y1039" s="234"/>
      <c r="Z1039" s="234"/>
      <c r="AA1039" s="234"/>
    </row>
    <row r="1040" ht="15.75" customHeight="1">
      <c r="A1040" s="91"/>
      <c r="B1040" s="91"/>
      <c r="C1040" s="220"/>
      <c r="D1040" s="91"/>
      <c r="E1040" s="221"/>
      <c r="F1040" s="91"/>
      <c r="G1040" s="91"/>
      <c r="H1040" s="242"/>
      <c r="I1040" s="91"/>
      <c r="J1040" s="234"/>
      <c r="K1040" s="243"/>
      <c r="L1040" s="236"/>
      <c r="M1040" s="236"/>
      <c r="N1040" s="236"/>
      <c r="O1040" s="244"/>
      <c r="P1040" s="244"/>
      <c r="Q1040" s="234"/>
      <c r="R1040" s="234"/>
      <c r="S1040" s="238"/>
      <c r="T1040" s="239"/>
      <c r="U1040" s="238"/>
      <c r="V1040" s="238"/>
      <c r="W1040" s="234"/>
      <c r="X1040" s="234"/>
      <c r="Y1040" s="234"/>
      <c r="Z1040" s="234"/>
      <c r="AA1040" s="234"/>
    </row>
    <row r="1041" ht="15.75" customHeight="1">
      <c r="A1041" s="91"/>
      <c r="B1041" s="91"/>
      <c r="C1041" s="220"/>
      <c r="D1041" s="91"/>
      <c r="E1041" s="221"/>
      <c r="F1041" s="91"/>
      <c r="G1041" s="91"/>
      <c r="H1041" s="242"/>
      <c r="I1041" s="91"/>
      <c r="J1041" s="234"/>
      <c r="K1041" s="243"/>
      <c r="L1041" s="236"/>
      <c r="M1041" s="236"/>
      <c r="N1041" s="236"/>
      <c r="O1041" s="244"/>
      <c r="P1041" s="244"/>
      <c r="Q1041" s="234"/>
      <c r="R1041" s="234"/>
      <c r="S1041" s="238"/>
      <c r="T1041" s="239"/>
      <c r="U1041" s="238"/>
      <c r="V1041" s="238"/>
      <c r="W1041" s="234"/>
      <c r="X1041" s="234"/>
      <c r="Y1041" s="234"/>
      <c r="Z1041" s="234"/>
      <c r="AA1041" s="234"/>
    </row>
    <row r="1042" ht="15.75" customHeight="1">
      <c r="A1042" s="91"/>
      <c r="B1042" s="91"/>
      <c r="C1042" s="220"/>
      <c r="D1042" s="91"/>
      <c r="E1042" s="221"/>
      <c r="F1042" s="91"/>
      <c r="G1042" s="91"/>
      <c r="H1042" s="242"/>
      <c r="I1042" s="91"/>
      <c r="J1042" s="234"/>
      <c r="K1042" s="243"/>
      <c r="L1042" s="236"/>
      <c r="M1042" s="236"/>
      <c r="N1042" s="236"/>
      <c r="O1042" s="244"/>
      <c r="P1042" s="244"/>
      <c r="Q1042" s="234"/>
      <c r="R1042" s="234"/>
      <c r="S1042" s="238"/>
      <c r="T1042" s="239"/>
      <c r="U1042" s="238"/>
      <c r="V1042" s="238"/>
      <c r="W1042" s="234"/>
      <c r="X1042" s="234"/>
      <c r="Y1042" s="234"/>
      <c r="Z1042" s="234"/>
      <c r="AA1042" s="234"/>
    </row>
    <row r="1043" ht="15.75" customHeight="1">
      <c r="A1043" s="91"/>
      <c r="B1043" s="91"/>
      <c r="C1043" s="220"/>
      <c r="D1043" s="91"/>
      <c r="E1043" s="221"/>
      <c r="F1043" s="91"/>
      <c r="G1043" s="91"/>
      <c r="H1043" s="242"/>
      <c r="I1043" s="91"/>
      <c r="J1043" s="234"/>
      <c r="K1043" s="243"/>
      <c r="L1043" s="236"/>
      <c r="M1043" s="236"/>
      <c r="N1043" s="236"/>
      <c r="O1043" s="244"/>
      <c r="P1043" s="244"/>
      <c r="Q1043" s="234"/>
      <c r="R1043" s="234"/>
      <c r="S1043" s="238"/>
      <c r="T1043" s="239"/>
      <c r="U1043" s="238"/>
      <c r="V1043" s="238"/>
      <c r="W1043" s="234"/>
      <c r="X1043" s="234"/>
      <c r="Y1043" s="234"/>
      <c r="Z1043" s="234"/>
      <c r="AA1043" s="234"/>
    </row>
    <row r="1044" ht="15.75" customHeight="1">
      <c r="A1044" s="91"/>
      <c r="B1044" s="91"/>
      <c r="C1044" s="220"/>
      <c r="D1044" s="91"/>
      <c r="E1044" s="221"/>
      <c r="F1044" s="91"/>
      <c r="G1044" s="91"/>
      <c r="H1044" s="242"/>
      <c r="I1044" s="91"/>
      <c r="J1044" s="234"/>
      <c r="K1044" s="243"/>
      <c r="L1044" s="236"/>
      <c r="M1044" s="236"/>
      <c r="N1044" s="236"/>
      <c r="O1044" s="244"/>
      <c r="P1044" s="244"/>
      <c r="Q1044" s="234"/>
      <c r="R1044" s="234"/>
      <c r="S1044" s="238"/>
      <c r="T1044" s="239"/>
      <c r="U1044" s="238"/>
      <c r="V1044" s="238"/>
      <c r="W1044" s="234"/>
      <c r="X1044" s="234"/>
      <c r="Y1044" s="234"/>
      <c r="Z1044" s="234"/>
      <c r="AA1044" s="234"/>
    </row>
    <row r="1045" ht="15.75" customHeight="1">
      <c r="A1045" s="91"/>
      <c r="B1045" s="91"/>
      <c r="C1045" s="220"/>
      <c r="D1045" s="91"/>
      <c r="E1045" s="221"/>
      <c r="F1045" s="91"/>
      <c r="G1045" s="91"/>
      <c r="H1045" s="242"/>
      <c r="I1045" s="91"/>
      <c r="J1045" s="234"/>
      <c r="K1045" s="243"/>
      <c r="L1045" s="236"/>
      <c r="M1045" s="236"/>
      <c r="N1045" s="236"/>
      <c r="O1045" s="244"/>
      <c r="P1045" s="244"/>
      <c r="Q1045" s="234"/>
      <c r="R1045" s="234"/>
      <c r="S1045" s="238"/>
      <c r="T1045" s="239"/>
      <c r="U1045" s="238"/>
      <c r="V1045" s="238"/>
      <c r="W1045" s="234"/>
      <c r="X1045" s="234"/>
      <c r="Y1045" s="234"/>
      <c r="Z1045" s="234"/>
      <c r="AA1045" s="234"/>
    </row>
    <row r="1046" ht="15.75" customHeight="1">
      <c r="A1046" s="91"/>
      <c r="B1046" s="91"/>
      <c r="C1046" s="220"/>
      <c r="D1046" s="91"/>
      <c r="E1046" s="221"/>
      <c r="F1046" s="91"/>
      <c r="G1046" s="91"/>
      <c r="H1046" s="242"/>
      <c r="I1046" s="91"/>
      <c r="J1046" s="234"/>
      <c r="K1046" s="243"/>
      <c r="L1046" s="236"/>
      <c r="M1046" s="236"/>
      <c r="N1046" s="236"/>
      <c r="O1046" s="244"/>
      <c r="P1046" s="244"/>
      <c r="Q1046" s="234"/>
      <c r="R1046" s="234"/>
      <c r="S1046" s="238"/>
      <c r="T1046" s="239"/>
      <c r="U1046" s="238"/>
      <c r="V1046" s="238"/>
      <c r="W1046" s="234"/>
      <c r="X1046" s="234"/>
      <c r="Y1046" s="234"/>
      <c r="Z1046" s="234"/>
      <c r="AA1046" s="234"/>
    </row>
    <row r="1047" ht="15.75" customHeight="1">
      <c r="A1047" s="91"/>
      <c r="B1047" s="91"/>
      <c r="C1047" s="220"/>
      <c r="D1047" s="91"/>
      <c r="E1047" s="221"/>
      <c r="F1047" s="91"/>
      <c r="G1047" s="91"/>
      <c r="H1047" s="242"/>
      <c r="I1047" s="91"/>
      <c r="J1047" s="234"/>
      <c r="K1047" s="243"/>
      <c r="L1047" s="236"/>
      <c r="M1047" s="236"/>
      <c r="N1047" s="236"/>
      <c r="O1047" s="244"/>
      <c r="P1047" s="244"/>
      <c r="Q1047" s="234"/>
      <c r="R1047" s="234"/>
      <c r="S1047" s="238"/>
      <c r="T1047" s="239"/>
      <c r="U1047" s="238"/>
      <c r="V1047" s="238"/>
      <c r="W1047" s="234"/>
      <c r="X1047" s="234"/>
      <c r="Y1047" s="234"/>
      <c r="Z1047" s="234"/>
      <c r="AA1047" s="234"/>
    </row>
    <row r="1048" ht="15.75" customHeight="1">
      <c r="A1048" s="91"/>
      <c r="B1048" s="91"/>
      <c r="C1048" s="220"/>
      <c r="D1048" s="91"/>
      <c r="E1048" s="221"/>
      <c r="F1048" s="91"/>
      <c r="G1048" s="91"/>
      <c r="H1048" s="242"/>
      <c r="I1048" s="91"/>
      <c r="J1048" s="234"/>
      <c r="K1048" s="243"/>
      <c r="L1048" s="236"/>
      <c r="M1048" s="236"/>
      <c r="N1048" s="236"/>
      <c r="O1048" s="244"/>
      <c r="P1048" s="244"/>
      <c r="Q1048" s="234"/>
      <c r="R1048" s="234"/>
      <c r="S1048" s="238"/>
      <c r="T1048" s="239"/>
      <c r="U1048" s="238"/>
      <c r="V1048" s="238"/>
      <c r="W1048" s="234"/>
      <c r="X1048" s="234"/>
      <c r="Y1048" s="234"/>
      <c r="Z1048" s="234"/>
      <c r="AA1048" s="234"/>
    </row>
    <row r="1049" ht="15.75" customHeight="1">
      <c r="A1049" s="91"/>
      <c r="B1049" s="91"/>
      <c r="C1049" s="220"/>
      <c r="D1049" s="91"/>
      <c r="E1049" s="221"/>
      <c r="F1049" s="91"/>
      <c r="G1049" s="91"/>
      <c r="H1049" s="242"/>
      <c r="I1049" s="91"/>
      <c r="J1049" s="234"/>
      <c r="K1049" s="243"/>
      <c r="L1049" s="236"/>
      <c r="M1049" s="236"/>
      <c r="N1049" s="236"/>
      <c r="O1049" s="244"/>
      <c r="P1049" s="244"/>
      <c r="Q1049" s="234"/>
      <c r="R1049" s="234"/>
      <c r="S1049" s="238"/>
      <c r="T1049" s="239"/>
      <c r="U1049" s="238"/>
      <c r="V1049" s="238"/>
      <c r="W1049" s="234"/>
      <c r="X1049" s="234"/>
      <c r="Y1049" s="234"/>
      <c r="Z1049" s="234"/>
      <c r="AA1049" s="234"/>
    </row>
    <row r="1050" ht="15.75" customHeight="1">
      <c r="A1050" s="91"/>
      <c r="B1050" s="91"/>
      <c r="C1050" s="220"/>
      <c r="D1050" s="91"/>
      <c r="E1050" s="221"/>
      <c r="F1050" s="91"/>
      <c r="G1050" s="91"/>
      <c r="H1050" s="242"/>
      <c r="I1050" s="91"/>
      <c r="J1050" s="234"/>
      <c r="K1050" s="243"/>
      <c r="L1050" s="236"/>
      <c r="M1050" s="236"/>
      <c r="N1050" s="236"/>
      <c r="O1050" s="244"/>
      <c r="P1050" s="244"/>
      <c r="Q1050" s="234"/>
      <c r="R1050" s="234"/>
      <c r="S1050" s="238"/>
      <c r="T1050" s="239"/>
      <c r="U1050" s="238"/>
      <c r="V1050" s="238"/>
      <c r="W1050" s="234"/>
      <c r="X1050" s="234"/>
      <c r="Y1050" s="234"/>
      <c r="Z1050" s="234"/>
      <c r="AA1050" s="234"/>
    </row>
    <row r="1051" ht="15.75" customHeight="1">
      <c r="A1051" s="91"/>
      <c r="B1051" s="91"/>
      <c r="C1051" s="220"/>
      <c r="D1051" s="91"/>
      <c r="E1051" s="221"/>
      <c r="F1051" s="91"/>
      <c r="G1051" s="91"/>
      <c r="H1051" s="242"/>
      <c r="I1051" s="91"/>
      <c r="J1051" s="234"/>
      <c r="K1051" s="243"/>
      <c r="L1051" s="236"/>
      <c r="M1051" s="236"/>
      <c r="N1051" s="236"/>
      <c r="O1051" s="244"/>
      <c r="P1051" s="244"/>
      <c r="Q1051" s="234"/>
      <c r="R1051" s="234"/>
      <c r="S1051" s="238"/>
      <c r="T1051" s="239"/>
      <c r="U1051" s="238"/>
      <c r="V1051" s="238"/>
      <c r="W1051" s="234"/>
      <c r="X1051" s="234"/>
      <c r="Y1051" s="234"/>
      <c r="Z1051" s="234"/>
      <c r="AA1051" s="234"/>
    </row>
    <row r="1052" ht="15.75" customHeight="1">
      <c r="A1052" s="91"/>
      <c r="B1052" s="91"/>
      <c r="C1052" s="220"/>
      <c r="D1052" s="91"/>
      <c r="E1052" s="221"/>
      <c r="F1052" s="91"/>
      <c r="G1052" s="91"/>
      <c r="H1052" s="242"/>
      <c r="I1052" s="91"/>
      <c r="J1052" s="234"/>
      <c r="K1052" s="243"/>
      <c r="L1052" s="236"/>
      <c r="M1052" s="236"/>
      <c r="N1052" s="236"/>
      <c r="O1052" s="244"/>
      <c r="P1052" s="244"/>
      <c r="Q1052" s="234"/>
      <c r="R1052" s="234"/>
      <c r="S1052" s="238"/>
      <c r="T1052" s="239"/>
      <c r="U1052" s="238"/>
      <c r="V1052" s="238"/>
      <c r="W1052" s="234"/>
      <c r="X1052" s="234"/>
      <c r="Y1052" s="234"/>
      <c r="Z1052" s="234"/>
      <c r="AA1052" s="234"/>
    </row>
    <row r="1053" ht="15.75" customHeight="1">
      <c r="A1053" s="91"/>
      <c r="B1053" s="91"/>
      <c r="C1053" s="220"/>
      <c r="D1053" s="91"/>
      <c r="E1053" s="221"/>
      <c r="F1053" s="91"/>
      <c r="G1053" s="91"/>
      <c r="H1053" s="242"/>
      <c r="I1053" s="91"/>
      <c r="J1053" s="234"/>
      <c r="K1053" s="243"/>
      <c r="L1053" s="236"/>
      <c r="M1053" s="236"/>
      <c r="N1053" s="236"/>
      <c r="O1053" s="244"/>
      <c r="P1053" s="244"/>
      <c r="Q1053" s="234"/>
      <c r="R1053" s="234"/>
      <c r="S1053" s="238"/>
      <c r="T1053" s="239"/>
      <c r="U1053" s="238"/>
      <c r="V1053" s="238"/>
      <c r="W1053" s="234"/>
      <c r="X1053" s="234"/>
      <c r="Y1053" s="234"/>
      <c r="Z1053" s="234"/>
      <c r="AA1053" s="234"/>
    </row>
    <row r="1054" ht="15.75" customHeight="1">
      <c r="A1054" s="91"/>
      <c r="B1054" s="91"/>
      <c r="C1054" s="220"/>
      <c r="D1054" s="91"/>
      <c r="E1054" s="221"/>
      <c r="F1054" s="91"/>
      <c r="G1054" s="91"/>
      <c r="H1054" s="242"/>
      <c r="I1054" s="91"/>
      <c r="J1054" s="234"/>
      <c r="K1054" s="243"/>
      <c r="L1054" s="236"/>
      <c r="M1054" s="236"/>
      <c r="N1054" s="236"/>
      <c r="O1054" s="244"/>
      <c r="P1054" s="244"/>
      <c r="Q1054" s="234"/>
      <c r="R1054" s="234"/>
      <c r="S1054" s="238"/>
      <c r="T1054" s="239"/>
      <c r="U1054" s="238"/>
      <c r="V1054" s="238"/>
      <c r="W1054" s="234"/>
      <c r="X1054" s="234"/>
      <c r="Y1054" s="234"/>
      <c r="Z1054" s="234"/>
      <c r="AA1054" s="234"/>
    </row>
    <row r="1055" ht="15.75" customHeight="1">
      <c r="A1055" s="91"/>
      <c r="B1055" s="91"/>
      <c r="C1055" s="220"/>
      <c r="D1055" s="91"/>
      <c r="E1055" s="221"/>
      <c r="F1055" s="91"/>
      <c r="G1055" s="91"/>
      <c r="H1055" s="242"/>
      <c r="I1055" s="91"/>
      <c r="J1055" s="234"/>
      <c r="K1055" s="243"/>
      <c r="L1055" s="236"/>
      <c r="M1055" s="236"/>
      <c r="N1055" s="236"/>
      <c r="O1055" s="244"/>
      <c r="P1055" s="244"/>
      <c r="Q1055" s="234"/>
      <c r="R1055" s="234"/>
      <c r="S1055" s="238"/>
      <c r="T1055" s="239"/>
      <c r="U1055" s="238"/>
      <c r="V1055" s="238"/>
      <c r="W1055" s="234"/>
      <c r="X1055" s="234"/>
      <c r="Y1055" s="234"/>
      <c r="Z1055" s="234"/>
      <c r="AA1055" s="234"/>
    </row>
    <row r="1056" ht="15.75" customHeight="1">
      <c r="A1056" s="91"/>
      <c r="B1056" s="91"/>
      <c r="C1056" s="220"/>
      <c r="D1056" s="91"/>
      <c r="E1056" s="221"/>
      <c r="F1056" s="91"/>
      <c r="G1056" s="91"/>
      <c r="H1056" s="242"/>
      <c r="I1056" s="91"/>
      <c r="J1056" s="234"/>
      <c r="K1056" s="243"/>
      <c r="L1056" s="236"/>
      <c r="M1056" s="236"/>
      <c r="N1056" s="236"/>
      <c r="O1056" s="244"/>
      <c r="P1056" s="244"/>
      <c r="Q1056" s="234"/>
      <c r="R1056" s="234"/>
      <c r="S1056" s="238"/>
      <c r="T1056" s="239"/>
      <c r="U1056" s="238"/>
      <c r="V1056" s="238"/>
      <c r="W1056" s="234"/>
      <c r="X1056" s="234"/>
      <c r="Y1056" s="234"/>
      <c r="Z1056" s="234"/>
      <c r="AA1056" s="234"/>
    </row>
    <row r="1057" ht="15.75" customHeight="1">
      <c r="A1057" s="91"/>
      <c r="B1057" s="91"/>
      <c r="C1057" s="220"/>
      <c r="D1057" s="91"/>
      <c r="E1057" s="221"/>
      <c r="F1057" s="91"/>
      <c r="G1057" s="91"/>
      <c r="H1057" s="242"/>
      <c r="I1057" s="91"/>
      <c r="J1057" s="234"/>
      <c r="K1057" s="243"/>
      <c r="L1057" s="236"/>
      <c r="M1057" s="236"/>
      <c r="N1057" s="236"/>
      <c r="O1057" s="244"/>
      <c r="P1057" s="244"/>
      <c r="Q1057" s="234"/>
      <c r="R1057" s="234"/>
      <c r="S1057" s="238"/>
      <c r="T1057" s="239"/>
      <c r="U1057" s="238"/>
      <c r="V1057" s="238"/>
      <c r="W1057" s="234"/>
      <c r="X1057" s="234"/>
      <c r="Y1057" s="234"/>
      <c r="Z1057" s="234"/>
      <c r="AA1057" s="234"/>
    </row>
    <row r="1058" ht="15.75" customHeight="1">
      <c r="A1058" s="91"/>
      <c r="B1058" s="91"/>
      <c r="C1058" s="220"/>
      <c r="D1058" s="91"/>
      <c r="E1058" s="221"/>
      <c r="F1058" s="91"/>
      <c r="G1058" s="91"/>
      <c r="H1058" s="242"/>
      <c r="I1058" s="91"/>
      <c r="J1058" s="234"/>
      <c r="K1058" s="243"/>
      <c r="L1058" s="236"/>
      <c r="M1058" s="236"/>
      <c r="N1058" s="236"/>
      <c r="O1058" s="244"/>
      <c r="P1058" s="244"/>
      <c r="Q1058" s="234"/>
      <c r="R1058" s="234"/>
      <c r="S1058" s="238"/>
      <c r="T1058" s="239"/>
      <c r="U1058" s="238"/>
      <c r="V1058" s="238"/>
      <c r="W1058" s="234"/>
      <c r="X1058" s="234"/>
      <c r="Y1058" s="234"/>
      <c r="Z1058" s="234"/>
      <c r="AA1058" s="234"/>
    </row>
    <row r="1059" ht="15.75" customHeight="1">
      <c r="A1059" s="91"/>
      <c r="B1059" s="91"/>
      <c r="C1059" s="220"/>
      <c r="D1059" s="91"/>
      <c r="E1059" s="221"/>
      <c r="F1059" s="91"/>
      <c r="G1059" s="91"/>
      <c r="H1059" s="242"/>
      <c r="I1059" s="91"/>
      <c r="J1059" s="234"/>
      <c r="K1059" s="243"/>
      <c r="L1059" s="236"/>
      <c r="M1059" s="236"/>
      <c r="N1059" s="236"/>
      <c r="O1059" s="244"/>
      <c r="P1059" s="244"/>
      <c r="Q1059" s="234"/>
      <c r="R1059" s="234"/>
      <c r="S1059" s="238"/>
      <c r="T1059" s="239"/>
      <c r="U1059" s="238"/>
      <c r="V1059" s="238"/>
      <c r="W1059" s="234"/>
      <c r="X1059" s="234"/>
      <c r="Y1059" s="234"/>
      <c r="Z1059" s="234"/>
      <c r="AA1059" s="234"/>
    </row>
    <row r="1060" ht="15.75" customHeight="1">
      <c r="A1060" s="91"/>
      <c r="B1060" s="91"/>
      <c r="C1060" s="220"/>
      <c r="D1060" s="91"/>
      <c r="E1060" s="221"/>
      <c r="F1060" s="91"/>
      <c r="G1060" s="91"/>
      <c r="H1060" s="242"/>
      <c r="I1060" s="91"/>
      <c r="J1060" s="234"/>
      <c r="K1060" s="243"/>
      <c r="L1060" s="236"/>
      <c r="M1060" s="236"/>
      <c r="N1060" s="236"/>
      <c r="O1060" s="244"/>
      <c r="P1060" s="244"/>
      <c r="Q1060" s="234"/>
      <c r="R1060" s="234"/>
      <c r="S1060" s="238"/>
      <c r="T1060" s="239"/>
      <c r="U1060" s="238"/>
      <c r="V1060" s="238"/>
      <c r="W1060" s="234"/>
      <c r="X1060" s="234"/>
      <c r="Y1060" s="234"/>
      <c r="Z1060" s="234"/>
      <c r="AA1060" s="234"/>
    </row>
    <row r="1061" ht="15.75" customHeight="1">
      <c r="A1061" s="91"/>
      <c r="B1061" s="91"/>
      <c r="C1061" s="220"/>
      <c r="D1061" s="91"/>
      <c r="E1061" s="221"/>
      <c r="F1061" s="91"/>
      <c r="G1061" s="91"/>
      <c r="H1061" s="242"/>
      <c r="I1061" s="91"/>
      <c r="J1061" s="234"/>
      <c r="K1061" s="243"/>
      <c r="L1061" s="236"/>
      <c r="M1061" s="236"/>
      <c r="N1061" s="236"/>
      <c r="O1061" s="244"/>
      <c r="P1061" s="244"/>
      <c r="Q1061" s="234"/>
      <c r="R1061" s="234"/>
      <c r="S1061" s="238"/>
      <c r="T1061" s="239"/>
      <c r="U1061" s="238"/>
      <c r="V1061" s="238"/>
      <c r="W1061" s="234"/>
      <c r="X1061" s="234"/>
      <c r="Y1061" s="234"/>
      <c r="Z1061" s="234"/>
      <c r="AA1061" s="234"/>
    </row>
    <row r="1062" ht="15.75" customHeight="1">
      <c r="A1062" s="91"/>
      <c r="B1062" s="91"/>
      <c r="C1062" s="220"/>
      <c r="D1062" s="91"/>
      <c r="E1062" s="221"/>
      <c r="F1062" s="91"/>
      <c r="G1062" s="91"/>
      <c r="H1062" s="242"/>
      <c r="I1062" s="91"/>
      <c r="J1062" s="234"/>
      <c r="K1062" s="243"/>
      <c r="L1062" s="236"/>
      <c r="M1062" s="236"/>
      <c r="N1062" s="236"/>
      <c r="O1062" s="244"/>
      <c r="P1062" s="244"/>
      <c r="Q1062" s="234"/>
      <c r="R1062" s="234"/>
      <c r="S1062" s="238"/>
      <c r="T1062" s="239"/>
      <c r="U1062" s="238"/>
      <c r="V1062" s="238"/>
      <c r="W1062" s="234"/>
      <c r="X1062" s="234"/>
      <c r="Y1062" s="234"/>
      <c r="Z1062" s="234"/>
      <c r="AA1062" s="234"/>
    </row>
    <row r="1063" ht="15.75" customHeight="1">
      <c r="A1063" s="91"/>
      <c r="B1063" s="91"/>
      <c r="C1063" s="220"/>
      <c r="D1063" s="91"/>
      <c r="E1063" s="221"/>
      <c r="F1063" s="91"/>
      <c r="G1063" s="91"/>
      <c r="H1063" s="242"/>
      <c r="I1063" s="91"/>
      <c r="J1063" s="234"/>
      <c r="K1063" s="243"/>
      <c r="L1063" s="236"/>
      <c r="M1063" s="236"/>
      <c r="N1063" s="236"/>
      <c r="O1063" s="244"/>
      <c r="P1063" s="244"/>
      <c r="Q1063" s="234"/>
      <c r="R1063" s="234"/>
      <c r="S1063" s="238"/>
      <c r="T1063" s="239"/>
      <c r="U1063" s="238"/>
      <c r="V1063" s="238"/>
      <c r="W1063" s="234"/>
      <c r="X1063" s="234"/>
      <c r="Y1063" s="234"/>
      <c r="Z1063" s="234"/>
      <c r="AA1063" s="234"/>
    </row>
    <row r="1064" ht="15.75" customHeight="1">
      <c r="A1064" s="91"/>
      <c r="B1064" s="91"/>
      <c r="C1064" s="220"/>
      <c r="D1064" s="91"/>
      <c r="E1064" s="221"/>
      <c r="F1064" s="91"/>
      <c r="G1064" s="91"/>
      <c r="H1064" s="242"/>
      <c r="I1064" s="91"/>
      <c r="J1064" s="234"/>
      <c r="K1064" s="243"/>
      <c r="L1064" s="236"/>
      <c r="M1064" s="236"/>
      <c r="N1064" s="236"/>
      <c r="O1064" s="244"/>
      <c r="P1064" s="244"/>
      <c r="Q1064" s="234"/>
      <c r="R1064" s="234"/>
      <c r="S1064" s="238"/>
      <c r="T1064" s="239"/>
      <c r="U1064" s="238"/>
      <c r="V1064" s="238"/>
      <c r="W1064" s="234"/>
      <c r="X1064" s="234"/>
      <c r="Y1064" s="234"/>
      <c r="Z1064" s="234"/>
      <c r="AA1064" s="234"/>
    </row>
    <row r="1065" ht="15.75" customHeight="1">
      <c r="A1065" s="91"/>
      <c r="B1065" s="91"/>
      <c r="C1065" s="220"/>
      <c r="D1065" s="91"/>
      <c r="E1065" s="221"/>
      <c r="F1065" s="91"/>
      <c r="G1065" s="91"/>
      <c r="H1065" s="242"/>
      <c r="I1065" s="91"/>
      <c r="J1065" s="234"/>
      <c r="K1065" s="243"/>
      <c r="L1065" s="236"/>
      <c r="M1065" s="236"/>
      <c r="N1065" s="236"/>
      <c r="O1065" s="244"/>
      <c r="P1065" s="244"/>
      <c r="Q1065" s="234"/>
      <c r="R1065" s="234"/>
      <c r="S1065" s="238"/>
      <c r="T1065" s="239"/>
      <c r="U1065" s="238"/>
      <c r="V1065" s="238"/>
      <c r="W1065" s="234"/>
      <c r="X1065" s="234"/>
      <c r="Y1065" s="234"/>
      <c r="Z1065" s="234"/>
      <c r="AA1065" s="234"/>
    </row>
    <row r="1066" ht="15.75" customHeight="1">
      <c r="A1066" s="91"/>
      <c r="B1066" s="91"/>
      <c r="C1066" s="220"/>
      <c r="D1066" s="91"/>
      <c r="E1066" s="221"/>
      <c r="F1066" s="91"/>
      <c r="G1066" s="91"/>
      <c r="H1066" s="242"/>
      <c r="I1066" s="91"/>
      <c r="J1066" s="234"/>
      <c r="K1066" s="243"/>
      <c r="L1066" s="236"/>
      <c r="M1066" s="236"/>
      <c r="N1066" s="236"/>
      <c r="O1066" s="244"/>
      <c r="P1066" s="244"/>
      <c r="Q1066" s="234"/>
      <c r="R1066" s="234"/>
      <c r="S1066" s="238"/>
      <c r="T1066" s="239"/>
      <c r="U1066" s="238"/>
      <c r="V1066" s="238"/>
      <c r="W1066" s="234"/>
      <c r="X1066" s="234"/>
      <c r="Y1066" s="234"/>
      <c r="Z1066" s="234"/>
      <c r="AA1066" s="234"/>
    </row>
    <row r="1067" ht="15.75" customHeight="1">
      <c r="A1067" s="91"/>
      <c r="B1067" s="91"/>
      <c r="C1067" s="220"/>
      <c r="D1067" s="91"/>
      <c r="E1067" s="221"/>
      <c r="F1067" s="91"/>
      <c r="G1067" s="91"/>
      <c r="H1067" s="242"/>
      <c r="I1067" s="91"/>
      <c r="J1067" s="234"/>
      <c r="K1067" s="243"/>
      <c r="L1067" s="236"/>
      <c r="M1067" s="236"/>
      <c r="N1067" s="236"/>
      <c r="O1067" s="244"/>
      <c r="P1067" s="244"/>
      <c r="Q1067" s="234"/>
      <c r="R1067" s="234"/>
      <c r="S1067" s="238"/>
      <c r="T1067" s="239"/>
      <c r="U1067" s="238"/>
      <c r="V1067" s="238"/>
      <c r="W1067" s="234"/>
      <c r="X1067" s="234"/>
      <c r="Y1067" s="234"/>
      <c r="Z1067" s="234"/>
      <c r="AA1067" s="234"/>
    </row>
    <row r="1068" ht="15.75" customHeight="1">
      <c r="A1068" s="91"/>
      <c r="B1068" s="91"/>
      <c r="C1068" s="220"/>
      <c r="D1068" s="91"/>
      <c r="E1068" s="221"/>
      <c r="F1068" s="91"/>
      <c r="G1068" s="91"/>
      <c r="H1068" s="242"/>
      <c r="I1068" s="91"/>
      <c r="J1068" s="234"/>
      <c r="K1068" s="243"/>
      <c r="L1068" s="236"/>
      <c r="M1068" s="236"/>
      <c r="N1068" s="236"/>
      <c r="O1068" s="244"/>
      <c r="P1068" s="244"/>
      <c r="Q1068" s="234"/>
      <c r="R1068" s="234"/>
      <c r="S1068" s="238"/>
      <c r="T1068" s="239"/>
      <c r="U1068" s="238"/>
      <c r="V1068" s="238"/>
      <c r="W1068" s="234"/>
      <c r="X1068" s="234"/>
      <c r="Y1068" s="234"/>
      <c r="Z1068" s="234"/>
      <c r="AA1068" s="234"/>
    </row>
    <row r="1069" ht="15.75" customHeight="1">
      <c r="A1069" s="91"/>
      <c r="B1069" s="91"/>
      <c r="C1069" s="220"/>
      <c r="D1069" s="91"/>
      <c r="E1069" s="221"/>
      <c r="F1069" s="91"/>
      <c r="G1069" s="91"/>
      <c r="H1069" s="242"/>
      <c r="I1069" s="91"/>
      <c r="J1069" s="234"/>
      <c r="K1069" s="243"/>
      <c r="L1069" s="236"/>
      <c r="M1069" s="236"/>
      <c r="N1069" s="236"/>
      <c r="O1069" s="244"/>
      <c r="P1069" s="244"/>
      <c r="Q1069" s="234"/>
      <c r="R1069" s="234"/>
      <c r="S1069" s="238"/>
      <c r="T1069" s="239"/>
      <c r="U1069" s="238"/>
      <c r="V1069" s="238"/>
      <c r="W1069" s="234"/>
      <c r="X1069" s="234"/>
      <c r="Y1069" s="234"/>
      <c r="Z1069" s="234"/>
      <c r="AA1069" s="234"/>
    </row>
    <row r="1070" ht="15.75" customHeight="1">
      <c r="A1070" s="91"/>
      <c r="B1070" s="91"/>
      <c r="C1070" s="220"/>
      <c r="D1070" s="91"/>
      <c r="E1070" s="221"/>
      <c r="F1070" s="91"/>
      <c r="G1070" s="91"/>
      <c r="H1070" s="242"/>
      <c r="I1070" s="91"/>
      <c r="J1070" s="234"/>
      <c r="K1070" s="243"/>
      <c r="L1070" s="236"/>
      <c r="M1070" s="236"/>
      <c r="N1070" s="236"/>
      <c r="O1070" s="244"/>
      <c r="P1070" s="244"/>
      <c r="Q1070" s="234"/>
      <c r="R1070" s="234"/>
      <c r="S1070" s="238"/>
      <c r="T1070" s="239"/>
      <c r="U1070" s="238"/>
      <c r="V1070" s="238"/>
      <c r="W1070" s="234"/>
      <c r="X1070" s="234"/>
      <c r="Y1070" s="234"/>
      <c r="Z1070" s="234"/>
      <c r="AA1070" s="234"/>
    </row>
    <row r="1071" ht="15.75" customHeight="1">
      <c r="A1071" s="91"/>
      <c r="B1071" s="91"/>
      <c r="C1071" s="220"/>
      <c r="D1071" s="91"/>
      <c r="E1071" s="221"/>
      <c r="F1071" s="91"/>
      <c r="G1071" s="91"/>
      <c r="H1071" s="242"/>
      <c r="I1071" s="91"/>
      <c r="J1071" s="234"/>
      <c r="K1071" s="243"/>
      <c r="L1071" s="236"/>
      <c r="M1071" s="236"/>
      <c r="N1071" s="236"/>
      <c r="O1071" s="244"/>
      <c r="P1071" s="244"/>
      <c r="Q1071" s="234"/>
      <c r="R1071" s="234"/>
      <c r="S1071" s="238"/>
      <c r="T1071" s="239"/>
      <c r="U1071" s="238"/>
      <c r="V1071" s="238"/>
      <c r="W1071" s="234"/>
      <c r="X1071" s="234"/>
      <c r="Y1071" s="234"/>
      <c r="Z1071" s="234"/>
      <c r="AA1071" s="234"/>
    </row>
    <row r="1072" ht="15.75" customHeight="1">
      <c r="A1072" s="91"/>
      <c r="B1072" s="91"/>
      <c r="C1072" s="220"/>
      <c r="D1072" s="91"/>
      <c r="E1072" s="221"/>
      <c r="F1072" s="91"/>
      <c r="G1072" s="91"/>
      <c r="H1072" s="242"/>
      <c r="I1072" s="91"/>
      <c r="J1072" s="234"/>
      <c r="K1072" s="243"/>
      <c r="L1072" s="236"/>
      <c r="M1072" s="236"/>
      <c r="N1072" s="236"/>
      <c r="O1072" s="244"/>
      <c r="P1072" s="244"/>
      <c r="Q1072" s="234"/>
      <c r="R1072" s="234"/>
      <c r="S1072" s="238"/>
      <c r="T1072" s="239"/>
      <c r="U1072" s="238"/>
      <c r="V1072" s="238"/>
      <c r="W1072" s="234"/>
      <c r="X1072" s="234"/>
      <c r="Y1072" s="234"/>
      <c r="Z1072" s="234"/>
      <c r="AA1072" s="234"/>
    </row>
    <row r="1073" ht="15.75" customHeight="1">
      <c r="A1073" s="91"/>
      <c r="B1073" s="91"/>
      <c r="C1073" s="220"/>
      <c r="D1073" s="91"/>
      <c r="E1073" s="221"/>
      <c r="F1073" s="91"/>
      <c r="G1073" s="91"/>
      <c r="H1073" s="242"/>
      <c r="I1073" s="91"/>
      <c r="J1073" s="234"/>
      <c r="K1073" s="243"/>
      <c r="L1073" s="236"/>
      <c r="M1073" s="236"/>
      <c r="N1073" s="236"/>
      <c r="O1073" s="244"/>
      <c r="P1073" s="244"/>
      <c r="Q1073" s="234"/>
      <c r="R1073" s="234"/>
      <c r="S1073" s="238"/>
      <c r="T1073" s="239"/>
      <c r="U1073" s="238"/>
      <c r="V1073" s="238"/>
      <c r="W1073" s="234"/>
      <c r="X1073" s="234"/>
      <c r="Y1073" s="234"/>
      <c r="Z1073" s="234"/>
      <c r="AA1073" s="234"/>
    </row>
    <row r="1074" ht="15.75" customHeight="1">
      <c r="A1074" s="91"/>
      <c r="C1074" s="220"/>
      <c r="D1074" s="91"/>
      <c r="E1074" s="221"/>
      <c r="F1074" s="91"/>
      <c r="G1074" s="91"/>
      <c r="H1074" s="242"/>
      <c r="I1074" s="91"/>
      <c r="J1074" s="234"/>
      <c r="K1074" s="243"/>
      <c r="L1074" s="236"/>
      <c r="M1074" s="236"/>
      <c r="N1074" s="236"/>
      <c r="O1074" s="244"/>
      <c r="P1074" s="244"/>
      <c r="Q1074" s="234"/>
      <c r="R1074" s="234"/>
      <c r="S1074" s="238"/>
      <c r="T1074" s="239"/>
      <c r="U1074" s="238"/>
      <c r="V1074" s="238"/>
      <c r="W1074" s="234"/>
      <c r="X1074" s="234"/>
      <c r="Y1074" s="234"/>
      <c r="Z1074" s="234"/>
      <c r="AA1074" s="234"/>
    </row>
    <row r="1075" ht="15.75" customHeight="1">
      <c r="A1075" s="91"/>
      <c r="B1075" s="91"/>
      <c r="C1075" s="220"/>
      <c r="D1075" s="91"/>
      <c r="E1075" s="221"/>
      <c r="F1075" s="91"/>
      <c r="G1075" s="91"/>
      <c r="H1075" s="242"/>
      <c r="I1075" s="91"/>
      <c r="J1075" s="234"/>
      <c r="K1075" s="243"/>
      <c r="L1075" s="236"/>
      <c r="M1075" s="236"/>
      <c r="N1075" s="236"/>
      <c r="O1075" s="244"/>
      <c r="P1075" s="244"/>
      <c r="Q1075" s="234"/>
      <c r="R1075" s="234"/>
      <c r="S1075" s="238"/>
      <c r="T1075" s="239"/>
      <c r="U1075" s="238"/>
      <c r="V1075" s="238"/>
      <c r="W1075" s="234"/>
      <c r="X1075" s="234"/>
      <c r="Y1075" s="234"/>
      <c r="Z1075" s="234"/>
      <c r="AA1075" s="234"/>
    </row>
    <row r="1076" ht="15.75" customHeight="1">
      <c r="A1076" s="91"/>
      <c r="B1076" s="91"/>
      <c r="C1076" s="220"/>
      <c r="D1076" s="91"/>
      <c r="E1076" s="221"/>
      <c r="F1076" s="91"/>
      <c r="G1076" s="91"/>
      <c r="H1076" s="242"/>
      <c r="I1076" s="91"/>
      <c r="J1076" s="234"/>
      <c r="K1076" s="243"/>
      <c r="L1076" s="236"/>
      <c r="M1076" s="236"/>
      <c r="N1076" s="236"/>
      <c r="O1076" s="244"/>
      <c r="P1076" s="244"/>
      <c r="Q1076" s="234"/>
      <c r="R1076" s="234"/>
      <c r="S1076" s="238"/>
      <c r="T1076" s="239"/>
      <c r="U1076" s="238"/>
      <c r="V1076" s="238"/>
      <c r="W1076" s="234"/>
      <c r="X1076" s="234"/>
      <c r="Y1076" s="234"/>
      <c r="Z1076" s="234"/>
      <c r="AA1076" s="234"/>
    </row>
    <row r="1077" ht="15.75" customHeight="1">
      <c r="A1077" s="91"/>
      <c r="B1077" s="91"/>
      <c r="C1077" s="220"/>
      <c r="D1077" s="91"/>
      <c r="E1077" s="221"/>
      <c r="F1077" s="91"/>
      <c r="G1077" s="91"/>
      <c r="H1077" s="242"/>
      <c r="I1077" s="91"/>
      <c r="J1077" s="234"/>
      <c r="K1077" s="243"/>
      <c r="L1077" s="236"/>
      <c r="M1077" s="236"/>
      <c r="N1077" s="236"/>
      <c r="O1077" s="244"/>
      <c r="P1077" s="244"/>
      <c r="Q1077" s="234"/>
      <c r="R1077" s="234"/>
      <c r="S1077" s="238"/>
      <c r="T1077" s="239"/>
      <c r="U1077" s="238"/>
      <c r="V1077" s="238"/>
      <c r="W1077" s="234"/>
      <c r="X1077" s="234"/>
      <c r="Y1077" s="234"/>
      <c r="Z1077" s="234"/>
      <c r="AA1077" s="234"/>
    </row>
    <row r="1078" ht="15.75" customHeight="1">
      <c r="A1078" s="91"/>
      <c r="B1078" s="91"/>
      <c r="C1078" s="220"/>
      <c r="D1078" s="91"/>
      <c r="E1078" s="221"/>
      <c r="F1078" s="91"/>
      <c r="G1078" s="91"/>
      <c r="H1078" s="242"/>
      <c r="I1078" s="91"/>
      <c r="J1078" s="234"/>
      <c r="K1078" s="243"/>
      <c r="L1078" s="236"/>
      <c r="M1078" s="236"/>
      <c r="N1078" s="236"/>
      <c r="O1078" s="244"/>
      <c r="P1078" s="244"/>
      <c r="Q1078" s="234"/>
      <c r="R1078" s="234"/>
      <c r="S1078" s="238"/>
      <c r="T1078" s="239"/>
      <c r="U1078" s="238"/>
      <c r="V1078" s="238"/>
      <c r="W1078" s="234"/>
      <c r="X1078" s="234"/>
      <c r="Y1078" s="234"/>
      <c r="Z1078" s="234"/>
      <c r="AA1078" s="234"/>
    </row>
    <row r="1079" ht="15.75" customHeight="1">
      <c r="A1079" s="91"/>
      <c r="B1079" s="91"/>
      <c r="C1079" s="220"/>
      <c r="D1079" s="91"/>
      <c r="E1079" s="221"/>
      <c r="F1079" s="91"/>
      <c r="G1079" s="91"/>
      <c r="H1079" s="242"/>
      <c r="I1079" s="91"/>
      <c r="J1079" s="234"/>
      <c r="K1079" s="243"/>
      <c r="L1079" s="236"/>
      <c r="M1079" s="236"/>
      <c r="N1079" s="236"/>
      <c r="O1079" s="244"/>
      <c r="P1079" s="244"/>
      <c r="Q1079" s="234"/>
      <c r="R1079" s="234"/>
      <c r="S1079" s="238"/>
      <c r="T1079" s="239"/>
      <c r="U1079" s="238"/>
      <c r="V1079" s="238"/>
      <c r="W1079" s="234"/>
      <c r="X1079" s="234"/>
      <c r="Y1079" s="234"/>
      <c r="Z1079" s="234"/>
      <c r="AA1079" s="234"/>
    </row>
    <row r="1080" ht="15.75" customHeight="1">
      <c r="A1080" s="91"/>
      <c r="B1080" s="91"/>
      <c r="C1080" s="220"/>
      <c r="D1080" s="91"/>
      <c r="E1080" s="221"/>
      <c r="F1080" s="91"/>
      <c r="G1080" s="91"/>
      <c r="H1080" s="242"/>
      <c r="I1080" s="91"/>
      <c r="J1080" s="234"/>
      <c r="K1080" s="243"/>
      <c r="L1080" s="236"/>
      <c r="M1080" s="236"/>
      <c r="N1080" s="236"/>
      <c r="O1080" s="244"/>
      <c r="P1080" s="244"/>
      <c r="Q1080" s="234"/>
      <c r="R1080" s="234"/>
      <c r="S1080" s="238"/>
      <c r="T1080" s="239"/>
      <c r="U1080" s="238"/>
      <c r="V1080" s="238"/>
      <c r="W1080" s="234"/>
      <c r="X1080" s="234"/>
      <c r="Y1080" s="234"/>
      <c r="Z1080" s="234"/>
      <c r="AA1080" s="234"/>
    </row>
    <row r="1081" ht="15.75" customHeight="1">
      <c r="A1081" s="91"/>
      <c r="B1081" s="91"/>
      <c r="C1081" s="220"/>
      <c r="D1081" s="91"/>
      <c r="E1081" s="221"/>
      <c r="F1081" s="91"/>
      <c r="G1081" s="91"/>
      <c r="H1081" s="242"/>
      <c r="I1081" s="91"/>
      <c r="J1081" s="234"/>
      <c r="K1081" s="243"/>
      <c r="L1081" s="236"/>
      <c r="M1081" s="236"/>
      <c r="N1081" s="236"/>
      <c r="O1081" s="244"/>
      <c r="P1081" s="244"/>
      <c r="Q1081" s="234"/>
      <c r="R1081" s="234"/>
      <c r="S1081" s="238"/>
      <c r="T1081" s="239"/>
      <c r="U1081" s="238"/>
      <c r="V1081" s="238"/>
      <c r="W1081" s="234"/>
      <c r="X1081" s="234"/>
      <c r="Y1081" s="234"/>
      <c r="Z1081" s="234"/>
      <c r="AA1081" s="234"/>
    </row>
    <row r="1082" ht="15.75" customHeight="1">
      <c r="A1082" s="91"/>
      <c r="B1082" s="91"/>
      <c r="C1082" s="220"/>
      <c r="D1082" s="91"/>
      <c r="E1082" s="221"/>
      <c r="F1082" s="91"/>
      <c r="G1082" s="91"/>
      <c r="H1082" s="242"/>
      <c r="I1082" s="91"/>
      <c r="J1082" s="234"/>
      <c r="K1082" s="243"/>
      <c r="L1082" s="236"/>
      <c r="M1082" s="236"/>
      <c r="N1082" s="236"/>
      <c r="O1082" s="244"/>
      <c r="P1082" s="244"/>
      <c r="Q1082" s="234"/>
      <c r="R1082" s="234"/>
      <c r="S1082" s="238"/>
      <c r="T1082" s="239"/>
      <c r="U1082" s="238"/>
      <c r="V1082" s="238"/>
      <c r="W1082" s="234"/>
      <c r="X1082" s="234"/>
      <c r="Y1082" s="234"/>
      <c r="Z1082" s="234"/>
      <c r="AA1082" s="234"/>
    </row>
    <row r="1083" ht="15.75" customHeight="1">
      <c r="A1083" s="91"/>
      <c r="B1083" s="91"/>
      <c r="C1083" s="220"/>
      <c r="D1083" s="91"/>
      <c r="E1083" s="221"/>
      <c r="F1083" s="91"/>
      <c r="G1083" s="91"/>
      <c r="H1083" s="242"/>
      <c r="I1083" s="91"/>
      <c r="J1083" s="234"/>
      <c r="K1083" s="243"/>
      <c r="L1083" s="236"/>
      <c r="M1083" s="236"/>
      <c r="N1083" s="236"/>
      <c r="O1083" s="244"/>
      <c r="P1083" s="244"/>
      <c r="Q1083" s="234"/>
      <c r="R1083" s="234"/>
      <c r="S1083" s="238"/>
      <c r="T1083" s="239"/>
      <c r="U1083" s="238"/>
      <c r="V1083" s="238"/>
      <c r="W1083" s="234"/>
      <c r="X1083" s="234"/>
      <c r="Y1083" s="234"/>
      <c r="Z1083" s="234"/>
      <c r="AA1083" s="234"/>
    </row>
    <row r="1084" ht="15.75" customHeight="1">
      <c r="A1084" s="91"/>
      <c r="B1084" s="91"/>
      <c r="C1084" s="220"/>
      <c r="D1084" s="91"/>
      <c r="E1084" s="221"/>
      <c r="F1084" s="91"/>
      <c r="G1084" s="91"/>
      <c r="H1084" s="242"/>
      <c r="I1084" s="91"/>
      <c r="J1084" s="234"/>
      <c r="K1084" s="243"/>
      <c r="L1084" s="236"/>
      <c r="M1084" s="236"/>
      <c r="N1084" s="236"/>
      <c r="O1084" s="244"/>
      <c r="P1084" s="244"/>
      <c r="Q1084" s="234"/>
      <c r="R1084" s="234"/>
      <c r="S1084" s="238"/>
      <c r="T1084" s="239"/>
      <c r="U1084" s="238"/>
      <c r="V1084" s="238"/>
      <c r="W1084" s="234"/>
      <c r="X1084" s="234"/>
      <c r="Y1084" s="234"/>
      <c r="Z1084" s="234"/>
      <c r="AA1084" s="234"/>
    </row>
    <row r="1085" ht="15.75" customHeight="1">
      <c r="A1085" s="91"/>
      <c r="B1085" s="91"/>
      <c r="C1085" s="220"/>
      <c r="D1085" s="91"/>
      <c r="E1085" s="221"/>
      <c r="F1085" s="91"/>
      <c r="G1085" s="91"/>
      <c r="H1085" s="242"/>
      <c r="I1085" s="91"/>
      <c r="J1085" s="234"/>
      <c r="K1085" s="243"/>
      <c r="L1085" s="236"/>
      <c r="M1085" s="236"/>
      <c r="N1085" s="236"/>
      <c r="O1085" s="244"/>
      <c r="P1085" s="244"/>
      <c r="Q1085" s="234"/>
      <c r="R1085" s="234"/>
      <c r="S1085" s="238"/>
      <c r="T1085" s="239"/>
      <c r="U1085" s="238"/>
      <c r="V1085" s="238"/>
      <c r="W1085" s="234"/>
      <c r="X1085" s="234"/>
      <c r="Y1085" s="234"/>
      <c r="Z1085" s="234"/>
      <c r="AA1085" s="234"/>
    </row>
    <row r="1086" ht="15.75" customHeight="1">
      <c r="A1086" s="91"/>
      <c r="B1086" s="91"/>
      <c r="C1086" s="220"/>
      <c r="D1086" s="91"/>
      <c r="E1086" s="221"/>
      <c r="F1086" s="91"/>
      <c r="G1086" s="91"/>
      <c r="H1086" s="242"/>
      <c r="I1086" s="91"/>
      <c r="J1086" s="234"/>
      <c r="K1086" s="243"/>
      <c r="L1086" s="236"/>
      <c r="M1086" s="236"/>
      <c r="N1086" s="236"/>
      <c r="O1086" s="244"/>
      <c r="P1086" s="244"/>
      <c r="Q1086" s="234"/>
      <c r="R1086" s="234"/>
      <c r="S1086" s="238"/>
      <c r="T1086" s="239"/>
      <c r="U1086" s="238"/>
      <c r="V1086" s="238"/>
      <c r="W1086" s="234"/>
      <c r="X1086" s="234"/>
      <c r="Y1086" s="234"/>
      <c r="Z1086" s="234"/>
      <c r="AA1086" s="234"/>
    </row>
    <row r="1087" ht="15.75" customHeight="1">
      <c r="A1087" s="91"/>
      <c r="B1087" s="91"/>
      <c r="C1087" s="220"/>
      <c r="D1087" s="91"/>
      <c r="E1087" s="221"/>
      <c r="F1087" s="91"/>
      <c r="G1087" s="91"/>
      <c r="H1087" s="242"/>
      <c r="I1087" s="91"/>
      <c r="J1087" s="234"/>
      <c r="K1087" s="243"/>
      <c r="L1087" s="236"/>
      <c r="M1087" s="236"/>
      <c r="N1087" s="236"/>
      <c r="O1087" s="244"/>
      <c r="P1087" s="244"/>
      <c r="Q1087" s="234"/>
      <c r="R1087" s="234"/>
      <c r="S1087" s="238"/>
      <c r="T1087" s="239"/>
      <c r="U1087" s="238"/>
      <c r="V1087" s="238"/>
      <c r="W1087" s="234"/>
      <c r="X1087" s="234"/>
      <c r="Y1087" s="234"/>
      <c r="Z1087" s="234"/>
      <c r="AA1087" s="234"/>
    </row>
    <row r="1088" ht="15.75" customHeight="1">
      <c r="A1088" s="91"/>
      <c r="B1088" s="91"/>
      <c r="C1088" s="220"/>
      <c r="D1088" s="91"/>
      <c r="E1088" s="221"/>
      <c r="F1088" s="91"/>
      <c r="G1088" s="91"/>
      <c r="H1088" s="242"/>
      <c r="I1088" s="91"/>
      <c r="J1088" s="234"/>
      <c r="K1088" s="243"/>
      <c r="L1088" s="236"/>
      <c r="M1088" s="236"/>
      <c r="N1088" s="236"/>
      <c r="O1088" s="244"/>
      <c r="P1088" s="244"/>
      <c r="Q1088" s="234"/>
      <c r="R1088" s="234"/>
      <c r="S1088" s="238"/>
      <c r="T1088" s="239"/>
      <c r="U1088" s="238"/>
      <c r="V1088" s="238"/>
      <c r="W1088" s="234"/>
      <c r="X1088" s="234"/>
      <c r="Y1088" s="234"/>
      <c r="Z1088" s="234"/>
      <c r="AA1088" s="234"/>
    </row>
    <row r="1089" ht="15.75" customHeight="1">
      <c r="A1089" s="91"/>
      <c r="B1089" s="91"/>
      <c r="C1089" s="220"/>
      <c r="D1089" s="91"/>
      <c r="E1089" s="221"/>
      <c r="F1089" s="91"/>
      <c r="G1089" s="91"/>
      <c r="H1089" s="242"/>
      <c r="I1089" s="91"/>
      <c r="J1089" s="234"/>
      <c r="K1089" s="243"/>
      <c r="L1089" s="236"/>
      <c r="M1089" s="236"/>
      <c r="N1089" s="236"/>
      <c r="O1089" s="244"/>
      <c r="P1089" s="244"/>
      <c r="Q1089" s="234"/>
      <c r="R1089" s="234"/>
      <c r="S1089" s="238"/>
      <c r="T1089" s="239"/>
      <c r="U1089" s="238"/>
      <c r="V1089" s="238"/>
      <c r="W1089" s="234"/>
      <c r="X1089" s="234"/>
      <c r="Y1089" s="234"/>
      <c r="Z1089" s="234"/>
      <c r="AA1089" s="234"/>
    </row>
    <row r="1090" ht="15.75" customHeight="1">
      <c r="A1090" s="91"/>
      <c r="B1090" s="91"/>
      <c r="C1090" s="220"/>
      <c r="D1090" s="91"/>
      <c r="E1090" s="221"/>
      <c r="F1090" s="91"/>
      <c r="G1090" s="91"/>
      <c r="H1090" s="242"/>
      <c r="I1090" s="91"/>
      <c r="J1090" s="234"/>
      <c r="K1090" s="243"/>
      <c r="L1090" s="236"/>
      <c r="M1090" s="236"/>
      <c r="N1090" s="236"/>
      <c r="O1090" s="244"/>
      <c r="P1090" s="244"/>
      <c r="Q1090" s="234"/>
      <c r="R1090" s="234"/>
      <c r="S1090" s="238"/>
      <c r="T1090" s="239"/>
      <c r="U1090" s="238"/>
      <c r="V1090" s="238"/>
      <c r="W1090" s="234"/>
      <c r="X1090" s="234"/>
      <c r="Y1090" s="234"/>
      <c r="Z1090" s="234"/>
      <c r="AA1090" s="234"/>
    </row>
    <row r="1091" ht="15.75" customHeight="1">
      <c r="A1091" s="91"/>
      <c r="B1091" s="91"/>
      <c r="C1091" s="220"/>
      <c r="D1091" s="91"/>
      <c r="E1091" s="221"/>
      <c r="F1091" s="91"/>
      <c r="G1091" s="91"/>
      <c r="H1091" s="242"/>
      <c r="I1091" s="91"/>
      <c r="J1091" s="234"/>
      <c r="K1091" s="243"/>
      <c r="L1091" s="236"/>
      <c r="M1091" s="236"/>
      <c r="N1091" s="236"/>
      <c r="O1091" s="244"/>
      <c r="P1091" s="244"/>
      <c r="Q1091" s="234"/>
      <c r="R1091" s="234"/>
      <c r="S1091" s="238"/>
      <c r="T1091" s="239"/>
      <c r="U1091" s="238"/>
      <c r="V1091" s="238"/>
      <c r="W1091" s="234"/>
      <c r="X1091" s="234"/>
      <c r="Y1091" s="234"/>
      <c r="Z1091" s="234"/>
      <c r="AA1091" s="234"/>
    </row>
    <row r="1092" ht="15.75" customHeight="1">
      <c r="A1092" s="91"/>
      <c r="B1092" s="91"/>
      <c r="C1092" s="220"/>
      <c r="D1092" s="91"/>
      <c r="E1092" s="221"/>
      <c r="F1092" s="91"/>
      <c r="G1092" s="91"/>
      <c r="H1092" s="242"/>
      <c r="I1092" s="91"/>
      <c r="J1092" s="234"/>
      <c r="K1092" s="243"/>
      <c r="L1092" s="236"/>
      <c r="M1092" s="236"/>
      <c r="N1092" s="236"/>
      <c r="O1092" s="244"/>
      <c r="P1092" s="244"/>
      <c r="Q1092" s="234"/>
      <c r="R1092" s="234"/>
      <c r="S1092" s="238"/>
      <c r="T1092" s="239"/>
      <c r="U1092" s="238"/>
      <c r="V1092" s="238"/>
      <c r="W1092" s="234"/>
      <c r="X1092" s="234"/>
      <c r="Y1092" s="234"/>
      <c r="Z1092" s="234"/>
      <c r="AA1092" s="234"/>
    </row>
    <row r="1093" ht="15.75" customHeight="1">
      <c r="A1093" s="91"/>
      <c r="B1093" s="91"/>
      <c r="C1093" s="220"/>
      <c r="D1093" s="91"/>
      <c r="E1093" s="221"/>
      <c r="F1093" s="91"/>
      <c r="G1093" s="91"/>
      <c r="H1093" s="242"/>
      <c r="I1093" s="91"/>
      <c r="J1093" s="234"/>
      <c r="K1093" s="243"/>
      <c r="L1093" s="236"/>
      <c r="M1093" s="236"/>
      <c r="N1093" s="236"/>
      <c r="O1093" s="244"/>
      <c r="P1093" s="244"/>
      <c r="Q1093" s="234"/>
      <c r="R1093" s="234"/>
      <c r="S1093" s="238"/>
      <c r="T1093" s="239"/>
      <c r="U1093" s="238"/>
      <c r="V1093" s="238"/>
      <c r="W1093" s="234"/>
      <c r="X1093" s="234"/>
      <c r="Y1093" s="234"/>
      <c r="Z1093" s="234"/>
      <c r="AA1093" s="234"/>
    </row>
    <row r="1094" ht="15.75" customHeight="1">
      <c r="A1094" s="91"/>
      <c r="B1094" s="91"/>
      <c r="C1094" s="220"/>
      <c r="D1094" s="91"/>
      <c r="E1094" s="221"/>
      <c r="F1094" s="91"/>
      <c r="G1094" s="91"/>
      <c r="H1094" s="242"/>
      <c r="I1094" s="91"/>
      <c r="J1094" s="234"/>
      <c r="K1094" s="243"/>
      <c r="L1094" s="236"/>
      <c r="M1094" s="236"/>
      <c r="N1094" s="236"/>
      <c r="O1094" s="244"/>
      <c r="P1094" s="244"/>
      <c r="Q1094" s="234"/>
      <c r="R1094" s="234"/>
      <c r="S1094" s="238"/>
      <c r="T1094" s="239"/>
      <c r="U1094" s="238"/>
      <c r="V1094" s="238"/>
      <c r="W1094" s="234"/>
      <c r="X1094" s="234"/>
      <c r="Y1094" s="234"/>
      <c r="Z1094" s="234"/>
      <c r="AA1094" s="234"/>
    </row>
    <row r="1095" ht="15.75" customHeight="1">
      <c r="A1095" s="91"/>
      <c r="B1095" s="91"/>
      <c r="C1095" s="220"/>
      <c r="D1095" s="91"/>
      <c r="E1095" s="221"/>
      <c r="F1095" s="91"/>
      <c r="G1095" s="91"/>
      <c r="H1095" s="242"/>
      <c r="I1095" s="91"/>
      <c r="J1095" s="234"/>
      <c r="K1095" s="243"/>
      <c r="L1095" s="236"/>
      <c r="M1095" s="236"/>
      <c r="N1095" s="236"/>
      <c r="O1095" s="244"/>
      <c r="P1095" s="244"/>
      <c r="Q1095" s="234"/>
      <c r="R1095" s="234"/>
      <c r="S1095" s="238"/>
      <c r="T1095" s="239"/>
      <c r="U1095" s="238"/>
      <c r="V1095" s="238"/>
      <c r="W1095" s="234"/>
      <c r="X1095" s="234"/>
      <c r="Y1095" s="234"/>
      <c r="Z1095" s="234"/>
      <c r="AA1095" s="234"/>
    </row>
    <row r="1096" ht="15.75" customHeight="1">
      <c r="A1096" s="91"/>
      <c r="B1096" s="91"/>
      <c r="C1096" s="220"/>
      <c r="D1096" s="91"/>
      <c r="E1096" s="221"/>
      <c r="F1096" s="91"/>
      <c r="G1096" s="91"/>
      <c r="H1096" s="242"/>
      <c r="I1096" s="91"/>
      <c r="J1096" s="234"/>
      <c r="K1096" s="243"/>
      <c r="L1096" s="236"/>
      <c r="M1096" s="236"/>
      <c r="N1096" s="236"/>
      <c r="O1096" s="244"/>
      <c r="P1096" s="244"/>
      <c r="Q1096" s="234"/>
      <c r="R1096" s="234"/>
      <c r="S1096" s="238"/>
      <c r="T1096" s="239"/>
      <c r="U1096" s="238"/>
      <c r="V1096" s="238"/>
      <c r="W1096" s="234"/>
      <c r="X1096" s="234"/>
      <c r="Y1096" s="234"/>
      <c r="Z1096" s="234"/>
      <c r="AA1096" s="234"/>
    </row>
    <row r="1097" ht="15.75" customHeight="1">
      <c r="A1097" s="91"/>
      <c r="B1097" s="91"/>
      <c r="C1097" s="220"/>
      <c r="D1097" s="91"/>
      <c r="E1097" s="221"/>
      <c r="F1097" s="91"/>
      <c r="G1097" s="91"/>
      <c r="H1097" s="242"/>
      <c r="I1097" s="91"/>
      <c r="J1097" s="234"/>
      <c r="K1097" s="243"/>
      <c r="L1097" s="236"/>
      <c r="M1097" s="236"/>
      <c r="N1097" s="236"/>
      <c r="O1097" s="244"/>
      <c r="P1097" s="244"/>
      <c r="Q1097" s="234"/>
      <c r="R1097" s="234"/>
      <c r="S1097" s="238"/>
      <c r="T1097" s="239"/>
      <c r="U1097" s="238"/>
      <c r="V1097" s="238"/>
      <c r="W1097" s="234"/>
      <c r="X1097" s="234"/>
      <c r="Y1097" s="234"/>
      <c r="Z1097" s="234"/>
      <c r="AA1097" s="234"/>
    </row>
    <row r="1098" ht="15.75" customHeight="1">
      <c r="A1098" s="91"/>
      <c r="B1098" s="91"/>
      <c r="C1098" s="220"/>
      <c r="D1098" s="91"/>
      <c r="E1098" s="221"/>
      <c r="F1098" s="91"/>
      <c r="G1098" s="91"/>
      <c r="H1098" s="242"/>
      <c r="I1098" s="91"/>
      <c r="J1098" s="234"/>
      <c r="K1098" s="243"/>
      <c r="L1098" s="236"/>
      <c r="M1098" s="236"/>
      <c r="N1098" s="236"/>
      <c r="O1098" s="244"/>
      <c r="P1098" s="244"/>
      <c r="Q1098" s="234"/>
      <c r="R1098" s="234"/>
      <c r="S1098" s="238"/>
      <c r="T1098" s="239"/>
      <c r="U1098" s="238"/>
      <c r="V1098" s="238"/>
      <c r="W1098" s="234"/>
      <c r="X1098" s="234"/>
      <c r="Y1098" s="234"/>
      <c r="Z1098" s="234"/>
      <c r="AA1098" s="234"/>
    </row>
    <row r="1099" ht="15.75" customHeight="1">
      <c r="A1099" s="91"/>
      <c r="B1099" s="91"/>
      <c r="C1099" s="220"/>
      <c r="D1099" s="91"/>
      <c r="E1099" s="221"/>
      <c r="F1099" s="91"/>
      <c r="G1099" s="91"/>
      <c r="H1099" s="242"/>
      <c r="I1099" s="91"/>
      <c r="J1099" s="234"/>
      <c r="K1099" s="243"/>
      <c r="L1099" s="236"/>
      <c r="M1099" s="236"/>
      <c r="N1099" s="236"/>
      <c r="O1099" s="244"/>
      <c r="P1099" s="244"/>
      <c r="Q1099" s="234"/>
      <c r="R1099" s="234"/>
      <c r="S1099" s="238"/>
      <c r="T1099" s="239"/>
      <c r="U1099" s="238"/>
      <c r="V1099" s="238"/>
      <c r="W1099" s="234"/>
      <c r="X1099" s="234"/>
      <c r="Y1099" s="234"/>
      <c r="Z1099" s="234"/>
      <c r="AA1099" s="234"/>
    </row>
    <row r="1100" ht="15.75" customHeight="1">
      <c r="A1100" s="91"/>
      <c r="B1100" s="91"/>
      <c r="C1100" s="220"/>
      <c r="D1100" s="91"/>
      <c r="E1100" s="221"/>
      <c r="F1100" s="91"/>
      <c r="G1100" s="91"/>
      <c r="H1100" s="242"/>
      <c r="I1100" s="91"/>
      <c r="J1100" s="234"/>
      <c r="K1100" s="243"/>
      <c r="L1100" s="236"/>
      <c r="M1100" s="236"/>
      <c r="N1100" s="236"/>
      <c r="O1100" s="244"/>
      <c r="P1100" s="244"/>
      <c r="Q1100" s="234"/>
      <c r="R1100" s="234"/>
      <c r="S1100" s="238"/>
      <c r="T1100" s="239"/>
      <c r="U1100" s="238"/>
      <c r="V1100" s="238"/>
      <c r="W1100" s="234"/>
      <c r="X1100" s="234"/>
      <c r="Y1100" s="234"/>
      <c r="Z1100" s="234"/>
      <c r="AA1100" s="234"/>
    </row>
    <row r="1101" ht="15.75" customHeight="1">
      <c r="A1101" s="91"/>
      <c r="B1101" s="91"/>
      <c r="C1101" s="220"/>
      <c r="D1101" s="91"/>
      <c r="E1101" s="221"/>
      <c r="F1101" s="91"/>
      <c r="G1101" s="91"/>
      <c r="H1101" s="242"/>
      <c r="I1101" s="91"/>
      <c r="J1101" s="234"/>
      <c r="K1101" s="243"/>
      <c r="L1101" s="236"/>
      <c r="M1101" s="236"/>
      <c r="N1101" s="236"/>
      <c r="O1101" s="244"/>
      <c r="P1101" s="244"/>
      <c r="Q1101" s="234"/>
      <c r="R1101" s="234"/>
      <c r="S1101" s="238"/>
      <c r="T1101" s="239"/>
      <c r="U1101" s="238"/>
      <c r="V1101" s="238"/>
      <c r="W1101" s="234"/>
      <c r="X1101" s="234"/>
      <c r="Y1101" s="234"/>
      <c r="Z1101" s="234"/>
      <c r="AA1101" s="234"/>
    </row>
    <row r="1102" ht="15.75" customHeight="1">
      <c r="A1102" s="91"/>
      <c r="B1102" s="91"/>
      <c r="C1102" s="220"/>
      <c r="D1102" s="91"/>
      <c r="E1102" s="221"/>
      <c r="F1102" s="91"/>
      <c r="G1102" s="91"/>
      <c r="H1102" s="242"/>
      <c r="I1102" s="91"/>
      <c r="J1102" s="234"/>
      <c r="K1102" s="243"/>
      <c r="L1102" s="236"/>
      <c r="M1102" s="236"/>
      <c r="N1102" s="236"/>
      <c r="O1102" s="244"/>
      <c r="P1102" s="244"/>
      <c r="Q1102" s="234"/>
      <c r="R1102" s="234"/>
      <c r="S1102" s="238"/>
      <c r="T1102" s="239"/>
      <c r="U1102" s="238"/>
      <c r="V1102" s="238"/>
      <c r="W1102" s="234"/>
      <c r="X1102" s="234"/>
      <c r="Y1102" s="234"/>
      <c r="Z1102" s="234"/>
      <c r="AA1102" s="234"/>
    </row>
    <row r="1103" ht="15.75" customHeight="1">
      <c r="A1103" s="91"/>
      <c r="B1103" s="91"/>
      <c r="C1103" s="220"/>
      <c r="D1103" s="91"/>
      <c r="E1103" s="221"/>
      <c r="F1103" s="91"/>
      <c r="G1103" s="91"/>
      <c r="H1103" s="242"/>
      <c r="I1103" s="91"/>
      <c r="J1103" s="234"/>
      <c r="K1103" s="243"/>
      <c r="L1103" s="236"/>
      <c r="M1103" s="236"/>
      <c r="N1103" s="236"/>
      <c r="O1103" s="244"/>
      <c r="P1103" s="244"/>
      <c r="Q1103" s="234"/>
      <c r="R1103" s="234"/>
      <c r="S1103" s="238"/>
      <c r="T1103" s="239"/>
      <c r="U1103" s="238"/>
      <c r="V1103" s="238"/>
      <c r="W1103" s="234"/>
      <c r="X1103" s="234"/>
      <c r="Y1103" s="234"/>
      <c r="Z1103" s="234"/>
      <c r="AA1103" s="234"/>
    </row>
    <row r="1104" ht="15.75" customHeight="1">
      <c r="A1104" s="91"/>
      <c r="B1104" s="91"/>
      <c r="C1104" s="220"/>
      <c r="D1104" s="91"/>
      <c r="E1104" s="221"/>
      <c r="F1104" s="91"/>
      <c r="G1104" s="91"/>
      <c r="H1104" s="242"/>
      <c r="I1104" s="91"/>
      <c r="J1104" s="234"/>
      <c r="K1104" s="243"/>
      <c r="L1104" s="236"/>
      <c r="M1104" s="236"/>
      <c r="N1104" s="236"/>
      <c r="O1104" s="244"/>
      <c r="P1104" s="244"/>
      <c r="Q1104" s="234"/>
      <c r="R1104" s="234"/>
      <c r="S1104" s="238"/>
      <c r="T1104" s="239"/>
      <c r="U1104" s="238"/>
      <c r="V1104" s="238"/>
      <c r="W1104" s="234"/>
      <c r="X1104" s="234"/>
      <c r="Y1104" s="234"/>
      <c r="Z1104" s="234"/>
      <c r="AA1104" s="234"/>
    </row>
    <row r="1105" ht="15.75" customHeight="1">
      <c r="A1105" s="91"/>
      <c r="B1105" s="91"/>
      <c r="C1105" s="220"/>
      <c r="D1105" s="91"/>
      <c r="E1105" s="221"/>
      <c r="F1105" s="91"/>
      <c r="G1105" s="91"/>
      <c r="H1105" s="242"/>
      <c r="I1105" s="91"/>
      <c r="J1105" s="234"/>
      <c r="K1105" s="243"/>
      <c r="L1105" s="236"/>
      <c r="M1105" s="236"/>
      <c r="N1105" s="236"/>
      <c r="O1105" s="244"/>
      <c r="P1105" s="244"/>
      <c r="Q1105" s="234"/>
      <c r="R1105" s="234"/>
      <c r="S1105" s="238"/>
      <c r="T1105" s="239"/>
      <c r="U1105" s="238"/>
      <c r="V1105" s="238"/>
      <c r="W1105" s="234"/>
      <c r="X1105" s="234"/>
      <c r="Y1105" s="234"/>
      <c r="Z1105" s="234"/>
      <c r="AA1105" s="234"/>
    </row>
    <row r="1106" ht="15.75" customHeight="1">
      <c r="A1106" s="91"/>
      <c r="B1106" s="91"/>
      <c r="C1106" s="220"/>
      <c r="D1106" s="91"/>
      <c r="E1106" s="221"/>
      <c r="F1106" s="91"/>
      <c r="G1106" s="91"/>
      <c r="H1106" s="242"/>
      <c r="I1106" s="91"/>
      <c r="J1106" s="234"/>
      <c r="K1106" s="243"/>
      <c r="L1106" s="236"/>
      <c r="M1106" s="236"/>
      <c r="N1106" s="236"/>
      <c r="O1106" s="244"/>
      <c r="P1106" s="244"/>
      <c r="Q1106" s="234"/>
      <c r="R1106" s="234"/>
      <c r="S1106" s="238"/>
      <c r="T1106" s="239"/>
      <c r="U1106" s="238"/>
      <c r="V1106" s="238"/>
      <c r="W1106" s="234"/>
      <c r="X1106" s="234"/>
      <c r="Y1106" s="234"/>
      <c r="Z1106" s="234"/>
      <c r="AA1106" s="234"/>
    </row>
    <row r="1107" ht="15.75" customHeight="1">
      <c r="A1107" s="91"/>
      <c r="B1107" s="91"/>
      <c r="C1107" s="220"/>
      <c r="D1107" s="91"/>
      <c r="E1107" s="221"/>
      <c r="F1107" s="91"/>
      <c r="G1107" s="91"/>
      <c r="H1107" s="242"/>
      <c r="I1107" s="91"/>
      <c r="J1107" s="234"/>
      <c r="K1107" s="243"/>
      <c r="L1107" s="236"/>
      <c r="M1107" s="236"/>
      <c r="N1107" s="236"/>
      <c r="O1107" s="244"/>
      <c r="P1107" s="244"/>
      <c r="Q1107" s="234"/>
      <c r="R1107" s="234"/>
      <c r="S1107" s="238"/>
      <c r="T1107" s="239"/>
      <c r="U1107" s="238"/>
      <c r="V1107" s="238"/>
      <c r="W1107" s="234"/>
      <c r="X1107" s="234"/>
      <c r="Y1107" s="234"/>
      <c r="Z1107" s="234"/>
      <c r="AA1107" s="234"/>
    </row>
    <row r="1108" ht="15.75" customHeight="1">
      <c r="A1108" s="91"/>
      <c r="B1108" s="91"/>
      <c r="C1108" s="220"/>
      <c r="D1108" s="91"/>
      <c r="E1108" s="221"/>
      <c r="F1108" s="91"/>
      <c r="G1108" s="91"/>
      <c r="H1108" s="242"/>
      <c r="I1108" s="91"/>
      <c r="J1108" s="234"/>
      <c r="K1108" s="243"/>
      <c r="L1108" s="236"/>
      <c r="M1108" s="236"/>
      <c r="N1108" s="236"/>
      <c r="O1108" s="244"/>
      <c r="P1108" s="244"/>
      <c r="Q1108" s="234"/>
      <c r="R1108" s="234"/>
      <c r="S1108" s="238"/>
      <c r="T1108" s="239"/>
      <c r="U1108" s="238"/>
      <c r="V1108" s="238"/>
      <c r="W1108" s="234"/>
      <c r="X1108" s="234"/>
      <c r="Y1108" s="234"/>
      <c r="Z1108" s="234"/>
      <c r="AA1108" s="234"/>
    </row>
    <row r="1109" ht="15.75" customHeight="1">
      <c r="A1109" s="91"/>
      <c r="B1109" s="91"/>
      <c r="C1109" s="220"/>
      <c r="D1109" s="91"/>
      <c r="E1109" s="221"/>
      <c r="F1109" s="91"/>
      <c r="G1109" s="91"/>
      <c r="H1109" s="242"/>
      <c r="I1109" s="91"/>
      <c r="J1109" s="234"/>
      <c r="K1109" s="243"/>
      <c r="L1109" s="236"/>
      <c r="M1109" s="236"/>
      <c r="N1109" s="236"/>
      <c r="O1109" s="244"/>
      <c r="P1109" s="244"/>
      <c r="Q1109" s="234"/>
      <c r="R1109" s="234"/>
      <c r="S1109" s="238"/>
      <c r="T1109" s="239"/>
      <c r="U1109" s="238"/>
      <c r="V1109" s="238"/>
      <c r="W1109" s="234"/>
      <c r="X1109" s="234"/>
      <c r="Y1109" s="234"/>
      <c r="Z1109" s="234"/>
      <c r="AA1109" s="234"/>
    </row>
    <row r="1110" ht="15.75" customHeight="1">
      <c r="A1110" s="91"/>
      <c r="B1110" s="91"/>
      <c r="C1110" s="220"/>
      <c r="D1110" s="91"/>
      <c r="E1110" s="221"/>
      <c r="F1110" s="91"/>
      <c r="G1110" s="91"/>
      <c r="H1110" s="242"/>
      <c r="I1110" s="91"/>
      <c r="J1110" s="234"/>
      <c r="K1110" s="243"/>
      <c r="L1110" s="236"/>
      <c r="M1110" s="236"/>
      <c r="N1110" s="236"/>
      <c r="O1110" s="244"/>
      <c r="P1110" s="244"/>
      <c r="Q1110" s="234"/>
      <c r="R1110" s="234"/>
      <c r="S1110" s="238"/>
      <c r="T1110" s="239"/>
      <c r="U1110" s="238"/>
      <c r="V1110" s="238"/>
      <c r="W1110" s="234"/>
      <c r="X1110" s="234"/>
      <c r="Y1110" s="234"/>
      <c r="Z1110" s="234"/>
      <c r="AA1110" s="234"/>
    </row>
    <row r="1111" ht="15.75" customHeight="1">
      <c r="A1111" s="91"/>
      <c r="B1111" s="91"/>
      <c r="C1111" s="220"/>
      <c r="D1111" s="91"/>
      <c r="E1111" s="221"/>
      <c r="F1111" s="91"/>
      <c r="G1111" s="91"/>
      <c r="H1111" s="242"/>
      <c r="I1111" s="91"/>
      <c r="J1111" s="234"/>
      <c r="K1111" s="243"/>
      <c r="L1111" s="236"/>
      <c r="M1111" s="236"/>
      <c r="N1111" s="236"/>
      <c r="O1111" s="244"/>
      <c r="P1111" s="244"/>
      <c r="Q1111" s="234"/>
      <c r="R1111" s="234"/>
      <c r="S1111" s="238"/>
      <c r="T1111" s="239"/>
      <c r="U1111" s="238"/>
      <c r="V1111" s="238"/>
      <c r="W1111" s="234"/>
      <c r="X1111" s="234"/>
      <c r="Y1111" s="234"/>
      <c r="Z1111" s="234"/>
      <c r="AA1111" s="234"/>
    </row>
    <row r="1112" ht="15.75" customHeight="1">
      <c r="A1112" s="91"/>
      <c r="B1112" s="91"/>
      <c r="C1112" s="220"/>
      <c r="D1112" s="91"/>
      <c r="E1112" s="221"/>
      <c r="F1112" s="91"/>
      <c r="G1112" s="91"/>
      <c r="H1112" s="242"/>
      <c r="I1112" s="91"/>
      <c r="J1112" s="234"/>
      <c r="K1112" s="243"/>
      <c r="L1112" s="236"/>
      <c r="M1112" s="236"/>
      <c r="N1112" s="236"/>
      <c r="O1112" s="244"/>
      <c r="P1112" s="244"/>
      <c r="Q1112" s="234"/>
      <c r="R1112" s="234"/>
      <c r="S1112" s="238"/>
      <c r="T1112" s="239"/>
      <c r="U1112" s="238"/>
      <c r="V1112" s="238"/>
      <c r="W1112" s="234"/>
      <c r="X1112" s="234"/>
      <c r="Y1112" s="234"/>
      <c r="Z1112" s="234"/>
      <c r="AA1112" s="234"/>
    </row>
    <row r="1113" ht="15.75" customHeight="1">
      <c r="A1113" s="91"/>
      <c r="B1113" s="91"/>
      <c r="C1113" s="220"/>
      <c r="D1113" s="91"/>
      <c r="E1113" s="221"/>
      <c r="F1113" s="91"/>
      <c r="G1113" s="91"/>
      <c r="H1113" s="242"/>
      <c r="I1113" s="91"/>
      <c r="J1113" s="234"/>
      <c r="K1113" s="243"/>
      <c r="L1113" s="236"/>
      <c r="M1113" s="236"/>
      <c r="N1113" s="236"/>
      <c r="O1113" s="244"/>
      <c r="P1113" s="244"/>
      <c r="Q1113" s="234"/>
      <c r="R1113" s="234"/>
      <c r="S1113" s="238"/>
      <c r="T1113" s="239"/>
      <c r="U1113" s="238"/>
      <c r="V1113" s="238"/>
      <c r="W1113" s="234"/>
      <c r="X1113" s="234"/>
      <c r="Y1113" s="234"/>
      <c r="Z1113" s="234"/>
      <c r="AA1113" s="234"/>
    </row>
    <row r="1114" ht="15.75" customHeight="1">
      <c r="A1114" s="91"/>
      <c r="B1114" s="91"/>
      <c r="C1114" s="220"/>
      <c r="D1114" s="91"/>
      <c r="E1114" s="221"/>
      <c r="F1114" s="91"/>
      <c r="G1114" s="91"/>
      <c r="H1114" s="242"/>
      <c r="I1114" s="91"/>
      <c r="J1114" s="234"/>
      <c r="K1114" s="243"/>
      <c r="L1114" s="236"/>
      <c r="M1114" s="236"/>
      <c r="N1114" s="236"/>
      <c r="O1114" s="244"/>
      <c r="P1114" s="244"/>
      <c r="Q1114" s="234"/>
      <c r="R1114" s="234"/>
      <c r="S1114" s="238"/>
      <c r="T1114" s="239"/>
      <c r="U1114" s="238"/>
      <c r="V1114" s="238"/>
      <c r="W1114" s="234"/>
      <c r="X1114" s="234"/>
      <c r="Y1114" s="234"/>
      <c r="Z1114" s="234"/>
      <c r="AA1114" s="234"/>
    </row>
    <row r="1115" ht="15.75" customHeight="1">
      <c r="A1115" s="91"/>
      <c r="B1115" s="91"/>
      <c r="C1115" s="220"/>
      <c r="D1115" s="91"/>
      <c r="E1115" s="221"/>
      <c r="F1115" s="91"/>
      <c r="G1115" s="91"/>
      <c r="H1115" s="242"/>
      <c r="I1115" s="91"/>
      <c r="J1115" s="234"/>
      <c r="K1115" s="243"/>
      <c r="L1115" s="236"/>
      <c r="M1115" s="236"/>
      <c r="N1115" s="236"/>
      <c r="O1115" s="244"/>
      <c r="P1115" s="244"/>
      <c r="Q1115" s="234"/>
      <c r="R1115" s="234"/>
      <c r="S1115" s="238"/>
      <c r="T1115" s="239"/>
      <c r="U1115" s="238"/>
      <c r="V1115" s="238"/>
      <c r="W1115" s="234"/>
      <c r="X1115" s="234"/>
      <c r="Y1115" s="234"/>
      <c r="Z1115" s="234"/>
      <c r="AA1115" s="234"/>
    </row>
    <row r="1116" ht="15.75" customHeight="1">
      <c r="A1116" s="91"/>
      <c r="B1116" s="91"/>
      <c r="C1116" s="220"/>
      <c r="D1116" s="91"/>
      <c r="E1116" s="221"/>
      <c r="F1116" s="91"/>
      <c r="G1116" s="91"/>
      <c r="H1116" s="242"/>
      <c r="I1116" s="91"/>
      <c r="J1116" s="234"/>
      <c r="K1116" s="243"/>
      <c r="L1116" s="236"/>
      <c r="M1116" s="236"/>
      <c r="N1116" s="236"/>
      <c r="O1116" s="244"/>
      <c r="P1116" s="244"/>
      <c r="Q1116" s="234"/>
      <c r="R1116" s="234"/>
      <c r="S1116" s="238"/>
      <c r="T1116" s="239"/>
      <c r="U1116" s="238"/>
      <c r="V1116" s="238"/>
      <c r="W1116" s="234"/>
      <c r="X1116" s="234"/>
      <c r="Y1116" s="234"/>
      <c r="Z1116" s="234"/>
      <c r="AA1116" s="234"/>
    </row>
    <row r="1117" ht="15.75" customHeight="1">
      <c r="A1117" s="91"/>
      <c r="B1117" s="91"/>
      <c r="C1117" s="220"/>
      <c r="D1117" s="91"/>
      <c r="E1117" s="221"/>
      <c r="F1117" s="91"/>
      <c r="G1117" s="91"/>
      <c r="H1117" s="242"/>
      <c r="I1117" s="91"/>
      <c r="J1117" s="234"/>
      <c r="K1117" s="243"/>
      <c r="L1117" s="236"/>
      <c r="M1117" s="236"/>
      <c r="N1117" s="236"/>
      <c r="O1117" s="244"/>
      <c r="P1117" s="244"/>
      <c r="Q1117" s="234"/>
      <c r="R1117" s="234"/>
      <c r="S1117" s="238"/>
      <c r="T1117" s="239"/>
      <c r="U1117" s="238"/>
      <c r="V1117" s="238"/>
      <c r="W1117" s="234"/>
      <c r="X1117" s="234"/>
      <c r="Y1117" s="234"/>
      <c r="Z1117" s="234"/>
      <c r="AA1117" s="234"/>
    </row>
    <row r="1118" ht="15.75" customHeight="1">
      <c r="A1118" s="91"/>
      <c r="B1118" s="91"/>
      <c r="C1118" s="220"/>
      <c r="D1118" s="91"/>
      <c r="E1118" s="221"/>
      <c r="F1118" s="91"/>
      <c r="G1118" s="91"/>
      <c r="H1118" s="242"/>
      <c r="I1118" s="91"/>
      <c r="J1118" s="234"/>
      <c r="K1118" s="243"/>
      <c r="L1118" s="236"/>
      <c r="M1118" s="236"/>
      <c r="N1118" s="236"/>
      <c r="O1118" s="244"/>
      <c r="P1118" s="244"/>
      <c r="Q1118" s="234"/>
      <c r="R1118" s="234"/>
      <c r="S1118" s="238"/>
      <c r="T1118" s="239"/>
      <c r="U1118" s="238"/>
      <c r="V1118" s="238"/>
      <c r="W1118" s="234"/>
      <c r="X1118" s="234"/>
      <c r="Y1118" s="234"/>
      <c r="Z1118" s="234"/>
      <c r="AA1118" s="234"/>
    </row>
    <row r="1119" ht="15.75" customHeight="1">
      <c r="A1119" s="91"/>
      <c r="B1119" s="91"/>
      <c r="C1119" s="220"/>
      <c r="D1119" s="91"/>
      <c r="E1119" s="221"/>
      <c r="F1119" s="91"/>
      <c r="G1119" s="91"/>
      <c r="H1119" s="242"/>
      <c r="I1119" s="91"/>
      <c r="J1119" s="234"/>
      <c r="K1119" s="243"/>
      <c r="L1119" s="236"/>
      <c r="M1119" s="236"/>
      <c r="N1119" s="236"/>
      <c r="O1119" s="244"/>
      <c r="P1119" s="244"/>
      <c r="Q1119" s="234"/>
      <c r="R1119" s="234"/>
      <c r="S1119" s="238"/>
      <c r="T1119" s="239"/>
      <c r="U1119" s="238"/>
      <c r="V1119" s="238"/>
      <c r="W1119" s="234"/>
      <c r="X1119" s="234"/>
      <c r="Y1119" s="234"/>
      <c r="Z1119" s="234"/>
      <c r="AA1119" s="234"/>
    </row>
    <row r="1120" ht="15.75" customHeight="1">
      <c r="A1120" s="91"/>
      <c r="B1120" s="91"/>
      <c r="C1120" s="220"/>
      <c r="D1120" s="91"/>
      <c r="E1120" s="221"/>
      <c r="F1120" s="91"/>
      <c r="G1120" s="91"/>
      <c r="H1120" s="242"/>
      <c r="I1120" s="91"/>
      <c r="J1120" s="234"/>
      <c r="K1120" s="243"/>
      <c r="L1120" s="236"/>
      <c r="M1120" s="236"/>
      <c r="N1120" s="236"/>
      <c r="O1120" s="244"/>
      <c r="P1120" s="244"/>
      <c r="Q1120" s="234"/>
      <c r="R1120" s="234"/>
      <c r="S1120" s="238"/>
      <c r="T1120" s="239"/>
      <c r="U1120" s="238"/>
      <c r="V1120" s="238"/>
      <c r="W1120" s="234"/>
      <c r="X1120" s="234"/>
      <c r="Y1120" s="234"/>
      <c r="Z1120" s="234"/>
      <c r="AA1120" s="234"/>
    </row>
    <row r="1121" ht="15.75" customHeight="1">
      <c r="A1121" s="91"/>
      <c r="B1121" s="91"/>
      <c r="C1121" s="220"/>
      <c r="D1121" s="91"/>
      <c r="E1121" s="221"/>
      <c r="F1121" s="91"/>
      <c r="G1121" s="91"/>
      <c r="H1121" s="242"/>
      <c r="I1121" s="91"/>
      <c r="J1121" s="234"/>
      <c r="K1121" s="243"/>
      <c r="L1121" s="236"/>
      <c r="M1121" s="236"/>
      <c r="N1121" s="236"/>
      <c r="O1121" s="244"/>
      <c r="P1121" s="244"/>
      <c r="Q1121" s="234"/>
      <c r="R1121" s="234"/>
      <c r="S1121" s="238"/>
      <c r="T1121" s="239"/>
      <c r="U1121" s="238"/>
      <c r="V1121" s="238"/>
      <c r="W1121" s="234"/>
      <c r="X1121" s="234"/>
      <c r="Y1121" s="234"/>
      <c r="Z1121" s="234"/>
      <c r="AA1121" s="234"/>
    </row>
    <row r="1122" ht="15.75" customHeight="1">
      <c r="A1122" s="91"/>
      <c r="B1122" s="91"/>
      <c r="C1122" s="220"/>
      <c r="D1122" s="91"/>
      <c r="E1122" s="221"/>
      <c r="F1122" s="91"/>
      <c r="G1122" s="91"/>
      <c r="H1122" s="242"/>
      <c r="I1122" s="91"/>
      <c r="J1122" s="234"/>
      <c r="K1122" s="243"/>
      <c r="L1122" s="236"/>
      <c r="M1122" s="236"/>
      <c r="N1122" s="236"/>
      <c r="O1122" s="244"/>
      <c r="P1122" s="244"/>
      <c r="Q1122" s="234"/>
      <c r="R1122" s="234"/>
      <c r="S1122" s="238"/>
      <c r="T1122" s="239"/>
      <c r="U1122" s="238"/>
      <c r="V1122" s="238"/>
      <c r="W1122" s="234"/>
      <c r="X1122" s="234"/>
      <c r="Y1122" s="234"/>
      <c r="Z1122" s="234"/>
      <c r="AA1122" s="234"/>
    </row>
    <row r="1123" ht="15.75" customHeight="1">
      <c r="A1123" s="91"/>
      <c r="B1123" s="91"/>
      <c r="C1123" s="220"/>
      <c r="D1123" s="91"/>
      <c r="E1123" s="221"/>
      <c r="F1123" s="91"/>
      <c r="G1123" s="91"/>
      <c r="H1123" s="242"/>
      <c r="I1123" s="91"/>
      <c r="J1123" s="234"/>
      <c r="K1123" s="243"/>
      <c r="L1123" s="236"/>
      <c r="M1123" s="236"/>
      <c r="N1123" s="236"/>
      <c r="O1123" s="244"/>
      <c r="P1123" s="244"/>
      <c r="Q1123" s="234"/>
      <c r="R1123" s="234"/>
      <c r="S1123" s="238"/>
      <c r="T1123" s="239"/>
      <c r="U1123" s="238"/>
      <c r="V1123" s="238"/>
      <c r="W1123" s="234"/>
      <c r="X1123" s="234"/>
      <c r="Y1123" s="234"/>
      <c r="Z1123" s="234"/>
      <c r="AA1123" s="234"/>
    </row>
    <row r="1124" ht="15.75" customHeight="1">
      <c r="A1124" s="91"/>
      <c r="B1124" s="91"/>
      <c r="C1124" s="220"/>
      <c r="D1124" s="91"/>
      <c r="E1124" s="221"/>
      <c r="F1124" s="91"/>
      <c r="G1124" s="91"/>
      <c r="H1124" s="242"/>
      <c r="I1124" s="91"/>
      <c r="J1124" s="234"/>
      <c r="K1124" s="243"/>
      <c r="L1124" s="236"/>
      <c r="M1124" s="236"/>
      <c r="N1124" s="236"/>
      <c r="O1124" s="244"/>
      <c r="P1124" s="244"/>
      <c r="Q1124" s="234"/>
      <c r="R1124" s="234"/>
      <c r="S1124" s="238"/>
      <c r="T1124" s="239"/>
      <c r="U1124" s="238"/>
      <c r="V1124" s="238"/>
      <c r="W1124" s="234"/>
      <c r="X1124" s="234"/>
      <c r="Y1124" s="234"/>
      <c r="Z1124" s="234"/>
      <c r="AA1124" s="234"/>
    </row>
    <row r="1125" ht="15.75" customHeight="1">
      <c r="A1125" s="91"/>
      <c r="B1125" s="91"/>
      <c r="C1125" s="220"/>
      <c r="D1125" s="91"/>
      <c r="E1125" s="221"/>
      <c r="F1125" s="91"/>
      <c r="G1125" s="91"/>
      <c r="H1125" s="242"/>
      <c r="I1125" s="91"/>
      <c r="J1125" s="234"/>
      <c r="K1125" s="243"/>
      <c r="L1125" s="236"/>
      <c r="M1125" s="236"/>
      <c r="N1125" s="236"/>
      <c r="O1125" s="244"/>
      <c r="P1125" s="244"/>
      <c r="Q1125" s="234"/>
      <c r="R1125" s="234"/>
      <c r="S1125" s="238"/>
      <c r="T1125" s="239"/>
      <c r="U1125" s="238"/>
      <c r="V1125" s="238"/>
      <c r="W1125" s="234"/>
      <c r="X1125" s="234"/>
      <c r="Y1125" s="234"/>
      <c r="Z1125" s="234"/>
      <c r="AA1125" s="234"/>
    </row>
    <row r="1126" ht="15.75" customHeight="1">
      <c r="A1126" s="91"/>
      <c r="B1126" s="91"/>
      <c r="C1126" s="220"/>
      <c r="D1126" s="91"/>
      <c r="E1126" s="221"/>
      <c r="F1126" s="91"/>
      <c r="G1126" s="91"/>
      <c r="H1126" s="242"/>
      <c r="I1126" s="91"/>
      <c r="J1126" s="234"/>
      <c r="K1126" s="243"/>
      <c r="L1126" s="236"/>
      <c r="M1126" s="236"/>
      <c r="N1126" s="236"/>
      <c r="O1126" s="244"/>
      <c r="P1126" s="244"/>
      <c r="Q1126" s="234"/>
      <c r="R1126" s="234"/>
      <c r="S1126" s="238"/>
      <c r="T1126" s="239"/>
      <c r="U1126" s="238"/>
      <c r="V1126" s="238"/>
      <c r="W1126" s="234"/>
      <c r="X1126" s="234"/>
      <c r="Y1126" s="234"/>
      <c r="Z1126" s="234"/>
      <c r="AA1126" s="234"/>
    </row>
    <row r="1127" ht="15.75" customHeight="1">
      <c r="A1127" s="91"/>
      <c r="B1127" s="91"/>
      <c r="C1127" s="220"/>
      <c r="D1127" s="91"/>
      <c r="E1127" s="221"/>
      <c r="F1127" s="91"/>
      <c r="G1127" s="91"/>
      <c r="H1127" s="242"/>
      <c r="I1127" s="91"/>
      <c r="J1127" s="234"/>
      <c r="K1127" s="243"/>
      <c r="L1127" s="236"/>
      <c r="M1127" s="236"/>
      <c r="N1127" s="236"/>
      <c r="O1127" s="244"/>
      <c r="P1127" s="244"/>
      <c r="Q1127" s="234"/>
      <c r="R1127" s="234"/>
      <c r="S1127" s="238"/>
      <c r="T1127" s="239"/>
      <c r="U1127" s="238"/>
      <c r="V1127" s="238"/>
      <c r="W1127" s="234"/>
      <c r="X1127" s="234"/>
      <c r="Y1127" s="234"/>
      <c r="Z1127" s="234"/>
      <c r="AA1127" s="234"/>
    </row>
    <row r="1128" ht="15.75" customHeight="1">
      <c r="A1128" s="91"/>
      <c r="B1128" s="91"/>
      <c r="C1128" s="220"/>
      <c r="D1128" s="91"/>
      <c r="E1128" s="221"/>
      <c r="F1128" s="91"/>
      <c r="G1128" s="91"/>
      <c r="H1128" s="242"/>
      <c r="I1128" s="91"/>
      <c r="J1128" s="234"/>
      <c r="K1128" s="243"/>
      <c r="L1128" s="236"/>
      <c r="M1128" s="236"/>
      <c r="N1128" s="236"/>
      <c r="O1128" s="244"/>
      <c r="P1128" s="244"/>
      <c r="Q1128" s="234"/>
      <c r="R1128" s="234"/>
      <c r="S1128" s="238"/>
      <c r="T1128" s="239"/>
      <c r="U1128" s="238"/>
      <c r="V1128" s="238"/>
      <c r="W1128" s="234"/>
      <c r="X1128" s="234"/>
      <c r="Y1128" s="234"/>
      <c r="Z1128" s="234"/>
      <c r="AA1128" s="234"/>
    </row>
    <row r="1129" ht="15.75" customHeight="1">
      <c r="A1129" s="91"/>
      <c r="B1129" s="91"/>
      <c r="C1129" s="220"/>
      <c r="D1129" s="91"/>
      <c r="E1129" s="221"/>
      <c r="F1129" s="91"/>
      <c r="G1129" s="91"/>
      <c r="H1129" s="242"/>
      <c r="I1129" s="91"/>
      <c r="J1129" s="234"/>
      <c r="K1129" s="243"/>
      <c r="L1129" s="236"/>
      <c r="M1129" s="236"/>
      <c r="N1129" s="236"/>
      <c r="O1129" s="244"/>
      <c r="P1129" s="244"/>
      <c r="Q1129" s="234"/>
      <c r="R1129" s="234"/>
      <c r="S1129" s="238"/>
      <c r="T1129" s="239"/>
      <c r="U1129" s="238"/>
      <c r="V1129" s="238"/>
      <c r="W1129" s="234"/>
      <c r="X1129" s="234"/>
      <c r="Y1129" s="234"/>
      <c r="Z1129" s="234"/>
      <c r="AA1129" s="234"/>
    </row>
    <row r="1130" ht="15.75" customHeight="1">
      <c r="A1130" s="91"/>
      <c r="B1130" s="91"/>
      <c r="C1130" s="220"/>
      <c r="D1130" s="91"/>
      <c r="E1130" s="221"/>
      <c r="F1130" s="91"/>
      <c r="G1130" s="91"/>
      <c r="H1130" s="242"/>
      <c r="I1130" s="91"/>
      <c r="J1130" s="234"/>
      <c r="K1130" s="243"/>
      <c r="L1130" s="236"/>
      <c r="M1130" s="236"/>
      <c r="N1130" s="236"/>
      <c r="O1130" s="244"/>
      <c r="P1130" s="244"/>
      <c r="Q1130" s="234"/>
      <c r="R1130" s="234"/>
      <c r="S1130" s="238"/>
      <c r="T1130" s="239"/>
      <c r="U1130" s="238"/>
      <c r="V1130" s="238"/>
      <c r="W1130" s="234"/>
      <c r="X1130" s="234"/>
      <c r="Y1130" s="234"/>
      <c r="Z1130" s="234"/>
      <c r="AA1130" s="234"/>
    </row>
    <row r="1131" ht="15.75" customHeight="1">
      <c r="A1131" s="91"/>
      <c r="B1131" s="91"/>
      <c r="C1131" s="220"/>
      <c r="D1131" s="91"/>
      <c r="E1131" s="221"/>
      <c r="F1131" s="91"/>
      <c r="G1131" s="91"/>
      <c r="H1131" s="242"/>
      <c r="I1131" s="91"/>
      <c r="J1131" s="234"/>
      <c r="K1131" s="243"/>
      <c r="L1131" s="236"/>
      <c r="M1131" s="236"/>
      <c r="N1131" s="236"/>
      <c r="O1131" s="244"/>
      <c r="P1131" s="244"/>
      <c r="Q1131" s="234"/>
      <c r="R1131" s="234"/>
      <c r="S1131" s="238"/>
      <c r="T1131" s="239"/>
      <c r="U1131" s="238"/>
      <c r="V1131" s="238"/>
      <c r="W1131" s="234"/>
      <c r="X1131" s="234"/>
      <c r="Y1131" s="234"/>
      <c r="Z1131" s="234"/>
      <c r="AA1131" s="234"/>
    </row>
    <row r="1132" ht="15.75" customHeight="1">
      <c r="A1132" s="91"/>
      <c r="B1132" s="91"/>
      <c r="C1132" s="220"/>
      <c r="D1132" s="91"/>
      <c r="E1132" s="221"/>
      <c r="F1132" s="91"/>
      <c r="G1132" s="91"/>
      <c r="H1132" s="242"/>
      <c r="I1132" s="91"/>
      <c r="J1132" s="234"/>
      <c r="K1132" s="243"/>
      <c r="L1132" s="236"/>
      <c r="M1132" s="236"/>
      <c r="N1132" s="236"/>
      <c r="O1132" s="244"/>
      <c r="P1132" s="244"/>
      <c r="Q1132" s="234"/>
      <c r="R1132" s="234"/>
      <c r="S1132" s="238"/>
      <c r="T1132" s="239"/>
      <c r="U1132" s="238"/>
      <c r="V1132" s="238"/>
      <c r="W1132" s="234"/>
      <c r="X1132" s="234"/>
      <c r="Y1132" s="234"/>
      <c r="Z1132" s="234"/>
      <c r="AA1132" s="234"/>
    </row>
    <row r="1133" ht="15.75" customHeight="1">
      <c r="A1133" s="91"/>
      <c r="B1133" s="91"/>
      <c r="C1133" s="220"/>
      <c r="D1133" s="91"/>
      <c r="E1133" s="221"/>
      <c r="F1133" s="91"/>
      <c r="G1133" s="91"/>
      <c r="H1133" s="242"/>
      <c r="I1133" s="91"/>
      <c r="J1133" s="234"/>
      <c r="K1133" s="243"/>
      <c r="L1133" s="236"/>
      <c r="M1133" s="236"/>
      <c r="N1133" s="236"/>
      <c r="O1133" s="244"/>
      <c r="P1133" s="244"/>
      <c r="Q1133" s="234"/>
      <c r="R1133" s="234"/>
      <c r="S1133" s="238"/>
      <c r="T1133" s="239"/>
      <c r="U1133" s="238"/>
      <c r="V1133" s="238"/>
      <c r="W1133" s="234"/>
      <c r="X1133" s="234"/>
      <c r="Y1133" s="234"/>
      <c r="Z1133" s="234"/>
      <c r="AA1133" s="234"/>
    </row>
    <row r="1134" ht="15.75" customHeight="1">
      <c r="A1134" s="91"/>
      <c r="B1134" s="91"/>
      <c r="C1134" s="220"/>
      <c r="D1134" s="91"/>
      <c r="E1134" s="221"/>
      <c r="F1134" s="91"/>
      <c r="G1134" s="91"/>
      <c r="H1134" s="242"/>
      <c r="I1134" s="91"/>
      <c r="J1134" s="234"/>
      <c r="K1134" s="243"/>
      <c r="L1134" s="236"/>
      <c r="M1134" s="236"/>
      <c r="N1134" s="236"/>
      <c r="O1134" s="244"/>
      <c r="P1134" s="244"/>
      <c r="Q1134" s="234"/>
      <c r="R1134" s="234"/>
      <c r="S1134" s="238"/>
      <c r="T1134" s="239"/>
      <c r="U1134" s="238"/>
      <c r="V1134" s="238"/>
      <c r="W1134" s="234"/>
      <c r="X1134" s="234"/>
      <c r="Y1134" s="234"/>
      <c r="Z1134" s="234"/>
      <c r="AA1134" s="234"/>
    </row>
    <row r="1135" ht="15.75" customHeight="1">
      <c r="A1135" s="91"/>
      <c r="B1135" s="91"/>
      <c r="C1135" s="220"/>
      <c r="D1135" s="91"/>
      <c r="E1135" s="221"/>
      <c r="F1135" s="91"/>
      <c r="G1135" s="91"/>
      <c r="H1135" s="242"/>
      <c r="I1135" s="91"/>
      <c r="J1135" s="234"/>
      <c r="K1135" s="243"/>
      <c r="L1135" s="236"/>
      <c r="M1135" s="236"/>
      <c r="N1135" s="236"/>
      <c r="O1135" s="244"/>
      <c r="P1135" s="244"/>
      <c r="Q1135" s="234"/>
      <c r="R1135" s="234"/>
      <c r="S1135" s="238"/>
      <c r="T1135" s="239"/>
      <c r="U1135" s="238"/>
      <c r="V1135" s="238"/>
      <c r="W1135" s="234"/>
      <c r="X1135" s="234"/>
      <c r="Y1135" s="234"/>
      <c r="Z1135" s="234"/>
      <c r="AA1135" s="234"/>
    </row>
    <row r="1136" ht="15.75" customHeight="1">
      <c r="A1136" s="91"/>
      <c r="B1136" s="91"/>
      <c r="C1136" s="220"/>
      <c r="D1136" s="91"/>
      <c r="E1136" s="221"/>
      <c r="F1136" s="91"/>
      <c r="G1136" s="91"/>
      <c r="H1136" s="242"/>
      <c r="I1136" s="91"/>
      <c r="J1136" s="234"/>
      <c r="K1136" s="243"/>
      <c r="L1136" s="236"/>
      <c r="M1136" s="236"/>
      <c r="N1136" s="236"/>
      <c r="O1136" s="244"/>
      <c r="P1136" s="244"/>
      <c r="Q1136" s="234"/>
      <c r="R1136" s="234"/>
      <c r="S1136" s="238"/>
      <c r="T1136" s="239"/>
      <c r="U1136" s="238"/>
      <c r="V1136" s="238"/>
      <c r="W1136" s="234"/>
      <c r="X1136" s="234"/>
      <c r="Y1136" s="234"/>
      <c r="Z1136" s="234"/>
      <c r="AA1136" s="234"/>
    </row>
    <row r="1137" ht="15.75" customHeight="1">
      <c r="A1137" s="91"/>
      <c r="B1137" s="91"/>
      <c r="C1137" s="220"/>
      <c r="D1137" s="91"/>
      <c r="E1137" s="221"/>
      <c r="F1137" s="91"/>
      <c r="G1137" s="91"/>
      <c r="H1137" s="242"/>
      <c r="I1137" s="91"/>
      <c r="J1137" s="234"/>
      <c r="K1137" s="243"/>
      <c r="L1137" s="236"/>
      <c r="M1137" s="236"/>
      <c r="N1137" s="236"/>
      <c r="O1137" s="244"/>
      <c r="P1137" s="244"/>
      <c r="Q1137" s="234"/>
      <c r="R1137" s="234"/>
      <c r="S1137" s="238"/>
      <c r="T1137" s="239"/>
      <c r="U1137" s="238"/>
      <c r="V1137" s="238"/>
      <c r="W1137" s="234"/>
      <c r="X1137" s="234"/>
      <c r="Y1137" s="234"/>
      <c r="Z1137" s="234"/>
      <c r="AA1137" s="234"/>
    </row>
    <row r="1138" ht="15.75" customHeight="1">
      <c r="A1138" s="91"/>
      <c r="B1138" s="91"/>
      <c r="C1138" s="220"/>
      <c r="D1138" s="91"/>
      <c r="E1138" s="221"/>
      <c r="F1138" s="91"/>
      <c r="G1138" s="91"/>
      <c r="H1138" s="242"/>
      <c r="I1138" s="91"/>
      <c r="J1138" s="234"/>
      <c r="K1138" s="243"/>
      <c r="L1138" s="236"/>
      <c r="M1138" s="236"/>
      <c r="N1138" s="236"/>
      <c r="O1138" s="244"/>
      <c r="P1138" s="244"/>
      <c r="Q1138" s="234"/>
      <c r="R1138" s="234"/>
      <c r="S1138" s="238"/>
      <c r="T1138" s="239"/>
      <c r="U1138" s="238"/>
      <c r="V1138" s="238"/>
      <c r="W1138" s="234"/>
      <c r="X1138" s="234"/>
      <c r="Y1138" s="234"/>
      <c r="Z1138" s="234"/>
      <c r="AA1138" s="234"/>
    </row>
    <row r="1139" ht="15.75" customHeight="1">
      <c r="A1139" s="91"/>
      <c r="B1139" s="91"/>
      <c r="C1139" s="220"/>
      <c r="D1139" s="91"/>
      <c r="E1139" s="221"/>
      <c r="F1139" s="91"/>
      <c r="G1139" s="91"/>
      <c r="H1139" s="242"/>
      <c r="I1139" s="91"/>
      <c r="J1139" s="234"/>
      <c r="K1139" s="243"/>
      <c r="L1139" s="236"/>
      <c r="M1139" s="236"/>
      <c r="N1139" s="236"/>
      <c r="O1139" s="244"/>
      <c r="P1139" s="244"/>
      <c r="Q1139" s="234"/>
      <c r="R1139" s="234"/>
      <c r="S1139" s="238"/>
      <c r="T1139" s="239"/>
      <c r="U1139" s="238"/>
      <c r="V1139" s="238"/>
      <c r="W1139" s="234"/>
      <c r="X1139" s="234"/>
      <c r="Y1139" s="234"/>
      <c r="Z1139" s="234"/>
      <c r="AA1139" s="234"/>
    </row>
    <row r="1140" ht="15.75" customHeight="1">
      <c r="A1140" s="91"/>
      <c r="B1140" s="91"/>
      <c r="C1140" s="220"/>
      <c r="D1140" s="91"/>
      <c r="E1140" s="221"/>
      <c r="F1140" s="91"/>
      <c r="G1140" s="91"/>
      <c r="H1140" s="242"/>
      <c r="I1140" s="91"/>
      <c r="J1140" s="234"/>
      <c r="K1140" s="243"/>
      <c r="L1140" s="236"/>
      <c r="M1140" s="236"/>
      <c r="N1140" s="236"/>
      <c r="O1140" s="244"/>
      <c r="P1140" s="244"/>
      <c r="Q1140" s="234"/>
      <c r="R1140" s="234"/>
      <c r="S1140" s="238"/>
      <c r="T1140" s="239"/>
      <c r="U1140" s="238"/>
      <c r="V1140" s="238"/>
      <c r="W1140" s="234"/>
      <c r="X1140" s="234"/>
      <c r="Y1140" s="234"/>
      <c r="Z1140" s="234"/>
      <c r="AA1140" s="234"/>
    </row>
    <row r="1141" ht="15.75" customHeight="1">
      <c r="A1141" s="91"/>
      <c r="B1141" s="91"/>
      <c r="C1141" s="220"/>
      <c r="D1141" s="91"/>
      <c r="E1141" s="221"/>
      <c r="F1141" s="91"/>
      <c r="G1141" s="91"/>
      <c r="H1141" s="242"/>
      <c r="I1141" s="91"/>
      <c r="J1141" s="234"/>
      <c r="K1141" s="243"/>
      <c r="L1141" s="236"/>
      <c r="M1141" s="236"/>
      <c r="N1141" s="236"/>
      <c r="O1141" s="244"/>
      <c r="P1141" s="244"/>
      <c r="Q1141" s="234"/>
      <c r="R1141" s="234"/>
      <c r="S1141" s="238"/>
      <c r="T1141" s="239"/>
      <c r="U1141" s="238"/>
      <c r="V1141" s="238"/>
      <c r="W1141" s="234"/>
      <c r="X1141" s="234"/>
      <c r="Y1141" s="234"/>
      <c r="Z1141" s="234"/>
      <c r="AA1141" s="234"/>
    </row>
    <row r="1142" ht="15.75" customHeight="1">
      <c r="A1142" s="91"/>
      <c r="B1142" s="91"/>
      <c r="C1142" s="220"/>
      <c r="D1142" s="91"/>
      <c r="E1142" s="221"/>
      <c r="F1142" s="91"/>
      <c r="G1142" s="91"/>
      <c r="H1142" s="242"/>
      <c r="I1142" s="91"/>
      <c r="J1142" s="234"/>
      <c r="K1142" s="243"/>
      <c r="L1142" s="236"/>
      <c r="M1142" s="236"/>
      <c r="N1142" s="236"/>
      <c r="O1142" s="244"/>
      <c r="P1142" s="244"/>
      <c r="Q1142" s="234"/>
      <c r="R1142" s="234"/>
      <c r="S1142" s="238"/>
      <c r="T1142" s="239"/>
      <c r="U1142" s="238"/>
      <c r="V1142" s="238"/>
      <c r="W1142" s="234"/>
      <c r="X1142" s="234"/>
      <c r="Y1142" s="234"/>
      <c r="Z1142" s="234"/>
      <c r="AA1142" s="234"/>
    </row>
    <row r="1143" ht="15.75" customHeight="1">
      <c r="A1143" s="91"/>
      <c r="B1143" s="91"/>
      <c r="C1143" s="220"/>
      <c r="D1143" s="91"/>
      <c r="E1143" s="221"/>
      <c r="F1143" s="91"/>
      <c r="G1143" s="91"/>
      <c r="H1143" s="242"/>
      <c r="I1143" s="91"/>
      <c r="J1143" s="234"/>
      <c r="K1143" s="243"/>
      <c r="L1143" s="236"/>
      <c r="M1143" s="236"/>
      <c r="N1143" s="236"/>
      <c r="O1143" s="244"/>
      <c r="P1143" s="244"/>
      <c r="Q1143" s="234"/>
      <c r="R1143" s="234"/>
      <c r="S1143" s="238"/>
      <c r="T1143" s="239"/>
      <c r="U1143" s="238"/>
      <c r="V1143" s="238"/>
      <c r="W1143" s="234"/>
      <c r="X1143" s="234"/>
      <c r="Y1143" s="234"/>
      <c r="Z1143" s="234"/>
      <c r="AA1143" s="234"/>
    </row>
    <row r="1144" ht="15.75" customHeight="1">
      <c r="A1144" s="91"/>
      <c r="B1144" s="91"/>
      <c r="C1144" s="220"/>
      <c r="D1144" s="91"/>
      <c r="E1144" s="221"/>
      <c r="F1144" s="91"/>
      <c r="G1144" s="91"/>
      <c r="H1144" s="242"/>
      <c r="I1144" s="91"/>
      <c r="J1144" s="234"/>
      <c r="K1144" s="243"/>
      <c r="L1144" s="236"/>
      <c r="M1144" s="236"/>
      <c r="N1144" s="236"/>
      <c r="O1144" s="244"/>
      <c r="P1144" s="244"/>
      <c r="Q1144" s="234"/>
      <c r="R1144" s="234"/>
      <c r="S1144" s="238"/>
      <c r="T1144" s="239"/>
      <c r="U1144" s="238"/>
      <c r="V1144" s="238"/>
      <c r="W1144" s="234"/>
      <c r="X1144" s="234"/>
      <c r="Y1144" s="234"/>
      <c r="Z1144" s="234"/>
      <c r="AA1144" s="234"/>
    </row>
    <row r="1145" ht="15.75" customHeight="1">
      <c r="A1145" s="91"/>
      <c r="B1145" s="91"/>
      <c r="C1145" s="220"/>
      <c r="D1145" s="91"/>
      <c r="E1145" s="221"/>
      <c r="F1145" s="91"/>
      <c r="G1145" s="91"/>
      <c r="H1145" s="242"/>
      <c r="I1145" s="91"/>
      <c r="J1145" s="234"/>
      <c r="K1145" s="243"/>
      <c r="L1145" s="236"/>
      <c r="M1145" s="236"/>
      <c r="N1145" s="236"/>
      <c r="O1145" s="244"/>
      <c r="P1145" s="244"/>
      <c r="Q1145" s="234"/>
      <c r="R1145" s="234"/>
      <c r="S1145" s="238"/>
      <c r="T1145" s="239"/>
      <c r="U1145" s="238"/>
      <c r="V1145" s="238"/>
      <c r="W1145" s="234"/>
      <c r="X1145" s="234"/>
      <c r="Y1145" s="234"/>
      <c r="Z1145" s="234"/>
      <c r="AA1145" s="234"/>
    </row>
    <row r="1146" ht="15.75" customHeight="1">
      <c r="A1146" s="91"/>
      <c r="B1146" s="91"/>
      <c r="C1146" s="220"/>
      <c r="D1146" s="91"/>
      <c r="E1146" s="221"/>
      <c r="F1146" s="91"/>
      <c r="G1146" s="91"/>
      <c r="H1146" s="242"/>
      <c r="I1146" s="91"/>
      <c r="J1146" s="234"/>
      <c r="K1146" s="243"/>
      <c r="L1146" s="236"/>
      <c r="M1146" s="236"/>
      <c r="N1146" s="236"/>
      <c r="O1146" s="244"/>
      <c r="P1146" s="244"/>
      <c r="Q1146" s="234"/>
      <c r="R1146" s="234"/>
      <c r="S1146" s="238"/>
      <c r="T1146" s="239"/>
      <c r="U1146" s="238"/>
      <c r="V1146" s="238"/>
      <c r="W1146" s="234"/>
      <c r="X1146" s="234"/>
      <c r="Y1146" s="234"/>
      <c r="Z1146" s="234"/>
      <c r="AA1146" s="234"/>
    </row>
    <row r="1147" ht="15.75" customHeight="1">
      <c r="A1147" s="91"/>
      <c r="B1147" s="91"/>
      <c r="C1147" s="220"/>
      <c r="D1147" s="91"/>
      <c r="E1147" s="221"/>
      <c r="F1147" s="91"/>
      <c r="G1147" s="91"/>
      <c r="H1147" s="242"/>
      <c r="I1147" s="91"/>
      <c r="J1147" s="234"/>
      <c r="K1147" s="243"/>
      <c r="L1147" s="236"/>
      <c r="M1147" s="236"/>
      <c r="N1147" s="236"/>
      <c r="O1147" s="244"/>
      <c r="P1147" s="244"/>
      <c r="Q1147" s="234"/>
      <c r="R1147" s="234"/>
      <c r="S1147" s="238"/>
      <c r="T1147" s="239"/>
      <c r="U1147" s="238"/>
      <c r="V1147" s="238"/>
      <c r="W1147" s="234"/>
      <c r="X1147" s="234"/>
      <c r="Y1147" s="234"/>
      <c r="Z1147" s="234"/>
      <c r="AA1147" s="234"/>
    </row>
    <row r="1148" ht="15.75" customHeight="1">
      <c r="A1148" s="91"/>
      <c r="B1148" s="91"/>
      <c r="C1148" s="220"/>
      <c r="D1148" s="91"/>
      <c r="E1148" s="221"/>
      <c r="F1148" s="91"/>
      <c r="G1148" s="91"/>
      <c r="H1148" s="242"/>
      <c r="I1148" s="91"/>
      <c r="J1148" s="234"/>
      <c r="K1148" s="243"/>
      <c r="L1148" s="236"/>
      <c r="M1148" s="236"/>
      <c r="N1148" s="236"/>
      <c r="O1148" s="244"/>
      <c r="P1148" s="244"/>
      <c r="Q1148" s="234"/>
      <c r="R1148" s="234"/>
      <c r="S1148" s="238"/>
      <c r="T1148" s="239"/>
      <c r="U1148" s="238"/>
      <c r="V1148" s="238"/>
      <c r="W1148" s="234"/>
      <c r="X1148" s="234"/>
      <c r="Y1148" s="234"/>
      <c r="Z1148" s="234"/>
      <c r="AA1148" s="234"/>
    </row>
    <row r="1149" ht="15.75" customHeight="1">
      <c r="A1149" s="91"/>
      <c r="B1149" s="91"/>
      <c r="C1149" s="220"/>
      <c r="D1149" s="91"/>
      <c r="E1149" s="221"/>
      <c r="F1149" s="91"/>
      <c r="G1149" s="91"/>
      <c r="H1149" s="242"/>
      <c r="I1149" s="91"/>
      <c r="J1149" s="234"/>
      <c r="K1149" s="243"/>
      <c r="L1149" s="236"/>
      <c r="M1149" s="236"/>
      <c r="N1149" s="236"/>
      <c r="O1149" s="244"/>
      <c r="P1149" s="244"/>
      <c r="Q1149" s="234"/>
      <c r="R1149" s="234"/>
      <c r="S1149" s="238"/>
      <c r="T1149" s="239"/>
      <c r="U1149" s="238"/>
      <c r="V1149" s="238"/>
      <c r="W1149" s="234"/>
      <c r="X1149" s="234"/>
      <c r="Y1149" s="234"/>
      <c r="Z1149" s="234"/>
      <c r="AA1149" s="234"/>
    </row>
    <row r="1150" ht="15.75" customHeight="1">
      <c r="A1150" s="91"/>
      <c r="B1150" s="91"/>
      <c r="C1150" s="220"/>
      <c r="D1150" s="91"/>
      <c r="E1150" s="221"/>
      <c r="F1150" s="91"/>
      <c r="G1150" s="91"/>
      <c r="H1150" s="242"/>
      <c r="I1150" s="91"/>
      <c r="J1150" s="234"/>
      <c r="K1150" s="243"/>
      <c r="L1150" s="236"/>
      <c r="M1150" s="236"/>
      <c r="N1150" s="236"/>
      <c r="O1150" s="244"/>
      <c r="P1150" s="244"/>
      <c r="Q1150" s="234"/>
      <c r="R1150" s="234"/>
      <c r="S1150" s="238"/>
      <c r="T1150" s="239"/>
      <c r="U1150" s="238"/>
      <c r="V1150" s="238"/>
      <c r="W1150" s="234"/>
      <c r="X1150" s="234"/>
      <c r="Y1150" s="234"/>
      <c r="Z1150" s="234"/>
      <c r="AA1150" s="234"/>
    </row>
    <row r="1151" ht="15.75" customHeight="1">
      <c r="A1151" s="91"/>
      <c r="B1151" s="91"/>
      <c r="C1151" s="220"/>
      <c r="D1151" s="91"/>
      <c r="E1151" s="221"/>
      <c r="F1151" s="91"/>
      <c r="G1151" s="91"/>
      <c r="H1151" s="242"/>
      <c r="I1151" s="91"/>
      <c r="J1151" s="234"/>
      <c r="K1151" s="243"/>
      <c r="L1151" s="236"/>
      <c r="M1151" s="236"/>
      <c r="N1151" s="236"/>
      <c r="O1151" s="244"/>
      <c r="P1151" s="244"/>
      <c r="Q1151" s="234"/>
      <c r="R1151" s="234"/>
      <c r="S1151" s="238"/>
      <c r="T1151" s="239"/>
      <c r="U1151" s="238"/>
      <c r="V1151" s="238"/>
      <c r="W1151" s="234"/>
      <c r="X1151" s="234"/>
      <c r="Y1151" s="234"/>
      <c r="Z1151" s="234"/>
      <c r="AA1151" s="234"/>
    </row>
    <row r="1152" ht="15.75" customHeight="1">
      <c r="A1152" s="91"/>
      <c r="B1152" s="91"/>
      <c r="C1152" s="220"/>
      <c r="D1152" s="91"/>
      <c r="E1152" s="221"/>
      <c r="F1152" s="91"/>
      <c r="G1152" s="91"/>
      <c r="H1152" s="242"/>
      <c r="I1152" s="91"/>
      <c r="J1152" s="234"/>
      <c r="K1152" s="243"/>
      <c r="L1152" s="236"/>
      <c r="M1152" s="236"/>
      <c r="N1152" s="236"/>
      <c r="O1152" s="244"/>
      <c r="P1152" s="244"/>
      <c r="Q1152" s="234"/>
      <c r="R1152" s="234"/>
      <c r="S1152" s="238"/>
      <c r="T1152" s="239"/>
      <c r="U1152" s="238"/>
      <c r="V1152" s="238"/>
      <c r="W1152" s="234"/>
      <c r="X1152" s="234"/>
      <c r="Y1152" s="234"/>
      <c r="Z1152" s="234"/>
      <c r="AA1152" s="234"/>
    </row>
    <row r="1153" ht="15.75" customHeight="1">
      <c r="A1153" s="91"/>
      <c r="B1153" s="91"/>
      <c r="C1153" s="220"/>
      <c r="D1153" s="91"/>
      <c r="E1153" s="221"/>
      <c r="F1153" s="91"/>
      <c r="G1153" s="91"/>
      <c r="H1153" s="242"/>
      <c r="I1153" s="91"/>
      <c r="J1153" s="234"/>
      <c r="K1153" s="243"/>
      <c r="L1153" s="236"/>
      <c r="M1153" s="236"/>
      <c r="N1153" s="236"/>
      <c r="O1153" s="244"/>
      <c r="P1153" s="244"/>
      <c r="Q1153" s="234"/>
      <c r="R1153" s="234"/>
      <c r="S1153" s="238"/>
      <c r="T1153" s="239"/>
      <c r="U1153" s="238"/>
      <c r="V1153" s="238"/>
      <c r="W1153" s="234"/>
      <c r="X1153" s="234"/>
      <c r="Y1153" s="234"/>
      <c r="Z1153" s="234"/>
      <c r="AA1153" s="234"/>
    </row>
    <row r="1154" ht="15.75" customHeight="1">
      <c r="A1154" s="91"/>
      <c r="B1154" s="91"/>
      <c r="C1154" s="220"/>
      <c r="D1154" s="91"/>
      <c r="E1154" s="221"/>
      <c r="F1154" s="91"/>
      <c r="G1154" s="91"/>
      <c r="H1154" s="242"/>
      <c r="I1154" s="91"/>
      <c r="J1154" s="234"/>
      <c r="K1154" s="243"/>
      <c r="L1154" s="236"/>
      <c r="M1154" s="236"/>
      <c r="N1154" s="236"/>
      <c r="O1154" s="244"/>
      <c r="P1154" s="244"/>
      <c r="Q1154" s="234"/>
      <c r="R1154" s="234"/>
      <c r="S1154" s="238"/>
      <c r="T1154" s="239"/>
      <c r="U1154" s="238"/>
      <c r="V1154" s="238"/>
      <c r="W1154" s="234"/>
      <c r="X1154" s="234"/>
      <c r="Y1154" s="234"/>
      <c r="Z1154" s="234"/>
      <c r="AA1154" s="234"/>
    </row>
    <row r="1155" ht="15.75" customHeight="1">
      <c r="A1155" s="91"/>
      <c r="B1155" s="91"/>
      <c r="C1155" s="220"/>
      <c r="D1155" s="91"/>
      <c r="E1155" s="221"/>
      <c r="F1155" s="91"/>
      <c r="G1155" s="91"/>
      <c r="H1155" s="242"/>
      <c r="I1155" s="91"/>
      <c r="J1155" s="234"/>
      <c r="K1155" s="243"/>
      <c r="L1155" s="236"/>
      <c r="M1155" s="236"/>
      <c r="N1155" s="236"/>
      <c r="O1155" s="244"/>
      <c r="P1155" s="244"/>
      <c r="Q1155" s="234"/>
      <c r="R1155" s="234"/>
      <c r="S1155" s="238"/>
      <c r="T1155" s="239"/>
      <c r="U1155" s="238"/>
      <c r="V1155" s="238"/>
      <c r="W1155" s="234"/>
      <c r="X1155" s="234"/>
      <c r="Y1155" s="234"/>
      <c r="Z1155" s="234"/>
      <c r="AA1155" s="234"/>
    </row>
    <row r="1156" ht="15.75" customHeight="1">
      <c r="A1156" s="91"/>
      <c r="B1156" s="91"/>
      <c r="C1156" s="220"/>
      <c r="D1156" s="91"/>
      <c r="E1156" s="221"/>
      <c r="F1156" s="91"/>
      <c r="G1156" s="91"/>
      <c r="H1156" s="242"/>
      <c r="I1156" s="91"/>
      <c r="J1156" s="234"/>
      <c r="K1156" s="243"/>
      <c r="L1156" s="236"/>
      <c r="M1156" s="236"/>
      <c r="N1156" s="236"/>
      <c r="O1156" s="244"/>
      <c r="P1156" s="244"/>
      <c r="Q1156" s="234"/>
      <c r="R1156" s="234"/>
      <c r="S1156" s="238"/>
      <c r="T1156" s="239"/>
      <c r="U1156" s="238"/>
      <c r="V1156" s="238"/>
      <c r="W1156" s="234"/>
      <c r="X1156" s="234"/>
      <c r="Y1156" s="234"/>
      <c r="Z1156" s="234"/>
      <c r="AA1156" s="234"/>
    </row>
    <row r="1157" ht="15.75" customHeight="1">
      <c r="A1157" s="91"/>
      <c r="B1157" s="91"/>
      <c r="C1157" s="220"/>
      <c r="D1157" s="91"/>
      <c r="E1157" s="221"/>
      <c r="F1157" s="91"/>
      <c r="G1157" s="91"/>
      <c r="H1157" s="242"/>
      <c r="I1157" s="91"/>
      <c r="J1157" s="234"/>
      <c r="K1157" s="243"/>
      <c r="L1157" s="236"/>
      <c r="M1157" s="236"/>
      <c r="N1157" s="236"/>
      <c r="O1157" s="244"/>
      <c r="P1157" s="244"/>
      <c r="Q1157" s="234"/>
      <c r="R1157" s="234"/>
      <c r="S1157" s="238"/>
      <c r="T1157" s="239"/>
      <c r="U1157" s="238"/>
      <c r="V1157" s="238"/>
      <c r="W1157" s="234"/>
      <c r="X1157" s="234"/>
      <c r="Y1157" s="234"/>
      <c r="Z1157" s="234"/>
      <c r="AA1157" s="234"/>
    </row>
    <row r="1158" ht="15.75" customHeight="1">
      <c r="A1158" s="91"/>
      <c r="B1158" s="91"/>
      <c r="C1158" s="220"/>
      <c r="D1158" s="91"/>
      <c r="E1158" s="221"/>
      <c r="F1158" s="91"/>
      <c r="G1158" s="91"/>
      <c r="H1158" s="242"/>
      <c r="I1158" s="91"/>
      <c r="J1158" s="234"/>
      <c r="K1158" s="243"/>
      <c r="L1158" s="236"/>
      <c r="M1158" s="236"/>
      <c r="N1158" s="236"/>
      <c r="O1158" s="244"/>
      <c r="P1158" s="244"/>
      <c r="Q1158" s="234"/>
      <c r="R1158" s="234"/>
      <c r="S1158" s="238"/>
      <c r="T1158" s="239"/>
      <c r="U1158" s="238"/>
      <c r="V1158" s="238"/>
      <c r="W1158" s="234"/>
      <c r="X1158" s="234"/>
      <c r="Y1158" s="234"/>
      <c r="Z1158" s="234"/>
      <c r="AA1158" s="234"/>
    </row>
    <row r="1159" ht="15.75" customHeight="1">
      <c r="A1159" s="91"/>
      <c r="B1159" s="91"/>
      <c r="C1159" s="220"/>
      <c r="D1159" s="91"/>
      <c r="E1159" s="221"/>
      <c r="F1159" s="91"/>
      <c r="G1159" s="91"/>
      <c r="H1159" s="242"/>
      <c r="I1159" s="91"/>
      <c r="J1159" s="234"/>
      <c r="K1159" s="243"/>
      <c r="L1159" s="236"/>
      <c r="M1159" s="236"/>
      <c r="N1159" s="236"/>
      <c r="O1159" s="244"/>
      <c r="P1159" s="244"/>
      <c r="Q1159" s="234"/>
      <c r="R1159" s="234"/>
      <c r="S1159" s="238"/>
      <c r="T1159" s="239"/>
      <c r="U1159" s="238"/>
      <c r="V1159" s="238"/>
      <c r="W1159" s="234"/>
      <c r="X1159" s="234"/>
      <c r="Y1159" s="234"/>
      <c r="Z1159" s="234"/>
      <c r="AA1159" s="234"/>
    </row>
    <row r="1160" ht="15.75" customHeight="1">
      <c r="A1160" s="91"/>
      <c r="B1160" s="91"/>
      <c r="C1160" s="220"/>
      <c r="D1160" s="91"/>
      <c r="E1160" s="221"/>
      <c r="F1160" s="91"/>
      <c r="G1160" s="91"/>
      <c r="H1160" s="242"/>
      <c r="I1160" s="91"/>
      <c r="J1160" s="234"/>
      <c r="K1160" s="243"/>
      <c r="L1160" s="236"/>
      <c r="M1160" s="236"/>
      <c r="N1160" s="236"/>
      <c r="O1160" s="244"/>
      <c r="P1160" s="244"/>
      <c r="Q1160" s="234"/>
      <c r="R1160" s="234"/>
      <c r="S1160" s="238"/>
      <c r="T1160" s="239"/>
      <c r="U1160" s="238"/>
      <c r="V1160" s="238"/>
      <c r="W1160" s="234"/>
      <c r="X1160" s="234"/>
      <c r="Y1160" s="234"/>
      <c r="Z1160" s="234"/>
      <c r="AA1160" s="234"/>
    </row>
    <row r="1161" ht="15.75" customHeight="1">
      <c r="A1161" s="91"/>
      <c r="B1161" s="91"/>
      <c r="C1161" s="220"/>
      <c r="D1161" s="91"/>
      <c r="E1161" s="221"/>
      <c r="F1161" s="91"/>
      <c r="G1161" s="91"/>
      <c r="H1161" s="242"/>
      <c r="I1161" s="91"/>
      <c r="J1161" s="234"/>
      <c r="K1161" s="243"/>
      <c r="L1161" s="236"/>
      <c r="M1161" s="236"/>
      <c r="N1161" s="236"/>
      <c r="O1161" s="244"/>
      <c r="P1161" s="244"/>
      <c r="Q1161" s="234"/>
      <c r="R1161" s="234"/>
      <c r="S1161" s="238"/>
      <c r="T1161" s="239"/>
      <c r="U1161" s="238"/>
      <c r="V1161" s="238"/>
      <c r="W1161" s="234"/>
      <c r="X1161" s="234"/>
      <c r="Y1161" s="234"/>
      <c r="Z1161" s="234"/>
      <c r="AA1161" s="234"/>
    </row>
    <row r="1162" ht="15.75" customHeight="1">
      <c r="A1162" s="91"/>
      <c r="B1162" s="91"/>
      <c r="C1162" s="220"/>
      <c r="D1162" s="91"/>
      <c r="E1162" s="221"/>
      <c r="F1162" s="91"/>
      <c r="G1162" s="91"/>
      <c r="H1162" s="242"/>
      <c r="I1162" s="91"/>
      <c r="J1162" s="234"/>
      <c r="K1162" s="243"/>
      <c r="L1162" s="236"/>
      <c r="M1162" s="236"/>
      <c r="N1162" s="236"/>
      <c r="O1162" s="244"/>
      <c r="P1162" s="244"/>
      <c r="Q1162" s="234"/>
      <c r="R1162" s="234"/>
      <c r="S1162" s="238"/>
      <c r="T1162" s="239"/>
      <c r="U1162" s="238"/>
      <c r="V1162" s="238"/>
      <c r="W1162" s="234"/>
      <c r="X1162" s="234"/>
      <c r="Y1162" s="234"/>
      <c r="Z1162" s="234"/>
      <c r="AA1162" s="234"/>
    </row>
    <row r="1163" ht="15.75" customHeight="1">
      <c r="A1163" s="91"/>
      <c r="B1163" s="91"/>
      <c r="C1163" s="220"/>
      <c r="D1163" s="91"/>
      <c r="E1163" s="221"/>
      <c r="F1163" s="91"/>
      <c r="G1163" s="91"/>
      <c r="H1163" s="242"/>
      <c r="I1163" s="91"/>
      <c r="J1163" s="234"/>
      <c r="K1163" s="243"/>
      <c r="L1163" s="236"/>
      <c r="M1163" s="236"/>
      <c r="N1163" s="236"/>
      <c r="O1163" s="244"/>
      <c r="P1163" s="244"/>
      <c r="Q1163" s="234"/>
      <c r="R1163" s="234"/>
      <c r="S1163" s="238"/>
      <c r="T1163" s="239"/>
      <c r="U1163" s="238"/>
      <c r="V1163" s="238"/>
      <c r="W1163" s="234"/>
      <c r="X1163" s="234"/>
      <c r="Y1163" s="234"/>
      <c r="Z1163" s="234"/>
      <c r="AA1163" s="234"/>
    </row>
    <row r="1164" ht="15.75" customHeight="1">
      <c r="A1164" s="91"/>
      <c r="B1164" s="91"/>
      <c r="C1164" s="220"/>
      <c r="D1164" s="91"/>
      <c r="E1164" s="221"/>
      <c r="F1164" s="91"/>
      <c r="G1164" s="91"/>
      <c r="H1164" s="242"/>
      <c r="I1164" s="91"/>
      <c r="J1164" s="234"/>
      <c r="K1164" s="243"/>
      <c r="L1164" s="236"/>
      <c r="M1164" s="236"/>
      <c r="N1164" s="236"/>
      <c r="O1164" s="244"/>
      <c r="P1164" s="244"/>
      <c r="Q1164" s="234"/>
      <c r="R1164" s="234"/>
      <c r="S1164" s="238"/>
      <c r="T1164" s="239"/>
      <c r="U1164" s="238"/>
      <c r="V1164" s="238"/>
      <c r="W1164" s="234"/>
      <c r="X1164" s="234"/>
      <c r="Y1164" s="234"/>
      <c r="Z1164" s="234"/>
      <c r="AA1164" s="234"/>
    </row>
    <row r="1165" ht="15.75" customHeight="1">
      <c r="A1165" s="91"/>
      <c r="B1165" s="91"/>
      <c r="C1165" s="220"/>
      <c r="D1165" s="91"/>
      <c r="E1165" s="221"/>
      <c r="F1165" s="91"/>
      <c r="G1165" s="91"/>
      <c r="H1165" s="242"/>
      <c r="I1165" s="91"/>
      <c r="J1165" s="234"/>
      <c r="K1165" s="243"/>
      <c r="L1165" s="236"/>
      <c r="M1165" s="236"/>
      <c r="N1165" s="236"/>
      <c r="O1165" s="244"/>
      <c r="P1165" s="244"/>
      <c r="Q1165" s="234"/>
      <c r="R1165" s="234"/>
      <c r="S1165" s="238"/>
      <c r="T1165" s="239"/>
      <c r="U1165" s="238"/>
      <c r="V1165" s="238"/>
      <c r="W1165" s="234"/>
      <c r="X1165" s="234"/>
      <c r="Y1165" s="234"/>
      <c r="Z1165" s="234"/>
      <c r="AA1165" s="234"/>
    </row>
    <row r="1166" ht="15.75" customHeight="1">
      <c r="A1166" s="91"/>
      <c r="B1166" s="91"/>
      <c r="C1166" s="220"/>
      <c r="D1166" s="91"/>
      <c r="E1166" s="221"/>
      <c r="F1166" s="91"/>
      <c r="G1166" s="91"/>
      <c r="H1166" s="242"/>
      <c r="I1166" s="91"/>
      <c r="J1166" s="234"/>
      <c r="K1166" s="243"/>
      <c r="L1166" s="236"/>
      <c r="M1166" s="236"/>
      <c r="N1166" s="236"/>
      <c r="O1166" s="244"/>
      <c r="P1166" s="244"/>
      <c r="Q1166" s="234"/>
      <c r="R1166" s="234"/>
      <c r="S1166" s="238"/>
      <c r="T1166" s="239"/>
      <c r="U1166" s="238"/>
      <c r="V1166" s="238"/>
      <c r="W1166" s="234"/>
      <c r="X1166" s="234"/>
      <c r="Y1166" s="234"/>
      <c r="Z1166" s="234"/>
      <c r="AA1166" s="234"/>
    </row>
    <row r="1167" ht="15.75" customHeight="1">
      <c r="A1167" s="91"/>
      <c r="B1167" s="91"/>
      <c r="C1167" s="220"/>
      <c r="D1167" s="91"/>
      <c r="E1167" s="221"/>
      <c r="F1167" s="91"/>
      <c r="G1167" s="91"/>
      <c r="H1167" s="242"/>
      <c r="I1167" s="91"/>
      <c r="J1167" s="234"/>
      <c r="K1167" s="243"/>
      <c r="L1167" s="236"/>
      <c r="M1167" s="236"/>
      <c r="N1167" s="236"/>
      <c r="O1167" s="244"/>
      <c r="P1167" s="244"/>
      <c r="Q1167" s="234"/>
      <c r="R1167" s="234"/>
      <c r="S1167" s="238"/>
      <c r="T1167" s="239"/>
      <c r="U1167" s="238"/>
      <c r="V1167" s="238"/>
      <c r="W1167" s="234"/>
      <c r="X1167" s="234"/>
      <c r="Y1167" s="234"/>
      <c r="Z1167" s="234"/>
      <c r="AA1167" s="234"/>
    </row>
    <row r="1168" ht="15.75" customHeight="1">
      <c r="A1168" s="91"/>
      <c r="B1168" s="91"/>
      <c r="C1168" s="220"/>
      <c r="D1168" s="91"/>
      <c r="E1168" s="221"/>
      <c r="F1168" s="91"/>
      <c r="G1168" s="91"/>
      <c r="H1168" s="242"/>
      <c r="I1168" s="91"/>
      <c r="J1168" s="234"/>
      <c r="K1168" s="243"/>
      <c r="L1168" s="236"/>
      <c r="M1168" s="236"/>
      <c r="N1168" s="236"/>
      <c r="O1168" s="244"/>
      <c r="P1168" s="244"/>
      <c r="Q1168" s="234"/>
      <c r="R1168" s="234"/>
      <c r="S1168" s="238"/>
      <c r="T1168" s="239"/>
      <c r="U1168" s="238"/>
      <c r="V1168" s="238"/>
      <c r="W1168" s="234"/>
      <c r="X1168" s="234"/>
      <c r="Y1168" s="234"/>
      <c r="Z1168" s="234"/>
      <c r="AA1168" s="234"/>
    </row>
    <row r="1169" ht="15.75" customHeight="1">
      <c r="A1169" s="91"/>
      <c r="B1169" s="91"/>
      <c r="C1169" s="220"/>
      <c r="D1169" s="91"/>
      <c r="E1169" s="221"/>
      <c r="F1169" s="91"/>
      <c r="G1169" s="91"/>
      <c r="H1169" s="242"/>
      <c r="I1169" s="91"/>
      <c r="J1169" s="234"/>
      <c r="K1169" s="243"/>
      <c r="L1169" s="236"/>
      <c r="M1169" s="236"/>
      <c r="N1169" s="236"/>
      <c r="O1169" s="244"/>
      <c r="P1169" s="244"/>
      <c r="Q1169" s="234"/>
      <c r="R1169" s="234"/>
      <c r="S1169" s="238"/>
      <c r="T1169" s="239"/>
      <c r="U1169" s="238"/>
      <c r="V1169" s="238"/>
      <c r="W1169" s="234"/>
      <c r="X1169" s="234"/>
      <c r="Y1169" s="234"/>
      <c r="Z1169" s="234"/>
      <c r="AA1169" s="234"/>
    </row>
    <row r="1170" ht="15.75" customHeight="1">
      <c r="A1170" s="91"/>
      <c r="B1170" s="91"/>
      <c r="C1170" s="220"/>
      <c r="D1170" s="91"/>
      <c r="E1170" s="221"/>
      <c r="F1170" s="91"/>
      <c r="G1170" s="91"/>
      <c r="H1170" s="242"/>
      <c r="I1170" s="91"/>
      <c r="J1170" s="234"/>
      <c r="K1170" s="243"/>
      <c r="L1170" s="236"/>
      <c r="M1170" s="236"/>
      <c r="N1170" s="236"/>
      <c r="O1170" s="244"/>
      <c r="P1170" s="244"/>
      <c r="Q1170" s="234"/>
      <c r="R1170" s="234"/>
      <c r="S1170" s="238"/>
      <c r="T1170" s="239"/>
      <c r="U1170" s="238"/>
      <c r="V1170" s="238"/>
      <c r="W1170" s="234"/>
      <c r="X1170" s="234"/>
      <c r="Y1170" s="234"/>
      <c r="Z1170" s="234"/>
      <c r="AA1170" s="234"/>
    </row>
    <row r="1171" ht="15.75" customHeight="1">
      <c r="A1171" s="91"/>
      <c r="B1171" s="91"/>
      <c r="C1171" s="220"/>
      <c r="D1171" s="91"/>
      <c r="E1171" s="221"/>
      <c r="F1171" s="91"/>
      <c r="G1171" s="91"/>
      <c r="H1171" s="242"/>
      <c r="I1171" s="91"/>
      <c r="J1171" s="234"/>
      <c r="K1171" s="243"/>
      <c r="L1171" s="236"/>
      <c r="M1171" s="236"/>
      <c r="N1171" s="236"/>
      <c r="O1171" s="244"/>
      <c r="P1171" s="244"/>
      <c r="Q1171" s="234"/>
      <c r="R1171" s="234"/>
      <c r="S1171" s="238"/>
      <c r="T1171" s="239"/>
      <c r="U1171" s="238"/>
      <c r="V1171" s="238"/>
      <c r="W1171" s="234"/>
      <c r="X1171" s="234"/>
      <c r="Y1171" s="234"/>
      <c r="Z1171" s="234"/>
      <c r="AA1171" s="234"/>
    </row>
    <row r="1172" ht="15.75" customHeight="1">
      <c r="A1172" s="91"/>
      <c r="B1172" s="91"/>
      <c r="C1172" s="220"/>
      <c r="D1172" s="91"/>
      <c r="E1172" s="221"/>
      <c r="F1172" s="91"/>
      <c r="G1172" s="91"/>
      <c r="H1172" s="242"/>
      <c r="I1172" s="91"/>
      <c r="J1172" s="234"/>
      <c r="K1172" s="243"/>
      <c r="L1172" s="236"/>
      <c r="M1172" s="236"/>
      <c r="N1172" s="236"/>
      <c r="O1172" s="244"/>
      <c r="P1172" s="244"/>
      <c r="Q1172" s="234"/>
      <c r="R1172" s="234"/>
      <c r="S1172" s="238"/>
      <c r="T1172" s="239"/>
      <c r="U1172" s="238"/>
      <c r="V1172" s="238"/>
      <c r="W1172" s="234"/>
      <c r="X1172" s="234"/>
      <c r="Y1172" s="234"/>
      <c r="Z1172" s="234"/>
      <c r="AA1172" s="234"/>
    </row>
    <row r="1173" ht="15.75" customHeight="1">
      <c r="A1173" s="91"/>
      <c r="B1173" s="91"/>
      <c r="C1173" s="220"/>
      <c r="D1173" s="91"/>
      <c r="E1173" s="221"/>
      <c r="F1173" s="91"/>
      <c r="G1173" s="91"/>
      <c r="H1173" s="242"/>
      <c r="I1173" s="91"/>
      <c r="J1173" s="234"/>
      <c r="K1173" s="243"/>
      <c r="L1173" s="236"/>
      <c r="M1173" s="236"/>
      <c r="N1173" s="236"/>
      <c r="O1173" s="244"/>
      <c r="P1173" s="244"/>
      <c r="Q1173" s="234"/>
      <c r="R1173" s="234"/>
      <c r="S1173" s="238"/>
      <c r="T1173" s="239"/>
      <c r="U1173" s="238"/>
      <c r="V1173" s="238"/>
      <c r="W1173" s="234"/>
      <c r="X1173" s="234"/>
      <c r="Y1173" s="234"/>
      <c r="Z1173" s="234"/>
      <c r="AA1173" s="234"/>
    </row>
    <row r="1174" ht="15.75" customHeight="1">
      <c r="A1174" s="91"/>
      <c r="B1174" s="91"/>
      <c r="C1174" s="220"/>
      <c r="D1174" s="91"/>
      <c r="E1174" s="221"/>
      <c r="F1174" s="91"/>
      <c r="G1174" s="91"/>
      <c r="H1174" s="242"/>
      <c r="I1174" s="91"/>
      <c r="J1174" s="234"/>
      <c r="K1174" s="243"/>
      <c r="L1174" s="236"/>
      <c r="M1174" s="236"/>
      <c r="N1174" s="236"/>
      <c r="O1174" s="244"/>
      <c r="P1174" s="244"/>
      <c r="Q1174" s="234"/>
      <c r="R1174" s="234"/>
      <c r="S1174" s="238"/>
      <c r="T1174" s="239"/>
      <c r="U1174" s="238"/>
      <c r="V1174" s="238"/>
      <c r="W1174" s="234"/>
      <c r="X1174" s="234"/>
      <c r="Y1174" s="234"/>
      <c r="Z1174" s="234"/>
      <c r="AA1174" s="234"/>
    </row>
    <row r="1175" ht="15.75" customHeight="1">
      <c r="A1175" s="91"/>
      <c r="B1175" s="91"/>
      <c r="C1175" s="220"/>
      <c r="D1175" s="91"/>
      <c r="E1175" s="221"/>
      <c r="F1175" s="91"/>
      <c r="G1175" s="91"/>
      <c r="H1175" s="242"/>
      <c r="I1175" s="91"/>
      <c r="J1175" s="234"/>
      <c r="K1175" s="243"/>
      <c r="L1175" s="236"/>
      <c r="M1175" s="236"/>
      <c r="N1175" s="236"/>
      <c r="O1175" s="244"/>
      <c r="P1175" s="244"/>
      <c r="Q1175" s="234"/>
      <c r="R1175" s="234"/>
      <c r="S1175" s="238"/>
      <c r="T1175" s="239"/>
      <c r="U1175" s="238"/>
      <c r="V1175" s="238"/>
      <c r="W1175" s="234"/>
      <c r="X1175" s="234"/>
      <c r="Y1175" s="234"/>
      <c r="Z1175" s="234"/>
      <c r="AA1175" s="234"/>
    </row>
    <row r="1176" ht="15.75" customHeight="1">
      <c r="A1176" s="91"/>
      <c r="B1176" s="91"/>
      <c r="C1176" s="220"/>
      <c r="D1176" s="91"/>
      <c r="E1176" s="221"/>
      <c r="F1176" s="91"/>
      <c r="G1176" s="91"/>
      <c r="H1176" s="242"/>
      <c r="I1176" s="91"/>
      <c r="J1176" s="234"/>
      <c r="K1176" s="243"/>
      <c r="L1176" s="236"/>
      <c r="M1176" s="236"/>
      <c r="N1176" s="236"/>
      <c r="O1176" s="244"/>
      <c r="P1176" s="244"/>
      <c r="Q1176" s="234"/>
      <c r="R1176" s="234"/>
      <c r="S1176" s="238"/>
      <c r="T1176" s="239"/>
      <c r="U1176" s="238"/>
      <c r="V1176" s="238"/>
      <c r="W1176" s="234"/>
      <c r="X1176" s="234"/>
      <c r="Y1176" s="234"/>
      <c r="Z1176" s="234"/>
      <c r="AA1176" s="234"/>
    </row>
    <row r="1177" ht="15.75" customHeight="1">
      <c r="A1177" s="91"/>
      <c r="B1177" s="91"/>
      <c r="C1177" s="220"/>
      <c r="D1177" s="91"/>
      <c r="E1177" s="221"/>
      <c r="F1177" s="91"/>
      <c r="G1177" s="91"/>
      <c r="H1177" s="242"/>
      <c r="I1177" s="91"/>
      <c r="J1177" s="234"/>
      <c r="K1177" s="243"/>
      <c r="L1177" s="236"/>
      <c r="M1177" s="236"/>
      <c r="N1177" s="236"/>
      <c r="O1177" s="244"/>
      <c r="P1177" s="244"/>
      <c r="Q1177" s="234"/>
      <c r="R1177" s="234"/>
      <c r="S1177" s="238"/>
      <c r="T1177" s="239"/>
      <c r="U1177" s="238"/>
      <c r="V1177" s="238"/>
      <c r="W1177" s="234"/>
      <c r="X1177" s="234"/>
      <c r="Y1177" s="234"/>
      <c r="Z1177" s="234"/>
      <c r="AA1177" s="234"/>
    </row>
    <row r="1178" ht="15.75" customHeight="1">
      <c r="A1178" s="91"/>
      <c r="B1178" s="91"/>
      <c r="C1178" s="220"/>
      <c r="D1178" s="91"/>
      <c r="E1178" s="221"/>
      <c r="F1178" s="91"/>
      <c r="G1178" s="91"/>
      <c r="H1178" s="242"/>
      <c r="I1178" s="91"/>
      <c r="J1178" s="234"/>
      <c r="K1178" s="243"/>
      <c r="L1178" s="236"/>
      <c r="M1178" s="236"/>
      <c r="N1178" s="236"/>
      <c r="O1178" s="244"/>
      <c r="P1178" s="244"/>
      <c r="Q1178" s="234"/>
      <c r="R1178" s="234"/>
      <c r="S1178" s="238"/>
      <c r="T1178" s="239"/>
      <c r="U1178" s="238"/>
      <c r="V1178" s="238"/>
      <c r="W1178" s="234"/>
      <c r="X1178" s="234"/>
      <c r="Y1178" s="234"/>
      <c r="Z1178" s="234"/>
      <c r="AA1178" s="234"/>
    </row>
    <row r="1179" ht="15.75" customHeight="1">
      <c r="A1179" s="91"/>
      <c r="B1179" s="91"/>
      <c r="C1179" s="220"/>
      <c r="D1179" s="91"/>
      <c r="E1179" s="221"/>
      <c r="F1179" s="91"/>
      <c r="G1179" s="91"/>
      <c r="H1179" s="242"/>
      <c r="I1179" s="91"/>
      <c r="J1179" s="234"/>
      <c r="K1179" s="243"/>
      <c r="L1179" s="236"/>
      <c r="M1179" s="236"/>
      <c r="N1179" s="236"/>
      <c r="O1179" s="244"/>
      <c r="P1179" s="244"/>
      <c r="Q1179" s="234"/>
      <c r="R1179" s="234"/>
      <c r="S1179" s="238"/>
      <c r="T1179" s="239"/>
      <c r="U1179" s="238"/>
      <c r="V1179" s="238"/>
      <c r="W1179" s="234"/>
      <c r="X1179" s="234"/>
      <c r="Y1179" s="234"/>
      <c r="Z1179" s="234"/>
      <c r="AA1179" s="234"/>
    </row>
    <row r="1180" ht="15.75" customHeight="1">
      <c r="A1180" s="91"/>
      <c r="B1180" s="91"/>
      <c r="C1180" s="220"/>
      <c r="D1180" s="91"/>
      <c r="E1180" s="221"/>
      <c r="F1180" s="91"/>
      <c r="G1180" s="91"/>
      <c r="H1180" s="242"/>
      <c r="I1180" s="91"/>
      <c r="J1180" s="234"/>
      <c r="K1180" s="243"/>
      <c r="L1180" s="236"/>
      <c r="M1180" s="236"/>
      <c r="N1180" s="236"/>
      <c r="O1180" s="244"/>
      <c r="P1180" s="244"/>
      <c r="Q1180" s="234"/>
      <c r="R1180" s="234"/>
      <c r="S1180" s="238"/>
      <c r="T1180" s="239"/>
      <c r="U1180" s="238"/>
      <c r="V1180" s="238"/>
      <c r="W1180" s="234"/>
      <c r="X1180" s="234"/>
      <c r="Y1180" s="234"/>
      <c r="Z1180" s="234"/>
      <c r="AA1180" s="234"/>
    </row>
    <row r="1181" ht="15.75" customHeight="1">
      <c r="A1181" s="91"/>
      <c r="B1181" s="91"/>
      <c r="C1181" s="220"/>
      <c r="D1181" s="91"/>
      <c r="E1181" s="221"/>
      <c r="F1181" s="91"/>
      <c r="G1181" s="91"/>
      <c r="H1181" s="242"/>
      <c r="I1181" s="91"/>
      <c r="J1181" s="234"/>
      <c r="K1181" s="243"/>
      <c r="L1181" s="236"/>
      <c r="M1181" s="236"/>
      <c r="N1181" s="236"/>
      <c r="O1181" s="244"/>
      <c r="P1181" s="244"/>
      <c r="Q1181" s="234"/>
      <c r="R1181" s="234"/>
      <c r="S1181" s="238"/>
      <c r="T1181" s="239"/>
      <c r="U1181" s="238"/>
      <c r="V1181" s="238"/>
      <c r="W1181" s="234"/>
      <c r="X1181" s="234"/>
      <c r="Y1181" s="234"/>
      <c r="Z1181" s="234"/>
      <c r="AA1181" s="234"/>
    </row>
    <row r="1182" ht="15.75" customHeight="1">
      <c r="A1182" s="91"/>
      <c r="B1182" s="91"/>
      <c r="C1182" s="220"/>
      <c r="D1182" s="91"/>
      <c r="E1182" s="221"/>
      <c r="F1182" s="91"/>
      <c r="G1182" s="91"/>
      <c r="H1182" s="242"/>
      <c r="I1182" s="91"/>
      <c r="J1182" s="234"/>
      <c r="K1182" s="243"/>
      <c r="L1182" s="236"/>
      <c r="M1182" s="236"/>
      <c r="N1182" s="236"/>
      <c r="O1182" s="244"/>
      <c r="P1182" s="244"/>
      <c r="Q1182" s="234"/>
      <c r="R1182" s="234"/>
      <c r="S1182" s="238"/>
      <c r="T1182" s="239"/>
      <c r="U1182" s="238"/>
      <c r="V1182" s="238"/>
      <c r="W1182" s="234"/>
      <c r="X1182" s="234"/>
      <c r="Y1182" s="234"/>
      <c r="Z1182" s="234"/>
      <c r="AA1182" s="234"/>
    </row>
    <row r="1183" ht="15.75" customHeight="1">
      <c r="A1183" s="91"/>
      <c r="B1183" s="91"/>
      <c r="C1183" s="220"/>
      <c r="D1183" s="91"/>
      <c r="E1183" s="221"/>
      <c r="F1183" s="91"/>
      <c r="G1183" s="91"/>
      <c r="H1183" s="242"/>
      <c r="I1183" s="91"/>
      <c r="J1183" s="234"/>
      <c r="K1183" s="243"/>
      <c r="L1183" s="236"/>
      <c r="M1183" s="236"/>
      <c r="N1183" s="236"/>
      <c r="O1183" s="244"/>
      <c r="P1183" s="244"/>
      <c r="Q1183" s="234"/>
      <c r="R1183" s="234"/>
      <c r="S1183" s="238"/>
      <c r="T1183" s="239"/>
      <c r="U1183" s="238"/>
      <c r="V1183" s="238"/>
      <c r="W1183" s="234"/>
      <c r="X1183" s="234"/>
      <c r="Y1183" s="234"/>
      <c r="Z1183" s="234"/>
      <c r="AA1183" s="234"/>
    </row>
    <row r="1184" ht="15.75" customHeight="1">
      <c r="A1184" s="91"/>
      <c r="B1184" s="91"/>
      <c r="C1184" s="220"/>
      <c r="D1184" s="91"/>
      <c r="E1184" s="221"/>
      <c r="F1184" s="91"/>
      <c r="G1184" s="91"/>
      <c r="H1184" s="242"/>
      <c r="I1184" s="91"/>
      <c r="J1184" s="234"/>
      <c r="K1184" s="243"/>
      <c r="L1184" s="236"/>
      <c r="M1184" s="236"/>
      <c r="N1184" s="236"/>
      <c r="O1184" s="244"/>
      <c r="P1184" s="244"/>
      <c r="Q1184" s="234"/>
      <c r="R1184" s="234"/>
      <c r="S1184" s="238"/>
      <c r="T1184" s="239"/>
      <c r="U1184" s="238"/>
      <c r="V1184" s="238"/>
      <c r="W1184" s="234"/>
      <c r="X1184" s="234"/>
      <c r="Y1184" s="234"/>
      <c r="Z1184" s="234"/>
      <c r="AA1184" s="234"/>
    </row>
    <row r="1185" ht="15.75" customHeight="1">
      <c r="A1185" s="91"/>
      <c r="B1185" s="91"/>
      <c r="C1185" s="220"/>
      <c r="D1185" s="91"/>
      <c r="E1185" s="221"/>
      <c r="F1185" s="91"/>
      <c r="G1185" s="91"/>
      <c r="H1185" s="242"/>
      <c r="I1185" s="91"/>
      <c r="J1185" s="234"/>
      <c r="K1185" s="243"/>
      <c r="L1185" s="236"/>
      <c r="M1185" s="236"/>
      <c r="N1185" s="236"/>
      <c r="O1185" s="244"/>
      <c r="P1185" s="244"/>
      <c r="Q1185" s="234"/>
      <c r="R1185" s="234"/>
      <c r="S1185" s="238"/>
      <c r="T1185" s="239"/>
      <c r="U1185" s="238"/>
      <c r="V1185" s="238"/>
      <c r="W1185" s="234"/>
      <c r="X1185" s="234"/>
      <c r="Y1185" s="234"/>
      <c r="Z1185" s="234"/>
      <c r="AA1185" s="234"/>
    </row>
    <row r="1186" ht="15.75" customHeight="1">
      <c r="A1186" s="91"/>
      <c r="B1186" s="91"/>
      <c r="C1186" s="220"/>
      <c r="D1186" s="91"/>
      <c r="E1186" s="221"/>
      <c r="F1186" s="91"/>
      <c r="G1186" s="91"/>
      <c r="H1186" s="242"/>
      <c r="I1186" s="91"/>
      <c r="J1186" s="234"/>
      <c r="K1186" s="243"/>
      <c r="L1186" s="236"/>
      <c r="M1186" s="236"/>
      <c r="N1186" s="236"/>
      <c r="O1186" s="244"/>
      <c r="P1186" s="244"/>
      <c r="Q1186" s="234"/>
      <c r="R1186" s="234"/>
      <c r="S1186" s="238"/>
      <c r="T1186" s="239"/>
      <c r="U1186" s="238"/>
      <c r="V1186" s="238"/>
      <c r="W1186" s="234"/>
      <c r="X1186" s="234"/>
      <c r="Y1186" s="234"/>
      <c r="Z1186" s="234"/>
      <c r="AA1186" s="234"/>
    </row>
    <row r="1187" ht="15.75" customHeight="1">
      <c r="A1187" s="91"/>
      <c r="B1187" s="91"/>
      <c r="C1187" s="220"/>
      <c r="D1187" s="91"/>
      <c r="E1187" s="221"/>
      <c r="F1187" s="91"/>
      <c r="G1187" s="91"/>
      <c r="H1187" s="242"/>
      <c r="I1187" s="91"/>
      <c r="J1187" s="234"/>
      <c r="K1187" s="243"/>
      <c r="L1187" s="236"/>
      <c r="M1187" s="236"/>
      <c r="N1187" s="236"/>
      <c r="O1187" s="244"/>
      <c r="P1187" s="244"/>
      <c r="Q1187" s="234"/>
      <c r="R1187" s="234"/>
      <c r="S1187" s="238"/>
      <c r="T1187" s="239"/>
      <c r="U1187" s="238"/>
      <c r="V1187" s="238"/>
      <c r="W1187" s="234"/>
      <c r="X1187" s="234"/>
      <c r="Y1187" s="234"/>
      <c r="Z1187" s="234"/>
      <c r="AA1187" s="234"/>
    </row>
    <row r="1188" ht="15.75" customHeight="1">
      <c r="A1188" s="91"/>
      <c r="B1188" s="91"/>
      <c r="C1188" s="220"/>
      <c r="D1188" s="91"/>
      <c r="E1188" s="221"/>
      <c r="F1188" s="91"/>
      <c r="G1188" s="91"/>
      <c r="H1188" s="242"/>
      <c r="I1188" s="91"/>
      <c r="J1188" s="234"/>
      <c r="K1188" s="243"/>
      <c r="L1188" s="236"/>
      <c r="M1188" s="236"/>
      <c r="N1188" s="236"/>
      <c r="O1188" s="244"/>
      <c r="P1188" s="244"/>
      <c r="Q1188" s="234"/>
      <c r="R1188" s="234"/>
      <c r="S1188" s="238"/>
      <c r="T1188" s="239"/>
      <c r="U1188" s="238"/>
      <c r="V1188" s="238"/>
      <c r="W1188" s="234"/>
      <c r="X1188" s="234"/>
      <c r="Y1188" s="234"/>
      <c r="Z1188" s="234"/>
      <c r="AA1188" s="234"/>
    </row>
    <row r="1189" ht="15.75" customHeight="1">
      <c r="A1189" s="91"/>
      <c r="B1189" s="91"/>
      <c r="C1189" s="220"/>
      <c r="D1189" s="91"/>
      <c r="E1189" s="221"/>
      <c r="F1189" s="91"/>
      <c r="G1189" s="91"/>
      <c r="H1189" s="242"/>
      <c r="I1189" s="91"/>
      <c r="J1189" s="234"/>
      <c r="K1189" s="243"/>
      <c r="L1189" s="236"/>
      <c r="M1189" s="236"/>
      <c r="N1189" s="236"/>
      <c r="O1189" s="244"/>
      <c r="P1189" s="244"/>
      <c r="Q1189" s="234"/>
      <c r="R1189" s="234"/>
      <c r="S1189" s="238"/>
      <c r="T1189" s="239"/>
      <c r="U1189" s="238"/>
      <c r="V1189" s="238"/>
      <c r="W1189" s="234"/>
      <c r="X1189" s="234"/>
      <c r="Y1189" s="234"/>
      <c r="Z1189" s="234"/>
      <c r="AA1189" s="234"/>
    </row>
    <row r="1190" ht="15.75" customHeight="1">
      <c r="A1190" s="91"/>
      <c r="B1190" s="91"/>
      <c r="C1190" s="220"/>
      <c r="D1190" s="91"/>
      <c r="E1190" s="221"/>
      <c r="F1190" s="91"/>
      <c r="G1190" s="91"/>
      <c r="H1190" s="242"/>
      <c r="I1190" s="91"/>
      <c r="J1190" s="234"/>
      <c r="K1190" s="243"/>
      <c r="L1190" s="236"/>
      <c r="M1190" s="236"/>
      <c r="N1190" s="236"/>
      <c r="O1190" s="244"/>
      <c r="P1190" s="244"/>
      <c r="Q1190" s="234"/>
      <c r="R1190" s="234"/>
      <c r="S1190" s="238"/>
      <c r="T1190" s="239"/>
      <c r="U1190" s="238"/>
      <c r="V1190" s="238"/>
      <c r="W1190" s="234"/>
      <c r="X1190" s="234"/>
      <c r="Y1190" s="234"/>
      <c r="Z1190" s="234"/>
      <c r="AA1190" s="234"/>
    </row>
    <row r="1191" ht="15.75" customHeight="1">
      <c r="A1191" s="91"/>
      <c r="B1191" s="91"/>
      <c r="C1191" s="220"/>
      <c r="D1191" s="91"/>
      <c r="E1191" s="221"/>
      <c r="F1191" s="91"/>
      <c r="G1191" s="91"/>
      <c r="H1191" s="242"/>
      <c r="I1191" s="91"/>
      <c r="J1191" s="234"/>
      <c r="K1191" s="243"/>
      <c r="L1191" s="236"/>
      <c r="M1191" s="236"/>
      <c r="N1191" s="236"/>
      <c r="O1191" s="244"/>
      <c r="P1191" s="244"/>
      <c r="Q1191" s="234"/>
      <c r="R1191" s="234"/>
      <c r="S1191" s="238"/>
      <c r="T1191" s="239"/>
      <c r="U1191" s="238"/>
      <c r="V1191" s="238"/>
      <c r="W1191" s="234"/>
      <c r="X1191" s="234"/>
      <c r="Y1191" s="234"/>
      <c r="Z1191" s="234"/>
      <c r="AA1191" s="234"/>
    </row>
    <row r="1192" ht="15.75" customHeight="1">
      <c r="A1192" s="91"/>
      <c r="B1192" s="91"/>
      <c r="C1192" s="220"/>
      <c r="D1192" s="91"/>
      <c r="E1192" s="221"/>
      <c r="F1192" s="91"/>
      <c r="G1192" s="91"/>
      <c r="H1192" s="242"/>
      <c r="I1192" s="91"/>
      <c r="J1192" s="234"/>
      <c r="K1192" s="243"/>
      <c r="L1192" s="236"/>
      <c r="M1192" s="236"/>
      <c r="N1192" s="236"/>
      <c r="O1192" s="244"/>
      <c r="P1192" s="244"/>
      <c r="Q1192" s="234"/>
      <c r="R1192" s="234"/>
      <c r="S1192" s="238"/>
      <c r="T1192" s="239"/>
      <c r="U1192" s="238"/>
      <c r="V1192" s="238"/>
      <c r="W1192" s="234"/>
      <c r="X1192" s="234"/>
      <c r="Y1192" s="234"/>
      <c r="Z1192" s="234"/>
      <c r="AA1192" s="234"/>
    </row>
    <row r="1193" ht="15.75" customHeight="1">
      <c r="A1193" s="91"/>
      <c r="B1193" s="91"/>
      <c r="C1193" s="220"/>
      <c r="D1193" s="91"/>
      <c r="E1193" s="221"/>
      <c r="F1193" s="91"/>
      <c r="G1193" s="91"/>
      <c r="H1193" s="242"/>
      <c r="I1193" s="91"/>
      <c r="J1193" s="234"/>
      <c r="K1193" s="243"/>
      <c r="L1193" s="236"/>
      <c r="M1193" s="236"/>
      <c r="N1193" s="236"/>
      <c r="O1193" s="244"/>
      <c r="P1193" s="244"/>
      <c r="Q1193" s="234"/>
      <c r="R1193" s="234"/>
      <c r="S1193" s="238"/>
      <c r="T1193" s="239"/>
      <c r="U1193" s="238"/>
      <c r="V1193" s="238"/>
      <c r="W1193" s="234"/>
      <c r="X1193" s="234"/>
      <c r="Y1193" s="234"/>
      <c r="Z1193" s="234"/>
      <c r="AA1193" s="234"/>
    </row>
    <row r="1194" ht="15.75" customHeight="1">
      <c r="A1194" s="91"/>
      <c r="B1194" s="91"/>
      <c r="C1194" s="220"/>
      <c r="D1194" s="91"/>
      <c r="E1194" s="221"/>
      <c r="F1194" s="91"/>
      <c r="G1194" s="91"/>
      <c r="H1194" s="242"/>
      <c r="I1194" s="91"/>
      <c r="J1194" s="234"/>
      <c r="K1194" s="243"/>
      <c r="L1194" s="236"/>
      <c r="M1194" s="236"/>
      <c r="N1194" s="236"/>
      <c r="O1194" s="244"/>
      <c r="P1194" s="244"/>
      <c r="Q1194" s="234"/>
      <c r="R1194" s="234"/>
      <c r="S1194" s="238"/>
      <c r="T1194" s="239"/>
      <c r="U1194" s="238"/>
      <c r="V1194" s="238"/>
      <c r="W1194" s="234"/>
      <c r="X1194" s="234"/>
      <c r="Y1194" s="234"/>
      <c r="Z1194" s="234"/>
      <c r="AA1194" s="234"/>
    </row>
    <row r="1195" ht="15.75" customHeight="1">
      <c r="A1195" s="91"/>
      <c r="B1195" s="91"/>
      <c r="C1195" s="220"/>
      <c r="D1195" s="91"/>
      <c r="E1195" s="221"/>
      <c r="F1195" s="91"/>
      <c r="G1195" s="91"/>
      <c r="H1195" s="242"/>
      <c r="I1195" s="91"/>
      <c r="J1195" s="234"/>
      <c r="K1195" s="243"/>
      <c r="L1195" s="236"/>
      <c r="M1195" s="236"/>
      <c r="N1195" s="236"/>
      <c r="O1195" s="244"/>
      <c r="P1195" s="244"/>
      <c r="Q1195" s="234"/>
      <c r="R1195" s="234"/>
      <c r="S1195" s="238"/>
      <c r="T1195" s="239"/>
      <c r="U1195" s="238"/>
      <c r="V1195" s="238"/>
      <c r="W1195" s="234"/>
      <c r="X1195" s="234"/>
      <c r="Y1195" s="234"/>
      <c r="Z1195" s="234"/>
      <c r="AA1195" s="234"/>
    </row>
    <row r="1196" ht="15.75" customHeight="1">
      <c r="A1196" s="91"/>
      <c r="B1196" s="91"/>
      <c r="C1196" s="220"/>
      <c r="D1196" s="91"/>
      <c r="E1196" s="221"/>
      <c r="F1196" s="91"/>
      <c r="G1196" s="91"/>
      <c r="H1196" s="242"/>
      <c r="I1196" s="91"/>
      <c r="J1196" s="234"/>
      <c r="K1196" s="243"/>
      <c r="L1196" s="236"/>
      <c r="M1196" s="236"/>
      <c r="N1196" s="236"/>
      <c r="O1196" s="244"/>
      <c r="P1196" s="244"/>
      <c r="Q1196" s="234"/>
      <c r="R1196" s="234"/>
      <c r="S1196" s="238"/>
      <c r="T1196" s="239"/>
      <c r="U1196" s="238"/>
      <c r="V1196" s="238"/>
      <c r="W1196" s="234"/>
      <c r="X1196" s="234"/>
      <c r="Y1196" s="234"/>
      <c r="Z1196" s="234"/>
      <c r="AA1196" s="234"/>
    </row>
    <row r="1197" ht="15.75" customHeight="1">
      <c r="A1197" s="91"/>
      <c r="B1197" s="91"/>
      <c r="C1197" s="220"/>
      <c r="D1197" s="91"/>
      <c r="E1197" s="221"/>
      <c r="F1197" s="91"/>
      <c r="G1197" s="91"/>
      <c r="H1197" s="242"/>
      <c r="I1197" s="91"/>
      <c r="J1197" s="234"/>
      <c r="K1197" s="243"/>
      <c r="L1197" s="236"/>
      <c r="M1197" s="236"/>
      <c r="N1197" s="236"/>
      <c r="O1197" s="244"/>
      <c r="P1197" s="244"/>
      <c r="Q1197" s="234"/>
      <c r="R1197" s="234"/>
      <c r="S1197" s="238"/>
      <c r="T1197" s="239"/>
      <c r="U1197" s="238"/>
      <c r="V1197" s="238"/>
      <c r="W1197" s="234"/>
      <c r="X1197" s="234"/>
      <c r="Y1197" s="234"/>
      <c r="Z1197" s="234"/>
      <c r="AA1197" s="234"/>
    </row>
    <row r="1198" ht="15.75" customHeight="1">
      <c r="A1198" s="91"/>
      <c r="B1198" s="91"/>
      <c r="C1198" s="220"/>
      <c r="D1198" s="91"/>
      <c r="E1198" s="221"/>
      <c r="F1198" s="91"/>
      <c r="G1198" s="91"/>
      <c r="H1198" s="242"/>
      <c r="I1198" s="91"/>
      <c r="J1198" s="234"/>
      <c r="K1198" s="243"/>
      <c r="L1198" s="236"/>
      <c r="M1198" s="236"/>
      <c r="N1198" s="236"/>
      <c r="O1198" s="244"/>
      <c r="P1198" s="244"/>
      <c r="Q1198" s="234"/>
      <c r="R1198" s="234"/>
      <c r="S1198" s="238"/>
      <c r="T1198" s="239"/>
      <c r="U1198" s="238"/>
      <c r="V1198" s="238"/>
      <c r="W1198" s="234"/>
      <c r="X1198" s="234"/>
      <c r="Y1198" s="234"/>
      <c r="Z1198" s="234"/>
      <c r="AA1198" s="234"/>
    </row>
    <row r="1199" ht="15.75" customHeight="1">
      <c r="A1199" s="91"/>
      <c r="B1199" s="91"/>
      <c r="C1199" s="220"/>
      <c r="D1199" s="91"/>
      <c r="E1199" s="221"/>
      <c r="F1199" s="91"/>
      <c r="G1199" s="91"/>
      <c r="H1199" s="242"/>
      <c r="I1199" s="91"/>
      <c r="J1199" s="234"/>
      <c r="K1199" s="243"/>
      <c r="L1199" s="236"/>
      <c r="M1199" s="236"/>
      <c r="N1199" s="236"/>
      <c r="O1199" s="244"/>
      <c r="P1199" s="244"/>
      <c r="Q1199" s="234"/>
      <c r="R1199" s="234"/>
      <c r="S1199" s="238"/>
      <c r="T1199" s="239"/>
      <c r="U1199" s="238"/>
      <c r="V1199" s="238"/>
      <c r="W1199" s="234"/>
      <c r="X1199" s="234"/>
      <c r="Y1199" s="234"/>
      <c r="Z1199" s="234"/>
      <c r="AA1199" s="234"/>
    </row>
    <row r="1200" ht="15.75" customHeight="1">
      <c r="A1200" s="91"/>
      <c r="B1200" s="91"/>
      <c r="C1200" s="220"/>
      <c r="D1200" s="91"/>
      <c r="E1200" s="221"/>
      <c r="F1200" s="91"/>
      <c r="G1200" s="91"/>
      <c r="H1200" s="242"/>
      <c r="I1200" s="91"/>
      <c r="J1200" s="234"/>
      <c r="K1200" s="243"/>
      <c r="L1200" s="236"/>
      <c r="M1200" s="236"/>
      <c r="N1200" s="236"/>
      <c r="O1200" s="244"/>
      <c r="P1200" s="244"/>
      <c r="Q1200" s="234"/>
      <c r="R1200" s="234"/>
      <c r="S1200" s="238"/>
      <c r="T1200" s="239"/>
      <c r="U1200" s="238"/>
      <c r="V1200" s="238"/>
      <c r="W1200" s="234"/>
      <c r="X1200" s="234"/>
      <c r="Y1200" s="234"/>
      <c r="Z1200" s="234"/>
      <c r="AA1200" s="234"/>
    </row>
    <row r="1201" ht="15.75" customHeight="1">
      <c r="A1201" s="91"/>
      <c r="B1201" s="91"/>
      <c r="C1201" s="220"/>
      <c r="D1201" s="91"/>
      <c r="E1201" s="221"/>
      <c r="F1201" s="91"/>
      <c r="G1201" s="91"/>
      <c r="H1201" s="242"/>
      <c r="I1201" s="91"/>
      <c r="J1201" s="234"/>
      <c r="K1201" s="243"/>
      <c r="L1201" s="236"/>
      <c r="M1201" s="236"/>
      <c r="N1201" s="236"/>
      <c r="O1201" s="244"/>
      <c r="P1201" s="244"/>
      <c r="Q1201" s="234"/>
      <c r="R1201" s="234"/>
      <c r="S1201" s="238"/>
      <c r="T1201" s="239"/>
      <c r="U1201" s="238"/>
      <c r="V1201" s="238"/>
      <c r="W1201" s="234"/>
      <c r="X1201" s="234"/>
      <c r="Y1201" s="234"/>
      <c r="Z1201" s="234"/>
      <c r="AA1201" s="234"/>
    </row>
    <row r="1202" ht="15.75" customHeight="1">
      <c r="A1202" s="91"/>
      <c r="B1202" s="91"/>
      <c r="C1202" s="220"/>
      <c r="D1202" s="91"/>
      <c r="E1202" s="221"/>
      <c r="F1202" s="91"/>
      <c r="G1202" s="91"/>
      <c r="H1202" s="242"/>
      <c r="I1202" s="91"/>
      <c r="J1202" s="234"/>
      <c r="K1202" s="243"/>
      <c r="L1202" s="236"/>
      <c r="M1202" s="236"/>
      <c r="N1202" s="236"/>
      <c r="O1202" s="244"/>
      <c r="P1202" s="244"/>
      <c r="Q1202" s="234"/>
      <c r="R1202" s="234"/>
      <c r="S1202" s="238"/>
      <c r="T1202" s="239"/>
      <c r="U1202" s="238"/>
      <c r="V1202" s="238"/>
      <c r="W1202" s="234"/>
      <c r="X1202" s="234"/>
      <c r="Y1202" s="234"/>
      <c r="Z1202" s="234"/>
      <c r="AA1202" s="234"/>
    </row>
    <row r="1203" ht="15.75" customHeight="1">
      <c r="A1203" s="91"/>
      <c r="B1203" s="91"/>
      <c r="C1203" s="220"/>
      <c r="D1203" s="91"/>
      <c r="E1203" s="221"/>
      <c r="F1203" s="91"/>
      <c r="G1203" s="91"/>
      <c r="H1203" s="242"/>
      <c r="I1203" s="91"/>
      <c r="J1203" s="234"/>
      <c r="K1203" s="243"/>
      <c r="L1203" s="236"/>
      <c r="M1203" s="236"/>
      <c r="N1203" s="236"/>
      <c r="O1203" s="244"/>
      <c r="P1203" s="244"/>
      <c r="Q1203" s="234"/>
      <c r="R1203" s="234"/>
      <c r="S1203" s="238"/>
      <c r="T1203" s="239"/>
      <c r="U1203" s="238"/>
      <c r="V1203" s="238"/>
      <c r="W1203" s="234"/>
      <c r="X1203" s="234"/>
      <c r="Y1203" s="234"/>
      <c r="Z1203" s="234"/>
      <c r="AA1203" s="234"/>
    </row>
    <row r="1204" ht="15.75" customHeight="1">
      <c r="A1204" s="91"/>
      <c r="B1204" s="91"/>
      <c r="C1204" s="220"/>
      <c r="D1204" s="91"/>
      <c r="E1204" s="221"/>
      <c r="F1204" s="91"/>
      <c r="G1204" s="91"/>
      <c r="H1204" s="242"/>
      <c r="I1204" s="91"/>
      <c r="J1204" s="234"/>
      <c r="K1204" s="243"/>
      <c r="L1204" s="236"/>
      <c r="M1204" s="236"/>
      <c r="N1204" s="236"/>
      <c r="O1204" s="244"/>
      <c r="P1204" s="244"/>
      <c r="Q1204" s="234"/>
      <c r="R1204" s="234"/>
      <c r="S1204" s="238"/>
      <c r="T1204" s="239"/>
      <c r="U1204" s="238"/>
      <c r="V1204" s="238"/>
      <c r="W1204" s="234"/>
      <c r="X1204" s="234"/>
      <c r="Y1204" s="234"/>
      <c r="Z1204" s="234"/>
      <c r="AA1204" s="234"/>
    </row>
    <row r="1205" ht="15.75" customHeight="1">
      <c r="A1205" s="91"/>
      <c r="B1205" s="91"/>
      <c r="C1205" s="220"/>
      <c r="D1205" s="91"/>
      <c r="E1205" s="221"/>
      <c r="F1205" s="91"/>
      <c r="G1205" s="91"/>
      <c r="H1205" s="242"/>
      <c r="I1205" s="91"/>
      <c r="J1205" s="234"/>
      <c r="K1205" s="243"/>
      <c r="L1205" s="236"/>
      <c r="M1205" s="236"/>
      <c r="N1205" s="236"/>
      <c r="O1205" s="244"/>
      <c r="P1205" s="244"/>
      <c r="Q1205" s="234"/>
      <c r="R1205" s="234"/>
      <c r="S1205" s="238"/>
      <c r="T1205" s="239"/>
      <c r="U1205" s="238"/>
      <c r="V1205" s="238"/>
      <c r="W1205" s="234"/>
      <c r="X1205" s="234"/>
      <c r="Y1205" s="234"/>
      <c r="Z1205" s="234"/>
      <c r="AA1205" s="234"/>
    </row>
    <row r="1206" ht="15.75" customHeight="1">
      <c r="A1206" s="91"/>
      <c r="B1206" s="91"/>
      <c r="C1206" s="220"/>
      <c r="D1206" s="91"/>
      <c r="E1206" s="221"/>
      <c r="F1206" s="91"/>
      <c r="G1206" s="91"/>
      <c r="H1206" s="242"/>
      <c r="I1206" s="91"/>
      <c r="J1206" s="234"/>
      <c r="K1206" s="243"/>
      <c r="L1206" s="236"/>
      <c r="M1206" s="236"/>
      <c r="N1206" s="236"/>
      <c r="O1206" s="244"/>
      <c r="P1206" s="244"/>
      <c r="Q1206" s="234"/>
      <c r="R1206" s="234"/>
      <c r="S1206" s="238"/>
      <c r="T1206" s="239"/>
      <c r="U1206" s="238"/>
      <c r="V1206" s="238"/>
      <c r="W1206" s="234"/>
      <c r="X1206" s="234"/>
      <c r="Y1206" s="234"/>
      <c r="Z1206" s="234"/>
      <c r="AA1206" s="234"/>
    </row>
    <row r="1207" ht="15.75" customHeight="1">
      <c r="A1207" s="91"/>
      <c r="B1207" s="91"/>
      <c r="C1207" s="220"/>
      <c r="D1207" s="91"/>
      <c r="E1207" s="221"/>
      <c r="F1207" s="91"/>
      <c r="G1207" s="91"/>
      <c r="H1207" s="242"/>
      <c r="I1207" s="91"/>
      <c r="J1207" s="234"/>
      <c r="K1207" s="243"/>
      <c r="L1207" s="236"/>
      <c r="M1207" s="236"/>
      <c r="N1207" s="236"/>
      <c r="O1207" s="244"/>
      <c r="P1207" s="244"/>
      <c r="Q1207" s="234"/>
      <c r="R1207" s="234"/>
      <c r="S1207" s="238"/>
      <c r="T1207" s="239"/>
      <c r="U1207" s="238"/>
      <c r="V1207" s="238"/>
      <c r="W1207" s="234"/>
      <c r="X1207" s="234"/>
      <c r="Y1207" s="234"/>
      <c r="Z1207" s="234"/>
      <c r="AA1207" s="234"/>
    </row>
    <row r="1208" ht="15.75" customHeight="1">
      <c r="A1208" s="91"/>
      <c r="B1208" s="91"/>
      <c r="C1208" s="220"/>
      <c r="D1208" s="91"/>
      <c r="E1208" s="221"/>
      <c r="F1208" s="91"/>
      <c r="G1208" s="91"/>
      <c r="H1208" s="242"/>
      <c r="I1208" s="91"/>
      <c r="J1208" s="234"/>
      <c r="K1208" s="243"/>
      <c r="L1208" s="236"/>
      <c r="M1208" s="236"/>
      <c r="N1208" s="236"/>
      <c r="O1208" s="244"/>
      <c r="P1208" s="244"/>
      <c r="Q1208" s="234"/>
      <c r="R1208" s="234"/>
      <c r="S1208" s="238"/>
      <c r="T1208" s="239"/>
      <c r="U1208" s="238"/>
      <c r="V1208" s="238"/>
      <c r="W1208" s="234"/>
      <c r="X1208" s="234"/>
      <c r="Y1208" s="234"/>
      <c r="Z1208" s="234"/>
      <c r="AA1208" s="234"/>
    </row>
    <row r="1209" ht="15.75" customHeight="1">
      <c r="A1209" s="91"/>
      <c r="B1209" s="91"/>
      <c r="C1209" s="220"/>
      <c r="D1209" s="91"/>
      <c r="E1209" s="221"/>
      <c r="F1209" s="91"/>
      <c r="G1209" s="91"/>
      <c r="H1209" s="242"/>
      <c r="I1209" s="91"/>
      <c r="J1209" s="234"/>
      <c r="K1209" s="243"/>
      <c r="L1209" s="236"/>
      <c r="M1209" s="236"/>
      <c r="N1209" s="236"/>
      <c r="O1209" s="244"/>
      <c r="P1209" s="244"/>
      <c r="Q1209" s="234"/>
      <c r="R1209" s="234"/>
      <c r="S1209" s="238"/>
      <c r="T1209" s="239"/>
      <c r="U1209" s="238"/>
      <c r="V1209" s="238"/>
      <c r="W1209" s="234"/>
      <c r="X1209" s="234"/>
      <c r="Y1209" s="234"/>
      <c r="Z1209" s="234"/>
      <c r="AA1209" s="234"/>
    </row>
    <row r="1210" ht="15.75" customHeight="1">
      <c r="A1210" s="91"/>
      <c r="B1210" s="91"/>
      <c r="C1210" s="220"/>
      <c r="D1210" s="91"/>
      <c r="E1210" s="221"/>
      <c r="F1210" s="91"/>
      <c r="G1210" s="91"/>
      <c r="H1210" s="242"/>
      <c r="I1210" s="91"/>
      <c r="J1210" s="234"/>
      <c r="K1210" s="243"/>
      <c r="L1210" s="236"/>
      <c r="M1210" s="236"/>
      <c r="N1210" s="236"/>
      <c r="O1210" s="244"/>
      <c r="P1210" s="244"/>
      <c r="Q1210" s="234"/>
      <c r="R1210" s="234"/>
      <c r="S1210" s="238"/>
      <c r="T1210" s="239"/>
      <c r="U1210" s="238"/>
      <c r="V1210" s="238"/>
      <c r="W1210" s="234"/>
      <c r="X1210" s="234"/>
      <c r="Y1210" s="234"/>
      <c r="Z1210" s="234"/>
      <c r="AA1210" s="234"/>
    </row>
    <row r="1211" ht="15.75" customHeight="1">
      <c r="A1211" s="91"/>
      <c r="B1211" s="91"/>
      <c r="C1211" s="220"/>
      <c r="D1211" s="91"/>
      <c r="E1211" s="221"/>
      <c r="F1211" s="91"/>
      <c r="G1211" s="91"/>
      <c r="H1211" s="242"/>
      <c r="I1211" s="91"/>
      <c r="J1211" s="234"/>
      <c r="K1211" s="243"/>
      <c r="L1211" s="236"/>
      <c r="M1211" s="236"/>
      <c r="N1211" s="236"/>
      <c r="O1211" s="244"/>
      <c r="P1211" s="244"/>
      <c r="Q1211" s="234"/>
      <c r="R1211" s="234"/>
      <c r="S1211" s="238"/>
      <c r="T1211" s="239"/>
      <c r="U1211" s="238"/>
      <c r="V1211" s="238"/>
      <c r="W1211" s="234"/>
      <c r="X1211" s="234"/>
      <c r="Y1211" s="234"/>
      <c r="Z1211" s="234"/>
      <c r="AA1211" s="234"/>
    </row>
    <row r="1212" ht="15.75" customHeight="1">
      <c r="A1212" s="91"/>
      <c r="B1212" s="91"/>
      <c r="C1212" s="220"/>
      <c r="D1212" s="91"/>
      <c r="E1212" s="221"/>
      <c r="F1212" s="91"/>
      <c r="G1212" s="91"/>
      <c r="H1212" s="242"/>
      <c r="I1212" s="91"/>
      <c r="J1212" s="234"/>
      <c r="K1212" s="243"/>
      <c r="L1212" s="236"/>
      <c r="M1212" s="236"/>
      <c r="N1212" s="236"/>
      <c r="O1212" s="244"/>
      <c r="P1212" s="244"/>
      <c r="Q1212" s="234"/>
      <c r="R1212" s="234"/>
      <c r="S1212" s="238"/>
      <c r="T1212" s="239"/>
      <c r="U1212" s="238"/>
      <c r="V1212" s="238"/>
      <c r="W1212" s="234"/>
      <c r="X1212" s="234"/>
      <c r="Y1212" s="234"/>
      <c r="Z1212" s="234"/>
      <c r="AA1212" s="234"/>
    </row>
    <row r="1213" ht="15.75" customHeight="1">
      <c r="A1213" s="91"/>
      <c r="B1213" s="91"/>
      <c r="C1213" s="220"/>
      <c r="D1213" s="91"/>
      <c r="E1213" s="221"/>
      <c r="F1213" s="91"/>
      <c r="G1213" s="91"/>
      <c r="H1213" s="242"/>
      <c r="I1213" s="91"/>
      <c r="J1213" s="234"/>
      <c r="K1213" s="243"/>
      <c r="L1213" s="236"/>
      <c r="M1213" s="236"/>
      <c r="N1213" s="236"/>
      <c r="O1213" s="244"/>
      <c r="P1213" s="244"/>
      <c r="Q1213" s="234"/>
      <c r="R1213" s="234"/>
      <c r="S1213" s="238"/>
      <c r="T1213" s="239"/>
      <c r="U1213" s="238"/>
      <c r="V1213" s="238"/>
      <c r="W1213" s="234"/>
      <c r="X1213" s="234"/>
      <c r="Y1213" s="234"/>
      <c r="Z1213" s="234"/>
      <c r="AA1213" s="234"/>
    </row>
    <row r="1214" ht="15.75" customHeight="1">
      <c r="A1214" s="91"/>
      <c r="B1214" s="91"/>
      <c r="C1214" s="220"/>
      <c r="D1214" s="91"/>
      <c r="E1214" s="221"/>
      <c r="F1214" s="91"/>
      <c r="G1214" s="91"/>
      <c r="H1214" s="242"/>
      <c r="I1214" s="91"/>
      <c r="J1214" s="234"/>
      <c r="K1214" s="243"/>
      <c r="L1214" s="236"/>
      <c r="M1214" s="236"/>
      <c r="N1214" s="236"/>
      <c r="O1214" s="244"/>
      <c r="P1214" s="244"/>
      <c r="Q1214" s="234"/>
      <c r="R1214" s="234"/>
      <c r="S1214" s="238"/>
      <c r="T1214" s="239"/>
      <c r="U1214" s="238"/>
      <c r="V1214" s="238"/>
      <c r="W1214" s="234"/>
      <c r="X1214" s="234"/>
      <c r="Y1214" s="234"/>
      <c r="Z1214" s="234"/>
      <c r="AA1214" s="234"/>
    </row>
    <row r="1215" ht="15.75" customHeight="1">
      <c r="A1215" s="91"/>
      <c r="B1215" s="91"/>
      <c r="C1215" s="220"/>
      <c r="D1215" s="91"/>
      <c r="E1215" s="221"/>
      <c r="F1215" s="91"/>
      <c r="G1215" s="91"/>
      <c r="H1215" s="242"/>
      <c r="I1215" s="91"/>
      <c r="J1215" s="234"/>
      <c r="K1215" s="243"/>
      <c r="L1215" s="236"/>
      <c r="M1215" s="236"/>
      <c r="N1215" s="236"/>
      <c r="O1215" s="244"/>
      <c r="P1215" s="244"/>
      <c r="Q1215" s="234"/>
      <c r="R1215" s="234"/>
      <c r="S1215" s="238"/>
      <c r="T1215" s="239"/>
      <c r="U1215" s="238"/>
      <c r="V1215" s="238"/>
      <c r="W1215" s="234"/>
      <c r="X1215" s="234"/>
      <c r="Y1215" s="234"/>
      <c r="Z1215" s="234"/>
      <c r="AA1215" s="234"/>
    </row>
    <row r="1216" ht="15.75" customHeight="1">
      <c r="A1216" s="91"/>
      <c r="B1216" s="91"/>
      <c r="C1216" s="220"/>
      <c r="D1216" s="91"/>
      <c r="E1216" s="221"/>
      <c r="F1216" s="91"/>
      <c r="G1216" s="91"/>
      <c r="H1216" s="242"/>
      <c r="I1216" s="91"/>
      <c r="J1216" s="234"/>
      <c r="K1216" s="243"/>
      <c r="L1216" s="236"/>
      <c r="M1216" s="236"/>
      <c r="N1216" s="236"/>
      <c r="O1216" s="244"/>
      <c r="P1216" s="244"/>
      <c r="Q1216" s="234"/>
      <c r="R1216" s="234"/>
      <c r="S1216" s="238"/>
      <c r="T1216" s="239"/>
      <c r="U1216" s="238"/>
      <c r="V1216" s="238"/>
      <c r="W1216" s="234"/>
      <c r="X1216" s="234"/>
      <c r="Y1216" s="234"/>
      <c r="Z1216" s="234"/>
      <c r="AA1216" s="234"/>
    </row>
    <row r="1217" ht="15.75" customHeight="1">
      <c r="A1217" s="91"/>
      <c r="B1217" s="91"/>
      <c r="C1217" s="220"/>
      <c r="D1217" s="91"/>
      <c r="E1217" s="221"/>
      <c r="F1217" s="91"/>
      <c r="G1217" s="91"/>
      <c r="H1217" s="242"/>
      <c r="I1217" s="91"/>
      <c r="J1217" s="234"/>
      <c r="K1217" s="243"/>
      <c r="L1217" s="236"/>
      <c r="M1217" s="236"/>
      <c r="N1217" s="236"/>
      <c r="O1217" s="244"/>
      <c r="P1217" s="244"/>
      <c r="Q1217" s="234"/>
      <c r="R1217" s="234"/>
      <c r="S1217" s="238"/>
      <c r="T1217" s="239"/>
      <c r="U1217" s="238"/>
      <c r="V1217" s="238"/>
      <c r="W1217" s="234"/>
      <c r="X1217" s="234"/>
      <c r="Y1217" s="234"/>
      <c r="Z1217" s="234"/>
      <c r="AA1217" s="234"/>
    </row>
    <row r="1218" ht="15.75" customHeight="1">
      <c r="A1218" s="91"/>
      <c r="B1218" s="91"/>
      <c r="C1218" s="220"/>
      <c r="D1218" s="91"/>
      <c r="E1218" s="221"/>
      <c r="F1218" s="91"/>
      <c r="G1218" s="91"/>
      <c r="H1218" s="242"/>
      <c r="I1218" s="91"/>
      <c r="J1218" s="234"/>
      <c r="K1218" s="243"/>
      <c r="L1218" s="236"/>
      <c r="M1218" s="236"/>
      <c r="N1218" s="236"/>
      <c r="O1218" s="244"/>
      <c r="P1218" s="244"/>
      <c r="Q1218" s="234"/>
      <c r="R1218" s="234"/>
      <c r="S1218" s="238"/>
      <c r="T1218" s="239"/>
      <c r="U1218" s="238"/>
      <c r="V1218" s="238"/>
      <c r="W1218" s="234"/>
      <c r="X1218" s="234"/>
      <c r="Y1218" s="234"/>
      <c r="Z1218" s="234"/>
      <c r="AA1218" s="234"/>
    </row>
    <row r="1219" ht="15.75" customHeight="1">
      <c r="A1219" s="91"/>
      <c r="B1219" s="91"/>
      <c r="C1219" s="220"/>
      <c r="D1219" s="91"/>
      <c r="E1219" s="221"/>
      <c r="F1219" s="91"/>
      <c r="G1219" s="91"/>
      <c r="H1219" s="242"/>
      <c r="I1219" s="91"/>
      <c r="J1219" s="234"/>
      <c r="K1219" s="243"/>
      <c r="L1219" s="236"/>
      <c r="M1219" s="236"/>
      <c r="N1219" s="236"/>
      <c r="O1219" s="244"/>
      <c r="P1219" s="244"/>
      <c r="Q1219" s="234"/>
      <c r="R1219" s="234"/>
      <c r="S1219" s="238"/>
      <c r="T1219" s="239"/>
      <c r="U1219" s="238"/>
      <c r="V1219" s="238"/>
      <c r="W1219" s="234"/>
      <c r="X1219" s="234"/>
      <c r="Y1219" s="234"/>
      <c r="Z1219" s="234"/>
      <c r="AA1219" s="234"/>
    </row>
    <row r="1220" ht="15.75" customHeight="1">
      <c r="A1220" s="91"/>
      <c r="B1220" s="91"/>
      <c r="C1220" s="220"/>
      <c r="D1220" s="91"/>
      <c r="E1220" s="221"/>
      <c r="F1220" s="91"/>
      <c r="G1220" s="91"/>
      <c r="H1220" s="242"/>
      <c r="I1220" s="91"/>
      <c r="J1220" s="234"/>
      <c r="K1220" s="243"/>
      <c r="L1220" s="236"/>
      <c r="M1220" s="236"/>
      <c r="N1220" s="236"/>
      <c r="O1220" s="244"/>
      <c r="P1220" s="244"/>
      <c r="Q1220" s="234"/>
      <c r="R1220" s="234"/>
      <c r="S1220" s="238"/>
      <c r="T1220" s="239"/>
      <c r="U1220" s="238"/>
      <c r="V1220" s="238"/>
      <c r="W1220" s="234"/>
      <c r="X1220" s="234"/>
      <c r="Y1220" s="234"/>
      <c r="Z1220" s="234"/>
      <c r="AA1220" s="234"/>
    </row>
    <row r="1221" ht="15.75" customHeight="1">
      <c r="A1221" s="91"/>
      <c r="B1221" s="91"/>
      <c r="C1221" s="220"/>
      <c r="D1221" s="91"/>
      <c r="E1221" s="221"/>
      <c r="F1221" s="91"/>
      <c r="G1221" s="91"/>
      <c r="H1221" s="242"/>
      <c r="I1221" s="91"/>
      <c r="J1221" s="234"/>
      <c r="K1221" s="243"/>
      <c r="L1221" s="236"/>
      <c r="M1221" s="236"/>
      <c r="N1221" s="236"/>
      <c r="O1221" s="244"/>
      <c r="P1221" s="244"/>
      <c r="Q1221" s="234"/>
      <c r="R1221" s="234"/>
      <c r="S1221" s="238"/>
      <c r="T1221" s="239"/>
      <c r="U1221" s="238"/>
      <c r="V1221" s="238"/>
      <c r="W1221" s="234"/>
      <c r="X1221" s="234"/>
      <c r="Y1221" s="234"/>
      <c r="Z1221" s="234"/>
      <c r="AA1221" s="234"/>
    </row>
    <row r="1222" ht="15.75" customHeight="1">
      <c r="A1222" s="91"/>
      <c r="B1222" s="91"/>
      <c r="C1222" s="220"/>
      <c r="D1222" s="91"/>
      <c r="E1222" s="221"/>
      <c r="F1222" s="91"/>
      <c r="G1222" s="91"/>
      <c r="H1222" s="242"/>
      <c r="I1222" s="91"/>
      <c r="J1222" s="234"/>
      <c r="K1222" s="243"/>
      <c r="L1222" s="236"/>
      <c r="M1222" s="236"/>
      <c r="N1222" s="236"/>
      <c r="O1222" s="244"/>
      <c r="P1222" s="244"/>
      <c r="Q1222" s="234"/>
      <c r="R1222" s="234"/>
      <c r="S1222" s="238"/>
      <c r="T1222" s="239"/>
      <c r="U1222" s="238"/>
      <c r="V1222" s="238"/>
      <c r="W1222" s="234"/>
      <c r="X1222" s="234"/>
      <c r="Y1222" s="234"/>
      <c r="Z1222" s="234"/>
      <c r="AA1222" s="234"/>
    </row>
    <row r="1223" ht="15.75" customHeight="1">
      <c r="A1223" s="91"/>
      <c r="B1223" s="91"/>
      <c r="C1223" s="220"/>
      <c r="D1223" s="91"/>
      <c r="E1223" s="221"/>
      <c r="F1223" s="91"/>
      <c r="G1223" s="91"/>
      <c r="H1223" s="242"/>
      <c r="I1223" s="91"/>
      <c r="J1223" s="234"/>
      <c r="K1223" s="243"/>
      <c r="L1223" s="236"/>
      <c r="M1223" s="236"/>
      <c r="N1223" s="236"/>
      <c r="O1223" s="244"/>
      <c r="P1223" s="244"/>
      <c r="Q1223" s="234"/>
      <c r="R1223" s="234"/>
      <c r="S1223" s="238"/>
      <c r="T1223" s="239"/>
      <c r="U1223" s="238"/>
      <c r="V1223" s="238"/>
      <c r="W1223" s="234"/>
      <c r="X1223" s="234"/>
      <c r="Y1223" s="234"/>
      <c r="Z1223" s="234"/>
      <c r="AA1223" s="234"/>
    </row>
    <row r="1224" ht="15.75" customHeight="1">
      <c r="A1224" s="91"/>
      <c r="B1224" s="91"/>
      <c r="C1224" s="220"/>
      <c r="D1224" s="91"/>
      <c r="E1224" s="221"/>
      <c r="F1224" s="91"/>
      <c r="G1224" s="91"/>
      <c r="H1224" s="242"/>
      <c r="I1224" s="91"/>
      <c r="J1224" s="234"/>
      <c r="K1224" s="243"/>
      <c r="L1224" s="236"/>
      <c r="M1224" s="236"/>
      <c r="N1224" s="236"/>
      <c r="O1224" s="244"/>
      <c r="P1224" s="244"/>
      <c r="Q1224" s="234"/>
      <c r="R1224" s="234"/>
      <c r="S1224" s="238"/>
      <c r="T1224" s="239"/>
      <c r="U1224" s="238"/>
      <c r="V1224" s="238"/>
      <c r="W1224" s="234"/>
      <c r="X1224" s="234"/>
      <c r="Y1224" s="234"/>
      <c r="Z1224" s="234"/>
      <c r="AA1224" s="234"/>
    </row>
    <row r="1225" ht="15.75" customHeight="1">
      <c r="A1225" s="91"/>
      <c r="B1225" s="91"/>
      <c r="C1225" s="220"/>
      <c r="D1225" s="91"/>
      <c r="E1225" s="221"/>
      <c r="F1225" s="91"/>
      <c r="G1225" s="91"/>
      <c r="H1225" s="242"/>
      <c r="I1225" s="91"/>
      <c r="J1225" s="234"/>
      <c r="K1225" s="243"/>
      <c r="L1225" s="236"/>
      <c r="M1225" s="236"/>
      <c r="N1225" s="236"/>
      <c r="O1225" s="244"/>
      <c r="P1225" s="244"/>
      <c r="Q1225" s="234"/>
      <c r="R1225" s="234"/>
      <c r="S1225" s="238"/>
      <c r="T1225" s="239"/>
      <c r="U1225" s="238"/>
      <c r="V1225" s="238"/>
      <c r="W1225" s="234"/>
      <c r="X1225" s="234"/>
      <c r="Y1225" s="234"/>
      <c r="Z1225" s="234"/>
      <c r="AA1225" s="234"/>
    </row>
    <row r="1226" ht="15.75" customHeight="1">
      <c r="A1226" s="91"/>
      <c r="B1226" s="91"/>
      <c r="C1226" s="220"/>
      <c r="D1226" s="91"/>
      <c r="E1226" s="221"/>
      <c r="F1226" s="91"/>
      <c r="G1226" s="91"/>
      <c r="H1226" s="242"/>
      <c r="I1226" s="91"/>
      <c r="J1226" s="234"/>
      <c r="K1226" s="243"/>
      <c r="L1226" s="236"/>
      <c r="M1226" s="236"/>
      <c r="N1226" s="236"/>
      <c r="O1226" s="244"/>
      <c r="P1226" s="244"/>
      <c r="Q1226" s="234"/>
      <c r="R1226" s="234"/>
      <c r="S1226" s="238"/>
      <c r="T1226" s="239"/>
      <c r="U1226" s="238"/>
      <c r="V1226" s="238"/>
      <c r="W1226" s="234"/>
      <c r="X1226" s="234"/>
      <c r="Y1226" s="234"/>
      <c r="Z1226" s="234"/>
      <c r="AA1226" s="234"/>
    </row>
    <row r="1227" ht="15.75" customHeight="1">
      <c r="A1227" s="91"/>
      <c r="B1227" s="91"/>
      <c r="C1227" s="220"/>
      <c r="D1227" s="91"/>
      <c r="E1227" s="221"/>
      <c r="F1227" s="91"/>
      <c r="G1227" s="91"/>
      <c r="H1227" s="242"/>
      <c r="I1227" s="91"/>
      <c r="J1227" s="234"/>
      <c r="K1227" s="243"/>
      <c r="L1227" s="236"/>
      <c r="M1227" s="236"/>
      <c r="N1227" s="236"/>
      <c r="O1227" s="244"/>
      <c r="P1227" s="244"/>
      <c r="Q1227" s="234"/>
      <c r="R1227" s="234"/>
      <c r="S1227" s="238"/>
      <c r="T1227" s="239"/>
      <c r="U1227" s="238"/>
      <c r="V1227" s="238"/>
      <c r="W1227" s="234"/>
      <c r="X1227" s="234"/>
      <c r="Y1227" s="234"/>
      <c r="Z1227" s="234"/>
      <c r="AA1227" s="234"/>
    </row>
    <row r="1228" ht="15.75" customHeight="1">
      <c r="A1228" s="91"/>
      <c r="B1228" s="91"/>
      <c r="C1228" s="220"/>
      <c r="D1228" s="91"/>
      <c r="E1228" s="221"/>
      <c r="F1228" s="91"/>
      <c r="G1228" s="91"/>
      <c r="H1228" s="242"/>
      <c r="I1228" s="91"/>
      <c r="J1228" s="234"/>
      <c r="K1228" s="243"/>
      <c r="L1228" s="236"/>
      <c r="M1228" s="236"/>
      <c r="N1228" s="236"/>
      <c r="O1228" s="244"/>
      <c r="P1228" s="244"/>
      <c r="Q1228" s="234"/>
      <c r="R1228" s="234"/>
      <c r="S1228" s="238"/>
      <c r="T1228" s="239"/>
      <c r="U1228" s="238"/>
      <c r="V1228" s="238"/>
      <c r="W1228" s="234"/>
      <c r="X1228" s="234"/>
      <c r="Y1228" s="234"/>
      <c r="Z1228" s="234"/>
      <c r="AA1228" s="234"/>
    </row>
    <row r="1229" ht="15.75" customHeight="1">
      <c r="A1229" s="91"/>
      <c r="B1229" s="91"/>
      <c r="C1229" s="220"/>
      <c r="D1229" s="91"/>
      <c r="E1229" s="221"/>
      <c r="F1229" s="91"/>
      <c r="G1229" s="91"/>
      <c r="H1229" s="242"/>
      <c r="I1229" s="91"/>
      <c r="J1229" s="234"/>
      <c r="K1229" s="243"/>
      <c r="L1229" s="236"/>
      <c r="M1229" s="236"/>
      <c r="N1229" s="236"/>
      <c r="O1229" s="244"/>
      <c r="P1229" s="244"/>
      <c r="Q1229" s="234"/>
      <c r="R1229" s="234"/>
      <c r="S1229" s="238"/>
      <c r="T1229" s="239"/>
      <c r="U1229" s="238"/>
      <c r="V1229" s="238"/>
      <c r="W1229" s="234"/>
      <c r="X1229" s="234"/>
      <c r="Y1229" s="234"/>
      <c r="Z1229" s="234"/>
      <c r="AA1229" s="234"/>
    </row>
    <row r="1230" ht="15.75" customHeight="1">
      <c r="A1230" s="91"/>
      <c r="B1230" s="91"/>
      <c r="C1230" s="220"/>
      <c r="D1230" s="91"/>
      <c r="E1230" s="221"/>
      <c r="F1230" s="91"/>
      <c r="G1230" s="91"/>
      <c r="H1230" s="242"/>
      <c r="I1230" s="91"/>
      <c r="J1230" s="234"/>
      <c r="K1230" s="243"/>
      <c r="L1230" s="236"/>
      <c r="M1230" s="236"/>
      <c r="N1230" s="236"/>
      <c r="O1230" s="244"/>
      <c r="P1230" s="244"/>
      <c r="Q1230" s="234"/>
      <c r="R1230" s="234"/>
      <c r="S1230" s="238"/>
      <c r="T1230" s="239"/>
      <c r="U1230" s="238"/>
      <c r="V1230" s="238"/>
      <c r="W1230" s="234"/>
      <c r="X1230" s="234"/>
      <c r="Y1230" s="234"/>
      <c r="Z1230" s="234"/>
      <c r="AA1230" s="234"/>
    </row>
    <row r="1231" ht="15.75" customHeight="1">
      <c r="A1231" s="91"/>
      <c r="B1231" s="91"/>
      <c r="C1231" s="220"/>
      <c r="D1231" s="91"/>
      <c r="E1231" s="221"/>
      <c r="F1231" s="91"/>
      <c r="G1231" s="91"/>
      <c r="H1231" s="242"/>
      <c r="I1231" s="91"/>
      <c r="J1231" s="234"/>
      <c r="K1231" s="243"/>
      <c r="L1231" s="236"/>
      <c r="M1231" s="236"/>
      <c r="N1231" s="236"/>
      <c r="O1231" s="244"/>
      <c r="P1231" s="244"/>
      <c r="Q1231" s="234"/>
      <c r="R1231" s="234"/>
      <c r="S1231" s="238"/>
      <c r="T1231" s="239"/>
      <c r="U1231" s="238"/>
      <c r="V1231" s="238"/>
      <c r="W1231" s="234"/>
      <c r="X1231" s="234"/>
      <c r="Y1231" s="234"/>
      <c r="Z1231" s="234"/>
      <c r="AA1231" s="234"/>
    </row>
    <row r="1232" ht="15.75" customHeight="1">
      <c r="A1232" s="91"/>
      <c r="B1232" s="91"/>
      <c r="C1232" s="220"/>
      <c r="D1232" s="91"/>
      <c r="E1232" s="221"/>
      <c r="F1232" s="91"/>
      <c r="G1232" s="91"/>
      <c r="H1232" s="242"/>
      <c r="I1232" s="91"/>
      <c r="J1232" s="234"/>
      <c r="K1232" s="243"/>
      <c r="L1232" s="236"/>
      <c r="M1232" s="236"/>
      <c r="N1232" s="236"/>
      <c r="O1232" s="244"/>
      <c r="P1232" s="244"/>
      <c r="Q1232" s="234"/>
      <c r="R1232" s="234"/>
      <c r="S1232" s="238"/>
      <c r="T1232" s="239"/>
      <c r="U1232" s="238"/>
      <c r="V1232" s="238"/>
      <c r="W1232" s="234"/>
      <c r="X1232" s="234"/>
      <c r="Y1232" s="234"/>
      <c r="Z1232" s="234"/>
      <c r="AA1232" s="234"/>
    </row>
    <row r="1233" ht="15.75" customHeight="1">
      <c r="A1233" s="91"/>
      <c r="B1233" s="91"/>
      <c r="C1233" s="220"/>
      <c r="D1233" s="91"/>
      <c r="E1233" s="221"/>
      <c r="F1233" s="91"/>
      <c r="G1233" s="91"/>
      <c r="H1233" s="242"/>
      <c r="I1233" s="91"/>
      <c r="J1233" s="234"/>
      <c r="K1233" s="243"/>
      <c r="L1233" s="236"/>
      <c r="M1233" s="236"/>
      <c r="N1233" s="236"/>
      <c r="O1233" s="244"/>
      <c r="P1233" s="244"/>
      <c r="Q1233" s="234"/>
      <c r="R1233" s="234"/>
      <c r="S1233" s="238"/>
      <c r="T1233" s="239"/>
      <c r="U1233" s="238"/>
      <c r="V1233" s="238"/>
      <c r="W1233" s="234"/>
      <c r="X1233" s="234"/>
      <c r="Y1233" s="234"/>
      <c r="Z1233" s="234"/>
      <c r="AA1233" s="234"/>
    </row>
    <row r="1234" ht="15.75" customHeight="1">
      <c r="A1234" s="91"/>
      <c r="B1234" s="91"/>
      <c r="C1234" s="220"/>
      <c r="D1234" s="91"/>
      <c r="E1234" s="221"/>
      <c r="F1234" s="91"/>
      <c r="G1234" s="91"/>
      <c r="H1234" s="242"/>
      <c r="I1234" s="91"/>
      <c r="J1234" s="234"/>
      <c r="K1234" s="243"/>
      <c r="L1234" s="236"/>
      <c r="M1234" s="236"/>
      <c r="N1234" s="236"/>
      <c r="O1234" s="244"/>
      <c r="P1234" s="244"/>
      <c r="Q1234" s="234"/>
      <c r="R1234" s="234"/>
      <c r="S1234" s="238"/>
      <c r="T1234" s="239"/>
      <c r="U1234" s="238"/>
      <c r="V1234" s="238"/>
      <c r="W1234" s="234"/>
      <c r="X1234" s="234"/>
      <c r="Y1234" s="234"/>
      <c r="Z1234" s="234"/>
      <c r="AA1234" s="234"/>
    </row>
    <row r="1235" ht="15.75" customHeight="1">
      <c r="A1235" s="91"/>
      <c r="B1235" s="91"/>
      <c r="C1235" s="220"/>
      <c r="D1235" s="91"/>
      <c r="E1235" s="221"/>
      <c r="F1235" s="91"/>
      <c r="G1235" s="91"/>
      <c r="H1235" s="242"/>
      <c r="I1235" s="91"/>
      <c r="J1235" s="234"/>
      <c r="K1235" s="243"/>
      <c r="L1235" s="236"/>
      <c r="M1235" s="236"/>
      <c r="N1235" s="236"/>
      <c r="O1235" s="244"/>
      <c r="P1235" s="244"/>
      <c r="Q1235" s="234"/>
      <c r="R1235" s="234"/>
      <c r="S1235" s="238"/>
      <c r="T1235" s="239"/>
      <c r="U1235" s="238"/>
      <c r="V1235" s="238"/>
      <c r="W1235" s="234"/>
      <c r="X1235" s="234"/>
      <c r="Y1235" s="234"/>
      <c r="Z1235" s="234"/>
      <c r="AA1235" s="234"/>
    </row>
    <row r="1236" ht="15.75" customHeight="1">
      <c r="A1236" s="91"/>
      <c r="B1236" s="91"/>
      <c r="C1236" s="220"/>
      <c r="D1236" s="91"/>
      <c r="E1236" s="221"/>
      <c r="F1236" s="91"/>
      <c r="G1236" s="91"/>
      <c r="H1236" s="242"/>
      <c r="I1236" s="91"/>
      <c r="J1236" s="234"/>
      <c r="K1236" s="243"/>
      <c r="L1236" s="236"/>
      <c r="M1236" s="236"/>
      <c r="N1236" s="236"/>
      <c r="O1236" s="244"/>
      <c r="P1236" s="244"/>
      <c r="Q1236" s="234"/>
      <c r="R1236" s="234"/>
      <c r="S1236" s="238"/>
      <c r="T1236" s="239"/>
      <c r="U1236" s="238"/>
      <c r="V1236" s="238"/>
      <c r="W1236" s="234"/>
      <c r="X1236" s="234"/>
      <c r="Y1236" s="234"/>
      <c r="Z1236" s="234"/>
      <c r="AA1236" s="234"/>
    </row>
    <row r="1237" ht="15.75" customHeight="1">
      <c r="A1237" s="91"/>
      <c r="B1237" s="91"/>
      <c r="C1237" s="220"/>
      <c r="D1237" s="91"/>
      <c r="E1237" s="221"/>
      <c r="F1237" s="91"/>
      <c r="G1237" s="91"/>
      <c r="H1237" s="242"/>
      <c r="I1237" s="91"/>
      <c r="J1237" s="234"/>
      <c r="K1237" s="243"/>
      <c r="L1237" s="236"/>
      <c r="M1237" s="236"/>
      <c r="N1237" s="236"/>
      <c r="O1237" s="244"/>
      <c r="P1237" s="244"/>
      <c r="Q1237" s="234"/>
      <c r="R1237" s="234"/>
      <c r="S1237" s="238"/>
      <c r="T1237" s="239"/>
      <c r="U1237" s="238"/>
      <c r="V1237" s="238"/>
      <c r="W1237" s="234"/>
      <c r="X1237" s="234"/>
      <c r="Y1237" s="234"/>
      <c r="Z1237" s="234"/>
      <c r="AA1237" s="234"/>
    </row>
    <row r="1238" ht="15.75" customHeight="1">
      <c r="A1238" s="91"/>
      <c r="B1238" s="91"/>
      <c r="C1238" s="220"/>
      <c r="D1238" s="91"/>
      <c r="E1238" s="221"/>
      <c r="F1238" s="91"/>
      <c r="G1238" s="91"/>
      <c r="H1238" s="242"/>
      <c r="I1238" s="91"/>
      <c r="J1238" s="234"/>
      <c r="K1238" s="243"/>
      <c r="L1238" s="236"/>
      <c r="M1238" s="236"/>
      <c r="N1238" s="236"/>
      <c r="O1238" s="244"/>
      <c r="P1238" s="244"/>
      <c r="Q1238" s="234"/>
      <c r="R1238" s="234"/>
      <c r="S1238" s="238"/>
      <c r="T1238" s="239"/>
      <c r="U1238" s="238"/>
      <c r="V1238" s="238"/>
      <c r="W1238" s="234"/>
      <c r="X1238" s="234"/>
      <c r="Y1238" s="234"/>
      <c r="Z1238" s="234"/>
      <c r="AA1238" s="234"/>
    </row>
    <row r="1239" ht="15.75" customHeight="1">
      <c r="A1239" s="91"/>
      <c r="B1239" s="91"/>
      <c r="C1239" s="220"/>
      <c r="D1239" s="91"/>
      <c r="E1239" s="221"/>
      <c r="F1239" s="91"/>
      <c r="G1239" s="91"/>
      <c r="H1239" s="242"/>
      <c r="I1239" s="91"/>
      <c r="J1239" s="234"/>
      <c r="K1239" s="243"/>
      <c r="L1239" s="236"/>
      <c r="M1239" s="236"/>
      <c r="N1239" s="236"/>
      <c r="O1239" s="244"/>
      <c r="P1239" s="244"/>
      <c r="Q1239" s="234"/>
      <c r="R1239" s="234"/>
      <c r="S1239" s="238"/>
      <c r="T1239" s="239"/>
      <c r="U1239" s="238"/>
      <c r="V1239" s="238"/>
      <c r="W1239" s="234"/>
      <c r="X1239" s="234"/>
      <c r="Y1239" s="234"/>
      <c r="Z1239" s="234"/>
      <c r="AA1239" s="234"/>
    </row>
    <row r="1240" ht="15.75" customHeight="1">
      <c r="A1240" s="91"/>
      <c r="B1240" s="91"/>
      <c r="C1240" s="220"/>
      <c r="D1240" s="91"/>
      <c r="E1240" s="221"/>
      <c r="F1240" s="91"/>
      <c r="G1240" s="91"/>
      <c r="H1240" s="242"/>
      <c r="I1240" s="91"/>
      <c r="J1240" s="234"/>
      <c r="K1240" s="243"/>
      <c r="L1240" s="236"/>
      <c r="M1240" s="236"/>
      <c r="N1240" s="236"/>
      <c r="O1240" s="244"/>
      <c r="P1240" s="244"/>
      <c r="Q1240" s="234"/>
      <c r="R1240" s="234"/>
      <c r="S1240" s="238"/>
      <c r="T1240" s="239"/>
      <c r="U1240" s="238"/>
      <c r="V1240" s="238"/>
      <c r="W1240" s="234"/>
      <c r="X1240" s="234"/>
      <c r="Y1240" s="234"/>
      <c r="Z1240" s="234"/>
      <c r="AA1240" s="234"/>
    </row>
    <row r="1241" ht="15.75" customHeight="1">
      <c r="A1241" s="91"/>
      <c r="B1241" s="91"/>
      <c r="C1241" s="220"/>
      <c r="D1241" s="91"/>
      <c r="E1241" s="221"/>
      <c r="F1241" s="91"/>
      <c r="G1241" s="91"/>
      <c r="H1241" s="242"/>
      <c r="I1241" s="91"/>
      <c r="J1241" s="234"/>
      <c r="K1241" s="243"/>
      <c r="L1241" s="236"/>
      <c r="M1241" s="236"/>
      <c r="N1241" s="236"/>
      <c r="O1241" s="244"/>
      <c r="P1241" s="244"/>
      <c r="Q1241" s="234"/>
      <c r="R1241" s="234"/>
      <c r="S1241" s="238"/>
      <c r="T1241" s="239"/>
      <c r="U1241" s="238"/>
      <c r="V1241" s="238"/>
      <c r="W1241" s="234"/>
      <c r="X1241" s="234"/>
      <c r="Y1241" s="234"/>
      <c r="Z1241" s="234"/>
      <c r="AA1241" s="234"/>
    </row>
    <row r="1242" ht="15.75" customHeight="1">
      <c r="A1242" s="91"/>
      <c r="B1242" s="91"/>
      <c r="C1242" s="220"/>
      <c r="D1242" s="91"/>
      <c r="E1242" s="221"/>
      <c r="F1242" s="91"/>
      <c r="G1242" s="91"/>
      <c r="H1242" s="242"/>
      <c r="I1242" s="91"/>
      <c r="J1242" s="234"/>
      <c r="K1242" s="243"/>
      <c r="L1242" s="236"/>
      <c r="M1242" s="236"/>
      <c r="N1242" s="236"/>
      <c r="O1242" s="244"/>
      <c r="P1242" s="244"/>
      <c r="Q1242" s="234"/>
      <c r="R1242" s="234"/>
      <c r="S1242" s="238"/>
      <c r="T1242" s="239"/>
      <c r="U1242" s="238"/>
      <c r="V1242" s="238"/>
      <c r="W1242" s="234"/>
      <c r="X1242" s="234"/>
      <c r="Y1242" s="234"/>
      <c r="Z1242" s="234"/>
      <c r="AA1242" s="234"/>
    </row>
    <row r="1243" ht="15.75" customHeight="1">
      <c r="A1243" s="91"/>
      <c r="B1243" s="91"/>
      <c r="C1243" s="220"/>
      <c r="D1243" s="91"/>
      <c r="E1243" s="221"/>
      <c r="F1243" s="91"/>
      <c r="G1243" s="91"/>
      <c r="H1243" s="242"/>
      <c r="I1243" s="91"/>
      <c r="J1243" s="234"/>
      <c r="K1243" s="243"/>
      <c r="L1243" s="236"/>
      <c r="M1243" s="236"/>
      <c r="N1243" s="236"/>
      <c r="O1243" s="244"/>
      <c r="P1243" s="244"/>
      <c r="Q1243" s="234"/>
      <c r="R1243" s="234"/>
      <c r="S1243" s="238"/>
      <c r="T1243" s="239"/>
      <c r="U1243" s="238"/>
      <c r="V1243" s="238"/>
      <c r="W1243" s="234"/>
      <c r="X1243" s="234"/>
      <c r="Y1243" s="234"/>
      <c r="Z1243" s="234"/>
      <c r="AA1243" s="234"/>
    </row>
    <row r="1244" ht="15.75" customHeight="1">
      <c r="A1244" s="91"/>
      <c r="B1244" s="91"/>
      <c r="C1244" s="220"/>
      <c r="D1244" s="91"/>
      <c r="E1244" s="221"/>
      <c r="F1244" s="91"/>
      <c r="G1244" s="91"/>
      <c r="H1244" s="242"/>
      <c r="I1244" s="91"/>
      <c r="J1244" s="234"/>
      <c r="K1244" s="243"/>
      <c r="L1244" s="236"/>
      <c r="M1244" s="236"/>
      <c r="N1244" s="236"/>
      <c r="O1244" s="244"/>
      <c r="P1244" s="244"/>
      <c r="Q1244" s="234"/>
      <c r="R1244" s="234"/>
      <c r="S1244" s="238"/>
      <c r="T1244" s="239"/>
      <c r="U1244" s="238"/>
      <c r="V1244" s="238"/>
      <c r="W1244" s="234"/>
      <c r="X1244" s="234"/>
      <c r="Y1244" s="234"/>
      <c r="Z1244" s="234"/>
      <c r="AA1244" s="234"/>
    </row>
    <row r="1245" ht="15.75" customHeight="1">
      <c r="A1245" s="91"/>
      <c r="B1245" s="91"/>
      <c r="C1245" s="220"/>
      <c r="D1245" s="91"/>
      <c r="E1245" s="221"/>
      <c r="F1245" s="91"/>
      <c r="G1245" s="91"/>
      <c r="H1245" s="242"/>
      <c r="I1245" s="91"/>
      <c r="J1245" s="234"/>
      <c r="K1245" s="243"/>
      <c r="L1245" s="236"/>
      <c r="M1245" s="236"/>
      <c r="N1245" s="236"/>
      <c r="O1245" s="244"/>
      <c r="P1245" s="244"/>
      <c r="Q1245" s="234"/>
      <c r="R1245" s="234"/>
      <c r="S1245" s="238"/>
      <c r="T1245" s="239"/>
      <c r="U1245" s="238"/>
      <c r="V1245" s="238"/>
      <c r="W1245" s="234"/>
      <c r="X1245" s="234"/>
      <c r="Y1245" s="234"/>
      <c r="Z1245" s="234"/>
      <c r="AA1245" s="234"/>
    </row>
    <row r="1246" ht="15.75" customHeight="1">
      <c r="A1246" s="91"/>
      <c r="B1246" s="91"/>
      <c r="C1246" s="220"/>
      <c r="D1246" s="91"/>
      <c r="E1246" s="221"/>
      <c r="F1246" s="91"/>
      <c r="G1246" s="91"/>
      <c r="H1246" s="242"/>
      <c r="I1246" s="91"/>
      <c r="J1246" s="234"/>
      <c r="K1246" s="243"/>
      <c r="L1246" s="236"/>
      <c r="M1246" s="236"/>
      <c r="N1246" s="236"/>
      <c r="O1246" s="244"/>
      <c r="P1246" s="244"/>
      <c r="Q1246" s="234"/>
      <c r="R1246" s="234"/>
      <c r="S1246" s="238"/>
      <c r="T1246" s="239"/>
      <c r="U1246" s="238"/>
      <c r="V1246" s="238"/>
      <c r="W1246" s="234"/>
      <c r="X1246" s="234"/>
      <c r="Y1246" s="234"/>
      <c r="Z1246" s="234"/>
      <c r="AA1246" s="234"/>
    </row>
    <row r="1247" ht="15.75" customHeight="1">
      <c r="A1247" s="91"/>
      <c r="B1247" s="91"/>
      <c r="C1247" s="220"/>
      <c r="D1247" s="91"/>
      <c r="E1247" s="221"/>
      <c r="F1247" s="91"/>
      <c r="G1247" s="91"/>
      <c r="H1247" s="242"/>
      <c r="I1247" s="91"/>
      <c r="J1247" s="234"/>
      <c r="K1247" s="243"/>
      <c r="L1247" s="236"/>
      <c r="M1247" s="236"/>
      <c r="N1247" s="236"/>
      <c r="O1247" s="244"/>
      <c r="P1247" s="244"/>
      <c r="Q1247" s="234"/>
      <c r="R1247" s="234"/>
      <c r="S1247" s="238"/>
      <c r="T1247" s="239"/>
      <c r="U1247" s="238"/>
      <c r="V1247" s="238"/>
      <c r="W1247" s="234"/>
      <c r="X1247" s="234"/>
      <c r="Y1247" s="234"/>
      <c r="Z1247" s="234"/>
      <c r="AA1247" s="234"/>
    </row>
    <row r="1248" ht="15.75" customHeight="1">
      <c r="A1248" s="91"/>
      <c r="B1248" s="91"/>
      <c r="C1248" s="220"/>
      <c r="D1248" s="91"/>
      <c r="E1248" s="221"/>
      <c r="F1248" s="91"/>
      <c r="G1248" s="91"/>
      <c r="H1248" s="242"/>
      <c r="I1248" s="91"/>
      <c r="J1248" s="234"/>
      <c r="K1248" s="243"/>
      <c r="L1248" s="236"/>
      <c r="M1248" s="236"/>
      <c r="N1248" s="236"/>
      <c r="O1248" s="244"/>
      <c r="P1248" s="244"/>
      <c r="Q1248" s="234"/>
      <c r="R1248" s="234"/>
      <c r="S1248" s="238"/>
      <c r="T1248" s="239"/>
      <c r="U1248" s="238"/>
      <c r="V1248" s="238"/>
      <c r="W1248" s="234"/>
      <c r="X1248" s="234"/>
      <c r="Y1248" s="234"/>
      <c r="Z1248" s="234"/>
      <c r="AA1248" s="234"/>
    </row>
    <row r="1249" ht="15.75" customHeight="1">
      <c r="A1249" s="91"/>
      <c r="B1249" s="91"/>
      <c r="C1249" s="220"/>
      <c r="D1249" s="91"/>
      <c r="E1249" s="221"/>
      <c r="F1249" s="91"/>
      <c r="G1249" s="91"/>
      <c r="H1249" s="242"/>
      <c r="I1249" s="91"/>
      <c r="J1249" s="234"/>
      <c r="K1249" s="243"/>
      <c r="L1249" s="236"/>
      <c r="M1249" s="236"/>
      <c r="N1249" s="236"/>
      <c r="O1249" s="244"/>
      <c r="P1249" s="244"/>
      <c r="Q1249" s="234"/>
      <c r="R1249" s="234"/>
      <c r="S1249" s="238"/>
      <c r="T1249" s="239"/>
      <c r="U1249" s="238"/>
      <c r="V1249" s="238"/>
      <c r="W1249" s="234"/>
      <c r="X1249" s="234"/>
      <c r="Y1249" s="234"/>
      <c r="Z1249" s="234"/>
      <c r="AA1249" s="234"/>
    </row>
    <row r="1250" ht="15.75" customHeight="1">
      <c r="A1250" s="91"/>
      <c r="B1250" s="91"/>
      <c r="C1250" s="220"/>
      <c r="D1250" s="91"/>
      <c r="E1250" s="221"/>
      <c r="F1250" s="91"/>
      <c r="G1250" s="91"/>
      <c r="H1250" s="242"/>
      <c r="I1250" s="91"/>
      <c r="J1250" s="234"/>
      <c r="K1250" s="243"/>
      <c r="L1250" s="236"/>
      <c r="M1250" s="236"/>
      <c r="N1250" s="236"/>
      <c r="O1250" s="244"/>
      <c r="P1250" s="244"/>
      <c r="Q1250" s="234"/>
      <c r="R1250" s="234"/>
      <c r="S1250" s="238"/>
      <c r="T1250" s="239"/>
      <c r="U1250" s="238"/>
      <c r="V1250" s="238"/>
      <c r="W1250" s="234"/>
      <c r="X1250" s="234"/>
      <c r="Y1250" s="234"/>
      <c r="Z1250" s="234"/>
      <c r="AA1250" s="234"/>
    </row>
    <row r="1251" ht="15.75" customHeight="1">
      <c r="A1251" s="91"/>
      <c r="B1251" s="91"/>
      <c r="C1251" s="220"/>
      <c r="D1251" s="91"/>
      <c r="E1251" s="221"/>
      <c r="F1251" s="91"/>
      <c r="G1251" s="91"/>
      <c r="H1251" s="242"/>
      <c r="I1251" s="91"/>
      <c r="J1251" s="234"/>
      <c r="K1251" s="243"/>
      <c r="L1251" s="236"/>
      <c r="M1251" s="236"/>
      <c r="N1251" s="236"/>
      <c r="O1251" s="244"/>
      <c r="P1251" s="244"/>
      <c r="Q1251" s="234"/>
      <c r="R1251" s="234"/>
      <c r="S1251" s="238"/>
      <c r="T1251" s="239"/>
      <c r="U1251" s="238"/>
      <c r="V1251" s="238"/>
      <c r="W1251" s="234"/>
      <c r="X1251" s="234"/>
      <c r="Y1251" s="234"/>
      <c r="Z1251" s="234"/>
      <c r="AA1251" s="234"/>
    </row>
    <row r="1252" ht="15.75" customHeight="1">
      <c r="A1252" s="91"/>
      <c r="B1252" s="91"/>
      <c r="C1252" s="220"/>
      <c r="D1252" s="91"/>
      <c r="E1252" s="221"/>
      <c r="F1252" s="91"/>
      <c r="G1252" s="91"/>
      <c r="H1252" s="242"/>
      <c r="I1252" s="91"/>
      <c r="J1252" s="234"/>
      <c r="K1252" s="243"/>
      <c r="L1252" s="236"/>
      <c r="M1252" s="236"/>
      <c r="N1252" s="236"/>
      <c r="O1252" s="244"/>
      <c r="P1252" s="244"/>
      <c r="Q1252" s="234"/>
      <c r="R1252" s="234"/>
      <c r="S1252" s="238"/>
      <c r="T1252" s="239"/>
      <c r="U1252" s="238"/>
      <c r="V1252" s="238"/>
      <c r="W1252" s="234"/>
      <c r="X1252" s="234"/>
      <c r="Y1252" s="234"/>
      <c r="Z1252" s="234"/>
      <c r="AA1252" s="234"/>
    </row>
    <row r="1253" ht="15.75" customHeight="1">
      <c r="A1253" s="91"/>
      <c r="B1253" s="91"/>
      <c r="C1253" s="220"/>
      <c r="D1253" s="91"/>
      <c r="E1253" s="221"/>
      <c r="F1253" s="91"/>
      <c r="G1253" s="91"/>
      <c r="H1253" s="242"/>
      <c r="I1253" s="91"/>
      <c r="J1253" s="234"/>
      <c r="K1253" s="243"/>
      <c r="L1253" s="236"/>
      <c r="M1253" s="236"/>
      <c r="N1253" s="236"/>
      <c r="O1253" s="244"/>
      <c r="P1253" s="244"/>
      <c r="Q1253" s="234"/>
      <c r="R1253" s="234"/>
      <c r="S1253" s="238"/>
      <c r="T1253" s="239"/>
      <c r="U1253" s="238"/>
      <c r="V1253" s="238"/>
      <c r="W1253" s="234"/>
      <c r="X1253" s="234"/>
      <c r="Y1253" s="234"/>
      <c r="Z1253" s="234"/>
      <c r="AA1253" s="234"/>
    </row>
    <row r="1254" ht="15.75" customHeight="1">
      <c r="A1254" s="91"/>
      <c r="B1254" s="91"/>
      <c r="C1254" s="220"/>
      <c r="D1254" s="91"/>
      <c r="E1254" s="221"/>
      <c r="F1254" s="91"/>
      <c r="G1254" s="91"/>
      <c r="H1254" s="242"/>
      <c r="I1254" s="91"/>
      <c r="J1254" s="234"/>
      <c r="K1254" s="243"/>
      <c r="L1254" s="236"/>
      <c r="M1254" s="236"/>
      <c r="N1254" s="236"/>
      <c r="O1254" s="244"/>
      <c r="P1254" s="244"/>
      <c r="Q1254" s="234"/>
      <c r="R1254" s="234"/>
      <c r="S1254" s="238"/>
      <c r="T1254" s="239"/>
      <c r="U1254" s="238"/>
      <c r="V1254" s="238"/>
      <c r="W1254" s="234"/>
      <c r="X1254" s="234"/>
      <c r="Y1254" s="234"/>
      <c r="Z1254" s="234"/>
      <c r="AA1254" s="234"/>
    </row>
    <row r="1255" ht="15.75" customHeight="1">
      <c r="A1255" s="91"/>
      <c r="B1255" s="91"/>
      <c r="C1255" s="220"/>
      <c r="D1255" s="91"/>
      <c r="E1255" s="221"/>
      <c r="F1255" s="91"/>
      <c r="G1255" s="91"/>
      <c r="H1255" s="242"/>
      <c r="I1255" s="91"/>
      <c r="J1255" s="234"/>
      <c r="K1255" s="243"/>
      <c r="L1255" s="236"/>
      <c r="M1255" s="236"/>
      <c r="N1255" s="236"/>
      <c r="O1255" s="244"/>
      <c r="P1255" s="244"/>
      <c r="Q1255" s="234"/>
      <c r="R1255" s="234"/>
      <c r="S1255" s="238"/>
      <c r="T1255" s="239"/>
      <c r="U1255" s="238"/>
      <c r="V1255" s="238"/>
      <c r="W1255" s="234"/>
      <c r="X1255" s="234"/>
      <c r="Y1255" s="234"/>
      <c r="Z1255" s="234"/>
      <c r="AA1255" s="234"/>
    </row>
    <row r="1256" ht="15.75" customHeight="1">
      <c r="A1256" s="91"/>
      <c r="B1256" s="91"/>
      <c r="C1256" s="220"/>
      <c r="D1256" s="91"/>
      <c r="E1256" s="221"/>
      <c r="F1256" s="91"/>
      <c r="G1256" s="91"/>
      <c r="H1256" s="242"/>
      <c r="I1256" s="91"/>
      <c r="J1256" s="234"/>
      <c r="K1256" s="243"/>
      <c r="L1256" s="236"/>
      <c r="M1256" s="236"/>
      <c r="N1256" s="236"/>
      <c r="O1256" s="244"/>
      <c r="P1256" s="244"/>
      <c r="Q1256" s="234"/>
      <c r="R1256" s="234"/>
      <c r="S1256" s="238"/>
      <c r="T1256" s="239"/>
      <c r="U1256" s="238"/>
      <c r="V1256" s="238"/>
      <c r="W1256" s="234"/>
      <c r="X1256" s="234"/>
      <c r="Y1256" s="234"/>
      <c r="Z1256" s="234"/>
      <c r="AA1256" s="234"/>
    </row>
    <row r="1257" ht="15.75" customHeight="1">
      <c r="A1257" s="91"/>
      <c r="B1257" s="91"/>
      <c r="C1257" s="220"/>
      <c r="D1257" s="91"/>
      <c r="E1257" s="221"/>
      <c r="F1257" s="91"/>
      <c r="G1257" s="91"/>
      <c r="H1257" s="242"/>
      <c r="I1257" s="91"/>
      <c r="J1257" s="234"/>
      <c r="K1257" s="243"/>
      <c r="L1257" s="236"/>
      <c r="M1257" s="236"/>
      <c r="N1257" s="236"/>
      <c r="O1257" s="244"/>
      <c r="P1257" s="244"/>
      <c r="Q1257" s="234"/>
      <c r="R1257" s="234"/>
      <c r="S1257" s="238"/>
      <c r="T1257" s="239"/>
      <c r="U1257" s="238"/>
      <c r="V1257" s="238"/>
      <c r="W1257" s="234"/>
      <c r="X1257" s="234"/>
      <c r="Y1257" s="234"/>
      <c r="Z1257" s="234"/>
      <c r="AA1257" s="234"/>
    </row>
    <row r="1258" ht="15.75" customHeight="1">
      <c r="A1258" s="91"/>
      <c r="B1258" s="91"/>
      <c r="C1258" s="220"/>
      <c r="D1258" s="91"/>
      <c r="E1258" s="221"/>
      <c r="F1258" s="91"/>
      <c r="G1258" s="91"/>
      <c r="H1258" s="242"/>
      <c r="I1258" s="91"/>
      <c r="J1258" s="234"/>
      <c r="K1258" s="243"/>
      <c r="L1258" s="236"/>
      <c r="M1258" s="236"/>
      <c r="N1258" s="236"/>
      <c r="O1258" s="244"/>
      <c r="P1258" s="244"/>
      <c r="Q1258" s="234"/>
      <c r="R1258" s="234"/>
      <c r="S1258" s="238"/>
      <c r="T1258" s="239"/>
      <c r="U1258" s="238"/>
      <c r="V1258" s="238"/>
      <c r="W1258" s="234"/>
      <c r="X1258" s="234"/>
      <c r="Y1258" s="234"/>
      <c r="Z1258" s="234"/>
      <c r="AA1258" s="234"/>
    </row>
    <row r="1259" ht="15.75" customHeight="1">
      <c r="A1259" s="91"/>
      <c r="B1259" s="91"/>
      <c r="C1259" s="220"/>
      <c r="D1259" s="91"/>
      <c r="E1259" s="221"/>
      <c r="F1259" s="91"/>
      <c r="G1259" s="91"/>
      <c r="H1259" s="242"/>
      <c r="I1259" s="91"/>
      <c r="J1259" s="234"/>
      <c r="K1259" s="243"/>
      <c r="L1259" s="236"/>
      <c r="M1259" s="236"/>
      <c r="N1259" s="236"/>
      <c r="O1259" s="244"/>
      <c r="P1259" s="244"/>
      <c r="Q1259" s="234"/>
      <c r="R1259" s="234"/>
      <c r="S1259" s="238"/>
      <c r="T1259" s="239"/>
      <c r="U1259" s="238"/>
      <c r="V1259" s="238"/>
      <c r="W1259" s="234"/>
      <c r="X1259" s="234"/>
      <c r="Y1259" s="234"/>
      <c r="Z1259" s="234"/>
      <c r="AA1259" s="234"/>
    </row>
    <row r="1260" ht="15.75" customHeight="1">
      <c r="A1260" s="91"/>
      <c r="B1260" s="91"/>
      <c r="C1260" s="220"/>
      <c r="D1260" s="91"/>
      <c r="E1260" s="221"/>
      <c r="F1260" s="91"/>
      <c r="G1260" s="91"/>
      <c r="H1260" s="242"/>
      <c r="I1260" s="91"/>
      <c r="J1260" s="234"/>
      <c r="K1260" s="243"/>
      <c r="L1260" s="236"/>
      <c r="M1260" s="236"/>
      <c r="N1260" s="236"/>
      <c r="O1260" s="244"/>
      <c r="P1260" s="244"/>
      <c r="Q1260" s="234"/>
      <c r="R1260" s="234"/>
      <c r="S1260" s="238"/>
      <c r="T1260" s="239"/>
      <c r="U1260" s="238"/>
      <c r="V1260" s="238"/>
      <c r="W1260" s="234"/>
      <c r="X1260" s="234"/>
      <c r="Y1260" s="234"/>
      <c r="Z1260" s="234"/>
      <c r="AA1260" s="234"/>
    </row>
    <row r="1261" ht="15.75" customHeight="1">
      <c r="A1261" s="91"/>
      <c r="B1261" s="91"/>
      <c r="C1261" s="220"/>
      <c r="D1261" s="91"/>
      <c r="E1261" s="221"/>
      <c r="F1261" s="91"/>
      <c r="G1261" s="91"/>
      <c r="H1261" s="242"/>
      <c r="I1261" s="91"/>
      <c r="J1261" s="234"/>
      <c r="K1261" s="243"/>
      <c r="L1261" s="236"/>
      <c r="M1261" s="236"/>
      <c r="N1261" s="236"/>
      <c r="O1261" s="244"/>
      <c r="P1261" s="244"/>
      <c r="Q1261" s="234"/>
      <c r="R1261" s="234"/>
      <c r="S1261" s="238"/>
      <c r="T1261" s="239"/>
      <c r="U1261" s="238"/>
      <c r="V1261" s="238"/>
      <c r="W1261" s="234"/>
      <c r="X1261" s="234"/>
      <c r="Y1261" s="234"/>
      <c r="Z1261" s="234"/>
      <c r="AA1261" s="234"/>
    </row>
    <row r="1262" ht="15.75" customHeight="1">
      <c r="A1262" s="91"/>
      <c r="B1262" s="91"/>
      <c r="C1262" s="220"/>
      <c r="D1262" s="91"/>
      <c r="E1262" s="221"/>
      <c r="F1262" s="91"/>
      <c r="G1262" s="91"/>
      <c r="H1262" s="242"/>
      <c r="I1262" s="91"/>
      <c r="J1262" s="234"/>
      <c r="K1262" s="243"/>
      <c r="L1262" s="236"/>
      <c r="M1262" s="236"/>
      <c r="N1262" s="236"/>
      <c r="O1262" s="244"/>
      <c r="P1262" s="244"/>
      <c r="Q1262" s="234"/>
      <c r="R1262" s="234"/>
      <c r="S1262" s="238"/>
      <c r="T1262" s="239"/>
      <c r="U1262" s="238"/>
      <c r="V1262" s="238"/>
      <c r="W1262" s="234"/>
      <c r="X1262" s="234"/>
      <c r="Y1262" s="234"/>
      <c r="Z1262" s="234"/>
      <c r="AA1262" s="234"/>
    </row>
    <row r="1263" ht="15.75" customHeight="1">
      <c r="A1263" s="91"/>
      <c r="B1263" s="91"/>
      <c r="C1263" s="220"/>
      <c r="D1263" s="91"/>
      <c r="E1263" s="221"/>
      <c r="F1263" s="91"/>
      <c r="G1263" s="91"/>
      <c r="H1263" s="242"/>
      <c r="I1263" s="91"/>
      <c r="J1263" s="234"/>
      <c r="K1263" s="243"/>
      <c r="L1263" s="236"/>
      <c r="M1263" s="236"/>
      <c r="N1263" s="236"/>
      <c r="O1263" s="244"/>
      <c r="P1263" s="244"/>
      <c r="Q1263" s="234"/>
      <c r="R1263" s="234"/>
      <c r="S1263" s="238"/>
      <c r="T1263" s="239"/>
      <c r="U1263" s="238"/>
      <c r="V1263" s="238"/>
      <c r="W1263" s="234"/>
      <c r="X1263" s="234"/>
      <c r="Y1263" s="234"/>
      <c r="Z1263" s="234"/>
      <c r="AA1263" s="234"/>
    </row>
    <row r="1264" ht="15.75" customHeight="1">
      <c r="A1264" s="91"/>
      <c r="B1264" s="91"/>
      <c r="C1264" s="220"/>
      <c r="D1264" s="91"/>
      <c r="E1264" s="221"/>
      <c r="F1264" s="91"/>
      <c r="G1264" s="91"/>
      <c r="H1264" s="242"/>
      <c r="I1264" s="91"/>
      <c r="J1264" s="234"/>
      <c r="K1264" s="243"/>
      <c r="L1264" s="236"/>
      <c r="M1264" s="236"/>
      <c r="N1264" s="236"/>
      <c r="O1264" s="244"/>
      <c r="P1264" s="244"/>
      <c r="Q1264" s="234"/>
      <c r="R1264" s="234"/>
      <c r="S1264" s="238"/>
      <c r="T1264" s="239"/>
      <c r="U1264" s="238"/>
      <c r="V1264" s="238"/>
      <c r="W1264" s="234"/>
      <c r="X1264" s="234"/>
      <c r="Y1264" s="234"/>
      <c r="Z1264" s="234"/>
      <c r="AA1264" s="234"/>
    </row>
    <row r="1265" ht="15.75" customHeight="1">
      <c r="A1265" s="91"/>
      <c r="B1265" s="91"/>
      <c r="C1265" s="220"/>
      <c r="D1265" s="91"/>
      <c r="E1265" s="221"/>
      <c r="F1265" s="91"/>
      <c r="G1265" s="91"/>
      <c r="H1265" s="242"/>
      <c r="I1265" s="91"/>
      <c r="J1265" s="234"/>
      <c r="K1265" s="243"/>
      <c r="L1265" s="236"/>
      <c r="M1265" s="236"/>
      <c r="N1265" s="236"/>
      <c r="O1265" s="244"/>
      <c r="P1265" s="244"/>
      <c r="Q1265" s="234"/>
      <c r="R1265" s="234"/>
      <c r="S1265" s="238"/>
      <c r="T1265" s="239"/>
      <c r="U1265" s="238"/>
      <c r="V1265" s="238"/>
      <c r="W1265" s="234"/>
      <c r="X1265" s="234"/>
      <c r="Y1265" s="234"/>
      <c r="Z1265" s="234"/>
      <c r="AA1265" s="234"/>
    </row>
    <row r="1266" ht="15.75" customHeight="1">
      <c r="A1266" s="91"/>
      <c r="B1266" s="91"/>
      <c r="C1266" s="220"/>
      <c r="D1266" s="91"/>
      <c r="E1266" s="221"/>
      <c r="F1266" s="91"/>
      <c r="G1266" s="91"/>
      <c r="H1266" s="242"/>
      <c r="I1266" s="91"/>
      <c r="J1266" s="234"/>
      <c r="K1266" s="243"/>
      <c r="L1266" s="236"/>
      <c r="M1266" s="236"/>
      <c r="N1266" s="236"/>
      <c r="O1266" s="244"/>
      <c r="P1266" s="244"/>
      <c r="Q1266" s="234"/>
      <c r="R1266" s="234"/>
      <c r="S1266" s="238"/>
      <c r="T1266" s="239"/>
      <c r="U1266" s="238"/>
      <c r="V1266" s="238"/>
      <c r="W1266" s="234"/>
      <c r="X1266" s="234"/>
      <c r="Y1266" s="234"/>
      <c r="Z1266" s="234"/>
      <c r="AA1266" s="234"/>
    </row>
    <row r="1267" ht="15.75" customHeight="1">
      <c r="A1267" s="91"/>
      <c r="B1267" s="91"/>
      <c r="C1267" s="220"/>
      <c r="D1267" s="91"/>
      <c r="E1267" s="221"/>
      <c r="F1267" s="91"/>
      <c r="G1267" s="91"/>
      <c r="H1267" s="242"/>
      <c r="I1267" s="91"/>
      <c r="J1267" s="234"/>
      <c r="K1267" s="243"/>
      <c r="L1267" s="236"/>
      <c r="M1267" s="236"/>
      <c r="N1267" s="236"/>
      <c r="O1267" s="244"/>
      <c r="P1267" s="244"/>
      <c r="Q1267" s="234"/>
      <c r="R1267" s="234"/>
      <c r="S1267" s="238"/>
      <c r="T1267" s="239"/>
      <c r="U1267" s="238"/>
      <c r="V1267" s="238"/>
      <c r="W1267" s="234"/>
      <c r="X1267" s="234"/>
      <c r="Y1267" s="234"/>
      <c r="Z1267" s="234"/>
      <c r="AA1267" s="234"/>
    </row>
    <row r="1268" ht="15.75" customHeight="1">
      <c r="A1268" s="91"/>
      <c r="B1268" s="91"/>
      <c r="C1268" s="220"/>
      <c r="D1268" s="91"/>
      <c r="E1268" s="221"/>
      <c r="F1268" s="91"/>
      <c r="G1268" s="91"/>
      <c r="H1268" s="242"/>
      <c r="I1268" s="91"/>
      <c r="J1268" s="234"/>
      <c r="K1268" s="243"/>
      <c r="L1268" s="236"/>
      <c r="M1268" s="236"/>
      <c r="N1268" s="236"/>
      <c r="O1268" s="244"/>
      <c r="P1268" s="244"/>
      <c r="Q1268" s="234"/>
      <c r="R1268" s="234"/>
      <c r="S1268" s="238"/>
      <c r="T1268" s="239"/>
      <c r="U1268" s="238"/>
      <c r="V1268" s="238"/>
      <c r="W1268" s="234"/>
      <c r="X1268" s="234"/>
      <c r="Y1268" s="234"/>
      <c r="Z1268" s="234"/>
      <c r="AA1268" s="234"/>
    </row>
    <row r="1269" ht="15.75" customHeight="1">
      <c r="A1269" s="91"/>
      <c r="B1269" s="91"/>
      <c r="C1269" s="220"/>
      <c r="D1269" s="91"/>
      <c r="E1269" s="221"/>
      <c r="F1269" s="91"/>
      <c r="G1269" s="91"/>
      <c r="H1269" s="242"/>
      <c r="I1269" s="91"/>
      <c r="J1269" s="234"/>
      <c r="K1269" s="243"/>
      <c r="L1269" s="236"/>
      <c r="M1269" s="236"/>
      <c r="N1269" s="236"/>
      <c r="O1269" s="244"/>
      <c r="P1269" s="244"/>
      <c r="Q1269" s="234"/>
      <c r="R1269" s="234"/>
      <c r="S1269" s="238"/>
      <c r="T1269" s="239"/>
      <c r="U1269" s="238"/>
      <c r="V1269" s="238"/>
      <c r="W1269" s="234"/>
      <c r="X1269" s="234"/>
      <c r="Y1269" s="234"/>
      <c r="Z1269" s="234"/>
      <c r="AA1269" s="234"/>
    </row>
    <row r="1270" ht="15.75" customHeight="1">
      <c r="A1270" s="91"/>
      <c r="B1270" s="91"/>
      <c r="C1270" s="220"/>
      <c r="D1270" s="91"/>
      <c r="E1270" s="221"/>
      <c r="F1270" s="91"/>
      <c r="G1270" s="91"/>
      <c r="H1270" s="242"/>
      <c r="I1270" s="91"/>
      <c r="J1270" s="234"/>
      <c r="K1270" s="243"/>
      <c r="L1270" s="236"/>
      <c r="M1270" s="236"/>
      <c r="N1270" s="236"/>
      <c r="O1270" s="244"/>
      <c r="P1270" s="244"/>
      <c r="Q1270" s="234"/>
      <c r="R1270" s="234"/>
      <c r="S1270" s="238"/>
      <c r="T1270" s="239"/>
      <c r="U1270" s="238"/>
      <c r="V1270" s="238"/>
      <c r="W1270" s="234"/>
      <c r="X1270" s="234"/>
      <c r="Y1270" s="234"/>
      <c r="Z1270" s="234"/>
      <c r="AA1270" s="234"/>
    </row>
    <row r="1271" ht="15.75" customHeight="1">
      <c r="A1271" s="91"/>
      <c r="B1271" s="91"/>
      <c r="C1271" s="220"/>
      <c r="D1271" s="91"/>
      <c r="E1271" s="221"/>
      <c r="F1271" s="91"/>
      <c r="G1271" s="91"/>
      <c r="H1271" s="242"/>
      <c r="I1271" s="91"/>
      <c r="J1271" s="234"/>
      <c r="K1271" s="243"/>
      <c r="L1271" s="236"/>
      <c r="M1271" s="236"/>
      <c r="N1271" s="236"/>
      <c r="O1271" s="244"/>
      <c r="P1271" s="244"/>
      <c r="Q1271" s="234"/>
      <c r="R1271" s="234"/>
      <c r="S1271" s="238"/>
      <c r="T1271" s="239"/>
      <c r="U1271" s="238"/>
      <c r="V1271" s="238"/>
      <c r="W1271" s="234"/>
      <c r="X1271" s="234"/>
      <c r="Y1271" s="234"/>
      <c r="Z1271" s="234"/>
      <c r="AA1271" s="234"/>
    </row>
    <row r="1272" ht="15.75" customHeight="1">
      <c r="A1272" s="91"/>
      <c r="B1272" s="91"/>
      <c r="C1272" s="220"/>
      <c r="D1272" s="91"/>
      <c r="E1272" s="221"/>
      <c r="F1272" s="91"/>
      <c r="G1272" s="91"/>
      <c r="H1272" s="242"/>
      <c r="I1272" s="91"/>
      <c r="J1272" s="234"/>
      <c r="K1272" s="243"/>
      <c r="L1272" s="236"/>
      <c r="M1272" s="236"/>
      <c r="N1272" s="236"/>
      <c r="O1272" s="244"/>
      <c r="P1272" s="244"/>
      <c r="Q1272" s="234"/>
      <c r="R1272" s="234"/>
      <c r="S1272" s="238"/>
      <c r="T1272" s="239"/>
      <c r="U1272" s="238"/>
      <c r="V1272" s="238"/>
      <c r="W1272" s="234"/>
      <c r="X1272" s="234"/>
      <c r="Y1272" s="234"/>
      <c r="Z1272" s="234"/>
      <c r="AA1272" s="234"/>
    </row>
    <row r="1273" ht="15.75" customHeight="1">
      <c r="A1273" s="91"/>
      <c r="B1273" s="91"/>
      <c r="C1273" s="220"/>
      <c r="D1273" s="91"/>
      <c r="E1273" s="221"/>
      <c r="F1273" s="91"/>
      <c r="G1273" s="91"/>
      <c r="H1273" s="242"/>
      <c r="I1273" s="91"/>
      <c r="J1273" s="234"/>
      <c r="K1273" s="243"/>
      <c r="L1273" s="236"/>
      <c r="M1273" s="236"/>
      <c r="N1273" s="236"/>
      <c r="O1273" s="244"/>
      <c r="P1273" s="244"/>
      <c r="Q1273" s="234"/>
      <c r="R1273" s="234"/>
      <c r="S1273" s="238"/>
      <c r="T1273" s="239"/>
      <c r="U1273" s="238"/>
      <c r="V1273" s="238"/>
      <c r="W1273" s="234"/>
      <c r="X1273" s="234"/>
      <c r="Y1273" s="234"/>
      <c r="Z1273" s="234"/>
      <c r="AA1273" s="234"/>
    </row>
    <row r="1274" ht="15.75" customHeight="1">
      <c r="A1274" s="91"/>
      <c r="B1274" s="91"/>
      <c r="C1274" s="220"/>
      <c r="D1274" s="91"/>
      <c r="E1274" s="221"/>
      <c r="F1274" s="91"/>
      <c r="G1274" s="91"/>
      <c r="H1274" s="242"/>
      <c r="I1274" s="91"/>
      <c r="J1274" s="234"/>
      <c r="K1274" s="243"/>
      <c r="L1274" s="236"/>
      <c r="M1274" s="236"/>
      <c r="N1274" s="236"/>
      <c r="O1274" s="244"/>
      <c r="P1274" s="244"/>
      <c r="Q1274" s="234"/>
      <c r="R1274" s="234"/>
      <c r="S1274" s="238"/>
      <c r="T1274" s="239"/>
      <c r="U1274" s="238"/>
      <c r="V1274" s="238"/>
      <c r="W1274" s="234"/>
      <c r="X1274" s="234"/>
      <c r="Y1274" s="234"/>
      <c r="Z1274" s="234"/>
      <c r="AA1274" s="234"/>
    </row>
    <row r="1275" ht="15.75" customHeight="1">
      <c r="A1275" s="91"/>
      <c r="B1275" s="91"/>
      <c r="C1275" s="220"/>
      <c r="D1275" s="91"/>
      <c r="E1275" s="221"/>
      <c r="F1275" s="91"/>
      <c r="G1275" s="91"/>
      <c r="H1275" s="242"/>
      <c r="I1275" s="91"/>
      <c r="J1275" s="234"/>
      <c r="K1275" s="243"/>
      <c r="L1275" s="236"/>
      <c r="M1275" s="236"/>
      <c r="N1275" s="236"/>
      <c r="O1275" s="244"/>
      <c r="P1275" s="244"/>
      <c r="Q1275" s="234"/>
      <c r="R1275" s="234"/>
      <c r="S1275" s="238"/>
      <c r="T1275" s="239"/>
      <c r="U1275" s="238"/>
      <c r="V1275" s="238"/>
      <c r="W1275" s="234"/>
      <c r="X1275" s="234"/>
      <c r="Y1275" s="234"/>
      <c r="Z1275" s="234"/>
      <c r="AA1275" s="234"/>
    </row>
    <row r="1276" ht="15.75" customHeight="1">
      <c r="A1276" s="91"/>
      <c r="B1276" s="91"/>
      <c r="C1276" s="220"/>
      <c r="D1276" s="91"/>
      <c r="E1276" s="221"/>
      <c r="F1276" s="91"/>
      <c r="G1276" s="91"/>
      <c r="H1276" s="242"/>
      <c r="I1276" s="91"/>
      <c r="J1276" s="234"/>
      <c r="K1276" s="243"/>
      <c r="L1276" s="236"/>
      <c r="M1276" s="236"/>
      <c r="N1276" s="236"/>
      <c r="O1276" s="244"/>
      <c r="P1276" s="244"/>
      <c r="Q1276" s="234"/>
      <c r="R1276" s="234"/>
      <c r="S1276" s="238"/>
      <c r="T1276" s="239"/>
      <c r="U1276" s="238"/>
      <c r="V1276" s="238"/>
      <c r="W1276" s="234"/>
      <c r="X1276" s="234"/>
      <c r="Y1276" s="234"/>
      <c r="Z1276" s="234"/>
      <c r="AA1276" s="234"/>
    </row>
    <row r="1277" ht="15.75" customHeight="1">
      <c r="A1277" s="91"/>
      <c r="B1277" s="91"/>
      <c r="C1277" s="220"/>
      <c r="D1277" s="91"/>
      <c r="E1277" s="221"/>
      <c r="F1277" s="91"/>
      <c r="G1277" s="91"/>
      <c r="H1277" s="242"/>
      <c r="I1277" s="91"/>
      <c r="J1277" s="234"/>
      <c r="K1277" s="243"/>
      <c r="L1277" s="236"/>
      <c r="M1277" s="236"/>
      <c r="N1277" s="236"/>
      <c r="O1277" s="244"/>
      <c r="P1277" s="244"/>
      <c r="Q1277" s="234"/>
      <c r="R1277" s="234"/>
      <c r="S1277" s="238"/>
      <c r="T1277" s="239"/>
      <c r="U1277" s="238"/>
      <c r="V1277" s="238"/>
      <c r="W1277" s="234"/>
      <c r="X1277" s="234"/>
      <c r="Y1277" s="234"/>
      <c r="Z1277" s="234"/>
      <c r="AA1277" s="234"/>
    </row>
    <row r="1278" ht="15.75" customHeight="1">
      <c r="A1278" s="91"/>
      <c r="B1278" s="91"/>
      <c r="C1278" s="220"/>
      <c r="D1278" s="91"/>
      <c r="E1278" s="221"/>
      <c r="F1278" s="91"/>
      <c r="G1278" s="91"/>
      <c r="H1278" s="242"/>
      <c r="I1278" s="91"/>
      <c r="J1278" s="234"/>
      <c r="K1278" s="243"/>
      <c r="L1278" s="236"/>
      <c r="M1278" s="236"/>
      <c r="N1278" s="236"/>
      <c r="O1278" s="244"/>
      <c r="P1278" s="244"/>
      <c r="Q1278" s="234"/>
      <c r="R1278" s="234"/>
      <c r="S1278" s="238"/>
      <c r="T1278" s="239"/>
      <c r="U1278" s="238"/>
      <c r="V1278" s="238"/>
      <c r="W1278" s="234"/>
      <c r="X1278" s="234"/>
      <c r="Y1278" s="234"/>
      <c r="Z1278" s="234"/>
      <c r="AA1278" s="234"/>
    </row>
    <row r="1279" ht="15.75" customHeight="1">
      <c r="A1279" s="91"/>
      <c r="B1279" s="91"/>
      <c r="C1279" s="220"/>
      <c r="D1279" s="91"/>
      <c r="E1279" s="221"/>
      <c r="F1279" s="91"/>
      <c r="G1279" s="91"/>
      <c r="H1279" s="242"/>
      <c r="I1279" s="91"/>
      <c r="J1279" s="234"/>
      <c r="K1279" s="243"/>
      <c r="L1279" s="236"/>
      <c r="M1279" s="236"/>
      <c r="N1279" s="236"/>
      <c r="O1279" s="244"/>
      <c r="P1279" s="244"/>
      <c r="Q1279" s="234"/>
      <c r="R1279" s="234"/>
      <c r="S1279" s="238"/>
      <c r="T1279" s="239"/>
      <c r="U1279" s="238"/>
      <c r="V1279" s="238"/>
      <c r="W1279" s="234"/>
      <c r="X1279" s="234"/>
      <c r="Y1279" s="234"/>
      <c r="Z1279" s="234"/>
      <c r="AA1279" s="234"/>
    </row>
    <row r="1280" ht="15.75" customHeight="1">
      <c r="A1280" s="91"/>
      <c r="B1280" s="91"/>
      <c r="C1280" s="220"/>
      <c r="D1280" s="91"/>
      <c r="E1280" s="221"/>
      <c r="F1280" s="91"/>
      <c r="G1280" s="91"/>
      <c r="H1280" s="242"/>
      <c r="I1280" s="91"/>
      <c r="J1280" s="234"/>
      <c r="K1280" s="243"/>
      <c r="L1280" s="236"/>
      <c r="M1280" s="236"/>
      <c r="N1280" s="236"/>
      <c r="O1280" s="244"/>
      <c r="P1280" s="244"/>
      <c r="Q1280" s="234"/>
      <c r="R1280" s="234"/>
      <c r="S1280" s="238"/>
      <c r="T1280" s="239"/>
      <c r="U1280" s="238"/>
      <c r="V1280" s="238"/>
      <c r="W1280" s="234"/>
      <c r="X1280" s="234"/>
      <c r="Y1280" s="234"/>
      <c r="Z1280" s="234"/>
      <c r="AA1280" s="234"/>
    </row>
    <row r="1281" ht="15.75" customHeight="1">
      <c r="A1281" s="91"/>
      <c r="B1281" s="91"/>
      <c r="C1281" s="220"/>
      <c r="D1281" s="91"/>
      <c r="E1281" s="221"/>
      <c r="F1281" s="91"/>
      <c r="G1281" s="91"/>
      <c r="H1281" s="242"/>
      <c r="I1281" s="91"/>
      <c r="J1281" s="234"/>
      <c r="K1281" s="243"/>
      <c r="L1281" s="236"/>
      <c r="M1281" s="236"/>
      <c r="N1281" s="236"/>
      <c r="O1281" s="244"/>
      <c r="P1281" s="244"/>
      <c r="Q1281" s="234"/>
      <c r="R1281" s="234"/>
      <c r="S1281" s="238"/>
      <c r="T1281" s="239"/>
      <c r="U1281" s="238"/>
      <c r="V1281" s="238"/>
      <c r="W1281" s="234"/>
      <c r="X1281" s="234"/>
      <c r="Y1281" s="234"/>
      <c r="Z1281" s="234"/>
      <c r="AA1281" s="234"/>
    </row>
    <row r="1282" ht="15.75" customHeight="1">
      <c r="A1282" s="91"/>
      <c r="B1282" s="91"/>
      <c r="C1282" s="220"/>
      <c r="D1282" s="91"/>
      <c r="E1282" s="221"/>
      <c r="F1282" s="91"/>
      <c r="G1282" s="91"/>
      <c r="H1282" s="242"/>
      <c r="I1282" s="91"/>
      <c r="J1282" s="234"/>
      <c r="K1282" s="243"/>
      <c r="L1282" s="236"/>
      <c r="M1282" s="236"/>
      <c r="N1282" s="236"/>
      <c r="O1282" s="244"/>
      <c r="P1282" s="244"/>
      <c r="Q1282" s="234"/>
      <c r="R1282" s="234"/>
      <c r="S1282" s="238"/>
      <c r="T1282" s="239"/>
      <c r="U1282" s="238"/>
      <c r="V1282" s="238"/>
      <c r="W1282" s="234"/>
      <c r="X1282" s="234"/>
      <c r="Y1282" s="234"/>
      <c r="Z1282" s="234"/>
      <c r="AA1282" s="234"/>
    </row>
    <row r="1283" ht="15.75" customHeight="1">
      <c r="A1283" s="91"/>
      <c r="B1283" s="91"/>
      <c r="C1283" s="220"/>
      <c r="D1283" s="91"/>
      <c r="E1283" s="221"/>
      <c r="F1283" s="91"/>
      <c r="G1283" s="91"/>
      <c r="H1283" s="242"/>
      <c r="I1283" s="91"/>
      <c r="J1283" s="234"/>
      <c r="K1283" s="243"/>
      <c r="L1283" s="236"/>
      <c r="M1283" s="236"/>
      <c r="N1283" s="236"/>
      <c r="O1283" s="244"/>
      <c r="P1283" s="244"/>
      <c r="Q1283" s="234"/>
      <c r="R1283" s="234"/>
      <c r="S1283" s="238"/>
      <c r="T1283" s="239"/>
      <c r="U1283" s="238"/>
      <c r="V1283" s="238"/>
      <c r="W1283" s="234"/>
      <c r="X1283" s="234"/>
      <c r="Y1283" s="234"/>
      <c r="Z1283" s="234"/>
      <c r="AA1283" s="234"/>
    </row>
    <row r="1284" ht="15.75" customHeight="1">
      <c r="A1284" s="91"/>
      <c r="B1284" s="91"/>
      <c r="C1284" s="220"/>
      <c r="D1284" s="91"/>
      <c r="E1284" s="221"/>
      <c r="F1284" s="91"/>
      <c r="G1284" s="91"/>
      <c r="H1284" s="242"/>
      <c r="I1284" s="91"/>
      <c r="J1284" s="234"/>
      <c r="K1284" s="243"/>
      <c r="L1284" s="236"/>
      <c r="M1284" s="236"/>
      <c r="N1284" s="236"/>
      <c r="O1284" s="244"/>
      <c r="P1284" s="244"/>
      <c r="Q1284" s="234"/>
      <c r="R1284" s="234"/>
      <c r="S1284" s="238"/>
      <c r="T1284" s="239"/>
      <c r="U1284" s="238"/>
      <c r="V1284" s="238"/>
      <c r="W1284" s="234"/>
      <c r="X1284" s="234"/>
      <c r="Y1284" s="234"/>
      <c r="Z1284" s="234"/>
      <c r="AA1284" s="234"/>
    </row>
    <row r="1285" ht="15.75" customHeight="1">
      <c r="A1285" s="91"/>
      <c r="B1285" s="91"/>
      <c r="C1285" s="220"/>
      <c r="D1285" s="91"/>
      <c r="E1285" s="221"/>
      <c r="F1285" s="91"/>
      <c r="G1285" s="91"/>
      <c r="H1285" s="242"/>
      <c r="I1285" s="91"/>
      <c r="J1285" s="234"/>
      <c r="K1285" s="243"/>
      <c r="L1285" s="236"/>
      <c r="M1285" s="236"/>
      <c r="N1285" s="236"/>
      <c r="O1285" s="244"/>
      <c r="P1285" s="244"/>
      <c r="Q1285" s="234"/>
      <c r="R1285" s="234"/>
      <c r="S1285" s="238"/>
      <c r="T1285" s="239"/>
      <c r="U1285" s="238"/>
      <c r="V1285" s="238"/>
      <c r="W1285" s="234"/>
      <c r="X1285" s="234"/>
      <c r="Y1285" s="234"/>
      <c r="Z1285" s="234"/>
      <c r="AA1285" s="234"/>
    </row>
    <row r="1286" ht="15.75" customHeight="1">
      <c r="A1286" s="91"/>
      <c r="B1286" s="91"/>
      <c r="C1286" s="220"/>
      <c r="D1286" s="91"/>
      <c r="E1286" s="221"/>
      <c r="F1286" s="91"/>
      <c r="G1286" s="91"/>
      <c r="H1286" s="242"/>
      <c r="I1286" s="91"/>
      <c r="J1286" s="234"/>
      <c r="K1286" s="243"/>
      <c r="L1286" s="236"/>
      <c r="M1286" s="236"/>
      <c r="N1286" s="236"/>
      <c r="O1286" s="244"/>
      <c r="P1286" s="244"/>
      <c r="Q1286" s="234"/>
      <c r="R1286" s="234"/>
      <c r="S1286" s="238"/>
      <c r="T1286" s="239"/>
      <c r="U1286" s="238"/>
      <c r="V1286" s="238"/>
      <c r="W1286" s="234"/>
      <c r="X1286" s="234"/>
      <c r="Y1286" s="234"/>
      <c r="Z1286" s="234"/>
      <c r="AA1286" s="234"/>
    </row>
    <row r="1287" ht="15.75" customHeight="1">
      <c r="A1287" s="91"/>
      <c r="B1287" s="91"/>
      <c r="C1287" s="220"/>
      <c r="D1287" s="91"/>
      <c r="E1287" s="221"/>
      <c r="F1287" s="91"/>
      <c r="G1287" s="91"/>
      <c r="H1287" s="242"/>
      <c r="I1287" s="91"/>
      <c r="J1287" s="234"/>
      <c r="K1287" s="243"/>
      <c r="L1287" s="236"/>
      <c r="M1287" s="236"/>
      <c r="N1287" s="236"/>
      <c r="O1287" s="244"/>
      <c r="P1287" s="244"/>
      <c r="Q1287" s="234"/>
      <c r="R1287" s="234"/>
      <c r="S1287" s="238"/>
      <c r="T1287" s="239"/>
      <c r="U1287" s="238"/>
      <c r="V1287" s="238"/>
      <c r="W1287" s="234"/>
      <c r="X1287" s="234"/>
      <c r="Y1287" s="234"/>
      <c r="Z1287" s="234"/>
      <c r="AA1287" s="234"/>
    </row>
    <row r="1288" ht="15.75" customHeight="1">
      <c r="A1288" s="91"/>
      <c r="B1288" s="91"/>
      <c r="C1288" s="220"/>
      <c r="D1288" s="91"/>
      <c r="E1288" s="221"/>
      <c r="F1288" s="91"/>
      <c r="G1288" s="91"/>
      <c r="H1288" s="242"/>
      <c r="I1288" s="91"/>
      <c r="J1288" s="234"/>
      <c r="K1288" s="243"/>
      <c r="L1288" s="236"/>
      <c r="M1288" s="236"/>
      <c r="N1288" s="236"/>
      <c r="O1288" s="244"/>
      <c r="P1288" s="244"/>
      <c r="Q1288" s="234"/>
      <c r="R1288" s="234"/>
      <c r="S1288" s="238"/>
      <c r="T1288" s="239"/>
      <c r="U1288" s="238"/>
      <c r="V1288" s="238"/>
      <c r="W1288" s="234"/>
      <c r="X1288" s="234"/>
      <c r="Y1288" s="234"/>
      <c r="Z1288" s="234"/>
      <c r="AA1288" s="234"/>
    </row>
    <row r="1289" ht="15.75" customHeight="1">
      <c r="A1289" s="91"/>
      <c r="B1289" s="91"/>
      <c r="C1289" s="220"/>
      <c r="D1289" s="91"/>
      <c r="E1289" s="221"/>
      <c r="F1289" s="91"/>
      <c r="G1289" s="91"/>
      <c r="H1289" s="242"/>
      <c r="I1289" s="91"/>
      <c r="J1289" s="234"/>
      <c r="K1289" s="243"/>
      <c r="L1289" s="236"/>
      <c r="M1289" s="236"/>
      <c r="N1289" s="236"/>
      <c r="O1289" s="244"/>
      <c r="P1289" s="244"/>
      <c r="Q1289" s="234"/>
      <c r="R1289" s="234"/>
      <c r="S1289" s="238"/>
      <c r="T1289" s="239"/>
      <c r="U1289" s="238"/>
      <c r="V1289" s="238"/>
      <c r="W1289" s="234"/>
      <c r="X1289" s="234"/>
      <c r="Y1289" s="234"/>
      <c r="Z1289" s="234"/>
      <c r="AA1289" s="234"/>
    </row>
    <row r="1290" ht="15.75" customHeight="1">
      <c r="A1290" s="91"/>
      <c r="B1290" s="91"/>
      <c r="C1290" s="220"/>
      <c r="D1290" s="91"/>
      <c r="E1290" s="221"/>
      <c r="F1290" s="91"/>
      <c r="G1290" s="91"/>
      <c r="H1290" s="242"/>
      <c r="I1290" s="91"/>
      <c r="J1290" s="234"/>
      <c r="K1290" s="243"/>
      <c r="L1290" s="236"/>
      <c r="M1290" s="236"/>
      <c r="N1290" s="236"/>
      <c r="O1290" s="244"/>
      <c r="P1290" s="244"/>
      <c r="Q1290" s="234"/>
      <c r="R1290" s="234"/>
      <c r="S1290" s="238"/>
      <c r="T1290" s="239"/>
      <c r="U1290" s="238"/>
      <c r="V1290" s="238"/>
      <c r="W1290" s="234"/>
      <c r="X1290" s="234"/>
      <c r="Y1290" s="234"/>
      <c r="Z1290" s="234"/>
      <c r="AA1290" s="234"/>
    </row>
    <row r="1291" ht="15.75" customHeight="1">
      <c r="A1291" s="91"/>
      <c r="B1291" s="91"/>
      <c r="C1291" s="220"/>
      <c r="D1291" s="91"/>
      <c r="E1291" s="221"/>
      <c r="F1291" s="91"/>
      <c r="G1291" s="91"/>
      <c r="H1291" s="242"/>
      <c r="I1291" s="91"/>
      <c r="J1291" s="234"/>
      <c r="K1291" s="243"/>
      <c r="L1291" s="236"/>
      <c r="M1291" s="236"/>
      <c r="N1291" s="236"/>
      <c r="O1291" s="244"/>
      <c r="P1291" s="244"/>
      <c r="Q1291" s="234"/>
      <c r="R1291" s="234"/>
      <c r="S1291" s="238"/>
      <c r="T1291" s="239"/>
      <c r="U1291" s="238"/>
      <c r="V1291" s="238"/>
      <c r="W1291" s="234"/>
      <c r="X1291" s="234"/>
      <c r="Y1291" s="234"/>
      <c r="Z1291" s="234"/>
      <c r="AA1291" s="234"/>
    </row>
    <row r="1292" ht="15.75" customHeight="1">
      <c r="A1292" s="91"/>
      <c r="B1292" s="91"/>
      <c r="C1292" s="220"/>
      <c r="D1292" s="91"/>
      <c r="E1292" s="221"/>
      <c r="F1292" s="91"/>
      <c r="G1292" s="91"/>
      <c r="H1292" s="242"/>
      <c r="I1292" s="91"/>
      <c r="J1292" s="234"/>
      <c r="K1292" s="243"/>
      <c r="L1292" s="236"/>
      <c r="M1292" s="236"/>
      <c r="N1292" s="236"/>
      <c r="O1292" s="244"/>
      <c r="P1292" s="244"/>
      <c r="Q1292" s="234"/>
      <c r="R1292" s="234"/>
      <c r="S1292" s="238"/>
      <c r="T1292" s="239"/>
      <c r="U1292" s="238"/>
      <c r="V1292" s="238"/>
      <c r="W1292" s="234"/>
      <c r="X1292" s="234"/>
      <c r="Y1292" s="234"/>
      <c r="Z1292" s="234"/>
      <c r="AA1292" s="234"/>
    </row>
    <row r="1293" ht="15.75" customHeight="1">
      <c r="A1293" s="91"/>
      <c r="B1293" s="91"/>
      <c r="C1293" s="220"/>
      <c r="D1293" s="91"/>
      <c r="E1293" s="221"/>
      <c r="F1293" s="91"/>
      <c r="G1293" s="91"/>
      <c r="H1293" s="242"/>
      <c r="I1293" s="91"/>
      <c r="J1293" s="234"/>
      <c r="K1293" s="243"/>
      <c r="L1293" s="236"/>
      <c r="M1293" s="236"/>
      <c r="N1293" s="236"/>
      <c r="O1293" s="244"/>
      <c r="P1293" s="244"/>
      <c r="Q1293" s="234"/>
      <c r="R1293" s="234"/>
      <c r="S1293" s="238"/>
      <c r="T1293" s="239"/>
      <c r="U1293" s="238"/>
      <c r="V1293" s="238"/>
      <c r="W1293" s="234"/>
      <c r="X1293" s="234"/>
      <c r="Y1293" s="234"/>
      <c r="Z1293" s="234"/>
      <c r="AA1293" s="234"/>
    </row>
    <row r="1294" ht="15.75" customHeight="1">
      <c r="A1294" s="91"/>
      <c r="B1294" s="91"/>
      <c r="C1294" s="220"/>
      <c r="D1294" s="91"/>
      <c r="E1294" s="221"/>
      <c r="F1294" s="91"/>
      <c r="G1294" s="91"/>
      <c r="H1294" s="242"/>
      <c r="I1294" s="91"/>
      <c r="J1294" s="234"/>
      <c r="K1294" s="243"/>
      <c r="L1294" s="236"/>
      <c r="M1294" s="236"/>
      <c r="N1294" s="236"/>
      <c r="O1294" s="244"/>
      <c r="P1294" s="244"/>
      <c r="Q1294" s="234"/>
      <c r="R1294" s="234"/>
      <c r="S1294" s="238"/>
      <c r="T1294" s="239"/>
      <c r="U1294" s="238"/>
      <c r="V1294" s="238"/>
      <c r="W1294" s="234"/>
      <c r="X1294" s="234"/>
      <c r="Y1294" s="234"/>
      <c r="Z1294" s="234"/>
      <c r="AA1294" s="234"/>
    </row>
    <row r="1295" ht="15.75" customHeight="1">
      <c r="A1295" s="91"/>
      <c r="B1295" s="91"/>
      <c r="C1295" s="220"/>
      <c r="D1295" s="91"/>
      <c r="E1295" s="221"/>
      <c r="F1295" s="91"/>
      <c r="G1295" s="91"/>
      <c r="H1295" s="242"/>
      <c r="I1295" s="91"/>
      <c r="J1295" s="234"/>
      <c r="K1295" s="243"/>
      <c r="L1295" s="236"/>
      <c r="M1295" s="236"/>
      <c r="N1295" s="236"/>
      <c r="O1295" s="244"/>
      <c r="P1295" s="244"/>
      <c r="Q1295" s="234"/>
      <c r="R1295" s="234"/>
      <c r="S1295" s="238"/>
      <c r="T1295" s="239"/>
      <c r="U1295" s="238"/>
      <c r="V1295" s="238"/>
      <c r="W1295" s="234"/>
      <c r="X1295" s="234"/>
      <c r="Y1295" s="234"/>
      <c r="Z1295" s="234"/>
      <c r="AA1295" s="234"/>
    </row>
    <row r="1296" ht="15.75" customHeight="1">
      <c r="A1296" s="91"/>
      <c r="B1296" s="91"/>
      <c r="C1296" s="220"/>
      <c r="D1296" s="91"/>
      <c r="E1296" s="221"/>
      <c r="F1296" s="91"/>
      <c r="G1296" s="91"/>
      <c r="H1296" s="242"/>
      <c r="I1296" s="91"/>
      <c r="J1296" s="234"/>
      <c r="K1296" s="243"/>
      <c r="L1296" s="236"/>
      <c r="M1296" s="236"/>
      <c r="N1296" s="236"/>
      <c r="O1296" s="244"/>
      <c r="P1296" s="244"/>
      <c r="Q1296" s="234"/>
      <c r="R1296" s="234"/>
      <c r="S1296" s="238"/>
      <c r="T1296" s="239"/>
      <c r="U1296" s="238"/>
      <c r="V1296" s="238"/>
      <c r="W1296" s="234"/>
      <c r="X1296" s="234"/>
      <c r="Y1296" s="234"/>
      <c r="Z1296" s="234"/>
      <c r="AA1296" s="234"/>
    </row>
    <row r="1297" ht="15.75" customHeight="1">
      <c r="A1297" s="91"/>
      <c r="B1297" s="91"/>
      <c r="C1297" s="220"/>
      <c r="D1297" s="91"/>
      <c r="E1297" s="221"/>
      <c r="F1297" s="91"/>
      <c r="G1297" s="91"/>
      <c r="H1297" s="242"/>
      <c r="I1297" s="91"/>
      <c r="J1297" s="234"/>
      <c r="K1297" s="243"/>
      <c r="L1297" s="236"/>
      <c r="M1297" s="236"/>
      <c r="N1297" s="236"/>
      <c r="O1297" s="244"/>
      <c r="P1297" s="244"/>
      <c r="Q1297" s="234"/>
      <c r="R1297" s="234"/>
      <c r="S1297" s="238"/>
      <c r="T1297" s="239"/>
      <c r="U1297" s="238"/>
      <c r="V1297" s="238"/>
      <c r="W1297" s="234"/>
      <c r="X1297" s="234"/>
      <c r="Y1297" s="234"/>
      <c r="Z1297" s="234"/>
      <c r="AA1297" s="234"/>
    </row>
    <row r="1298" ht="15.75" customHeight="1">
      <c r="A1298" s="91"/>
      <c r="B1298" s="91"/>
      <c r="C1298" s="220"/>
      <c r="D1298" s="91"/>
      <c r="E1298" s="221"/>
      <c r="F1298" s="91"/>
      <c r="G1298" s="91"/>
      <c r="H1298" s="242"/>
      <c r="I1298" s="91"/>
      <c r="J1298" s="234"/>
      <c r="K1298" s="243"/>
      <c r="L1298" s="236"/>
      <c r="M1298" s="236"/>
      <c r="N1298" s="236"/>
      <c r="O1298" s="244"/>
      <c r="P1298" s="244"/>
      <c r="Q1298" s="234"/>
      <c r="R1298" s="234"/>
      <c r="S1298" s="238"/>
      <c r="T1298" s="239"/>
      <c r="U1298" s="238"/>
      <c r="V1298" s="238"/>
      <c r="W1298" s="234"/>
      <c r="X1298" s="234"/>
      <c r="Y1298" s="234"/>
      <c r="Z1298" s="234"/>
      <c r="AA1298" s="234"/>
    </row>
    <row r="1299" ht="15.75" customHeight="1">
      <c r="A1299" s="91"/>
      <c r="B1299" s="91"/>
      <c r="C1299" s="220"/>
      <c r="D1299" s="91"/>
      <c r="E1299" s="221"/>
      <c r="F1299" s="91"/>
      <c r="G1299" s="91"/>
      <c r="H1299" s="242"/>
      <c r="I1299" s="91"/>
      <c r="J1299" s="234"/>
      <c r="K1299" s="243"/>
      <c r="L1299" s="236"/>
      <c r="M1299" s="236"/>
      <c r="N1299" s="236"/>
      <c r="O1299" s="244"/>
      <c r="P1299" s="244"/>
      <c r="Q1299" s="234"/>
      <c r="R1299" s="234"/>
      <c r="S1299" s="238"/>
      <c r="T1299" s="239"/>
      <c r="U1299" s="238"/>
      <c r="V1299" s="238"/>
      <c r="W1299" s="234"/>
      <c r="X1299" s="234"/>
      <c r="Y1299" s="234"/>
      <c r="Z1299" s="234"/>
      <c r="AA1299" s="234"/>
    </row>
    <row r="1300" ht="15.75" customHeight="1">
      <c r="A1300" s="91"/>
      <c r="B1300" s="91"/>
      <c r="C1300" s="220"/>
      <c r="D1300" s="91"/>
      <c r="E1300" s="221"/>
      <c r="F1300" s="91"/>
      <c r="G1300" s="91"/>
      <c r="H1300" s="242"/>
      <c r="I1300" s="91"/>
      <c r="J1300" s="234"/>
      <c r="K1300" s="243"/>
      <c r="L1300" s="236"/>
      <c r="M1300" s="236"/>
      <c r="N1300" s="236"/>
      <c r="O1300" s="244"/>
      <c r="P1300" s="244"/>
      <c r="Q1300" s="234"/>
      <c r="R1300" s="234"/>
      <c r="S1300" s="238"/>
      <c r="T1300" s="239"/>
      <c r="U1300" s="238"/>
      <c r="V1300" s="238"/>
      <c r="W1300" s="234"/>
      <c r="X1300" s="234"/>
      <c r="Y1300" s="234"/>
      <c r="Z1300" s="234"/>
      <c r="AA1300" s="234"/>
    </row>
    <row r="1301" ht="15.75" customHeight="1">
      <c r="A1301" s="91"/>
      <c r="B1301" s="91"/>
      <c r="C1301" s="220"/>
      <c r="D1301" s="91"/>
      <c r="E1301" s="221"/>
      <c r="F1301" s="91"/>
      <c r="G1301" s="91"/>
      <c r="H1301" s="242"/>
      <c r="I1301" s="91"/>
      <c r="J1301" s="234"/>
      <c r="K1301" s="243"/>
      <c r="L1301" s="236"/>
      <c r="M1301" s="236"/>
      <c r="N1301" s="236"/>
      <c r="O1301" s="244"/>
      <c r="P1301" s="244"/>
      <c r="Q1301" s="234"/>
      <c r="R1301" s="234"/>
      <c r="S1301" s="238"/>
      <c r="T1301" s="239"/>
      <c r="U1301" s="238"/>
      <c r="V1301" s="238"/>
      <c r="W1301" s="234"/>
      <c r="X1301" s="234"/>
      <c r="Y1301" s="234"/>
      <c r="Z1301" s="234"/>
      <c r="AA1301" s="234"/>
    </row>
    <row r="1302" ht="15.75" customHeight="1">
      <c r="A1302" s="91"/>
      <c r="B1302" s="91"/>
      <c r="C1302" s="220"/>
      <c r="D1302" s="91"/>
      <c r="E1302" s="221"/>
      <c r="F1302" s="91"/>
      <c r="G1302" s="91"/>
      <c r="H1302" s="242"/>
      <c r="I1302" s="91"/>
      <c r="J1302" s="234"/>
      <c r="K1302" s="243"/>
      <c r="L1302" s="236"/>
      <c r="M1302" s="236"/>
      <c r="N1302" s="236"/>
      <c r="O1302" s="244"/>
      <c r="P1302" s="244"/>
      <c r="Q1302" s="234"/>
      <c r="R1302" s="234"/>
      <c r="S1302" s="238"/>
      <c r="T1302" s="239"/>
      <c r="U1302" s="238"/>
      <c r="V1302" s="238"/>
      <c r="W1302" s="234"/>
      <c r="X1302" s="234"/>
      <c r="Y1302" s="234"/>
      <c r="Z1302" s="234"/>
      <c r="AA1302" s="234"/>
    </row>
    <row r="1303" ht="15.75" customHeight="1">
      <c r="A1303" s="91"/>
      <c r="B1303" s="91"/>
      <c r="C1303" s="220"/>
      <c r="D1303" s="91"/>
      <c r="E1303" s="221"/>
      <c r="F1303" s="91"/>
      <c r="G1303" s="91"/>
      <c r="H1303" s="242"/>
      <c r="I1303" s="91"/>
      <c r="J1303" s="234"/>
      <c r="K1303" s="243"/>
      <c r="L1303" s="236"/>
      <c r="M1303" s="236"/>
      <c r="N1303" s="236"/>
      <c r="O1303" s="244"/>
      <c r="P1303" s="244"/>
      <c r="Q1303" s="234"/>
      <c r="R1303" s="234"/>
      <c r="S1303" s="238"/>
      <c r="T1303" s="239"/>
      <c r="U1303" s="238"/>
      <c r="V1303" s="238"/>
      <c r="W1303" s="234"/>
      <c r="X1303" s="234"/>
      <c r="Y1303" s="234"/>
      <c r="Z1303" s="234"/>
      <c r="AA1303" s="234"/>
    </row>
    <row r="1304" ht="15.75" customHeight="1">
      <c r="A1304" s="91"/>
      <c r="B1304" s="91"/>
      <c r="C1304" s="220"/>
      <c r="D1304" s="91"/>
      <c r="E1304" s="221"/>
      <c r="F1304" s="91"/>
      <c r="G1304" s="91"/>
      <c r="H1304" s="242"/>
      <c r="I1304" s="91"/>
      <c r="J1304" s="234"/>
      <c r="K1304" s="243"/>
      <c r="L1304" s="236"/>
      <c r="M1304" s="236"/>
      <c r="N1304" s="236"/>
      <c r="O1304" s="244"/>
      <c r="P1304" s="244"/>
      <c r="Q1304" s="234"/>
      <c r="R1304" s="234"/>
      <c r="S1304" s="238"/>
      <c r="T1304" s="239"/>
      <c r="U1304" s="238"/>
      <c r="V1304" s="238"/>
      <c r="W1304" s="234"/>
      <c r="X1304" s="234"/>
      <c r="Y1304" s="234"/>
      <c r="Z1304" s="234"/>
      <c r="AA1304" s="234"/>
    </row>
    <row r="1305" ht="15.75" customHeight="1">
      <c r="A1305" s="91"/>
      <c r="B1305" s="91"/>
      <c r="C1305" s="220"/>
      <c r="D1305" s="91"/>
      <c r="E1305" s="221"/>
      <c r="F1305" s="91"/>
      <c r="G1305" s="91"/>
      <c r="H1305" s="242"/>
      <c r="I1305" s="91"/>
      <c r="J1305" s="234"/>
      <c r="K1305" s="243"/>
      <c r="L1305" s="236"/>
      <c r="M1305" s="236"/>
      <c r="N1305" s="236"/>
      <c r="O1305" s="244"/>
      <c r="P1305" s="244"/>
      <c r="Q1305" s="234"/>
      <c r="R1305" s="234"/>
      <c r="S1305" s="238"/>
      <c r="T1305" s="239"/>
      <c r="U1305" s="238"/>
      <c r="V1305" s="238"/>
      <c r="W1305" s="234"/>
      <c r="X1305" s="234"/>
      <c r="Y1305" s="234"/>
      <c r="Z1305" s="234"/>
      <c r="AA1305" s="234"/>
    </row>
    <row r="1306" ht="15.75" customHeight="1">
      <c r="A1306" s="91"/>
      <c r="B1306" s="91"/>
      <c r="C1306" s="220"/>
      <c r="D1306" s="91"/>
      <c r="E1306" s="221"/>
      <c r="F1306" s="91"/>
      <c r="G1306" s="91"/>
      <c r="H1306" s="242"/>
      <c r="I1306" s="91"/>
      <c r="J1306" s="234"/>
      <c r="K1306" s="243"/>
      <c r="L1306" s="236"/>
      <c r="M1306" s="236"/>
      <c r="N1306" s="236"/>
      <c r="O1306" s="244"/>
      <c r="P1306" s="244"/>
      <c r="Q1306" s="234"/>
      <c r="R1306" s="234"/>
      <c r="S1306" s="238"/>
      <c r="T1306" s="239"/>
      <c r="U1306" s="238"/>
      <c r="V1306" s="238"/>
      <c r="W1306" s="234"/>
      <c r="X1306" s="234"/>
      <c r="Y1306" s="234"/>
      <c r="Z1306" s="234"/>
      <c r="AA1306" s="234"/>
    </row>
    <row r="1307" ht="15.75" customHeight="1">
      <c r="A1307" s="91"/>
      <c r="B1307" s="91"/>
      <c r="C1307" s="220"/>
      <c r="D1307" s="91"/>
      <c r="E1307" s="221"/>
      <c r="F1307" s="91"/>
      <c r="G1307" s="91"/>
      <c r="H1307" s="242"/>
      <c r="I1307" s="91"/>
      <c r="J1307" s="234"/>
      <c r="K1307" s="243"/>
      <c r="L1307" s="236"/>
      <c r="M1307" s="236"/>
      <c r="N1307" s="236"/>
      <c r="O1307" s="244"/>
      <c r="P1307" s="244"/>
      <c r="Q1307" s="234"/>
      <c r="R1307" s="234"/>
      <c r="S1307" s="238"/>
      <c r="T1307" s="239"/>
      <c r="U1307" s="238"/>
      <c r="V1307" s="238"/>
      <c r="W1307" s="234"/>
      <c r="X1307" s="234"/>
      <c r="Y1307" s="234"/>
      <c r="Z1307" s="234"/>
      <c r="AA1307" s="234"/>
    </row>
    <row r="1308" ht="15.75" customHeight="1">
      <c r="A1308" s="91"/>
      <c r="B1308" s="91"/>
      <c r="C1308" s="220"/>
      <c r="D1308" s="91"/>
      <c r="E1308" s="221"/>
      <c r="F1308" s="91"/>
      <c r="G1308" s="91"/>
      <c r="H1308" s="242"/>
      <c r="I1308" s="91"/>
      <c r="J1308" s="234"/>
      <c r="K1308" s="243"/>
      <c r="L1308" s="236"/>
      <c r="M1308" s="236"/>
      <c r="N1308" s="236"/>
      <c r="O1308" s="244"/>
      <c r="P1308" s="244"/>
      <c r="Q1308" s="234"/>
      <c r="R1308" s="234"/>
      <c r="S1308" s="238"/>
      <c r="T1308" s="239"/>
      <c r="U1308" s="238"/>
      <c r="V1308" s="238"/>
      <c r="W1308" s="234"/>
      <c r="X1308" s="234"/>
      <c r="Y1308" s="234"/>
      <c r="Z1308" s="234"/>
      <c r="AA1308" s="234"/>
    </row>
    <row r="1309" ht="15.75" customHeight="1">
      <c r="A1309" s="91"/>
      <c r="B1309" s="91"/>
      <c r="C1309" s="220"/>
      <c r="D1309" s="91"/>
      <c r="E1309" s="221"/>
      <c r="F1309" s="91"/>
      <c r="G1309" s="91"/>
      <c r="H1309" s="242"/>
      <c r="I1309" s="91"/>
      <c r="J1309" s="234"/>
      <c r="K1309" s="243"/>
      <c r="L1309" s="236"/>
      <c r="M1309" s="236"/>
      <c r="N1309" s="236"/>
      <c r="O1309" s="244"/>
      <c r="P1309" s="244"/>
      <c r="Q1309" s="234"/>
      <c r="R1309" s="234"/>
      <c r="S1309" s="238"/>
      <c r="T1309" s="239"/>
      <c r="U1309" s="238"/>
      <c r="V1309" s="238"/>
      <c r="W1309" s="234"/>
      <c r="X1309" s="234"/>
      <c r="Y1309" s="234"/>
      <c r="Z1309" s="234"/>
      <c r="AA1309" s="234"/>
    </row>
    <row r="1310" ht="15.75" customHeight="1">
      <c r="A1310" s="91"/>
      <c r="B1310" s="91"/>
      <c r="C1310" s="220"/>
      <c r="D1310" s="91"/>
      <c r="E1310" s="221"/>
      <c r="F1310" s="91"/>
      <c r="G1310" s="91"/>
      <c r="H1310" s="242"/>
      <c r="I1310" s="91"/>
      <c r="J1310" s="234"/>
      <c r="K1310" s="243"/>
      <c r="L1310" s="236"/>
      <c r="M1310" s="236"/>
      <c r="N1310" s="236"/>
      <c r="O1310" s="244"/>
      <c r="P1310" s="244"/>
      <c r="Q1310" s="234"/>
      <c r="R1310" s="234"/>
      <c r="S1310" s="238"/>
      <c r="T1310" s="239"/>
      <c r="U1310" s="238"/>
      <c r="V1310" s="238"/>
      <c r="W1310" s="234"/>
      <c r="X1310" s="234"/>
      <c r="Y1310" s="234"/>
      <c r="Z1310" s="234"/>
      <c r="AA1310" s="234"/>
    </row>
    <row r="1311" ht="15.75" customHeight="1">
      <c r="A1311" s="91"/>
      <c r="B1311" s="91"/>
      <c r="C1311" s="220"/>
      <c r="D1311" s="91"/>
      <c r="E1311" s="221"/>
      <c r="F1311" s="91"/>
      <c r="G1311" s="91"/>
      <c r="H1311" s="242"/>
      <c r="I1311" s="91"/>
      <c r="J1311" s="234"/>
      <c r="K1311" s="243"/>
      <c r="L1311" s="236"/>
      <c r="M1311" s="236"/>
      <c r="N1311" s="236"/>
      <c r="O1311" s="244"/>
      <c r="P1311" s="244"/>
      <c r="Q1311" s="234"/>
      <c r="R1311" s="234"/>
      <c r="S1311" s="238"/>
      <c r="T1311" s="239"/>
      <c r="U1311" s="238"/>
      <c r="V1311" s="238"/>
      <c r="W1311" s="234"/>
      <c r="X1311" s="234"/>
      <c r="Y1311" s="234"/>
      <c r="Z1311" s="234"/>
      <c r="AA1311" s="234"/>
    </row>
    <row r="1312" ht="15.75" customHeight="1">
      <c r="A1312" s="91"/>
      <c r="B1312" s="91"/>
      <c r="C1312" s="220"/>
      <c r="D1312" s="91"/>
      <c r="E1312" s="221"/>
      <c r="F1312" s="91"/>
      <c r="G1312" s="91"/>
      <c r="H1312" s="242"/>
      <c r="I1312" s="91"/>
      <c r="J1312" s="234"/>
      <c r="K1312" s="243"/>
      <c r="L1312" s="236"/>
      <c r="M1312" s="236"/>
      <c r="N1312" s="236"/>
      <c r="O1312" s="244"/>
      <c r="P1312" s="244"/>
      <c r="Q1312" s="234"/>
      <c r="R1312" s="234"/>
      <c r="S1312" s="238"/>
      <c r="T1312" s="239"/>
      <c r="U1312" s="238"/>
      <c r="V1312" s="238"/>
      <c r="W1312" s="234"/>
      <c r="X1312" s="234"/>
      <c r="Y1312" s="234"/>
      <c r="Z1312" s="234"/>
      <c r="AA1312" s="234"/>
    </row>
    <row r="1313" ht="15.75" customHeight="1">
      <c r="A1313" s="91"/>
      <c r="B1313" s="91"/>
      <c r="C1313" s="220"/>
      <c r="D1313" s="91"/>
      <c r="E1313" s="221"/>
      <c r="F1313" s="91"/>
      <c r="G1313" s="91"/>
      <c r="H1313" s="242"/>
      <c r="I1313" s="91"/>
      <c r="J1313" s="234"/>
      <c r="K1313" s="243"/>
      <c r="L1313" s="236"/>
      <c r="M1313" s="236"/>
      <c r="N1313" s="236"/>
      <c r="O1313" s="244"/>
      <c r="P1313" s="244"/>
      <c r="Q1313" s="234"/>
      <c r="R1313" s="234"/>
      <c r="S1313" s="238"/>
      <c r="T1313" s="239"/>
      <c r="U1313" s="238"/>
      <c r="V1313" s="238"/>
      <c r="W1313" s="234"/>
      <c r="X1313" s="234"/>
      <c r="Y1313" s="234"/>
      <c r="Z1313" s="234"/>
      <c r="AA1313" s="234"/>
    </row>
    <row r="1314" ht="15.75" customHeight="1">
      <c r="A1314" s="91"/>
      <c r="B1314" s="91"/>
      <c r="C1314" s="220"/>
      <c r="D1314" s="91"/>
      <c r="E1314" s="221"/>
      <c r="F1314" s="91"/>
      <c r="G1314" s="91"/>
      <c r="H1314" s="242"/>
      <c r="I1314" s="91"/>
      <c r="J1314" s="234"/>
      <c r="K1314" s="243"/>
      <c r="L1314" s="236"/>
      <c r="M1314" s="236"/>
      <c r="N1314" s="236"/>
      <c r="O1314" s="244"/>
      <c r="P1314" s="244"/>
      <c r="Q1314" s="234"/>
      <c r="R1314" s="234"/>
      <c r="S1314" s="238"/>
      <c r="T1314" s="239"/>
      <c r="U1314" s="238"/>
      <c r="V1314" s="238"/>
      <c r="W1314" s="234"/>
      <c r="X1314" s="234"/>
      <c r="Y1314" s="234"/>
      <c r="Z1314" s="234"/>
      <c r="AA1314" s="234"/>
    </row>
    <row r="1315" ht="15.75" customHeight="1">
      <c r="A1315" s="91"/>
      <c r="B1315" s="91"/>
      <c r="C1315" s="220"/>
      <c r="D1315" s="91"/>
      <c r="E1315" s="221"/>
      <c r="F1315" s="91"/>
      <c r="G1315" s="91"/>
      <c r="H1315" s="242"/>
      <c r="I1315" s="91"/>
      <c r="J1315" s="234"/>
      <c r="K1315" s="243"/>
      <c r="L1315" s="236"/>
      <c r="M1315" s="236"/>
      <c r="N1315" s="236"/>
      <c r="O1315" s="244"/>
      <c r="P1315" s="244"/>
      <c r="Q1315" s="234"/>
      <c r="R1315" s="234"/>
      <c r="S1315" s="238"/>
      <c r="T1315" s="239"/>
      <c r="U1315" s="238"/>
      <c r="V1315" s="238"/>
      <c r="W1315" s="234"/>
      <c r="X1315" s="234"/>
      <c r="Y1315" s="234"/>
      <c r="Z1315" s="234"/>
      <c r="AA1315" s="234"/>
    </row>
    <row r="1316" ht="15.75" customHeight="1">
      <c r="A1316" s="91"/>
      <c r="B1316" s="91"/>
      <c r="C1316" s="220"/>
      <c r="D1316" s="91"/>
      <c r="E1316" s="221"/>
      <c r="F1316" s="91"/>
      <c r="G1316" s="91"/>
      <c r="H1316" s="242"/>
      <c r="I1316" s="91"/>
      <c r="J1316" s="234"/>
      <c r="K1316" s="243"/>
      <c r="L1316" s="236"/>
      <c r="M1316" s="236"/>
      <c r="N1316" s="236"/>
      <c r="O1316" s="244"/>
      <c r="P1316" s="244"/>
      <c r="Q1316" s="234"/>
      <c r="R1316" s="234"/>
      <c r="S1316" s="238"/>
      <c r="T1316" s="239"/>
      <c r="U1316" s="238"/>
      <c r="V1316" s="238"/>
      <c r="W1316" s="234"/>
      <c r="X1316" s="234"/>
      <c r="Y1316" s="234"/>
      <c r="Z1316" s="234"/>
      <c r="AA1316" s="234"/>
    </row>
    <row r="1317" ht="15.75" customHeight="1">
      <c r="A1317" s="91"/>
      <c r="B1317" s="91"/>
      <c r="C1317" s="220"/>
      <c r="D1317" s="91"/>
      <c r="E1317" s="221"/>
      <c r="F1317" s="91"/>
      <c r="G1317" s="91"/>
      <c r="H1317" s="242"/>
      <c r="I1317" s="91"/>
      <c r="J1317" s="234"/>
      <c r="K1317" s="243"/>
      <c r="L1317" s="236"/>
      <c r="M1317" s="236"/>
      <c r="N1317" s="236"/>
      <c r="O1317" s="244"/>
      <c r="P1317" s="244"/>
      <c r="Q1317" s="234"/>
      <c r="R1317" s="234"/>
      <c r="S1317" s="238"/>
      <c r="T1317" s="239"/>
      <c r="U1317" s="238"/>
      <c r="V1317" s="238"/>
      <c r="W1317" s="234"/>
      <c r="X1317" s="234"/>
      <c r="Y1317" s="234"/>
      <c r="Z1317" s="234"/>
      <c r="AA1317" s="234"/>
    </row>
    <row r="1318" ht="15.75" customHeight="1">
      <c r="A1318" s="91"/>
      <c r="B1318" s="91"/>
      <c r="C1318" s="220"/>
      <c r="D1318" s="91"/>
      <c r="E1318" s="221"/>
      <c r="F1318" s="91"/>
      <c r="G1318" s="91"/>
      <c r="H1318" s="242"/>
      <c r="I1318" s="91"/>
      <c r="J1318" s="234"/>
      <c r="K1318" s="243"/>
      <c r="L1318" s="236"/>
      <c r="M1318" s="236"/>
      <c r="N1318" s="236"/>
      <c r="O1318" s="244"/>
      <c r="P1318" s="244"/>
      <c r="Q1318" s="234"/>
      <c r="R1318" s="234"/>
      <c r="S1318" s="238"/>
      <c r="T1318" s="239"/>
      <c r="U1318" s="238"/>
      <c r="V1318" s="238"/>
      <c r="W1318" s="234"/>
      <c r="X1318" s="234"/>
      <c r="Y1318" s="234"/>
      <c r="Z1318" s="234"/>
      <c r="AA1318" s="234"/>
    </row>
    <row r="1319" ht="15.75" customHeight="1">
      <c r="A1319" s="91"/>
      <c r="B1319" s="91"/>
      <c r="C1319" s="220"/>
      <c r="D1319" s="91"/>
      <c r="E1319" s="221"/>
      <c r="F1319" s="91"/>
      <c r="G1319" s="91"/>
      <c r="H1319" s="242"/>
      <c r="I1319" s="91"/>
      <c r="J1319" s="234"/>
      <c r="K1319" s="243"/>
      <c r="L1319" s="236"/>
      <c r="M1319" s="236"/>
      <c r="N1319" s="236"/>
      <c r="O1319" s="244"/>
      <c r="P1319" s="244"/>
      <c r="Q1319" s="234"/>
      <c r="R1319" s="234"/>
      <c r="S1319" s="238"/>
      <c r="T1319" s="239"/>
      <c r="U1319" s="238"/>
      <c r="V1319" s="238"/>
      <c r="W1319" s="234"/>
      <c r="X1319" s="234"/>
      <c r="Y1319" s="234"/>
      <c r="Z1319" s="234"/>
      <c r="AA1319" s="234"/>
    </row>
    <row r="1320" ht="15.75" customHeight="1">
      <c r="A1320" s="91"/>
      <c r="B1320" s="91"/>
      <c r="C1320" s="220"/>
      <c r="D1320" s="91"/>
      <c r="E1320" s="221"/>
      <c r="F1320" s="91"/>
      <c r="G1320" s="91"/>
      <c r="H1320" s="242"/>
      <c r="I1320" s="91"/>
      <c r="J1320" s="234"/>
      <c r="K1320" s="243"/>
      <c r="L1320" s="236"/>
      <c r="M1320" s="236"/>
      <c r="N1320" s="236"/>
      <c r="O1320" s="244"/>
      <c r="P1320" s="244"/>
      <c r="Q1320" s="234"/>
      <c r="R1320" s="234"/>
      <c r="S1320" s="238"/>
      <c r="T1320" s="239"/>
      <c r="U1320" s="238"/>
      <c r="V1320" s="238"/>
      <c r="W1320" s="234"/>
      <c r="X1320" s="234"/>
      <c r="Y1320" s="234"/>
      <c r="Z1320" s="234"/>
      <c r="AA1320" s="234"/>
    </row>
    <row r="1321" ht="15.75" customHeight="1">
      <c r="A1321" s="91"/>
      <c r="B1321" s="91"/>
      <c r="C1321" s="220"/>
      <c r="D1321" s="91"/>
      <c r="E1321" s="221"/>
      <c r="F1321" s="91"/>
      <c r="G1321" s="91"/>
      <c r="H1321" s="242"/>
      <c r="I1321" s="91"/>
      <c r="J1321" s="234"/>
      <c r="K1321" s="243"/>
      <c r="L1321" s="236"/>
      <c r="M1321" s="236"/>
      <c r="N1321" s="236"/>
      <c r="O1321" s="244"/>
      <c r="P1321" s="244"/>
      <c r="Q1321" s="234"/>
      <c r="R1321" s="234"/>
      <c r="S1321" s="238"/>
      <c r="T1321" s="239"/>
      <c r="U1321" s="238"/>
      <c r="V1321" s="238"/>
      <c r="W1321" s="234"/>
      <c r="X1321" s="234"/>
      <c r="Y1321" s="234"/>
      <c r="Z1321" s="234"/>
      <c r="AA1321" s="234"/>
    </row>
    <row r="1322" ht="15.75" customHeight="1">
      <c r="A1322" s="91"/>
      <c r="B1322" s="91"/>
      <c r="C1322" s="220"/>
      <c r="D1322" s="91"/>
      <c r="E1322" s="221"/>
      <c r="F1322" s="91"/>
      <c r="G1322" s="91"/>
      <c r="H1322" s="242"/>
      <c r="I1322" s="91"/>
      <c r="J1322" s="234"/>
      <c r="K1322" s="243"/>
      <c r="L1322" s="236"/>
      <c r="M1322" s="236"/>
      <c r="N1322" s="236"/>
      <c r="O1322" s="244"/>
      <c r="P1322" s="244"/>
      <c r="Q1322" s="234"/>
      <c r="R1322" s="234"/>
      <c r="S1322" s="238"/>
      <c r="T1322" s="239"/>
      <c r="U1322" s="238"/>
      <c r="V1322" s="238"/>
      <c r="W1322" s="234"/>
      <c r="X1322" s="234"/>
      <c r="Y1322" s="234"/>
      <c r="Z1322" s="234"/>
      <c r="AA1322" s="234"/>
    </row>
    <row r="1323" ht="15.75" customHeight="1">
      <c r="A1323" s="91"/>
      <c r="B1323" s="91"/>
      <c r="C1323" s="220"/>
      <c r="D1323" s="91"/>
      <c r="E1323" s="221"/>
      <c r="F1323" s="91"/>
      <c r="G1323" s="91"/>
      <c r="H1323" s="242"/>
      <c r="I1323" s="91"/>
      <c r="J1323" s="234"/>
      <c r="K1323" s="243"/>
      <c r="L1323" s="236"/>
      <c r="M1323" s="236"/>
      <c r="N1323" s="236"/>
      <c r="O1323" s="244"/>
      <c r="P1323" s="244"/>
      <c r="Q1323" s="234"/>
      <c r="R1323" s="234"/>
      <c r="S1323" s="238"/>
      <c r="T1323" s="239"/>
      <c r="U1323" s="238"/>
      <c r="V1323" s="238"/>
      <c r="W1323" s="234"/>
      <c r="X1323" s="234"/>
      <c r="Y1323" s="234"/>
      <c r="Z1323" s="234"/>
      <c r="AA1323" s="234"/>
    </row>
    <row r="1324" ht="15.75" customHeight="1">
      <c r="A1324" s="91"/>
      <c r="B1324" s="91"/>
      <c r="C1324" s="220"/>
      <c r="D1324" s="91"/>
      <c r="E1324" s="221"/>
      <c r="F1324" s="91"/>
      <c r="G1324" s="91"/>
      <c r="H1324" s="242"/>
      <c r="I1324" s="91"/>
      <c r="J1324" s="234"/>
      <c r="K1324" s="243"/>
      <c r="L1324" s="236"/>
      <c r="M1324" s="236"/>
      <c r="N1324" s="236"/>
      <c r="O1324" s="244"/>
      <c r="P1324" s="244"/>
      <c r="Q1324" s="234"/>
      <c r="R1324" s="234"/>
      <c r="S1324" s="238"/>
      <c r="T1324" s="239"/>
      <c r="U1324" s="238"/>
      <c r="V1324" s="238"/>
      <c r="W1324" s="234"/>
      <c r="X1324" s="234"/>
      <c r="Y1324" s="234"/>
      <c r="Z1324" s="234"/>
      <c r="AA1324" s="234"/>
    </row>
    <row r="1325" ht="15.75" customHeight="1">
      <c r="A1325" s="91"/>
      <c r="B1325" s="91"/>
      <c r="C1325" s="220"/>
      <c r="D1325" s="91"/>
      <c r="E1325" s="221"/>
      <c r="F1325" s="91"/>
      <c r="G1325" s="91"/>
      <c r="H1325" s="242"/>
      <c r="I1325" s="91"/>
      <c r="J1325" s="234"/>
      <c r="K1325" s="243"/>
      <c r="L1325" s="236"/>
      <c r="M1325" s="236"/>
      <c r="N1325" s="236"/>
      <c r="O1325" s="244"/>
      <c r="P1325" s="244"/>
      <c r="Q1325" s="234"/>
      <c r="R1325" s="234"/>
      <c r="S1325" s="238"/>
      <c r="T1325" s="239"/>
      <c r="U1325" s="238"/>
      <c r="V1325" s="238"/>
      <c r="W1325" s="234"/>
      <c r="X1325" s="234"/>
      <c r="Y1325" s="234"/>
      <c r="Z1325" s="234"/>
      <c r="AA1325" s="234"/>
    </row>
    <row r="1326" ht="15.75" customHeight="1">
      <c r="A1326" s="91"/>
      <c r="B1326" s="91"/>
      <c r="C1326" s="220"/>
      <c r="D1326" s="91"/>
      <c r="E1326" s="221"/>
      <c r="F1326" s="91"/>
      <c r="G1326" s="91"/>
      <c r="H1326" s="242"/>
      <c r="I1326" s="91"/>
      <c r="J1326" s="234"/>
      <c r="K1326" s="243"/>
      <c r="L1326" s="236"/>
      <c r="M1326" s="236"/>
      <c r="N1326" s="236"/>
      <c r="O1326" s="244"/>
      <c r="P1326" s="244"/>
      <c r="Q1326" s="234"/>
      <c r="R1326" s="234"/>
      <c r="S1326" s="238"/>
      <c r="T1326" s="239"/>
      <c r="U1326" s="238"/>
      <c r="V1326" s="238"/>
      <c r="W1326" s="234"/>
      <c r="X1326" s="234"/>
      <c r="Y1326" s="234"/>
      <c r="Z1326" s="234"/>
      <c r="AA1326" s="234"/>
    </row>
    <row r="1327" ht="15.75" customHeight="1">
      <c r="A1327" s="91"/>
      <c r="B1327" s="91"/>
      <c r="C1327" s="220"/>
      <c r="D1327" s="91"/>
      <c r="E1327" s="221"/>
      <c r="F1327" s="91"/>
      <c r="G1327" s="91"/>
      <c r="H1327" s="242"/>
      <c r="I1327" s="91"/>
      <c r="J1327" s="234"/>
      <c r="K1327" s="243"/>
      <c r="L1327" s="236"/>
      <c r="M1327" s="236"/>
      <c r="N1327" s="236"/>
      <c r="O1327" s="244"/>
      <c r="P1327" s="244"/>
      <c r="Q1327" s="234"/>
      <c r="R1327" s="234"/>
      <c r="S1327" s="238"/>
      <c r="T1327" s="239"/>
      <c r="U1327" s="238"/>
      <c r="V1327" s="238"/>
      <c r="W1327" s="234"/>
      <c r="X1327" s="234"/>
      <c r="Y1327" s="234"/>
      <c r="Z1327" s="234"/>
      <c r="AA1327" s="234"/>
    </row>
    <row r="1328" ht="15.75" customHeight="1">
      <c r="A1328" s="91"/>
      <c r="B1328" s="91"/>
      <c r="C1328" s="220"/>
      <c r="D1328" s="91"/>
      <c r="E1328" s="221"/>
      <c r="F1328" s="91"/>
      <c r="G1328" s="91"/>
      <c r="H1328" s="242"/>
      <c r="I1328" s="91"/>
      <c r="J1328" s="234"/>
      <c r="K1328" s="243"/>
      <c r="L1328" s="236"/>
      <c r="M1328" s="236"/>
      <c r="N1328" s="236"/>
      <c r="O1328" s="244"/>
      <c r="P1328" s="244"/>
      <c r="Q1328" s="234"/>
      <c r="R1328" s="234"/>
      <c r="S1328" s="238"/>
      <c r="T1328" s="239"/>
      <c r="U1328" s="238"/>
      <c r="V1328" s="238"/>
      <c r="W1328" s="234"/>
      <c r="X1328" s="234"/>
      <c r="Y1328" s="234"/>
      <c r="Z1328" s="234"/>
      <c r="AA1328" s="234"/>
    </row>
    <row r="1329" ht="15.75" customHeight="1">
      <c r="A1329" s="91"/>
      <c r="B1329" s="91"/>
      <c r="C1329" s="220"/>
      <c r="D1329" s="91"/>
      <c r="E1329" s="221"/>
      <c r="F1329" s="91"/>
      <c r="G1329" s="91"/>
      <c r="H1329" s="242"/>
      <c r="I1329" s="91"/>
      <c r="J1329" s="234"/>
      <c r="K1329" s="243"/>
      <c r="L1329" s="236"/>
      <c r="M1329" s="236"/>
      <c r="N1329" s="236"/>
      <c r="O1329" s="244"/>
      <c r="P1329" s="244"/>
      <c r="Q1329" s="234"/>
      <c r="R1329" s="234"/>
      <c r="S1329" s="238"/>
      <c r="T1329" s="239"/>
      <c r="U1329" s="238"/>
      <c r="V1329" s="238"/>
      <c r="W1329" s="234"/>
      <c r="X1329" s="234"/>
      <c r="Y1329" s="234"/>
      <c r="Z1329" s="234"/>
      <c r="AA1329" s="234"/>
    </row>
    <row r="1330" ht="15.75" customHeight="1">
      <c r="A1330" s="91"/>
      <c r="B1330" s="91"/>
      <c r="C1330" s="220"/>
      <c r="D1330" s="91"/>
      <c r="E1330" s="221"/>
      <c r="F1330" s="91"/>
      <c r="G1330" s="91"/>
      <c r="H1330" s="242"/>
      <c r="I1330" s="91"/>
      <c r="J1330" s="234"/>
      <c r="K1330" s="243"/>
      <c r="L1330" s="236"/>
      <c r="M1330" s="236"/>
      <c r="N1330" s="236"/>
      <c r="O1330" s="244"/>
      <c r="P1330" s="244"/>
      <c r="Q1330" s="234"/>
      <c r="R1330" s="234"/>
      <c r="S1330" s="238"/>
      <c r="T1330" s="239"/>
      <c r="U1330" s="238"/>
      <c r="V1330" s="238"/>
      <c r="W1330" s="234"/>
      <c r="X1330" s="234"/>
      <c r="Y1330" s="234"/>
      <c r="Z1330" s="234"/>
      <c r="AA1330" s="234"/>
    </row>
    <row r="1331" ht="15.75" customHeight="1">
      <c r="A1331" s="91"/>
      <c r="B1331" s="91"/>
      <c r="C1331" s="220"/>
      <c r="D1331" s="91"/>
      <c r="E1331" s="221"/>
      <c r="F1331" s="91"/>
      <c r="G1331" s="91"/>
      <c r="H1331" s="242"/>
      <c r="I1331" s="91"/>
      <c r="J1331" s="234"/>
      <c r="K1331" s="243"/>
      <c r="L1331" s="236"/>
      <c r="M1331" s="236"/>
      <c r="N1331" s="236"/>
      <c r="O1331" s="244"/>
      <c r="P1331" s="244"/>
      <c r="Q1331" s="234"/>
      <c r="R1331" s="234"/>
      <c r="S1331" s="238"/>
      <c r="T1331" s="239"/>
      <c r="U1331" s="238"/>
      <c r="V1331" s="238"/>
      <c r="W1331" s="234"/>
      <c r="X1331" s="234"/>
      <c r="Y1331" s="234"/>
      <c r="Z1331" s="234"/>
      <c r="AA1331" s="234"/>
    </row>
    <row r="1332" ht="15.75" customHeight="1">
      <c r="A1332" s="91"/>
      <c r="B1332" s="91"/>
      <c r="C1332" s="220"/>
      <c r="D1332" s="91"/>
      <c r="E1332" s="221"/>
      <c r="F1332" s="91"/>
      <c r="G1332" s="91"/>
      <c r="H1332" s="242"/>
      <c r="I1332" s="91"/>
      <c r="J1332" s="234"/>
      <c r="K1332" s="243"/>
      <c r="L1332" s="236"/>
      <c r="M1332" s="236"/>
      <c r="N1332" s="236"/>
      <c r="O1332" s="244"/>
      <c r="P1332" s="244"/>
      <c r="Q1332" s="234"/>
      <c r="R1332" s="234"/>
      <c r="S1332" s="238"/>
      <c r="T1332" s="239"/>
      <c r="U1332" s="238"/>
      <c r="V1332" s="238"/>
      <c r="W1332" s="234"/>
      <c r="X1332" s="234"/>
      <c r="Y1332" s="234"/>
      <c r="Z1332" s="234"/>
      <c r="AA1332" s="234"/>
    </row>
    <row r="1333" ht="15.75" customHeight="1">
      <c r="A1333" s="91"/>
      <c r="B1333" s="91"/>
      <c r="C1333" s="220"/>
      <c r="D1333" s="91"/>
      <c r="E1333" s="221"/>
      <c r="F1333" s="91"/>
      <c r="G1333" s="91"/>
      <c r="H1333" s="242"/>
      <c r="I1333" s="91"/>
      <c r="J1333" s="234"/>
      <c r="K1333" s="243"/>
      <c r="L1333" s="236"/>
      <c r="M1333" s="236"/>
      <c r="N1333" s="236"/>
      <c r="O1333" s="244"/>
      <c r="P1333" s="244"/>
      <c r="Q1333" s="234"/>
      <c r="R1333" s="234"/>
      <c r="S1333" s="238"/>
      <c r="T1333" s="239"/>
      <c r="U1333" s="238"/>
      <c r="V1333" s="238"/>
      <c r="W1333" s="234"/>
      <c r="X1333" s="234"/>
      <c r="Y1333" s="234"/>
      <c r="Z1333" s="234"/>
      <c r="AA1333" s="234"/>
    </row>
    <row r="1334" ht="15.75" customHeight="1">
      <c r="A1334" s="91"/>
      <c r="B1334" s="91"/>
      <c r="C1334" s="220"/>
      <c r="D1334" s="91"/>
      <c r="E1334" s="221"/>
      <c r="F1334" s="91"/>
      <c r="G1334" s="91"/>
      <c r="H1334" s="242"/>
      <c r="I1334" s="91"/>
      <c r="J1334" s="234"/>
      <c r="K1334" s="243"/>
      <c r="L1334" s="236"/>
      <c r="M1334" s="236"/>
      <c r="N1334" s="236"/>
      <c r="O1334" s="244"/>
      <c r="P1334" s="244"/>
      <c r="Q1334" s="234"/>
      <c r="R1334" s="234"/>
      <c r="S1334" s="238"/>
      <c r="T1334" s="239"/>
      <c r="U1334" s="238"/>
      <c r="V1334" s="238"/>
      <c r="W1334" s="234"/>
      <c r="X1334" s="234"/>
      <c r="Y1334" s="234"/>
      <c r="Z1334" s="234"/>
      <c r="AA1334" s="234"/>
    </row>
    <row r="1335" ht="15.75" customHeight="1">
      <c r="A1335" s="91"/>
      <c r="B1335" s="91"/>
      <c r="C1335" s="220"/>
      <c r="D1335" s="91"/>
      <c r="E1335" s="221"/>
      <c r="F1335" s="91"/>
      <c r="G1335" s="91"/>
      <c r="H1335" s="242"/>
      <c r="I1335" s="91"/>
      <c r="J1335" s="234"/>
      <c r="K1335" s="243"/>
      <c r="L1335" s="236"/>
      <c r="M1335" s="236"/>
      <c r="N1335" s="236"/>
      <c r="O1335" s="244"/>
      <c r="P1335" s="244"/>
      <c r="Q1335" s="234"/>
      <c r="R1335" s="234"/>
      <c r="S1335" s="238"/>
      <c r="T1335" s="239"/>
      <c r="U1335" s="238"/>
      <c r="V1335" s="238"/>
      <c r="W1335" s="234"/>
      <c r="X1335" s="234"/>
      <c r="Y1335" s="234"/>
      <c r="Z1335" s="234"/>
      <c r="AA1335" s="234"/>
    </row>
    <row r="1336" ht="15.75" customHeight="1">
      <c r="A1336" s="91"/>
      <c r="B1336" s="91"/>
      <c r="C1336" s="220"/>
      <c r="D1336" s="91"/>
      <c r="E1336" s="221"/>
      <c r="F1336" s="91"/>
      <c r="G1336" s="91"/>
      <c r="H1336" s="242"/>
      <c r="I1336" s="91"/>
      <c r="J1336" s="234"/>
      <c r="K1336" s="243"/>
      <c r="L1336" s="236"/>
      <c r="M1336" s="236"/>
      <c r="N1336" s="236"/>
      <c r="O1336" s="244"/>
      <c r="P1336" s="244"/>
      <c r="Q1336" s="234"/>
      <c r="R1336" s="234"/>
      <c r="S1336" s="238"/>
      <c r="T1336" s="239"/>
      <c r="U1336" s="238"/>
      <c r="V1336" s="238"/>
      <c r="W1336" s="234"/>
      <c r="X1336" s="234"/>
      <c r="Y1336" s="234"/>
      <c r="Z1336" s="234"/>
      <c r="AA1336" s="234"/>
    </row>
    <row r="1337" ht="15.75" customHeight="1">
      <c r="A1337" s="91"/>
      <c r="B1337" s="91"/>
      <c r="C1337" s="220"/>
      <c r="D1337" s="91"/>
      <c r="E1337" s="221"/>
      <c r="F1337" s="91"/>
      <c r="G1337" s="91"/>
      <c r="H1337" s="242"/>
      <c r="I1337" s="91"/>
      <c r="J1337" s="234"/>
      <c r="K1337" s="243"/>
      <c r="L1337" s="236"/>
      <c r="M1337" s="236"/>
      <c r="N1337" s="236"/>
      <c r="O1337" s="244"/>
      <c r="P1337" s="244"/>
      <c r="Q1337" s="234"/>
      <c r="R1337" s="234"/>
      <c r="S1337" s="238"/>
      <c r="T1337" s="239"/>
      <c r="U1337" s="238"/>
      <c r="V1337" s="238"/>
      <c r="W1337" s="234"/>
      <c r="X1337" s="234"/>
      <c r="Y1337" s="234"/>
      <c r="Z1337" s="234"/>
      <c r="AA1337" s="234"/>
    </row>
    <row r="1338" ht="15.75" customHeight="1">
      <c r="A1338" s="91"/>
      <c r="B1338" s="91"/>
      <c r="C1338" s="220"/>
      <c r="D1338" s="91"/>
      <c r="E1338" s="221"/>
      <c r="F1338" s="91"/>
      <c r="G1338" s="91"/>
      <c r="H1338" s="242"/>
      <c r="I1338" s="91"/>
      <c r="J1338" s="234"/>
      <c r="K1338" s="243"/>
      <c r="L1338" s="236"/>
      <c r="M1338" s="236"/>
      <c r="N1338" s="236"/>
      <c r="O1338" s="244"/>
      <c r="P1338" s="244"/>
      <c r="Q1338" s="234"/>
      <c r="R1338" s="234"/>
      <c r="S1338" s="238"/>
      <c r="T1338" s="239"/>
      <c r="U1338" s="238"/>
      <c r="V1338" s="238"/>
      <c r="W1338" s="234"/>
      <c r="X1338" s="234"/>
      <c r="Y1338" s="234"/>
      <c r="Z1338" s="234"/>
      <c r="AA1338" s="234"/>
    </row>
    <row r="1339" ht="15.75" customHeight="1">
      <c r="A1339" s="91"/>
      <c r="B1339" s="91"/>
      <c r="C1339" s="220"/>
      <c r="D1339" s="91"/>
      <c r="E1339" s="221"/>
      <c r="F1339" s="91"/>
      <c r="G1339" s="91"/>
      <c r="H1339" s="242"/>
      <c r="I1339" s="91"/>
      <c r="J1339" s="234"/>
      <c r="K1339" s="243"/>
      <c r="L1339" s="236"/>
      <c r="M1339" s="236"/>
      <c r="N1339" s="236"/>
      <c r="O1339" s="244"/>
      <c r="P1339" s="244"/>
      <c r="Q1339" s="234"/>
      <c r="R1339" s="234"/>
      <c r="S1339" s="238"/>
      <c r="T1339" s="239"/>
      <c r="U1339" s="238"/>
      <c r="V1339" s="238"/>
      <c r="W1339" s="234"/>
      <c r="X1339" s="234"/>
      <c r="Y1339" s="234"/>
      <c r="Z1339" s="234"/>
      <c r="AA1339" s="234"/>
    </row>
    <row r="1340" ht="15.75" customHeight="1">
      <c r="A1340" s="91"/>
      <c r="B1340" s="91"/>
      <c r="C1340" s="220"/>
      <c r="D1340" s="91"/>
      <c r="E1340" s="221"/>
      <c r="F1340" s="91"/>
      <c r="G1340" s="91"/>
      <c r="H1340" s="242"/>
      <c r="I1340" s="91"/>
      <c r="J1340" s="234"/>
      <c r="K1340" s="243"/>
      <c r="L1340" s="236"/>
      <c r="M1340" s="236"/>
      <c r="N1340" s="236"/>
      <c r="O1340" s="244"/>
      <c r="P1340" s="244"/>
      <c r="Q1340" s="234"/>
      <c r="R1340" s="234"/>
      <c r="S1340" s="238"/>
      <c r="T1340" s="239"/>
      <c r="U1340" s="238"/>
      <c r="V1340" s="238"/>
      <c r="W1340" s="234"/>
      <c r="X1340" s="234"/>
      <c r="Y1340" s="234"/>
      <c r="Z1340" s="234"/>
      <c r="AA1340" s="234"/>
    </row>
    <row r="1341" ht="15.75" customHeight="1">
      <c r="A1341" s="91"/>
      <c r="B1341" s="91"/>
      <c r="C1341" s="220"/>
      <c r="D1341" s="91"/>
      <c r="E1341" s="221"/>
      <c r="F1341" s="91"/>
      <c r="G1341" s="91"/>
      <c r="H1341" s="242"/>
      <c r="I1341" s="91"/>
      <c r="J1341" s="234"/>
      <c r="K1341" s="243"/>
      <c r="L1341" s="236"/>
      <c r="M1341" s="236"/>
      <c r="N1341" s="236"/>
      <c r="O1341" s="244"/>
      <c r="P1341" s="244"/>
      <c r="Q1341" s="234"/>
      <c r="R1341" s="234"/>
      <c r="S1341" s="238"/>
      <c r="T1341" s="239"/>
      <c r="U1341" s="238"/>
      <c r="V1341" s="238"/>
      <c r="W1341" s="234"/>
      <c r="X1341" s="234"/>
      <c r="Y1341" s="234"/>
      <c r="Z1341" s="234"/>
      <c r="AA1341" s="234"/>
    </row>
    <row r="1342" ht="15.75" customHeight="1">
      <c r="A1342" s="91"/>
      <c r="B1342" s="91"/>
      <c r="C1342" s="220"/>
      <c r="D1342" s="91"/>
      <c r="E1342" s="221"/>
      <c r="F1342" s="91"/>
      <c r="G1342" s="91"/>
      <c r="H1342" s="242"/>
      <c r="I1342" s="91"/>
      <c r="J1342" s="234"/>
      <c r="K1342" s="243"/>
      <c r="L1342" s="236"/>
      <c r="M1342" s="236"/>
      <c r="N1342" s="236"/>
      <c r="O1342" s="244"/>
      <c r="P1342" s="244"/>
      <c r="Q1342" s="234"/>
      <c r="R1342" s="234"/>
      <c r="S1342" s="238"/>
      <c r="T1342" s="239"/>
      <c r="U1342" s="238"/>
      <c r="V1342" s="238"/>
      <c r="W1342" s="234"/>
      <c r="X1342" s="234"/>
      <c r="Y1342" s="234"/>
      <c r="Z1342" s="234"/>
      <c r="AA1342" s="234"/>
    </row>
    <row r="1343" ht="15.75" customHeight="1">
      <c r="A1343" s="91"/>
      <c r="B1343" s="91"/>
      <c r="C1343" s="220"/>
      <c r="D1343" s="91"/>
      <c r="E1343" s="221"/>
      <c r="F1343" s="91"/>
      <c r="G1343" s="91"/>
      <c r="H1343" s="242"/>
      <c r="I1343" s="91"/>
      <c r="J1343" s="234"/>
      <c r="K1343" s="243"/>
      <c r="L1343" s="236"/>
      <c r="M1343" s="236"/>
      <c r="N1343" s="236"/>
      <c r="O1343" s="244"/>
      <c r="P1343" s="244"/>
      <c r="Q1343" s="234"/>
      <c r="R1343" s="234"/>
      <c r="S1343" s="238"/>
      <c r="T1343" s="239"/>
      <c r="U1343" s="238"/>
      <c r="V1343" s="238"/>
      <c r="W1343" s="234"/>
      <c r="X1343" s="234"/>
      <c r="Y1343" s="234"/>
      <c r="Z1343" s="234"/>
      <c r="AA1343" s="234"/>
    </row>
    <row r="1344" ht="15.75" customHeight="1">
      <c r="A1344" s="91"/>
      <c r="B1344" s="91"/>
      <c r="C1344" s="220"/>
      <c r="D1344" s="91"/>
      <c r="E1344" s="221"/>
      <c r="F1344" s="91"/>
      <c r="G1344" s="91"/>
      <c r="H1344" s="242"/>
      <c r="I1344" s="91"/>
      <c r="J1344" s="234"/>
      <c r="K1344" s="243"/>
      <c r="L1344" s="236"/>
      <c r="M1344" s="236"/>
      <c r="N1344" s="236"/>
      <c r="O1344" s="244"/>
      <c r="P1344" s="244"/>
      <c r="Q1344" s="234"/>
      <c r="R1344" s="234"/>
      <c r="S1344" s="238"/>
      <c r="T1344" s="239"/>
      <c r="U1344" s="238"/>
      <c r="V1344" s="238"/>
      <c r="W1344" s="234"/>
      <c r="X1344" s="234"/>
      <c r="Y1344" s="234"/>
      <c r="Z1344" s="234"/>
      <c r="AA1344" s="234"/>
    </row>
    <row r="1345" ht="15.75" customHeight="1">
      <c r="A1345" s="91"/>
      <c r="B1345" s="91"/>
      <c r="C1345" s="220"/>
      <c r="D1345" s="91"/>
      <c r="E1345" s="221"/>
      <c r="F1345" s="91"/>
      <c r="G1345" s="91"/>
      <c r="H1345" s="242"/>
      <c r="I1345" s="91"/>
      <c r="J1345" s="234"/>
      <c r="K1345" s="243"/>
      <c r="L1345" s="236"/>
      <c r="M1345" s="236"/>
      <c r="N1345" s="236"/>
      <c r="O1345" s="244"/>
      <c r="P1345" s="244"/>
      <c r="Q1345" s="234"/>
      <c r="R1345" s="234"/>
      <c r="S1345" s="238"/>
      <c r="T1345" s="239"/>
      <c r="U1345" s="238"/>
      <c r="V1345" s="238"/>
      <c r="W1345" s="234"/>
      <c r="X1345" s="234"/>
      <c r="Y1345" s="234"/>
      <c r="Z1345" s="234"/>
      <c r="AA1345" s="234"/>
    </row>
    <row r="1346" ht="15.75" customHeight="1">
      <c r="A1346" s="91"/>
      <c r="B1346" s="91"/>
      <c r="C1346" s="220"/>
      <c r="D1346" s="91"/>
      <c r="E1346" s="221"/>
      <c r="F1346" s="91"/>
      <c r="G1346" s="91"/>
      <c r="H1346" s="242"/>
      <c r="I1346" s="91"/>
      <c r="J1346" s="234"/>
      <c r="K1346" s="243"/>
      <c r="L1346" s="236"/>
      <c r="M1346" s="236"/>
      <c r="N1346" s="236"/>
      <c r="O1346" s="244"/>
      <c r="P1346" s="244"/>
      <c r="Q1346" s="234"/>
      <c r="R1346" s="234"/>
      <c r="S1346" s="238"/>
      <c r="T1346" s="239"/>
      <c r="U1346" s="238"/>
      <c r="V1346" s="238"/>
      <c r="W1346" s="234"/>
      <c r="X1346" s="234"/>
      <c r="Y1346" s="234"/>
      <c r="Z1346" s="234"/>
      <c r="AA1346" s="234"/>
    </row>
    <row r="1347" ht="15.75" customHeight="1">
      <c r="A1347" s="91"/>
      <c r="B1347" s="91"/>
      <c r="C1347" s="220"/>
      <c r="D1347" s="91"/>
      <c r="E1347" s="221"/>
      <c r="F1347" s="91"/>
      <c r="G1347" s="91"/>
      <c r="H1347" s="242"/>
      <c r="I1347" s="91"/>
      <c r="J1347" s="234"/>
      <c r="K1347" s="243"/>
      <c r="L1347" s="236"/>
      <c r="M1347" s="236"/>
      <c r="N1347" s="236"/>
      <c r="O1347" s="244"/>
      <c r="P1347" s="244"/>
      <c r="Q1347" s="234"/>
      <c r="R1347" s="234"/>
      <c r="S1347" s="238"/>
      <c r="T1347" s="239"/>
      <c r="U1347" s="238"/>
      <c r="V1347" s="238"/>
      <c r="W1347" s="234"/>
      <c r="X1347" s="234"/>
      <c r="Y1347" s="234"/>
      <c r="Z1347" s="234"/>
      <c r="AA1347" s="234"/>
    </row>
    <row r="1348" ht="15.75" customHeight="1">
      <c r="A1348" s="91"/>
      <c r="B1348" s="91"/>
      <c r="C1348" s="220"/>
      <c r="D1348" s="91"/>
      <c r="E1348" s="221"/>
      <c r="F1348" s="91"/>
      <c r="G1348" s="91"/>
      <c r="H1348" s="242"/>
      <c r="I1348" s="91"/>
      <c r="J1348" s="234"/>
      <c r="K1348" s="243"/>
      <c r="L1348" s="236"/>
      <c r="M1348" s="236"/>
      <c r="N1348" s="236"/>
      <c r="O1348" s="244"/>
      <c r="P1348" s="244"/>
      <c r="Q1348" s="234"/>
      <c r="R1348" s="234"/>
      <c r="S1348" s="238"/>
      <c r="T1348" s="239"/>
      <c r="U1348" s="238"/>
      <c r="V1348" s="238"/>
      <c r="W1348" s="234"/>
      <c r="X1348" s="234"/>
      <c r="Y1348" s="234"/>
      <c r="Z1348" s="234"/>
      <c r="AA1348" s="234"/>
    </row>
    <row r="1349" ht="15.75" customHeight="1">
      <c r="A1349" s="91"/>
      <c r="B1349" s="91"/>
      <c r="C1349" s="220"/>
      <c r="D1349" s="91"/>
      <c r="E1349" s="221"/>
      <c r="F1349" s="91"/>
      <c r="G1349" s="91"/>
      <c r="H1349" s="242"/>
      <c r="I1349" s="91"/>
      <c r="J1349" s="234"/>
      <c r="K1349" s="243"/>
      <c r="L1349" s="236"/>
      <c r="M1349" s="236"/>
      <c r="N1349" s="236"/>
      <c r="O1349" s="244"/>
      <c r="P1349" s="244"/>
      <c r="Q1349" s="234"/>
      <c r="R1349" s="234"/>
      <c r="S1349" s="238"/>
      <c r="T1349" s="239"/>
      <c r="U1349" s="238"/>
      <c r="V1349" s="238"/>
      <c r="W1349" s="234"/>
      <c r="X1349" s="234"/>
      <c r="Y1349" s="234"/>
      <c r="Z1349" s="234"/>
      <c r="AA1349" s="234"/>
    </row>
    <row r="1350" ht="15.75" customHeight="1">
      <c r="A1350" s="91"/>
      <c r="B1350" s="91"/>
      <c r="C1350" s="220"/>
      <c r="D1350" s="91"/>
      <c r="E1350" s="221"/>
      <c r="F1350" s="91"/>
      <c r="G1350" s="91"/>
      <c r="H1350" s="242"/>
      <c r="I1350" s="91"/>
      <c r="J1350" s="234"/>
      <c r="K1350" s="243"/>
      <c r="L1350" s="236"/>
      <c r="M1350" s="236"/>
      <c r="N1350" s="236"/>
      <c r="O1350" s="244"/>
      <c r="P1350" s="244"/>
      <c r="Q1350" s="234"/>
      <c r="R1350" s="234"/>
      <c r="S1350" s="238"/>
      <c r="T1350" s="239"/>
      <c r="U1350" s="238"/>
      <c r="V1350" s="238"/>
      <c r="W1350" s="234"/>
      <c r="X1350" s="234"/>
      <c r="Y1350" s="234"/>
      <c r="Z1350" s="234"/>
      <c r="AA1350" s="234"/>
    </row>
    <row r="1351" ht="15.75" customHeight="1">
      <c r="A1351" s="91"/>
      <c r="B1351" s="91"/>
      <c r="C1351" s="220"/>
      <c r="D1351" s="91"/>
      <c r="E1351" s="221"/>
      <c r="F1351" s="91"/>
      <c r="G1351" s="91"/>
      <c r="H1351" s="242"/>
      <c r="I1351" s="91"/>
      <c r="J1351" s="234"/>
      <c r="K1351" s="243"/>
      <c r="L1351" s="236"/>
      <c r="M1351" s="236"/>
      <c r="N1351" s="236"/>
      <c r="O1351" s="244"/>
      <c r="P1351" s="244"/>
      <c r="Q1351" s="234"/>
      <c r="R1351" s="234"/>
      <c r="S1351" s="238"/>
      <c r="T1351" s="239"/>
      <c r="U1351" s="238"/>
      <c r="V1351" s="238"/>
      <c r="W1351" s="234"/>
      <c r="X1351" s="234"/>
      <c r="Y1351" s="234"/>
      <c r="Z1351" s="234"/>
      <c r="AA1351" s="234"/>
    </row>
    <row r="1352" ht="15.75" customHeight="1">
      <c r="A1352" s="91"/>
      <c r="B1352" s="91"/>
      <c r="C1352" s="220"/>
      <c r="D1352" s="91"/>
      <c r="E1352" s="221"/>
      <c r="F1352" s="91"/>
      <c r="G1352" s="91"/>
      <c r="H1352" s="242"/>
      <c r="I1352" s="91"/>
      <c r="J1352" s="234"/>
      <c r="K1352" s="243"/>
      <c r="L1352" s="236"/>
      <c r="M1352" s="236"/>
      <c r="N1352" s="236"/>
      <c r="O1352" s="244"/>
      <c r="P1352" s="244"/>
      <c r="Q1352" s="234"/>
      <c r="R1352" s="234"/>
      <c r="S1352" s="238"/>
      <c r="T1352" s="239"/>
      <c r="U1352" s="238"/>
      <c r="V1352" s="238"/>
      <c r="W1352" s="234"/>
      <c r="X1352" s="234"/>
      <c r="Y1352" s="234"/>
      <c r="Z1352" s="234"/>
      <c r="AA1352" s="234"/>
    </row>
    <row r="1353" ht="15.75" customHeight="1">
      <c r="A1353" s="91"/>
      <c r="B1353" s="91"/>
      <c r="C1353" s="220"/>
      <c r="D1353" s="91"/>
      <c r="E1353" s="221"/>
      <c r="F1353" s="91"/>
      <c r="G1353" s="91"/>
      <c r="H1353" s="242"/>
      <c r="I1353" s="91"/>
      <c r="J1353" s="234"/>
      <c r="K1353" s="243"/>
      <c r="L1353" s="236"/>
      <c r="M1353" s="236"/>
      <c r="N1353" s="236"/>
      <c r="O1353" s="244"/>
      <c r="P1353" s="244"/>
      <c r="Q1353" s="234"/>
      <c r="R1353" s="234"/>
      <c r="S1353" s="238"/>
      <c r="T1353" s="239"/>
      <c r="U1353" s="238"/>
      <c r="V1353" s="238"/>
      <c r="W1353" s="234"/>
      <c r="X1353" s="234"/>
      <c r="Y1353" s="234"/>
      <c r="Z1353" s="234"/>
      <c r="AA1353" s="234"/>
    </row>
    <row r="1354" ht="15.75" customHeight="1">
      <c r="A1354" s="91"/>
      <c r="B1354" s="91"/>
      <c r="C1354" s="220"/>
      <c r="D1354" s="91"/>
      <c r="E1354" s="221"/>
      <c r="F1354" s="91"/>
      <c r="G1354" s="91"/>
      <c r="H1354" s="242"/>
      <c r="I1354" s="91"/>
      <c r="J1354" s="234"/>
      <c r="K1354" s="243"/>
      <c r="L1354" s="236"/>
      <c r="M1354" s="236"/>
      <c r="N1354" s="236"/>
      <c r="O1354" s="244"/>
      <c r="P1354" s="244"/>
      <c r="Q1354" s="234"/>
      <c r="R1354" s="234"/>
      <c r="S1354" s="238"/>
      <c r="T1354" s="239"/>
      <c r="U1354" s="238"/>
      <c r="V1354" s="238"/>
      <c r="W1354" s="234"/>
      <c r="X1354" s="234"/>
      <c r="Y1354" s="234"/>
      <c r="Z1354" s="234"/>
      <c r="AA1354" s="234"/>
    </row>
    <row r="1355" ht="15.75" customHeight="1">
      <c r="A1355" s="91"/>
      <c r="B1355" s="91"/>
      <c r="C1355" s="220"/>
      <c r="D1355" s="91"/>
      <c r="E1355" s="221"/>
      <c r="F1355" s="91"/>
      <c r="G1355" s="91"/>
      <c r="H1355" s="242"/>
      <c r="I1355" s="91"/>
      <c r="J1355" s="234"/>
      <c r="K1355" s="243"/>
      <c r="L1355" s="236"/>
      <c r="M1355" s="236"/>
      <c r="N1355" s="236"/>
      <c r="O1355" s="244"/>
      <c r="P1355" s="244"/>
      <c r="Q1355" s="234"/>
      <c r="R1355" s="234"/>
      <c r="S1355" s="238"/>
      <c r="T1355" s="239"/>
      <c r="U1355" s="238"/>
      <c r="V1355" s="238"/>
      <c r="W1355" s="234"/>
      <c r="X1355" s="234"/>
      <c r="Y1355" s="234"/>
      <c r="Z1355" s="234"/>
      <c r="AA1355" s="234"/>
    </row>
    <row r="1356" ht="15.75" customHeight="1">
      <c r="A1356" s="91"/>
      <c r="B1356" s="91"/>
      <c r="C1356" s="220"/>
      <c r="D1356" s="91"/>
      <c r="E1356" s="221"/>
      <c r="F1356" s="91"/>
      <c r="G1356" s="91"/>
      <c r="H1356" s="242"/>
      <c r="I1356" s="91"/>
      <c r="J1356" s="234"/>
      <c r="K1356" s="243"/>
      <c r="L1356" s="236"/>
      <c r="M1356" s="236"/>
      <c r="N1356" s="236"/>
      <c r="O1356" s="244"/>
      <c r="P1356" s="244"/>
      <c r="Q1356" s="234"/>
      <c r="R1356" s="234"/>
      <c r="S1356" s="238"/>
      <c r="T1356" s="239"/>
      <c r="U1356" s="238"/>
      <c r="V1356" s="238"/>
      <c r="W1356" s="234"/>
      <c r="X1356" s="234"/>
      <c r="Y1356" s="234"/>
      <c r="Z1356" s="234"/>
      <c r="AA1356" s="234"/>
    </row>
    <row r="1357" ht="15.75" customHeight="1">
      <c r="A1357" s="91"/>
      <c r="B1357" s="91"/>
      <c r="C1357" s="220"/>
      <c r="D1357" s="91"/>
      <c r="E1357" s="221"/>
      <c r="F1357" s="91"/>
      <c r="G1357" s="91"/>
      <c r="H1357" s="242"/>
      <c r="I1357" s="91"/>
      <c r="J1357" s="234"/>
      <c r="K1357" s="243"/>
      <c r="L1357" s="236"/>
      <c r="M1357" s="236"/>
      <c r="N1357" s="236"/>
      <c r="O1357" s="244"/>
      <c r="P1357" s="244"/>
      <c r="Q1357" s="234"/>
      <c r="R1357" s="234"/>
      <c r="S1357" s="238"/>
      <c r="T1357" s="239"/>
      <c r="U1357" s="238"/>
      <c r="V1357" s="238"/>
      <c r="W1357" s="234"/>
      <c r="X1357" s="234"/>
      <c r="Y1357" s="234"/>
      <c r="Z1357" s="234"/>
      <c r="AA1357" s="234"/>
    </row>
    <row r="1358" ht="15.75" customHeight="1">
      <c r="A1358" s="91"/>
      <c r="B1358" s="91"/>
      <c r="C1358" s="220"/>
      <c r="D1358" s="91"/>
      <c r="E1358" s="221"/>
      <c r="F1358" s="91"/>
      <c r="G1358" s="91"/>
      <c r="H1358" s="242"/>
      <c r="I1358" s="91"/>
      <c r="J1358" s="234"/>
      <c r="K1358" s="243"/>
      <c r="L1358" s="236"/>
      <c r="M1358" s="236"/>
      <c r="N1358" s="236"/>
      <c r="O1358" s="244"/>
      <c r="P1358" s="244"/>
      <c r="Q1358" s="234"/>
      <c r="R1358" s="234"/>
      <c r="S1358" s="238"/>
      <c r="T1358" s="239"/>
      <c r="U1358" s="238"/>
      <c r="V1358" s="238"/>
      <c r="W1358" s="234"/>
      <c r="X1358" s="234"/>
      <c r="Y1358" s="234"/>
      <c r="Z1358" s="234"/>
      <c r="AA1358" s="234"/>
    </row>
    <row r="1359" ht="15.75" customHeight="1">
      <c r="A1359" s="91"/>
      <c r="B1359" s="91"/>
      <c r="C1359" s="220"/>
      <c r="D1359" s="91"/>
      <c r="E1359" s="221"/>
      <c r="F1359" s="91"/>
      <c r="G1359" s="91"/>
      <c r="H1359" s="242"/>
      <c r="I1359" s="91"/>
      <c r="J1359" s="234"/>
      <c r="K1359" s="243"/>
      <c r="L1359" s="236"/>
      <c r="M1359" s="236"/>
      <c r="N1359" s="236"/>
      <c r="O1359" s="244"/>
      <c r="P1359" s="244"/>
      <c r="Q1359" s="234"/>
      <c r="R1359" s="234"/>
      <c r="S1359" s="238"/>
      <c r="T1359" s="239"/>
      <c r="U1359" s="238"/>
      <c r="V1359" s="238"/>
      <c r="W1359" s="234"/>
      <c r="X1359" s="234"/>
      <c r="Y1359" s="234"/>
      <c r="Z1359" s="234"/>
      <c r="AA1359" s="234"/>
    </row>
    <row r="1360" ht="15.75" customHeight="1">
      <c r="A1360" s="91"/>
      <c r="B1360" s="91"/>
      <c r="C1360" s="220"/>
      <c r="D1360" s="91"/>
      <c r="E1360" s="221"/>
      <c r="F1360" s="91"/>
      <c r="G1360" s="91"/>
      <c r="H1360" s="242"/>
      <c r="I1360" s="91"/>
      <c r="J1360" s="234"/>
      <c r="K1360" s="243"/>
      <c r="L1360" s="236"/>
      <c r="M1360" s="236"/>
      <c r="N1360" s="236"/>
      <c r="O1360" s="244"/>
      <c r="P1360" s="244"/>
      <c r="Q1360" s="234"/>
      <c r="R1360" s="234"/>
      <c r="S1360" s="238"/>
      <c r="T1360" s="239"/>
      <c r="U1360" s="238"/>
      <c r="V1360" s="238"/>
      <c r="W1360" s="234"/>
      <c r="X1360" s="234"/>
      <c r="Y1360" s="234"/>
      <c r="Z1360" s="234"/>
      <c r="AA1360" s="234"/>
    </row>
    <row r="1361" ht="15.75" customHeight="1">
      <c r="A1361" s="91"/>
      <c r="B1361" s="91"/>
      <c r="C1361" s="220"/>
      <c r="D1361" s="91"/>
      <c r="E1361" s="221"/>
      <c r="F1361" s="91"/>
      <c r="G1361" s="91"/>
      <c r="H1361" s="242"/>
      <c r="I1361" s="91"/>
      <c r="J1361" s="234"/>
      <c r="K1361" s="243"/>
      <c r="L1361" s="236"/>
      <c r="M1361" s="236"/>
      <c r="N1361" s="236"/>
      <c r="O1361" s="244"/>
      <c r="P1361" s="244"/>
      <c r="Q1361" s="234"/>
      <c r="R1361" s="234"/>
      <c r="S1361" s="238"/>
      <c r="T1361" s="239"/>
      <c r="U1361" s="238"/>
      <c r="V1361" s="238"/>
      <c r="W1361" s="234"/>
      <c r="X1361" s="234"/>
      <c r="Y1361" s="234"/>
      <c r="Z1361" s="234"/>
      <c r="AA1361" s="234"/>
    </row>
    <row r="1362" ht="15.75" customHeight="1">
      <c r="A1362" s="91"/>
      <c r="B1362" s="91"/>
      <c r="C1362" s="220"/>
      <c r="D1362" s="91"/>
      <c r="E1362" s="221"/>
      <c r="F1362" s="91"/>
      <c r="G1362" s="91"/>
      <c r="H1362" s="242"/>
      <c r="I1362" s="91"/>
      <c r="J1362" s="234"/>
      <c r="K1362" s="243"/>
      <c r="L1362" s="236"/>
      <c r="M1362" s="236"/>
      <c r="N1362" s="236"/>
      <c r="O1362" s="244"/>
      <c r="P1362" s="244"/>
      <c r="Q1362" s="234"/>
      <c r="R1362" s="234"/>
      <c r="S1362" s="238"/>
      <c r="T1362" s="239"/>
      <c r="U1362" s="238"/>
      <c r="V1362" s="238"/>
      <c r="W1362" s="234"/>
      <c r="X1362" s="234"/>
      <c r="Y1362" s="234"/>
      <c r="Z1362" s="234"/>
      <c r="AA1362" s="234"/>
    </row>
    <row r="1363" ht="15.75" customHeight="1">
      <c r="A1363" s="91"/>
      <c r="B1363" s="91"/>
      <c r="C1363" s="220"/>
      <c r="D1363" s="91"/>
      <c r="E1363" s="221"/>
      <c r="F1363" s="91"/>
      <c r="G1363" s="91"/>
      <c r="H1363" s="242"/>
      <c r="I1363" s="91"/>
      <c r="J1363" s="234"/>
      <c r="K1363" s="243"/>
      <c r="L1363" s="236"/>
      <c r="M1363" s="236"/>
      <c r="N1363" s="236"/>
      <c r="O1363" s="244"/>
      <c r="P1363" s="244"/>
      <c r="Q1363" s="234"/>
      <c r="R1363" s="234"/>
      <c r="S1363" s="238"/>
      <c r="T1363" s="239"/>
      <c r="U1363" s="238"/>
      <c r="V1363" s="238"/>
      <c r="W1363" s="234"/>
      <c r="X1363" s="234"/>
      <c r="Y1363" s="234"/>
      <c r="Z1363" s="234"/>
      <c r="AA1363" s="234"/>
    </row>
    <row r="1364" ht="15.75" customHeight="1">
      <c r="A1364" s="91"/>
      <c r="B1364" s="91"/>
      <c r="C1364" s="220"/>
      <c r="D1364" s="91"/>
      <c r="E1364" s="221"/>
      <c r="F1364" s="91"/>
      <c r="G1364" s="91"/>
      <c r="H1364" s="242"/>
      <c r="I1364" s="91"/>
      <c r="J1364" s="234"/>
      <c r="K1364" s="243"/>
      <c r="L1364" s="236"/>
      <c r="M1364" s="236"/>
      <c r="N1364" s="236"/>
      <c r="O1364" s="244"/>
      <c r="P1364" s="244"/>
      <c r="Q1364" s="234"/>
      <c r="R1364" s="234"/>
      <c r="S1364" s="238"/>
      <c r="T1364" s="239"/>
      <c r="U1364" s="238"/>
      <c r="V1364" s="238"/>
      <c r="W1364" s="234"/>
      <c r="X1364" s="234"/>
      <c r="Y1364" s="234"/>
      <c r="Z1364" s="234"/>
      <c r="AA1364" s="234"/>
    </row>
    <row r="1365" ht="15.75" customHeight="1">
      <c r="A1365" s="91"/>
      <c r="B1365" s="91"/>
      <c r="C1365" s="220"/>
      <c r="D1365" s="91"/>
      <c r="E1365" s="221"/>
      <c r="F1365" s="91"/>
      <c r="G1365" s="91"/>
      <c r="H1365" s="242"/>
      <c r="I1365" s="91"/>
      <c r="J1365" s="234"/>
      <c r="K1365" s="243"/>
      <c r="L1365" s="236"/>
      <c r="M1365" s="236"/>
      <c r="N1365" s="236"/>
      <c r="O1365" s="244"/>
      <c r="P1365" s="244"/>
      <c r="Q1365" s="234"/>
      <c r="R1365" s="234"/>
      <c r="S1365" s="238"/>
      <c r="T1365" s="239"/>
      <c r="U1365" s="238"/>
      <c r="V1365" s="238"/>
      <c r="W1365" s="234"/>
      <c r="X1365" s="234"/>
      <c r="Y1365" s="234"/>
      <c r="Z1365" s="234"/>
      <c r="AA1365" s="234"/>
    </row>
    <row r="1366" ht="15.75" customHeight="1">
      <c r="A1366" s="91"/>
      <c r="B1366" s="91"/>
      <c r="C1366" s="220"/>
      <c r="D1366" s="91"/>
      <c r="E1366" s="221"/>
      <c r="F1366" s="91"/>
      <c r="G1366" s="91"/>
      <c r="H1366" s="242"/>
      <c r="I1366" s="91"/>
      <c r="J1366" s="234"/>
      <c r="K1366" s="243"/>
      <c r="L1366" s="236"/>
      <c r="M1366" s="236"/>
      <c r="N1366" s="236"/>
      <c r="O1366" s="244"/>
      <c r="P1366" s="244"/>
      <c r="Q1366" s="234"/>
      <c r="R1366" s="234"/>
      <c r="S1366" s="238"/>
      <c r="T1366" s="239"/>
      <c r="U1366" s="238"/>
      <c r="V1366" s="238"/>
      <c r="W1366" s="234"/>
      <c r="X1366" s="234"/>
      <c r="Y1366" s="234"/>
      <c r="Z1366" s="234"/>
      <c r="AA1366" s="234"/>
    </row>
    <row r="1367" ht="15.75" customHeight="1">
      <c r="A1367" s="91"/>
      <c r="B1367" s="91"/>
      <c r="C1367" s="220"/>
      <c r="D1367" s="91"/>
      <c r="E1367" s="221"/>
      <c r="F1367" s="91"/>
      <c r="G1367" s="91"/>
      <c r="H1367" s="242"/>
      <c r="I1367" s="91"/>
      <c r="J1367" s="234"/>
      <c r="K1367" s="243"/>
      <c r="L1367" s="236"/>
      <c r="M1367" s="236"/>
      <c r="N1367" s="236"/>
      <c r="O1367" s="244"/>
      <c r="P1367" s="244"/>
      <c r="Q1367" s="234"/>
      <c r="R1367" s="234"/>
      <c r="S1367" s="238"/>
      <c r="T1367" s="239"/>
      <c r="U1367" s="238"/>
      <c r="V1367" s="238"/>
      <c r="W1367" s="234"/>
      <c r="X1367" s="234"/>
      <c r="Y1367" s="234"/>
      <c r="Z1367" s="234"/>
      <c r="AA1367" s="234"/>
    </row>
    <row r="1368" ht="15.75" customHeight="1">
      <c r="A1368" s="91"/>
      <c r="B1368" s="91"/>
      <c r="C1368" s="220"/>
      <c r="D1368" s="91"/>
      <c r="E1368" s="221"/>
      <c r="F1368" s="91"/>
      <c r="G1368" s="91"/>
      <c r="H1368" s="242"/>
      <c r="I1368" s="91"/>
      <c r="J1368" s="234"/>
      <c r="K1368" s="243"/>
      <c r="L1368" s="236"/>
      <c r="M1368" s="236"/>
      <c r="N1368" s="236"/>
      <c r="O1368" s="244"/>
      <c r="P1368" s="244"/>
      <c r="Q1368" s="234"/>
      <c r="R1368" s="234"/>
      <c r="S1368" s="238"/>
      <c r="T1368" s="239"/>
      <c r="U1368" s="238"/>
      <c r="V1368" s="238"/>
      <c r="W1368" s="234"/>
      <c r="X1368" s="234"/>
      <c r="Y1368" s="234"/>
      <c r="Z1368" s="234"/>
      <c r="AA1368" s="234"/>
    </row>
    <row r="1369" ht="15.75" customHeight="1">
      <c r="A1369" s="91"/>
      <c r="B1369" s="91"/>
      <c r="C1369" s="220"/>
      <c r="D1369" s="91"/>
      <c r="E1369" s="221"/>
      <c r="F1369" s="91"/>
      <c r="G1369" s="91"/>
      <c r="H1369" s="242"/>
      <c r="I1369" s="91"/>
      <c r="J1369" s="234"/>
      <c r="K1369" s="243"/>
      <c r="L1369" s="236"/>
      <c r="M1369" s="236"/>
      <c r="N1369" s="236"/>
      <c r="O1369" s="244"/>
      <c r="P1369" s="244"/>
      <c r="Q1369" s="234"/>
      <c r="R1369" s="234"/>
      <c r="S1369" s="238"/>
      <c r="T1369" s="239"/>
      <c r="U1369" s="238"/>
      <c r="V1369" s="238"/>
      <c r="W1369" s="234"/>
      <c r="X1369" s="234"/>
      <c r="Y1369" s="234"/>
      <c r="Z1369" s="234"/>
      <c r="AA1369" s="234"/>
    </row>
    <row r="1370" ht="15.75" customHeight="1">
      <c r="A1370" s="91"/>
      <c r="B1370" s="91"/>
      <c r="C1370" s="220"/>
      <c r="D1370" s="91"/>
      <c r="E1370" s="221"/>
      <c r="F1370" s="91"/>
      <c r="G1370" s="91"/>
      <c r="H1370" s="242"/>
      <c r="I1370" s="91"/>
      <c r="J1370" s="234"/>
      <c r="K1370" s="243"/>
      <c r="L1370" s="236"/>
      <c r="M1370" s="236"/>
      <c r="N1370" s="236"/>
      <c r="O1370" s="244"/>
      <c r="P1370" s="244"/>
      <c r="Q1370" s="234"/>
      <c r="R1370" s="234"/>
      <c r="S1370" s="238"/>
      <c r="T1370" s="239"/>
      <c r="U1370" s="238"/>
      <c r="V1370" s="238"/>
      <c r="W1370" s="234"/>
      <c r="X1370" s="234"/>
      <c r="Y1370" s="234"/>
      <c r="Z1370" s="234"/>
      <c r="AA1370" s="234"/>
    </row>
    <row r="1371" ht="15.75" customHeight="1">
      <c r="A1371" s="91"/>
      <c r="B1371" s="91"/>
      <c r="C1371" s="220"/>
      <c r="D1371" s="91"/>
      <c r="E1371" s="221"/>
      <c r="F1371" s="91"/>
      <c r="G1371" s="91"/>
      <c r="H1371" s="242"/>
      <c r="I1371" s="91"/>
      <c r="J1371" s="234"/>
      <c r="K1371" s="243"/>
      <c r="L1371" s="236"/>
      <c r="M1371" s="236"/>
      <c r="N1371" s="236"/>
      <c r="O1371" s="244"/>
      <c r="P1371" s="244"/>
      <c r="Q1371" s="234"/>
      <c r="R1371" s="234"/>
      <c r="S1371" s="238"/>
      <c r="T1371" s="239"/>
      <c r="U1371" s="238"/>
      <c r="V1371" s="238"/>
      <c r="W1371" s="234"/>
      <c r="X1371" s="234"/>
      <c r="Y1371" s="234"/>
      <c r="Z1371" s="234"/>
      <c r="AA1371" s="234"/>
    </row>
    <row r="1372" ht="15.75" customHeight="1">
      <c r="A1372" s="91"/>
      <c r="B1372" s="91"/>
      <c r="C1372" s="220"/>
      <c r="D1372" s="91"/>
      <c r="E1372" s="221"/>
      <c r="F1372" s="91"/>
      <c r="G1372" s="91"/>
      <c r="H1372" s="242"/>
      <c r="I1372" s="91"/>
      <c r="J1372" s="234"/>
      <c r="K1372" s="243"/>
      <c r="L1372" s="236"/>
      <c r="M1372" s="236"/>
      <c r="N1372" s="236"/>
      <c r="O1372" s="244"/>
      <c r="P1372" s="244"/>
      <c r="Q1372" s="234"/>
      <c r="R1372" s="234"/>
      <c r="S1372" s="238"/>
      <c r="T1372" s="239"/>
      <c r="U1372" s="238"/>
      <c r="V1372" s="238"/>
      <c r="W1372" s="234"/>
      <c r="X1372" s="234"/>
      <c r="Y1372" s="234"/>
      <c r="Z1372" s="234"/>
      <c r="AA1372" s="234"/>
    </row>
    <row r="1373" ht="15.75" customHeight="1">
      <c r="A1373" s="91"/>
      <c r="B1373" s="91"/>
      <c r="C1373" s="220"/>
      <c r="D1373" s="91"/>
      <c r="E1373" s="221"/>
      <c r="F1373" s="91"/>
      <c r="G1373" s="91"/>
      <c r="H1373" s="242"/>
      <c r="I1373" s="91"/>
      <c r="J1373" s="234"/>
      <c r="K1373" s="243"/>
      <c r="L1373" s="236"/>
      <c r="M1373" s="236"/>
      <c r="N1373" s="236"/>
      <c r="O1373" s="244"/>
      <c r="P1373" s="244"/>
      <c r="Q1373" s="234"/>
      <c r="R1373" s="234"/>
      <c r="S1373" s="238"/>
      <c r="T1373" s="239"/>
      <c r="U1373" s="238"/>
      <c r="V1373" s="238"/>
      <c r="W1373" s="234"/>
      <c r="X1373" s="234"/>
      <c r="Y1373" s="234"/>
      <c r="Z1373" s="234"/>
      <c r="AA1373" s="234"/>
    </row>
    <row r="1374" ht="15.75" customHeight="1">
      <c r="A1374" s="91"/>
      <c r="B1374" s="91"/>
      <c r="C1374" s="220"/>
      <c r="D1374" s="91"/>
      <c r="E1374" s="221"/>
      <c r="F1374" s="91"/>
      <c r="G1374" s="91"/>
      <c r="H1374" s="242"/>
      <c r="I1374" s="91"/>
      <c r="J1374" s="234"/>
      <c r="K1374" s="243"/>
      <c r="L1374" s="236"/>
      <c r="M1374" s="236"/>
      <c r="N1374" s="236"/>
      <c r="O1374" s="244"/>
      <c r="P1374" s="244"/>
      <c r="Q1374" s="234"/>
      <c r="R1374" s="234"/>
      <c r="S1374" s="238"/>
      <c r="T1374" s="239"/>
      <c r="U1374" s="238"/>
      <c r="V1374" s="238"/>
      <c r="W1374" s="234"/>
      <c r="X1374" s="234"/>
      <c r="Y1374" s="234"/>
      <c r="Z1374" s="234"/>
      <c r="AA1374" s="234"/>
    </row>
    <row r="1375" ht="15.75" customHeight="1">
      <c r="A1375" s="91"/>
      <c r="B1375" s="91"/>
      <c r="C1375" s="220"/>
      <c r="D1375" s="91"/>
      <c r="E1375" s="221"/>
      <c r="F1375" s="91"/>
      <c r="G1375" s="91"/>
      <c r="H1375" s="242"/>
      <c r="I1375" s="91"/>
      <c r="J1375" s="234"/>
      <c r="K1375" s="243"/>
      <c r="L1375" s="236"/>
      <c r="M1375" s="236"/>
      <c r="N1375" s="236"/>
      <c r="O1375" s="244"/>
      <c r="P1375" s="244"/>
      <c r="Q1375" s="234"/>
      <c r="R1375" s="234"/>
      <c r="S1375" s="238"/>
      <c r="T1375" s="239"/>
      <c r="U1375" s="238"/>
      <c r="V1375" s="238"/>
      <c r="W1375" s="234"/>
      <c r="X1375" s="234"/>
      <c r="Y1375" s="234"/>
      <c r="Z1375" s="234"/>
      <c r="AA1375" s="234"/>
    </row>
    <row r="1376" ht="15.75" customHeight="1">
      <c r="A1376" s="91"/>
      <c r="B1376" s="91"/>
      <c r="C1376" s="220"/>
      <c r="D1376" s="91"/>
      <c r="E1376" s="221"/>
      <c r="F1376" s="91"/>
      <c r="G1376" s="91"/>
      <c r="H1376" s="242"/>
      <c r="I1376" s="91"/>
      <c r="J1376" s="234"/>
      <c r="K1376" s="243"/>
      <c r="L1376" s="236"/>
      <c r="M1376" s="236"/>
      <c r="N1376" s="236"/>
      <c r="O1376" s="244"/>
      <c r="P1376" s="244"/>
      <c r="Q1376" s="234"/>
      <c r="R1376" s="234"/>
      <c r="S1376" s="238"/>
      <c r="T1376" s="239"/>
      <c r="U1376" s="238"/>
      <c r="V1376" s="238"/>
      <c r="W1376" s="234"/>
      <c r="X1376" s="234"/>
      <c r="Y1376" s="234"/>
      <c r="Z1376" s="234"/>
      <c r="AA1376" s="234"/>
    </row>
    <row r="1377" ht="15.75" customHeight="1">
      <c r="A1377" s="91"/>
      <c r="B1377" s="91"/>
      <c r="C1377" s="220"/>
      <c r="D1377" s="91"/>
      <c r="E1377" s="221"/>
      <c r="F1377" s="91"/>
      <c r="G1377" s="91"/>
      <c r="H1377" s="242"/>
      <c r="I1377" s="91"/>
      <c r="J1377" s="234"/>
      <c r="K1377" s="243"/>
      <c r="L1377" s="236"/>
      <c r="M1377" s="236"/>
      <c r="N1377" s="236"/>
      <c r="O1377" s="244"/>
      <c r="P1377" s="244"/>
      <c r="Q1377" s="234"/>
      <c r="R1377" s="234"/>
      <c r="S1377" s="238"/>
      <c r="T1377" s="239"/>
      <c r="U1377" s="238"/>
      <c r="V1377" s="238"/>
      <c r="W1377" s="234"/>
      <c r="X1377" s="234"/>
      <c r="Y1377" s="234"/>
      <c r="Z1377" s="234"/>
      <c r="AA1377" s="234"/>
    </row>
    <row r="1378" ht="15.75" customHeight="1">
      <c r="A1378" s="91"/>
      <c r="B1378" s="91"/>
      <c r="C1378" s="220"/>
      <c r="D1378" s="91"/>
      <c r="E1378" s="221"/>
      <c r="F1378" s="91"/>
      <c r="G1378" s="91"/>
      <c r="H1378" s="242"/>
      <c r="I1378" s="91"/>
      <c r="J1378" s="234"/>
      <c r="K1378" s="243"/>
      <c r="L1378" s="236"/>
      <c r="M1378" s="236"/>
      <c r="N1378" s="236"/>
      <c r="O1378" s="244"/>
      <c r="P1378" s="244"/>
      <c r="Q1378" s="234"/>
      <c r="R1378" s="234"/>
      <c r="S1378" s="238"/>
      <c r="T1378" s="239"/>
      <c r="U1378" s="238"/>
      <c r="V1378" s="238"/>
      <c r="W1378" s="234"/>
      <c r="X1378" s="234"/>
      <c r="Y1378" s="234"/>
      <c r="Z1378" s="234"/>
      <c r="AA1378" s="234"/>
    </row>
    <row r="1379" ht="15.75" customHeight="1">
      <c r="A1379" s="91"/>
      <c r="B1379" s="91"/>
      <c r="C1379" s="220"/>
      <c r="D1379" s="91"/>
      <c r="E1379" s="221"/>
      <c r="F1379" s="91"/>
      <c r="G1379" s="91"/>
      <c r="H1379" s="242"/>
      <c r="I1379" s="91"/>
      <c r="J1379" s="234"/>
      <c r="K1379" s="243"/>
      <c r="L1379" s="236"/>
      <c r="M1379" s="236"/>
      <c r="N1379" s="236"/>
      <c r="O1379" s="244"/>
      <c r="P1379" s="244"/>
      <c r="Q1379" s="234"/>
      <c r="R1379" s="234"/>
      <c r="S1379" s="238"/>
      <c r="T1379" s="239"/>
      <c r="U1379" s="238"/>
      <c r="V1379" s="238"/>
      <c r="W1379" s="234"/>
      <c r="X1379" s="234"/>
      <c r="Y1379" s="234"/>
      <c r="Z1379" s="234"/>
      <c r="AA1379" s="234"/>
    </row>
    <row r="1380" ht="15.75" customHeight="1">
      <c r="A1380" s="91"/>
      <c r="B1380" s="91"/>
      <c r="C1380" s="220"/>
      <c r="D1380" s="91"/>
      <c r="E1380" s="221"/>
      <c r="F1380" s="91"/>
      <c r="G1380" s="91"/>
      <c r="H1380" s="242"/>
      <c r="I1380" s="91"/>
      <c r="J1380" s="234"/>
      <c r="K1380" s="243"/>
      <c r="L1380" s="236"/>
      <c r="M1380" s="236"/>
      <c r="N1380" s="236"/>
      <c r="O1380" s="244"/>
      <c r="P1380" s="244"/>
      <c r="Q1380" s="234"/>
      <c r="R1380" s="234"/>
      <c r="S1380" s="238"/>
      <c r="T1380" s="239"/>
      <c r="U1380" s="238"/>
      <c r="V1380" s="238"/>
      <c r="W1380" s="234"/>
      <c r="X1380" s="234"/>
      <c r="Y1380" s="234"/>
      <c r="Z1380" s="234"/>
      <c r="AA1380" s="234"/>
    </row>
    <row r="1381" ht="15.75" customHeight="1">
      <c r="A1381" s="91"/>
      <c r="B1381" s="91"/>
      <c r="C1381" s="220"/>
      <c r="D1381" s="91"/>
      <c r="E1381" s="221"/>
      <c r="F1381" s="91"/>
      <c r="G1381" s="91"/>
      <c r="H1381" s="242"/>
      <c r="I1381" s="91"/>
      <c r="J1381" s="234"/>
      <c r="K1381" s="243"/>
      <c r="L1381" s="236"/>
      <c r="M1381" s="236"/>
      <c r="N1381" s="236"/>
      <c r="O1381" s="244"/>
      <c r="P1381" s="244"/>
      <c r="Q1381" s="234"/>
      <c r="R1381" s="234"/>
      <c r="S1381" s="238"/>
      <c r="T1381" s="239"/>
      <c r="U1381" s="238"/>
      <c r="V1381" s="238"/>
      <c r="W1381" s="234"/>
      <c r="X1381" s="234"/>
      <c r="Y1381" s="234"/>
      <c r="Z1381" s="234"/>
      <c r="AA1381" s="234"/>
    </row>
    <row r="1382" ht="15.75" customHeight="1">
      <c r="A1382" s="91"/>
      <c r="B1382" s="91"/>
      <c r="C1382" s="220"/>
      <c r="D1382" s="91"/>
      <c r="E1382" s="221"/>
      <c r="F1382" s="91"/>
      <c r="G1382" s="91"/>
      <c r="H1382" s="242"/>
      <c r="I1382" s="91"/>
      <c r="J1382" s="234"/>
      <c r="K1382" s="243"/>
      <c r="L1382" s="236"/>
      <c r="M1382" s="236"/>
      <c r="N1382" s="236"/>
      <c r="O1382" s="244"/>
      <c r="P1382" s="244"/>
      <c r="Q1382" s="234"/>
      <c r="R1382" s="234"/>
      <c r="S1382" s="238"/>
      <c r="T1382" s="239"/>
      <c r="U1382" s="238"/>
      <c r="V1382" s="238"/>
      <c r="W1382" s="234"/>
      <c r="X1382" s="234"/>
      <c r="Y1382" s="234"/>
      <c r="Z1382" s="234"/>
      <c r="AA1382" s="234"/>
    </row>
    <row r="1383" ht="15.75" customHeight="1">
      <c r="A1383" s="91"/>
      <c r="B1383" s="91"/>
      <c r="C1383" s="220"/>
      <c r="D1383" s="91"/>
      <c r="E1383" s="221"/>
      <c r="F1383" s="91"/>
      <c r="G1383" s="91"/>
      <c r="H1383" s="242"/>
      <c r="I1383" s="91"/>
      <c r="J1383" s="234"/>
      <c r="K1383" s="243"/>
      <c r="L1383" s="236"/>
      <c r="M1383" s="236"/>
      <c r="N1383" s="236"/>
      <c r="O1383" s="244"/>
      <c r="P1383" s="244"/>
      <c r="Q1383" s="234"/>
      <c r="R1383" s="234"/>
      <c r="S1383" s="238"/>
      <c r="T1383" s="239"/>
      <c r="U1383" s="238"/>
      <c r="V1383" s="238"/>
      <c r="W1383" s="234"/>
      <c r="X1383" s="234"/>
      <c r="Y1383" s="234"/>
      <c r="Z1383" s="234"/>
      <c r="AA1383" s="234"/>
    </row>
    <row r="1384" ht="15.75" customHeight="1">
      <c r="A1384" s="91"/>
      <c r="B1384" s="91"/>
      <c r="C1384" s="220"/>
      <c r="D1384" s="91"/>
      <c r="E1384" s="221"/>
      <c r="F1384" s="91"/>
      <c r="G1384" s="91"/>
      <c r="H1384" s="242"/>
      <c r="I1384" s="91"/>
      <c r="J1384" s="234"/>
      <c r="K1384" s="243"/>
      <c r="L1384" s="236"/>
      <c r="M1384" s="236"/>
      <c r="N1384" s="236"/>
      <c r="O1384" s="244"/>
      <c r="P1384" s="244"/>
      <c r="Q1384" s="234"/>
      <c r="R1384" s="234"/>
      <c r="S1384" s="238"/>
      <c r="T1384" s="239"/>
      <c r="U1384" s="238"/>
      <c r="V1384" s="238"/>
      <c r="W1384" s="234"/>
      <c r="X1384" s="234"/>
      <c r="Y1384" s="234"/>
      <c r="Z1384" s="234"/>
      <c r="AA1384" s="234"/>
    </row>
    <row r="1385" ht="15.75" customHeight="1">
      <c r="A1385" s="91"/>
      <c r="B1385" s="91"/>
      <c r="C1385" s="220"/>
      <c r="D1385" s="91"/>
      <c r="E1385" s="221"/>
      <c r="F1385" s="91"/>
      <c r="G1385" s="91"/>
      <c r="H1385" s="242"/>
      <c r="I1385" s="91"/>
      <c r="J1385" s="234"/>
      <c r="K1385" s="243"/>
      <c r="L1385" s="236"/>
      <c r="M1385" s="236"/>
      <c r="N1385" s="236"/>
      <c r="O1385" s="244"/>
      <c r="P1385" s="244"/>
      <c r="Q1385" s="234"/>
      <c r="R1385" s="234"/>
      <c r="S1385" s="238"/>
      <c r="T1385" s="239"/>
      <c r="U1385" s="238"/>
      <c r="V1385" s="238"/>
      <c r="W1385" s="234"/>
      <c r="X1385" s="234"/>
      <c r="Y1385" s="234"/>
      <c r="Z1385" s="234"/>
      <c r="AA1385" s="234"/>
    </row>
    <row r="1386" ht="15.75" customHeight="1">
      <c r="A1386" s="91"/>
      <c r="B1386" s="91"/>
      <c r="C1386" s="220"/>
      <c r="D1386" s="91"/>
      <c r="E1386" s="221"/>
      <c r="F1386" s="91"/>
      <c r="G1386" s="91"/>
      <c r="H1386" s="242"/>
      <c r="I1386" s="91"/>
      <c r="J1386" s="234"/>
      <c r="K1386" s="243"/>
      <c r="L1386" s="236"/>
      <c r="M1386" s="236"/>
      <c r="N1386" s="236"/>
      <c r="O1386" s="244"/>
      <c r="P1386" s="244"/>
      <c r="Q1386" s="234"/>
      <c r="R1386" s="234"/>
      <c r="S1386" s="238"/>
      <c r="T1386" s="239"/>
      <c r="U1386" s="238"/>
      <c r="V1386" s="238"/>
      <c r="W1386" s="234"/>
      <c r="X1386" s="234"/>
      <c r="Y1386" s="234"/>
      <c r="Z1386" s="234"/>
      <c r="AA1386" s="234"/>
    </row>
    <row r="1387" ht="15.75" customHeight="1">
      <c r="A1387" s="91"/>
      <c r="B1387" s="91"/>
      <c r="C1387" s="220"/>
      <c r="D1387" s="91"/>
      <c r="E1387" s="221"/>
      <c r="F1387" s="91"/>
      <c r="G1387" s="91"/>
      <c r="H1387" s="242"/>
      <c r="I1387" s="91"/>
      <c r="J1387" s="234"/>
      <c r="K1387" s="243"/>
      <c r="L1387" s="236"/>
      <c r="M1387" s="236"/>
      <c r="N1387" s="236"/>
      <c r="O1387" s="244"/>
      <c r="P1387" s="244"/>
      <c r="Q1387" s="234"/>
      <c r="R1387" s="234"/>
      <c r="S1387" s="238"/>
      <c r="T1387" s="239"/>
      <c r="U1387" s="238"/>
      <c r="V1387" s="238"/>
      <c r="W1387" s="234"/>
      <c r="X1387" s="234"/>
      <c r="Y1387" s="234"/>
      <c r="Z1387" s="234"/>
      <c r="AA1387" s="234"/>
    </row>
    <row r="1388" ht="15.75" customHeight="1">
      <c r="A1388" s="91"/>
      <c r="B1388" s="91"/>
      <c r="C1388" s="220"/>
      <c r="D1388" s="91"/>
      <c r="E1388" s="221"/>
      <c r="F1388" s="91"/>
      <c r="G1388" s="91"/>
      <c r="H1388" s="242"/>
      <c r="I1388" s="91"/>
      <c r="J1388" s="234"/>
      <c r="K1388" s="243"/>
      <c r="L1388" s="236"/>
      <c r="M1388" s="236"/>
      <c r="N1388" s="236"/>
      <c r="O1388" s="244"/>
      <c r="P1388" s="244"/>
      <c r="Q1388" s="234"/>
      <c r="R1388" s="234"/>
      <c r="S1388" s="238"/>
      <c r="T1388" s="239"/>
      <c r="U1388" s="238"/>
      <c r="V1388" s="238"/>
      <c r="W1388" s="234"/>
      <c r="X1388" s="234"/>
      <c r="Y1388" s="234"/>
      <c r="Z1388" s="234"/>
      <c r="AA1388" s="234"/>
    </row>
    <row r="1389" ht="15.75" customHeight="1">
      <c r="A1389" s="91"/>
      <c r="B1389" s="91"/>
      <c r="C1389" s="220"/>
      <c r="D1389" s="91"/>
      <c r="E1389" s="221"/>
      <c r="F1389" s="91"/>
      <c r="G1389" s="91"/>
      <c r="H1389" s="242"/>
      <c r="I1389" s="91"/>
      <c r="J1389" s="234"/>
      <c r="K1389" s="243"/>
      <c r="L1389" s="236"/>
      <c r="M1389" s="236"/>
      <c r="N1389" s="236"/>
      <c r="O1389" s="244"/>
      <c r="P1389" s="244"/>
      <c r="Q1389" s="234"/>
      <c r="R1389" s="234"/>
      <c r="S1389" s="238"/>
      <c r="T1389" s="239"/>
      <c r="U1389" s="238"/>
      <c r="V1389" s="238"/>
      <c r="W1389" s="234"/>
      <c r="X1389" s="234"/>
      <c r="Y1389" s="234"/>
      <c r="Z1389" s="234"/>
      <c r="AA1389" s="234"/>
    </row>
    <row r="1390" ht="15.75" customHeight="1">
      <c r="A1390" s="91"/>
      <c r="B1390" s="91"/>
      <c r="C1390" s="220"/>
      <c r="D1390" s="91"/>
      <c r="E1390" s="221"/>
      <c r="F1390" s="91"/>
      <c r="G1390" s="91"/>
      <c r="H1390" s="242"/>
      <c r="I1390" s="91"/>
      <c r="J1390" s="234"/>
      <c r="K1390" s="243"/>
      <c r="L1390" s="236"/>
      <c r="M1390" s="236"/>
      <c r="N1390" s="236"/>
      <c r="O1390" s="244"/>
      <c r="P1390" s="244"/>
      <c r="Q1390" s="234"/>
      <c r="R1390" s="234"/>
      <c r="S1390" s="238"/>
      <c r="T1390" s="239"/>
      <c r="U1390" s="238"/>
      <c r="V1390" s="238"/>
      <c r="W1390" s="234"/>
      <c r="X1390" s="234"/>
      <c r="Y1390" s="234"/>
      <c r="Z1390" s="234"/>
      <c r="AA1390" s="234"/>
    </row>
    <row r="1391" ht="15.75" customHeight="1">
      <c r="A1391" s="91"/>
      <c r="B1391" s="91"/>
      <c r="C1391" s="220"/>
      <c r="D1391" s="91"/>
      <c r="E1391" s="221"/>
      <c r="F1391" s="91"/>
      <c r="G1391" s="91"/>
      <c r="H1391" s="242"/>
      <c r="I1391" s="91"/>
      <c r="J1391" s="234"/>
      <c r="K1391" s="243"/>
      <c r="L1391" s="236"/>
      <c r="M1391" s="236"/>
      <c r="N1391" s="236"/>
      <c r="O1391" s="244"/>
      <c r="P1391" s="244"/>
      <c r="Q1391" s="234"/>
      <c r="R1391" s="234"/>
      <c r="S1391" s="238"/>
      <c r="T1391" s="239"/>
      <c r="U1391" s="238"/>
      <c r="V1391" s="238"/>
      <c r="W1391" s="234"/>
      <c r="X1391" s="234"/>
      <c r="Y1391" s="234"/>
      <c r="Z1391" s="234"/>
      <c r="AA1391" s="234"/>
    </row>
    <row r="1392" ht="15.75" customHeight="1">
      <c r="A1392" s="91"/>
      <c r="B1392" s="91"/>
      <c r="C1392" s="220"/>
      <c r="D1392" s="91"/>
      <c r="E1392" s="221"/>
      <c r="F1392" s="91"/>
      <c r="G1392" s="91"/>
      <c r="H1392" s="242"/>
      <c r="I1392" s="91"/>
      <c r="J1392" s="234"/>
      <c r="K1392" s="243"/>
      <c r="L1392" s="236"/>
      <c r="M1392" s="236"/>
      <c r="N1392" s="236"/>
      <c r="O1392" s="244"/>
      <c r="P1392" s="244"/>
      <c r="Q1392" s="234"/>
      <c r="R1392" s="234"/>
      <c r="S1392" s="238"/>
      <c r="T1392" s="239"/>
      <c r="U1392" s="238"/>
      <c r="V1392" s="238"/>
      <c r="W1392" s="234"/>
      <c r="X1392" s="234"/>
      <c r="Y1392" s="234"/>
      <c r="Z1392" s="234"/>
      <c r="AA1392" s="234"/>
    </row>
    <row r="1393" ht="15.75" customHeight="1">
      <c r="A1393" s="91"/>
      <c r="B1393" s="91"/>
      <c r="C1393" s="220"/>
      <c r="D1393" s="91"/>
      <c r="E1393" s="221"/>
      <c r="F1393" s="91"/>
      <c r="G1393" s="91"/>
      <c r="H1393" s="242"/>
      <c r="I1393" s="91"/>
      <c r="J1393" s="234"/>
      <c r="K1393" s="243"/>
      <c r="L1393" s="236"/>
      <c r="M1393" s="236"/>
      <c r="N1393" s="236"/>
      <c r="O1393" s="244"/>
      <c r="P1393" s="244"/>
      <c r="Q1393" s="234"/>
      <c r="R1393" s="234"/>
      <c r="S1393" s="238"/>
      <c r="T1393" s="239"/>
      <c r="U1393" s="238"/>
      <c r="V1393" s="238"/>
      <c r="W1393" s="234"/>
      <c r="X1393" s="234"/>
      <c r="Y1393" s="234"/>
      <c r="Z1393" s="234"/>
      <c r="AA1393" s="234"/>
    </row>
    <row r="1394" ht="15.75" customHeight="1">
      <c r="A1394" s="91"/>
      <c r="B1394" s="91"/>
      <c r="C1394" s="220"/>
      <c r="D1394" s="91"/>
      <c r="E1394" s="221"/>
      <c r="F1394" s="91"/>
      <c r="G1394" s="91"/>
      <c r="H1394" s="242"/>
      <c r="I1394" s="91"/>
      <c r="J1394" s="234"/>
      <c r="K1394" s="243"/>
      <c r="L1394" s="236"/>
      <c r="M1394" s="236"/>
      <c r="N1394" s="236"/>
      <c r="O1394" s="244"/>
      <c r="P1394" s="244"/>
      <c r="Q1394" s="234"/>
      <c r="R1394" s="234"/>
      <c r="S1394" s="238"/>
      <c r="T1394" s="239"/>
      <c r="U1394" s="238"/>
      <c r="V1394" s="238"/>
      <c r="W1394" s="234"/>
      <c r="X1394" s="234"/>
      <c r="Y1394" s="234"/>
      <c r="Z1394" s="234"/>
      <c r="AA1394" s="234"/>
    </row>
    <row r="1395" ht="15.75" customHeight="1">
      <c r="A1395" s="91"/>
      <c r="B1395" s="91"/>
      <c r="C1395" s="220"/>
      <c r="D1395" s="91"/>
      <c r="E1395" s="221"/>
      <c r="F1395" s="91"/>
      <c r="G1395" s="91"/>
      <c r="H1395" s="242"/>
      <c r="I1395" s="91"/>
      <c r="J1395" s="234"/>
      <c r="K1395" s="243"/>
      <c r="L1395" s="236"/>
      <c r="M1395" s="236"/>
      <c r="N1395" s="236"/>
      <c r="O1395" s="244"/>
      <c r="P1395" s="244"/>
      <c r="Q1395" s="234"/>
      <c r="R1395" s="234"/>
      <c r="S1395" s="238"/>
      <c r="T1395" s="239"/>
      <c r="U1395" s="238"/>
      <c r="V1395" s="238"/>
      <c r="W1395" s="234"/>
      <c r="X1395" s="234"/>
      <c r="Y1395" s="234"/>
      <c r="Z1395" s="234"/>
      <c r="AA1395" s="234"/>
    </row>
    <row r="1396" ht="15.75" customHeight="1">
      <c r="A1396" s="91"/>
      <c r="B1396" s="91"/>
      <c r="C1396" s="220"/>
      <c r="D1396" s="91"/>
      <c r="E1396" s="221"/>
      <c r="F1396" s="91"/>
      <c r="G1396" s="91"/>
      <c r="H1396" s="242"/>
      <c r="I1396" s="91"/>
      <c r="J1396" s="234"/>
      <c r="K1396" s="243"/>
      <c r="L1396" s="236"/>
      <c r="M1396" s="236"/>
      <c r="N1396" s="236"/>
      <c r="O1396" s="244"/>
      <c r="P1396" s="244"/>
      <c r="Q1396" s="234"/>
      <c r="R1396" s="234"/>
      <c r="S1396" s="238"/>
      <c r="T1396" s="239"/>
      <c r="U1396" s="238"/>
      <c r="V1396" s="238"/>
      <c r="W1396" s="234"/>
      <c r="X1396" s="234"/>
      <c r="Y1396" s="234"/>
      <c r="Z1396" s="234"/>
      <c r="AA1396" s="234"/>
    </row>
    <row r="1397" ht="15.75" customHeight="1">
      <c r="A1397" s="91"/>
      <c r="B1397" s="91"/>
      <c r="C1397" s="220"/>
      <c r="D1397" s="91"/>
      <c r="E1397" s="221"/>
      <c r="F1397" s="91"/>
      <c r="G1397" s="91"/>
      <c r="H1397" s="242"/>
      <c r="I1397" s="91"/>
      <c r="J1397" s="234"/>
      <c r="K1397" s="243"/>
      <c r="L1397" s="236"/>
      <c r="M1397" s="236"/>
      <c r="N1397" s="236"/>
      <c r="O1397" s="244"/>
      <c r="P1397" s="244"/>
      <c r="Q1397" s="234"/>
      <c r="R1397" s="234"/>
      <c r="S1397" s="238"/>
      <c r="T1397" s="239"/>
      <c r="U1397" s="238"/>
      <c r="V1397" s="238"/>
      <c r="W1397" s="234"/>
      <c r="X1397" s="234"/>
      <c r="Y1397" s="234"/>
      <c r="Z1397" s="234"/>
      <c r="AA1397" s="234"/>
    </row>
    <row r="1398" ht="15.75" customHeight="1">
      <c r="A1398" s="91"/>
      <c r="B1398" s="91"/>
      <c r="C1398" s="220"/>
      <c r="D1398" s="91"/>
      <c r="E1398" s="221"/>
      <c r="F1398" s="91"/>
      <c r="G1398" s="91"/>
      <c r="H1398" s="242"/>
      <c r="I1398" s="91"/>
      <c r="J1398" s="234"/>
      <c r="K1398" s="243"/>
      <c r="L1398" s="236"/>
      <c r="M1398" s="236"/>
      <c r="N1398" s="236"/>
      <c r="O1398" s="244"/>
      <c r="P1398" s="244"/>
      <c r="Q1398" s="234"/>
      <c r="R1398" s="234"/>
      <c r="S1398" s="238"/>
      <c r="T1398" s="239"/>
      <c r="U1398" s="238"/>
      <c r="V1398" s="238"/>
      <c r="W1398" s="234"/>
      <c r="X1398" s="234"/>
      <c r="Y1398" s="234"/>
      <c r="Z1398" s="234"/>
      <c r="AA1398" s="234"/>
    </row>
    <row r="1399" ht="15.75" customHeight="1">
      <c r="A1399" s="91"/>
      <c r="B1399" s="91"/>
      <c r="C1399" s="220"/>
      <c r="D1399" s="91"/>
      <c r="E1399" s="221"/>
      <c r="F1399" s="91"/>
      <c r="G1399" s="91"/>
      <c r="H1399" s="242"/>
      <c r="I1399" s="91"/>
      <c r="J1399" s="234"/>
      <c r="K1399" s="243"/>
      <c r="L1399" s="236"/>
      <c r="M1399" s="236"/>
      <c r="N1399" s="236"/>
      <c r="O1399" s="244"/>
      <c r="P1399" s="244"/>
      <c r="Q1399" s="234"/>
      <c r="R1399" s="234"/>
      <c r="S1399" s="238"/>
      <c r="T1399" s="239"/>
      <c r="U1399" s="238"/>
      <c r="V1399" s="238"/>
      <c r="W1399" s="234"/>
      <c r="X1399" s="234"/>
      <c r="Y1399" s="234"/>
      <c r="Z1399" s="234"/>
      <c r="AA1399" s="234"/>
    </row>
    <row r="1400" ht="15.75" customHeight="1">
      <c r="A1400" s="91"/>
      <c r="B1400" s="91"/>
      <c r="C1400" s="220"/>
      <c r="D1400" s="91"/>
      <c r="E1400" s="221"/>
      <c r="F1400" s="91"/>
      <c r="G1400" s="91"/>
      <c r="H1400" s="242"/>
      <c r="I1400" s="91"/>
      <c r="J1400" s="234"/>
      <c r="K1400" s="243"/>
      <c r="L1400" s="236"/>
      <c r="M1400" s="236"/>
      <c r="N1400" s="236"/>
      <c r="O1400" s="244"/>
      <c r="P1400" s="244"/>
      <c r="Q1400" s="234"/>
      <c r="R1400" s="234"/>
      <c r="S1400" s="238"/>
      <c r="T1400" s="239"/>
      <c r="U1400" s="238"/>
      <c r="V1400" s="238"/>
      <c r="W1400" s="234"/>
      <c r="X1400" s="234"/>
      <c r="Y1400" s="234"/>
      <c r="Z1400" s="234"/>
      <c r="AA1400" s="234"/>
    </row>
    <row r="1401" ht="15.75" customHeight="1">
      <c r="A1401" s="91"/>
      <c r="B1401" s="91"/>
      <c r="C1401" s="220"/>
      <c r="D1401" s="91"/>
      <c r="E1401" s="221"/>
      <c r="F1401" s="91"/>
      <c r="G1401" s="91"/>
      <c r="H1401" s="242"/>
      <c r="I1401" s="91"/>
      <c r="J1401" s="234"/>
      <c r="K1401" s="243"/>
      <c r="L1401" s="236"/>
      <c r="M1401" s="236"/>
      <c r="N1401" s="236"/>
      <c r="O1401" s="244"/>
      <c r="P1401" s="244"/>
      <c r="Q1401" s="234"/>
      <c r="R1401" s="234"/>
      <c r="S1401" s="238"/>
      <c r="T1401" s="239"/>
      <c r="U1401" s="238"/>
      <c r="V1401" s="238"/>
      <c r="W1401" s="234"/>
      <c r="X1401" s="234"/>
      <c r="Y1401" s="234"/>
      <c r="Z1401" s="234"/>
      <c r="AA1401" s="234"/>
    </row>
    <row r="1402" ht="15.75" customHeight="1">
      <c r="A1402" s="91"/>
      <c r="B1402" s="91"/>
      <c r="C1402" s="220"/>
      <c r="D1402" s="91"/>
      <c r="E1402" s="221"/>
      <c r="F1402" s="91"/>
      <c r="G1402" s="91"/>
      <c r="H1402" s="242"/>
      <c r="I1402" s="91"/>
      <c r="J1402" s="234"/>
      <c r="K1402" s="243"/>
      <c r="L1402" s="236"/>
      <c r="M1402" s="236"/>
      <c r="N1402" s="236"/>
      <c r="O1402" s="244"/>
      <c r="P1402" s="244"/>
      <c r="Q1402" s="234"/>
      <c r="R1402" s="234"/>
      <c r="S1402" s="238"/>
      <c r="T1402" s="239"/>
      <c r="U1402" s="238"/>
      <c r="V1402" s="238"/>
      <c r="W1402" s="234"/>
      <c r="X1402" s="234"/>
      <c r="Y1402" s="234"/>
      <c r="Z1402" s="234"/>
      <c r="AA1402" s="234"/>
    </row>
    <row r="1403" ht="15.75" customHeight="1">
      <c r="A1403" s="91"/>
      <c r="B1403" s="91"/>
      <c r="C1403" s="220"/>
      <c r="D1403" s="91"/>
      <c r="E1403" s="221"/>
      <c r="F1403" s="91"/>
      <c r="G1403" s="91"/>
      <c r="H1403" s="242"/>
      <c r="I1403" s="91"/>
      <c r="J1403" s="234"/>
      <c r="K1403" s="243"/>
      <c r="L1403" s="236"/>
      <c r="M1403" s="236"/>
      <c r="N1403" s="236"/>
      <c r="O1403" s="244"/>
      <c r="P1403" s="244"/>
      <c r="Q1403" s="234"/>
      <c r="R1403" s="234"/>
      <c r="S1403" s="238"/>
      <c r="T1403" s="239"/>
      <c r="U1403" s="238"/>
      <c r="V1403" s="238"/>
      <c r="W1403" s="234"/>
      <c r="X1403" s="234"/>
      <c r="Y1403" s="234"/>
      <c r="Z1403" s="234"/>
      <c r="AA1403" s="234"/>
    </row>
    <row r="1404" ht="15.75" customHeight="1">
      <c r="A1404" s="91"/>
      <c r="B1404" s="91"/>
      <c r="C1404" s="220"/>
      <c r="D1404" s="91"/>
      <c r="E1404" s="221"/>
      <c r="F1404" s="91"/>
      <c r="G1404" s="91"/>
      <c r="H1404" s="242"/>
      <c r="I1404" s="91"/>
      <c r="J1404" s="234"/>
      <c r="K1404" s="243"/>
      <c r="L1404" s="236"/>
      <c r="M1404" s="236"/>
      <c r="N1404" s="236"/>
      <c r="O1404" s="244"/>
      <c r="P1404" s="244"/>
      <c r="Q1404" s="234"/>
      <c r="R1404" s="234"/>
      <c r="S1404" s="238"/>
      <c r="T1404" s="239"/>
      <c r="U1404" s="238"/>
      <c r="V1404" s="238"/>
      <c r="W1404" s="234"/>
      <c r="X1404" s="234"/>
      <c r="Y1404" s="234"/>
      <c r="Z1404" s="234"/>
      <c r="AA1404" s="234"/>
    </row>
    <row r="1405" ht="15.75" customHeight="1">
      <c r="A1405" s="91"/>
      <c r="B1405" s="91"/>
      <c r="C1405" s="220"/>
      <c r="D1405" s="91"/>
      <c r="E1405" s="221"/>
      <c r="F1405" s="91"/>
      <c r="G1405" s="91"/>
      <c r="H1405" s="242"/>
      <c r="I1405" s="91"/>
      <c r="J1405" s="234"/>
      <c r="K1405" s="243"/>
      <c r="L1405" s="236"/>
      <c r="M1405" s="236"/>
      <c r="N1405" s="236"/>
      <c r="O1405" s="244"/>
      <c r="P1405" s="244"/>
      <c r="Q1405" s="234"/>
      <c r="R1405" s="234"/>
      <c r="S1405" s="238"/>
      <c r="T1405" s="239"/>
      <c r="U1405" s="238"/>
      <c r="V1405" s="238"/>
      <c r="W1405" s="234"/>
      <c r="X1405" s="234"/>
      <c r="Y1405" s="234"/>
      <c r="Z1405" s="234"/>
      <c r="AA1405" s="234"/>
    </row>
    <row r="1406" ht="15.75" customHeight="1">
      <c r="A1406" s="91"/>
      <c r="B1406" s="91"/>
      <c r="C1406" s="220"/>
      <c r="D1406" s="91"/>
      <c r="E1406" s="221"/>
      <c r="F1406" s="91"/>
      <c r="G1406" s="91"/>
      <c r="H1406" s="242"/>
      <c r="I1406" s="91"/>
      <c r="J1406" s="234"/>
      <c r="K1406" s="243"/>
      <c r="L1406" s="236"/>
      <c r="M1406" s="236"/>
      <c r="N1406" s="236"/>
      <c r="O1406" s="244"/>
      <c r="P1406" s="244"/>
      <c r="Q1406" s="234"/>
      <c r="R1406" s="234"/>
      <c r="S1406" s="238"/>
      <c r="T1406" s="239"/>
      <c r="U1406" s="238"/>
      <c r="V1406" s="238"/>
      <c r="W1406" s="234"/>
      <c r="X1406" s="234"/>
      <c r="Y1406" s="234"/>
      <c r="Z1406" s="234"/>
      <c r="AA1406" s="234"/>
    </row>
    <row r="1407" ht="15.75" customHeight="1">
      <c r="A1407" s="91"/>
      <c r="B1407" s="91"/>
      <c r="C1407" s="220"/>
      <c r="D1407" s="91"/>
      <c r="E1407" s="221"/>
      <c r="F1407" s="91"/>
      <c r="G1407" s="91"/>
      <c r="H1407" s="242"/>
      <c r="I1407" s="91"/>
      <c r="J1407" s="234"/>
      <c r="K1407" s="243"/>
      <c r="L1407" s="236"/>
      <c r="M1407" s="236"/>
      <c r="N1407" s="236"/>
      <c r="O1407" s="244"/>
      <c r="P1407" s="244"/>
      <c r="Q1407" s="234"/>
      <c r="R1407" s="234"/>
      <c r="S1407" s="238"/>
      <c r="T1407" s="239"/>
      <c r="U1407" s="238"/>
      <c r="V1407" s="238"/>
      <c r="W1407" s="234"/>
      <c r="X1407" s="234"/>
      <c r="Y1407" s="234"/>
      <c r="Z1407" s="234"/>
      <c r="AA1407" s="234"/>
    </row>
    <row r="1408" ht="15.75" customHeight="1">
      <c r="A1408" s="91"/>
      <c r="B1408" s="91"/>
      <c r="C1408" s="220"/>
      <c r="D1408" s="91"/>
      <c r="E1408" s="221"/>
      <c r="F1408" s="91"/>
      <c r="G1408" s="91"/>
      <c r="H1408" s="242"/>
      <c r="I1408" s="91"/>
      <c r="J1408" s="234"/>
      <c r="K1408" s="243"/>
      <c r="L1408" s="236"/>
      <c r="M1408" s="236"/>
      <c r="N1408" s="236"/>
      <c r="O1408" s="244"/>
      <c r="P1408" s="244"/>
      <c r="Q1408" s="234"/>
      <c r="R1408" s="234"/>
      <c r="S1408" s="238"/>
      <c r="T1408" s="239"/>
      <c r="U1408" s="238"/>
      <c r="V1408" s="238"/>
      <c r="W1408" s="234"/>
      <c r="X1408" s="234"/>
      <c r="Y1408" s="234"/>
      <c r="Z1408" s="234"/>
      <c r="AA1408" s="234"/>
    </row>
    <row r="1409" ht="15.75" customHeight="1">
      <c r="A1409" s="91"/>
      <c r="B1409" s="91"/>
      <c r="C1409" s="220"/>
      <c r="D1409" s="91"/>
      <c r="E1409" s="221"/>
      <c r="F1409" s="91"/>
      <c r="G1409" s="91"/>
      <c r="H1409" s="242"/>
      <c r="I1409" s="91"/>
      <c r="J1409" s="234"/>
      <c r="K1409" s="243"/>
      <c r="L1409" s="236"/>
      <c r="M1409" s="236"/>
      <c r="N1409" s="236"/>
      <c r="O1409" s="244"/>
      <c r="P1409" s="244"/>
      <c r="Q1409" s="234"/>
      <c r="R1409" s="234"/>
      <c r="S1409" s="238"/>
      <c r="T1409" s="239"/>
      <c r="U1409" s="238"/>
      <c r="V1409" s="238"/>
      <c r="W1409" s="234"/>
      <c r="X1409" s="234"/>
      <c r="Y1409" s="234"/>
      <c r="Z1409" s="234"/>
      <c r="AA1409" s="234"/>
    </row>
    <row r="1410" ht="15.75" customHeight="1">
      <c r="A1410" s="91"/>
      <c r="B1410" s="91"/>
      <c r="C1410" s="220"/>
      <c r="D1410" s="91"/>
      <c r="E1410" s="221"/>
      <c r="F1410" s="91"/>
      <c r="G1410" s="91"/>
      <c r="H1410" s="242"/>
      <c r="I1410" s="91"/>
      <c r="J1410" s="234"/>
      <c r="K1410" s="243"/>
      <c r="L1410" s="236"/>
      <c r="M1410" s="236"/>
      <c r="N1410" s="236"/>
      <c r="O1410" s="244"/>
      <c r="P1410" s="244"/>
      <c r="Q1410" s="234"/>
      <c r="R1410" s="234"/>
      <c r="S1410" s="238"/>
      <c r="T1410" s="239"/>
      <c r="U1410" s="238"/>
      <c r="V1410" s="238"/>
      <c r="W1410" s="234"/>
      <c r="X1410" s="234"/>
      <c r="Y1410" s="234"/>
      <c r="Z1410" s="234"/>
      <c r="AA1410" s="234"/>
    </row>
    <row r="1411" ht="15.75" customHeight="1">
      <c r="A1411" s="91"/>
      <c r="B1411" s="91"/>
      <c r="C1411" s="220"/>
      <c r="D1411" s="91"/>
      <c r="E1411" s="221"/>
      <c r="F1411" s="91"/>
      <c r="G1411" s="91"/>
      <c r="H1411" s="242"/>
      <c r="I1411" s="91"/>
      <c r="J1411" s="234"/>
      <c r="K1411" s="243"/>
      <c r="L1411" s="236"/>
      <c r="M1411" s="236"/>
      <c r="N1411" s="236"/>
      <c r="O1411" s="244"/>
      <c r="P1411" s="244"/>
      <c r="Q1411" s="234"/>
      <c r="R1411" s="234"/>
      <c r="S1411" s="238"/>
      <c r="T1411" s="239"/>
      <c r="U1411" s="238"/>
      <c r="V1411" s="238"/>
      <c r="W1411" s="234"/>
      <c r="X1411" s="234"/>
      <c r="Y1411" s="234"/>
      <c r="Z1411" s="234"/>
      <c r="AA1411" s="234"/>
    </row>
    <row r="1412" ht="15.75" customHeight="1">
      <c r="A1412" s="91"/>
      <c r="B1412" s="91"/>
      <c r="C1412" s="220"/>
      <c r="D1412" s="91"/>
      <c r="E1412" s="221"/>
      <c r="F1412" s="91"/>
      <c r="G1412" s="91"/>
      <c r="H1412" s="242"/>
      <c r="I1412" s="91"/>
      <c r="J1412" s="234"/>
      <c r="K1412" s="243"/>
      <c r="L1412" s="236"/>
      <c r="M1412" s="236"/>
      <c r="N1412" s="236"/>
      <c r="O1412" s="244"/>
      <c r="P1412" s="244"/>
      <c r="Q1412" s="234"/>
      <c r="R1412" s="234"/>
      <c r="S1412" s="238"/>
      <c r="T1412" s="239"/>
      <c r="U1412" s="238"/>
      <c r="V1412" s="238"/>
      <c r="W1412" s="234"/>
      <c r="X1412" s="234"/>
      <c r="Y1412" s="234"/>
      <c r="Z1412" s="234"/>
      <c r="AA1412" s="234"/>
    </row>
    <row r="1413" ht="15.75" customHeight="1">
      <c r="A1413" s="91"/>
      <c r="B1413" s="91"/>
      <c r="C1413" s="220"/>
      <c r="D1413" s="91"/>
      <c r="E1413" s="221"/>
      <c r="F1413" s="91"/>
      <c r="G1413" s="91"/>
      <c r="H1413" s="242"/>
      <c r="I1413" s="91"/>
      <c r="J1413" s="234"/>
      <c r="K1413" s="243"/>
      <c r="L1413" s="236"/>
      <c r="M1413" s="236"/>
      <c r="N1413" s="236"/>
      <c r="O1413" s="244"/>
      <c r="P1413" s="244"/>
      <c r="Q1413" s="234"/>
      <c r="R1413" s="234"/>
      <c r="S1413" s="238"/>
      <c r="T1413" s="239"/>
      <c r="U1413" s="238"/>
      <c r="V1413" s="238"/>
      <c r="W1413" s="234"/>
      <c r="X1413" s="234"/>
      <c r="Y1413" s="234"/>
      <c r="Z1413" s="234"/>
      <c r="AA1413" s="234"/>
    </row>
    <row r="1414" ht="15.75" customHeight="1">
      <c r="A1414" s="91"/>
      <c r="B1414" s="91"/>
      <c r="C1414" s="220"/>
      <c r="D1414" s="91"/>
      <c r="E1414" s="221"/>
      <c r="F1414" s="91"/>
      <c r="G1414" s="91"/>
      <c r="H1414" s="242"/>
      <c r="I1414" s="91"/>
      <c r="J1414" s="234"/>
      <c r="K1414" s="243"/>
      <c r="L1414" s="236"/>
      <c r="M1414" s="236"/>
      <c r="N1414" s="236"/>
      <c r="O1414" s="244"/>
      <c r="P1414" s="244"/>
      <c r="Q1414" s="234"/>
      <c r="R1414" s="234"/>
      <c r="S1414" s="238"/>
      <c r="T1414" s="239"/>
      <c r="U1414" s="238"/>
      <c r="V1414" s="238"/>
      <c r="W1414" s="234"/>
      <c r="X1414" s="234"/>
      <c r="Y1414" s="234"/>
      <c r="Z1414" s="234"/>
      <c r="AA1414" s="234"/>
    </row>
    <row r="1415" ht="15.75" customHeight="1">
      <c r="A1415" s="91"/>
      <c r="B1415" s="91"/>
      <c r="C1415" s="220"/>
      <c r="D1415" s="91"/>
      <c r="E1415" s="221"/>
      <c r="F1415" s="91"/>
      <c r="G1415" s="91"/>
      <c r="H1415" s="242"/>
      <c r="I1415" s="91"/>
      <c r="J1415" s="234"/>
      <c r="K1415" s="243"/>
      <c r="L1415" s="236"/>
      <c r="M1415" s="236"/>
      <c r="N1415" s="236"/>
      <c r="O1415" s="244"/>
      <c r="P1415" s="244"/>
      <c r="Q1415" s="234"/>
      <c r="R1415" s="234"/>
      <c r="S1415" s="238"/>
      <c r="T1415" s="239"/>
      <c r="U1415" s="238"/>
      <c r="V1415" s="238"/>
      <c r="W1415" s="234"/>
      <c r="X1415" s="234"/>
      <c r="Y1415" s="234"/>
      <c r="Z1415" s="234"/>
      <c r="AA1415" s="234"/>
    </row>
    <row r="1416" ht="15.75" customHeight="1">
      <c r="A1416" s="91"/>
      <c r="B1416" s="91"/>
      <c r="C1416" s="220"/>
      <c r="D1416" s="91"/>
      <c r="E1416" s="221"/>
      <c r="F1416" s="91"/>
      <c r="G1416" s="91"/>
      <c r="H1416" s="242"/>
      <c r="I1416" s="91"/>
      <c r="J1416" s="234"/>
      <c r="K1416" s="243"/>
      <c r="L1416" s="236"/>
      <c r="M1416" s="236"/>
      <c r="N1416" s="236"/>
      <c r="O1416" s="244"/>
      <c r="P1416" s="244"/>
      <c r="Q1416" s="234"/>
      <c r="R1416" s="234"/>
      <c r="S1416" s="238"/>
      <c r="T1416" s="239"/>
      <c r="U1416" s="238"/>
      <c r="V1416" s="238"/>
      <c r="W1416" s="234"/>
      <c r="X1416" s="234"/>
      <c r="Y1416" s="234"/>
      <c r="Z1416" s="234"/>
      <c r="AA1416" s="234"/>
    </row>
    <row r="1417" ht="15.75" customHeight="1">
      <c r="A1417" s="91"/>
      <c r="B1417" s="91"/>
      <c r="C1417" s="220"/>
      <c r="D1417" s="91"/>
      <c r="E1417" s="221"/>
      <c r="F1417" s="91"/>
      <c r="G1417" s="91"/>
      <c r="H1417" s="242"/>
      <c r="I1417" s="91"/>
      <c r="J1417" s="234"/>
      <c r="K1417" s="243"/>
      <c r="L1417" s="236"/>
      <c r="M1417" s="236"/>
      <c r="N1417" s="236"/>
      <c r="O1417" s="244"/>
      <c r="P1417" s="244"/>
      <c r="Q1417" s="234"/>
      <c r="R1417" s="234"/>
      <c r="S1417" s="238"/>
      <c r="T1417" s="239"/>
      <c r="U1417" s="238"/>
      <c r="V1417" s="238"/>
      <c r="W1417" s="234"/>
      <c r="X1417" s="234"/>
      <c r="Y1417" s="234"/>
      <c r="Z1417" s="234"/>
      <c r="AA1417" s="234"/>
    </row>
    <row r="1418" ht="15.75" customHeight="1">
      <c r="A1418" s="91"/>
      <c r="B1418" s="91"/>
      <c r="C1418" s="220"/>
      <c r="D1418" s="91"/>
      <c r="E1418" s="221"/>
      <c r="F1418" s="91"/>
      <c r="G1418" s="91"/>
      <c r="H1418" s="242"/>
      <c r="I1418" s="91"/>
      <c r="J1418" s="234"/>
      <c r="K1418" s="243"/>
      <c r="L1418" s="236"/>
      <c r="M1418" s="236"/>
      <c r="N1418" s="236"/>
      <c r="O1418" s="244"/>
      <c r="P1418" s="244"/>
      <c r="Q1418" s="234"/>
      <c r="R1418" s="234"/>
      <c r="S1418" s="238"/>
      <c r="T1418" s="239"/>
      <c r="U1418" s="238"/>
      <c r="V1418" s="238"/>
      <c r="W1418" s="234"/>
      <c r="X1418" s="234"/>
      <c r="Y1418" s="234"/>
      <c r="Z1418" s="234"/>
      <c r="AA1418" s="234"/>
    </row>
    <row r="1419" ht="15.75" customHeight="1">
      <c r="A1419" s="91"/>
      <c r="B1419" s="91"/>
      <c r="C1419" s="220"/>
      <c r="D1419" s="91"/>
      <c r="E1419" s="221"/>
      <c r="F1419" s="91"/>
      <c r="G1419" s="91"/>
      <c r="H1419" s="242"/>
      <c r="I1419" s="91"/>
      <c r="J1419" s="234"/>
      <c r="K1419" s="243"/>
      <c r="L1419" s="236"/>
      <c r="M1419" s="236"/>
      <c r="N1419" s="236"/>
      <c r="O1419" s="244"/>
      <c r="P1419" s="244"/>
      <c r="Q1419" s="234"/>
      <c r="R1419" s="234"/>
      <c r="S1419" s="238"/>
      <c r="T1419" s="239"/>
      <c r="U1419" s="238"/>
      <c r="V1419" s="238"/>
      <c r="W1419" s="234"/>
      <c r="X1419" s="234"/>
      <c r="Y1419" s="234"/>
      <c r="Z1419" s="234"/>
      <c r="AA1419" s="234"/>
    </row>
    <row r="1420" ht="15.75" customHeight="1">
      <c r="A1420" s="91"/>
      <c r="B1420" s="91"/>
      <c r="C1420" s="220"/>
      <c r="D1420" s="91"/>
      <c r="E1420" s="221"/>
      <c r="F1420" s="91"/>
      <c r="G1420" s="91"/>
      <c r="H1420" s="242"/>
      <c r="I1420" s="91"/>
      <c r="J1420" s="234"/>
      <c r="K1420" s="243"/>
      <c r="L1420" s="236"/>
      <c r="M1420" s="236"/>
      <c r="N1420" s="236"/>
      <c r="O1420" s="244"/>
      <c r="P1420" s="244"/>
      <c r="Q1420" s="234"/>
      <c r="R1420" s="234"/>
      <c r="S1420" s="238"/>
      <c r="T1420" s="239"/>
      <c r="U1420" s="238"/>
      <c r="V1420" s="238"/>
      <c r="W1420" s="234"/>
      <c r="X1420" s="234"/>
      <c r="Y1420" s="234"/>
      <c r="Z1420" s="234"/>
      <c r="AA1420" s="234"/>
    </row>
    <row r="1421" ht="15.75" customHeight="1">
      <c r="A1421" s="91"/>
      <c r="B1421" s="91"/>
      <c r="C1421" s="220"/>
      <c r="D1421" s="91"/>
      <c r="E1421" s="221"/>
      <c r="F1421" s="91"/>
      <c r="G1421" s="91"/>
      <c r="H1421" s="242"/>
      <c r="I1421" s="91"/>
      <c r="J1421" s="234"/>
      <c r="K1421" s="243"/>
      <c r="L1421" s="236"/>
      <c r="M1421" s="236"/>
      <c r="N1421" s="236"/>
      <c r="O1421" s="244"/>
      <c r="P1421" s="244"/>
      <c r="Q1421" s="234"/>
      <c r="R1421" s="234"/>
      <c r="S1421" s="238"/>
      <c r="T1421" s="239"/>
      <c r="U1421" s="238"/>
      <c r="V1421" s="238"/>
      <c r="W1421" s="234"/>
      <c r="X1421" s="234"/>
      <c r="Y1421" s="234"/>
      <c r="Z1421" s="234"/>
      <c r="AA1421" s="234"/>
    </row>
    <row r="1422" ht="15.75" customHeight="1">
      <c r="A1422" s="91"/>
      <c r="B1422" s="91"/>
      <c r="C1422" s="220"/>
      <c r="D1422" s="91"/>
      <c r="E1422" s="221"/>
      <c r="F1422" s="91"/>
      <c r="G1422" s="91"/>
      <c r="H1422" s="242"/>
      <c r="I1422" s="91"/>
      <c r="J1422" s="234"/>
      <c r="K1422" s="243"/>
      <c r="L1422" s="236"/>
      <c r="M1422" s="236"/>
      <c r="N1422" s="236"/>
      <c r="O1422" s="244"/>
      <c r="P1422" s="244"/>
      <c r="Q1422" s="234"/>
      <c r="R1422" s="234"/>
      <c r="S1422" s="238"/>
      <c r="T1422" s="239"/>
      <c r="U1422" s="238"/>
      <c r="V1422" s="238"/>
      <c r="W1422" s="234"/>
      <c r="X1422" s="234"/>
      <c r="Y1422" s="234"/>
      <c r="Z1422" s="234"/>
      <c r="AA1422" s="234"/>
    </row>
    <row r="1423" ht="15.75" customHeight="1">
      <c r="A1423" s="91"/>
      <c r="B1423" s="91"/>
      <c r="C1423" s="220"/>
      <c r="D1423" s="91"/>
      <c r="E1423" s="221"/>
      <c r="F1423" s="91"/>
      <c r="G1423" s="91"/>
      <c r="H1423" s="242"/>
      <c r="I1423" s="91"/>
      <c r="J1423" s="234"/>
      <c r="K1423" s="243"/>
      <c r="L1423" s="236"/>
      <c r="M1423" s="236"/>
      <c r="N1423" s="236"/>
      <c r="O1423" s="244"/>
      <c r="P1423" s="244"/>
      <c r="Q1423" s="234"/>
      <c r="R1423" s="234"/>
      <c r="S1423" s="238"/>
      <c r="T1423" s="239"/>
      <c r="U1423" s="238"/>
      <c r="V1423" s="238"/>
      <c r="W1423" s="234"/>
      <c r="X1423" s="234"/>
      <c r="Y1423" s="234"/>
      <c r="Z1423" s="234"/>
      <c r="AA1423" s="234"/>
    </row>
    <row r="1424" ht="15.75" customHeight="1">
      <c r="A1424" s="91"/>
      <c r="B1424" s="91"/>
      <c r="C1424" s="220"/>
      <c r="D1424" s="91"/>
      <c r="E1424" s="221"/>
      <c r="F1424" s="91"/>
      <c r="G1424" s="91"/>
      <c r="H1424" s="242"/>
      <c r="I1424" s="91"/>
      <c r="J1424" s="234"/>
      <c r="K1424" s="243"/>
      <c r="L1424" s="236"/>
      <c r="M1424" s="236"/>
      <c r="N1424" s="236"/>
      <c r="O1424" s="244"/>
      <c r="P1424" s="244"/>
      <c r="Q1424" s="234"/>
      <c r="R1424" s="234"/>
      <c r="S1424" s="238"/>
      <c r="T1424" s="239"/>
      <c r="U1424" s="238"/>
      <c r="V1424" s="238"/>
      <c r="W1424" s="234"/>
      <c r="X1424" s="234"/>
      <c r="Y1424" s="234"/>
      <c r="Z1424" s="234"/>
      <c r="AA1424" s="234"/>
    </row>
    <row r="1425" ht="15.75" customHeight="1">
      <c r="A1425" s="91"/>
      <c r="B1425" s="91"/>
      <c r="C1425" s="220"/>
      <c r="D1425" s="91"/>
      <c r="E1425" s="221"/>
      <c r="F1425" s="91"/>
      <c r="G1425" s="91"/>
      <c r="H1425" s="242"/>
      <c r="I1425" s="91"/>
      <c r="J1425" s="234"/>
      <c r="K1425" s="243"/>
      <c r="L1425" s="236"/>
      <c r="M1425" s="236"/>
      <c r="N1425" s="236"/>
      <c r="O1425" s="244"/>
      <c r="P1425" s="244"/>
      <c r="Q1425" s="234"/>
      <c r="R1425" s="234"/>
      <c r="S1425" s="238"/>
      <c r="T1425" s="239"/>
      <c r="U1425" s="238"/>
      <c r="V1425" s="238"/>
      <c r="W1425" s="234"/>
      <c r="X1425" s="234"/>
      <c r="Y1425" s="234"/>
      <c r="Z1425" s="234"/>
      <c r="AA1425" s="234"/>
    </row>
    <row r="1426" ht="15.75" customHeight="1">
      <c r="A1426" s="91"/>
      <c r="B1426" s="91"/>
      <c r="C1426" s="220"/>
      <c r="D1426" s="91"/>
      <c r="E1426" s="221"/>
      <c r="F1426" s="91"/>
      <c r="G1426" s="91"/>
      <c r="H1426" s="242"/>
      <c r="I1426" s="91"/>
      <c r="J1426" s="234"/>
      <c r="K1426" s="243"/>
      <c r="L1426" s="236"/>
      <c r="M1426" s="236"/>
      <c r="N1426" s="236"/>
      <c r="O1426" s="244"/>
      <c r="P1426" s="244"/>
      <c r="Q1426" s="234"/>
      <c r="R1426" s="234"/>
      <c r="S1426" s="238"/>
      <c r="T1426" s="239"/>
      <c r="U1426" s="238"/>
      <c r="V1426" s="238"/>
      <c r="W1426" s="234"/>
      <c r="X1426" s="234"/>
      <c r="Y1426" s="234"/>
      <c r="Z1426" s="234"/>
      <c r="AA1426" s="234"/>
    </row>
    <row r="1427" ht="15.75" customHeight="1">
      <c r="A1427" s="91"/>
      <c r="B1427" s="91"/>
      <c r="C1427" s="220"/>
      <c r="D1427" s="91"/>
      <c r="E1427" s="221"/>
      <c r="F1427" s="91"/>
      <c r="G1427" s="91"/>
      <c r="H1427" s="242"/>
      <c r="I1427" s="91"/>
      <c r="J1427" s="234"/>
      <c r="K1427" s="243"/>
      <c r="L1427" s="236"/>
      <c r="M1427" s="236"/>
      <c r="N1427" s="236"/>
      <c r="O1427" s="244"/>
      <c r="P1427" s="244"/>
      <c r="Q1427" s="234"/>
      <c r="R1427" s="234"/>
      <c r="S1427" s="238"/>
      <c r="T1427" s="239"/>
      <c r="U1427" s="238"/>
      <c r="V1427" s="238"/>
      <c r="W1427" s="234"/>
      <c r="X1427" s="234"/>
      <c r="Y1427" s="234"/>
      <c r="Z1427" s="234"/>
      <c r="AA1427" s="234"/>
    </row>
    <row r="1428" ht="15.75" customHeight="1">
      <c r="A1428" s="91"/>
      <c r="B1428" s="91"/>
      <c r="C1428" s="220"/>
      <c r="D1428" s="91"/>
      <c r="E1428" s="221"/>
      <c r="F1428" s="91"/>
      <c r="G1428" s="91"/>
      <c r="H1428" s="242"/>
      <c r="I1428" s="91"/>
      <c r="J1428" s="234"/>
      <c r="K1428" s="243"/>
      <c r="L1428" s="236"/>
      <c r="M1428" s="236"/>
      <c r="N1428" s="236"/>
      <c r="O1428" s="244"/>
      <c r="P1428" s="244"/>
      <c r="Q1428" s="234"/>
      <c r="R1428" s="234"/>
      <c r="S1428" s="238"/>
      <c r="T1428" s="239"/>
      <c r="U1428" s="238"/>
      <c r="V1428" s="238"/>
      <c r="W1428" s="234"/>
      <c r="X1428" s="234"/>
      <c r="Y1428" s="234"/>
      <c r="Z1428" s="234"/>
      <c r="AA1428" s="234"/>
    </row>
    <row r="1429" ht="15.75" customHeight="1">
      <c r="A1429" s="91"/>
      <c r="B1429" s="91"/>
      <c r="C1429" s="220"/>
      <c r="D1429" s="91"/>
      <c r="E1429" s="221"/>
      <c r="F1429" s="91"/>
      <c r="G1429" s="91"/>
      <c r="H1429" s="242"/>
      <c r="I1429" s="91"/>
      <c r="J1429" s="234"/>
      <c r="K1429" s="243"/>
      <c r="L1429" s="236"/>
      <c r="M1429" s="236"/>
      <c r="N1429" s="236"/>
      <c r="O1429" s="244"/>
      <c r="P1429" s="244"/>
      <c r="Q1429" s="234"/>
      <c r="R1429" s="234"/>
      <c r="S1429" s="238"/>
      <c r="T1429" s="239"/>
      <c r="U1429" s="238"/>
      <c r="V1429" s="238"/>
      <c r="W1429" s="234"/>
      <c r="X1429" s="234"/>
      <c r="Y1429" s="234"/>
      <c r="Z1429" s="234"/>
      <c r="AA1429" s="234"/>
    </row>
    <row r="1430" ht="15.75" customHeight="1">
      <c r="A1430" s="91"/>
      <c r="B1430" s="91"/>
      <c r="C1430" s="220"/>
      <c r="D1430" s="91"/>
      <c r="E1430" s="221"/>
      <c r="F1430" s="91"/>
      <c r="G1430" s="91"/>
      <c r="H1430" s="242"/>
      <c r="I1430" s="91"/>
      <c r="J1430" s="234"/>
      <c r="K1430" s="243"/>
      <c r="L1430" s="236"/>
      <c r="M1430" s="236"/>
      <c r="N1430" s="236"/>
      <c r="O1430" s="244"/>
      <c r="P1430" s="244"/>
      <c r="Q1430" s="234"/>
      <c r="R1430" s="234"/>
      <c r="S1430" s="238"/>
      <c r="T1430" s="239"/>
      <c r="U1430" s="238"/>
      <c r="V1430" s="238"/>
      <c r="W1430" s="234"/>
      <c r="X1430" s="234"/>
      <c r="Y1430" s="234"/>
      <c r="Z1430" s="234"/>
      <c r="AA1430" s="234"/>
    </row>
    <row r="1431" ht="15.75" customHeight="1">
      <c r="A1431" s="91"/>
      <c r="B1431" s="91"/>
      <c r="C1431" s="220"/>
      <c r="D1431" s="91"/>
      <c r="E1431" s="221"/>
      <c r="F1431" s="91"/>
      <c r="G1431" s="91"/>
      <c r="H1431" s="242"/>
      <c r="I1431" s="91"/>
      <c r="J1431" s="234"/>
      <c r="K1431" s="243"/>
      <c r="L1431" s="236"/>
      <c r="M1431" s="236"/>
      <c r="N1431" s="236"/>
      <c r="O1431" s="244"/>
      <c r="P1431" s="244"/>
      <c r="Q1431" s="234"/>
      <c r="R1431" s="234"/>
      <c r="S1431" s="238"/>
      <c r="T1431" s="239"/>
      <c r="U1431" s="238"/>
      <c r="V1431" s="238"/>
      <c r="W1431" s="234"/>
      <c r="X1431" s="234"/>
      <c r="Y1431" s="234"/>
      <c r="Z1431" s="234"/>
      <c r="AA1431" s="234"/>
    </row>
    <row r="1432" ht="15.75" customHeight="1">
      <c r="A1432" s="91"/>
      <c r="B1432" s="91"/>
      <c r="C1432" s="220"/>
      <c r="D1432" s="91"/>
      <c r="E1432" s="221"/>
      <c r="F1432" s="91"/>
      <c r="G1432" s="91"/>
      <c r="H1432" s="242"/>
      <c r="I1432" s="91"/>
      <c r="J1432" s="234"/>
      <c r="K1432" s="243"/>
      <c r="L1432" s="236"/>
      <c r="M1432" s="236"/>
      <c r="N1432" s="236"/>
      <c r="O1432" s="244"/>
      <c r="P1432" s="244"/>
      <c r="Q1432" s="234"/>
      <c r="R1432" s="234"/>
      <c r="S1432" s="238"/>
      <c r="T1432" s="239"/>
      <c r="U1432" s="238"/>
      <c r="V1432" s="238"/>
      <c r="W1432" s="234"/>
      <c r="X1432" s="234"/>
      <c r="Y1432" s="234"/>
      <c r="Z1432" s="234"/>
      <c r="AA1432" s="234"/>
    </row>
    <row r="1433" ht="15.75" customHeight="1">
      <c r="A1433" s="91"/>
      <c r="B1433" s="91"/>
      <c r="C1433" s="220"/>
      <c r="D1433" s="91"/>
      <c r="E1433" s="221"/>
      <c r="F1433" s="91"/>
      <c r="G1433" s="91"/>
      <c r="H1433" s="242"/>
      <c r="I1433" s="91"/>
      <c r="J1433" s="234"/>
      <c r="K1433" s="243"/>
      <c r="L1433" s="236"/>
      <c r="M1433" s="236"/>
      <c r="N1433" s="236"/>
      <c r="O1433" s="244"/>
      <c r="P1433" s="244"/>
      <c r="Q1433" s="234"/>
      <c r="R1433" s="234"/>
      <c r="S1433" s="238"/>
      <c r="T1433" s="239"/>
      <c r="U1433" s="238"/>
      <c r="V1433" s="238"/>
      <c r="W1433" s="234"/>
      <c r="X1433" s="234"/>
      <c r="Y1433" s="234"/>
      <c r="Z1433" s="234"/>
      <c r="AA1433" s="234"/>
    </row>
    <row r="1434" ht="15.75" customHeight="1">
      <c r="A1434" s="91"/>
      <c r="B1434" s="91"/>
      <c r="C1434" s="220"/>
      <c r="D1434" s="91"/>
      <c r="E1434" s="221"/>
      <c r="F1434" s="91"/>
      <c r="G1434" s="91"/>
      <c r="H1434" s="242"/>
      <c r="I1434" s="91"/>
      <c r="J1434" s="234"/>
      <c r="K1434" s="243"/>
      <c r="L1434" s="236"/>
      <c r="M1434" s="236"/>
      <c r="N1434" s="236"/>
      <c r="O1434" s="244"/>
      <c r="P1434" s="244"/>
      <c r="Q1434" s="234"/>
      <c r="R1434" s="234"/>
      <c r="S1434" s="238"/>
      <c r="T1434" s="239"/>
      <c r="U1434" s="238"/>
      <c r="V1434" s="238"/>
      <c r="W1434" s="234"/>
      <c r="X1434" s="234"/>
      <c r="Y1434" s="234"/>
      <c r="Z1434" s="234"/>
      <c r="AA1434" s="234"/>
    </row>
    <row r="1435" ht="15.75" customHeight="1">
      <c r="A1435" s="91"/>
      <c r="B1435" s="91"/>
      <c r="C1435" s="220"/>
      <c r="D1435" s="91"/>
      <c r="E1435" s="221"/>
      <c r="F1435" s="91"/>
      <c r="G1435" s="91"/>
      <c r="H1435" s="242"/>
      <c r="I1435" s="91"/>
      <c r="J1435" s="234"/>
      <c r="K1435" s="243"/>
      <c r="L1435" s="236"/>
      <c r="M1435" s="236"/>
      <c r="N1435" s="236"/>
      <c r="O1435" s="244"/>
      <c r="P1435" s="244"/>
      <c r="Q1435" s="234"/>
      <c r="R1435" s="234"/>
      <c r="S1435" s="238"/>
      <c r="T1435" s="239"/>
      <c r="U1435" s="238"/>
      <c r="V1435" s="238"/>
      <c r="W1435" s="234"/>
      <c r="X1435" s="234"/>
      <c r="Y1435" s="234"/>
      <c r="Z1435" s="234"/>
      <c r="AA1435" s="234"/>
    </row>
    <row r="1436" ht="15.75" customHeight="1">
      <c r="A1436" s="91"/>
      <c r="B1436" s="91"/>
      <c r="C1436" s="220"/>
      <c r="D1436" s="91"/>
      <c r="E1436" s="221"/>
      <c r="F1436" s="91"/>
      <c r="G1436" s="91"/>
      <c r="H1436" s="242"/>
      <c r="I1436" s="91"/>
      <c r="J1436" s="234"/>
      <c r="K1436" s="243"/>
      <c r="L1436" s="236"/>
      <c r="M1436" s="236"/>
      <c r="N1436" s="236"/>
      <c r="O1436" s="244"/>
      <c r="P1436" s="244"/>
      <c r="Q1436" s="234"/>
      <c r="R1436" s="234"/>
      <c r="S1436" s="238"/>
      <c r="T1436" s="239"/>
      <c r="U1436" s="238"/>
      <c r="V1436" s="238"/>
      <c r="W1436" s="234"/>
      <c r="X1436" s="234"/>
      <c r="Y1436" s="234"/>
      <c r="Z1436" s="234"/>
      <c r="AA1436" s="234"/>
    </row>
    <row r="1437" ht="15.75" customHeight="1">
      <c r="A1437" s="91"/>
      <c r="B1437" s="91"/>
      <c r="C1437" s="220"/>
      <c r="D1437" s="91"/>
      <c r="E1437" s="221"/>
      <c r="F1437" s="91"/>
      <c r="G1437" s="91"/>
      <c r="H1437" s="242"/>
      <c r="I1437" s="91"/>
      <c r="J1437" s="234"/>
      <c r="K1437" s="243"/>
      <c r="L1437" s="236"/>
      <c r="M1437" s="236"/>
      <c r="N1437" s="236"/>
      <c r="O1437" s="244"/>
      <c r="P1437" s="244"/>
      <c r="Q1437" s="234"/>
      <c r="R1437" s="234"/>
      <c r="S1437" s="238"/>
      <c r="T1437" s="239"/>
      <c r="U1437" s="238"/>
      <c r="V1437" s="238"/>
      <c r="W1437" s="234"/>
      <c r="X1437" s="234"/>
      <c r="Y1437" s="234"/>
      <c r="Z1437" s="234"/>
      <c r="AA1437" s="234"/>
    </row>
    <row r="1438" ht="15.75" customHeight="1">
      <c r="A1438" s="91"/>
      <c r="B1438" s="91"/>
      <c r="C1438" s="220"/>
      <c r="D1438" s="91"/>
      <c r="E1438" s="221"/>
      <c r="F1438" s="91"/>
      <c r="G1438" s="91"/>
      <c r="H1438" s="242"/>
      <c r="I1438" s="91"/>
      <c r="J1438" s="234"/>
      <c r="K1438" s="243"/>
      <c r="L1438" s="236"/>
      <c r="M1438" s="236"/>
      <c r="N1438" s="236"/>
      <c r="O1438" s="244"/>
      <c r="P1438" s="244"/>
      <c r="Q1438" s="234"/>
      <c r="R1438" s="234"/>
      <c r="S1438" s="238"/>
      <c r="T1438" s="239"/>
      <c r="U1438" s="238"/>
      <c r="V1438" s="238"/>
      <c r="W1438" s="234"/>
      <c r="X1438" s="234"/>
      <c r="Y1438" s="234"/>
      <c r="Z1438" s="234"/>
      <c r="AA1438" s="234"/>
    </row>
    <row r="1439" ht="15.75" customHeight="1">
      <c r="A1439" s="91"/>
      <c r="B1439" s="91"/>
      <c r="C1439" s="220"/>
      <c r="D1439" s="91"/>
      <c r="E1439" s="221"/>
      <c r="F1439" s="91"/>
      <c r="G1439" s="91"/>
      <c r="H1439" s="242"/>
      <c r="I1439" s="91"/>
      <c r="J1439" s="234"/>
      <c r="K1439" s="243"/>
      <c r="L1439" s="236"/>
      <c r="M1439" s="236"/>
      <c r="N1439" s="236"/>
      <c r="O1439" s="244"/>
      <c r="P1439" s="244"/>
      <c r="Q1439" s="234"/>
      <c r="R1439" s="234"/>
      <c r="S1439" s="238"/>
      <c r="T1439" s="239"/>
      <c r="U1439" s="238"/>
      <c r="V1439" s="238"/>
      <c r="W1439" s="234"/>
      <c r="X1439" s="234"/>
      <c r="Y1439" s="234"/>
      <c r="Z1439" s="234"/>
      <c r="AA1439" s="234"/>
    </row>
    <row r="1440" ht="15.75" customHeight="1">
      <c r="A1440" s="91"/>
      <c r="B1440" s="91"/>
      <c r="C1440" s="220"/>
      <c r="D1440" s="91"/>
      <c r="E1440" s="221"/>
      <c r="F1440" s="91"/>
      <c r="G1440" s="91"/>
      <c r="H1440" s="242"/>
      <c r="I1440" s="91"/>
      <c r="J1440" s="234"/>
      <c r="K1440" s="243"/>
      <c r="L1440" s="236"/>
      <c r="M1440" s="236"/>
      <c r="N1440" s="236"/>
      <c r="O1440" s="244"/>
      <c r="P1440" s="244"/>
      <c r="Q1440" s="234"/>
      <c r="R1440" s="234"/>
      <c r="S1440" s="238"/>
      <c r="T1440" s="239"/>
      <c r="U1440" s="238"/>
      <c r="V1440" s="238"/>
      <c r="W1440" s="234"/>
      <c r="X1440" s="234"/>
      <c r="Y1440" s="234"/>
      <c r="Z1440" s="234"/>
      <c r="AA1440" s="234"/>
    </row>
    <row r="1441" ht="15.75" customHeight="1">
      <c r="A1441" s="91"/>
      <c r="B1441" s="91"/>
      <c r="C1441" s="220"/>
      <c r="D1441" s="91"/>
      <c r="E1441" s="221"/>
      <c r="F1441" s="91"/>
      <c r="G1441" s="91"/>
      <c r="H1441" s="242"/>
      <c r="I1441" s="91"/>
      <c r="J1441" s="234"/>
      <c r="K1441" s="243"/>
      <c r="L1441" s="236"/>
      <c r="M1441" s="236"/>
      <c r="N1441" s="236"/>
      <c r="O1441" s="244"/>
      <c r="P1441" s="244"/>
      <c r="Q1441" s="234"/>
      <c r="R1441" s="234"/>
      <c r="S1441" s="238"/>
      <c r="T1441" s="239"/>
      <c r="U1441" s="238"/>
      <c r="V1441" s="238"/>
      <c r="W1441" s="234"/>
      <c r="X1441" s="234"/>
      <c r="Y1441" s="234"/>
      <c r="Z1441" s="234"/>
      <c r="AA1441" s="234"/>
    </row>
    <row r="1442" ht="15.75" customHeight="1">
      <c r="A1442" s="91"/>
      <c r="B1442" s="91"/>
      <c r="C1442" s="220"/>
      <c r="D1442" s="91"/>
      <c r="E1442" s="221"/>
      <c r="F1442" s="91"/>
      <c r="G1442" s="91"/>
      <c r="H1442" s="242"/>
      <c r="I1442" s="91"/>
      <c r="J1442" s="234"/>
      <c r="K1442" s="243"/>
      <c r="L1442" s="236"/>
      <c r="M1442" s="236"/>
      <c r="N1442" s="236"/>
      <c r="O1442" s="244"/>
      <c r="P1442" s="244"/>
      <c r="Q1442" s="234"/>
      <c r="R1442" s="234"/>
      <c r="S1442" s="238"/>
      <c r="T1442" s="239"/>
      <c r="U1442" s="238"/>
      <c r="V1442" s="238"/>
      <c r="W1442" s="234"/>
      <c r="X1442" s="234"/>
      <c r="Y1442" s="234"/>
      <c r="Z1442" s="234"/>
      <c r="AA1442" s="234"/>
    </row>
    <row r="1443" ht="15.75" customHeight="1">
      <c r="A1443" s="91"/>
      <c r="B1443" s="91"/>
      <c r="C1443" s="220"/>
      <c r="D1443" s="91"/>
      <c r="E1443" s="221"/>
      <c r="F1443" s="91"/>
      <c r="G1443" s="91"/>
      <c r="H1443" s="242"/>
      <c r="I1443" s="91"/>
      <c r="J1443" s="234"/>
      <c r="K1443" s="243"/>
      <c r="L1443" s="236"/>
      <c r="M1443" s="236"/>
      <c r="N1443" s="236"/>
      <c r="O1443" s="244"/>
      <c r="P1443" s="244"/>
      <c r="Q1443" s="234"/>
      <c r="R1443" s="234"/>
      <c r="S1443" s="238"/>
      <c r="T1443" s="239"/>
      <c r="U1443" s="238"/>
      <c r="V1443" s="238"/>
      <c r="W1443" s="234"/>
      <c r="X1443" s="234"/>
      <c r="Y1443" s="234"/>
      <c r="Z1443" s="234"/>
      <c r="AA1443" s="234"/>
    </row>
    <row r="1444" ht="15.75" customHeight="1">
      <c r="A1444" s="91"/>
      <c r="B1444" s="91"/>
      <c r="C1444" s="220"/>
      <c r="D1444" s="91"/>
      <c r="E1444" s="221"/>
      <c r="F1444" s="91"/>
      <c r="G1444" s="91"/>
      <c r="H1444" s="242"/>
      <c r="I1444" s="91"/>
      <c r="J1444" s="234"/>
      <c r="K1444" s="243"/>
      <c r="L1444" s="236"/>
      <c r="M1444" s="236"/>
      <c r="N1444" s="236"/>
      <c r="O1444" s="244"/>
      <c r="P1444" s="244"/>
      <c r="Q1444" s="234"/>
      <c r="R1444" s="234"/>
      <c r="S1444" s="238"/>
      <c r="T1444" s="239"/>
      <c r="U1444" s="238"/>
      <c r="V1444" s="238"/>
      <c r="W1444" s="234"/>
      <c r="X1444" s="234"/>
      <c r="Y1444" s="234"/>
      <c r="Z1444" s="234"/>
      <c r="AA1444" s="234"/>
    </row>
    <row r="1445" ht="15.75" customHeight="1">
      <c r="A1445" s="91"/>
      <c r="B1445" s="91"/>
      <c r="C1445" s="220"/>
      <c r="D1445" s="91"/>
      <c r="E1445" s="221"/>
      <c r="F1445" s="91"/>
      <c r="G1445" s="91"/>
      <c r="H1445" s="242"/>
      <c r="I1445" s="91"/>
      <c r="J1445" s="234"/>
      <c r="K1445" s="243"/>
      <c r="L1445" s="236"/>
      <c r="M1445" s="236"/>
      <c r="N1445" s="236"/>
      <c r="O1445" s="244"/>
      <c r="P1445" s="244"/>
      <c r="Q1445" s="234"/>
      <c r="R1445" s="234"/>
      <c r="S1445" s="238"/>
      <c r="T1445" s="239"/>
      <c r="U1445" s="238"/>
      <c r="V1445" s="238"/>
      <c r="W1445" s="234"/>
      <c r="X1445" s="234"/>
      <c r="Y1445" s="234"/>
      <c r="Z1445" s="234"/>
      <c r="AA1445" s="234"/>
    </row>
    <row r="1446" ht="15.75" customHeight="1">
      <c r="A1446" s="91"/>
      <c r="B1446" s="91"/>
      <c r="C1446" s="220"/>
      <c r="D1446" s="91"/>
      <c r="E1446" s="221"/>
      <c r="F1446" s="91"/>
      <c r="G1446" s="91"/>
      <c r="H1446" s="242"/>
      <c r="I1446" s="91"/>
      <c r="J1446" s="234"/>
      <c r="K1446" s="243"/>
      <c r="L1446" s="236"/>
      <c r="M1446" s="236"/>
      <c r="N1446" s="236"/>
      <c r="O1446" s="244"/>
      <c r="P1446" s="244"/>
      <c r="Q1446" s="234"/>
      <c r="R1446" s="234"/>
      <c r="S1446" s="238"/>
      <c r="T1446" s="239"/>
      <c r="U1446" s="238"/>
      <c r="V1446" s="238"/>
      <c r="W1446" s="234"/>
      <c r="X1446" s="234"/>
      <c r="Y1446" s="234"/>
      <c r="Z1446" s="234"/>
      <c r="AA1446" s="234"/>
    </row>
    <row r="1447" ht="15.75" customHeight="1">
      <c r="A1447" s="91"/>
      <c r="B1447" s="91"/>
      <c r="C1447" s="220"/>
      <c r="D1447" s="91"/>
      <c r="E1447" s="221"/>
      <c r="F1447" s="91"/>
      <c r="G1447" s="91"/>
      <c r="H1447" s="242"/>
      <c r="I1447" s="91"/>
      <c r="J1447" s="234"/>
      <c r="K1447" s="243"/>
      <c r="L1447" s="236"/>
      <c r="M1447" s="236"/>
      <c r="N1447" s="236"/>
      <c r="O1447" s="244"/>
      <c r="P1447" s="244"/>
      <c r="Q1447" s="234"/>
      <c r="R1447" s="234"/>
      <c r="S1447" s="238"/>
      <c r="T1447" s="239"/>
      <c r="U1447" s="238"/>
      <c r="V1447" s="238"/>
      <c r="W1447" s="234"/>
      <c r="X1447" s="234"/>
      <c r="Y1447" s="234"/>
      <c r="Z1447" s="234"/>
      <c r="AA1447" s="234"/>
    </row>
    <row r="1448" ht="15.75" customHeight="1">
      <c r="A1448" s="91"/>
      <c r="B1448" s="91"/>
      <c r="C1448" s="220"/>
      <c r="D1448" s="91"/>
      <c r="E1448" s="221"/>
      <c r="F1448" s="91"/>
      <c r="G1448" s="91"/>
      <c r="H1448" s="242"/>
      <c r="I1448" s="91"/>
      <c r="J1448" s="234"/>
      <c r="K1448" s="243"/>
      <c r="L1448" s="236"/>
      <c r="M1448" s="236"/>
      <c r="N1448" s="236"/>
      <c r="O1448" s="244"/>
      <c r="P1448" s="244"/>
      <c r="Q1448" s="234"/>
      <c r="R1448" s="234"/>
      <c r="S1448" s="238"/>
      <c r="T1448" s="239"/>
      <c r="U1448" s="238"/>
      <c r="V1448" s="238"/>
      <c r="W1448" s="234"/>
      <c r="X1448" s="234"/>
      <c r="Y1448" s="234"/>
      <c r="Z1448" s="234"/>
      <c r="AA1448" s="234"/>
    </row>
    <row r="1449" ht="15.75" customHeight="1">
      <c r="A1449" s="91"/>
      <c r="B1449" s="91"/>
      <c r="C1449" s="220"/>
      <c r="D1449" s="91"/>
      <c r="E1449" s="221"/>
      <c r="F1449" s="91"/>
      <c r="G1449" s="91"/>
      <c r="H1449" s="242"/>
      <c r="I1449" s="91"/>
      <c r="J1449" s="234"/>
      <c r="K1449" s="243"/>
      <c r="L1449" s="236"/>
      <c r="M1449" s="236"/>
      <c r="N1449" s="236"/>
      <c r="O1449" s="244"/>
      <c r="P1449" s="244"/>
      <c r="Q1449" s="234"/>
      <c r="R1449" s="234"/>
      <c r="S1449" s="238"/>
      <c r="T1449" s="239"/>
      <c r="U1449" s="238"/>
      <c r="V1449" s="238"/>
      <c r="W1449" s="234"/>
      <c r="X1449" s="234"/>
      <c r="Y1449" s="234"/>
      <c r="Z1449" s="234"/>
      <c r="AA1449" s="234"/>
    </row>
    <row r="1450" ht="15.75" customHeight="1">
      <c r="A1450" s="91"/>
      <c r="B1450" s="91"/>
      <c r="C1450" s="220"/>
      <c r="D1450" s="91"/>
      <c r="E1450" s="221"/>
      <c r="F1450" s="91"/>
      <c r="G1450" s="91"/>
      <c r="H1450" s="242"/>
      <c r="I1450" s="91"/>
      <c r="J1450" s="234"/>
      <c r="K1450" s="243"/>
      <c r="L1450" s="236"/>
      <c r="M1450" s="236"/>
      <c r="N1450" s="236"/>
      <c r="O1450" s="244"/>
      <c r="P1450" s="244"/>
      <c r="Q1450" s="234"/>
      <c r="R1450" s="234"/>
      <c r="S1450" s="238"/>
      <c r="T1450" s="239"/>
      <c r="U1450" s="238"/>
      <c r="V1450" s="238"/>
      <c r="W1450" s="234"/>
      <c r="X1450" s="234"/>
      <c r="Y1450" s="234"/>
      <c r="Z1450" s="234"/>
      <c r="AA1450" s="234"/>
    </row>
    <row r="1451" ht="15.75" customHeight="1">
      <c r="A1451" s="91"/>
      <c r="B1451" s="91"/>
      <c r="C1451" s="220"/>
      <c r="D1451" s="91"/>
      <c r="E1451" s="221"/>
      <c r="F1451" s="91"/>
      <c r="G1451" s="91"/>
      <c r="H1451" s="242"/>
      <c r="I1451" s="91"/>
      <c r="J1451" s="234"/>
      <c r="K1451" s="243"/>
      <c r="L1451" s="236"/>
      <c r="M1451" s="236"/>
      <c r="N1451" s="236"/>
      <c r="O1451" s="244"/>
      <c r="P1451" s="244"/>
      <c r="Q1451" s="234"/>
      <c r="R1451" s="234"/>
      <c r="S1451" s="238"/>
      <c r="T1451" s="239"/>
      <c r="U1451" s="238"/>
      <c r="V1451" s="238"/>
      <c r="W1451" s="234"/>
      <c r="X1451" s="234"/>
      <c r="Y1451" s="234"/>
      <c r="Z1451" s="234"/>
      <c r="AA1451" s="234"/>
    </row>
    <row r="1452" ht="15.75" customHeight="1">
      <c r="A1452" s="91"/>
      <c r="B1452" s="91"/>
      <c r="C1452" s="220"/>
      <c r="D1452" s="91"/>
      <c r="E1452" s="221"/>
      <c r="F1452" s="91"/>
      <c r="G1452" s="91"/>
      <c r="H1452" s="242"/>
      <c r="I1452" s="91"/>
      <c r="J1452" s="234"/>
      <c r="K1452" s="243"/>
      <c r="L1452" s="236"/>
      <c r="M1452" s="236"/>
      <c r="N1452" s="236"/>
      <c r="O1452" s="244"/>
      <c r="P1452" s="244"/>
      <c r="Q1452" s="234"/>
      <c r="R1452" s="234"/>
      <c r="S1452" s="238"/>
      <c r="T1452" s="239"/>
      <c r="U1452" s="238"/>
      <c r="V1452" s="238"/>
      <c r="W1452" s="234"/>
      <c r="X1452" s="234"/>
      <c r="Y1452" s="234"/>
      <c r="Z1452" s="234"/>
      <c r="AA1452" s="234"/>
    </row>
    <row r="1453" ht="15.75" customHeight="1">
      <c r="A1453" s="91"/>
      <c r="B1453" s="91"/>
      <c r="C1453" s="220"/>
      <c r="D1453" s="91"/>
      <c r="E1453" s="221"/>
      <c r="F1453" s="91"/>
      <c r="G1453" s="91"/>
      <c r="H1453" s="242"/>
      <c r="I1453" s="91"/>
      <c r="J1453" s="234"/>
      <c r="K1453" s="243"/>
      <c r="L1453" s="236"/>
      <c r="M1453" s="236"/>
      <c r="N1453" s="236"/>
      <c r="O1453" s="244"/>
      <c r="P1453" s="244"/>
      <c r="Q1453" s="234"/>
      <c r="R1453" s="234"/>
      <c r="S1453" s="238"/>
      <c r="T1453" s="239"/>
      <c r="U1453" s="238"/>
      <c r="V1453" s="238"/>
      <c r="W1453" s="234"/>
      <c r="X1453" s="234"/>
      <c r="Y1453" s="234"/>
      <c r="Z1453" s="234"/>
      <c r="AA1453" s="234"/>
    </row>
    <row r="1454" ht="15.75" customHeight="1">
      <c r="A1454" s="91"/>
      <c r="B1454" s="91"/>
      <c r="C1454" s="220"/>
      <c r="D1454" s="91"/>
      <c r="E1454" s="221"/>
      <c r="F1454" s="91"/>
      <c r="G1454" s="91"/>
      <c r="H1454" s="242"/>
      <c r="I1454" s="91"/>
      <c r="J1454" s="234"/>
      <c r="K1454" s="243"/>
      <c r="L1454" s="236"/>
      <c r="M1454" s="236"/>
      <c r="N1454" s="236"/>
      <c r="O1454" s="244"/>
      <c r="P1454" s="244"/>
      <c r="Q1454" s="234"/>
      <c r="R1454" s="234"/>
      <c r="S1454" s="238"/>
      <c r="T1454" s="239"/>
      <c r="U1454" s="238"/>
      <c r="V1454" s="238"/>
      <c r="W1454" s="234"/>
      <c r="X1454" s="234"/>
      <c r="Y1454" s="234"/>
      <c r="Z1454" s="234"/>
      <c r="AA1454" s="234"/>
    </row>
    <row r="1455" ht="15.75" customHeight="1">
      <c r="A1455" s="91"/>
      <c r="B1455" s="91"/>
      <c r="C1455" s="220"/>
      <c r="D1455" s="91"/>
      <c r="E1455" s="221"/>
      <c r="F1455" s="91"/>
      <c r="G1455" s="91"/>
      <c r="H1455" s="242"/>
      <c r="I1455" s="91"/>
      <c r="J1455" s="234"/>
      <c r="K1455" s="243"/>
      <c r="L1455" s="236"/>
      <c r="M1455" s="236"/>
      <c r="N1455" s="236"/>
      <c r="O1455" s="244"/>
      <c r="P1455" s="244"/>
      <c r="Q1455" s="234"/>
      <c r="R1455" s="234"/>
      <c r="S1455" s="238"/>
      <c r="T1455" s="239"/>
      <c r="U1455" s="238"/>
      <c r="V1455" s="238"/>
      <c r="W1455" s="234"/>
      <c r="X1455" s="234"/>
      <c r="Y1455" s="234"/>
      <c r="Z1455" s="234"/>
      <c r="AA1455" s="234"/>
    </row>
    <row r="1456" ht="15.75" customHeight="1">
      <c r="A1456" s="91"/>
      <c r="B1456" s="91"/>
      <c r="C1456" s="220"/>
      <c r="D1456" s="91"/>
      <c r="E1456" s="221"/>
      <c r="F1456" s="91"/>
      <c r="G1456" s="91"/>
      <c r="H1456" s="242"/>
      <c r="I1456" s="91"/>
      <c r="J1456" s="234"/>
      <c r="K1456" s="243"/>
      <c r="L1456" s="236"/>
      <c r="M1456" s="236"/>
      <c r="N1456" s="236"/>
      <c r="O1456" s="244"/>
      <c r="P1456" s="244"/>
      <c r="Q1456" s="234"/>
      <c r="R1456" s="234"/>
      <c r="S1456" s="238"/>
      <c r="T1456" s="239"/>
      <c r="U1456" s="238"/>
      <c r="V1456" s="238"/>
      <c r="W1456" s="234"/>
      <c r="X1456" s="234"/>
      <c r="Y1456" s="234"/>
      <c r="Z1456" s="234"/>
      <c r="AA1456" s="234"/>
    </row>
    <row r="1457" ht="15.75" customHeight="1">
      <c r="A1457" s="91"/>
      <c r="B1457" s="91"/>
      <c r="C1457" s="220"/>
      <c r="D1457" s="91"/>
      <c r="E1457" s="221"/>
      <c r="F1457" s="91"/>
      <c r="G1457" s="91"/>
      <c r="H1457" s="242"/>
      <c r="I1457" s="91"/>
      <c r="J1457" s="234"/>
      <c r="K1457" s="243"/>
      <c r="L1457" s="236"/>
      <c r="M1457" s="236"/>
      <c r="N1457" s="236"/>
      <c r="O1457" s="244"/>
      <c r="P1457" s="244"/>
      <c r="Q1457" s="234"/>
      <c r="R1457" s="234"/>
      <c r="S1457" s="238"/>
      <c r="T1457" s="239"/>
      <c r="U1457" s="238"/>
      <c r="V1457" s="238"/>
      <c r="W1457" s="234"/>
      <c r="X1457" s="234"/>
      <c r="Y1457" s="234"/>
      <c r="Z1457" s="234"/>
      <c r="AA1457" s="234"/>
    </row>
    <row r="1458" ht="15.75" customHeight="1">
      <c r="A1458" s="91"/>
      <c r="B1458" s="91"/>
      <c r="C1458" s="220"/>
      <c r="D1458" s="91"/>
      <c r="E1458" s="221"/>
      <c r="F1458" s="91"/>
      <c r="G1458" s="91"/>
      <c r="H1458" s="242"/>
      <c r="I1458" s="91"/>
      <c r="J1458" s="234"/>
      <c r="K1458" s="243"/>
      <c r="L1458" s="236"/>
      <c r="M1458" s="236"/>
      <c r="N1458" s="236"/>
      <c r="O1458" s="244"/>
      <c r="P1458" s="244"/>
      <c r="Q1458" s="234"/>
      <c r="R1458" s="234"/>
      <c r="S1458" s="238"/>
      <c r="T1458" s="239"/>
      <c r="U1458" s="238"/>
      <c r="V1458" s="238"/>
      <c r="W1458" s="234"/>
      <c r="X1458" s="234"/>
      <c r="Y1458" s="234"/>
      <c r="Z1458" s="234"/>
      <c r="AA1458" s="234"/>
    </row>
    <row r="1459" ht="15.75" customHeight="1">
      <c r="A1459" s="91"/>
      <c r="B1459" s="91"/>
      <c r="C1459" s="220"/>
      <c r="D1459" s="91"/>
      <c r="E1459" s="221"/>
      <c r="F1459" s="91"/>
      <c r="G1459" s="91"/>
      <c r="H1459" s="242"/>
      <c r="I1459" s="91"/>
      <c r="J1459" s="234"/>
      <c r="K1459" s="243"/>
      <c r="L1459" s="236"/>
      <c r="M1459" s="236"/>
      <c r="N1459" s="236"/>
      <c r="O1459" s="244"/>
      <c r="P1459" s="244"/>
      <c r="Q1459" s="234"/>
      <c r="R1459" s="234"/>
      <c r="S1459" s="238"/>
      <c r="T1459" s="239"/>
      <c r="U1459" s="238"/>
      <c r="V1459" s="238"/>
      <c r="W1459" s="234"/>
      <c r="X1459" s="234"/>
      <c r="Y1459" s="234"/>
      <c r="Z1459" s="234"/>
      <c r="AA1459" s="234"/>
    </row>
    <row r="1460" ht="15.75" customHeight="1">
      <c r="A1460" s="91"/>
      <c r="B1460" s="91"/>
      <c r="C1460" s="220"/>
      <c r="D1460" s="91"/>
      <c r="E1460" s="221"/>
      <c r="F1460" s="91"/>
      <c r="G1460" s="91"/>
      <c r="H1460" s="242"/>
      <c r="I1460" s="91"/>
      <c r="J1460" s="234"/>
      <c r="K1460" s="243"/>
      <c r="L1460" s="236"/>
      <c r="M1460" s="236"/>
      <c r="N1460" s="236"/>
      <c r="O1460" s="244"/>
      <c r="P1460" s="244"/>
      <c r="Q1460" s="234"/>
      <c r="R1460" s="234"/>
      <c r="S1460" s="238"/>
      <c r="T1460" s="239"/>
      <c r="U1460" s="238"/>
      <c r="V1460" s="238"/>
      <c r="W1460" s="234"/>
      <c r="X1460" s="234"/>
      <c r="Y1460" s="234"/>
      <c r="Z1460" s="234"/>
      <c r="AA1460" s="234"/>
    </row>
    <row r="1461" ht="15.75" customHeight="1">
      <c r="A1461" s="91"/>
      <c r="B1461" s="91"/>
      <c r="C1461" s="220"/>
      <c r="D1461" s="91"/>
      <c r="E1461" s="221"/>
      <c r="F1461" s="91"/>
      <c r="G1461" s="91"/>
      <c r="H1461" s="242"/>
      <c r="I1461" s="91"/>
      <c r="J1461" s="234"/>
      <c r="K1461" s="243"/>
      <c r="L1461" s="236"/>
      <c r="M1461" s="236"/>
      <c r="N1461" s="236"/>
      <c r="O1461" s="244"/>
      <c r="P1461" s="244"/>
      <c r="Q1461" s="234"/>
      <c r="R1461" s="234"/>
      <c r="S1461" s="238"/>
      <c r="T1461" s="239"/>
      <c r="U1461" s="238"/>
      <c r="V1461" s="238"/>
      <c r="W1461" s="234"/>
      <c r="X1461" s="234"/>
      <c r="Y1461" s="234"/>
      <c r="Z1461" s="234"/>
      <c r="AA1461" s="234"/>
    </row>
    <row r="1462" ht="15.75" customHeight="1">
      <c r="A1462" s="91"/>
      <c r="B1462" s="91"/>
      <c r="C1462" s="220"/>
      <c r="D1462" s="91"/>
      <c r="E1462" s="221"/>
      <c r="F1462" s="91"/>
      <c r="G1462" s="91"/>
      <c r="H1462" s="242"/>
      <c r="I1462" s="91"/>
      <c r="J1462" s="234"/>
      <c r="K1462" s="243"/>
      <c r="L1462" s="236"/>
      <c r="M1462" s="236"/>
      <c r="N1462" s="236"/>
      <c r="O1462" s="244"/>
      <c r="P1462" s="244"/>
      <c r="Q1462" s="234"/>
      <c r="R1462" s="234"/>
      <c r="S1462" s="238"/>
      <c r="T1462" s="239"/>
      <c r="U1462" s="238"/>
      <c r="V1462" s="238"/>
      <c r="W1462" s="234"/>
      <c r="X1462" s="234"/>
      <c r="Y1462" s="234"/>
      <c r="Z1462" s="234"/>
      <c r="AA1462" s="234"/>
    </row>
    <row r="1463" ht="15.75" customHeight="1">
      <c r="A1463" s="91"/>
      <c r="B1463" s="91"/>
      <c r="C1463" s="220"/>
      <c r="D1463" s="91"/>
      <c r="E1463" s="221"/>
      <c r="F1463" s="91"/>
      <c r="G1463" s="91"/>
      <c r="H1463" s="242"/>
      <c r="I1463" s="91"/>
      <c r="J1463" s="234"/>
      <c r="K1463" s="243"/>
      <c r="L1463" s="236"/>
      <c r="M1463" s="236"/>
      <c r="N1463" s="236"/>
      <c r="O1463" s="244"/>
      <c r="P1463" s="244"/>
      <c r="Q1463" s="234"/>
      <c r="R1463" s="234"/>
      <c r="S1463" s="238"/>
      <c r="T1463" s="239"/>
      <c r="U1463" s="238"/>
      <c r="V1463" s="238"/>
      <c r="W1463" s="234"/>
      <c r="X1463" s="234"/>
      <c r="Y1463" s="234"/>
      <c r="Z1463" s="234"/>
      <c r="AA1463" s="234"/>
    </row>
    <row r="1464" ht="15.75" customHeight="1">
      <c r="A1464" s="91"/>
      <c r="B1464" s="91"/>
      <c r="C1464" s="220"/>
      <c r="D1464" s="91"/>
      <c r="E1464" s="221"/>
      <c r="F1464" s="91"/>
      <c r="G1464" s="91"/>
      <c r="H1464" s="242"/>
      <c r="I1464" s="91"/>
      <c r="J1464" s="234"/>
      <c r="K1464" s="243"/>
      <c r="L1464" s="236"/>
      <c r="M1464" s="236"/>
      <c r="N1464" s="236"/>
      <c r="O1464" s="244"/>
      <c r="P1464" s="244"/>
      <c r="Q1464" s="234"/>
      <c r="R1464" s="234"/>
      <c r="S1464" s="238"/>
      <c r="T1464" s="239"/>
      <c r="U1464" s="238"/>
      <c r="V1464" s="238"/>
      <c r="W1464" s="234"/>
      <c r="X1464" s="234"/>
      <c r="Y1464" s="234"/>
      <c r="Z1464" s="234"/>
      <c r="AA1464" s="234"/>
    </row>
    <row r="1465" ht="15.75" customHeight="1">
      <c r="A1465" s="91"/>
      <c r="B1465" s="91"/>
      <c r="C1465" s="220"/>
      <c r="D1465" s="91"/>
      <c r="E1465" s="221"/>
      <c r="F1465" s="91"/>
      <c r="G1465" s="91"/>
      <c r="H1465" s="242"/>
      <c r="I1465" s="91"/>
      <c r="J1465" s="234"/>
      <c r="K1465" s="243"/>
      <c r="L1465" s="236"/>
      <c r="M1465" s="236"/>
      <c r="N1465" s="236"/>
      <c r="O1465" s="244"/>
      <c r="P1465" s="244"/>
      <c r="Q1465" s="234"/>
      <c r="R1465" s="234"/>
      <c r="S1465" s="238"/>
      <c r="T1465" s="239"/>
      <c r="U1465" s="238"/>
      <c r="V1465" s="238"/>
      <c r="W1465" s="234"/>
      <c r="X1465" s="234"/>
      <c r="Y1465" s="234"/>
      <c r="Z1465" s="234"/>
      <c r="AA1465" s="234"/>
    </row>
    <row r="1466" ht="15.75" customHeight="1">
      <c r="A1466" s="91"/>
      <c r="B1466" s="91"/>
      <c r="C1466" s="220"/>
      <c r="D1466" s="91"/>
      <c r="E1466" s="221"/>
      <c r="F1466" s="91"/>
      <c r="G1466" s="91"/>
      <c r="H1466" s="242"/>
      <c r="I1466" s="91"/>
      <c r="J1466" s="234"/>
      <c r="K1466" s="243"/>
      <c r="L1466" s="236"/>
      <c r="M1466" s="236"/>
      <c r="N1466" s="236"/>
      <c r="O1466" s="244"/>
      <c r="P1466" s="244"/>
      <c r="Q1466" s="234"/>
      <c r="R1466" s="234"/>
      <c r="S1466" s="238"/>
      <c r="T1466" s="239"/>
      <c r="U1466" s="238"/>
      <c r="V1466" s="238"/>
      <c r="W1466" s="234"/>
      <c r="X1466" s="234"/>
      <c r="Y1466" s="234"/>
      <c r="Z1466" s="234"/>
      <c r="AA1466" s="234"/>
    </row>
    <row r="1467" ht="15.75" customHeight="1">
      <c r="A1467" s="91"/>
      <c r="B1467" s="91"/>
      <c r="C1467" s="220"/>
      <c r="D1467" s="91"/>
      <c r="E1467" s="221"/>
      <c r="F1467" s="91"/>
      <c r="G1467" s="91"/>
      <c r="H1467" s="242"/>
      <c r="I1467" s="91"/>
      <c r="J1467" s="234"/>
      <c r="K1467" s="243"/>
      <c r="L1467" s="236"/>
      <c r="M1467" s="236"/>
      <c r="N1467" s="236"/>
      <c r="O1467" s="244"/>
      <c r="P1467" s="244"/>
      <c r="Q1467" s="234"/>
      <c r="R1467" s="234"/>
      <c r="S1467" s="238"/>
      <c r="T1467" s="239"/>
      <c r="U1467" s="238"/>
      <c r="V1467" s="238"/>
      <c r="W1467" s="234"/>
      <c r="X1467" s="234"/>
      <c r="Y1467" s="234"/>
      <c r="Z1467" s="234"/>
      <c r="AA1467" s="234"/>
    </row>
    <row r="1468" ht="15.75" customHeight="1">
      <c r="A1468" s="91"/>
      <c r="B1468" s="91"/>
      <c r="C1468" s="220"/>
      <c r="D1468" s="91"/>
      <c r="E1468" s="221"/>
      <c r="F1468" s="91"/>
      <c r="G1468" s="91"/>
      <c r="H1468" s="242"/>
      <c r="I1468" s="91"/>
      <c r="J1468" s="234"/>
      <c r="K1468" s="243"/>
      <c r="L1468" s="236"/>
      <c r="M1468" s="236"/>
      <c r="N1468" s="236"/>
      <c r="O1468" s="244"/>
      <c r="P1468" s="244"/>
      <c r="Q1468" s="234"/>
      <c r="R1468" s="234"/>
      <c r="S1468" s="238"/>
      <c r="T1468" s="239"/>
      <c r="U1468" s="238"/>
      <c r="V1468" s="238"/>
      <c r="W1468" s="234"/>
      <c r="X1468" s="234"/>
      <c r="Y1468" s="234"/>
      <c r="Z1468" s="234"/>
      <c r="AA1468" s="234"/>
    </row>
    <row r="1469" ht="15.75" customHeight="1">
      <c r="A1469" s="91"/>
      <c r="B1469" s="91"/>
      <c r="C1469" s="220"/>
      <c r="D1469" s="91"/>
      <c r="E1469" s="221"/>
      <c r="F1469" s="91"/>
      <c r="G1469" s="91"/>
      <c r="H1469" s="242"/>
      <c r="I1469" s="91"/>
      <c r="J1469" s="234"/>
      <c r="K1469" s="243"/>
      <c r="L1469" s="236"/>
      <c r="M1469" s="236"/>
      <c r="N1469" s="236"/>
      <c r="O1469" s="244"/>
      <c r="P1469" s="244"/>
      <c r="Q1469" s="234"/>
      <c r="R1469" s="234"/>
      <c r="S1469" s="238"/>
      <c r="T1469" s="239"/>
      <c r="U1469" s="238"/>
      <c r="V1469" s="238"/>
      <c r="W1469" s="234"/>
      <c r="X1469" s="234"/>
      <c r="Y1469" s="234"/>
      <c r="Z1469" s="234"/>
      <c r="AA1469" s="234"/>
    </row>
    <row r="1470" ht="15.75" customHeight="1">
      <c r="A1470" s="91"/>
      <c r="B1470" s="91"/>
      <c r="C1470" s="220"/>
      <c r="D1470" s="91"/>
      <c r="E1470" s="221"/>
      <c r="F1470" s="91"/>
      <c r="G1470" s="91"/>
      <c r="H1470" s="242"/>
      <c r="I1470" s="91"/>
      <c r="J1470" s="234"/>
      <c r="K1470" s="243"/>
      <c r="L1470" s="236"/>
      <c r="M1470" s="236"/>
      <c r="N1470" s="236"/>
      <c r="O1470" s="244"/>
      <c r="P1470" s="244"/>
      <c r="Q1470" s="234"/>
      <c r="R1470" s="234"/>
      <c r="S1470" s="238"/>
      <c r="T1470" s="239"/>
      <c r="U1470" s="238"/>
      <c r="V1470" s="238"/>
      <c r="W1470" s="234"/>
      <c r="X1470" s="234"/>
      <c r="Y1470" s="234"/>
      <c r="Z1470" s="234"/>
      <c r="AA1470" s="234"/>
    </row>
    <row r="1471" ht="15.75" customHeight="1">
      <c r="A1471" s="91"/>
      <c r="B1471" s="91"/>
      <c r="C1471" s="220"/>
      <c r="D1471" s="91"/>
      <c r="E1471" s="221"/>
      <c r="F1471" s="91"/>
      <c r="G1471" s="91"/>
      <c r="H1471" s="242"/>
      <c r="I1471" s="91"/>
      <c r="J1471" s="234"/>
      <c r="K1471" s="243"/>
      <c r="L1471" s="236"/>
      <c r="M1471" s="236"/>
      <c r="N1471" s="236"/>
      <c r="O1471" s="244"/>
      <c r="P1471" s="244"/>
      <c r="Q1471" s="234"/>
      <c r="R1471" s="234"/>
      <c r="S1471" s="238"/>
      <c r="T1471" s="239"/>
      <c r="U1471" s="238"/>
      <c r="V1471" s="238"/>
      <c r="W1471" s="234"/>
      <c r="X1471" s="234"/>
      <c r="Y1471" s="234"/>
      <c r="Z1471" s="234"/>
      <c r="AA1471" s="234"/>
    </row>
    <row r="1472" ht="15.75" customHeight="1">
      <c r="A1472" s="91"/>
      <c r="B1472" s="91"/>
      <c r="C1472" s="220"/>
      <c r="D1472" s="91"/>
      <c r="E1472" s="221"/>
      <c r="F1472" s="91"/>
      <c r="G1472" s="91"/>
      <c r="H1472" s="242"/>
      <c r="I1472" s="91"/>
      <c r="J1472" s="234"/>
      <c r="K1472" s="243"/>
      <c r="L1472" s="236"/>
      <c r="M1472" s="236"/>
      <c r="N1472" s="236"/>
      <c r="O1472" s="244"/>
      <c r="P1472" s="244"/>
      <c r="Q1472" s="234"/>
      <c r="R1472" s="234"/>
      <c r="S1472" s="238"/>
      <c r="T1472" s="239"/>
      <c r="U1472" s="238"/>
      <c r="V1472" s="238"/>
      <c r="W1472" s="234"/>
      <c r="X1472" s="234"/>
      <c r="Y1472" s="234"/>
      <c r="Z1472" s="234"/>
      <c r="AA1472" s="234"/>
    </row>
    <row r="1473" ht="15.75" customHeight="1">
      <c r="A1473" s="91"/>
      <c r="B1473" s="91"/>
      <c r="C1473" s="220"/>
      <c r="D1473" s="91"/>
      <c r="E1473" s="221"/>
      <c r="F1473" s="91"/>
      <c r="G1473" s="91"/>
      <c r="H1473" s="242"/>
      <c r="I1473" s="91"/>
      <c r="J1473" s="234"/>
      <c r="K1473" s="243"/>
      <c r="L1473" s="236"/>
      <c r="M1473" s="236"/>
      <c r="N1473" s="236"/>
      <c r="O1473" s="244"/>
      <c r="P1473" s="244"/>
      <c r="Q1473" s="234"/>
      <c r="R1473" s="234"/>
      <c r="S1473" s="238"/>
      <c r="T1473" s="239"/>
      <c r="U1473" s="238"/>
      <c r="V1473" s="238"/>
      <c r="W1473" s="234"/>
      <c r="X1473" s="234"/>
      <c r="Y1473" s="234"/>
      <c r="Z1473" s="234"/>
      <c r="AA1473" s="234"/>
    </row>
    <row r="1474" ht="15.75" customHeight="1">
      <c r="A1474" s="91"/>
      <c r="B1474" s="91"/>
      <c r="C1474" s="220"/>
      <c r="D1474" s="91"/>
      <c r="E1474" s="221"/>
      <c r="F1474" s="91"/>
      <c r="G1474" s="91"/>
      <c r="H1474" s="242"/>
      <c r="I1474" s="91"/>
      <c r="J1474" s="234"/>
      <c r="K1474" s="243"/>
      <c r="L1474" s="236"/>
      <c r="M1474" s="236"/>
      <c r="N1474" s="236"/>
      <c r="O1474" s="244"/>
      <c r="P1474" s="244"/>
      <c r="Q1474" s="234"/>
      <c r="R1474" s="234"/>
      <c r="S1474" s="238"/>
      <c r="T1474" s="239"/>
      <c r="U1474" s="238"/>
      <c r="V1474" s="238"/>
      <c r="W1474" s="234"/>
      <c r="X1474" s="234"/>
      <c r="Y1474" s="234"/>
      <c r="Z1474" s="234"/>
      <c r="AA1474" s="234"/>
    </row>
    <row r="1475" ht="15.75" customHeight="1">
      <c r="A1475" s="91"/>
      <c r="B1475" s="91"/>
      <c r="C1475" s="220"/>
      <c r="D1475" s="91"/>
      <c r="E1475" s="221"/>
      <c r="F1475" s="91"/>
      <c r="G1475" s="91"/>
      <c r="H1475" s="242"/>
      <c r="I1475" s="91"/>
      <c r="J1475" s="234"/>
      <c r="K1475" s="243"/>
      <c r="L1475" s="236"/>
      <c r="M1475" s="236"/>
      <c r="N1475" s="236"/>
      <c r="O1475" s="244"/>
      <c r="P1475" s="244"/>
      <c r="Q1475" s="234"/>
      <c r="R1475" s="234"/>
      <c r="S1475" s="238"/>
      <c r="T1475" s="239"/>
      <c r="U1475" s="238"/>
      <c r="V1475" s="238"/>
      <c r="W1475" s="234"/>
      <c r="X1475" s="234"/>
      <c r="Y1475" s="234"/>
      <c r="Z1475" s="234"/>
      <c r="AA1475" s="234"/>
    </row>
    <row r="1476" ht="15.75" customHeight="1">
      <c r="A1476" s="91"/>
      <c r="B1476" s="91"/>
      <c r="C1476" s="220"/>
      <c r="D1476" s="91"/>
      <c r="E1476" s="221"/>
      <c r="F1476" s="91"/>
      <c r="G1476" s="91"/>
      <c r="H1476" s="242"/>
      <c r="I1476" s="91"/>
      <c r="J1476" s="234"/>
      <c r="K1476" s="243"/>
      <c r="L1476" s="236"/>
      <c r="M1476" s="236"/>
      <c r="N1476" s="236"/>
      <c r="O1476" s="244"/>
      <c r="P1476" s="244"/>
      <c r="Q1476" s="234"/>
      <c r="R1476" s="234"/>
      <c r="S1476" s="238"/>
      <c r="T1476" s="239"/>
      <c r="U1476" s="238"/>
      <c r="V1476" s="238"/>
      <c r="W1476" s="234"/>
      <c r="X1476" s="234"/>
      <c r="Y1476" s="234"/>
      <c r="Z1476" s="234"/>
      <c r="AA1476" s="234"/>
    </row>
    <row r="1477" ht="15.75" customHeight="1">
      <c r="A1477" s="91"/>
      <c r="B1477" s="91"/>
      <c r="C1477" s="220"/>
      <c r="D1477" s="91"/>
      <c r="E1477" s="221"/>
      <c r="F1477" s="91"/>
      <c r="G1477" s="91"/>
      <c r="H1477" s="242"/>
      <c r="I1477" s="91"/>
      <c r="J1477" s="234"/>
      <c r="K1477" s="243"/>
      <c r="L1477" s="236"/>
      <c r="M1477" s="236"/>
      <c r="N1477" s="236"/>
      <c r="O1477" s="244"/>
      <c r="P1477" s="244"/>
      <c r="Q1477" s="234"/>
      <c r="R1477" s="234"/>
      <c r="S1477" s="238"/>
      <c r="T1477" s="239"/>
      <c r="U1477" s="238"/>
      <c r="V1477" s="238"/>
      <c r="W1477" s="234"/>
      <c r="X1477" s="234"/>
      <c r="Y1477" s="234"/>
      <c r="Z1477" s="234"/>
      <c r="AA1477" s="234"/>
    </row>
    <row r="1478" ht="15.75" customHeight="1">
      <c r="A1478" s="91"/>
      <c r="B1478" s="91"/>
      <c r="C1478" s="220"/>
      <c r="D1478" s="91"/>
      <c r="E1478" s="221"/>
      <c r="F1478" s="91"/>
      <c r="G1478" s="91"/>
      <c r="H1478" s="242"/>
      <c r="I1478" s="91"/>
      <c r="J1478" s="234"/>
      <c r="K1478" s="243"/>
      <c r="L1478" s="236"/>
      <c r="M1478" s="236"/>
      <c r="N1478" s="236"/>
      <c r="O1478" s="244"/>
      <c r="P1478" s="244"/>
      <c r="Q1478" s="234"/>
      <c r="R1478" s="234"/>
      <c r="S1478" s="238"/>
      <c r="T1478" s="239"/>
      <c r="U1478" s="238"/>
      <c r="V1478" s="238"/>
      <c r="W1478" s="234"/>
      <c r="X1478" s="234"/>
      <c r="Y1478" s="234"/>
      <c r="Z1478" s="234"/>
      <c r="AA1478" s="234"/>
    </row>
    <row r="1479" ht="15.75" customHeight="1">
      <c r="A1479" s="91"/>
      <c r="B1479" s="91"/>
      <c r="C1479" s="220"/>
      <c r="D1479" s="91"/>
      <c r="E1479" s="221"/>
      <c r="F1479" s="91"/>
      <c r="G1479" s="91"/>
      <c r="H1479" s="242"/>
      <c r="I1479" s="91"/>
      <c r="J1479" s="234"/>
      <c r="K1479" s="243"/>
      <c r="L1479" s="236"/>
      <c r="M1479" s="236"/>
      <c r="N1479" s="236"/>
      <c r="O1479" s="244"/>
      <c r="P1479" s="244"/>
      <c r="Q1479" s="234"/>
      <c r="R1479" s="234"/>
      <c r="S1479" s="238"/>
      <c r="T1479" s="239"/>
      <c r="U1479" s="238"/>
      <c r="V1479" s="238"/>
      <c r="W1479" s="234"/>
      <c r="X1479" s="234"/>
      <c r="Y1479" s="234"/>
      <c r="Z1479" s="234"/>
      <c r="AA1479" s="234"/>
    </row>
    <row r="1480" ht="15.75" customHeight="1">
      <c r="A1480" s="91"/>
      <c r="B1480" s="91"/>
      <c r="C1480" s="220"/>
      <c r="D1480" s="91"/>
      <c r="E1480" s="221"/>
      <c r="F1480" s="91"/>
      <c r="G1480" s="91"/>
      <c r="H1480" s="242"/>
      <c r="I1480" s="91"/>
      <c r="J1480" s="234"/>
      <c r="K1480" s="243"/>
      <c r="L1480" s="236"/>
      <c r="M1480" s="236"/>
      <c r="N1480" s="236"/>
      <c r="O1480" s="244"/>
      <c r="P1480" s="244"/>
      <c r="Q1480" s="234"/>
      <c r="R1480" s="234"/>
      <c r="S1480" s="238"/>
      <c r="T1480" s="239"/>
      <c r="U1480" s="238"/>
      <c r="V1480" s="238"/>
      <c r="W1480" s="234"/>
      <c r="X1480" s="234"/>
      <c r="Y1480" s="234"/>
      <c r="Z1480" s="234"/>
      <c r="AA1480" s="234"/>
    </row>
    <row r="1481" ht="15.75" customHeight="1">
      <c r="A1481" s="91"/>
      <c r="B1481" s="91"/>
      <c r="C1481" s="220"/>
      <c r="D1481" s="91"/>
      <c r="E1481" s="221"/>
      <c r="F1481" s="91"/>
      <c r="G1481" s="91"/>
      <c r="H1481" s="242"/>
      <c r="I1481" s="91"/>
      <c r="J1481" s="234"/>
      <c r="K1481" s="243"/>
      <c r="L1481" s="236"/>
      <c r="M1481" s="236"/>
      <c r="N1481" s="236"/>
      <c r="O1481" s="244"/>
      <c r="P1481" s="244"/>
      <c r="Q1481" s="234"/>
      <c r="R1481" s="234"/>
      <c r="S1481" s="238"/>
      <c r="T1481" s="239"/>
      <c r="U1481" s="238"/>
      <c r="V1481" s="238"/>
      <c r="W1481" s="234"/>
      <c r="X1481" s="234"/>
      <c r="Y1481" s="234"/>
      <c r="Z1481" s="234"/>
      <c r="AA1481" s="234"/>
    </row>
    <row r="1482" ht="15.75" customHeight="1">
      <c r="A1482" s="91"/>
      <c r="B1482" s="91"/>
      <c r="C1482" s="220"/>
      <c r="D1482" s="91"/>
      <c r="E1482" s="221"/>
      <c r="F1482" s="91"/>
      <c r="G1482" s="91"/>
      <c r="H1482" s="242"/>
      <c r="I1482" s="91"/>
      <c r="J1482" s="234"/>
      <c r="K1482" s="243"/>
      <c r="L1482" s="236"/>
      <c r="M1482" s="236"/>
      <c r="N1482" s="236"/>
      <c r="O1482" s="244"/>
      <c r="P1482" s="244"/>
      <c r="Q1482" s="234"/>
      <c r="R1482" s="234"/>
      <c r="S1482" s="238"/>
      <c r="T1482" s="239"/>
      <c r="U1482" s="238"/>
      <c r="V1482" s="238"/>
      <c r="W1482" s="234"/>
      <c r="X1482" s="234"/>
      <c r="Y1482" s="234"/>
      <c r="Z1482" s="234"/>
      <c r="AA1482" s="234"/>
    </row>
    <row r="1483" ht="15.75" customHeight="1">
      <c r="A1483" s="91"/>
      <c r="B1483" s="91"/>
      <c r="C1483" s="220"/>
      <c r="D1483" s="91"/>
      <c r="E1483" s="221"/>
      <c r="F1483" s="91"/>
      <c r="G1483" s="91"/>
      <c r="H1483" s="242"/>
      <c r="I1483" s="91"/>
      <c r="J1483" s="234"/>
      <c r="K1483" s="243"/>
      <c r="L1483" s="236"/>
      <c r="M1483" s="236"/>
      <c r="N1483" s="236"/>
      <c r="O1483" s="244"/>
      <c r="P1483" s="244"/>
      <c r="Q1483" s="234"/>
      <c r="R1483" s="234"/>
      <c r="S1483" s="238"/>
      <c r="T1483" s="239"/>
      <c r="U1483" s="238"/>
      <c r="V1483" s="238"/>
      <c r="W1483" s="234"/>
      <c r="X1483" s="234"/>
      <c r="Y1483" s="234"/>
      <c r="Z1483" s="234"/>
      <c r="AA1483" s="234"/>
    </row>
    <row r="1484" ht="15.75" customHeight="1">
      <c r="A1484" s="91"/>
      <c r="B1484" s="91"/>
      <c r="C1484" s="220"/>
      <c r="D1484" s="91"/>
      <c r="E1484" s="221"/>
      <c r="F1484" s="91"/>
      <c r="G1484" s="91"/>
      <c r="H1484" s="242"/>
      <c r="I1484" s="91"/>
      <c r="J1484" s="234"/>
      <c r="K1484" s="243"/>
      <c r="L1484" s="236"/>
      <c r="M1484" s="236"/>
      <c r="N1484" s="236"/>
      <c r="O1484" s="244"/>
      <c r="P1484" s="244"/>
      <c r="Q1484" s="234"/>
      <c r="R1484" s="234"/>
      <c r="S1484" s="238"/>
      <c r="T1484" s="239"/>
      <c r="U1484" s="238"/>
      <c r="V1484" s="238"/>
      <c r="W1484" s="234"/>
      <c r="X1484" s="234"/>
      <c r="Y1484" s="234"/>
      <c r="Z1484" s="234"/>
      <c r="AA1484" s="234"/>
    </row>
    <row r="1485" ht="15.75" customHeight="1">
      <c r="A1485" s="91"/>
      <c r="B1485" s="91"/>
      <c r="C1485" s="220"/>
      <c r="D1485" s="91"/>
      <c r="E1485" s="221"/>
      <c r="F1485" s="91"/>
      <c r="G1485" s="91"/>
      <c r="H1485" s="242"/>
      <c r="I1485" s="91"/>
      <c r="J1485" s="234"/>
      <c r="K1485" s="243"/>
      <c r="L1485" s="236"/>
      <c r="M1485" s="236"/>
      <c r="N1485" s="236"/>
      <c r="O1485" s="244"/>
      <c r="P1485" s="244"/>
      <c r="Q1485" s="234"/>
      <c r="R1485" s="234"/>
      <c r="S1485" s="238"/>
      <c r="T1485" s="239"/>
      <c r="U1485" s="238"/>
      <c r="V1485" s="238"/>
      <c r="W1485" s="234"/>
      <c r="X1485" s="234"/>
      <c r="Y1485" s="234"/>
      <c r="Z1485" s="234"/>
      <c r="AA1485" s="234"/>
    </row>
    <row r="1486" ht="15.75" customHeight="1">
      <c r="A1486" s="91"/>
      <c r="B1486" s="91"/>
      <c r="C1486" s="220"/>
      <c r="D1486" s="91"/>
      <c r="E1486" s="221"/>
      <c r="F1486" s="91"/>
      <c r="G1486" s="91"/>
      <c r="H1486" s="242"/>
      <c r="I1486" s="91"/>
      <c r="J1486" s="234"/>
      <c r="K1486" s="243"/>
      <c r="L1486" s="236"/>
      <c r="M1486" s="236"/>
      <c r="N1486" s="236"/>
      <c r="O1486" s="244"/>
      <c r="P1486" s="244"/>
      <c r="Q1486" s="234"/>
      <c r="R1486" s="234"/>
      <c r="S1486" s="238"/>
      <c r="T1486" s="239"/>
      <c r="U1486" s="238"/>
      <c r="V1486" s="238"/>
      <c r="W1486" s="234"/>
      <c r="X1486" s="234"/>
      <c r="Y1486" s="234"/>
      <c r="Z1486" s="234"/>
      <c r="AA1486" s="234"/>
    </row>
    <row r="1487" ht="15.75" customHeight="1">
      <c r="A1487" s="91"/>
      <c r="B1487" s="91"/>
      <c r="C1487" s="220"/>
      <c r="D1487" s="91"/>
      <c r="E1487" s="221"/>
      <c r="F1487" s="91"/>
      <c r="G1487" s="91"/>
      <c r="H1487" s="242"/>
      <c r="I1487" s="91"/>
      <c r="J1487" s="234"/>
      <c r="K1487" s="243"/>
      <c r="L1487" s="236"/>
      <c r="M1487" s="236"/>
      <c r="N1487" s="236"/>
      <c r="O1487" s="244"/>
      <c r="P1487" s="244"/>
      <c r="Q1487" s="234"/>
      <c r="R1487" s="234"/>
      <c r="S1487" s="238"/>
      <c r="T1487" s="239"/>
      <c r="U1487" s="238"/>
      <c r="V1487" s="238"/>
      <c r="W1487" s="234"/>
      <c r="X1487" s="234"/>
      <c r="Y1487" s="234"/>
      <c r="Z1487" s="234"/>
      <c r="AA1487" s="234"/>
    </row>
    <row r="1488" ht="15.75" customHeight="1">
      <c r="A1488" s="91"/>
      <c r="B1488" s="91"/>
      <c r="C1488" s="220"/>
      <c r="D1488" s="91"/>
      <c r="E1488" s="221"/>
      <c r="F1488" s="91"/>
      <c r="G1488" s="91"/>
      <c r="H1488" s="242"/>
      <c r="I1488" s="91"/>
      <c r="J1488" s="234"/>
      <c r="K1488" s="243"/>
      <c r="L1488" s="236"/>
      <c r="M1488" s="236"/>
      <c r="N1488" s="236"/>
      <c r="O1488" s="244"/>
      <c r="P1488" s="244"/>
      <c r="Q1488" s="234"/>
      <c r="R1488" s="234"/>
      <c r="S1488" s="238"/>
      <c r="T1488" s="239"/>
      <c r="U1488" s="238"/>
      <c r="V1488" s="238"/>
      <c r="W1488" s="234"/>
      <c r="X1488" s="234"/>
      <c r="Y1488" s="234"/>
      <c r="Z1488" s="234"/>
      <c r="AA1488" s="234"/>
    </row>
    <row r="1489" ht="15.75" customHeight="1">
      <c r="A1489" s="91"/>
      <c r="B1489" s="91"/>
      <c r="C1489" s="220"/>
      <c r="D1489" s="91"/>
      <c r="E1489" s="221"/>
      <c r="F1489" s="91"/>
      <c r="G1489" s="91"/>
      <c r="H1489" s="242"/>
      <c r="I1489" s="91"/>
      <c r="J1489" s="234"/>
      <c r="K1489" s="243"/>
      <c r="L1489" s="236"/>
      <c r="M1489" s="236"/>
      <c r="N1489" s="236"/>
      <c r="O1489" s="244"/>
      <c r="P1489" s="244"/>
      <c r="Q1489" s="234"/>
      <c r="R1489" s="234"/>
      <c r="S1489" s="238"/>
      <c r="T1489" s="239"/>
      <c r="U1489" s="238"/>
      <c r="V1489" s="238"/>
      <c r="W1489" s="234"/>
      <c r="X1489" s="234"/>
      <c r="Y1489" s="234"/>
      <c r="Z1489" s="234"/>
      <c r="AA1489" s="234"/>
    </row>
    <row r="1490" ht="15.75" customHeight="1">
      <c r="A1490" s="91"/>
      <c r="B1490" s="91"/>
      <c r="C1490" s="220"/>
      <c r="D1490" s="91"/>
      <c r="E1490" s="221"/>
      <c r="F1490" s="91"/>
      <c r="G1490" s="91"/>
      <c r="H1490" s="242"/>
      <c r="I1490" s="91"/>
      <c r="J1490" s="234"/>
      <c r="K1490" s="243"/>
      <c r="L1490" s="236"/>
      <c r="M1490" s="236"/>
      <c r="N1490" s="236"/>
      <c r="O1490" s="244"/>
      <c r="P1490" s="244"/>
      <c r="Q1490" s="234"/>
      <c r="R1490" s="234"/>
      <c r="S1490" s="238"/>
      <c r="T1490" s="239"/>
      <c r="U1490" s="238"/>
      <c r="V1490" s="238"/>
      <c r="W1490" s="234"/>
      <c r="X1490" s="234"/>
      <c r="Y1490" s="234"/>
      <c r="Z1490" s="234"/>
      <c r="AA1490" s="234"/>
    </row>
    <row r="1491" ht="15.75" customHeight="1">
      <c r="A1491" s="91"/>
      <c r="B1491" s="91"/>
      <c r="C1491" s="220"/>
      <c r="D1491" s="91"/>
      <c r="E1491" s="221"/>
      <c r="F1491" s="91"/>
      <c r="G1491" s="91"/>
      <c r="H1491" s="242"/>
      <c r="I1491" s="91"/>
      <c r="J1491" s="234"/>
      <c r="K1491" s="243"/>
      <c r="L1491" s="236"/>
      <c r="M1491" s="236"/>
      <c r="N1491" s="236"/>
      <c r="O1491" s="244"/>
      <c r="P1491" s="244"/>
      <c r="Q1491" s="234"/>
      <c r="R1491" s="234"/>
      <c r="S1491" s="238"/>
      <c r="T1491" s="239"/>
      <c r="U1491" s="238"/>
      <c r="V1491" s="238"/>
      <c r="W1491" s="234"/>
      <c r="X1491" s="234"/>
      <c r="Y1491" s="234"/>
      <c r="Z1491" s="234"/>
      <c r="AA1491" s="234"/>
    </row>
    <row r="1492" ht="15.75" customHeight="1">
      <c r="A1492" s="91"/>
      <c r="B1492" s="91"/>
      <c r="C1492" s="220"/>
      <c r="D1492" s="91"/>
      <c r="E1492" s="221"/>
      <c r="F1492" s="91"/>
      <c r="G1492" s="91"/>
      <c r="H1492" s="242"/>
      <c r="I1492" s="91"/>
      <c r="J1492" s="234"/>
      <c r="K1492" s="243"/>
      <c r="L1492" s="236"/>
      <c r="M1492" s="236"/>
      <c r="N1492" s="236"/>
      <c r="O1492" s="244"/>
      <c r="P1492" s="244"/>
      <c r="Q1492" s="234"/>
      <c r="R1492" s="234"/>
      <c r="S1492" s="238"/>
      <c r="T1492" s="239"/>
      <c r="U1492" s="238"/>
      <c r="V1492" s="238"/>
      <c r="W1492" s="234"/>
      <c r="X1492" s="234"/>
      <c r="Y1492" s="234"/>
      <c r="Z1492" s="234"/>
      <c r="AA1492" s="234"/>
    </row>
    <row r="1493" ht="15.75" customHeight="1">
      <c r="A1493" s="91"/>
      <c r="B1493" s="91"/>
      <c r="C1493" s="220"/>
      <c r="D1493" s="91"/>
      <c r="E1493" s="221"/>
      <c r="F1493" s="91"/>
      <c r="G1493" s="91"/>
      <c r="H1493" s="242"/>
      <c r="I1493" s="91"/>
      <c r="J1493" s="234"/>
      <c r="K1493" s="243"/>
      <c r="L1493" s="236"/>
      <c r="M1493" s="236"/>
      <c r="N1493" s="236"/>
      <c r="O1493" s="244"/>
      <c r="P1493" s="244"/>
      <c r="Q1493" s="234"/>
      <c r="R1493" s="234"/>
      <c r="S1493" s="238"/>
      <c r="T1493" s="239"/>
      <c r="U1493" s="238"/>
      <c r="V1493" s="238"/>
      <c r="W1493" s="234"/>
      <c r="X1493" s="234"/>
      <c r="Y1493" s="234"/>
      <c r="Z1493" s="234"/>
      <c r="AA1493" s="234"/>
    </row>
    <row r="1494" ht="15.75" customHeight="1">
      <c r="A1494" s="91"/>
      <c r="B1494" s="91"/>
      <c r="C1494" s="220"/>
      <c r="D1494" s="91"/>
      <c r="E1494" s="221"/>
      <c r="F1494" s="91"/>
      <c r="G1494" s="91"/>
      <c r="H1494" s="242"/>
      <c r="I1494" s="91"/>
      <c r="J1494" s="234"/>
      <c r="K1494" s="243"/>
      <c r="L1494" s="236"/>
      <c r="M1494" s="236"/>
      <c r="N1494" s="236"/>
      <c r="O1494" s="244"/>
      <c r="P1494" s="244"/>
      <c r="Q1494" s="234"/>
      <c r="R1494" s="234"/>
      <c r="S1494" s="238"/>
      <c r="T1494" s="239"/>
      <c r="U1494" s="238"/>
      <c r="V1494" s="238"/>
      <c r="W1494" s="234"/>
      <c r="X1494" s="234"/>
      <c r="Y1494" s="234"/>
      <c r="Z1494" s="234"/>
      <c r="AA1494" s="234"/>
    </row>
    <row r="1495" ht="15.75" customHeight="1">
      <c r="A1495" s="91"/>
      <c r="B1495" s="91"/>
      <c r="C1495" s="220"/>
      <c r="D1495" s="91"/>
      <c r="E1495" s="221"/>
      <c r="F1495" s="91"/>
      <c r="G1495" s="91"/>
      <c r="H1495" s="242"/>
      <c r="I1495" s="91"/>
      <c r="J1495" s="234"/>
      <c r="K1495" s="243"/>
      <c r="L1495" s="236"/>
      <c r="M1495" s="236"/>
      <c r="N1495" s="236"/>
      <c r="O1495" s="244"/>
      <c r="P1495" s="244"/>
      <c r="Q1495" s="234"/>
      <c r="R1495" s="234"/>
      <c r="S1495" s="238"/>
      <c r="T1495" s="239"/>
      <c r="U1495" s="238"/>
      <c r="V1495" s="238"/>
      <c r="W1495" s="234"/>
      <c r="X1495" s="234"/>
      <c r="Y1495" s="234"/>
      <c r="Z1495" s="234"/>
      <c r="AA1495" s="234"/>
    </row>
    <row r="1496" ht="15.75" customHeight="1">
      <c r="A1496" s="91"/>
      <c r="B1496" s="91"/>
      <c r="C1496" s="220"/>
      <c r="D1496" s="91"/>
      <c r="E1496" s="221"/>
      <c r="F1496" s="91"/>
      <c r="G1496" s="91"/>
      <c r="H1496" s="242"/>
      <c r="I1496" s="91"/>
      <c r="J1496" s="234"/>
      <c r="K1496" s="243"/>
      <c r="L1496" s="236"/>
      <c r="M1496" s="236"/>
      <c r="N1496" s="236"/>
      <c r="O1496" s="244"/>
      <c r="P1496" s="244"/>
      <c r="Q1496" s="234"/>
      <c r="R1496" s="234"/>
      <c r="S1496" s="238"/>
      <c r="T1496" s="239"/>
      <c r="U1496" s="238"/>
      <c r="V1496" s="238"/>
      <c r="W1496" s="234"/>
      <c r="X1496" s="234"/>
      <c r="Y1496" s="234"/>
      <c r="Z1496" s="234"/>
      <c r="AA1496" s="234"/>
    </row>
    <row r="1497" ht="15.75" customHeight="1">
      <c r="A1497" s="91"/>
      <c r="B1497" s="91"/>
      <c r="C1497" s="220"/>
      <c r="D1497" s="91"/>
      <c r="E1497" s="221"/>
      <c r="F1497" s="91"/>
      <c r="G1497" s="91"/>
      <c r="H1497" s="242"/>
      <c r="I1497" s="91"/>
      <c r="J1497" s="234"/>
      <c r="K1497" s="243"/>
      <c r="L1497" s="236"/>
      <c r="M1497" s="236"/>
      <c r="N1497" s="236"/>
      <c r="O1497" s="244"/>
      <c r="P1497" s="244"/>
      <c r="Q1497" s="234"/>
      <c r="R1497" s="234"/>
      <c r="S1497" s="238"/>
      <c r="T1497" s="239"/>
      <c r="U1497" s="238"/>
      <c r="V1497" s="238"/>
      <c r="W1497" s="234"/>
      <c r="X1497" s="234"/>
      <c r="Y1497" s="234"/>
      <c r="Z1497" s="234"/>
      <c r="AA1497" s="234"/>
    </row>
    <row r="1498" ht="15.75" customHeight="1">
      <c r="A1498" s="91"/>
      <c r="B1498" s="91"/>
      <c r="C1498" s="220"/>
      <c r="D1498" s="91"/>
      <c r="E1498" s="221"/>
      <c r="F1498" s="91"/>
      <c r="G1498" s="91"/>
      <c r="H1498" s="242"/>
      <c r="I1498" s="91"/>
      <c r="J1498" s="234"/>
      <c r="K1498" s="243"/>
      <c r="L1498" s="236"/>
      <c r="M1498" s="236"/>
      <c r="N1498" s="236"/>
      <c r="O1498" s="244"/>
      <c r="P1498" s="244"/>
      <c r="Q1498" s="234"/>
      <c r="R1498" s="234"/>
      <c r="S1498" s="238"/>
      <c r="T1498" s="239"/>
      <c r="U1498" s="238"/>
      <c r="V1498" s="238"/>
      <c r="W1498" s="234"/>
      <c r="X1498" s="234"/>
      <c r="Y1498" s="234"/>
      <c r="Z1498" s="234"/>
      <c r="AA1498" s="234"/>
    </row>
    <row r="1499" ht="15.75" customHeight="1">
      <c r="A1499" s="91"/>
      <c r="B1499" s="91"/>
      <c r="C1499" s="220"/>
      <c r="D1499" s="91"/>
      <c r="E1499" s="221"/>
      <c r="F1499" s="91"/>
      <c r="G1499" s="91"/>
      <c r="H1499" s="242"/>
      <c r="I1499" s="91"/>
      <c r="J1499" s="234"/>
      <c r="K1499" s="243"/>
      <c r="L1499" s="236"/>
      <c r="M1499" s="236"/>
      <c r="N1499" s="236"/>
      <c r="O1499" s="244"/>
      <c r="P1499" s="244"/>
      <c r="Q1499" s="234"/>
      <c r="R1499" s="234"/>
      <c r="S1499" s="238"/>
      <c r="T1499" s="239"/>
      <c r="U1499" s="238"/>
      <c r="V1499" s="238"/>
      <c r="W1499" s="234"/>
      <c r="X1499" s="234"/>
      <c r="Y1499" s="234"/>
      <c r="Z1499" s="234"/>
      <c r="AA1499" s="234"/>
    </row>
    <row r="1500" ht="15.75" customHeight="1">
      <c r="A1500" s="91"/>
      <c r="B1500" s="91"/>
      <c r="C1500" s="220"/>
      <c r="D1500" s="91"/>
      <c r="E1500" s="221"/>
      <c r="F1500" s="91"/>
      <c r="G1500" s="91"/>
      <c r="H1500" s="242"/>
      <c r="I1500" s="91"/>
      <c r="J1500" s="234"/>
      <c r="K1500" s="243"/>
      <c r="L1500" s="236"/>
      <c r="M1500" s="236"/>
      <c r="N1500" s="236"/>
      <c r="O1500" s="244"/>
      <c r="P1500" s="244"/>
      <c r="Q1500" s="234"/>
      <c r="R1500" s="234"/>
      <c r="S1500" s="238"/>
      <c r="T1500" s="239"/>
      <c r="U1500" s="238"/>
      <c r="V1500" s="238"/>
      <c r="W1500" s="234"/>
      <c r="X1500" s="234"/>
      <c r="Y1500" s="234"/>
      <c r="Z1500" s="234"/>
      <c r="AA1500" s="234"/>
    </row>
    <row r="1501" ht="15.75" customHeight="1">
      <c r="A1501" s="91"/>
      <c r="B1501" s="91"/>
      <c r="C1501" s="220"/>
      <c r="D1501" s="91"/>
      <c r="E1501" s="221"/>
      <c r="F1501" s="91"/>
      <c r="G1501" s="91"/>
      <c r="H1501" s="242"/>
      <c r="I1501" s="91"/>
      <c r="J1501" s="234"/>
      <c r="K1501" s="243"/>
      <c r="L1501" s="236"/>
      <c r="M1501" s="236"/>
      <c r="N1501" s="236"/>
      <c r="O1501" s="244"/>
      <c r="P1501" s="244"/>
      <c r="Q1501" s="234"/>
      <c r="R1501" s="234"/>
      <c r="S1501" s="238"/>
      <c r="T1501" s="239"/>
      <c r="U1501" s="238"/>
      <c r="V1501" s="238"/>
      <c r="W1501" s="234"/>
      <c r="X1501" s="234"/>
      <c r="Y1501" s="234"/>
      <c r="Z1501" s="234"/>
      <c r="AA1501" s="234"/>
    </row>
    <row r="1502" ht="15.75" customHeight="1">
      <c r="A1502" s="91"/>
      <c r="B1502" s="91"/>
      <c r="C1502" s="220"/>
      <c r="D1502" s="91"/>
      <c r="E1502" s="221"/>
      <c r="F1502" s="91"/>
      <c r="G1502" s="91"/>
      <c r="H1502" s="242"/>
      <c r="I1502" s="91"/>
      <c r="J1502" s="234"/>
      <c r="K1502" s="243"/>
      <c r="L1502" s="236"/>
      <c r="M1502" s="236"/>
      <c r="N1502" s="236"/>
      <c r="O1502" s="244"/>
      <c r="P1502" s="244"/>
      <c r="Q1502" s="234"/>
      <c r="R1502" s="234"/>
      <c r="S1502" s="238"/>
      <c r="T1502" s="239"/>
      <c r="U1502" s="238"/>
      <c r="V1502" s="238"/>
      <c r="W1502" s="234"/>
      <c r="X1502" s="234"/>
      <c r="Y1502" s="234"/>
      <c r="Z1502" s="234"/>
      <c r="AA1502" s="234"/>
    </row>
    <row r="1503" ht="15.75" customHeight="1">
      <c r="A1503" s="91"/>
      <c r="B1503" s="91"/>
      <c r="C1503" s="220"/>
      <c r="D1503" s="91"/>
      <c r="E1503" s="221"/>
      <c r="F1503" s="91"/>
      <c r="G1503" s="91"/>
      <c r="H1503" s="242"/>
      <c r="I1503" s="91"/>
      <c r="J1503" s="234"/>
      <c r="K1503" s="243"/>
      <c r="L1503" s="236"/>
      <c r="M1503" s="236"/>
      <c r="N1503" s="236"/>
      <c r="O1503" s="244"/>
      <c r="P1503" s="244"/>
      <c r="Q1503" s="234"/>
      <c r="R1503" s="234"/>
      <c r="S1503" s="238"/>
      <c r="T1503" s="239"/>
      <c r="U1503" s="238"/>
      <c r="V1503" s="238"/>
      <c r="W1503" s="234"/>
      <c r="X1503" s="234"/>
      <c r="Y1503" s="234"/>
      <c r="Z1503" s="234"/>
      <c r="AA1503" s="234"/>
    </row>
    <row r="1504" ht="15.75" customHeight="1">
      <c r="A1504" s="91"/>
      <c r="B1504" s="91"/>
      <c r="C1504" s="220"/>
      <c r="D1504" s="91"/>
      <c r="E1504" s="221"/>
      <c r="F1504" s="91"/>
      <c r="G1504" s="91"/>
      <c r="H1504" s="242"/>
      <c r="I1504" s="91"/>
      <c r="J1504" s="234"/>
      <c r="K1504" s="243"/>
      <c r="L1504" s="236"/>
      <c r="M1504" s="236"/>
      <c r="N1504" s="236"/>
      <c r="O1504" s="244"/>
      <c r="P1504" s="244"/>
      <c r="Q1504" s="234"/>
      <c r="R1504" s="234"/>
      <c r="S1504" s="238"/>
      <c r="T1504" s="239"/>
      <c r="U1504" s="238"/>
      <c r="V1504" s="238"/>
      <c r="W1504" s="234"/>
      <c r="X1504" s="234"/>
      <c r="Y1504" s="234"/>
      <c r="Z1504" s="234"/>
      <c r="AA1504" s="234"/>
    </row>
    <row r="1505" ht="15.75" customHeight="1">
      <c r="A1505" s="91"/>
      <c r="B1505" s="91"/>
      <c r="C1505" s="220"/>
      <c r="D1505" s="91"/>
      <c r="E1505" s="221"/>
      <c r="F1505" s="91"/>
      <c r="G1505" s="91"/>
      <c r="H1505" s="242"/>
      <c r="I1505" s="91"/>
      <c r="J1505" s="234"/>
      <c r="K1505" s="243"/>
      <c r="L1505" s="236"/>
      <c r="M1505" s="236"/>
      <c r="N1505" s="236"/>
      <c r="O1505" s="244"/>
      <c r="P1505" s="244"/>
      <c r="Q1505" s="234"/>
      <c r="R1505" s="234"/>
      <c r="S1505" s="238"/>
      <c r="T1505" s="239"/>
      <c r="U1505" s="238"/>
      <c r="V1505" s="238"/>
      <c r="W1505" s="234"/>
      <c r="X1505" s="234"/>
      <c r="Y1505" s="234"/>
      <c r="Z1505" s="234"/>
      <c r="AA1505" s="234"/>
    </row>
    <row r="1506" ht="15.75" customHeight="1">
      <c r="A1506" s="91"/>
      <c r="B1506" s="91"/>
      <c r="C1506" s="220"/>
      <c r="D1506" s="91"/>
      <c r="E1506" s="221"/>
      <c r="F1506" s="91"/>
      <c r="G1506" s="91"/>
      <c r="H1506" s="242"/>
      <c r="I1506" s="91"/>
      <c r="J1506" s="234"/>
      <c r="K1506" s="243"/>
      <c r="L1506" s="236"/>
      <c r="M1506" s="236"/>
      <c r="N1506" s="236"/>
      <c r="O1506" s="244"/>
      <c r="P1506" s="244"/>
      <c r="Q1506" s="234"/>
      <c r="R1506" s="234"/>
      <c r="S1506" s="238"/>
      <c r="T1506" s="239"/>
      <c r="U1506" s="238"/>
      <c r="V1506" s="238"/>
      <c r="W1506" s="234"/>
      <c r="X1506" s="234"/>
      <c r="Y1506" s="234"/>
      <c r="Z1506" s="234"/>
      <c r="AA1506" s="234"/>
    </row>
    <row r="1507" ht="15.75" customHeight="1">
      <c r="A1507" s="91"/>
      <c r="B1507" s="91"/>
      <c r="C1507" s="220"/>
      <c r="D1507" s="91"/>
      <c r="E1507" s="221"/>
      <c r="F1507" s="91"/>
      <c r="G1507" s="91"/>
      <c r="H1507" s="242"/>
      <c r="I1507" s="91"/>
      <c r="J1507" s="234"/>
      <c r="K1507" s="243"/>
      <c r="L1507" s="236"/>
      <c r="M1507" s="236"/>
      <c r="N1507" s="236"/>
      <c r="O1507" s="244"/>
      <c r="P1507" s="244"/>
      <c r="Q1507" s="234"/>
      <c r="R1507" s="234"/>
      <c r="S1507" s="238"/>
      <c r="T1507" s="239"/>
      <c r="U1507" s="238"/>
      <c r="V1507" s="238"/>
      <c r="W1507" s="234"/>
      <c r="X1507" s="234"/>
      <c r="Y1507" s="234"/>
      <c r="Z1507" s="234"/>
      <c r="AA1507" s="234"/>
    </row>
    <row r="1508" ht="15.75" customHeight="1">
      <c r="A1508" s="91"/>
      <c r="B1508" s="91"/>
      <c r="C1508" s="220"/>
      <c r="D1508" s="91"/>
      <c r="E1508" s="221"/>
      <c r="F1508" s="91"/>
      <c r="G1508" s="91"/>
      <c r="H1508" s="242"/>
      <c r="I1508" s="91"/>
      <c r="J1508" s="234"/>
      <c r="K1508" s="243"/>
      <c r="L1508" s="236"/>
      <c r="M1508" s="236"/>
      <c r="N1508" s="236"/>
      <c r="O1508" s="244"/>
      <c r="P1508" s="244"/>
      <c r="Q1508" s="234"/>
      <c r="R1508" s="234"/>
      <c r="S1508" s="238"/>
      <c r="T1508" s="239"/>
      <c r="U1508" s="238"/>
      <c r="V1508" s="238"/>
      <c r="W1508" s="234"/>
      <c r="X1508" s="234"/>
      <c r="Y1508" s="234"/>
      <c r="Z1508" s="234"/>
      <c r="AA1508" s="234"/>
    </row>
    <row r="1509" ht="15.75" customHeight="1">
      <c r="A1509" s="91"/>
      <c r="B1509" s="91"/>
      <c r="C1509" s="220"/>
      <c r="D1509" s="91"/>
      <c r="E1509" s="221"/>
      <c r="F1509" s="91"/>
      <c r="G1509" s="91"/>
      <c r="H1509" s="242"/>
      <c r="I1509" s="91"/>
      <c r="J1509" s="234"/>
      <c r="K1509" s="243"/>
      <c r="L1509" s="236"/>
      <c r="M1509" s="236"/>
      <c r="N1509" s="236"/>
      <c r="O1509" s="244"/>
      <c r="P1509" s="244"/>
      <c r="Q1509" s="234"/>
      <c r="R1509" s="234"/>
      <c r="S1509" s="238"/>
      <c r="T1509" s="239"/>
      <c r="U1509" s="238"/>
      <c r="V1509" s="238"/>
      <c r="W1509" s="234"/>
      <c r="X1509" s="234"/>
      <c r="Y1509" s="234"/>
      <c r="Z1509" s="234"/>
      <c r="AA1509" s="234"/>
    </row>
    <row r="1510" ht="15.75" customHeight="1">
      <c r="A1510" s="91"/>
      <c r="B1510" s="91"/>
      <c r="C1510" s="220"/>
      <c r="D1510" s="91"/>
      <c r="E1510" s="221"/>
      <c r="F1510" s="91"/>
      <c r="G1510" s="91"/>
      <c r="H1510" s="242"/>
      <c r="I1510" s="91"/>
      <c r="J1510" s="234"/>
      <c r="K1510" s="243"/>
      <c r="L1510" s="236"/>
      <c r="M1510" s="236"/>
      <c r="N1510" s="236"/>
      <c r="O1510" s="244"/>
      <c r="P1510" s="244"/>
      <c r="Q1510" s="234"/>
      <c r="R1510" s="234"/>
      <c r="S1510" s="238"/>
      <c r="T1510" s="239"/>
      <c r="U1510" s="238"/>
      <c r="V1510" s="238"/>
      <c r="W1510" s="234"/>
      <c r="X1510" s="234"/>
      <c r="Y1510" s="234"/>
      <c r="Z1510" s="234"/>
      <c r="AA1510" s="234"/>
    </row>
    <row r="1511" ht="15.75" customHeight="1">
      <c r="A1511" s="91"/>
      <c r="B1511" s="91"/>
      <c r="C1511" s="220"/>
      <c r="D1511" s="91"/>
      <c r="E1511" s="221"/>
      <c r="F1511" s="91"/>
      <c r="G1511" s="91"/>
      <c r="H1511" s="242"/>
      <c r="I1511" s="91"/>
      <c r="J1511" s="234"/>
      <c r="K1511" s="243"/>
      <c r="L1511" s="236"/>
      <c r="M1511" s="236"/>
      <c r="N1511" s="236"/>
      <c r="O1511" s="244"/>
      <c r="P1511" s="244"/>
      <c r="Q1511" s="234"/>
      <c r="R1511" s="234"/>
      <c r="S1511" s="238"/>
      <c r="T1511" s="239"/>
      <c r="U1511" s="238"/>
      <c r="V1511" s="238"/>
      <c r="W1511" s="234"/>
      <c r="X1511" s="234"/>
      <c r="Y1511" s="234"/>
      <c r="Z1511" s="234"/>
      <c r="AA1511" s="234"/>
    </row>
    <row r="1512" ht="15.75" customHeight="1">
      <c r="A1512" s="91"/>
      <c r="B1512" s="91"/>
      <c r="C1512" s="220"/>
      <c r="D1512" s="91"/>
      <c r="E1512" s="221"/>
      <c r="F1512" s="91"/>
      <c r="G1512" s="91"/>
      <c r="H1512" s="242"/>
      <c r="I1512" s="91"/>
      <c r="J1512" s="234"/>
      <c r="K1512" s="243"/>
      <c r="L1512" s="236"/>
      <c r="M1512" s="236"/>
      <c r="N1512" s="236"/>
      <c r="O1512" s="244"/>
      <c r="P1512" s="244"/>
      <c r="Q1512" s="234"/>
      <c r="R1512" s="234"/>
      <c r="S1512" s="238"/>
      <c r="T1512" s="239"/>
      <c r="U1512" s="238"/>
      <c r="V1512" s="238"/>
      <c r="W1512" s="234"/>
      <c r="X1512" s="234"/>
      <c r="Y1512" s="234"/>
      <c r="Z1512" s="234"/>
      <c r="AA1512" s="234"/>
    </row>
    <row r="1513" ht="15.75" customHeight="1">
      <c r="A1513" s="91"/>
      <c r="B1513" s="91"/>
      <c r="C1513" s="220"/>
      <c r="D1513" s="91"/>
      <c r="E1513" s="221"/>
      <c r="F1513" s="91"/>
      <c r="G1513" s="91"/>
      <c r="H1513" s="242"/>
      <c r="I1513" s="91"/>
      <c r="J1513" s="234"/>
      <c r="K1513" s="243"/>
      <c r="L1513" s="236"/>
      <c r="M1513" s="236"/>
      <c r="N1513" s="236"/>
      <c r="O1513" s="244"/>
      <c r="P1513" s="244"/>
      <c r="Q1513" s="234"/>
      <c r="R1513" s="234"/>
      <c r="S1513" s="238"/>
      <c r="T1513" s="239"/>
      <c r="U1513" s="238"/>
      <c r="V1513" s="238"/>
      <c r="W1513" s="234"/>
      <c r="X1513" s="234"/>
      <c r="Y1513" s="234"/>
      <c r="Z1513" s="234"/>
      <c r="AA1513" s="234"/>
    </row>
    <row r="1514" ht="15.75" customHeight="1">
      <c r="A1514" s="91"/>
      <c r="B1514" s="91"/>
      <c r="C1514" s="220"/>
      <c r="D1514" s="91"/>
      <c r="E1514" s="221"/>
      <c r="F1514" s="91"/>
      <c r="G1514" s="91"/>
      <c r="H1514" s="242"/>
      <c r="I1514" s="91"/>
      <c r="J1514" s="234"/>
      <c r="K1514" s="243"/>
      <c r="L1514" s="236"/>
      <c r="M1514" s="236"/>
      <c r="N1514" s="236"/>
      <c r="O1514" s="244"/>
      <c r="P1514" s="244"/>
      <c r="Q1514" s="234"/>
      <c r="R1514" s="234"/>
      <c r="S1514" s="238"/>
      <c r="T1514" s="239"/>
      <c r="U1514" s="238"/>
      <c r="V1514" s="238"/>
      <c r="W1514" s="234"/>
      <c r="X1514" s="234"/>
      <c r="Y1514" s="234"/>
      <c r="Z1514" s="234"/>
      <c r="AA1514" s="234"/>
    </row>
    <row r="1515" ht="15.75" customHeight="1">
      <c r="A1515" s="91"/>
      <c r="B1515" s="91"/>
      <c r="C1515" s="220"/>
      <c r="D1515" s="91"/>
      <c r="E1515" s="221"/>
      <c r="F1515" s="91"/>
      <c r="G1515" s="91"/>
      <c r="H1515" s="242"/>
      <c r="I1515" s="91"/>
      <c r="J1515" s="234"/>
      <c r="K1515" s="243"/>
      <c r="L1515" s="236"/>
      <c r="M1515" s="236"/>
      <c r="N1515" s="236"/>
      <c r="O1515" s="244"/>
      <c r="P1515" s="244"/>
      <c r="Q1515" s="234"/>
      <c r="R1515" s="234"/>
      <c r="S1515" s="238"/>
      <c r="T1515" s="239"/>
      <c r="U1515" s="238"/>
      <c r="V1515" s="238"/>
      <c r="W1515" s="234"/>
      <c r="X1515" s="234"/>
      <c r="Y1515" s="234"/>
      <c r="Z1515" s="234"/>
      <c r="AA1515" s="234"/>
    </row>
    <row r="1516" ht="15.75" customHeight="1">
      <c r="A1516" s="91"/>
      <c r="B1516" s="91"/>
      <c r="C1516" s="220"/>
      <c r="D1516" s="91"/>
      <c r="E1516" s="221"/>
      <c r="F1516" s="91"/>
      <c r="G1516" s="91"/>
      <c r="H1516" s="242"/>
      <c r="I1516" s="91"/>
      <c r="J1516" s="234"/>
      <c r="K1516" s="243"/>
      <c r="L1516" s="236"/>
      <c r="M1516" s="236"/>
      <c r="N1516" s="236"/>
      <c r="O1516" s="244"/>
      <c r="P1516" s="244"/>
      <c r="Q1516" s="234"/>
      <c r="R1516" s="234"/>
      <c r="S1516" s="238"/>
      <c r="T1516" s="239"/>
      <c r="U1516" s="238"/>
      <c r="V1516" s="238"/>
      <c r="W1516" s="234"/>
      <c r="X1516" s="234"/>
      <c r="Y1516" s="234"/>
      <c r="Z1516" s="234"/>
      <c r="AA1516" s="234"/>
    </row>
    <row r="1517" ht="15.75" customHeight="1">
      <c r="A1517" s="91"/>
      <c r="B1517" s="91"/>
      <c r="C1517" s="220"/>
      <c r="D1517" s="91"/>
      <c r="E1517" s="221"/>
      <c r="F1517" s="91"/>
      <c r="G1517" s="91"/>
      <c r="H1517" s="242"/>
      <c r="I1517" s="91"/>
      <c r="J1517" s="234"/>
      <c r="K1517" s="243"/>
      <c r="L1517" s="236"/>
      <c r="M1517" s="236"/>
      <c r="N1517" s="236"/>
      <c r="O1517" s="244"/>
      <c r="P1517" s="244"/>
      <c r="Q1517" s="234"/>
      <c r="R1517" s="234"/>
      <c r="S1517" s="238"/>
      <c r="T1517" s="239"/>
      <c r="U1517" s="238"/>
      <c r="V1517" s="238"/>
      <c r="W1517" s="234"/>
      <c r="X1517" s="234"/>
      <c r="Y1517" s="234"/>
      <c r="Z1517" s="234"/>
      <c r="AA1517" s="234"/>
    </row>
    <row r="1518" ht="15.75" customHeight="1">
      <c r="A1518" s="91"/>
      <c r="B1518" s="91"/>
      <c r="C1518" s="220"/>
      <c r="D1518" s="91"/>
      <c r="E1518" s="221"/>
      <c r="F1518" s="91"/>
      <c r="G1518" s="91"/>
      <c r="H1518" s="242"/>
      <c r="I1518" s="91"/>
      <c r="J1518" s="234"/>
      <c r="K1518" s="243"/>
      <c r="L1518" s="236"/>
      <c r="M1518" s="236"/>
      <c r="N1518" s="236"/>
      <c r="O1518" s="244"/>
      <c r="P1518" s="244"/>
      <c r="Q1518" s="234"/>
      <c r="R1518" s="234"/>
      <c r="S1518" s="238"/>
      <c r="T1518" s="239"/>
      <c r="U1518" s="238"/>
      <c r="V1518" s="238"/>
      <c r="W1518" s="234"/>
      <c r="X1518" s="234"/>
      <c r="Y1518" s="234"/>
      <c r="Z1518" s="234"/>
      <c r="AA1518" s="234"/>
    </row>
    <row r="1519" ht="15.75" customHeight="1">
      <c r="A1519" s="91"/>
      <c r="B1519" s="91"/>
      <c r="C1519" s="220"/>
      <c r="D1519" s="91"/>
      <c r="E1519" s="221"/>
      <c r="F1519" s="91"/>
      <c r="G1519" s="91"/>
      <c r="H1519" s="242"/>
      <c r="I1519" s="91"/>
      <c r="J1519" s="234"/>
      <c r="K1519" s="243"/>
      <c r="L1519" s="236"/>
      <c r="M1519" s="236"/>
      <c r="N1519" s="236"/>
      <c r="O1519" s="244"/>
      <c r="P1519" s="244"/>
      <c r="Q1519" s="234"/>
      <c r="R1519" s="234"/>
      <c r="S1519" s="238"/>
      <c r="T1519" s="239"/>
      <c r="U1519" s="238"/>
      <c r="V1519" s="238"/>
      <c r="W1519" s="234"/>
      <c r="X1519" s="234"/>
      <c r="Y1519" s="234"/>
      <c r="Z1519" s="234"/>
      <c r="AA1519" s="234"/>
    </row>
    <row r="1520" ht="15.75" customHeight="1">
      <c r="A1520" s="91"/>
      <c r="B1520" s="91"/>
      <c r="C1520" s="220"/>
      <c r="D1520" s="91"/>
      <c r="E1520" s="221"/>
      <c r="F1520" s="91"/>
      <c r="G1520" s="91"/>
      <c r="H1520" s="242"/>
      <c r="I1520" s="91"/>
      <c r="J1520" s="234"/>
      <c r="K1520" s="243"/>
      <c r="L1520" s="236"/>
      <c r="M1520" s="236"/>
      <c r="N1520" s="236"/>
      <c r="O1520" s="244"/>
      <c r="P1520" s="244"/>
      <c r="Q1520" s="234"/>
      <c r="R1520" s="234"/>
      <c r="S1520" s="238"/>
      <c r="T1520" s="239"/>
      <c r="U1520" s="238"/>
      <c r="V1520" s="238"/>
      <c r="W1520" s="234"/>
      <c r="X1520" s="234"/>
      <c r="Y1520" s="234"/>
      <c r="Z1520" s="234"/>
      <c r="AA1520" s="234"/>
    </row>
    <row r="1521" ht="15.75" customHeight="1">
      <c r="A1521" s="91"/>
      <c r="B1521" s="91"/>
      <c r="C1521" s="220"/>
      <c r="D1521" s="91"/>
      <c r="E1521" s="221"/>
      <c r="F1521" s="91"/>
      <c r="G1521" s="91"/>
      <c r="H1521" s="242"/>
      <c r="I1521" s="91"/>
      <c r="J1521" s="234"/>
      <c r="K1521" s="243"/>
      <c r="L1521" s="236"/>
      <c r="M1521" s="236"/>
      <c r="N1521" s="236"/>
      <c r="O1521" s="244"/>
      <c r="P1521" s="244"/>
      <c r="Q1521" s="234"/>
      <c r="R1521" s="234"/>
      <c r="S1521" s="238"/>
      <c r="T1521" s="239"/>
      <c r="U1521" s="238"/>
      <c r="V1521" s="238"/>
      <c r="W1521" s="234"/>
      <c r="X1521" s="234"/>
      <c r="Y1521" s="234"/>
      <c r="Z1521" s="234"/>
      <c r="AA1521" s="234"/>
    </row>
    <row r="1522" ht="15.75" customHeight="1">
      <c r="A1522" s="91"/>
      <c r="B1522" s="91"/>
      <c r="C1522" s="220"/>
      <c r="D1522" s="91"/>
      <c r="E1522" s="221"/>
      <c r="F1522" s="91"/>
      <c r="G1522" s="91"/>
      <c r="H1522" s="242"/>
      <c r="I1522" s="91"/>
      <c r="J1522" s="234"/>
      <c r="K1522" s="243"/>
      <c r="L1522" s="236"/>
      <c r="M1522" s="236"/>
      <c r="N1522" s="236"/>
      <c r="O1522" s="244"/>
      <c r="P1522" s="244"/>
      <c r="Q1522" s="234"/>
      <c r="R1522" s="234"/>
      <c r="S1522" s="238"/>
      <c r="T1522" s="239"/>
      <c r="U1522" s="238"/>
      <c r="V1522" s="238"/>
      <c r="W1522" s="234"/>
      <c r="X1522" s="234"/>
      <c r="Y1522" s="234"/>
      <c r="Z1522" s="234"/>
      <c r="AA1522" s="234"/>
    </row>
    <row r="1523" ht="15.75" customHeight="1">
      <c r="A1523" s="91"/>
      <c r="B1523" s="91"/>
      <c r="C1523" s="220"/>
      <c r="D1523" s="91"/>
      <c r="E1523" s="221"/>
      <c r="F1523" s="91"/>
      <c r="G1523" s="91"/>
      <c r="H1523" s="242"/>
      <c r="I1523" s="91"/>
      <c r="J1523" s="234"/>
      <c r="K1523" s="243"/>
      <c r="L1523" s="236"/>
      <c r="M1523" s="236"/>
      <c r="N1523" s="236"/>
      <c r="O1523" s="244"/>
      <c r="P1523" s="244"/>
      <c r="Q1523" s="234"/>
      <c r="R1523" s="234"/>
      <c r="S1523" s="238"/>
      <c r="T1523" s="239"/>
      <c r="U1523" s="238"/>
      <c r="V1523" s="238"/>
      <c r="W1523" s="234"/>
      <c r="X1523" s="234"/>
      <c r="Y1523" s="234"/>
      <c r="Z1523" s="234"/>
      <c r="AA1523" s="234"/>
    </row>
    <row r="1524" ht="15.75" customHeight="1">
      <c r="A1524" s="91"/>
      <c r="B1524" s="91"/>
      <c r="C1524" s="220"/>
      <c r="D1524" s="91"/>
      <c r="E1524" s="221"/>
      <c r="F1524" s="91"/>
      <c r="G1524" s="91"/>
      <c r="H1524" s="242"/>
      <c r="I1524" s="91"/>
      <c r="J1524" s="234"/>
      <c r="K1524" s="243"/>
      <c r="L1524" s="236"/>
      <c r="M1524" s="236"/>
      <c r="N1524" s="236"/>
      <c r="O1524" s="244"/>
      <c r="P1524" s="244"/>
      <c r="Q1524" s="234"/>
      <c r="R1524" s="234"/>
      <c r="S1524" s="238"/>
      <c r="T1524" s="239"/>
      <c r="U1524" s="238"/>
      <c r="V1524" s="238"/>
      <c r="W1524" s="234"/>
      <c r="X1524" s="234"/>
      <c r="Y1524" s="234"/>
      <c r="Z1524" s="234"/>
      <c r="AA1524" s="234"/>
    </row>
    <row r="1525" ht="15.75" customHeight="1">
      <c r="A1525" s="91"/>
      <c r="B1525" s="91"/>
      <c r="C1525" s="220"/>
      <c r="D1525" s="91"/>
      <c r="E1525" s="221"/>
      <c r="F1525" s="91"/>
      <c r="G1525" s="91"/>
      <c r="H1525" s="242"/>
      <c r="I1525" s="91"/>
      <c r="J1525" s="234"/>
      <c r="K1525" s="243"/>
      <c r="L1525" s="236"/>
      <c r="M1525" s="236"/>
      <c r="N1525" s="236"/>
      <c r="O1525" s="244"/>
      <c r="P1525" s="244"/>
      <c r="Q1525" s="234"/>
      <c r="R1525" s="234"/>
      <c r="S1525" s="238"/>
      <c r="T1525" s="239"/>
      <c r="U1525" s="238"/>
      <c r="V1525" s="238"/>
      <c r="W1525" s="234"/>
      <c r="X1525" s="234"/>
      <c r="Y1525" s="234"/>
      <c r="Z1525" s="234"/>
      <c r="AA1525" s="234"/>
    </row>
    <row r="1526" ht="15.75" customHeight="1">
      <c r="A1526" s="91"/>
      <c r="B1526" s="91"/>
      <c r="C1526" s="220"/>
      <c r="D1526" s="91"/>
      <c r="E1526" s="221"/>
      <c r="F1526" s="91"/>
      <c r="G1526" s="91"/>
      <c r="H1526" s="242"/>
      <c r="I1526" s="91"/>
      <c r="J1526" s="234"/>
      <c r="K1526" s="243"/>
      <c r="L1526" s="236"/>
      <c r="M1526" s="236"/>
      <c r="N1526" s="236"/>
      <c r="O1526" s="244"/>
      <c r="P1526" s="244"/>
      <c r="Q1526" s="234"/>
      <c r="R1526" s="234"/>
      <c r="S1526" s="238"/>
      <c r="T1526" s="239"/>
      <c r="U1526" s="238"/>
      <c r="V1526" s="238"/>
      <c r="W1526" s="234"/>
      <c r="X1526" s="234"/>
      <c r="Y1526" s="234"/>
      <c r="Z1526" s="234"/>
      <c r="AA1526" s="234"/>
    </row>
    <row r="1527" ht="15.75" customHeight="1">
      <c r="A1527" s="91"/>
      <c r="B1527" s="91"/>
      <c r="C1527" s="220"/>
      <c r="D1527" s="91"/>
      <c r="E1527" s="221"/>
      <c r="F1527" s="91"/>
      <c r="G1527" s="91"/>
      <c r="H1527" s="242"/>
      <c r="I1527" s="91"/>
      <c r="J1527" s="234"/>
      <c r="K1527" s="243"/>
      <c r="L1527" s="236"/>
      <c r="M1527" s="236"/>
      <c r="N1527" s="236"/>
      <c r="O1527" s="244"/>
      <c r="P1527" s="244"/>
      <c r="Q1527" s="234"/>
      <c r="R1527" s="234"/>
      <c r="S1527" s="238"/>
      <c r="T1527" s="239"/>
      <c r="U1527" s="238"/>
      <c r="V1527" s="238"/>
      <c r="W1527" s="234"/>
      <c r="X1527" s="234"/>
      <c r="Y1527" s="234"/>
      <c r="Z1527" s="234"/>
      <c r="AA1527" s="234"/>
    </row>
    <row r="1528" ht="15.75" customHeight="1">
      <c r="A1528" s="91"/>
      <c r="B1528" s="91"/>
      <c r="C1528" s="220"/>
      <c r="D1528" s="91"/>
      <c r="E1528" s="221"/>
      <c r="F1528" s="91"/>
      <c r="G1528" s="91"/>
      <c r="H1528" s="242"/>
      <c r="I1528" s="91"/>
      <c r="J1528" s="234"/>
      <c r="K1528" s="243"/>
      <c r="L1528" s="236"/>
      <c r="M1528" s="236"/>
      <c r="N1528" s="236"/>
      <c r="O1528" s="244"/>
      <c r="P1528" s="244"/>
      <c r="Q1528" s="234"/>
      <c r="R1528" s="234"/>
      <c r="S1528" s="238"/>
      <c r="T1528" s="239"/>
      <c r="U1528" s="238"/>
      <c r="V1528" s="238"/>
      <c r="W1528" s="234"/>
      <c r="X1528" s="234"/>
      <c r="Y1528" s="234"/>
      <c r="Z1528" s="234"/>
      <c r="AA1528" s="234"/>
    </row>
    <row r="1529" ht="15.75" customHeight="1">
      <c r="A1529" s="91"/>
      <c r="B1529" s="91"/>
      <c r="C1529" s="220"/>
      <c r="D1529" s="91"/>
      <c r="E1529" s="221"/>
      <c r="F1529" s="91"/>
      <c r="G1529" s="91"/>
      <c r="H1529" s="242"/>
      <c r="I1529" s="91"/>
      <c r="J1529" s="234"/>
      <c r="K1529" s="243"/>
      <c r="L1529" s="236"/>
      <c r="M1529" s="236"/>
      <c r="N1529" s="236"/>
      <c r="O1529" s="244"/>
      <c r="P1529" s="244"/>
      <c r="Q1529" s="234"/>
      <c r="R1529" s="234"/>
      <c r="S1529" s="238"/>
      <c r="T1529" s="239"/>
      <c r="U1529" s="238"/>
      <c r="V1529" s="238"/>
      <c r="W1529" s="234"/>
      <c r="X1529" s="234"/>
      <c r="Y1529" s="234"/>
      <c r="Z1529" s="234"/>
      <c r="AA1529" s="234"/>
    </row>
    <row r="1530" ht="15.75" customHeight="1">
      <c r="A1530" s="91"/>
      <c r="B1530" s="91"/>
      <c r="C1530" s="220"/>
      <c r="D1530" s="91"/>
      <c r="E1530" s="221"/>
      <c r="F1530" s="91"/>
      <c r="G1530" s="91"/>
      <c r="H1530" s="242"/>
      <c r="I1530" s="91"/>
      <c r="J1530" s="234"/>
      <c r="K1530" s="243"/>
      <c r="L1530" s="236"/>
      <c r="M1530" s="236"/>
      <c r="N1530" s="236"/>
      <c r="O1530" s="244"/>
      <c r="P1530" s="244"/>
      <c r="Q1530" s="234"/>
      <c r="R1530" s="234"/>
      <c r="S1530" s="238"/>
      <c r="T1530" s="239"/>
      <c r="U1530" s="238"/>
      <c r="V1530" s="238"/>
      <c r="W1530" s="234"/>
      <c r="X1530" s="234"/>
      <c r="Y1530" s="234"/>
      <c r="Z1530" s="234"/>
      <c r="AA1530" s="234"/>
    </row>
    <row r="1531" ht="15.75" customHeight="1">
      <c r="A1531" s="91"/>
      <c r="B1531" s="91"/>
      <c r="C1531" s="220"/>
      <c r="D1531" s="91"/>
      <c r="E1531" s="221"/>
      <c r="F1531" s="91"/>
      <c r="G1531" s="91"/>
      <c r="H1531" s="242"/>
      <c r="I1531" s="91"/>
      <c r="J1531" s="234"/>
      <c r="K1531" s="243"/>
      <c r="L1531" s="236"/>
      <c r="M1531" s="236"/>
      <c r="N1531" s="236"/>
      <c r="O1531" s="244"/>
      <c r="P1531" s="244"/>
      <c r="Q1531" s="234"/>
      <c r="R1531" s="234"/>
      <c r="S1531" s="238"/>
      <c r="T1531" s="239"/>
      <c r="U1531" s="238"/>
      <c r="V1531" s="238"/>
      <c r="W1531" s="234"/>
      <c r="X1531" s="234"/>
      <c r="Y1531" s="234"/>
      <c r="Z1531" s="234"/>
      <c r="AA1531" s="234"/>
    </row>
    <row r="1532" ht="15.75" customHeight="1">
      <c r="A1532" s="91"/>
      <c r="B1532" s="91"/>
      <c r="C1532" s="220"/>
      <c r="D1532" s="91"/>
      <c r="E1532" s="221"/>
      <c r="F1532" s="91"/>
      <c r="G1532" s="91"/>
      <c r="H1532" s="242"/>
      <c r="I1532" s="91"/>
      <c r="J1532" s="234"/>
      <c r="K1532" s="243"/>
      <c r="L1532" s="236"/>
      <c r="M1532" s="236"/>
      <c r="N1532" s="236"/>
      <c r="O1532" s="244"/>
      <c r="P1532" s="244"/>
      <c r="Q1532" s="234"/>
      <c r="R1532" s="234"/>
      <c r="S1532" s="238"/>
      <c r="T1532" s="239"/>
      <c r="U1532" s="238"/>
      <c r="V1532" s="238"/>
      <c r="W1532" s="234"/>
      <c r="X1532" s="234"/>
      <c r="Y1532" s="234"/>
      <c r="Z1532" s="234"/>
      <c r="AA1532" s="234"/>
    </row>
    <row r="1533" ht="15.75" customHeight="1">
      <c r="A1533" s="91"/>
      <c r="B1533" s="91"/>
      <c r="C1533" s="220"/>
      <c r="D1533" s="91"/>
      <c r="E1533" s="221"/>
      <c r="F1533" s="91"/>
      <c r="G1533" s="91"/>
      <c r="H1533" s="242"/>
      <c r="I1533" s="91"/>
      <c r="J1533" s="234"/>
      <c r="K1533" s="243"/>
      <c r="L1533" s="236"/>
      <c r="M1533" s="236"/>
      <c r="N1533" s="236"/>
      <c r="O1533" s="244"/>
      <c r="P1533" s="244"/>
      <c r="Q1533" s="234"/>
      <c r="R1533" s="234"/>
      <c r="S1533" s="238"/>
      <c r="T1533" s="239"/>
      <c r="U1533" s="238"/>
      <c r="V1533" s="238"/>
      <c r="W1533" s="234"/>
      <c r="X1533" s="234"/>
      <c r="Y1533" s="234"/>
      <c r="Z1533" s="234"/>
      <c r="AA1533" s="234"/>
    </row>
    <row r="1534" ht="15.75" customHeight="1">
      <c r="A1534" s="91"/>
      <c r="B1534" s="91"/>
      <c r="C1534" s="220"/>
      <c r="D1534" s="91"/>
      <c r="E1534" s="221"/>
      <c r="F1534" s="91"/>
      <c r="G1534" s="91"/>
      <c r="H1534" s="242"/>
      <c r="I1534" s="91"/>
      <c r="J1534" s="234"/>
      <c r="K1534" s="243"/>
      <c r="L1534" s="236"/>
      <c r="M1534" s="236"/>
      <c r="N1534" s="236"/>
      <c r="O1534" s="244"/>
      <c r="P1534" s="244"/>
      <c r="Q1534" s="234"/>
      <c r="R1534" s="234"/>
      <c r="S1534" s="238"/>
      <c r="T1534" s="239"/>
      <c r="U1534" s="238"/>
      <c r="V1534" s="238"/>
      <c r="W1534" s="234"/>
      <c r="X1534" s="234"/>
      <c r="Y1534" s="234"/>
      <c r="Z1534" s="234"/>
      <c r="AA1534" s="234"/>
    </row>
    <row r="1535" ht="15.75" customHeight="1">
      <c r="A1535" s="91"/>
      <c r="B1535" s="91"/>
      <c r="C1535" s="220"/>
      <c r="D1535" s="91"/>
      <c r="E1535" s="221"/>
      <c r="F1535" s="91"/>
      <c r="G1535" s="91"/>
      <c r="H1535" s="242"/>
      <c r="I1535" s="91"/>
      <c r="J1535" s="234"/>
      <c r="K1535" s="243"/>
      <c r="L1535" s="236"/>
      <c r="M1535" s="236"/>
      <c r="N1535" s="236"/>
      <c r="O1535" s="244"/>
      <c r="P1535" s="244"/>
      <c r="Q1535" s="234"/>
      <c r="R1535" s="234"/>
      <c r="S1535" s="238"/>
      <c r="T1535" s="239"/>
      <c r="U1535" s="238"/>
      <c r="V1535" s="238"/>
      <c r="W1535" s="234"/>
      <c r="X1535" s="234"/>
      <c r="Y1535" s="234"/>
      <c r="Z1535" s="234"/>
      <c r="AA1535" s="234"/>
    </row>
    <row r="1536" ht="15.75" customHeight="1">
      <c r="A1536" s="91"/>
      <c r="B1536" s="91"/>
      <c r="C1536" s="220"/>
      <c r="D1536" s="91"/>
      <c r="E1536" s="221"/>
      <c r="F1536" s="91"/>
      <c r="G1536" s="91"/>
      <c r="H1536" s="242"/>
      <c r="I1536" s="91"/>
      <c r="J1536" s="234"/>
      <c r="K1536" s="243"/>
      <c r="L1536" s="236"/>
      <c r="M1536" s="236"/>
      <c r="N1536" s="236"/>
      <c r="O1536" s="244"/>
      <c r="P1536" s="244"/>
      <c r="Q1536" s="234"/>
      <c r="R1536" s="234"/>
      <c r="S1536" s="238"/>
      <c r="T1536" s="239"/>
      <c r="U1536" s="238"/>
      <c r="V1536" s="238"/>
      <c r="W1536" s="234"/>
      <c r="X1536" s="234"/>
      <c r="Y1536" s="234"/>
      <c r="Z1536" s="234"/>
      <c r="AA1536" s="234"/>
    </row>
    <row r="1537" ht="15.75" customHeight="1">
      <c r="A1537" s="91"/>
      <c r="B1537" s="91"/>
      <c r="C1537" s="220"/>
      <c r="D1537" s="91"/>
      <c r="E1537" s="221"/>
      <c r="F1537" s="91"/>
      <c r="G1537" s="91"/>
      <c r="H1537" s="242"/>
      <c r="I1537" s="91"/>
      <c r="J1537" s="234"/>
      <c r="K1537" s="243"/>
      <c r="L1537" s="236"/>
      <c r="M1537" s="236"/>
      <c r="N1537" s="236"/>
      <c r="O1537" s="244"/>
      <c r="P1537" s="244"/>
      <c r="Q1537" s="234"/>
      <c r="R1537" s="234"/>
      <c r="S1537" s="238"/>
      <c r="T1537" s="239"/>
      <c r="U1537" s="238"/>
      <c r="V1537" s="238"/>
      <c r="W1537" s="234"/>
      <c r="X1537" s="234"/>
      <c r="Y1537" s="234"/>
      <c r="Z1537" s="234"/>
      <c r="AA1537" s="234"/>
    </row>
    <row r="1538" ht="15.75" customHeight="1">
      <c r="A1538" s="91"/>
      <c r="B1538" s="91"/>
      <c r="C1538" s="220"/>
      <c r="D1538" s="91"/>
      <c r="E1538" s="221"/>
      <c r="F1538" s="91"/>
      <c r="G1538" s="91"/>
      <c r="H1538" s="242"/>
      <c r="I1538" s="91"/>
      <c r="J1538" s="234"/>
      <c r="K1538" s="243"/>
      <c r="L1538" s="236"/>
      <c r="M1538" s="236"/>
      <c r="N1538" s="236"/>
      <c r="O1538" s="244"/>
      <c r="P1538" s="244"/>
      <c r="Q1538" s="234"/>
      <c r="R1538" s="234"/>
      <c r="S1538" s="238"/>
      <c r="T1538" s="239"/>
      <c r="U1538" s="238"/>
      <c r="V1538" s="238"/>
      <c r="W1538" s="234"/>
      <c r="X1538" s="234"/>
      <c r="Y1538" s="234"/>
      <c r="Z1538" s="234"/>
      <c r="AA1538" s="234"/>
    </row>
    <row r="1539" ht="15.75" customHeight="1">
      <c r="A1539" s="91"/>
      <c r="B1539" s="91"/>
      <c r="C1539" s="220"/>
      <c r="D1539" s="91"/>
      <c r="E1539" s="221"/>
      <c r="F1539" s="91"/>
      <c r="G1539" s="91"/>
      <c r="H1539" s="242"/>
      <c r="I1539" s="91"/>
      <c r="J1539" s="234"/>
      <c r="K1539" s="243"/>
      <c r="L1539" s="236"/>
      <c r="M1539" s="236"/>
      <c r="N1539" s="236"/>
      <c r="O1539" s="244"/>
      <c r="P1539" s="244"/>
      <c r="Q1539" s="234"/>
      <c r="R1539" s="234"/>
      <c r="S1539" s="238"/>
      <c r="T1539" s="239"/>
      <c r="U1539" s="238"/>
      <c r="V1539" s="238"/>
      <c r="W1539" s="234"/>
      <c r="X1539" s="234"/>
      <c r="Y1539" s="234"/>
      <c r="Z1539" s="234"/>
      <c r="AA1539" s="234"/>
    </row>
    <row r="1540" ht="15.75" customHeight="1">
      <c r="A1540" s="91"/>
      <c r="B1540" s="91"/>
      <c r="C1540" s="220"/>
      <c r="D1540" s="91"/>
      <c r="E1540" s="221"/>
      <c r="F1540" s="91"/>
      <c r="G1540" s="91"/>
      <c r="H1540" s="242"/>
      <c r="I1540" s="91"/>
      <c r="J1540" s="234"/>
      <c r="K1540" s="243"/>
      <c r="L1540" s="236"/>
      <c r="M1540" s="236"/>
      <c r="N1540" s="236"/>
      <c r="O1540" s="244"/>
      <c r="P1540" s="244"/>
      <c r="Q1540" s="234"/>
      <c r="R1540" s="234"/>
      <c r="S1540" s="238"/>
      <c r="T1540" s="239"/>
      <c r="U1540" s="238"/>
      <c r="V1540" s="238"/>
      <c r="W1540" s="234"/>
      <c r="X1540" s="234"/>
      <c r="Y1540" s="234"/>
      <c r="Z1540" s="234"/>
      <c r="AA1540" s="234"/>
    </row>
    <row r="1541" ht="15.75" customHeight="1">
      <c r="A1541" s="91"/>
      <c r="B1541" s="91"/>
      <c r="C1541" s="220"/>
      <c r="D1541" s="91"/>
      <c r="E1541" s="221"/>
      <c r="F1541" s="91"/>
      <c r="G1541" s="91"/>
      <c r="H1541" s="242"/>
      <c r="I1541" s="91"/>
      <c r="J1541" s="234"/>
      <c r="K1541" s="243"/>
      <c r="L1541" s="236"/>
      <c r="M1541" s="236"/>
      <c r="N1541" s="236"/>
      <c r="O1541" s="244"/>
      <c r="P1541" s="244"/>
      <c r="Q1541" s="234"/>
      <c r="R1541" s="234"/>
      <c r="S1541" s="238"/>
      <c r="T1541" s="239"/>
      <c r="U1541" s="238"/>
      <c r="V1541" s="238"/>
      <c r="W1541" s="234"/>
      <c r="X1541" s="234"/>
      <c r="Y1541" s="234"/>
      <c r="Z1541" s="234"/>
      <c r="AA1541" s="234"/>
    </row>
    <row r="1542" ht="15.75" customHeight="1">
      <c r="A1542" s="91"/>
      <c r="B1542" s="91"/>
      <c r="C1542" s="220"/>
      <c r="D1542" s="91"/>
      <c r="E1542" s="221"/>
      <c r="F1542" s="91"/>
      <c r="G1542" s="91"/>
      <c r="H1542" s="242"/>
      <c r="I1542" s="91"/>
      <c r="J1542" s="234"/>
      <c r="K1542" s="243"/>
      <c r="L1542" s="236"/>
      <c r="M1542" s="236"/>
      <c r="N1542" s="236"/>
      <c r="O1542" s="244"/>
      <c r="P1542" s="244"/>
      <c r="Q1542" s="234"/>
      <c r="R1542" s="234"/>
      <c r="S1542" s="238"/>
      <c r="T1542" s="239"/>
      <c r="U1542" s="238"/>
      <c r="V1542" s="238"/>
      <c r="W1542" s="234"/>
      <c r="X1542" s="234"/>
      <c r="Y1542" s="234"/>
      <c r="Z1542" s="234"/>
      <c r="AA1542" s="234"/>
    </row>
    <row r="1543" ht="15.75" customHeight="1">
      <c r="A1543" s="91"/>
      <c r="B1543" s="91"/>
      <c r="C1543" s="220"/>
      <c r="D1543" s="91"/>
      <c r="E1543" s="221"/>
      <c r="F1543" s="91"/>
      <c r="G1543" s="91"/>
      <c r="H1543" s="242"/>
      <c r="I1543" s="91"/>
      <c r="J1543" s="234"/>
      <c r="K1543" s="243"/>
      <c r="L1543" s="236"/>
      <c r="M1543" s="236"/>
      <c r="N1543" s="236"/>
      <c r="O1543" s="244"/>
      <c r="P1543" s="244"/>
      <c r="Q1543" s="234"/>
      <c r="R1543" s="234"/>
      <c r="S1543" s="238"/>
      <c r="T1543" s="239"/>
      <c r="U1543" s="238"/>
      <c r="V1543" s="238"/>
      <c r="W1543" s="234"/>
      <c r="X1543" s="234"/>
      <c r="Y1543" s="234"/>
      <c r="Z1543" s="234"/>
      <c r="AA1543" s="234"/>
    </row>
    <row r="1544" ht="15.75" customHeight="1">
      <c r="A1544" s="91"/>
      <c r="B1544" s="91"/>
      <c r="C1544" s="220"/>
      <c r="D1544" s="91"/>
      <c r="E1544" s="221"/>
      <c r="F1544" s="91"/>
      <c r="G1544" s="91"/>
      <c r="H1544" s="242"/>
      <c r="I1544" s="91"/>
      <c r="J1544" s="234"/>
      <c r="K1544" s="243"/>
      <c r="L1544" s="236"/>
      <c r="M1544" s="236"/>
      <c r="N1544" s="236"/>
      <c r="O1544" s="244"/>
      <c r="P1544" s="244"/>
      <c r="Q1544" s="234"/>
      <c r="R1544" s="234"/>
      <c r="S1544" s="238"/>
      <c r="T1544" s="239"/>
      <c r="U1544" s="238"/>
      <c r="V1544" s="238"/>
      <c r="W1544" s="234"/>
      <c r="X1544" s="234"/>
      <c r="Y1544" s="234"/>
      <c r="Z1544" s="234"/>
      <c r="AA1544" s="234"/>
    </row>
    <row r="1545" ht="15.75" customHeight="1">
      <c r="A1545" s="91"/>
      <c r="B1545" s="91"/>
      <c r="C1545" s="220"/>
      <c r="D1545" s="91"/>
      <c r="E1545" s="221"/>
      <c r="F1545" s="91"/>
      <c r="G1545" s="91"/>
      <c r="H1545" s="242"/>
      <c r="I1545" s="91"/>
      <c r="J1545" s="234"/>
      <c r="K1545" s="243"/>
      <c r="L1545" s="236"/>
      <c r="M1545" s="236"/>
      <c r="N1545" s="236"/>
      <c r="O1545" s="244"/>
      <c r="P1545" s="244"/>
      <c r="Q1545" s="234"/>
      <c r="R1545" s="234"/>
      <c r="S1545" s="238"/>
      <c r="T1545" s="239"/>
      <c r="U1545" s="238"/>
      <c r="V1545" s="238"/>
      <c r="W1545" s="234"/>
      <c r="X1545" s="234"/>
      <c r="Y1545" s="234"/>
      <c r="Z1545" s="234"/>
      <c r="AA1545" s="234"/>
    </row>
    <row r="1546" ht="15.75" customHeight="1">
      <c r="A1546" s="91"/>
      <c r="B1546" s="91"/>
      <c r="C1546" s="220"/>
      <c r="D1546" s="91"/>
      <c r="E1546" s="221"/>
      <c r="F1546" s="91"/>
      <c r="G1546" s="91"/>
      <c r="H1546" s="242"/>
      <c r="I1546" s="91"/>
      <c r="J1546" s="234"/>
      <c r="K1546" s="243"/>
      <c r="L1546" s="236"/>
      <c r="M1546" s="236"/>
      <c r="N1546" s="236"/>
      <c r="O1546" s="244"/>
      <c r="P1546" s="244"/>
      <c r="Q1546" s="234"/>
      <c r="R1546" s="234"/>
      <c r="S1546" s="238"/>
      <c r="T1546" s="239"/>
      <c r="U1546" s="238"/>
      <c r="V1546" s="238"/>
      <c r="W1546" s="234"/>
      <c r="X1546" s="234"/>
      <c r="Y1546" s="234"/>
      <c r="Z1546" s="234"/>
      <c r="AA1546" s="234"/>
    </row>
    <row r="1547" ht="15.75" customHeight="1">
      <c r="A1547" s="91"/>
      <c r="B1547" s="91"/>
      <c r="C1547" s="220"/>
      <c r="D1547" s="91"/>
      <c r="E1547" s="221"/>
      <c r="F1547" s="91"/>
      <c r="G1547" s="91"/>
      <c r="H1547" s="242"/>
      <c r="I1547" s="91"/>
      <c r="J1547" s="234"/>
      <c r="K1547" s="243"/>
      <c r="L1547" s="236"/>
      <c r="M1547" s="236"/>
      <c r="N1547" s="236"/>
      <c r="O1547" s="244"/>
      <c r="P1547" s="244"/>
      <c r="Q1547" s="234"/>
      <c r="R1547" s="234"/>
      <c r="S1547" s="238"/>
      <c r="T1547" s="239"/>
      <c r="U1547" s="238"/>
      <c r="V1547" s="238"/>
      <c r="W1547" s="234"/>
      <c r="X1547" s="234"/>
      <c r="Y1547" s="234"/>
      <c r="Z1547" s="234"/>
      <c r="AA1547" s="234"/>
    </row>
    <row r="1548" ht="15.75" customHeight="1">
      <c r="A1548" s="91"/>
      <c r="B1548" s="91"/>
      <c r="C1548" s="220"/>
      <c r="D1548" s="91"/>
      <c r="E1548" s="221"/>
      <c r="F1548" s="91"/>
      <c r="G1548" s="91"/>
      <c r="H1548" s="242"/>
      <c r="I1548" s="91"/>
      <c r="J1548" s="234"/>
      <c r="K1548" s="243"/>
      <c r="L1548" s="236"/>
      <c r="M1548" s="236"/>
      <c r="N1548" s="236"/>
      <c r="O1548" s="244"/>
      <c r="P1548" s="244"/>
      <c r="Q1548" s="234"/>
      <c r="R1548" s="234"/>
      <c r="S1548" s="238"/>
      <c r="T1548" s="239"/>
      <c r="U1548" s="238"/>
      <c r="V1548" s="238"/>
      <c r="W1548" s="234"/>
      <c r="X1548" s="234"/>
      <c r="Y1548" s="234"/>
      <c r="Z1548" s="234"/>
      <c r="AA1548" s="234"/>
    </row>
    <row r="1549" ht="15.75" customHeight="1">
      <c r="A1549" s="91"/>
      <c r="B1549" s="91"/>
      <c r="C1549" s="220"/>
      <c r="D1549" s="91"/>
      <c r="E1549" s="221"/>
      <c r="F1549" s="91"/>
      <c r="G1549" s="91"/>
      <c r="H1549" s="242"/>
      <c r="I1549" s="91"/>
      <c r="J1549" s="234"/>
      <c r="K1549" s="243"/>
      <c r="L1549" s="236"/>
      <c r="M1549" s="236"/>
      <c r="N1549" s="236"/>
      <c r="O1549" s="244"/>
      <c r="P1549" s="244"/>
      <c r="Q1549" s="234"/>
      <c r="R1549" s="234"/>
      <c r="S1549" s="238"/>
      <c r="T1549" s="239"/>
      <c r="U1549" s="238"/>
      <c r="V1549" s="238"/>
      <c r="W1549" s="234"/>
      <c r="X1549" s="234"/>
      <c r="Y1549" s="234"/>
      <c r="Z1549" s="234"/>
      <c r="AA1549" s="234"/>
    </row>
    <row r="1550" ht="15.75" customHeight="1">
      <c r="A1550" s="91"/>
      <c r="B1550" s="91"/>
      <c r="C1550" s="220"/>
      <c r="D1550" s="91"/>
      <c r="E1550" s="221"/>
      <c r="F1550" s="91"/>
      <c r="G1550" s="91"/>
      <c r="H1550" s="242"/>
      <c r="I1550" s="91"/>
      <c r="J1550" s="234"/>
      <c r="K1550" s="243"/>
      <c r="L1550" s="236"/>
      <c r="M1550" s="236"/>
      <c r="N1550" s="236"/>
      <c r="O1550" s="244"/>
      <c r="P1550" s="244"/>
      <c r="Q1550" s="234"/>
      <c r="R1550" s="234"/>
      <c r="S1550" s="238"/>
      <c r="T1550" s="239"/>
      <c r="U1550" s="238"/>
      <c r="V1550" s="238"/>
      <c r="W1550" s="234"/>
      <c r="X1550" s="234"/>
      <c r="Y1550" s="234"/>
      <c r="Z1550" s="234"/>
      <c r="AA1550" s="234"/>
    </row>
    <row r="1551" ht="15.75" customHeight="1">
      <c r="A1551" s="91"/>
      <c r="B1551" s="91"/>
      <c r="C1551" s="220"/>
      <c r="D1551" s="91"/>
      <c r="E1551" s="221"/>
      <c r="F1551" s="91"/>
      <c r="G1551" s="91"/>
      <c r="H1551" s="242"/>
      <c r="I1551" s="91"/>
      <c r="J1551" s="234"/>
      <c r="K1551" s="243"/>
      <c r="L1551" s="236"/>
      <c r="M1551" s="236"/>
      <c r="N1551" s="236"/>
      <c r="O1551" s="244"/>
      <c r="P1551" s="244"/>
      <c r="Q1551" s="234"/>
      <c r="R1551" s="234"/>
      <c r="S1551" s="238"/>
      <c r="T1551" s="239"/>
      <c r="U1551" s="238"/>
      <c r="V1551" s="238"/>
      <c r="W1551" s="234"/>
      <c r="X1551" s="234"/>
      <c r="Y1551" s="234"/>
      <c r="Z1551" s="234"/>
      <c r="AA1551" s="234"/>
    </row>
    <row r="1552" ht="15.75" customHeight="1">
      <c r="A1552" s="91"/>
      <c r="B1552" s="91"/>
      <c r="C1552" s="220"/>
      <c r="D1552" s="91"/>
      <c r="E1552" s="221"/>
      <c r="F1552" s="91"/>
      <c r="G1552" s="91"/>
      <c r="H1552" s="242"/>
      <c r="I1552" s="91"/>
      <c r="J1552" s="234"/>
      <c r="K1552" s="243"/>
      <c r="L1552" s="236"/>
      <c r="M1552" s="236"/>
      <c r="N1552" s="236"/>
      <c r="O1552" s="244"/>
      <c r="P1552" s="244"/>
      <c r="Q1552" s="234"/>
      <c r="R1552" s="234"/>
      <c r="S1552" s="238"/>
      <c r="T1552" s="239"/>
      <c r="U1552" s="238"/>
      <c r="V1552" s="238"/>
      <c r="W1552" s="234"/>
      <c r="X1552" s="234"/>
      <c r="Y1552" s="234"/>
      <c r="Z1552" s="234"/>
      <c r="AA1552" s="234"/>
    </row>
    <row r="1553" ht="15.75" customHeight="1">
      <c r="A1553" s="91"/>
      <c r="B1553" s="91"/>
      <c r="C1553" s="220"/>
      <c r="D1553" s="91"/>
      <c r="E1553" s="221"/>
      <c r="F1553" s="91"/>
      <c r="G1553" s="91"/>
      <c r="H1553" s="242"/>
      <c r="I1553" s="91"/>
      <c r="J1553" s="234"/>
      <c r="K1553" s="243"/>
      <c r="L1553" s="236"/>
      <c r="M1553" s="236"/>
      <c r="N1553" s="236"/>
      <c r="O1553" s="244"/>
      <c r="P1553" s="244"/>
      <c r="Q1553" s="234"/>
      <c r="R1553" s="234"/>
      <c r="S1553" s="238"/>
      <c r="T1553" s="239"/>
      <c r="U1553" s="238"/>
      <c r="V1553" s="238"/>
      <c r="W1553" s="234"/>
      <c r="X1553" s="234"/>
      <c r="Y1553" s="234"/>
      <c r="Z1553" s="234"/>
      <c r="AA1553" s="234"/>
    </row>
    <row r="1554" ht="15.75" customHeight="1">
      <c r="A1554" s="91"/>
      <c r="B1554" s="91"/>
      <c r="C1554" s="220"/>
      <c r="D1554" s="91"/>
      <c r="E1554" s="221"/>
      <c r="F1554" s="91"/>
      <c r="G1554" s="91"/>
      <c r="H1554" s="242"/>
      <c r="I1554" s="91"/>
      <c r="J1554" s="234"/>
      <c r="K1554" s="243"/>
      <c r="L1554" s="236"/>
      <c r="M1554" s="236"/>
      <c r="N1554" s="236"/>
      <c r="O1554" s="244"/>
      <c r="P1554" s="244"/>
      <c r="Q1554" s="234"/>
      <c r="R1554" s="234"/>
      <c r="S1554" s="238"/>
      <c r="T1554" s="239"/>
      <c r="U1554" s="238"/>
      <c r="V1554" s="238"/>
      <c r="W1554" s="234"/>
      <c r="X1554" s="234"/>
      <c r="Y1554" s="234"/>
      <c r="Z1554" s="234"/>
      <c r="AA1554" s="234"/>
    </row>
    <row r="1555" ht="15.75" customHeight="1">
      <c r="A1555" s="91"/>
      <c r="B1555" s="91"/>
      <c r="C1555" s="220"/>
      <c r="D1555" s="91"/>
      <c r="E1555" s="221"/>
      <c r="F1555" s="91"/>
      <c r="G1555" s="91"/>
      <c r="H1555" s="242"/>
      <c r="I1555" s="91"/>
      <c r="J1555" s="234"/>
      <c r="K1555" s="243"/>
      <c r="L1555" s="236"/>
      <c r="M1555" s="236"/>
      <c r="N1555" s="236"/>
      <c r="O1555" s="244"/>
      <c r="P1555" s="244"/>
      <c r="Q1555" s="234"/>
      <c r="R1555" s="234"/>
      <c r="S1555" s="238"/>
      <c r="T1555" s="239"/>
      <c r="U1555" s="238"/>
      <c r="V1555" s="238"/>
      <c r="W1555" s="234"/>
      <c r="X1555" s="234"/>
      <c r="Y1555" s="234"/>
      <c r="Z1555" s="234"/>
      <c r="AA1555" s="234"/>
    </row>
    <row r="1556" ht="15.75" customHeight="1">
      <c r="A1556" s="91"/>
      <c r="B1556" s="91"/>
      <c r="C1556" s="220"/>
      <c r="D1556" s="91"/>
      <c r="E1556" s="221"/>
      <c r="F1556" s="91"/>
      <c r="G1556" s="91"/>
      <c r="H1556" s="242"/>
      <c r="I1556" s="91"/>
      <c r="J1556" s="234"/>
      <c r="K1556" s="243"/>
      <c r="L1556" s="236"/>
      <c r="M1556" s="236"/>
      <c r="N1556" s="236"/>
      <c r="O1556" s="244"/>
      <c r="P1556" s="244"/>
      <c r="Q1556" s="234"/>
      <c r="R1556" s="234"/>
      <c r="S1556" s="238"/>
      <c r="T1556" s="239"/>
      <c r="U1556" s="238"/>
      <c r="V1556" s="238"/>
      <c r="W1556" s="234"/>
      <c r="X1556" s="234"/>
      <c r="Y1556" s="234"/>
      <c r="Z1556" s="234"/>
      <c r="AA1556" s="234"/>
    </row>
    <row r="1557" ht="15.75" customHeight="1">
      <c r="A1557" s="91"/>
      <c r="B1557" s="91"/>
      <c r="C1557" s="220"/>
      <c r="D1557" s="91"/>
      <c r="E1557" s="221"/>
      <c r="F1557" s="91"/>
      <c r="G1557" s="91"/>
      <c r="H1557" s="242"/>
      <c r="I1557" s="91"/>
      <c r="J1557" s="234"/>
      <c r="K1557" s="243"/>
      <c r="L1557" s="236"/>
      <c r="M1557" s="236"/>
      <c r="N1557" s="236"/>
      <c r="O1557" s="244"/>
      <c r="P1557" s="244"/>
      <c r="Q1557" s="234"/>
      <c r="R1557" s="234"/>
      <c r="S1557" s="238"/>
      <c r="T1557" s="239"/>
      <c r="U1557" s="238"/>
      <c r="V1557" s="238"/>
      <c r="W1557" s="234"/>
      <c r="X1557" s="234"/>
      <c r="Y1557" s="234"/>
      <c r="Z1557" s="234"/>
      <c r="AA1557" s="234"/>
    </row>
    <row r="1558" ht="15.75" customHeight="1">
      <c r="A1558" s="91"/>
      <c r="B1558" s="91"/>
      <c r="C1558" s="220"/>
      <c r="D1558" s="91"/>
      <c r="E1558" s="221"/>
      <c r="F1558" s="91"/>
      <c r="G1558" s="91"/>
      <c r="H1558" s="242"/>
      <c r="I1558" s="91"/>
      <c r="J1558" s="234"/>
      <c r="K1558" s="243"/>
      <c r="L1558" s="236"/>
      <c r="M1558" s="236"/>
      <c r="N1558" s="236"/>
      <c r="O1558" s="244"/>
      <c r="P1558" s="244"/>
      <c r="Q1558" s="234"/>
      <c r="R1558" s="234"/>
      <c r="S1558" s="238"/>
      <c r="T1558" s="239"/>
      <c r="U1558" s="238"/>
      <c r="V1558" s="238"/>
      <c r="W1558" s="234"/>
      <c r="X1558" s="234"/>
      <c r="Y1558" s="234"/>
      <c r="Z1558" s="234"/>
      <c r="AA1558" s="234"/>
    </row>
    <row r="1559" ht="15.75" customHeight="1">
      <c r="A1559" s="91"/>
      <c r="B1559" s="91"/>
      <c r="C1559" s="220"/>
      <c r="D1559" s="91"/>
      <c r="E1559" s="221"/>
      <c r="F1559" s="91"/>
      <c r="G1559" s="91"/>
      <c r="H1559" s="242"/>
      <c r="I1559" s="91"/>
      <c r="J1559" s="234"/>
      <c r="K1559" s="243"/>
      <c r="L1559" s="236"/>
      <c r="M1559" s="236"/>
      <c r="N1559" s="236"/>
      <c r="O1559" s="244"/>
      <c r="P1559" s="244"/>
      <c r="Q1559" s="234"/>
      <c r="R1559" s="234"/>
      <c r="S1559" s="238"/>
      <c r="T1559" s="239"/>
      <c r="U1559" s="238"/>
      <c r="V1559" s="238"/>
      <c r="W1559" s="234"/>
      <c r="X1559" s="234"/>
      <c r="Y1559" s="234"/>
      <c r="Z1559" s="234"/>
      <c r="AA1559" s="234"/>
    </row>
    <row r="1560" ht="15.75" customHeight="1">
      <c r="A1560" s="91"/>
      <c r="B1560" s="91"/>
      <c r="C1560" s="220"/>
      <c r="D1560" s="91"/>
      <c r="E1560" s="221"/>
      <c r="F1560" s="91"/>
      <c r="G1560" s="91"/>
      <c r="H1560" s="242"/>
      <c r="I1560" s="91"/>
      <c r="J1560" s="234"/>
      <c r="K1560" s="243"/>
      <c r="L1560" s="236"/>
      <c r="M1560" s="236"/>
      <c r="N1560" s="236"/>
      <c r="O1560" s="244"/>
      <c r="P1560" s="244"/>
      <c r="Q1560" s="234"/>
      <c r="R1560" s="234"/>
      <c r="S1560" s="238"/>
      <c r="T1560" s="239"/>
      <c r="U1560" s="238"/>
      <c r="V1560" s="238"/>
      <c r="W1560" s="234"/>
      <c r="X1560" s="234"/>
      <c r="Y1560" s="234"/>
      <c r="Z1560" s="234"/>
      <c r="AA1560" s="234"/>
    </row>
    <row r="1561" ht="15.75" customHeight="1">
      <c r="A1561" s="91"/>
      <c r="B1561" s="91"/>
      <c r="C1561" s="220"/>
      <c r="D1561" s="91"/>
      <c r="E1561" s="221"/>
      <c r="F1561" s="91"/>
      <c r="G1561" s="91"/>
      <c r="H1561" s="242"/>
      <c r="I1561" s="91"/>
      <c r="J1561" s="234"/>
      <c r="K1561" s="243"/>
      <c r="L1561" s="236"/>
      <c r="M1561" s="236"/>
      <c r="N1561" s="236"/>
      <c r="O1561" s="244"/>
      <c r="P1561" s="244"/>
      <c r="Q1561" s="234"/>
      <c r="R1561" s="234"/>
      <c r="S1561" s="238"/>
      <c r="T1561" s="239"/>
      <c r="U1561" s="238"/>
      <c r="V1561" s="238"/>
      <c r="W1561" s="234"/>
      <c r="X1561" s="234"/>
      <c r="Y1561" s="234"/>
      <c r="Z1561" s="234"/>
      <c r="AA1561" s="234"/>
    </row>
    <row r="1562" ht="15.75" customHeight="1">
      <c r="A1562" s="91"/>
      <c r="B1562" s="91"/>
      <c r="C1562" s="220"/>
      <c r="D1562" s="91"/>
      <c r="E1562" s="221"/>
      <c r="F1562" s="91"/>
      <c r="G1562" s="91"/>
      <c r="H1562" s="242"/>
      <c r="I1562" s="91"/>
      <c r="J1562" s="234"/>
      <c r="K1562" s="243"/>
      <c r="L1562" s="236"/>
      <c r="M1562" s="236"/>
      <c r="N1562" s="236"/>
      <c r="O1562" s="244"/>
      <c r="P1562" s="244"/>
      <c r="Q1562" s="234"/>
      <c r="R1562" s="234"/>
      <c r="S1562" s="238"/>
      <c r="T1562" s="239"/>
      <c r="U1562" s="238"/>
      <c r="V1562" s="238"/>
      <c r="W1562" s="234"/>
      <c r="X1562" s="234"/>
      <c r="Y1562" s="234"/>
      <c r="Z1562" s="234"/>
      <c r="AA1562" s="234"/>
    </row>
    <row r="1563" ht="15.75" customHeight="1">
      <c r="A1563" s="91"/>
      <c r="B1563" s="91"/>
      <c r="C1563" s="220"/>
      <c r="D1563" s="91"/>
      <c r="E1563" s="221"/>
      <c r="F1563" s="91"/>
      <c r="G1563" s="91"/>
      <c r="H1563" s="242"/>
      <c r="I1563" s="91"/>
      <c r="J1563" s="234"/>
      <c r="K1563" s="243"/>
      <c r="L1563" s="236"/>
      <c r="M1563" s="236"/>
      <c r="N1563" s="236"/>
      <c r="O1563" s="244"/>
      <c r="P1563" s="244"/>
      <c r="Q1563" s="234"/>
      <c r="R1563" s="234"/>
      <c r="S1563" s="238"/>
      <c r="T1563" s="239"/>
      <c r="U1563" s="238"/>
      <c r="V1563" s="238"/>
      <c r="W1563" s="234"/>
      <c r="X1563" s="234"/>
      <c r="Y1563" s="234"/>
      <c r="Z1563" s="234"/>
      <c r="AA1563" s="234"/>
    </row>
    <row r="1564" ht="15.75" customHeight="1">
      <c r="A1564" s="91"/>
      <c r="B1564" s="91"/>
      <c r="C1564" s="220"/>
      <c r="D1564" s="91"/>
      <c r="E1564" s="221"/>
      <c r="F1564" s="91"/>
      <c r="G1564" s="91"/>
      <c r="H1564" s="242"/>
      <c r="I1564" s="91"/>
      <c r="J1564" s="234"/>
      <c r="K1564" s="243"/>
      <c r="L1564" s="236"/>
      <c r="M1564" s="236"/>
      <c r="N1564" s="236"/>
      <c r="O1564" s="244"/>
      <c r="P1564" s="244"/>
      <c r="Q1564" s="234"/>
      <c r="R1564" s="234"/>
      <c r="S1564" s="238"/>
      <c r="T1564" s="239"/>
      <c r="U1564" s="238"/>
      <c r="V1564" s="238"/>
      <c r="W1564" s="234"/>
      <c r="X1564" s="234"/>
      <c r="Y1564" s="234"/>
      <c r="Z1564" s="234"/>
      <c r="AA1564" s="234"/>
    </row>
    <row r="1565" ht="15.75" customHeight="1">
      <c r="A1565" s="91"/>
      <c r="B1565" s="91"/>
      <c r="C1565" s="220"/>
      <c r="D1565" s="91"/>
      <c r="E1565" s="221"/>
      <c r="F1565" s="91"/>
      <c r="G1565" s="91"/>
      <c r="H1565" s="242"/>
      <c r="I1565" s="91"/>
      <c r="J1565" s="234"/>
      <c r="K1565" s="243"/>
      <c r="L1565" s="236"/>
      <c r="M1565" s="236"/>
      <c r="N1565" s="236"/>
      <c r="O1565" s="244"/>
      <c r="P1565" s="244"/>
      <c r="Q1565" s="234"/>
      <c r="R1565" s="234"/>
      <c r="S1565" s="238"/>
      <c r="T1565" s="239"/>
      <c r="U1565" s="238"/>
      <c r="V1565" s="238"/>
      <c r="W1565" s="234"/>
      <c r="X1565" s="234"/>
      <c r="Y1565" s="234"/>
      <c r="Z1565" s="234"/>
      <c r="AA1565" s="234"/>
    </row>
    <row r="1566" ht="15.75" customHeight="1">
      <c r="A1566" s="91"/>
      <c r="B1566" s="91"/>
      <c r="C1566" s="220"/>
      <c r="D1566" s="91"/>
      <c r="E1566" s="221"/>
      <c r="F1566" s="91"/>
      <c r="G1566" s="91"/>
      <c r="H1566" s="242"/>
      <c r="I1566" s="91"/>
      <c r="J1566" s="234"/>
      <c r="K1566" s="243"/>
      <c r="L1566" s="236"/>
      <c r="M1566" s="236"/>
      <c r="N1566" s="236"/>
      <c r="O1566" s="244"/>
      <c r="P1566" s="244"/>
      <c r="Q1566" s="234"/>
      <c r="R1566" s="234"/>
      <c r="S1566" s="238"/>
      <c r="T1566" s="239"/>
      <c r="U1566" s="238"/>
      <c r="V1566" s="238"/>
      <c r="W1566" s="234"/>
      <c r="X1566" s="234"/>
      <c r="Y1566" s="234"/>
      <c r="Z1566" s="234"/>
      <c r="AA1566" s="234"/>
    </row>
    <row r="1567" ht="15.75" customHeight="1">
      <c r="A1567" s="91"/>
      <c r="B1567" s="91"/>
      <c r="C1567" s="220"/>
      <c r="D1567" s="91"/>
      <c r="E1567" s="221"/>
      <c r="F1567" s="91"/>
      <c r="G1567" s="91"/>
      <c r="H1567" s="242"/>
      <c r="I1567" s="91"/>
      <c r="J1567" s="234"/>
      <c r="K1567" s="243"/>
      <c r="L1567" s="236"/>
      <c r="M1567" s="236"/>
      <c r="N1567" s="236"/>
      <c r="O1567" s="244"/>
      <c r="P1567" s="244"/>
      <c r="Q1567" s="234"/>
      <c r="R1567" s="234"/>
      <c r="S1567" s="238"/>
      <c r="T1567" s="239"/>
      <c r="U1567" s="238"/>
      <c r="V1567" s="238"/>
      <c r="W1567" s="234"/>
      <c r="X1567" s="234"/>
      <c r="Y1567" s="234"/>
      <c r="Z1567" s="234"/>
      <c r="AA1567" s="234"/>
    </row>
    <row r="1568" ht="15.75" customHeight="1">
      <c r="A1568" s="91"/>
      <c r="B1568" s="91"/>
      <c r="C1568" s="220"/>
      <c r="D1568" s="91"/>
      <c r="E1568" s="221"/>
      <c r="F1568" s="91"/>
      <c r="G1568" s="91"/>
      <c r="H1568" s="242"/>
      <c r="I1568" s="91"/>
      <c r="J1568" s="234"/>
      <c r="K1568" s="243"/>
      <c r="L1568" s="236"/>
      <c r="M1568" s="236"/>
      <c r="N1568" s="236"/>
      <c r="O1568" s="244"/>
      <c r="P1568" s="244"/>
      <c r="Q1568" s="234"/>
      <c r="R1568" s="234"/>
      <c r="S1568" s="238"/>
      <c r="T1568" s="239"/>
      <c r="U1568" s="238"/>
      <c r="V1568" s="238"/>
      <c r="W1568" s="234"/>
      <c r="X1568" s="234"/>
      <c r="Y1568" s="234"/>
      <c r="Z1568" s="234"/>
      <c r="AA1568" s="234"/>
    </row>
    <row r="1569" ht="15.75" customHeight="1">
      <c r="A1569" s="91"/>
      <c r="B1569" s="91"/>
      <c r="C1569" s="220"/>
      <c r="D1569" s="91"/>
      <c r="E1569" s="221"/>
      <c r="F1569" s="91"/>
      <c r="G1569" s="91"/>
      <c r="H1569" s="242"/>
      <c r="I1569" s="91"/>
      <c r="J1569" s="234"/>
      <c r="K1569" s="243"/>
      <c r="L1569" s="236"/>
      <c r="M1569" s="236"/>
      <c r="N1569" s="236"/>
      <c r="O1569" s="244"/>
      <c r="P1569" s="244"/>
      <c r="Q1569" s="234"/>
      <c r="R1569" s="234"/>
      <c r="S1569" s="238"/>
      <c r="T1569" s="239"/>
      <c r="U1569" s="238"/>
      <c r="V1569" s="238"/>
      <c r="W1569" s="234"/>
      <c r="X1569" s="234"/>
      <c r="Y1569" s="234"/>
      <c r="Z1569" s="234"/>
      <c r="AA1569" s="234"/>
    </row>
    <row r="1570" ht="15.75" customHeight="1">
      <c r="A1570" s="91"/>
      <c r="B1570" s="91"/>
      <c r="C1570" s="220"/>
      <c r="D1570" s="91"/>
      <c r="E1570" s="221"/>
      <c r="F1570" s="91"/>
      <c r="G1570" s="91"/>
      <c r="H1570" s="242"/>
      <c r="I1570" s="91"/>
      <c r="J1570" s="234"/>
      <c r="K1570" s="243"/>
      <c r="L1570" s="236"/>
      <c r="M1570" s="236"/>
      <c r="N1570" s="236"/>
      <c r="O1570" s="244"/>
      <c r="P1570" s="244"/>
      <c r="Q1570" s="234"/>
      <c r="R1570" s="234"/>
      <c r="S1570" s="238"/>
      <c r="T1570" s="239"/>
      <c r="U1570" s="238"/>
      <c r="V1570" s="238"/>
      <c r="W1570" s="234"/>
      <c r="X1570" s="234"/>
      <c r="Y1570" s="234"/>
      <c r="Z1570" s="234"/>
      <c r="AA1570" s="234"/>
    </row>
    <row r="1571" ht="15.75" customHeight="1">
      <c r="A1571" s="91"/>
      <c r="B1571" s="91"/>
      <c r="C1571" s="220"/>
      <c r="D1571" s="91"/>
      <c r="E1571" s="221"/>
      <c r="F1571" s="91"/>
      <c r="G1571" s="91"/>
      <c r="H1571" s="242"/>
      <c r="I1571" s="91"/>
      <c r="J1571" s="234"/>
      <c r="K1571" s="243"/>
      <c r="L1571" s="236"/>
      <c r="M1571" s="236"/>
      <c r="N1571" s="236"/>
      <c r="O1571" s="244"/>
      <c r="P1571" s="244"/>
      <c r="Q1571" s="234"/>
      <c r="R1571" s="234"/>
      <c r="S1571" s="238"/>
      <c r="T1571" s="239"/>
      <c r="U1571" s="238"/>
      <c r="V1571" s="238"/>
      <c r="W1571" s="234"/>
      <c r="X1571" s="234"/>
      <c r="Y1571" s="234"/>
      <c r="Z1571" s="234"/>
      <c r="AA1571" s="234"/>
    </row>
    <row r="1572" ht="15.75" customHeight="1">
      <c r="A1572" s="91"/>
      <c r="B1572" s="91"/>
      <c r="C1572" s="220"/>
      <c r="D1572" s="91"/>
      <c r="E1572" s="221"/>
      <c r="F1572" s="91"/>
      <c r="G1572" s="91"/>
      <c r="H1572" s="242"/>
      <c r="I1572" s="91"/>
      <c r="J1572" s="234"/>
      <c r="K1572" s="243"/>
      <c r="L1572" s="236"/>
      <c r="M1572" s="236"/>
      <c r="N1572" s="236"/>
      <c r="O1572" s="244"/>
      <c r="P1572" s="244"/>
      <c r="Q1572" s="234"/>
      <c r="R1572" s="234"/>
      <c r="S1572" s="238"/>
      <c r="T1572" s="239"/>
      <c r="U1572" s="238"/>
      <c r="V1572" s="238"/>
      <c r="W1572" s="234"/>
      <c r="X1572" s="234"/>
      <c r="Y1572" s="234"/>
      <c r="Z1572" s="234"/>
      <c r="AA1572" s="234"/>
    </row>
    <row r="1573" ht="15.75" customHeight="1">
      <c r="A1573" s="91"/>
      <c r="B1573" s="91"/>
      <c r="C1573" s="220"/>
      <c r="D1573" s="91"/>
      <c r="E1573" s="221"/>
      <c r="F1573" s="91"/>
      <c r="G1573" s="91"/>
      <c r="H1573" s="242"/>
      <c r="I1573" s="91"/>
      <c r="J1573" s="234"/>
      <c r="K1573" s="243"/>
      <c r="L1573" s="236"/>
      <c r="M1573" s="236"/>
      <c r="N1573" s="236"/>
      <c r="O1573" s="244"/>
      <c r="P1573" s="244"/>
      <c r="Q1573" s="234"/>
      <c r="R1573" s="234"/>
      <c r="S1573" s="238"/>
      <c r="T1573" s="239"/>
      <c r="U1573" s="238"/>
      <c r="V1573" s="238"/>
      <c r="W1573" s="234"/>
      <c r="X1573" s="234"/>
      <c r="Y1573" s="234"/>
      <c r="Z1573" s="234"/>
      <c r="AA1573" s="234"/>
    </row>
    <row r="1574" ht="15.75" customHeight="1">
      <c r="A1574" s="91"/>
      <c r="B1574" s="91"/>
      <c r="C1574" s="220"/>
      <c r="D1574" s="91"/>
      <c r="E1574" s="221"/>
      <c r="F1574" s="91"/>
      <c r="G1574" s="91"/>
      <c r="H1574" s="242"/>
      <c r="I1574" s="91"/>
      <c r="J1574" s="234"/>
      <c r="K1574" s="243"/>
      <c r="L1574" s="236"/>
      <c r="M1574" s="236"/>
      <c r="N1574" s="236"/>
      <c r="O1574" s="244"/>
      <c r="P1574" s="244"/>
      <c r="Q1574" s="234"/>
      <c r="R1574" s="234"/>
      <c r="S1574" s="238"/>
      <c r="T1574" s="239"/>
      <c r="U1574" s="238"/>
      <c r="V1574" s="238"/>
      <c r="W1574" s="234"/>
      <c r="X1574" s="234"/>
      <c r="Y1574" s="234"/>
      <c r="Z1574" s="234"/>
      <c r="AA1574" s="234"/>
    </row>
    <row r="1575" ht="15.75" customHeight="1">
      <c r="A1575" s="91"/>
      <c r="B1575" s="91"/>
      <c r="C1575" s="220"/>
      <c r="D1575" s="91"/>
      <c r="E1575" s="221"/>
      <c r="F1575" s="91"/>
      <c r="G1575" s="91"/>
      <c r="H1575" s="242"/>
      <c r="I1575" s="91"/>
      <c r="J1575" s="234"/>
      <c r="K1575" s="243"/>
      <c r="L1575" s="236"/>
      <c r="M1575" s="236"/>
      <c r="N1575" s="236"/>
      <c r="O1575" s="244"/>
      <c r="P1575" s="244"/>
      <c r="Q1575" s="234"/>
      <c r="R1575" s="234"/>
      <c r="S1575" s="238"/>
      <c r="T1575" s="239"/>
      <c r="U1575" s="238"/>
      <c r="V1575" s="238"/>
      <c r="W1575" s="234"/>
      <c r="X1575" s="234"/>
      <c r="Y1575" s="234"/>
      <c r="Z1575" s="234"/>
      <c r="AA1575" s="234"/>
    </row>
    <row r="1576" ht="15.75" customHeight="1">
      <c r="A1576" s="91"/>
      <c r="B1576" s="91"/>
      <c r="C1576" s="220"/>
      <c r="D1576" s="91"/>
      <c r="E1576" s="221"/>
      <c r="F1576" s="91"/>
      <c r="G1576" s="91"/>
      <c r="H1576" s="242"/>
      <c r="I1576" s="91"/>
      <c r="J1576" s="234"/>
      <c r="K1576" s="243"/>
      <c r="L1576" s="236"/>
      <c r="M1576" s="236"/>
      <c r="N1576" s="236"/>
      <c r="O1576" s="244"/>
      <c r="P1576" s="244"/>
      <c r="Q1576" s="234"/>
      <c r="R1576" s="234"/>
      <c r="S1576" s="238"/>
      <c r="T1576" s="239"/>
      <c r="U1576" s="238"/>
      <c r="V1576" s="238"/>
      <c r="W1576" s="234"/>
      <c r="X1576" s="234"/>
      <c r="Y1576" s="234"/>
      <c r="Z1576" s="234"/>
      <c r="AA1576" s="234"/>
    </row>
    <row r="1577" ht="15.75" customHeight="1">
      <c r="A1577" s="91"/>
      <c r="B1577" s="91"/>
      <c r="C1577" s="220"/>
      <c r="D1577" s="91"/>
      <c r="E1577" s="221"/>
      <c r="F1577" s="91"/>
      <c r="G1577" s="91"/>
      <c r="H1577" s="242"/>
      <c r="I1577" s="91"/>
      <c r="J1577" s="234"/>
      <c r="K1577" s="243"/>
      <c r="L1577" s="236"/>
      <c r="M1577" s="236"/>
      <c r="N1577" s="236"/>
      <c r="O1577" s="244"/>
      <c r="P1577" s="244"/>
      <c r="Q1577" s="234"/>
      <c r="R1577" s="234"/>
      <c r="S1577" s="238"/>
      <c r="T1577" s="239"/>
      <c r="U1577" s="238"/>
      <c r="V1577" s="238"/>
      <c r="W1577" s="234"/>
      <c r="X1577" s="234"/>
      <c r="Y1577" s="234"/>
      <c r="Z1577" s="234"/>
      <c r="AA1577" s="234"/>
    </row>
    <row r="1578" ht="15.75" customHeight="1">
      <c r="A1578" s="91"/>
      <c r="B1578" s="91"/>
      <c r="C1578" s="220"/>
      <c r="D1578" s="91"/>
      <c r="E1578" s="221"/>
      <c r="F1578" s="91"/>
      <c r="G1578" s="91"/>
      <c r="H1578" s="242"/>
      <c r="I1578" s="91"/>
      <c r="J1578" s="234"/>
      <c r="K1578" s="243"/>
      <c r="L1578" s="236"/>
      <c r="M1578" s="236"/>
      <c r="N1578" s="236"/>
      <c r="O1578" s="244"/>
      <c r="P1578" s="244"/>
      <c r="Q1578" s="234"/>
      <c r="R1578" s="234"/>
      <c r="S1578" s="238"/>
      <c r="T1578" s="239"/>
      <c r="U1578" s="238"/>
      <c r="V1578" s="238"/>
      <c r="W1578" s="234"/>
      <c r="X1578" s="234"/>
      <c r="Y1578" s="234"/>
      <c r="Z1578" s="234"/>
      <c r="AA1578" s="234"/>
    </row>
    <row r="1579" ht="15.75" customHeight="1">
      <c r="A1579" s="91"/>
      <c r="B1579" s="91"/>
      <c r="C1579" s="220"/>
      <c r="D1579" s="91"/>
      <c r="E1579" s="221"/>
      <c r="F1579" s="91"/>
      <c r="G1579" s="91"/>
      <c r="H1579" s="242"/>
      <c r="I1579" s="91"/>
      <c r="J1579" s="234"/>
      <c r="K1579" s="243"/>
      <c r="L1579" s="236"/>
      <c r="M1579" s="236"/>
      <c r="N1579" s="236"/>
      <c r="O1579" s="244"/>
      <c r="P1579" s="244"/>
      <c r="Q1579" s="234"/>
      <c r="R1579" s="234"/>
      <c r="S1579" s="238"/>
      <c r="T1579" s="239"/>
      <c r="U1579" s="238"/>
      <c r="V1579" s="238"/>
      <c r="W1579" s="234"/>
      <c r="X1579" s="234"/>
      <c r="Y1579" s="234"/>
      <c r="Z1579" s="234"/>
      <c r="AA1579" s="234"/>
    </row>
    <row r="1580" ht="15.75" customHeight="1">
      <c r="A1580" s="91"/>
      <c r="B1580" s="91"/>
      <c r="C1580" s="220"/>
      <c r="D1580" s="91"/>
      <c r="E1580" s="221"/>
      <c r="F1580" s="91"/>
      <c r="G1580" s="91"/>
      <c r="H1580" s="242"/>
      <c r="I1580" s="91"/>
      <c r="J1580" s="234"/>
      <c r="K1580" s="243"/>
      <c r="L1580" s="236"/>
      <c r="M1580" s="236"/>
      <c r="N1580" s="236"/>
      <c r="O1580" s="244"/>
      <c r="P1580" s="244"/>
      <c r="Q1580" s="234"/>
      <c r="R1580" s="234"/>
      <c r="S1580" s="238"/>
      <c r="T1580" s="239"/>
      <c r="U1580" s="238"/>
      <c r="V1580" s="238"/>
      <c r="W1580" s="234"/>
      <c r="X1580" s="234"/>
      <c r="Y1580" s="234"/>
      <c r="Z1580" s="234"/>
      <c r="AA1580" s="234"/>
    </row>
    <row r="1581" ht="15.75" customHeight="1">
      <c r="A1581" s="91"/>
      <c r="B1581" s="91"/>
      <c r="C1581" s="220"/>
      <c r="D1581" s="91"/>
      <c r="E1581" s="221"/>
      <c r="F1581" s="91"/>
      <c r="G1581" s="91"/>
      <c r="H1581" s="242"/>
      <c r="I1581" s="91"/>
      <c r="J1581" s="234"/>
      <c r="K1581" s="243"/>
      <c r="L1581" s="236"/>
      <c r="M1581" s="236"/>
      <c r="N1581" s="236"/>
      <c r="O1581" s="244"/>
      <c r="P1581" s="244"/>
      <c r="Q1581" s="234"/>
      <c r="R1581" s="234"/>
      <c r="S1581" s="238"/>
      <c r="T1581" s="239"/>
      <c r="U1581" s="238"/>
      <c r="V1581" s="238"/>
      <c r="W1581" s="234"/>
      <c r="X1581" s="234"/>
      <c r="Y1581" s="234"/>
      <c r="Z1581" s="234"/>
      <c r="AA1581" s="234"/>
    </row>
    <row r="1582" ht="15.75" customHeight="1">
      <c r="A1582" s="91"/>
      <c r="B1582" s="91"/>
      <c r="C1582" s="220"/>
      <c r="D1582" s="91"/>
      <c r="E1582" s="221"/>
      <c r="F1582" s="91"/>
      <c r="G1582" s="91"/>
      <c r="H1582" s="242"/>
      <c r="I1582" s="91"/>
      <c r="J1582" s="234"/>
      <c r="K1582" s="243"/>
      <c r="L1582" s="236"/>
      <c r="M1582" s="236"/>
      <c r="N1582" s="236"/>
      <c r="O1582" s="244"/>
      <c r="P1582" s="244"/>
      <c r="Q1582" s="234"/>
      <c r="R1582" s="234"/>
      <c r="S1582" s="238"/>
      <c r="T1582" s="239"/>
      <c r="U1582" s="238"/>
      <c r="V1582" s="238"/>
      <c r="W1582" s="234"/>
      <c r="X1582" s="234"/>
      <c r="Y1582" s="234"/>
      <c r="Z1582" s="234"/>
      <c r="AA1582" s="234"/>
    </row>
    <row r="1583" ht="15.75" customHeight="1">
      <c r="A1583" s="91"/>
      <c r="B1583" s="91"/>
      <c r="C1583" s="220"/>
      <c r="D1583" s="91"/>
      <c r="E1583" s="221"/>
      <c r="F1583" s="91"/>
      <c r="G1583" s="91"/>
      <c r="H1583" s="242"/>
      <c r="I1583" s="91"/>
      <c r="J1583" s="234"/>
      <c r="K1583" s="243"/>
      <c r="L1583" s="236"/>
      <c r="M1583" s="236"/>
      <c r="N1583" s="236"/>
      <c r="O1583" s="244"/>
      <c r="P1583" s="244"/>
      <c r="Q1583" s="234"/>
      <c r="R1583" s="234"/>
      <c r="S1583" s="238"/>
      <c r="T1583" s="239"/>
      <c r="U1583" s="238"/>
      <c r="V1583" s="238"/>
      <c r="W1583" s="234"/>
      <c r="X1583" s="234"/>
      <c r="Y1583" s="234"/>
      <c r="Z1583" s="234"/>
      <c r="AA1583" s="234"/>
    </row>
    <row r="1584" ht="15.75" customHeight="1">
      <c r="A1584" s="91"/>
      <c r="B1584" s="91"/>
      <c r="C1584" s="220"/>
      <c r="D1584" s="91"/>
      <c r="E1584" s="221"/>
      <c r="F1584" s="91"/>
      <c r="G1584" s="91"/>
      <c r="H1584" s="242"/>
      <c r="I1584" s="91"/>
      <c r="J1584" s="234"/>
      <c r="K1584" s="243"/>
      <c r="L1584" s="236"/>
      <c r="M1584" s="236"/>
      <c r="N1584" s="236"/>
      <c r="O1584" s="244"/>
      <c r="P1584" s="244"/>
      <c r="Q1584" s="234"/>
      <c r="R1584" s="234"/>
      <c r="S1584" s="238"/>
      <c r="T1584" s="239"/>
      <c r="U1584" s="238"/>
      <c r="V1584" s="238"/>
      <c r="W1584" s="234"/>
      <c r="X1584" s="234"/>
      <c r="Y1584" s="234"/>
      <c r="Z1584" s="234"/>
      <c r="AA1584" s="234"/>
    </row>
    <row r="1585" ht="15.75" customHeight="1">
      <c r="A1585" s="91"/>
      <c r="B1585" s="91"/>
      <c r="C1585" s="220"/>
      <c r="D1585" s="91"/>
      <c r="E1585" s="221"/>
      <c r="F1585" s="91"/>
      <c r="G1585" s="91"/>
      <c r="H1585" s="242"/>
      <c r="I1585" s="91"/>
      <c r="J1585" s="234"/>
      <c r="K1585" s="243"/>
      <c r="L1585" s="236"/>
      <c r="M1585" s="236"/>
      <c r="N1585" s="236"/>
      <c r="O1585" s="244"/>
      <c r="P1585" s="244"/>
      <c r="Q1585" s="234"/>
      <c r="R1585" s="234"/>
      <c r="S1585" s="238"/>
      <c r="T1585" s="239"/>
      <c r="U1585" s="238"/>
      <c r="V1585" s="238"/>
      <c r="W1585" s="234"/>
      <c r="X1585" s="234"/>
      <c r="Y1585" s="234"/>
      <c r="Z1585" s="234"/>
      <c r="AA1585" s="234"/>
    </row>
    <row r="1586" ht="15.75" customHeight="1">
      <c r="A1586" s="91"/>
      <c r="B1586" s="91"/>
      <c r="C1586" s="220"/>
      <c r="D1586" s="91"/>
      <c r="E1586" s="221"/>
      <c r="F1586" s="91"/>
      <c r="G1586" s="91"/>
      <c r="H1586" s="242"/>
      <c r="I1586" s="91"/>
      <c r="J1586" s="234"/>
      <c r="K1586" s="243"/>
      <c r="L1586" s="236"/>
      <c r="M1586" s="236"/>
      <c r="N1586" s="236"/>
      <c r="O1586" s="244"/>
      <c r="P1586" s="244"/>
      <c r="Q1586" s="234"/>
      <c r="R1586" s="234"/>
      <c r="S1586" s="238"/>
      <c r="T1586" s="239"/>
      <c r="U1586" s="238"/>
      <c r="V1586" s="238"/>
      <c r="W1586" s="234"/>
      <c r="X1586" s="234"/>
      <c r="Y1586" s="234"/>
      <c r="Z1586" s="234"/>
      <c r="AA1586" s="234"/>
    </row>
    <row r="1587" ht="15.75" customHeight="1">
      <c r="A1587" s="91"/>
      <c r="B1587" s="91"/>
      <c r="C1587" s="220"/>
      <c r="D1587" s="91"/>
      <c r="E1587" s="221"/>
      <c r="F1587" s="91"/>
      <c r="G1587" s="91"/>
      <c r="H1587" s="242"/>
      <c r="I1587" s="91"/>
      <c r="J1587" s="234"/>
      <c r="K1587" s="243"/>
      <c r="L1587" s="236"/>
      <c r="M1587" s="236"/>
      <c r="N1587" s="236"/>
      <c r="O1587" s="244"/>
      <c r="P1587" s="244"/>
      <c r="Q1587" s="234"/>
      <c r="R1587" s="234"/>
      <c r="S1587" s="238"/>
      <c r="T1587" s="239"/>
      <c r="U1587" s="238"/>
      <c r="V1587" s="238"/>
      <c r="W1587" s="234"/>
      <c r="X1587" s="234"/>
      <c r="Y1587" s="234"/>
      <c r="Z1587" s="234"/>
      <c r="AA1587" s="234"/>
    </row>
    <row r="1588" ht="15.75" customHeight="1">
      <c r="A1588" s="91"/>
      <c r="B1588" s="91"/>
      <c r="C1588" s="220"/>
      <c r="D1588" s="91"/>
      <c r="E1588" s="221"/>
      <c r="F1588" s="91"/>
      <c r="G1588" s="91"/>
      <c r="H1588" s="242"/>
      <c r="I1588" s="91"/>
      <c r="J1588" s="234"/>
      <c r="K1588" s="243"/>
      <c r="L1588" s="236"/>
      <c r="M1588" s="236"/>
      <c r="N1588" s="236"/>
      <c r="O1588" s="244"/>
      <c r="P1588" s="244"/>
      <c r="Q1588" s="234"/>
      <c r="R1588" s="234"/>
      <c r="S1588" s="238"/>
      <c r="T1588" s="239"/>
      <c r="U1588" s="238"/>
      <c r="V1588" s="238"/>
      <c r="W1588" s="234"/>
      <c r="X1588" s="234"/>
      <c r="Y1588" s="234"/>
      <c r="Z1588" s="234"/>
      <c r="AA1588" s="234"/>
    </row>
    <row r="1589" ht="15.75" customHeight="1">
      <c r="A1589" s="91"/>
      <c r="B1589" s="91"/>
      <c r="C1589" s="220"/>
      <c r="D1589" s="91"/>
      <c r="E1589" s="221"/>
      <c r="F1589" s="91"/>
      <c r="G1589" s="91"/>
      <c r="H1589" s="242"/>
      <c r="I1589" s="91"/>
      <c r="J1589" s="234"/>
      <c r="K1589" s="243"/>
      <c r="L1589" s="236"/>
      <c r="M1589" s="236"/>
      <c r="N1589" s="236"/>
      <c r="O1589" s="244"/>
      <c r="P1589" s="244"/>
      <c r="Q1589" s="234"/>
      <c r="R1589" s="234"/>
      <c r="S1589" s="238"/>
      <c r="T1589" s="239"/>
      <c r="U1589" s="238"/>
      <c r="V1589" s="238"/>
      <c r="W1589" s="234"/>
      <c r="X1589" s="234"/>
      <c r="Y1589" s="234"/>
      <c r="Z1589" s="234"/>
      <c r="AA1589" s="234"/>
    </row>
    <row r="1590" ht="15.75" customHeight="1">
      <c r="A1590" s="91"/>
      <c r="B1590" s="91"/>
      <c r="C1590" s="220"/>
      <c r="D1590" s="91"/>
      <c r="E1590" s="221"/>
      <c r="F1590" s="91"/>
      <c r="G1590" s="91"/>
      <c r="H1590" s="242"/>
      <c r="I1590" s="91"/>
      <c r="J1590" s="234"/>
      <c r="K1590" s="243"/>
      <c r="L1590" s="236"/>
      <c r="M1590" s="236"/>
      <c r="N1590" s="236"/>
      <c r="O1590" s="244"/>
      <c r="P1590" s="244"/>
      <c r="Q1590" s="234"/>
      <c r="R1590" s="234"/>
      <c r="S1590" s="238"/>
      <c r="T1590" s="239"/>
      <c r="U1590" s="238"/>
      <c r="V1590" s="238"/>
      <c r="W1590" s="234"/>
      <c r="X1590" s="234"/>
      <c r="Y1590" s="234"/>
      <c r="Z1590" s="234"/>
      <c r="AA1590" s="234"/>
    </row>
    <row r="1591" ht="15.75" customHeight="1">
      <c r="A1591" s="91"/>
      <c r="B1591" s="91"/>
      <c r="C1591" s="220"/>
      <c r="D1591" s="91"/>
      <c r="E1591" s="221"/>
      <c r="F1591" s="91"/>
      <c r="G1591" s="91"/>
      <c r="H1591" s="242"/>
      <c r="I1591" s="91"/>
      <c r="J1591" s="234"/>
      <c r="K1591" s="243"/>
      <c r="L1591" s="236"/>
      <c r="M1591" s="236"/>
      <c r="N1591" s="236"/>
      <c r="O1591" s="244"/>
      <c r="P1591" s="244"/>
      <c r="Q1591" s="234"/>
      <c r="R1591" s="234"/>
      <c r="S1591" s="238"/>
      <c r="T1591" s="239"/>
      <c r="U1591" s="238"/>
      <c r="V1591" s="238"/>
      <c r="W1591" s="234"/>
      <c r="X1591" s="234"/>
      <c r="Y1591" s="234"/>
      <c r="Z1591" s="234"/>
      <c r="AA1591" s="234"/>
    </row>
    <row r="1592" ht="15.75" customHeight="1">
      <c r="A1592" s="91"/>
      <c r="B1592" s="91"/>
      <c r="C1592" s="220"/>
      <c r="D1592" s="91"/>
      <c r="E1592" s="221"/>
      <c r="F1592" s="91"/>
      <c r="G1592" s="91"/>
      <c r="H1592" s="242"/>
      <c r="I1592" s="91"/>
      <c r="J1592" s="234"/>
      <c r="K1592" s="243"/>
      <c r="L1592" s="236"/>
      <c r="M1592" s="236"/>
      <c r="N1592" s="236"/>
      <c r="O1592" s="244"/>
      <c r="P1592" s="244"/>
      <c r="Q1592" s="234"/>
      <c r="R1592" s="234"/>
      <c r="S1592" s="238"/>
      <c r="T1592" s="239"/>
      <c r="U1592" s="238"/>
      <c r="V1592" s="238"/>
      <c r="W1592" s="234"/>
      <c r="X1592" s="234"/>
      <c r="Y1592" s="234"/>
      <c r="Z1592" s="234"/>
      <c r="AA1592" s="234"/>
    </row>
    <row r="1593" ht="15.75" customHeight="1">
      <c r="A1593" s="91"/>
      <c r="B1593" s="91"/>
      <c r="C1593" s="220"/>
      <c r="D1593" s="91"/>
      <c r="E1593" s="221"/>
      <c r="F1593" s="91"/>
      <c r="G1593" s="91"/>
      <c r="H1593" s="242"/>
      <c r="I1593" s="91"/>
      <c r="J1593" s="234"/>
      <c r="K1593" s="243"/>
      <c r="L1593" s="236"/>
      <c r="M1593" s="236"/>
      <c r="N1593" s="236"/>
      <c r="O1593" s="244"/>
      <c r="P1593" s="244"/>
      <c r="Q1593" s="234"/>
      <c r="R1593" s="234"/>
      <c r="S1593" s="238"/>
      <c r="T1593" s="239"/>
      <c r="U1593" s="238"/>
      <c r="V1593" s="238"/>
      <c r="W1593" s="234"/>
      <c r="X1593" s="234"/>
      <c r="Y1593" s="234"/>
      <c r="Z1593" s="234"/>
      <c r="AA1593" s="234"/>
    </row>
    <row r="1594" ht="15.75" customHeight="1">
      <c r="A1594" s="91"/>
      <c r="B1594" s="91"/>
      <c r="C1594" s="220"/>
      <c r="D1594" s="91"/>
      <c r="E1594" s="221"/>
      <c r="F1594" s="91"/>
      <c r="G1594" s="91"/>
      <c r="H1594" s="242"/>
      <c r="I1594" s="91"/>
      <c r="J1594" s="234"/>
      <c r="K1594" s="243"/>
      <c r="L1594" s="236"/>
      <c r="M1594" s="236"/>
      <c r="N1594" s="236"/>
      <c r="O1594" s="244"/>
      <c r="P1594" s="244"/>
      <c r="Q1594" s="234"/>
      <c r="R1594" s="234"/>
      <c r="S1594" s="238"/>
      <c r="T1594" s="239"/>
      <c r="U1594" s="238"/>
      <c r="V1594" s="238"/>
      <c r="W1594" s="234"/>
      <c r="X1594" s="234"/>
      <c r="Y1594" s="234"/>
      <c r="Z1594" s="234"/>
      <c r="AA1594" s="234"/>
    </row>
    <row r="1595" ht="15.75" customHeight="1">
      <c r="A1595" s="91"/>
      <c r="B1595" s="91"/>
      <c r="C1595" s="220"/>
      <c r="D1595" s="91"/>
      <c r="E1595" s="221"/>
      <c r="F1595" s="91"/>
      <c r="G1595" s="91"/>
      <c r="H1595" s="242"/>
      <c r="I1595" s="91"/>
      <c r="J1595" s="234"/>
      <c r="K1595" s="243"/>
      <c r="L1595" s="236"/>
      <c r="M1595" s="236"/>
      <c r="N1595" s="236"/>
      <c r="O1595" s="244"/>
      <c r="P1595" s="244"/>
      <c r="Q1595" s="234"/>
      <c r="R1595" s="234"/>
      <c r="S1595" s="238"/>
      <c r="T1595" s="239"/>
      <c r="U1595" s="238"/>
      <c r="V1595" s="238"/>
      <c r="W1595" s="234"/>
      <c r="X1595" s="234"/>
      <c r="Y1595" s="234"/>
      <c r="Z1595" s="234"/>
      <c r="AA1595" s="234"/>
    </row>
    <row r="1596" ht="15.75" customHeight="1">
      <c r="A1596" s="91"/>
      <c r="B1596" s="91"/>
      <c r="C1596" s="220"/>
      <c r="D1596" s="91"/>
      <c r="E1596" s="221"/>
      <c r="F1596" s="91"/>
      <c r="G1596" s="91"/>
      <c r="H1596" s="242"/>
      <c r="I1596" s="91"/>
      <c r="J1596" s="234"/>
      <c r="K1596" s="243"/>
      <c r="L1596" s="236"/>
      <c r="M1596" s="236"/>
      <c r="N1596" s="236"/>
      <c r="O1596" s="244"/>
      <c r="P1596" s="244"/>
      <c r="Q1596" s="234"/>
      <c r="R1596" s="234"/>
      <c r="S1596" s="238"/>
      <c r="T1596" s="239"/>
      <c r="U1596" s="238"/>
      <c r="V1596" s="238"/>
      <c r="W1596" s="234"/>
      <c r="X1596" s="234"/>
      <c r="Y1596" s="234"/>
      <c r="Z1596" s="234"/>
      <c r="AA1596" s="234"/>
    </row>
    <row r="1597" ht="15.75" customHeight="1">
      <c r="A1597" s="91"/>
      <c r="B1597" s="91"/>
      <c r="C1597" s="220"/>
      <c r="D1597" s="91"/>
      <c r="E1597" s="221"/>
      <c r="F1597" s="91"/>
      <c r="G1597" s="91"/>
      <c r="H1597" s="242"/>
      <c r="I1597" s="91"/>
      <c r="J1597" s="234"/>
      <c r="K1597" s="243"/>
      <c r="L1597" s="236"/>
      <c r="M1597" s="236"/>
      <c r="N1597" s="236"/>
      <c r="O1597" s="244"/>
      <c r="P1597" s="244"/>
      <c r="Q1597" s="234"/>
      <c r="R1597" s="234"/>
      <c r="S1597" s="238"/>
      <c r="T1597" s="239"/>
      <c r="U1597" s="238"/>
      <c r="V1597" s="238"/>
      <c r="W1597" s="234"/>
      <c r="X1597" s="234"/>
      <c r="Y1597" s="234"/>
      <c r="Z1597" s="234"/>
      <c r="AA1597" s="234"/>
    </row>
    <row r="1598" ht="15.75" customHeight="1">
      <c r="A1598" s="91"/>
      <c r="B1598" s="91"/>
      <c r="C1598" s="220"/>
      <c r="D1598" s="91"/>
      <c r="E1598" s="221"/>
      <c r="F1598" s="91"/>
      <c r="G1598" s="91"/>
      <c r="H1598" s="242"/>
      <c r="I1598" s="91"/>
      <c r="J1598" s="234"/>
      <c r="K1598" s="243"/>
      <c r="L1598" s="236"/>
      <c r="M1598" s="236"/>
      <c r="N1598" s="236"/>
      <c r="O1598" s="244"/>
      <c r="P1598" s="244"/>
      <c r="Q1598" s="234"/>
      <c r="R1598" s="234"/>
      <c r="S1598" s="238"/>
      <c r="T1598" s="239"/>
      <c r="U1598" s="238"/>
      <c r="V1598" s="238"/>
      <c r="W1598" s="234"/>
      <c r="X1598" s="234"/>
      <c r="Y1598" s="234"/>
      <c r="Z1598" s="234"/>
      <c r="AA1598" s="234"/>
    </row>
    <row r="1599" ht="15.75" customHeight="1">
      <c r="A1599" s="91"/>
      <c r="B1599" s="91"/>
      <c r="C1599" s="220"/>
      <c r="D1599" s="91"/>
      <c r="E1599" s="221"/>
      <c r="F1599" s="91"/>
      <c r="G1599" s="91"/>
      <c r="H1599" s="242"/>
      <c r="I1599" s="91"/>
      <c r="J1599" s="234"/>
      <c r="K1599" s="243"/>
      <c r="L1599" s="236"/>
      <c r="M1599" s="236"/>
      <c r="N1599" s="236"/>
      <c r="O1599" s="244"/>
      <c r="P1599" s="244"/>
      <c r="Q1599" s="234"/>
      <c r="R1599" s="234"/>
      <c r="S1599" s="238"/>
      <c r="T1599" s="239"/>
      <c r="U1599" s="238"/>
      <c r="V1599" s="238"/>
      <c r="W1599" s="234"/>
      <c r="X1599" s="234"/>
      <c r="Y1599" s="234"/>
      <c r="Z1599" s="234"/>
      <c r="AA1599" s="234"/>
    </row>
    <row r="1600" ht="15.75" customHeight="1">
      <c r="A1600" s="91"/>
      <c r="B1600" s="91"/>
      <c r="C1600" s="220"/>
      <c r="D1600" s="91"/>
      <c r="E1600" s="221"/>
      <c r="F1600" s="91"/>
      <c r="G1600" s="91"/>
      <c r="H1600" s="242"/>
      <c r="I1600" s="91"/>
      <c r="J1600" s="234"/>
      <c r="K1600" s="243"/>
      <c r="L1600" s="236"/>
      <c r="M1600" s="236"/>
      <c r="N1600" s="236"/>
      <c r="O1600" s="244"/>
      <c r="P1600" s="244"/>
      <c r="Q1600" s="234"/>
      <c r="R1600" s="234"/>
      <c r="S1600" s="238"/>
      <c r="T1600" s="239"/>
      <c r="U1600" s="238"/>
      <c r="V1600" s="238"/>
      <c r="W1600" s="234"/>
      <c r="X1600" s="234"/>
      <c r="Y1600" s="234"/>
      <c r="Z1600" s="234"/>
      <c r="AA1600" s="234"/>
    </row>
    <row r="1601" ht="15.75" customHeight="1">
      <c r="A1601" s="91"/>
      <c r="B1601" s="91"/>
      <c r="C1601" s="220"/>
      <c r="D1601" s="91"/>
      <c r="E1601" s="221"/>
      <c r="F1601" s="91"/>
      <c r="G1601" s="91"/>
      <c r="H1601" s="242"/>
      <c r="I1601" s="91"/>
      <c r="J1601" s="234"/>
      <c r="K1601" s="243"/>
      <c r="L1601" s="236"/>
      <c r="M1601" s="236"/>
      <c r="N1601" s="236"/>
      <c r="O1601" s="244"/>
      <c r="P1601" s="244"/>
      <c r="Q1601" s="234"/>
      <c r="R1601" s="234"/>
      <c r="S1601" s="238"/>
      <c r="T1601" s="239"/>
      <c r="U1601" s="238"/>
      <c r="V1601" s="238"/>
      <c r="W1601" s="234"/>
      <c r="X1601" s="234"/>
      <c r="Y1601" s="234"/>
      <c r="Z1601" s="234"/>
      <c r="AA1601" s="234"/>
    </row>
    <row r="1602" ht="15.75" customHeight="1">
      <c r="A1602" s="91"/>
      <c r="B1602" s="91"/>
      <c r="C1602" s="220"/>
      <c r="D1602" s="91"/>
      <c r="E1602" s="221"/>
      <c r="F1602" s="91"/>
      <c r="G1602" s="91"/>
      <c r="H1602" s="242"/>
      <c r="I1602" s="91"/>
      <c r="J1602" s="234"/>
      <c r="K1602" s="243"/>
      <c r="L1602" s="236"/>
      <c r="M1602" s="236"/>
      <c r="N1602" s="236"/>
      <c r="O1602" s="244"/>
      <c r="P1602" s="244"/>
      <c r="Q1602" s="234"/>
      <c r="R1602" s="234"/>
      <c r="S1602" s="238"/>
      <c r="T1602" s="239"/>
      <c r="U1602" s="238"/>
      <c r="V1602" s="238"/>
      <c r="W1602" s="234"/>
      <c r="X1602" s="234"/>
      <c r="Y1602" s="234"/>
      <c r="Z1602" s="234"/>
      <c r="AA1602" s="234"/>
    </row>
    <row r="1603" ht="15.75" customHeight="1">
      <c r="A1603" s="91"/>
      <c r="B1603" s="91"/>
      <c r="C1603" s="220"/>
      <c r="D1603" s="91"/>
      <c r="E1603" s="221"/>
      <c r="F1603" s="91"/>
      <c r="G1603" s="91"/>
      <c r="H1603" s="242"/>
      <c r="I1603" s="91"/>
      <c r="J1603" s="234"/>
      <c r="K1603" s="243"/>
      <c r="L1603" s="236"/>
      <c r="M1603" s="236"/>
      <c r="N1603" s="236"/>
      <c r="O1603" s="244"/>
      <c r="P1603" s="244"/>
      <c r="Q1603" s="234"/>
      <c r="R1603" s="234"/>
      <c r="S1603" s="238"/>
      <c r="T1603" s="239"/>
      <c r="U1603" s="238"/>
      <c r="V1603" s="238"/>
      <c r="W1603" s="234"/>
      <c r="X1603" s="234"/>
      <c r="Y1603" s="234"/>
      <c r="Z1603" s="234"/>
      <c r="AA1603" s="234"/>
    </row>
    <row r="1604" ht="15.75" customHeight="1">
      <c r="A1604" s="91"/>
      <c r="B1604" s="91"/>
      <c r="C1604" s="220"/>
      <c r="D1604" s="91"/>
      <c r="E1604" s="221"/>
      <c r="F1604" s="91"/>
      <c r="G1604" s="91"/>
      <c r="H1604" s="242"/>
      <c r="I1604" s="91"/>
      <c r="J1604" s="234"/>
      <c r="K1604" s="243"/>
      <c r="L1604" s="236"/>
      <c r="M1604" s="236"/>
      <c r="N1604" s="236"/>
      <c r="O1604" s="244"/>
      <c r="P1604" s="244"/>
      <c r="Q1604" s="234"/>
      <c r="R1604" s="234"/>
      <c r="S1604" s="238"/>
      <c r="T1604" s="239"/>
      <c r="U1604" s="238"/>
      <c r="V1604" s="238"/>
      <c r="W1604" s="234"/>
      <c r="X1604" s="234"/>
      <c r="Y1604" s="234"/>
      <c r="Z1604" s="234"/>
      <c r="AA1604" s="234"/>
    </row>
    <row r="1605" ht="15.75" customHeight="1">
      <c r="A1605" s="91"/>
      <c r="B1605" s="91"/>
      <c r="C1605" s="220"/>
      <c r="D1605" s="91"/>
      <c r="E1605" s="221"/>
      <c r="F1605" s="91"/>
      <c r="G1605" s="91"/>
      <c r="H1605" s="242"/>
      <c r="I1605" s="91"/>
      <c r="J1605" s="234"/>
      <c r="K1605" s="243"/>
      <c r="L1605" s="236"/>
      <c r="M1605" s="236"/>
      <c r="N1605" s="236"/>
      <c r="O1605" s="244"/>
      <c r="P1605" s="244"/>
      <c r="Q1605" s="234"/>
      <c r="R1605" s="234"/>
      <c r="S1605" s="238"/>
      <c r="T1605" s="239"/>
      <c r="U1605" s="238"/>
      <c r="V1605" s="238"/>
      <c r="W1605" s="234"/>
      <c r="X1605" s="234"/>
      <c r="Y1605" s="234"/>
      <c r="Z1605" s="234"/>
      <c r="AA1605" s="234"/>
    </row>
    <row r="1606" ht="15.75" customHeight="1">
      <c r="A1606" s="91"/>
      <c r="B1606" s="91"/>
      <c r="C1606" s="220"/>
      <c r="D1606" s="91"/>
      <c r="E1606" s="221"/>
      <c r="F1606" s="91"/>
      <c r="G1606" s="91"/>
      <c r="H1606" s="242"/>
      <c r="I1606" s="91"/>
      <c r="J1606" s="234"/>
      <c r="K1606" s="243"/>
      <c r="L1606" s="236"/>
      <c r="M1606" s="236"/>
      <c r="N1606" s="236"/>
      <c r="O1606" s="244"/>
      <c r="P1606" s="244"/>
      <c r="Q1606" s="234"/>
      <c r="R1606" s="234"/>
      <c r="S1606" s="238"/>
      <c r="T1606" s="239"/>
      <c r="U1606" s="238"/>
      <c r="V1606" s="238"/>
      <c r="W1606" s="234"/>
      <c r="X1606" s="234"/>
      <c r="Y1606" s="234"/>
      <c r="Z1606" s="234"/>
      <c r="AA1606" s="234"/>
    </row>
    <row r="1607" ht="15.75" customHeight="1">
      <c r="A1607" s="91"/>
      <c r="B1607" s="91"/>
      <c r="C1607" s="220"/>
      <c r="D1607" s="91"/>
      <c r="E1607" s="221"/>
      <c r="F1607" s="91"/>
      <c r="G1607" s="91"/>
      <c r="H1607" s="242"/>
      <c r="I1607" s="91"/>
      <c r="J1607" s="234"/>
      <c r="K1607" s="243"/>
      <c r="L1607" s="236"/>
      <c r="M1607" s="236"/>
      <c r="N1607" s="236"/>
      <c r="O1607" s="244"/>
      <c r="P1607" s="244"/>
      <c r="Q1607" s="234"/>
      <c r="R1607" s="234"/>
      <c r="S1607" s="238"/>
      <c r="T1607" s="239"/>
      <c r="U1607" s="238"/>
      <c r="V1607" s="238"/>
      <c r="W1607" s="234"/>
      <c r="X1607" s="234"/>
      <c r="Y1607" s="234"/>
      <c r="Z1607" s="234"/>
      <c r="AA1607" s="234"/>
    </row>
    <row r="1608" ht="15.75" customHeight="1">
      <c r="A1608" s="91"/>
      <c r="B1608" s="91"/>
      <c r="C1608" s="220"/>
      <c r="D1608" s="91"/>
      <c r="E1608" s="221"/>
      <c r="F1608" s="91"/>
      <c r="G1608" s="91"/>
      <c r="H1608" s="242"/>
      <c r="I1608" s="91"/>
      <c r="J1608" s="234"/>
      <c r="K1608" s="243"/>
      <c r="L1608" s="236"/>
      <c r="M1608" s="236"/>
      <c r="N1608" s="236"/>
      <c r="O1608" s="244"/>
      <c r="P1608" s="244"/>
      <c r="Q1608" s="234"/>
      <c r="R1608" s="234"/>
      <c r="S1608" s="238"/>
      <c r="T1608" s="239"/>
      <c r="U1608" s="238"/>
      <c r="V1608" s="238"/>
      <c r="W1608" s="234"/>
      <c r="X1608" s="234"/>
      <c r="Y1608" s="234"/>
      <c r="Z1608" s="234"/>
      <c r="AA1608" s="234"/>
    </row>
    <row r="1609" ht="15.75" customHeight="1">
      <c r="A1609" s="91"/>
      <c r="B1609" s="91"/>
      <c r="C1609" s="220"/>
      <c r="D1609" s="91"/>
      <c r="E1609" s="221"/>
      <c r="F1609" s="91"/>
      <c r="G1609" s="91"/>
      <c r="H1609" s="242"/>
      <c r="I1609" s="91"/>
      <c r="J1609" s="234"/>
      <c r="K1609" s="243"/>
      <c r="L1609" s="236"/>
      <c r="M1609" s="236"/>
      <c r="N1609" s="236"/>
      <c r="O1609" s="244"/>
      <c r="P1609" s="244"/>
      <c r="Q1609" s="234"/>
      <c r="R1609" s="234"/>
      <c r="S1609" s="238"/>
      <c r="T1609" s="239"/>
      <c r="U1609" s="238"/>
      <c r="V1609" s="238"/>
      <c r="W1609" s="234"/>
      <c r="X1609" s="234"/>
      <c r="Y1609" s="234"/>
      <c r="Z1609" s="234"/>
      <c r="AA1609" s="234"/>
    </row>
    <row r="1610" ht="15.75" customHeight="1">
      <c r="A1610" s="91"/>
      <c r="B1610" s="91"/>
      <c r="C1610" s="220"/>
      <c r="D1610" s="91"/>
      <c r="E1610" s="221"/>
      <c r="F1610" s="91"/>
      <c r="G1610" s="91"/>
      <c r="H1610" s="242"/>
      <c r="I1610" s="91"/>
      <c r="J1610" s="234"/>
      <c r="K1610" s="243"/>
      <c r="L1610" s="236"/>
      <c r="M1610" s="236"/>
      <c r="N1610" s="236"/>
      <c r="O1610" s="244"/>
      <c r="P1610" s="244"/>
      <c r="Q1610" s="234"/>
      <c r="R1610" s="234"/>
      <c r="S1610" s="238"/>
      <c r="T1610" s="239"/>
      <c r="U1610" s="238"/>
      <c r="V1610" s="238"/>
      <c r="W1610" s="234"/>
      <c r="X1610" s="234"/>
      <c r="Y1610" s="234"/>
      <c r="Z1610" s="234"/>
      <c r="AA1610" s="234"/>
    </row>
    <row r="1611" ht="15.75" customHeight="1">
      <c r="A1611" s="91"/>
      <c r="B1611" s="91"/>
      <c r="C1611" s="220"/>
      <c r="D1611" s="91"/>
      <c r="E1611" s="221"/>
      <c r="F1611" s="91"/>
      <c r="G1611" s="91"/>
      <c r="H1611" s="242"/>
      <c r="I1611" s="91"/>
      <c r="J1611" s="234"/>
      <c r="K1611" s="243"/>
      <c r="L1611" s="236"/>
      <c r="M1611" s="236"/>
      <c r="N1611" s="236"/>
      <c r="O1611" s="244"/>
      <c r="P1611" s="244"/>
      <c r="Q1611" s="234"/>
      <c r="R1611" s="234"/>
      <c r="S1611" s="238"/>
      <c r="T1611" s="239"/>
      <c r="U1611" s="238"/>
      <c r="V1611" s="238"/>
      <c r="W1611" s="234"/>
      <c r="X1611" s="234"/>
      <c r="Y1611" s="234"/>
      <c r="Z1611" s="234"/>
      <c r="AA1611" s="234"/>
    </row>
    <row r="1612" ht="15.75" customHeight="1">
      <c r="A1612" s="91"/>
      <c r="B1612" s="91"/>
      <c r="C1612" s="220"/>
      <c r="D1612" s="91"/>
      <c r="E1612" s="221"/>
      <c r="F1612" s="91"/>
      <c r="G1612" s="91"/>
      <c r="H1612" s="242"/>
      <c r="I1612" s="91"/>
      <c r="J1612" s="234"/>
      <c r="K1612" s="243"/>
      <c r="L1612" s="236"/>
      <c r="M1612" s="236"/>
      <c r="N1612" s="236"/>
      <c r="O1612" s="244"/>
      <c r="P1612" s="244"/>
      <c r="Q1612" s="234"/>
      <c r="R1612" s="234"/>
      <c r="S1612" s="238"/>
      <c r="T1612" s="239"/>
      <c r="U1612" s="238"/>
      <c r="V1612" s="238"/>
      <c r="W1612" s="234"/>
      <c r="X1612" s="234"/>
      <c r="Y1612" s="234"/>
      <c r="Z1612" s="234"/>
      <c r="AA1612" s="234"/>
    </row>
    <row r="1613" ht="15.75" customHeight="1">
      <c r="A1613" s="91"/>
      <c r="B1613" s="91"/>
      <c r="C1613" s="220"/>
      <c r="D1613" s="91"/>
      <c r="E1613" s="221"/>
      <c r="F1613" s="91"/>
      <c r="G1613" s="91"/>
      <c r="H1613" s="242"/>
      <c r="I1613" s="91"/>
      <c r="J1613" s="234"/>
      <c r="K1613" s="243"/>
      <c r="L1613" s="236"/>
      <c r="M1613" s="236"/>
      <c r="N1613" s="236"/>
      <c r="O1613" s="244"/>
      <c r="P1613" s="244"/>
      <c r="Q1613" s="234"/>
      <c r="R1613" s="234"/>
      <c r="S1613" s="238"/>
      <c r="T1613" s="239"/>
      <c r="U1613" s="238"/>
      <c r="V1613" s="238"/>
      <c r="W1613" s="234"/>
      <c r="X1613" s="234"/>
      <c r="Y1613" s="234"/>
      <c r="Z1613" s="234"/>
      <c r="AA1613" s="234"/>
    </row>
    <row r="1614" ht="15.75" customHeight="1">
      <c r="A1614" s="91"/>
      <c r="B1614" s="91"/>
      <c r="C1614" s="220"/>
      <c r="D1614" s="91"/>
      <c r="E1614" s="221"/>
      <c r="F1614" s="91"/>
      <c r="G1614" s="91"/>
      <c r="H1614" s="242"/>
      <c r="I1614" s="91"/>
      <c r="J1614" s="234"/>
      <c r="K1614" s="243"/>
      <c r="L1614" s="236"/>
      <c r="M1614" s="236"/>
      <c r="N1614" s="236"/>
      <c r="O1614" s="244"/>
      <c r="P1614" s="244"/>
      <c r="Q1614" s="234"/>
      <c r="R1614" s="234"/>
      <c r="S1614" s="238"/>
      <c r="T1614" s="239"/>
      <c r="U1614" s="238"/>
      <c r="V1614" s="238"/>
      <c r="W1614" s="234"/>
      <c r="X1614" s="234"/>
      <c r="Y1614" s="234"/>
      <c r="Z1614" s="234"/>
      <c r="AA1614" s="234"/>
    </row>
    <row r="1615" ht="15.75" customHeight="1">
      <c r="A1615" s="91"/>
      <c r="B1615" s="91"/>
      <c r="C1615" s="220"/>
      <c r="D1615" s="91"/>
      <c r="E1615" s="221"/>
      <c r="F1615" s="91"/>
      <c r="G1615" s="91"/>
      <c r="H1615" s="242"/>
      <c r="I1615" s="91"/>
      <c r="J1615" s="234"/>
      <c r="K1615" s="243"/>
      <c r="L1615" s="236"/>
      <c r="M1615" s="236"/>
      <c r="N1615" s="236"/>
      <c r="O1615" s="244"/>
      <c r="P1615" s="244"/>
      <c r="Q1615" s="234"/>
      <c r="R1615" s="234"/>
      <c r="S1615" s="238"/>
      <c r="T1615" s="239"/>
      <c r="U1615" s="238"/>
      <c r="V1615" s="238"/>
      <c r="W1615" s="234"/>
      <c r="X1615" s="234"/>
      <c r="Y1615" s="234"/>
      <c r="Z1615" s="234"/>
      <c r="AA1615" s="234"/>
    </row>
    <row r="1616" ht="15.75" customHeight="1">
      <c r="A1616" s="91"/>
      <c r="B1616" s="91"/>
      <c r="C1616" s="220"/>
      <c r="D1616" s="91"/>
      <c r="E1616" s="221"/>
      <c r="F1616" s="91"/>
      <c r="G1616" s="91"/>
      <c r="H1616" s="242"/>
      <c r="I1616" s="91"/>
      <c r="J1616" s="234"/>
      <c r="K1616" s="243"/>
      <c r="L1616" s="236"/>
      <c r="M1616" s="236"/>
      <c r="N1616" s="236"/>
      <c r="O1616" s="244"/>
      <c r="P1616" s="244"/>
      <c r="Q1616" s="234"/>
      <c r="R1616" s="234"/>
      <c r="S1616" s="238"/>
      <c r="T1616" s="239"/>
      <c r="U1616" s="238"/>
      <c r="V1616" s="238"/>
      <c r="W1616" s="234"/>
      <c r="X1616" s="234"/>
      <c r="Y1616" s="234"/>
      <c r="Z1616" s="234"/>
      <c r="AA1616" s="234"/>
    </row>
    <row r="1617" ht="15.75" customHeight="1">
      <c r="A1617" s="91"/>
      <c r="B1617" s="91"/>
      <c r="C1617" s="220"/>
      <c r="D1617" s="91"/>
      <c r="E1617" s="221"/>
      <c r="F1617" s="91"/>
      <c r="G1617" s="91"/>
      <c r="H1617" s="242"/>
      <c r="I1617" s="91"/>
      <c r="J1617" s="234"/>
      <c r="K1617" s="243"/>
      <c r="L1617" s="236"/>
      <c r="M1617" s="236"/>
      <c r="N1617" s="236"/>
      <c r="O1617" s="244"/>
      <c r="P1617" s="244"/>
      <c r="Q1617" s="234"/>
      <c r="R1617" s="234"/>
      <c r="S1617" s="238"/>
      <c r="T1617" s="239"/>
      <c r="U1617" s="238"/>
      <c r="V1617" s="238"/>
      <c r="W1617" s="234"/>
      <c r="X1617" s="234"/>
      <c r="Y1617" s="234"/>
      <c r="Z1617" s="234"/>
      <c r="AA1617" s="234"/>
    </row>
    <row r="1618" ht="15.75" customHeight="1">
      <c r="A1618" s="91"/>
      <c r="B1618" s="91"/>
      <c r="C1618" s="220"/>
      <c r="D1618" s="91"/>
      <c r="E1618" s="221"/>
      <c r="F1618" s="91"/>
      <c r="G1618" s="91"/>
      <c r="H1618" s="242"/>
      <c r="I1618" s="91"/>
      <c r="J1618" s="234"/>
      <c r="K1618" s="243"/>
      <c r="L1618" s="236"/>
      <c r="M1618" s="236"/>
      <c r="N1618" s="236"/>
      <c r="O1618" s="244"/>
      <c r="P1618" s="244"/>
      <c r="Q1618" s="234"/>
      <c r="R1618" s="234"/>
      <c r="S1618" s="238"/>
      <c r="T1618" s="239"/>
      <c r="U1618" s="238"/>
      <c r="V1618" s="238"/>
      <c r="W1618" s="234"/>
      <c r="X1618" s="234"/>
      <c r="Y1618" s="234"/>
      <c r="Z1618" s="234"/>
      <c r="AA1618" s="234"/>
    </row>
    <row r="1619" ht="15.75" customHeight="1">
      <c r="A1619" s="91"/>
      <c r="B1619" s="91"/>
      <c r="C1619" s="220"/>
      <c r="D1619" s="91"/>
      <c r="E1619" s="221"/>
      <c r="F1619" s="91"/>
      <c r="G1619" s="91"/>
      <c r="H1619" s="242"/>
      <c r="I1619" s="91"/>
      <c r="J1619" s="234"/>
      <c r="K1619" s="243"/>
      <c r="L1619" s="236"/>
      <c r="M1619" s="236"/>
      <c r="N1619" s="236"/>
      <c r="O1619" s="244"/>
      <c r="P1619" s="244"/>
      <c r="Q1619" s="234"/>
      <c r="R1619" s="234"/>
      <c r="S1619" s="238"/>
      <c r="T1619" s="239"/>
      <c r="U1619" s="238"/>
      <c r="V1619" s="238"/>
      <c r="W1619" s="234"/>
      <c r="X1619" s="234"/>
      <c r="Y1619" s="234"/>
      <c r="Z1619" s="234"/>
      <c r="AA1619" s="234"/>
    </row>
    <row r="1620" ht="15.75" customHeight="1">
      <c r="A1620" s="91"/>
      <c r="B1620" s="91"/>
      <c r="C1620" s="220"/>
      <c r="D1620" s="91"/>
      <c r="E1620" s="221"/>
      <c r="F1620" s="91"/>
      <c r="G1620" s="91"/>
      <c r="H1620" s="242"/>
      <c r="I1620" s="91"/>
      <c r="J1620" s="234"/>
      <c r="K1620" s="243"/>
      <c r="L1620" s="236"/>
      <c r="M1620" s="236"/>
      <c r="N1620" s="236"/>
      <c r="O1620" s="244"/>
      <c r="P1620" s="244"/>
      <c r="Q1620" s="234"/>
      <c r="R1620" s="234"/>
      <c r="S1620" s="238"/>
      <c r="T1620" s="239"/>
      <c r="U1620" s="238"/>
      <c r="V1620" s="238"/>
      <c r="W1620" s="234"/>
      <c r="X1620" s="234"/>
      <c r="Y1620" s="234"/>
      <c r="Z1620" s="234"/>
      <c r="AA1620" s="234"/>
    </row>
    <row r="1621" ht="15.75" customHeight="1">
      <c r="A1621" s="91"/>
      <c r="B1621" s="91"/>
      <c r="C1621" s="220"/>
      <c r="D1621" s="91"/>
      <c r="E1621" s="221"/>
      <c r="F1621" s="91"/>
      <c r="G1621" s="91"/>
      <c r="H1621" s="242"/>
      <c r="I1621" s="91"/>
      <c r="J1621" s="234"/>
      <c r="K1621" s="243"/>
      <c r="L1621" s="236"/>
      <c r="M1621" s="236"/>
      <c r="N1621" s="236"/>
      <c r="O1621" s="244"/>
      <c r="P1621" s="244"/>
      <c r="Q1621" s="234"/>
      <c r="R1621" s="234"/>
      <c r="S1621" s="238"/>
      <c r="T1621" s="239"/>
      <c r="U1621" s="238"/>
      <c r="V1621" s="238"/>
      <c r="W1621" s="234"/>
      <c r="X1621" s="234"/>
      <c r="Y1621" s="234"/>
      <c r="Z1621" s="234"/>
      <c r="AA1621" s="234"/>
    </row>
    <row r="1622" ht="15.75" customHeight="1">
      <c r="A1622" s="91"/>
      <c r="B1622" s="91"/>
      <c r="C1622" s="220"/>
      <c r="D1622" s="91"/>
      <c r="E1622" s="221"/>
      <c r="F1622" s="91"/>
      <c r="G1622" s="91"/>
      <c r="H1622" s="242"/>
      <c r="I1622" s="91"/>
      <c r="J1622" s="234"/>
      <c r="K1622" s="243"/>
      <c r="L1622" s="236"/>
      <c r="M1622" s="236"/>
      <c r="N1622" s="236"/>
      <c r="O1622" s="244"/>
      <c r="P1622" s="244"/>
      <c r="Q1622" s="234"/>
      <c r="R1622" s="234"/>
      <c r="S1622" s="238"/>
      <c r="T1622" s="239"/>
      <c r="U1622" s="238"/>
      <c r="V1622" s="238"/>
      <c r="W1622" s="234"/>
      <c r="X1622" s="234"/>
      <c r="Y1622" s="234"/>
      <c r="Z1622" s="234"/>
      <c r="AA1622" s="234"/>
    </row>
    <row r="1623" ht="15.75" customHeight="1">
      <c r="A1623" s="91"/>
      <c r="B1623" s="91"/>
      <c r="C1623" s="220"/>
      <c r="D1623" s="91"/>
      <c r="E1623" s="221"/>
      <c r="F1623" s="91"/>
      <c r="G1623" s="91"/>
      <c r="H1623" s="242"/>
      <c r="I1623" s="91"/>
      <c r="J1623" s="234"/>
      <c r="K1623" s="243"/>
      <c r="L1623" s="236"/>
      <c r="M1623" s="236"/>
      <c r="N1623" s="236"/>
      <c r="O1623" s="244"/>
      <c r="P1623" s="244"/>
      <c r="Q1623" s="234"/>
      <c r="R1623" s="234"/>
      <c r="S1623" s="238"/>
      <c r="T1623" s="239"/>
      <c r="U1623" s="238"/>
      <c r="V1623" s="238"/>
      <c r="W1623" s="234"/>
      <c r="X1623" s="234"/>
      <c r="Y1623" s="234"/>
      <c r="Z1623" s="234"/>
      <c r="AA1623" s="234"/>
    </row>
    <row r="1624" ht="15.75" customHeight="1">
      <c r="A1624" s="91"/>
      <c r="B1624" s="91"/>
      <c r="C1624" s="220"/>
      <c r="D1624" s="91"/>
      <c r="E1624" s="221"/>
      <c r="F1624" s="91"/>
      <c r="G1624" s="91"/>
      <c r="H1624" s="242"/>
      <c r="I1624" s="91"/>
      <c r="J1624" s="234"/>
      <c r="K1624" s="243"/>
      <c r="L1624" s="236"/>
      <c r="M1624" s="236"/>
      <c r="N1624" s="236"/>
      <c r="O1624" s="244"/>
      <c r="P1624" s="244"/>
      <c r="Q1624" s="234"/>
      <c r="R1624" s="234"/>
      <c r="S1624" s="238"/>
      <c r="T1624" s="239"/>
      <c r="U1624" s="238"/>
      <c r="V1624" s="238"/>
      <c r="W1624" s="234"/>
      <c r="X1624" s="234"/>
      <c r="Y1624" s="234"/>
      <c r="Z1624" s="234"/>
      <c r="AA1624" s="234"/>
    </row>
    <row r="1625" ht="15.75" customHeight="1">
      <c r="A1625" s="91"/>
      <c r="B1625" s="91"/>
      <c r="C1625" s="220"/>
      <c r="D1625" s="91"/>
      <c r="E1625" s="221"/>
      <c r="F1625" s="91"/>
      <c r="G1625" s="91"/>
      <c r="H1625" s="242"/>
      <c r="I1625" s="91"/>
      <c r="J1625" s="234"/>
      <c r="K1625" s="243"/>
      <c r="L1625" s="236"/>
      <c r="M1625" s="236"/>
      <c r="N1625" s="236"/>
      <c r="O1625" s="244"/>
      <c r="P1625" s="244"/>
      <c r="Q1625" s="234"/>
      <c r="R1625" s="234"/>
      <c r="S1625" s="238"/>
      <c r="T1625" s="239"/>
      <c r="U1625" s="238"/>
      <c r="V1625" s="238"/>
      <c r="W1625" s="234"/>
      <c r="X1625" s="234"/>
      <c r="Y1625" s="234"/>
      <c r="Z1625" s="234"/>
      <c r="AA1625" s="234"/>
    </row>
    <row r="1626" ht="15.75" customHeight="1">
      <c r="A1626" s="91"/>
      <c r="B1626" s="91"/>
      <c r="C1626" s="220"/>
      <c r="D1626" s="91"/>
      <c r="E1626" s="221"/>
      <c r="F1626" s="91"/>
      <c r="G1626" s="91"/>
      <c r="H1626" s="242"/>
      <c r="I1626" s="91"/>
      <c r="J1626" s="234"/>
      <c r="K1626" s="243"/>
      <c r="L1626" s="236"/>
      <c r="M1626" s="236"/>
      <c r="N1626" s="236"/>
      <c r="O1626" s="244"/>
      <c r="P1626" s="244"/>
      <c r="Q1626" s="234"/>
      <c r="R1626" s="234"/>
      <c r="S1626" s="238"/>
      <c r="T1626" s="239"/>
      <c r="U1626" s="238"/>
      <c r="V1626" s="238"/>
      <c r="W1626" s="234"/>
      <c r="X1626" s="234"/>
      <c r="Y1626" s="234"/>
      <c r="Z1626" s="234"/>
      <c r="AA1626" s="234"/>
    </row>
    <row r="1627" ht="15.75" customHeight="1">
      <c r="A1627" s="91"/>
      <c r="B1627" s="91"/>
      <c r="C1627" s="220"/>
      <c r="D1627" s="91"/>
      <c r="E1627" s="221"/>
      <c r="F1627" s="91"/>
      <c r="G1627" s="91"/>
      <c r="H1627" s="242"/>
      <c r="I1627" s="91"/>
      <c r="J1627" s="234"/>
      <c r="K1627" s="243"/>
      <c r="L1627" s="236"/>
      <c r="M1627" s="236"/>
      <c r="N1627" s="236"/>
      <c r="O1627" s="244"/>
      <c r="P1627" s="244"/>
      <c r="Q1627" s="234"/>
      <c r="R1627" s="234"/>
      <c r="S1627" s="238"/>
      <c r="T1627" s="239"/>
      <c r="U1627" s="238"/>
      <c r="V1627" s="238"/>
      <c r="W1627" s="234"/>
      <c r="X1627" s="234"/>
      <c r="Y1627" s="234"/>
      <c r="Z1627" s="234"/>
      <c r="AA1627" s="234"/>
    </row>
    <row r="1628" ht="15.75" customHeight="1">
      <c r="A1628" s="91"/>
      <c r="B1628" s="91"/>
      <c r="C1628" s="220"/>
      <c r="D1628" s="91"/>
      <c r="E1628" s="221"/>
      <c r="F1628" s="91"/>
      <c r="G1628" s="91"/>
      <c r="H1628" s="242"/>
      <c r="I1628" s="91"/>
      <c r="J1628" s="234"/>
      <c r="K1628" s="243"/>
      <c r="L1628" s="236"/>
      <c r="M1628" s="236"/>
      <c r="N1628" s="236"/>
      <c r="O1628" s="244"/>
      <c r="P1628" s="244"/>
      <c r="Q1628" s="234"/>
      <c r="R1628" s="234"/>
      <c r="S1628" s="238"/>
      <c r="T1628" s="239"/>
      <c r="U1628" s="238"/>
      <c r="V1628" s="238"/>
      <c r="W1628" s="234"/>
      <c r="X1628" s="234"/>
      <c r="Y1628" s="234"/>
      <c r="Z1628" s="234"/>
      <c r="AA1628" s="234"/>
    </row>
    <row r="1629" ht="15.75" customHeight="1">
      <c r="A1629" s="91"/>
      <c r="B1629" s="91"/>
      <c r="C1629" s="220"/>
      <c r="D1629" s="91"/>
      <c r="E1629" s="221"/>
      <c r="F1629" s="91"/>
      <c r="G1629" s="91"/>
      <c r="H1629" s="242"/>
      <c r="I1629" s="91"/>
      <c r="J1629" s="234"/>
      <c r="K1629" s="243"/>
      <c r="L1629" s="236"/>
      <c r="M1629" s="236"/>
      <c r="N1629" s="236"/>
      <c r="O1629" s="244"/>
      <c r="P1629" s="244"/>
      <c r="Q1629" s="234"/>
      <c r="R1629" s="234"/>
      <c r="S1629" s="238"/>
      <c r="T1629" s="239"/>
      <c r="U1629" s="238"/>
      <c r="V1629" s="238"/>
      <c r="W1629" s="234"/>
      <c r="X1629" s="234"/>
      <c r="Y1629" s="234"/>
      <c r="Z1629" s="234"/>
      <c r="AA1629" s="234"/>
    </row>
    <row r="1630" ht="15.75" customHeight="1">
      <c r="A1630" s="91"/>
      <c r="B1630" s="91"/>
      <c r="C1630" s="220"/>
      <c r="D1630" s="91"/>
      <c r="E1630" s="221"/>
      <c r="F1630" s="91"/>
      <c r="G1630" s="91"/>
      <c r="H1630" s="242"/>
      <c r="I1630" s="91"/>
      <c r="J1630" s="234"/>
      <c r="K1630" s="243"/>
      <c r="L1630" s="236"/>
      <c r="M1630" s="236"/>
      <c r="N1630" s="236"/>
      <c r="O1630" s="244"/>
      <c r="P1630" s="244"/>
      <c r="Q1630" s="234"/>
      <c r="R1630" s="234"/>
      <c r="S1630" s="238"/>
      <c r="T1630" s="239"/>
      <c r="U1630" s="238"/>
      <c r="V1630" s="238"/>
      <c r="W1630" s="234"/>
      <c r="X1630" s="234"/>
      <c r="Y1630" s="234"/>
      <c r="Z1630" s="234"/>
      <c r="AA1630" s="234"/>
    </row>
    <row r="1631" ht="15.75" customHeight="1">
      <c r="A1631" s="91"/>
      <c r="B1631" s="91"/>
      <c r="C1631" s="220"/>
      <c r="D1631" s="91"/>
      <c r="E1631" s="221"/>
      <c r="F1631" s="91"/>
      <c r="G1631" s="91"/>
      <c r="H1631" s="242"/>
      <c r="I1631" s="91"/>
      <c r="J1631" s="234"/>
      <c r="K1631" s="243"/>
      <c r="L1631" s="236"/>
      <c r="M1631" s="236"/>
      <c r="N1631" s="236"/>
      <c r="O1631" s="244"/>
      <c r="P1631" s="244"/>
      <c r="Q1631" s="234"/>
      <c r="R1631" s="234"/>
      <c r="S1631" s="238"/>
      <c r="T1631" s="239"/>
      <c r="U1631" s="238"/>
      <c r="V1631" s="238"/>
      <c r="W1631" s="234"/>
      <c r="X1631" s="234"/>
      <c r="Y1631" s="234"/>
      <c r="Z1631" s="234"/>
      <c r="AA1631" s="234"/>
    </row>
    <row r="1632" ht="15.75" customHeight="1">
      <c r="A1632" s="91"/>
      <c r="B1632" s="91"/>
      <c r="C1632" s="220"/>
      <c r="D1632" s="91"/>
      <c r="E1632" s="221"/>
      <c r="F1632" s="91"/>
      <c r="G1632" s="91"/>
      <c r="H1632" s="242"/>
      <c r="I1632" s="91"/>
      <c r="J1632" s="234"/>
      <c r="K1632" s="243"/>
      <c r="L1632" s="236"/>
      <c r="M1632" s="236"/>
      <c r="N1632" s="236"/>
      <c r="O1632" s="244"/>
      <c r="P1632" s="244"/>
      <c r="Q1632" s="234"/>
      <c r="R1632" s="234"/>
      <c r="S1632" s="238"/>
      <c r="T1632" s="239"/>
      <c r="U1632" s="238"/>
      <c r="V1632" s="238"/>
      <c r="W1632" s="234"/>
      <c r="X1632" s="234"/>
      <c r="Y1632" s="234"/>
      <c r="Z1632" s="234"/>
      <c r="AA1632" s="234"/>
    </row>
    <row r="1633" ht="15.75" customHeight="1">
      <c r="A1633" s="91"/>
      <c r="B1633" s="91"/>
      <c r="C1633" s="220"/>
      <c r="D1633" s="91"/>
      <c r="E1633" s="221"/>
      <c r="F1633" s="91"/>
      <c r="G1633" s="91"/>
      <c r="H1633" s="242"/>
      <c r="I1633" s="91"/>
      <c r="J1633" s="234"/>
      <c r="K1633" s="243"/>
      <c r="L1633" s="236"/>
      <c r="M1633" s="236"/>
      <c r="N1633" s="236"/>
      <c r="O1633" s="244"/>
      <c r="P1633" s="244"/>
      <c r="Q1633" s="234"/>
      <c r="R1633" s="234"/>
      <c r="S1633" s="238"/>
      <c r="T1633" s="239"/>
      <c r="U1633" s="238"/>
      <c r="V1633" s="238"/>
      <c r="W1633" s="234"/>
      <c r="X1633" s="234"/>
      <c r="Y1633" s="234"/>
      <c r="Z1633" s="234"/>
      <c r="AA1633" s="234"/>
    </row>
    <row r="1634" ht="15.75" customHeight="1">
      <c r="A1634" s="91"/>
      <c r="B1634" s="91"/>
      <c r="C1634" s="220"/>
      <c r="D1634" s="91"/>
      <c r="E1634" s="221"/>
      <c r="F1634" s="91"/>
      <c r="G1634" s="91"/>
      <c r="H1634" s="242"/>
      <c r="I1634" s="91"/>
      <c r="J1634" s="234"/>
      <c r="K1634" s="243"/>
      <c r="L1634" s="236"/>
      <c r="M1634" s="236"/>
      <c r="N1634" s="236"/>
      <c r="O1634" s="244"/>
      <c r="P1634" s="244"/>
      <c r="Q1634" s="234"/>
      <c r="R1634" s="234"/>
      <c r="S1634" s="238"/>
      <c r="T1634" s="239"/>
      <c r="U1634" s="238"/>
      <c r="V1634" s="238"/>
      <c r="W1634" s="234"/>
      <c r="X1634" s="234"/>
      <c r="Y1634" s="234"/>
      <c r="Z1634" s="234"/>
      <c r="AA1634" s="234"/>
    </row>
    <row r="1635" ht="15.75" customHeight="1">
      <c r="A1635" s="91"/>
      <c r="B1635" s="91"/>
      <c r="C1635" s="220"/>
      <c r="D1635" s="91"/>
      <c r="E1635" s="221"/>
      <c r="F1635" s="91"/>
      <c r="G1635" s="91"/>
      <c r="H1635" s="242"/>
      <c r="I1635" s="91"/>
      <c r="J1635" s="234"/>
      <c r="K1635" s="243"/>
      <c r="L1635" s="236"/>
      <c r="M1635" s="236"/>
      <c r="N1635" s="236"/>
      <c r="O1635" s="244"/>
      <c r="P1635" s="244"/>
      <c r="Q1635" s="234"/>
      <c r="R1635" s="234"/>
      <c r="S1635" s="238"/>
      <c r="T1635" s="239"/>
      <c r="U1635" s="238"/>
      <c r="V1635" s="238"/>
      <c r="W1635" s="234"/>
      <c r="X1635" s="234"/>
      <c r="Y1635" s="234"/>
      <c r="Z1635" s="234"/>
      <c r="AA1635" s="234"/>
    </row>
    <row r="1636" ht="15.75" customHeight="1">
      <c r="A1636" s="91"/>
      <c r="B1636" s="91"/>
      <c r="C1636" s="220"/>
      <c r="D1636" s="91"/>
      <c r="E1636" s="221"/>
      <c r="F1636" s="91"/>
      <c r="G1636" s="91"/>
      <c r="H1636" s="242"/>
      <c r="I1636" s="91"/>
      <c r="J1636" s="234"/>
      <c r="K1636" s="243"/>
      <c r="L1636" s="236"/>
      <c r="M1636" s="236"/>
      <c r="N1636" s="236"/>
      <c r="O1636" s="244"/>
      <c r="P1636" s="244"/>
      <c r="Q1636" s="234"/>
      <c r="R1636" s="234"/>
      <c r="S1636" s="238"/>
      <c r="T1636" s="239"/>
      <c r="U1636" s="238"/>
      <c r="V1636" s="238"/>
      <c r="W1636" s="234"/>
      <c r="X1636" s="234"/>
      <c r="Y1636" s="234"/>
      <c r="Z1636" s="234"/>
      <c r="AA1636" s="234"/>
    </row>
    <row r="1637" ht="15.75" customHeight="1">
      <c r="A1637" s="91"/>
      <c r="B1637" s="91"/>
      <c r="C1637" s="220"/>
      <c r="D1637" s="91"/>
      <c r="E1637" s="221"/>
      <c r="F1637" s="91"/>
      <c r="G1637" s="91"/>
      <c r="H1637" s="242"/>
      <c r="I1637" s="91"/>
      <c r="J1637" s="234"/>
      <c r="K1637" s="243"/>
      <c r="L1637" s="236"/>
      <c r="M1637" s="236"/>
      <c r="N1637" s="236"/>
      <c r="O1637" s="244"/>
      <c r="P1637" s="244"/>
      <c r="Q1637" s="234"/>
      <c r="R1637" s="234"/>
      <c r="S1637" s="238"/>
      <c r="T1637" s="239"/>
      <c r="U1637" s="238"/>
      <c r="V1637" s="238"/>
      <c r="W1637" s="234"/>
      <c r="X1637" s="234"/>
      <c r="Y1637" s="234"/>
      <c r="Z1637" s="234"/>
      <c r="AA1637" s="234"/>
    </row>
    <row r="1638" ht="15.75" customHeight="1">
      <c r="A1638" s="91"/>
      <c r="B1638" s="91"/>
      <c r="C1638" s="220"/>
      <c r="D1638" s="91"/>
      <c r="E1638" s="221"/>
      <c r="F1638" s="91"/>
      <c r="G1638" s="91"/>
      <c r="H1638" s="242"/>
      <c r="I1638" s="91"/>
      <c r="J1638" s="234"/>
      <c r="K1638" s="243"/>
      <c r="L1638" s="236"/>
      <c r="M1638" s="236"/>
      <c r="N1638" s="236"/>
      <c r="O1638" s="244"/>
      <c r="P1638" s="244"/>
      <c r="Q1638" s="234"/>
      <c r="R1638" s="234"/>
      <c r="S1638" s="238"/>
      <c r="T1638" s="239"/>
      <c r="U1638" s="238"/>
      <c r="V1638" s="238"/>
      <c r="W1638" s="234"/>
      <c r="X1638" s="234"/>
      <c r="Y1638" s="234"/>
      <c r="Z1638" s="234"/>
      <c r="AA1638" s="234"/>
    </row>
    <row r="1639" ht="15.75" customHeight="1">
      <c r="A1639" s="91"/>
      <c r="B1639" s="91"/>
      <c r="C1639" s="220"/>
      <c r="D1639" s="91"/>
      <c r="E1639" s="221"/>
      <c r="F1639" s="91"/>
      <c r="G1639" s="91"/>
      <c r="H1639" s="242"/>
      <c r="I1639" s="91"/>
      <c r="J1639" s="234"/>
      <c r="K1639" s="243"/>
      <c r="L1639" s="236"/>
      <c r="M1639" s="236"/>
      <c r="N1639" s="236"/>
      <c r="O1639" s="244"/>
      <c r="P1639" s="244"/>
      <c r="Q1639" s="234"/>
      <c r="R1639" s="234"/>
      <c r="S1639" s="238"/>
      <c r="T1639" s="239"/>
      <c r="U1639" s="238"/>
      <c r="V1639" s="238"/>
      <c r="W1639" s="234"/>
      <c r="X1639" s="234"/>
      <c r="Y1639" s="234"/>
      <c r="Z1639" s="234"/>
      <c r="AA1639" s="234"/>
    </row>
    <row r="1640" ht="15.75" customHeight="1">
      <c r="A1640" s="91"/>
      <c r="B1640" s="91"/>
      <c r="C1640" s="220"/>
      <c r="D1640" s="91"/>
      <c r="E1640" s="221"/>
      <c r="F1640" s="91"/>
      <c r="G1640" s="91"/>
      <c r="H1640" s="242"/>
      <c r="I1640" s="91"/>
      <c r="J1640" s="234"/>
      <c r="K1640" s="243"/>
      <c r="L1640" s="236"/>
      <c r="M1640" s="236"/>
      <c r="N1640" s="236"/>
      <c r="O1640" s="244"/>
      <c r="P1640" s="244"/>
      <c r="Q1640" s="234"/>
      <c r="R1640" s="234"/>
      <c r="S1640" s="238"/>
      <c r="T1640" s="239"/>
      <c r="U1640" s="238"/>
      <c r="V1640" s="238"/>
      <c r="W1640" s="234"/>
      <c r="X1640" s="234"/>
      <c r="Y1640" s="234"/>
      <c r="Z1640" s="234"/>
      <c r="AA1640" s="234"/>
    </row>
    <row r="1641" ht="15.75" customHeight="1">
      <c r="A1641" s="91"/>
      <c r="B1641" s="91"/>
      <c r="C1641" s="220"/>
      <c r="D1641" s="91"/>
      <c r="E1641" s="221"/>
      <c r="F1641" s="91"/>
      <c r="G1641" s="91"/>
      <c r="H1641" s="242"/>
      <c r="I1641" s="91"/>
      <c r="J1641" s="234"/>
      <c r="K1641" s="243"/>
      <c r="L1641" s="236"/>
      <c r="M1641" s="236"/>
      <c r="N1641" s="236"/>
      <c r="O1641" s="244"/>
      <c r="P1641" s="244"/>
      <c r="Q1641" s="234"/>
      <c r="R1641" s="234"/>
      <c r="S1641" s="238"/>
      <c r="T1641" s="239"/>
      <c r="U1641" s="238"/>
      <c r="V1641" s="238"/>
      <c r="W1641" s="234"/>
      <c r="X1641" s="234"/>
      <c r="Y1641" s="234"/>
      <c r="Z1641" s="234"/>
      <c r="AA1641" s="234"/>
    </row>
    <row r="1642" ht="15.75" customHeight="1">
      <c r="A1642" s="91"/>
      <c r="B1642" s="91"/>
      <c r="C1642" s="220"/>
      <c r="D1642" s="91"/>
      <c r="E1642" s="221"/>
      <c r="F1642" s="91"/>
      <c r="G1642" s="91"/>
      <c r="H1642" s="242"/>
      <c r="I1642" s="91"/>
      <c r="J1642" s="234"/>
      <c r="K1642" s="243"/>
      <c r="L1642" s="236"/>
      <c r="M1642" s="236"/>
      <c r="N1642" s="236"/>
      <c r="O1642" s="244"/>
      <c r="P1642" s="244"/>
      <c r="Q1642" s="234"/>
      <c r="R1642" s="234"/>
      <c r="S1642" s="238"/>
      <c r="T1642" s="239"/>
      <c r="U1642" s="238"/>
      <c r="V1642" s="238"/>
      <c r="W1642" s="234"/>
      <c r="X1642" s="234"/>
      <c r="Y1642" s="234"/>
      <c r="Z1642" s="234"/>
      <c r="AA1642" s="234"/>
    </row>
    <row r="1643" ht="15.75" customHeight="1">
      <c r="A1643" s="91"/>
      <c r="B1643" s="91"/>
      <c r="C1643" s="220"/>
      <c r="D1643" s="91"/>
      <c r="E1643" s="221"/>
      <c r="F1643" s="91"/>
      <c r="G1643" s="91"/>
      <c r="H1643" s="242"/>
      <c r="I1643" s="91"/>
      <c r="J1643" s="234"/>
      <c r="K1643" s="243"/>
      <c r="L1643" s="236"/>
      <c r="M1643" s="236"/>
      <c r="N1643" s="236"/>
      <c r="O1643" s="244"/>
      <c r="P1643" s="244"/>
      <c r="Q1643" s="234"/>
      <c r="R1643" s="234"/>
      <c r="S1643" s="238"/>
      <c r="T1643" s="239"/>
      <c r="U1643" s="238"/>
      <c r="V1643" s="238"/>
      <c r="W1643" s="234"/>
      <c r="X1643" s="234"/>
      <c r="Y1643" s="234"/>
      <c r="Z1643" s="234"/>
      <c r="AA1643" s="234"/>
    </row>
    <row r="1644" ht="15.75" customHeight="1">
      <c r="A1644" s="91"/>
      <c r="B1644" s="91"/>
      <c r="C1644" s="220"/>
      <c r="D1644" s="91"/>
      <c r="E1644" s="221"/>
      <c r="F1644" s="91"/>
      <c r="G1644" s="91"/>
      <c r="H1644" s="242"/>
      <c r="I1644" s="91"/>
      <c r="J1644" s="234"/>
      <c r="K1644" s="243"/>
      <c r="L1644" s="236"/>
      <c r="M1644" s="236"/>
      <c r="N1644" s="236"/>
      <c r="O1644" s="244"/>
      <c r="P1644" s="244"/>
      <c r="Q1644" s="234"/>
      <c r="R1644" s="234"/>
      <c r="S1644" s="238"/>
      <c r="T1644" s="239"/>
      <c r="U1644" s="238"/>
      <c r="V1644" s="238"/>
      <c r="W1644" s="234"/>
      <c r="X1644" s="234"/>
      <c r="Y1644" s="234"/>
      <c r="Z1644" s="234"/>
      <c r="AA1644" s="234"/>
    </row>
    <row r="1645" ht="15.75" customHeight="1">
      <c r="A1645" s="91"/>
      <c r="B1645" s="91"/>
      <c r="C1645" s="220"/>
      <c r="D1645" s="91"/>
      <c r="E1645" s="221"/>
      <c r="F1645" s="91"/>
      <c r="G1645" s="91"/>
      <c r="H1645" s="242"/>
      <c r="I1645" s="91"/>
      <c r="J1645" s="234"/>
      <c r="K1645" s="243"/>
      <c r="L1645" s="236"/>
      <c r="M1645" s="236"/>
      <c r="N1645" s="236"/>
      <c r="O1645" s="244"/>
      <c r="P1645" s="244"/>
      <c r="Q1645" s="234"/>
      <c r="R1645" s="234"/>
      <c r="S1645" s="238"/>
      <c r="T1645" s="239"/>
      <c r="U1645" s="238"/>
      <c r="V1645" s="238"/>
      <c r="W1645" s="234"/>
      <c r="X1645" s="234"/>
      <c r="Y1645" s="234"/>
      <c r="Z1645" s="234"/>
      <c r="AA1645" s="234"/>
    </row>
    <row r="1646" ht="15.75" customHeight="1">
      <c r="A1646" s="91"/>
      <c r="B1646" s="91"/>
      <c r="C1646" s="220"/>
      <c r="D1646" s="91"/>
      <c r="E1646" s="221"/>
      <c r="F1646" s="91"/>
      <c r="G1646" s="91"/>
      <c r="H1646" s="242"/>
      <c r="I1646" s="91"/>
      <c r="J1646" s="234"/>
      <c r="K1646" s="243"/>
      <c r="L1646" s="236"/>
      <c r="M1646" s="236"/>
      <c r="N1646" s="236"/>
      <c r="O1646" s="244"/>
      <c r="P1646" s="244"/>
      <c r="Q1646" s="234"/>
      <c r="R1646" s="234"/>
      <c r="S1646" s="238"/>
      <c r="T1646" s="239"/>
      <c r="U1646" s="238"/>
      <c r="V1646" s="238"/>
      <c r="W1646" s="234"/>
      <c r="X1646" s="234"/>
      <c r="Y1646" s="234"/>
      <c r="Z1646" s="234"/>
      <c r="AA1646" s="234"/>
    </row>
    <row r="1647" ht="15.75" customHeight="1">
      <c r="A1647" s="91"/>
      <c r="B1647" s="91"/>
      <c r="C1647" s="220"/>
      <c r="D1647" s="91"/>
      <c r="E1647" s="221"/>
      <c r="F1647" s="91"/>
      <c r="G1647" s="91"/>
      <c r="H1647" s="242"/>
      <c r="I1647" s="91"/>
      <c r="J1647" s="234"/>
      <c r="K1647" s="243"/>
      <c r="L1647" s="236"/>
      <c r="M1647" s="236"/>
      <c r="N1647" s="236"/>
      <c r="O1647" s="244"/>
      <c r="P1647" s="244"/>
      <c r="Q1647" s="234"/>
      <c r="R1647" s="234"/>
      <c r="S1647" s="238"/>
      <c r="T1647" s="239"/>
      <c r="U1647" s="238"/>
      <c r="V1647" s="238"/>
      <c r="W1647" s="234"/>
      <c r="X1647" s="234"/>
      <c r="Y1647" s="234"/>
      <c r="Z1647" s="234"/>
      <c r="AA1647" s="234"/>
    </row>
    <row r="1648" ht="15.75" customHeight="1">
      <c r="A1648" s="91"/>
      <c r="B1648" s="91"/>
      <c r="C1648" s="220"/>
      <c r="D1648" s="91"/>
      <c r="E1648" s="221"/>
      <c r="F1648" s="91"/>
      <c r="G1648" s="91"/>
      <c r="H1648" s="242"/>
      <c r="I1648" s="91"/>
      <c r="J1648" s="234"/>
      <c r="K1648" s="243"/>
      <c r="L1648" s="236"/>
      <c r="M1648" s="236"/>
      <c r="N1648" s="236"/>
      <c r="O1648" s="244"/>
      <c r="P1648" s="244"/>
      <c r="Q1648" s="234"/>
      <c r="R1648" s="234"/>
      <c r="S1648" s="238"/>
      <c r="T1648" s="239"/>
      <c r="U1648" s="238"/>
      <c r="V1648" s="238"/>
      <c r="W1648" s="234"/>
      <c r="X1648" s="234"/>
      <c r="Y1648" s="234"/>
      <c r="Z1648" s="234"/>
      <c r="AA1648" s="234"/>
    </row>
    <row r="1649" ht="15.75" customHeight="1">
      <c r="A1649" s="91"/>
      <c r="B1649" s="91"/>
      <c r="C1649" s="220"/>
      <c r="D1649" s="91"/>
      <c r="E1649" s="221"/>
      <c r="F1649" s="91"/>
      <c r="G1649" s="91"/>
      <c r="H1649" s="242"/>
      <c r="I1649" s="91"/>
      <c r="J1649" s="234"/>
      <c r="K1649" s="243"/>
      <c r="L1649" s="236"/>
      <c r="M1649" s="236"/>
      <c r="N1649" s="236"/>
      <c r="O1649" s="244"/>
      <c r="P1649" s="244"/>
      <c r="Q1649" s="234"/>
      <c r="R1649" s="234"/>
      <c r="S1649" s="238"/>
      <c r="T1649" s="239"/>
      <c r="U1649" s="238"/>
      <c r="V1649" s="238"/>
      <c r="W1649" s="234"/>
      <c r="X1649" s="234"/>
      <c r="Y1649" s="234"/>
      <c r="Z1649" s="234"/>
      <c r="AA1649" s="234"/>
    </row>
    <row r="1650" ht="15.75" customHeight="1">
      <c r="A1650" s="91"/>
      <c r="B1650" s="91"/>
      <c r="C1650" s="220"/>
      <c r="D1650" s="91"/>
      <c r="E1650" s="221"/>
      <c r="F1650" s="91"/>
      <c r="G1650" s="91"/>
      <c r="H1650" s="242"/>
      <c r="I1650" s="91"/>
      <c r="J1650" s="234"/>
      <c r="K1650" s="243"/>
      <c r="L1650" s="236"/>
      <c r="M1650" s="236"/>
      <c r="N1650" s="236"/>
      <c r="O1650" s="244"/>
      <c r="P1650" s="244"/>
      <c r="Q1650" s="234"/>
      <c r="R1650" s="234"/>
      <c r="S1650" s="238"/>
      <c r="T1650" s="239"/>
      <c r="U1650" s="238"/>
      <c r="V1650" s="238"/>
      <c r="W1650" s="234"/>
      <c r="X1650" s="234"/>
      <c r="Y1650" s="234"/>
      <c r="Z1650" s="234"/>
      <c r="AA1650" s="234"/>
    </row>
    <row r="1651" ht="15.75" customHeight="1">
      <c r="A1651" s="91"/>
      <c r="B1651" s="91"/>
      <c r="C1651" s="220"/>
      <c r="D1651" s="91"/>
      <c r="E1651" s="221"/>
      <c r="F1651" s="91"/>
      <c r="G1651" s="91"/>
      <c r="H1651" s="242"/>
      <c r="I1651" s="91"/>
      <c r="J1651" s="234"/>
      <c r="K1651" s="243"/>
      <c r="L1651" s="236"/>
      <c r="M1651" s="236"/>
      <c r="N1651" s="236"/>
      <c r="O1651" s="244"/>
      <c r="P1651" s="244"/>
      <c r="Q1651" s="234"/>
      <c r="R1651" s="234"/>
      <c r="S1651" s="238"/>
      <c r="T1651" s="239"/>
      <c r="U1651" s="238"/>
      <c r="V1651" s="238"/>
      <c r="W1651" s="234"/>
      <c r="X1651" s="234"/>
      <c r="Y1651" s="234"/>
      <c r="Z1651" s="234"/>
      <c r="AA1651" s="234"/>
    </row>
    <row r="1652" ht="15.75" customHeight="1">
      <c r="A1652" s="91"/>
      <c r="B1652" s="91"/>
      <c r="C1652" s="220"/>
      <c r="D1652" s="91"/>
      <c r="E1652" s="221"/>
      <c r="F1652" s="91"/>
      <c r="G1652" s="91"/>
      <c r="H1652" s="242"/>
      <c r="I1652" s="91"/>
      <c r="J1652" s="234"/>
      <c r="K1652" s="243"/>
      <c r="L1652" s="236"/>
      <c r="M1652" s="236"/>
      <c r="N1652" s="236"/>
      <c r="O1652" s="244"/>
      <c r="P1652" s="244"/>
      <c r="Q1652" s="234"/>
      <c r="R1652" s="234"/>
      <c r="S1652" s="238"/>
      <c r="T1652" s="239"/>
      <c r="U1652" s="238"/>
      <c r="V1652" s="238"/>
      <c r="W1652" s="234"/>
      <c r="X1652" s="234"/>
      <c r="Y1652" s="234"/>
      <c r="Z1652" s="234"/>
      <c r="AA1652" s="234"/>
    </row>
    <row r="1653" ht="15.75" customHeight="1">
      <c r="A1653" s="91"/>
      <c r="B1653" s="91"/>
      <c r="C1653" s="220"/>
      <c r="D1653" s="91"/>
      <c r="E1653" s="221"/>
      <c r="F1653" s="91"/>
      <c r="G1653" s="91"/>
      <c r="H1653" s="242"/>
      <c r="I1653" s="91"/>
      <c r="J1653" s="234"/>
      <c r="K1653" s="243"/>
      <c r="L1653" s="236"/>
      <c r="M1653" s="236"/>
      <c r="N1653" s="236"/>
      <c r="O1653" s="244"/>
      <c r="P1653" s="244"/>
      <c r="Q1653" s="234"/>
      <c r="R1653" s="234"/>
      <c r="S1653" s="238"/>
      <c r="T1653" s="239"/>
      <c r="U1653" s="238"/>
      <c r="V1653" s="238"/>
      <c r="W1653" s="234"/>
      <c r="X1653" s="234"/>
      <c r="Y1653" s="234"/>
      <c r="Z1653" s="234"/>
      <c r="AA1653" s="234"/>
    </row>
    <row r="1654" ht="15.75" customHeight="1">
      <c r="A1654" s="91"/>
      <c r="B1654" s="91"/>
      <c r="C1654" s="220"/>
      <c r="D1654" s="91"/>
      <c r="E1654" s="221"/>
      <c r="F1654" s="91"/>
      <c r="G1654" s="91"/>
      <c r="H1654" s="242"/>
      <c r="I1654" s="91"/>
      <c r="J1654" s="234"/>
      <c r="K1654" s="243"/>
      <c r="L1654" s="236"/>
      <c r="M1654" s="236"/>
      <c r="N1654" s="236"/>
      <c r="O1654" s="244"/>
      <c r="P1654" s="244"/>
      <c r="Q1654" s="234"/>
      <c r="R1654" s="234"/>
      <c r="S1654" s="238"/>
      <c r="T1654" s="239"/>
      <c r="U1654" s="238"/>
      <c r="V1654" s="238"/>
      <c r="W1654" s="234"/>
      <c r="X1654" s="234"/>
      <c r="Y1654" s="234"/>
      <c r="Z1654" s="234"/>
      <c r="AA1654" s="234"/>
    </row>
    <row r="1655" ht="15.75" customHeight="1">
      <c r="A1655" s="91"/>
      <c r="B1655" s="91"/>
      <c r="C1655" s="220"/>
      <c r="D1655" s="91"/>
      <c r="E1655" s="221"/>
      <c r="F1655" s="91"/>
      <c r="G1655" s="91"/>
      <c r="H1655" s="242"/>
      <c r="I1655" s="91"/>
      <c r="J1655" s="234"/>
      <c r="K1655" s="243"/>
      <c r="L1655" s="236"/>
      <c r="M1655" s="236"/>
      <c r="N1655" s="236"/>
      <c r="O1655" s="244"/>
      <c r="P1655" s="244"/>
      <c r="Q1655" s="234"/>
      <c r="R1655" s="234"/>
      <c r="S1655" s="238"/>
      <c r="T1655" s="239"/>
      <c r="U1655" s="238"/>
      <c r="V1655" s="238"/>
      <c r="W1655" s="234"/>
      <c r="X1655" s="234"/>
      <c r="Y1655" s="234"/>
      <c r="Z1655" s="234"/>
      <c r="AA1655" s="234"/>
    </row>
    <row r="1656" ht="15.75" customHeight="1">
      <c r="A1656" s="91"/>
      <c r="B1656" s="91"/>
      <c r="C1656" s="220"/>
      <c r="D1656" s="91"/>
      <c r="E1656" s="221"/>
      <c r="F1656" s="91"/>
      <c r="G1656" s="91"/>
      <c r="H1656" s="242"/>
      <c r="I1656" s="91"/>
      <c r="J1656" s="234"/>
      <c r="K1656" s="243"/>
      <c r="L1656" s="236"/>
      <c r="M1656" s="236"/>
      <c r="N1656" s="236"/>
      <c r="O1656" s="244"/>
      <c r="P1656" s="244"/>
      <c r="Q1656" s="234"/>
      <c r="R1656" s="234"/>
      <c r="S1656" s="238"/>
      <c r="T1656" s="239"/>
      <c r="U1656" s="238"/>
      <c r="V1656" s="238"/>
      <c r="W1656" s="234"/>
      <c r="X1656" s="234"/>
      <c r="Y1656" s="234"/>
      <c r="Z1656" s="234"/>
      <c r="AA1656" s="234"/>
    </row>
    <row r="1657" ht="15.75" customHeight="1">
      <c r="A1657" s="91"/>
      <c r="B1657" s="91"/>
      <c r="C1657" s="220"/>
      <c r="D1657" s="91"/>
      <c r="E1657" s="221"/>
      <c r="F1657" s="91"/>
      <c r="G1657" s="91"/>
      <c r="H1657" s="242"/>
      <c r="I1657" s="91"/>
      <c r="J1657" s="234"/>
      <c r="K1657" s="243"/>
      <c r="L1657" s="236"/>
      <c r="M1657" s="236"/>
      <c r="N1657" s="236"/>
      <c r="O1657" s="244"/>
      <c r="P1657" s="244"/>
      <c r="Q1657" s="234"/>
      <c r="R1657" s="234"/>
      <c r="S1657" s="238"/>
      <c r="T1657" s="239"/>
      <c r="U1657" s="238"/>
      <c r="V1657" s="238"/>
      <c r="W1657" s="234"/>
      <c r="X1657" s="234"/>
      <c r="Y1657" s="234"/>
      <c r="Z1657" s="234"/>
      <c r="AA1657" s="234"/>
    </row>
    <row r="1658" ht="15.75" customHeight="1">
      <c r="A1658" s="91"/>
      <c r="B1658" s="91"/>
      <c r="C1658" s="220"/>
      <c r="D1658" s="91"/>
      <c r="E1658" s="221"/>
      <c r="F1658" s="91"/>
      <c r="G1658" s="91"/>
      <c r="H1658" s="242"/>
      <c r="I1658" s="91"/>
      <c r="J1658" s="234"/>
      <c r="K1658" s="243"/>
      <c r="L1658" s="236"/>
      <c r="M1658" s="236"/>
      <c r="N1658" s="236"/>
      <c r="O1658" s="244"/>
      <c r="P1658" s="244"/>
      <c r="Q1658" s="234"/>
      <c r="R1658" s="234"/>
      <c r="S1658" s="238"/>
      <c r="T1658" s="239"/>
      <c r="U1658" s="238"/>
      <c r="V1658" s="238"/>
      <c r="W1658" s="234"/>
      <c r="X1658" s="234"/>
      <c r="Y1658" s="234"/>
      <c r="Z1658" s="234"/>
      <c r="AA1658" s="234"/>
    </row>
    <row r="1659" ht="15.75" customHeight="1">
      <c r="A1659" s="91"/>
      <c r="B1659" s="91"/>
      <c r="C1659" s="220"/>
      <c r="D1659" s="91"/>
      <c r="E1659" s="221"/>
      <c r="F1659" s="91"/>
      <c r="G1659" s="91"/>
      <c r="H1659" s="242"/>
      <c r="I1659" s="91"/>
      <c r="J1659" s="234"/>
      <c r="K1659" s="243"/>
      <c r="L1659" s="236"/>
      <c r="M1659" s="236"/>
      <c r="N1659" s="236"/>
      <c r="O1659" s="244"/>
      <c r="P1659" s="244"/>
      <c r="Q1659" s="234"/>
      <c r="R1659" s="234"/>
      <c r="S1659" s="238"/>
      <c r="T1659" s="239"/>
      <c r="U1659" s="238"/>
      <c r="V1659" s="238"/>
      <c r="W1659" s="234"/>
      <c r="X1659" s="234"/>
      <c r="Y1659" s="234"/>
      <c r="Z1659" s="234"/>
      <c r="AA1659" s="234"/>
    </row>
    <row r="1660" ht="15.75" customHeight="1">
      <c r="A1660" s="91"/>
      <c r="B1660" s="91"/>
      <c r="C1660" s="220"/>
      <c r="D1660" s="91"/>
      <c r="E1660" s="221"/>
      <c r="F1660" s="91"/>
      <c r="G1660" s="91"/>
      <c r="H1660" s="242"/>
      <c r="I1660" s="91"/>
      <c r="J1660" s="234"/>
      <c r="K1660" s="243"/>
      <c r="L1660" s="236"/>
      <c r="M1660" s="236"/>
      <c r="N1660" s="236"/>
      <c r="O1660" s="244"/>
      <c r="P1660" s="244"/>
      <c r="Q1660" s="234"/>
      <c r="R1660" s="234"/>
      <c r="S1660" s="238"/>
      <c r="T1660" s="239"/>
      <c r="U1660" s="238"/>
      <c r="V1660" s="238"/>
      <c r="W1660" s="234"/>
      <c r="X1660" s="234"/>
      <c r="Y1660" s="234"/>
      <c r="Z1660" s="234"/>
      <c r="AA1660" s="234"/>
    </row>
    <row r="1661" ht="15.75" customHeight="1">
      <c r="A1661" s="91"/>
      <c r="B1661" s="91"/>
      <c r="C1661" s="220"/>
      <c r="D1661" s="91"/>
      <c r="E1661" s="221"/>
      <c r="F1661" s="91"/>
      <c r="G1661" s="91"/>
      <c r="H1661" s="242"/>
      <c r="I1661" s="91"/>
      <c r="J1661" s="234"/>
      <c r="K1661" s="243"/>
      <c r="L1661" s="236"/>
      <c r="M1661" s="236"/>
      <c r="N1661" s="236"/>
      <c r="O1661" s="244"/>
      <c r="P1661" s="244"/>
      <c r="Q1661" s="234"/>
      <c r="R1661" s="234"/>
      <c r="S1661" s="238"/>
      <c r="T1661" s="239"/>
      <c r="U1661" s="238"/>
      <c r="V1661" s="238"/>
      <c r="W1661" s="234"/>
      <c r="X1661" s="234"/>
      <c r="Y1661" s="234"/>
      <c r="Z1661" s="234"/>
      <c r="AA1661" s="234"/>
    </row>
    <row r="1662" ht="15.75" customHeight="1">
      <c r="A1662" s="91"/>
      <c r="B1662" s="91"/>
      <c r="C1662" s="220"/>
      <c r="D1662" s="91"/>
      <c r="E1662" s="221"/>
      <c r="F1662" s="91"/>
      <c r="G1662" s="91"/>
      <c r="H1662" s="242"/>
      <c r="I1662" s="91"/>
      <c r="J1662" s="234"/>
      <c r="K1662" s="243"/>
      <c r="L1662" s="236"/>
      <c r="M1662" s="236"/>
      <c r="N1662" s="236"/>
      <c r="O1662" s="244"/>
      <c r="P1662" s="244"/>
      <c r="Q1662" s="234"/>
      <c r="R1662" s="234"/>
      <c r="S1662" s="238"/>
      <c r="T1662" s="239"/>
      <c r="U1662" s="238"/>
      <c r="V1662" s="238"/>
      <c r="W1662" s="234"/>
      <c r="X1662" s="234"/>
      <c r="Y1662" s="234"/>
      <c r="Z1662" s="234"/>
      <c r="AA1662" s="234"/>
    </row>
    <row r="1663" ht="15.75" customHeight="1">
      <c r="A1663" s="91"/>
      <c r="B1663" s="91"/>
      <c r="C1663" s="220"/>
      <c r="D1663" s="91"/>
      <c r="E1663" s="221"/>
      <c r="F1663" s="91"/>
      <c r="G1663" s="91"/>
      <c r="H1663" s="242"/>
      <c r="I1663" s="91"/>
      <c r="J1663" s="234"/>
      <c r="K1663" s="243"/>
      <c r="L1663" s="236"/>
      <c r="M1663" s="236"/>
      <c r="N1663" s="236"/>
      <c r="O1663" s="244"/>
      <c r="P1663" s="244"/>
      <c r="Q1663" s="234"/>
      <c r="R1663" s="234"/>
      <c r="S1663" s="238"/>
      <c r="T1663" s="239"/>
      <c r="U1663" s="238"/>
      <c r="V1663" s="238"/>
      <c r="W1663" s="234"/>
      <c r="X1663" s="234"/>
      <c r="Y1663" s="234"/>
      <c r="Z1663" s="234"/>
      <c r="AA1663" s="234"/>
    </row>
    <row r="1664" ht="15.75" customHeight="1">
      <c r="A1664" s="91"/>
      <c r="B1664" s="91"/>
      <c r="C1664" s="220"/>
      <c r="D1664" s="91"/>
      <c r="E1664" s="221"/>
      <c r="F1664" s="91"/>
      <c r="G1664" s="91"/>
      <c r="H1664" s="242"/>
      <c r="I1664" s="91"/>
      <c r="J1664" s="234"/>
      <c r="K1664" s="243"/>
      <c r="L1664" s="236"/>
      <c r="M1664" s="236"/>
      <c r="N1664" s="236"/>
      <c r="O1664" s="244"/>
      <c r="P1664" s="244"/>
      <c r="Q1664" s="234"/>
      <c r="R1664" s="234"/>
      <c r="S1664" s="238"/>
      <c r="T1664" s="239"/>
      <c r="U1664" s="238"/>
      <c r="V1664" s="238"/>
      <c r="W1664" s="234"/>
      <c r="X1664" s="234"/>
      <c r="Y1664" s="234"/>
      <c r="Z1664" s="234"/>
      <c r="AA1664" s="234"/>
    </row>
    <row r="1665" ht="15.75" customHeight="1">
      <c r="A1665" s="91"/>
      <c r="B1665" s="91"/>
      <c r="C1665" s="220"/>
      <c r="D1665" s="91"/>
      <c r="E1665" s="221"/>
      <c r="F1665" s="91"/>
      <c r="G1665" s="91"/>
      <c r="H1665" s="242"/>
      <c r="I1665" s="91"/>
      <c r="J1665" s="234"/>
      <c r="K1665" s="243"/>
      <c r="L1665" s="236"/>
      <c r="M1665" s="236"/>
      <c r="N1665" s="236"/>
      <c r="O1665" s="244"/>
      <c r="P1665" s="244"/>
      <c r="Q1665" s="234"/>
      <c r="R1665" s="234"/>
      <c r="S1665" s="238"/>
      <c r="T1665" s="239"/>
      <c r="U1665" s="238"/>
      <c r="V1665" s="238"/>
      <c r="W1665" s="234"/>
      <c r="X1665" s="234"/>
      <c r="Y1665" s="234"/>
      <c r="Z1665" s="234"/>
      <c r="AA1665" s="234"/>
    </row>
    <row r="1666" ht="15.75" customHeight="1">
      <c r="A1666" s="91"/>
      <c r="B1666" s="91"/>
      <c r="C1666" s="220"/>
      <c r="D1666" s="91"/>
      <c r="E1666" s="221"/>
      <c r="F1666" s="91"/>
      <c r="G1666" s="91"/>
      <c r="H1666" s="242"/>
      <c r="I1666" s="91"/>
      <c r="J1666" s="234"/>
      <c r="K1666" s="243"/>
      <c r="L1666" s="236"/>
      <c r="M1666" s="236"/>
      <c r="N1666" s="236"/>
      <c r="O1666" s="244"/>
      <c r="P1666" s="244"/>
      <c r="Q1666" s="234"/>
      <c r="R1666" s="234"/>
      <c r="S1666" s="238"/>
      <c r="T1666" s="239"/>
      <c r="U1666" s="238"/>
      <c r="V1666" s="238"/>
      <c r="W1666" s="234"/>
      <c r="X1666" s="234"/>
      <c r="Y1666" s="234"/>
      <c r="Z1666" s="234"/>
      <c r="AA1666" s="234"/>
    </row>
    <row r="1667" ht="15.75" customHeight="1">
      <c r="A1667" s="91"/>
      <c r="B1667" s="91"/>
      <c r="C1667" s="220"/>
      <c r="D1667" s="91"/>
      <c r="E1667" s="221"/>
      <c r="F1667" s="91"/>
      <c r="G1667" s="91"/>
      <c r="H1667" s="242"/>
      <c r="I1667" s="91"/>
      <c r="J1667" s="234"/>
      <c r="K1667" s="243"/>
      <c r="L1667" s="236"/>
      <c r="M1667" s="236"/>
      <c r="N1667" s="236"/>
      <c r="O1667" s="244"/>
      <c r="P1667" s="244"/>
      <c r="Q1667" s="234"/>
      <c r="R1667" s="234"/>
      <c r="S1667" s="238"/>
      <c r="T1667" s="239"/>
      <c r="U1667" s="238"/>
      <c r="V1667" s="238"/>
      <c r="W1667" s="234"/>
      <c r="X1667" s="234"/>
      <c r="Y1667" s="234"/>
      <c r="Z1667" s="234"/>
      <c r="AA1667" s="234"/>
    </row>
    <row r="1668" ht="15.75" customHeight="1">
      <c r="A1668" s="91"/>
      <c r="B1668" s="91"/>
      <c r="C1668" s="220"/>
      <c r="D1668" s="91"/>
      <c r="E1668" s="221"/>
      <c r="F1668" s="91"/>
      <c r="G1668" s="91"/>
      <c r="H1668" s="242"/>
      <c r="I1668" s="91"/>
      <c r="J1668" s="234"/>
      <c r="K1668" s="243"/>
      <c r="L1668" s="236"/>
      <c r="M1668" s="236"/>
      <c r="N1668" s="236"/>
      <c r="O1668" s="244"/>
      <c r="P1668" s="244"/>
      <c r="Q1668" s="234"/>
      <c r="R1668" s="234"/>
      <c r="S1668" s="238"/>
      <c r="T1668" s="239"/>
      <c r="U1668" s="238"/>
      <c r="V1668" s="238"/>
      <c r="W1668" s="234"/>
      <c r="X1668" s="234"/>
      <c r="Y1668" s="234"/>
      <c r="Z1668" s="234"/>
      <c r="AA1668" s="234"/>
    </row>
    <row r="1669" ht="15.75" customHeight="1">
      <c r="A1669" s="91"/>
      <c r="B1669" s="91"/>
      <c r="C1669" s="220"/>
      <c r="D1669" s="91"/>
      <c r="E1669" s="221"/>
      <c r="F1669" s="91"/>
      <c r="G1669" s="91"/>
      <c r="H1669" s="242"/>
      <c r="I1669" s="91"/>
      <c r="J1669" s="234"/>
      <c r="K1669" s="243"/>
      <c r="L1669" s="236"/>
      <c r="M1669" s="236"/>
      <c r="N1669" s="236"/>
      <c r="O1669" s="244"/>
      <c r="P1669" s="244"/>
      <c r="Q1669" s="234"/>
      <c r="R1669" s="234"/>
      <c r="S1669" s="238"/>
      <c r="T1669" s="239"/>
      <c r="U1669" s="238"/>
      <c r="V1669" s="238"/>
      <c r="W1669" s="234"/>
      <c r="X1669" s="234"/>
      <c r="Y1669" s="234"/>
      <c r="Z1669" s="234"/>
      <c r="AA1669" s="234"/>
    </row>
    <row r="1670" ht="15.75" customHeight="1">
      <c r="A1670" s="91"/>
      <c r="B1670" s="91"/>
      <c r="C1670" s="220"/>
      <c r="D1670" s="91"/>
      <c r="E1670" s="221"/>
      <c r="F1670" s="91"/>
      <c r="G1670" s="91"/>
      <c r="H1670" s="242"/>
      <c r="I1670" s="91"/>
      <c r="J1670" s="234"/>
      <c r="K1670" s="243"/>
      <c r="L1670" s="236"/>
      <c r="M1670" s="236"/>
      <c r="N1670" s="236"/>
      <c r="O1670" s="244"/>
      <c r="P1670" s="244"/>
      <c r="Q1670" s="234"/>
      <c r="R1670" s="234"/>
      <c r="S1670" s="238"/>
      <c r="T1670" s="239"/>
      <c r="U1670" s="238"/>
      <c r="V1670" s="238"/>
      <c r="W1670" s="234"/>
      <c r="X1670" s="234"/>
      <c r="Y1670" s="234"/>
      <c r="Z1670" s="234"/>
      <c r="AA1670" s="234"/>
    </row>
    <row r="1671" ht="15.75" customHeight="1">
      <c r="A1671" s="91"/>
      <c r="B1671" s="91"/>
      <c r="C1671" s="220"/>
      <c r="D1671" s="91"/>
      <c r="E1671" s="221"/>
      <c r="F1671" s="91"/>
      <c r="G1671" s="91"/>
      <c r="H1671" s="242"/>
      <c r="I1671" s="91"/>
      <c r="J1671" s="234"/>
      <c r="K1671" s="243"/>
      <c r="L1671" s="236"/>
      <c r="M1671" s="236"/>
      <c r="N1671" s="236"/>
      <c r="O1671" s="244"/>
      <c r="P1671" s="244"/>
      <c r="Q1671" s="234"/>
      <c r="R1671" s="234"/>
      <c r="S1671" s="238"/>
      <c r="T1671" s="239"/>
      <c r="U1671" s="238"/>
      <c r="V1671" s="238"/>
      <c r="W1671" s="234"/>
      <c r="X1671" s="234"/>
      <c r="Y1671" s="234"/>
      <c r="Z1671" s="234"/>
      <c r="AA1671" s="234"/>
    </row>
    <row r="1672" ht="15.75" customHeight="1">
      <c r="A1672" s="91"/>
      <c r="B1672" s="91"/>
      <c r="C1672" s="220"/>
      <c r="D1672" s="91"/>
      <c r="E1672" s="221"/>
      <c r="F1672" s="91"/>
      <c r="G1672" s="91"/>
      <c r="H1672" s="242"/>
      <c r="I1672" s="91"/>
      <c r="J1672" s="234"/>
      <c r="K1672" s="243"/>
      <c r="L1672" s="236"/>
      <c r="M1672" s="236"/>
      <c r="N1672" s="236"/>
      <c r="O1672" s="244"/>
      <c r="P1672" s="244"/>
      <c r="Q1672" s="234"/>
      <c r="R1672" s="234"/>
      <c r="S1672" s="238"/>
      <c r="T1672" s="239"/>
      <c r="U1672" s="238"/>
      <c r="V1672" s="238"/>
      <c r="W1672" s="234"/>
      <c r="X1672" s="234"/>
      <c r="Y1672" s="234"/>
      <c r="Z1672" s="234"/>
      <c r="AA1672" s="234"/>
    </row>
    <row r="1673" ht="15.75" customHeight="1">
      <c r="A1673" s="91"/>
      <c r="B1673" s="91"/>
      <c r="C1673" s="220"/>
      <c r="D1673" s="91"/>
      <c r="E1673" s="221"/>
      <c r="F1673" s="91"/>
      <c r="G1673" s="91"/>
      <c r="H1673" s="242"/>
      <c r="I1673" s="91"/>
      <c r="J1673" s="234"/>
      <c r="K1673" s="243"/>
      <c r="L1673" s="236"/>
      <c r="M1673" s="236"/>
      <c r="N1673" s="236"/>
      <c r="O1673" s="244"/>
      <c r="P1673" s="244"/>
      <c r="Q1673" s="234"/>
      <c r="R1673" s="234"/>
      <c r="S1673" s="238"/>
      <c r="T1673" s="239"/>
      <c r="U1673" s="238"/>
      <c r="V1673" s="238"/>
      <c r="W1673" s="234"/>
      <c r="X1673" s="234"/>
      <c r="Y1673" s="234"/>
      <c r="Z1673" s="234"/>
      <c r="AA1673" s="234"/>
    </row>
    <row r="1674" ht="15.75" customHeight="1">
      <c r="A1674" s="91"/>
      <c r="B1674" s="91"/>
      <c r="C1674" s="220"/>
      <c r="D1674" s="91"/>
      <c r="E1674" s="221"/>
      <c r="F1674" s="91"/>
      <c r="G1674" s="91"/>
      <c r="H1674" s="242"/>
      <c r="I1674" s="91"/>
      <c r="J1674" s="234"/>
      <c r="K1674" s="243"/>
      <c r="L1674" s="236"/>
      <c r="M1674" s="236"/>
      <c r="N1674" s="236"/>
      <c r="O1674" s="244"/>
      <c r="P1674" s="244"/>
      <c r="Q1674" s="234"/>
      <c r="R1674" s="234"/>
      <c r="S1674" s="238"/>
      <c r="T1674" s="239"/>
      <c r="U1674" s="238"/>
      <c r="V1674" s="238"/>
      <c r="W1674" s="234"/>
      <c r="X1674" s="234"/>
      <c r="Y1674" s="234"/>
      <c r="Z1674" s="234"/>
      <c r="AA1674" s="234"/>
    </row>
    <row r="1675" ht="15.75" customHeight="1">
      <c r="A1675" s="91"/>
      <c r="B1675" s="91"/>
      <c r="C1675" s="220"/>
      <c r="D1675" s="91"/>
      <c r="E1675" s="221"/>
      <c r="F1675" s="91"/>
      <c r="G1675" s="91"/>
      <c r="H1675" s="242"/>
      <c r="I1675" s="91"/>
      <c r="J1675" s="234"/>
      <c r="K1675" s="243"/>
      <c r="L1675" s="236"/>
      <c r="M1675" s="236"/>
      <c r="N1675" s="236"/>
      <c r="O1675" s="244"/>
      <c r="P1675" s="244"/>
      <c r="Q1675" s="234"/>
      <c r="R1675" s="234"/>
      <c r="S1675" s="238"/>
      <c r="T1675" s="239"/>
      <c r="U1675" s="238"/>
      <c r="V1675" s="238"/>
      <c r="W1675" s="234"/>
      <c r="X1675" s="234"/>
      <c r="Y1675" s="234"/>
      <c r="Z1675" s="234"/>
      <c r="AA1675" s="234"/>
    </row>
    <row r="1676" ht="15.75" customHeight="1">
      <c r="A1676" s="91"/>
      <c r="B1676" s="91"/>
      <c r="C1676" s="220"/>
      <c r="D1676" s="91"/>
      <c r="E1676" s="221"/>
      <c r="F1676" s="91"/>
      <c r="G1676" s="91"/>
      <c r="H1676" s="242"/>
      <c r="I1676" s="91"/>
      <c r="J1676" s="234"/>
      <c r="K1676" s="243"/>
      <c r="L1676" s="236"/>
      <c r="M1676" s="236"/>
      <c r="N1676" s="236"/>
      <c r="O1676" s="244"/>
      <c r="P1676" s="244"/>
      <c r="Q1676" s="234"/>
      <c r="R1676" s="234"/>
      <c r="S1676" s="238"/>
      <c r="T1676" s="239"/>
      <c r="U1676" s="238"/>
      <c r="V1676" s="238"/>
      <c r="W1676" s="234"/>
      <c r="X1676" s="234"/>
      <c r="Y1676" s="234"/>
      <c r="Z1676" s="234"/>
      <c r="AA1676" s="234"/>
    </row>
    <row r="1677" ht="15.75" customHeight="1">
      <c r="A1677" s="91"/>
      <c r="B1677" s="91"/>
      <c r="C1677" s="220"/>
      <c r="D1677" s="91"/>
      <c r="E1677" s="221"/>
      <c r="F1677" s="91"/>
      <c r="G1677" s="91"/>
      <c r="H1677" s="242"/>
      <c r="I1677" s="91"/>
      <c r="J1677" s="234"/>
      <c r="K1677" s="243"/>
      <c r="L1677" s="236"/>
      <c r="M1677" s="236"/>
      <c r="N1677" s="236"/>
      <c r="O1677" s="244"/>
      <c r="P1677" s="244"/>
      <c r="Q1677" s="234"/>
      <c r="R1677" s="234"/>
      <c r="S1677" s="238"/>
      <c r="T1677" s="239"/>
      <c r="U1677" s="238"/>
      <c r="V1677" s="238"/>
      <c r="W1677" s="234"/>
      <c r="X1677" s="234"/>
      <c r="Y1677" s="234"/>
      <c r="Z1677" s="234"/>
      <c r="AA1677" s="234"/>
    </row>
    <row r="1678" ht="15.75" customHeight="1">
      <c r="A1678" s="91"/>
      <c r="B1678" s="91"/>
      <c r="C1678" s="220"/>
      <c r="D1678" s="91"/>
      <c r="E1678" s="221"/>
      <c r="F1678" s="91"/>
      <c r="G1678" s="91"/>
      <c r="H1678" s="242"/>
      <c r="I1678" s="91"/>
      <c r="J1678" s="234"/>
      <c r="K1678" s="243"/>
      <c r="L1678" s="236"/>
      <c r="M1678" s="236"/>
      <c r="N1678" s="236"/>
      <c r="O1678" s="244"/>
      <c r="P1678" s="244"/>
      <c r="Q1678" s="234"/>
      <c r="R1678" s="234"/>
      <c r="S1678" s="238"/>
      <c r="T1678" s="239"/>
      <c r="U1678" s="238"/>
      <c r="V1678" s="238"/>
      <c r="W1678" s="234"/>
      <c r="X1678" s="234"/>
      <c r="Y1678" s="234"/>
      <c r="Z1678" s="234"/>
      <c r="AA1678" s="234"/>
    </row>
    <row r="1679" ht="15.75" customHeight="1">
      <c r="A1679" s="91"/>
      <c r="B1679" s="91"/>
      <c r="C1679" s="220"/>
      <c r="D1679" s="91"/>
      <c r="E1679" s="221"/>
      <c r="F1679" s="91"/>
      <c r="G1679" s="91"/>
      <c r="H1679" s="242"/>
      <c r="I1679" s="91"/>
      <c r="J1679" s="234"/>
      <c r="K1679" s="243"/>
      <c r="L1679" s="236"/>
      <c r="M1679" s="236"/>
      <c r="N1679" s="236"/>
      <c r="O1679" s="244"/>
      <c r="P1679" s="244"/>
      <c r="Q1679" s="234"/>
      <c r="R1679" s="234"/>
      <c r="S1679" s="238"/>
      <c r="T1679" s="239"/>
      <c r="U1679" s="238"/>
      <c r="V1679" s="238"/>
      <c r="W1679" s="234"/>
      <c r="X1679" s="234"/>
      <c r="Y1679" s="234"/>
      <c r="Z1679" s="234"/>
      <c r="AA1679" s="234"/>
    </row>
    <row r="1680" ht="15.75" customHeight="1">
      <c r="A1680" s="91"/>
      <c r="B1680" s="91"/>
      <c r="C1680" s="220"/>
      <c r="D1680" s="91"/>
      <c r="E1680" s="221"/>
      <c r="F1680" s="91"/>
      <c r="G1680" s="91"/>
      <c r="H1680" s="242"/>
      <c r="I1680" s="91"/>
      <c r="J1680" s="234"/>
      <c r="K1680" s="243"/>
      <c r="L1680" s="236"/>
      <c r="M1680" s="236"/>
      <c r="N1680" s="236"/>
      <c r="O1680" s="244"/>
      <c r="P1680" s="244"/>
      <c r="Q1680" s="234"/>
      <c r="R1680" s="234"/>
      <c r="S1680" s="238"/>
      <c r="T1680" s="239"/>
      <c r="U1680" s="238"/>
      <c r="V1680" s="238"/>
      <c r="W1680" s="234"/>
      <c r="X1680" s="234"/>
      <c r="Y1680" s="234"/>
      <c r="Z1680" s="234"/>
      <c r="AA1680" s="234"/>
    </row>
    <row r="1681" ht="15.75" customHeight="1">
      <c r="A1681" s="91"/>
      <c r="B1681" s="91"/>
      <c r="C1681" s="220"/>
      <c r="D1681" s="91"/>
      <c r="E1681" s="221"/>
      <c r="F1681" s="91"/>
      <c r="G1681" s="91"/>
      <c r="H1681" s="242"/>
      <c r="I1681" s="91"/>
      <c r="J1681" s="234"/>
      <c r="K1681" s="243"/>
      <c r="L1681" s="236"/>
      <c r="M1681" s="236"/>
      <c r="N1681" s="236"/>
      <c r="O1681" s="244"/>
      <c r="P1681" s="244"/>
      <c r="Q1681" s="234"/>
      <c r="R1681" s="234"/>
      <c r="S1681" s="238"/>
      <c r="T1681" s="239"/>
      <c r="U1681" s="238"/>
      <c r="V1681" s="238"/>
      <c r="W1681" s="234"/>
      <c r="X1681" s="234"/>
      <c r="Y1681" s="234"/>
      <c r="Z1681" s="234"/>
      <c r="AA1681" s="234"/>
    </row>
    <row r="1682" ht="15.75" customHeight="1">
      <c r="A1682" s="91"/>
      <c r="B1682" s="91"/>
      <c r="C1682" s="220"/>
      <c r="D1682" s="91"/>
      <c r="E1682" s="221"/>
      <c r="F1682" s="91"/>
      <c r="G1682" s="91"/>
      <c r="H1682" s="242"/>
      <c r="I1682" s="91"/>
      <c r="J1682" s="234"/>
      <c r="K1682" s="243"/>
      <c r="L1682" s="236"/>
      <c r="M1682" s="236"/>
      <c r="N1682" s="236"/>
      <c r="O1682" s="244"/>
      <c r="P1682" s="244"/>
      <c r="Q1682" s="234"/>
      <c r="R1682" s="234"/>
      <c r="S1682" s="238"/>
      <c r="T1682" s="239"/>
      <c r="U1682" s="238"/>
      <c r="V1682" s="238"/>
      <c r="W1682" s="234"/>
      <c r="X1682" s="234"/>
      <c r="Y1682" s="234"/>
      <c r="Z1682" s="234"/>
      <c r="AA1682" s="234"/>
    </row>
    <row r="1683" ht="15.75" customHeight="1">
      <c r="A1683" s="91"/>
      <c r="B1683" s="91"/>
      <c r="C1683" s="220"/>
      <c r="D1683" s="91"/>
      <c r="E1683" s="221"/>
      <c r="F1683" s="91"/>
      <c r="G1683" s="91"/>
      <c r="H1683" s="242"/>
      <c r="I1683" s="91"/>
      <c r="J1683" s="234"/>
      <c r="K1683" s="243"/>
      <c r="L1683" s="236"/>
      <c r="M1683" s="236"/>
      <c r="N1683" s="236"/>
      <c r="O1683" s="244"/>
      <c r="P1683" s="244"/>
      <c r="Q1683" s="234"/>
      <c r="R1683" s="234"/>
      <c r="S1683" s="238"/>
      <c r="T1683" s="239"/>
      <c r="U1683" s="238"/>
      <c r="V1683" s="238"/>
      <c r="W1683" s="234"/>
      <c r="X1683" s="234"/>
      <c r="Y1683" s="234"/>
      <c r="Z1683" s="234"/>
      <c r="AA1683" s="234"/>
    </row>
    <row r="1684" ht="15.75" customHeight="1">
      <c r="A1684" s="91"/>
      <c r="B1684" s="91"/>
      <c r="C1684" s="220"/>
      <c r="D1684" s="91"/>
      <c r="E1684" s="221"/>
      <c r="F1684" s="91"/>
      <c r="G1684" s="91"/>
      <c r="H1684" s="242"/>
      <c r="I1684" s="91"/>
      <c r="J1684" s="234"/>
      <c r="K1684" s="243"/>
      <c r="L1684" s="236"/>
      <c r="M1684" s="236"/>
      <c r="N1684" s="236"/>
      <c r="O1684" s="244"/>
      <c r="P1684" s="244"/>
      <c r="Q1684" s="234"/>
      <c r="R1684" s="234"/>
      <c r="S1684" s="238"/>
      <c r="T1684" s="239"/>
      <c r="U1684" s="238"/>
      <c r="V1684" s="238"/>
      <c r="W1684" s="234"/>
      <c r="X1684" s="234"/>
      <c r="Y1684" s="234"/>
      <c r="Z1684" s="234"/>
      <c r="AA1684" s="234"/>
    </row>
    <row r="1685" ht="15.75" customHeight="1">
      <c r="A1685" s="91"/>
      <c r="B1685" s="91"/>
      <c r="C1685" s="220"/>
      <c r="D1685" s="91"/>
      <c r="E1685" s="221"/>
      <c r="F1685" s="91"/>
      <c r="G1685" s="91"/>
      <c r="H1685" s="242"/>
      <c r="I1685" s="91"/>
      <c r="J1685" s="234"/>
      <c r="K1685" s="243"/>
      <c r="L1685" s="236"/>
      <c r="M1685" s="236"/>
      <c r="N1685" s="236"/>
      <c r="O1685" s="244"/>
      <c r="P1685" s="244"/>
      <c r="Q1685" s="234"/>
      <c r="R1685" s="234"/>
      <c r="S1685" s="238"/>
      <c r="T1685" s="239"/>
      <c r="U1685" s="238"/>
      <c r="V1685" s="238"/>
      <c r="W1685" s="234"/>
      <c r="X1685" s="234"/>
      <c r="Y1685" s="234"/>
      <c r="Z1685" s="234"/>
      <c r="AA1685" s="234"/>
    </row>
    <row r="1686" ht="15.75" customHeight="1">
      <c r="A1686" s="91"/>
      <c r="B1686" s="91"/>
      <c r="C1686" s="220"/>
      <c r="D1686" s="91"/>
      <c r="E1686" s="221"/>
      <c r="F1686" s="91"/>
      <c r="G1686" s="91"/>
      <c r="H1686" s="242"/>
      <c r="I1686" s="91"/>
      <c r="J1686" s="234"/>
      <c r="K1686" s="243"/>
      <c r="L1686" s="236"/>
      <c r="M1686" s="236"/>
      <c r="N1686" s="236"/>
      <c r="O1686" s="244"/>
      <c r="P1686" s="244"/>
      <c r="Q1686" s="234"/>
      <c r="R1686" s="234"/>
      <c r="S1686" s="238"/>
      <c r="T1686" s="239"/>
      <c r="U1686" s="238"/>
      <c r="V1686" s="238"/>
      <c r="W1686" s="234"/>
      <c r="X1686" s="234"/>
      <c r="Y1686" s="234"/>
      <c r="Z1686" s="234"/>
      <c r="AA1686" s="234"/>
    </row>
    <row r="1687" ht="15.75" customHeight="1">
      <c r="A1687" s="91"/>
      <c r="B1687" s="91"/>
      <c r="C1687" s="220"/>
      <c r="D1687" s="91"/>
      <c r="E1687" s="221"/>
      <c r="F1687" s="91"/>
      <c r="G1687" s="91"/>
      <c r="H1687" s="242"/>
      <c r="I1687" s="91"/>
      <c r="J1687" s="234"/>
      <c r="K1687" s="243"/>
      <c r="L1687" s="236"/>
      <c r="M1687" s="236"/>
      <c r="N1687" s="236"/>
      <c r="O1687" s="244"/>
      <c r="P1687" s="244"/>
      <c r="Q1687" s="234"/>
      <c r="R1687" s="234"/>
      <c r="S1687" s="238"/>
      <c r="T1687" s="239"/>
      <c r="U1687" s="238"/>
      <c r="V1687" s="238"/>
      <c r="W1687" s="234"/>
      <c r="X1687" s="234"/>
      <c r="Y1687" s="234"/>
      <c r="Z1687" s="234"/>
      <c r="AA1687" s="234"/>
    </row>
    <row r="1688" ht="15.75" customHeight="1">
      <c r="A1688" s="91"/>
      <c r="B1688" s="91"/>
      <c r="C1688" s="220"/>
      <c r="D1688" s="91"/>
      <c r="E1688" s="221"/>
      <c r="F1688" s="91"/>
      <c r="G1688" s="91"/>
      <c r="H1688" s="242"/>
      <c r="I1688" s="91"/>
      <c r="J1688" s="234"/>
      <c r="K1688" s="243"/>
      <c r="L1688" s="236"/>
      <c r="M1688" s="236"/>
      <c r="N1688" s="236"/>
      <c r="O1688" s="244"/>
      <c r="P1688" s="244"/>
      <c r="Q1688" s="234"/>
      <c r="R1688" s="234"/>
      <c r="S1688" s="238"/>
      <c r="T1688" s="239"/>
      <c r="U1688" s="238"/>
      <c r="V1688" s="238"/>
      <c r="W1688" s="234"/>
      <c r="X1688" s="234"/>
      <c r="Y1688" s="234"/>
      <c r="Z1688" s="234"/>
      <c r="AA1688" s="234"/>
    </row>
    <row r="1689" ht="15.75" customHeight="1">
      <c r="A1689" s="91"/>
      <c r="B1689" s="91"/>
      <c r="C1689" s="220"/>
      <c r="D1689" s="91"/>
      <c r="E1689" s="221"/>
      <c r="F1689" s="91"/>
      <c r="G1689" s="91"/>
      <c r="H1689" s="242"/>
      <c r="I1689" s="91"/>
      <c r="J1689" s="234"/>
      <c r="K1689" s="243"/>
      <c r="L1689" s="236"/>
      <c r="M1689" s="236"/>
      <c r="N1689" s="236"/>
      <c r="O1689" s="244"/>
      <c r="P1689" s="244"/>
      <c r="Q1689" s="234"/>
      <c r="R1689" s="234"/>
      <c r="S1689" s="238"/>
      <c r="T1689" s="239"/>
      <c r="U1689" s="238"/>
      <c r="V1689" s="238"/>
      <c r="W1689" s="234"/>
      <c r="X1689" s="234"/>
      <c r="Y1689" s="234"/>
      <c r="Z1689" s="234"/>
      <c r="AA1689" s="234"/>
    </row>
    <row r="1690" ht="15.75" customHeight="1">
      <c r="A1690" s="91"/>
      <c r="B1690" s="91"/>
      <c r="C1690" s="220"/>
      <c r="D1690" s="91"/>
      <c r="E1690" s="221"/>
      <c r="F1690" s="91"/>
      <c r="G1690" s="91"/>
      <c r="H1690" s="242"/>
      <c r="I1690" s="91"/>
      <c r="J1690" s="234"/>
      <c r="K1690" s="243"/>
      <c r="L1690" s="236"/>
      <c r="M1690" s="236"/>
      <c r="N1690" s="236"/>
      <c r="O1690" s="244"/>
      <c r="P1690" s="244"/>
      <c r="Q1690" s="234"/>
      <c r="R1690" s="234"/>
      <c r="S1690" s="238"/>
      <c r="T1690" s="239"/>
      <c r="U1690" s="238"/>
      <c r="V1690" s="238"/>
      <c r="W1690" s="234"/>
      <c r="X1690" s="234"/>
      <c r="Y1690" s="234"/>
      <c r="Z1690" s="234"/>
      <c r="AA1690" s="234"/>
    </row>
    <row r="1691" ht="15.75" customHeight="1">
      <c r="A1691" s="91"/>
      <c r="B1691" s="91"/>
      <c r="C1691" s="220"/>
      <c r="D1691" s="91"/>
      <c r="E1691" s="221"/>
      <c r="F1691" s="91"/>
      <c r="G1691" s="91"/>
      <c r="H1691" s="242"/>
      <c r="I1691" s="91"/>
      <c r="J1691" s="234"/>
      <c r="K1691" s="243"/>
      <c r="L1691" s="236"/>
      <c r="M1691" s="236"/>
      <c r="N1691" s="236"/>
      <c r="O1691" s="244"/>
      <c r="P1691" s="244"/>
      <c r="Q1691" s="234"/>
      <c r="R1691" s="234"/>
      <c r="S1691" s="238"/>
      <c r="T1691" s="239"/>
      <c r="U1691" s="238"/>
      <c r="V1691" s="238"/>
      <c r="W1691" s="234"/>
      <c r="X1691" s="234"/>
      <c r="Y1691" s="234"/>
      <c r="Z1691" s="234"/>
      <c r="AA1691" s="234"/>
    </row>
    <row r="1692" ht="15.75" customHeight="1">
      <c r="A1692" s="91"/>
      <c r="B1692" s="91"/>
      <c r="C1692" s="220"/>
      <c r="D1692" s="91"/>
      <c r="E1692" s="221"/>
      <c r="F1692" s="91"/>
      <c r="G1692" s="91"/>
      <c r="H1692" s="242"/>
      <c r="I1692" s="91"/>
      <c r="J1692" s="234"/>
      <c r="K1692" s="243"/>
      <c r="L1692" s="236"/>
      <c r="M1692" s="236"/>
      <c r="N1692" s="236"/>
      <c r="O1692" s="244"/>
      <c r="P1692" s="244"/>
      <c r="Q1692" s="234"/>
      <c r="R1692" s="234"/>
      <c r="S1692" s="238"/>
      <c r="T1692" s="239"/>
      <c r="U1692" s="238"/>
      <c r="V1692" s="238"/>
      <c r="W1692" s="234"/>
      <c r="X1692" s="234"/>
      <c r="Y1692" s="234"/>
      <c r="Z1692" s="234"/>
      <c r="AA1692" s="234"/>
    </row>
    <row r="1693" ht="15.75" customHeight="1">
      <c r="A1693" s="91"/>
      <c r="B1693" s="91"/>
      <c r="C1693" s="220"/>
      <c r="D1693" s="91"/>
      <c r="E1693" s="221"/>
      <c r="F1693" s="91"/>
      <c r="G1693" s="91"/>
      <c r="H1693" s="242"/>
      <c r="I1693" s="91"/>
      <c r="J1693" s="234"/>
      <c r="K1693" s="243"/>
      <c r="L1693" s="236"/>
      <c r="M1693" s="236"/>
      <c r="N1693" s="236"/>
      <c r="O1693" s="244"/>
      <c r="P1693" s="244"/>
      <c r="Q1693" s="234"/>
      <c r="R1693" s="234"/>
      <c r="S1693" s="238"/>
      <c r="T1693" s="239"/>
      <c r="U1693" s="238"/>
      <c r="V1693" s="238"/>
      <c r="W1693" s="234"/>
      <c r="X1693" s="234"/>
      <c r="Y1693" s="234"/>
      <c r="Z1693" s="234"/>
      <c r="AA1693" s="234"/>
    </row>
    <row r="1694" ht="15.75" customHeight="1">
      <c r="A1694" s="91"/>
      <c r="B1694" s="91"/>
      <c r="C1694" s="220"/>
      <c r="D1694" s="91"/>
      <c r="E1694" s="221"/>
      <c r="F1694" s="91"/>
      <c r="G1694" s="91"/>
      <c r="H1694" s="242"/>
      <c r="I1694" s="91"/>
      <c r="J1694" s="234"/>
      <c r="K1694" s="243"/>
      <c r="L1694" s="236"/>
      <c r="M1694" s="236"/>
      <c r="N1694" s="236"/>
      <c r="O1694" s="244"/>
      <c r="P1694" s="244"/>
      <c r="Q1694" s="234"/>
      <c r="R1694" s="234"/>
      <c r="S1694" s="238"/>
      <c r="T1694" s="239"/>
      <c r="U1694" s="238"/>
      <c r="V1694" s="238"/>
      <c r="W1694" s="234"/>
      <c r="X1694" s="234"/>
      <c r="Y1694" s="234"/>
      <c r="Z1694" s="234"/>
      <c r="AA1694" s="234"/>
    </row>
    <row r="1695" ht="15.75" customHeight="1">
      <c r="A1695" s="91"/>
      <c r="B1695" s="91"/>
      <c r="C1695" s="220"/>
      <c r="D1695" s="91"/>
      <c r="E1695" s="221"/>
      <c r="F1695" s="91"/>
      <c r="G1695" s="91"/>
      <c r="H1695" s="242"/>
      <c r="I1695" s="91"/>
      <c r="J1695" s="234"/>
      <c r="K1695" s="243"/>
      <c r="L1695" s="236"/>
      <c r="M1695" s="236"/>
      <c r="N1695" s="236"/>
      <c r="O1695" s="244"/>
      <c r="P1695" s="244"/>
      <c r="Q1695" s="234"/>
      <c r="R1695" s="234"/>
      <c r="S1695" s="238"/>
      <c r="T1695" s="239"/>
      <c r="U1695" s="238"/>
      <c r="V1695" s="238"/>
      <c r="W1695" s="234"/>
      <c r="X1695" s="234"/>
      <c r="Y1695" s="234"/>
      <c r="Z1695" s="234"/>
      <c r="AA1695" s="234"/>
    </row>
    <row r="1696" ht="15.75" customHeight="1">
      <c r="A1696" s="91"/>
      <c r="B1696" s="91"/>
      <c r="C1696" s="220"/>
      <c r="D1696" s="91"/>
      <c r="E1696" s="221"/>
      <c r="F1696" s="91"/>
      <c r="G1696" s="91"/>
      <c r="H1696" s="242"/>
      <c r="I1696" s="91"/>
      <c r="J1696" s="234"/>
      <c r="K1696" s="243"/>
      <c r="L1696" s="236"/>
      <c r="M1696" s="236"/>
      <c r="N1696" s="236"/>
      <c r="O1696" s="244"/>
      <c r="P1696" s="244"/>
      <c r="Q1696" s="234"/>
      <c r="R1696" s="234"/>
      <c r="S1696" s="238"/>
      <c r="T1696" s="239"/>
      <c r="U1696" s="238"/>
      <c r="V1696" s="238"/>
      <c r="W1696" s="234"/>
      <c r="X1696" s="234"/>
      <c r="Y1696" s="234"/>
      <c r="Z1696" s="234"/>
      <c r="AA1696" s="234"/>
    </row>
    <row r="1697" ht="15.75" customHeight="1">
      <c r="A1697" s="91"/>
      <c r="B1697" s="91"/>
      <c r="C1697" s="220"/>
      <c r="D1697" s="91"/>
      <c r="E1697" s="221"/>
      <c r="F1697" s="91"/>
      <c r="G1697" s="91"/>
      <c r="H1697" s="242"/>
      <c r="I1697" s="91"/>
      <c r="J1697" s="234"/>
      <c r="K1697" s="243"/>
      <c r="L1697" s="236"/>
      <c r="M1697" s="236"/>
      <c r="N1697" s="236"/>
      <c r="O1697" s="244"/>
      <c r="P1697" s="244"/>
      <c r="Q1697" s="234"/>
      <c r="R1697" s="234"/>
      <c r="S1697" s="238"/>
      <c r="T1697" s="239"/>
      <c r="U1697" s="238"/>
      <c r="V1697" s="238"/>
      <c r="W1697" s="234"/>
      <c r="X1697" s="234"/>
      <c r="Y1697" s="234"/>
      <c r="Z1697" s="234"/>
      <c r="AA1697" s="234"/>
    </row>
    <row r="1698" ht="15.75" customHeight="1">
      <c r="A1698" s="91"/>
      <c r="B1698" s="91"/>
      <c r="C1698" s="220"/>
      <c r="D1698" s="91"/>
      <c r="E1698" s="221"/>
      <c r="F1698" s="91"/>
      <c r="G1698" s="91"/>
      <c r="H1698" s="242"/>
      <c r="I1698" s="91"/>
      <c r="J1698" s="234"/>
      <c r="K1698" s="243"/>
      <c r="L1698" s="236"/>
      <c r="M1698" s="236"/>
      <c r="N1698" s="236"/>
      <c r="O1698" s="244"/>
      <c r="P1698" s="244"/>
      <c r="Q1698" s="234"/>
      <c r="R1698" s="234"/>
      <c r="S1698" s="238"/>
      <c r="T1698" s="239"/>
      <c r="U1698" s="238"/>
      <c r="V1698" s="238"/>
      <c r="W1698" s="234"/>
      <c r="X1698" s="234"/>
      <c r="Y1698" s="234"/>
      <c r="Z1698" s="234"/>
      <c r="AA1698" s="234"/>
    </row>
    <row r="1699" ht="15.75" customHeight="1">
      <c r="A1699" s="91"/>
      <c r="B1699" s="91"/>
      <c r="C1699" s="220"/>
      <c r="D1699" s="91"/>
      <c r="E1699" s="221"/>
      <c r="F1699" s="91"/>
      <c r="G1699" s="91"/>
      <c r="H1699" s="242"/>
      <c r="I1699" s="91"/>
      <c r="J1699" s="234"/>
      <c r="K1699" s="243"/>
      <c r="L1699" s="236"/>
      <c r="M1699" s="236"/>
      <c r="N1699" s="236"/>
      <c r="O1699" s="244"/>
      <c r="P1699" s="244"/>
      <c r="Q1699" s="234"/>
      <c r="R1699" s="234"/>
      <c r="S1699" s="238"/>
      <c r="T1699" s="239"/>
      <c r="U1699" s="238"/>
      <c r="V1699" s="238"/>
      <c r="W1699" s="234"/>
      <c r="X1699" s="234"/>
      <c r="Y1699" s="234"/>
      <c r="Z1699" s="234"/>
      <c r="AA1699" s="234"/>
    </row>
    <row r="1700" ht="15.75" customHeight="1">
      <c r="A1700" s="91"/>
      <c r="B1700" s="91"/>
      <c r="C1700" s="220"/>
      <c r="D1700" s="91"/>
      <c r="E1700" s="221"/>
      <c r="F1700" s="91"/>
      <c r="G1700" s="91"/>
      <c r="H1700" s="242"/>
      <c r="I1700" s="91"/>
      <c r="J1700" s="234"/>
      <c r="K1700" s="243"/>
      <c r="L1700" s="236"/>
      <c r="M1700" s="236"/>
      <c r="N1700" s="236"/>
      <c r="O1700" s="244"/>
      <c r="P1700" s="244"/>
      <c r="Q1700" s="234"/>
      <c r="R1700" s="234"/>
      <c r="S1700" s="238"/>
      <c r="T1700" s="239"/>
      <c r="U1700" s="238"/>
      <c r="V1700" s="238"/>
      <c r="W1700" s="234"/>
      <c r="X1700" s="234"/>
      <c r="Y1700" s="234"/>
      <c r="Z1700" s="234"/>
      <c r="AA1700" s="234"/>
    </row>
    <row r="1701" ht="15.75" customHeight="1">
      <c r="A1701" s="91"/>
      <c r="B1701" s="91"/>
      <c r="C1701" s="220"/>
      <c r="D1701" s="91"/>
      <c r="E1701" s="221"/>
      <c r="F1701" s="91"/>
      <c r="G1701" s="91"/>
      <c r="H1701" s="242"/>
      <c r="I1701" s="91"/>
      <c r="J1701" s="234"/>
      <c r="K1701" s="243"/>
      <c r="L1701" s="236"/>
      <c r="M1701" s="236"/>
      <c r="N1701" s="236"/>
      <c r="O1701" s="244"/>
      <c r="P1701" s="244"/>
      <c r="Q1701" s="234"/>
      <c r="R1701" s="234"/>
      <c r="S1701" s="238"/>
      <c r="T1701" s="239"/>
      <c r="U1701" s="238"/>
      <c r="V1701" s="238"/>
      <c r="W1701" s="234"/>
      <c r="X1701" s="234"/>
      <c r="Y1701" s="234"/>
      <c r="Z1701" s="234"/>
      <c r="AA1701" s="234"/>
    </row>
    <row r="1702" ht="15.75" customHeight="1">
      <c r="A1702" s="91"/>
      <c r="B1702" s="91"/>
      <c r="C1702" s="220"/>
      <c r="D1702" s="91"/>
      <c r="E1702" s="221"/>
      <c r="F1702" s="91"/>
      <c r="G1702" s="91"/>
      <c r="H1702" s="242"/>
      <c r="I1702" s="91"/>
      <c r="J1702" s="234"/>
      <c r="K1702" s="243"/>
      <c r="L1702" s="236"/>
      <c r="M1702" s="236"/>
      <c r="N1702" s="236"/>
      <c r="O1702" s="244"/>
      <c r="P1702" s="244"/>
      <c r="Q1702" s="234"/>
      <c r="R1702" s="234"/>
      <c r="S1702" s="238"/>
      <c r="T1702" s="239"/>
      <c r="U1702" s="238"/>
      <c r="V1702" s="238"/>
      <c r="W1702" s="234"/>
      <c r="X1702" s="234"/>
      <c r="Y1702" s="234"/>
      <c r="Z1702" s="234"/>
      <c r="AA1702" s="234"/>
    </row>
    <row r="1703" ht="15.75" customHeight="1">
      <c r="A1703" s="91"/>
      <c r="B1703" s="91"/>
      <c r="C1703" s="220"/>
      <c r="D1703" s="91"/>
      <c r="E1703" s="221"/>
      <c r="F1703" s="91"/>
      <c r="G1703" s="91"/>
      <c r="H1703" s="242"/>
      <c r="I1703" s="91"/>
      <c r="J1703" s="234"/>
      <c r="K1703" s="243"/>
      <c r="L1703" s="236"/>
      <c r="M1703" s="236"/>
      <c r="N1703" s="236"/>
      <c r="O1703" s="244"/>
      <c r="P1703" s="244"/>
      <c r="Q1703" s="234"/>
      <c r="R1703" s="234"/>
      <c r="S1703" s="238"/>
      <c r="T1703" s="239"/>
      <c r="U1703" s="238"/>
      <c r="V1703" s="238"/>
      <c r="W1703" s="234"/>
      <c r="X1703" s="234"/>
      <c r="Y1703" s="234"/>
      <c r="Z1703" s="234"/>
      <c r="AA1703" s="234"/>
    </row>
    <row r="1704" ht="15.75" customHeight="1">
      <c r="A1704" s="91"/>
      <c r="B1704" s="91"/>
      <c r="C1704" s="220"/>
      <c r="D1704" s="91"/>
      <c r="E1704" s="221"/>
      <c r="F1704" s="91"/>
      <c r="G1704" s="91"/>
      <c r="H1704" s="242"/>
      <c r="I1704" s="91"/>
      <c r="J1704" s="234"/>
      <c r="K1704" s="243"/>
      <c r="L1704" s="236"/>
      <c r="M1704" s="236"/>
      <c r="N1704" s="236"/>
      <c r="O1704" s="244"/>
      <c r="P1704" s="244"/>
      <c r="Q1704" s="234"/>
      <c r="R1704" s="234"/>
      <c r="S1704" s="238"/>
      <c r="T1704" s="239"/>
      <c r="U1704" s="238"/>
      <c r="V1704" s="238"/>
      <c r="W1704" s="234"/>
      <c r="X1704" s="234"/>
      <c r="Y1704" s="234"/>
      <c r="Z1704" s="234"/>
      <c r="AA1704" s="234"/>
    </row>
    <row r="1705" ht="15.75" customHeight="1">
      <c r="A1705" s="91"/>
      <c r="B1705" s="91"/>
      <c r="C1705" s="220"/>
      <c r="D1705" s="91"/>
      <c r="E1705" s="221"/>
      <c r="F1705" s="91"/>
      <c r="G1705" s="91"/>
      <c r="H1705" s="242"/>
      <c r="I1705" s="91"/>
      <c r="J1705" s="234"/>
      <c r="K1705" s="243"/>
      <c r="L1705" s="236"/>
      <c r="M1705" s="236"/>
      <c r="N1705" s="236"/>
      <c r="O1705" s="244"/>
      <c r="P1705" s="244"/>
      <c r="Q1705" s="234"/>
      <c r="R1705" s="234"/>
      <c r="S1705" s="238"/>
      <c r="T1705" s="239"/>
      <c r="U1705" s="238"/>
      <c r="V1705" s="238"/>
      <c r="W1705" s="234"/>
      <c r="X1705" s="234"/>
      <c r="Y1705" s="234"/>
      <c r="Z1705" s="234"/>
      <c r="AA1705" s="234"/>
    </row>
    <row r="1706" ht="15.75" customHeight="1">
      <c r="A1706" s="91"/>
      <c r="B1706" s="91"/>
      <c r="C1706" s="220"/>
      <c r="D1706" s="91"/>
      <c r="E1706" s="221"/>
      <c r="F1706" s="91"/>
      <c r="G1706" s="91"/>
      <c r="H1706" s="242"/>
      <c r="I1706" s="91"/>
      <c r="J1706" s="234"/>
      <c r="K1706" s="243"/>
      <c r="L1706" s="236"/>
      <c r="M1706" s="236"/>
      <c r="N1706" s="236"/>
      <c r="O1706" s="244"/>
      <c r="P1706" s="244"/>
      <c r="Q1706" s="234"/>
      <c r="R1706" s="234"/>
      <c r="S1706" s="238"/>
      <c r="T1706" s="239"/>
      <c r="U1706" s="238"/>
      <c r="V1706" s="238"/>
      <c r="W1706" s="234"/>
      <c r="X1706" s="234"/>
      <c r="Y1706" s="234"/>
      <c r="Z1706" s="234"/>
      <c r="AA1706" s="234"/>
    </row>
    <row r="1707" ht="15.75" customHeight="1">
      <c r="A1707" s="91"/>
      <c r="B1707" s="91"/>
      <c r="C1707" s="220"/>
      <c r="D1707" s="91"/>
      <c r="E1707" s="221"/>
      <c r="F1707" s="91"/>
      <c r="G1707" s="91"/>
      <c r="H1707" s="242"/>
      <c r="I1707" s="91"/>
      <c r="J1707" s="234"/>
      <c r="K1707" s="243"/>
      <c r="L1707" s="236"/>
      <c r="M1707" s="236"/>
      <c r="N1707" s="236"/>
      <c r="O1707" s="244"/>
      <c r="P1707" s="244"/>
      <c r="Q1707" s="234"/>
      <c r="R1707" s="234"/>
      <c r="S1707" s="238"/>
      <c r="T1707" s="239"/>
      <c r="U1707" s="238"/>
      <c r="V1707" s="238"/>
      <c r="W1707" s="234"/>
      <c r="X1707" s="234"/>
      <c r="Y1707" s="234"/>
      <c r="Z1707" s="234"/>
      <c r="AA1707" s="234"/>
    </row>
    <row r="1708" ht="15.75" customHeight="1">
      <c r="A1708" s="91"/>
      <c r="B1708" s="91"/>
      <c r="C1708" s="220"/>
      <c r="D1708" s="91"/>
      <c r="E1708" s="221"/>
      <c r="F1708" s="91"/>
      <c r="G1708" s="91"/>
      <c r="H1708" s="242"/>
      <c r="I1708" s="91"/>
      <c r="J1708" s="234"/>
      <c r="K1708" s="243"/>
      <c r="L1708" s="236"/>
      <c r="M1708" s="236"/>
      <c r="N1708" s="236"/>
      <c r="O1708" s="244"/>
      <c r="P1708" s="244"/>
      <c r="Q1708" s="234"/>
      <c r="R1708" s="234"/>
      <c r="S1708" s="238"/>
      <c r="T1708" s="239"/>
      <c r="U1708" s="238"/>
      <c r="V1708" s="238"/>
      <c r="W1708" s="234"/>
      <c r="X1708" s="234"/>
      <c r="Y1708" s="234"/>
      <c r="Z1708" s="234"/>
      <c r="AA1708" s="234"/>
    </row>
    <row r="1709" ht="15.75" customHeight="1">
      <c r="A1709" s="91"/>
      <c r="B1709" s="91"/>
      <c r="C1709" s="220"/>
      <c r="D1709" s="91"/>
      <c r="E1709" s="221"/>
      <c r="F1709" s="91"/>
      <c r="G1709" s="91"/>
      <c r="H1709" s="242"/>
      <c r="I1709" s="91"/>
      <c r="J1709" s="234"/>
      <c r="K1709" s="243"/>
      <c r="L1709" s="236"/>
      <c r="M1709" s="236"/>
      <c r="N1709" s="236"/>
      <c r="O1709" s="244"/>
      <c r="P1709" s="244"/>
      <c r="Q1709" s="234"/>
      <c r="R1709" s="234"/>
      <c r="S1709" s="238"/>
      <c r="T1709" s="239"/>
      <c r="U1709" s="238"/>
      <c r="V1709" s="238"/>
      <c r="W1709" s="234"/>
      <c r="X1709" s="234"/>
      <c r="Y1709" s="234"/>
      <c r="Z1709" s="234"/>
      <c r="AA1709" s="234"/>
    </row>
    <row r="1710" ht="15.75" customHeight="1">
      <c r="A1710" s="91"/>
      <c r="B1710" s="91"/>
      <c r="C1710" s="220"/>
      <c r="D1710" s="91"/>
      <c r="E1710" s="221"/>
      <c r="F1710" s="91"/>
      <c r="G1710" s="91"/>
      <c r="H1710" s="242"/>
      <c r="I1710" s="91"/>
      <c r="J1710" s="234"/>
      <c r="K1710" s="243"/>
      <c r="L1710" s="236"/>
      <c r="M1710" s="236"/>
      <c r="N1710" s="236"/>
      <c r="O1710" s="244"/>
      <c r="P1710" s="244"/>
      <c r="Q1710" s="234"/>
      <c r="R1710" s="234"/>
      <c r="S1710" s="238"/>
      <c r="T1710" s="239"/>
      <c r="U1710" s="238"/>
      <c r="V1710" s="238"/>
      <c r="W1710" s="234"/>
      <c r="X1710" s="234"/>
      <c r="Y1710" s="234"/>
      <c r="Z1710" s="234"/>
      <c r="AA1710" s="234"/>
    </row>
    <row r="1711" ht="15.75" customHeight="1">
      <c r="A1711" s="91"/>
      <c r="B1711" s="91"/>
      <c r="C1711" s="220"/>
      <c r="D1711" s="91"/>
      <c r="E1711" s="221"/>
      <c r="F1711" s="91"/>
      <c r="G1711" s="91"/>
      <c r="H1711" s="242"/>
      <c r="I1711" s="91"/>
      <c r="J1711" s="234"/>
      <c r="K1711" s="243"/>
      <c r="L1711" s="236"/>
      <c r="M1711" s="236"/>
      <c r="N1711" s="236"/>
      <c r="O1711" s="244"/>
      <c r="P1711" s="244"/>
      <c r="Q1711" s="234"/>
      <c r="R1711" s="234"/>
      <c r="S1711" s="238"/>
      <c r="T1711" s="239"/>
      <c r="U1711" s="238"/>
      <c r="V1711" s="238"/>
      <c r="W1711" s="234"/>
      <c r="X1711" s="234"/>
      <c r="Y1711" s="234"/>
      <c r="Z1711" s="234"/>
      <c r="AA1711" s="234"/>
    </row>
    <row r="1712" ht="15.75" customHeight="1">
      <c r="A1712" s="91"/>
      <c r="B1712" s="91"/>
      <c r="C1712" s="220"/>
      <c r="D1712" s="91"/>
      <c r="E1712" s="221"/>
      <c r="F1712" s="91"/>
      <c r="G1712" s="91"/>
      <c r="H1712" s="242"/>
      <c r="I1712" s="91"/>
      <c r="J1712" s="234"/>
      <c r="K1712" s="243"/>
      <c r="L1712" s="236"/>
      <c r="M1712" s="236"/>
      <c r="N1712" s="236"/>
      <c r="O1712" s="244"/>
      <c r="P1712" s="244"/>
      <c r="Q1712" s="234"/>
      <c r="R1712" s="234"/>
      <c r="S1712" s="238"/>
      <c r="T1712" s="239"/>
      <c r="U1712" s="238"/>
      <c r="V1712" s="238"/>
      <c r="W1712" s="234"/>
      <c r="X1712" s="234"/>
      <c r="Y1712" s="234"/>
      <c r="Z1712" s="234"/>
      <c r="AA1712" s="234"/>
    </row>
    <row r="1713" ht="15.75" customHeight="1">
      <c r="A1713" s="91"/>
      <c r="B1713" s="91"/>
      <c r="C1713" s="220"/>
      <c r="D1713" s="91"/>
      <c r="E1713" s="221"/>
      <c r="F1713" s="91"/>
      <c r="G1713" s="91"/>
      <c r="H1713" s="242"/>
      <c r="I1713" s="91"/>
      <c r="J1713" s="234"/>
      <c r="K1713" s="243"/>
      <c r="L1713" s="236"/>
      <c r="M1713" s="236"/>
      <c r="N1713" s="236"/>
      <c r="O1713" s="244"/>
      <c r="P1713" s="244"/>
      <c r="Q1713" s="234"/>
      <c r="R1713" s="234"/>
      <c r="S1713" s="238"/>
      <c r="T1713" s="239"/>
      <c r="U1713" s="238"/>
      <c r="V1713" s="238"/>
      <c r="W1713" s="234"/>
      <c r="X1713" s="234"/>
      <c r="Y1713" s="234"/>
      <c r="Z1713" s="234"/>
      <c r="AA1713" s="234"/>
    </row>
    <row r="1714" ht="15.75" customHeight="1">
      <c r="A1714" s="91"/>
      <c r="B1714" s="91"/>
      <c r="C1714" s="220"/>
      <c r="D1714" s="91"/>
      <c r="E1714" s="221"/>
      <c r="F1714" s="91"/>
      <c r="G1714" s="91"/>
      <c r="H1714" s="242"/>
      <c r="I1714" s="91"/>
      <c r="J1714" s="234"/>
      <c r="K1714" s="243"/>
      <c r="L1714" s="236"/>
      <c r="M1714" s="236"/>
      <c r="N1714" s="236"/>
      <c r="O1714" s="244"/>
      <c r="P1714" s="244"/>
      <c r="Q1714" s="234"/>
      <c r="R1714" s="234"/>
      <c r="S1714" s="238"/>
      <c r="T1714" s="239"/>
      <c r="U1714" s="238"/>
      <c r="V1714" s="238"/>
      <c r="W1714" s="234"/>
      <c r="X1714" s="234"/>
      <c r="Y1714" s="234"/>
      <c r="Z1714" s="234"/>
      <c r="AA1714" s="234"/>
    </row>
    <row r="1715" ht="15.75" customHeight="1">
      <c r="A1715" s="91"/>
      <c r="B1715" s="91"/>
      <c r="C1715" s="220"/>
      <c r="D1715" s="91"/>
      <c r="E1715" s="221"/>
      <c r="F1715" s="91"/>
      <c r="G1715" s="91"/>
      <c r="H1715" s="242"/>
      <c r="I1715" s="91"/>
      <c r="J1715" s="234"/>
      <c r="K1715" s="243"/>
      <c r="L1715" s="236"/>
      <c r="M1715" s="236"/>
      <c r="N1715" s="236"/>
      <c r="O1715" s="244"/>
      <c r="P1715" s="244"/>
      <c r="Q1715" s="234"/>
      <c r="R1715" s="234"/>
      <c r="S1715" s="238"/>
      <c r="T1715" s="239"/>
      <c r="U1715" s="238"/>
      <c r="V1715" s="238"/>
      <c r="W1715" s="234"/>
      <c r="X1715" s="234"/>
      <c r="Y1715" s="234"/>
      <c r="Z1715" s="234"/>
      <c r="AA1715" s="234"/>
    </row>
    <row r="1716" ht="15.75" customHeight="1">
      <c r="A1716" s="91"/>
      <c r="B1716" s="91"/>
      <c r="C1716" s="220"/>
      <c r="D1716" s="91"/>
      <c r="E1716" s="221"/>
      <c r="F1716" s="91"/>
      <c r="G1716" s="91"/>
      <c r="H1716" s="242"/>
      <c r="I1716" s="91"/>
      <c r="J1716" s="234"/>
      <c r="K1716" s="243"/>
      <c r="L1716" s="236"/>
      <c r="M1716" s="236"/>
      <c r="N1716" s="236"/>
      <c r="O1716" s="244"/>
      <c r="P1716" s="244"/>
      <c r="Q1716" s="234"/>
      <c r="R1716" s="234"/>
      <c r="S1716" s="238"/>
      <c r="T1716" s="239"/>
      <c r="U1716" s="238"/>
      <c r="V1716" s="238"/>
      <c r="W1716" s="234"/>
      <c r="X1716" s="234"/>
      <c r="Y1716" s="234"/>
      <c r="Z1716" s="234"/>
      <c r="AA1716" s="234"/>
    </row>
    <row r="1717" ht="15.75" customHeight="1">
      <c r="A1717" s="91"/>
      <c r="B1717" s="91"/>
      <c r="C1717" s="220"/>
      <c r="D1717" s="91"/>
      <c r="E1717" s="221"/>
      <c r="F1717" s="91"/>
      <c r="G1717" s="91"/>
      <c r="H1717" s="242"/>
      <c r="I1717" s="91"/>
      <c r="J1717" s="234"/>
      <c r="K1717" s="243"/>
      <c r="L1717" s="236"/>
      <c r="M1717" s="236"/>
      <c r="N1717" s="236"/>
      <c r="O1717" s="244"/>
      <c r="P1717" s="244"/>
      <c r="Q1717" s="234"/>
      <c r="R1717" s="234"/>
      <c r="S1717" s="238"/>
      <c r="T1717" s="239"/>
      <c r="U1717" s="238"/>
      <c r="V1717" s="238"/>
      <c r="W1717" s="234"/>
      <c r="X1717" s="234"/>
      <c r="Y1717" s="234"/>
      <c r="Z1717" s="234"/>
      <c r="AA1717" s="234"/>
    </row>
    <row r="1718" ht="15.75" customHeight="1">
      <c r="A1718" s="91"/>
      <c r="B1718" s="91"/>
      <c r="C1718" s="220"/>
      <c r="D1718" s="91"/>
      <c r="E1718" s="221"/>
      <c r="F1718" s="91"/>
      <c r="G1718" s="91"/>
      <c r="H1718" s="242"/>
      <c r="I1718" s="91"/>
      <c r="J1718" s="234"/>
      <c r="K1718" s="243"/>
      <c r="L1718" s="236"/>
      <c r="M1718" s="236"/>
      <c r="N1718" s="236"/>
      <c r="O1718" s="244"/>
      <c r="P1718" s="244"/>
      <c r="Q1718" s="234"/>
      <c r="R1718" s="234"/>
      <c r="S1718" s="238"/>
      <c r="T1718" s="239"/>
      <c r="U1718" s="238"/>
      <c r="V1718" s="238"/>
      <c r="W1718" s="234"/>
      <c r="X1718" s="234"/>
      <c r="Y1718" s="234"/>
      <c r="Z1718" s="234"/>
      <c r="AA1718" s="234"/>
    </row>
    <row r="1719" ht="15.75" customHeight="1">
      <c r="A1719" s="91"/>
      <c r="B1719" s="91"/>
      <c r="C1719" s="220"/>
      <c r="D1719" s="91"/>
      <c r="E1719" s="221"/>
      <c r="F1719" s="91"/>
      <c r="G1719" s="91"/>
      <c r="H1719" s="242"/>
      <c r="I1719" s="91"/>
      <c r="J1719" s="234"/>
      <c r="K1719" s="243"/>
      <c r="L1719" s="236"/>
      <c r="M1719" s="236"/>
      <c r="N1719" s="236"/>
      <c r="O1719" s="244"/>
      <c r="P1719" s="244"/>
      <c r="Q1719" s="234"/>
      <c r="R1719" s="234"/>
      <c r="S1719" s="238"/>
      <c r="T1719" s="239"/>
      <c r="U1719" s="238"/>
      <c r="V1719" s="238"/>
      <c r="W1719" s="234"/>
      <c r="X1719" s="234"/>
      <c r="Y1719" s="234"/>
      <c r="Z1719" s="234"/>
      <c r="AA1719" s="234"/>
    </row>
    <row r="1720" ht="15.75" customHeight="1">
      <c r="A1720" s="91"/>
      <c r="B1720" s="91"/>
      <c r="C1720" s="220"/>
      <c r="D1720" s="91"/>
      <c r="E1720" s="221"/>
      <c r="F1720" s="91"/>
      <c r="G1720" s="91"/>
      <c r="H1720" s="242"/>
      <c r="I1720" s="91"/>
      <c r="J1720" s="234"/>
      <c r="K1720" s="243"/>
      <c r="L1720" s="236"/>
      <c r="M1720" s="236"/>
      <c r="N1720" s="236"/>
      <c r="O1720" s="244"/>
      <c r="P1720" s="244"/>
      <c r="Q1720" s="234"/>
      <c r="R1720" s="234"/>
      <c r="S1720" s="238"/>
      <c r="T1720" s="239"/>
      <c r="U1720" s="238"/>
      <c r="V1720" s="238"/>
      <c r="W1720" s="234"/>
      <c r="X1720" s="234"/>
      <c r="Y1720" s="234"/>
      <c r="Z1720" s="234"/>
      <c r="AA1720" s="234"/>
    </row>
    <row r="1721" ht="15.75" customHeight="1">
      <c r="A1721" s="91"/>
      <c r="B1721" s="91"/>
      <c r="C1721" s="220"/>
      <c r="D1721" s="91"/>
      <c r="E1721" s="221"/>
      <c r="F1721" s="91"/>
      <c r="G1721" s="91"/>
      <c r="H1721" s="242"/>
      <c r="I1721" s="91"/>
      <c r="J1721" s="234"/>
      <c r="K1721" s="243"/>
      <c r="L1721" s="236"/>
      <c r="M1721" s="236"/>
      <c r="N1721" s="236"/>
      <c r="O1721" s="244"/>
      <c r="P1721" s="244"/>
      <c r="Q1721" s="234"/>
      <c r="R1721" s="234"/>
      <c r="S1721" s="238"/>
      <c r="T1721" s="239"/>
      <c r="U1721" s="238"/>
      <c r="V1721" s="238"/>
      <c r="W1721" s="234"/>
      <c r="X1721" s="234"/>
      <c r="Y1721" s="234"/>
      <c r="Z1721" s="234"/>
      <c r="AA1721" s="234"/>
    </row>
    <row r="1722" ht="15.75" customHeight="1">
      <c r="A1722" s="91"/>
      <c r="B1722" s="91"/>
      <c r="C1722" s="220"/>
      <c r="D1722" s="91"/>
      <c r="E1722" s="221"/>
      <c r="F1722" s="91"/>
      <c r="G1722" s="91"/>
      <c r="H1722" s="242"/>
      <c r="I1722" s="91"/>
      <c r="J1722" s="234"/>
      <c r="K1722" s="243"/>
      <c r="L1722" s="236"/>
      <c r="M1722" s="236"/>
      <c r="N1722" s="236"/>
      <c r="O1722" s="244"/>
      <c r="P1722" s="244"/>
      <c r="Q1722" s="234"/>
      <c r="R1722" s="234"/>
      <c r="S1722" s="238"/>
      <c r="T1722" s="239"/>
      <c r="U1722" s="238"/>
      <c r="V1722" s="238"/>
      <c r="W1722" s="234"/>
      <c r="X1722" s="234"/>
      <c r="Y1722" s="234"/>
      <c r="Z1722" s="234"/>
      <c r="AA1722" s="234"/>
    </row>
    <row r="1723" ht="15.75" customHeight="1">
      <c r="A1723" s="91"/>
      <c r="B1723" s="91"/>
      <c r="C1723" s="220"/>
      <c r="D1723" s="91"/>
      <c r="E1723" s="221"/>
      <c r="F1723" s="91"/>
      <c r="G1723" s="91"/>
      <c r="H1723" s="242"/>
      <c r="I1723" s="91"/>
      <c r="J1723" s="234"/>
      <c r="K1723" s="243"/>
      <c r="L1723" s="236"/>
      <c r="M1723" s="236"/>
      <c r="N1723" s="236"/>
      <c r="O1723" s="244"/>
      <c r="P1723" s="244"/>
      <c r="Q1723" s="234"/>
      <c r="R1723" s="234"/>
      <c r="S1723" s="238"/>
      <c r="T1723" s="239"/>
      <c r="U1723" s="238"/>
      <c r="V1723" s="238"/>
      <c r="W1723" s="234"/>
      <c r="X1723" s="234"/>
      <c r="Y1723" s="234"/>
      <c r="Z1723" s="234"/>
      <c r="AA1723" s="234"/>
    </row>
    <row r="1724" ht="15.75" customHeight="1">
      <c r="A1724" s="91"/>
      <c r="B1724" s="91"/>
      <c r="C1724" s="220"/>
      <c r="D1724" s="91"/>
      <c r="E1724" s="221"/>
      <c r="F1724" s="91"/>
      <c r="G1724" s="91"/>
      <c r="H1724" s="242"/>
      <c r="I1724" s="91"/>
      <c r="J1724" s="234"/>
      <c r="K1724" s="243"/>
      <c r="L1724" s="236"/>
      <c r="M1724" s="236"/>
      <c r="N1724" s="236"/>
      <c r="O1724" s="244"/>
      <c r="P1724" s="244"/>
      <c r="Q1724" s="234"/>
      <c r="R1724" s="234"/>
      <c r="S1724" s="238"/>
      <c r="T1724" s="239"/>
      <c r="U1724" s="238"/>
      <c r="V1724" s="238"/>
      <c r="W1724" s="234"/>
      <c r="X1724" s="234"/>
      <c r="Y1724" s="234"/>
      <c r="Z1724" s="234"/>
      <c r="AA1724" s="234"/>
    </row>
    <row r="1725" ht="15.75" customHeight="1">
      <c r="A1725" s="91"/>
      <c r="B1725" s="91"/>
      <c r="C1725" s="220"/>
      <c r="D1725" s="91"/>
      <c r="E1725" s="221"/>
      <c r="F1725" s="91"/>
      <c r="G1725" s="91"/>
      <c r="H1725" s="242"/>
      <c r="I1725" s="91"/>
      <c r="J1725" s="234"/>
      <c r="K1725" s="243"/>
      <c r="L1725" s="236"/>
      <c r="M1725" s="236"/>
      <c r="N1725" s="236"/>
      <c r="O1725" s="244"/>
      <c r="P1725" s="244"/>
      <c r="Q1725" s="234"/>
      <c r="R1725" s="234"/>
      <c r="S1725" s="238"/>
      <c r="T1725" s="239"/>
      <c r="U1725" s="238"/>
      <c r="V1725" s="238"/>
      <c r="W1725" s="234"/>
      <c r="X1725" s="234"/>
      <c r="Y1725" s="234"/>
      <c r="Z1725" s="234"/>
      <c r="AA1725" s="234"/>
    </row>
    <row r="1726" ht="15.75" customHeight="1">
      <c r="A1726" s="91"/>
      <c r="B1726" s="91"/>
      <c r="C1726" s="220"/>
      <c r="D1726" s="91"/>
      <c r="E1726" s="221"/>
      <c r="F1726" s="91"/>
      <c r="G1726" s="91"/>
      <c r="H1726" s="242"/>
      <c r="I1726" s="91"/>
      <c r="J1726" s="234"/>
      <c r="K1726" s="243"/>
      <c r="L1726" s="236"/>
      <c r="M1726" s="236"/>
      <c r="N1726" s="236"/>
      <c r="O1726" s="244"/>
      <c r="P1726" s="244"/>
      <c r="Q1726" s="234"/>
      <c r="R1726" s="234"/>
      <c r="S1726" s="238"/>
      <c r="T1726" s="239"/>
      <c r="U1726" s="238"/>
      <c r="V1726" s="238"/>
      <c r="W1726" s="234"/>
      <c r="X1726" s="234"/>
      <c r="Y1726" s="234"/>
      <c r="Z1726" s="234"/>
      <c r="AA1726" s="234"/>
    </row>
    <row r="1727" ht="15.75" customHeight="1">
      <c r="A1727" s="91"/>
      <c r="B1727" s="91"/>
      <c r="C1727" s="220"/>
      <c r="D1727" s="91"/>
      <c r="E1727" s="221"/>
      <c r="F1727" s="91"/>
      <c r="G1727" s="91"/>
      <c r="H1727" s="242"/>
      <c r="I1727" s="91"/>
      <c r="J1727" s="234"/>
      <c r="K1727" s="243"/>
      <c r="L1727" s="236"/>
      <c r="M1727" s="236"/>
      <c r="N1727" s="236"/>
      <c r="O1727" s="244"/>
      <c r="P1727" s="244"/>
      <c r="Q1727" s="234"/>
      <c r="R1727" s="234"/>
      <c r="S1727" s="238"/>
      <c r="T1727" s="239"/>
      <c r="U1727" s="238"/>
      <c r="V1727" s="238"/>
      <c r="W1727" s="234"/>
      <c r="X1727" s="234"/>
      <c r="Y1727" s="234"/>
      <c r="Z1727" s="234"/>
      <c r="AA1727" s="234"/>
    </row>
    <row r="1728" ht="15.75" customHeight="1">
      <c r="A1728" s="91"/>
      <c r="B1728" s="91"/>
      <c r="C1728" s="220"/>
      <c r="D1728" s="91"/>
      <c r="E1728" s="221"/>
      <c r="F1728" s="91"/>
      <c r="G1728" s="91"/>
      <c r="H1728" s="242"/>
      <c r="I1728" s="91"/>
      <c r="J1728" s="234"/>
      <c r="K1728" s="243"/>
      <c r="L1728" s="236"/>
      <c r="M1728" s="236"/>
      <c r="N1728" s="236"/>
      <c r="O1728" s="244"/>
      <c r="P1728" s="244"/>
      <c r="Q1728" s="234"/>
      <c r="R1728" s="234"/>
      <c r="S1728" s="238"/>
      <c r="T1728" s="239"/>
      <c r="U1728" s="238"/>
      <c r="V1728" s="238"/>
      <c r="W1728" s="234"/>
      <c r="X1728" s="234"/>
      <c r="Y1728" s="234"/>
      <c r="Z1728" s="234"/>
      <c r="AA1728" s="234"/>
    </row>
    <row r="1729" ht="15.75" customHeight="1">
      <c r="A1729" s="91"/>
      <c r="B1729" s="91"/>
      <c r="C1729" s="220"/>
      <c r="D1729" s="91"/>
      <c r="E1729" s="221"/>
      <c r="F1729" s="91"/>
      <c r="G1729" s="91"/>
      <c r="H1729" s="242"/>
      <c r="I1729" s="91"/>
      <c r="J1729" s="234"/>
      <c r="K1729" s="243"/>
      <c r="L1729" s="236"/>
      <c r="M1729" s="236"/>
      <c r="N1729" s="236"/>
      <c r="O1729" s="244"/>
      <c r="P1729" s="244"/>
      <c r="Q1729" s="234"/>
      <c r="R1729" s="234"/>
      <c r="S1729" s="238"/>
      <c r="T1729" s="239"/>
      <c r="U1729" s="238"/>
      <c r="V1729" s="238"/>
      <c r="W1729" s="234"/>
      <c r="X1729" s="234"/>
      <c r="Y1729" s="234"/>
      <c r="Z1729" s="234"/>
      <c r="AA1729" s="234"/>
    </row>
    <row r="1730" ht="15.75" customHeight="1">
      <c r="A1730" s="91"/>
      <c r="B1730" s="91"/>
      <c r="C1730" s="220"/>
      <c r="D1730" s="91"/>
      <c r="E1730" s="221"/>
      <c r="F1730" s="91"/>
      <c r="G1730" s="91"/>
      <c r="H1730" s="242"/>
      <c r="I1730" s="91"/>
      <c r="J1730" s="234"/>
      <c r="K1730" s="243"/>
      <c r="L1730" s="236"/>
      <c r="M1730" s="236"/>
      <c r="N1730" s="236"/>
      <c r="O1730" s="244"/>
      <c r="P1730" s="244"/>
      <c r="Q1730" s="234"/>
      <c r="R1730" s="234"/>
      <c r="S1730" s="238"/>
      <c r="T1730" s="239"/>
      <c r="U1730" s="238"/>
      <c r="V1730" s="238"/>
      <c r="W1730" s="234"/>
      <c r="X1730" s="234"/>
      <c r="Y1730" s="234"/>
      <c r="Z1730" s="234"/>
      <c r="AA1730" s="234"/>
    </row>
    <row r="1731" ht="15.75" customHeight="1">
      <c r="A1731" s="91"/>
      <c r="B1731" s="91"/>
      <c r="C1731" s="220"/>
      <c r="D1731" s="91"/>
      <c r="E1731" s="221"/>
      <c r="F1731" s="91"/>
      <c r="G1731" s="91"/>
      <c r="H1731" s="242"/>
      <c r="I1731" s="91"/>
      <c r="J1731" s="234"/>
      <c r="K1731" s="243"/>
      <c r="L1731" s="236"/>
      <c r="M1731" s="236"/>
      <c r="N1731" s="236"/>
      <c r="O1731" s="244"/>
      <c r="P1731" s="244"/>
      <c r="Q1731" s="234"/>
      <c r="R1731" s="234"/>
      <c r="S1731" s="238"/>
      <c r="T1731" s="239"/>
      <c r="U1731" s="238"/>
      <c r="V1731" s="238"/>
      <c r="W1731" s="234"/>
      <c r="X1731" s="234"/>
      <c r="Y1731" s="234"/>
      <c r="Z1731" s="234"/>
      <c r="AA1731" s="234"/>
    </row>
    <row r="1732" ht="15.75" customHeight="1">
      <c r="A1732" s="91"/>
      <c r="B1732" s="91"/>
      <c r="C1732" s="220"/>
      <c r="D1732" s="91"/>
      <c r="E1732" s="221"/>
      <c r="F1732" s="91"/>
      <c r="G1732" s="91"/>
      <c r="H1732" s="242"/>
      <c r="I1732" s="91"/>
      <c r="J1732" s="234"/>
      <c r="K1732" s="243"/>
      <c r="L1732" s="236"/>
      <c r="M1732" s="236"/>
      <c r="N1732" s="236"/>
      <c r="O1732" s="244"/>
      <c r="P1732" s="244"/>
      <c r="Q1732" s="234"/>
      <c r="R1732" s="234"/>
      <c r="S1732" s="238"/>
      <c r="T1732" s="239"/>
      <c r="U1732" s="238"/>
      <c r="V1732" s="238"/>
      <c r="W1732" s="234"/>
      <c r="X1732" s="234"/>
      <c r="Y1732" s="234"/>
      <c r="Z1732" s="234"/>
      <c r="AA1732" s="234"/>
    </row>
    <row r="1733" ht="15.75" customHeight="1">
      <c r="A1733" s="91"/>
      <c r="B1733" s="91"/>
      <c r="C1733" s="220"/>
      <c r="D1733" s="91"/>
      <c r="E1733" s="221"/>
      <c r="F1733" s="91"/>
      <c r="G1733" s="91"/>
      <c r="H1733" s="242"/>
      <c r="I1733" s="91"/>
      <c r="J1733" s="234"/>
      <c r="K1733" s="243"/>
      <c r="L1733" s="236"/>
      <c r="M1733" s="236"/>
      <c r="N1733" s="236"/>
      <c r="O1733" s="244"/>
      <c r="P1733" s="244"/>
      <c r="Q1733" s="234"/>
      <c r="R1733" s="234"/>
      <c r="S1733" s="238"/>
      <c r="T1733" s="239"/>
      <c r="U1733" s="238"/>
      <c r="V1733" s="238"/>
      <c r="W1733" s="234"/>
      <c r="X1733" s="234"/>
      <c r="Y1733" s="234"/>
      <c r="Z1733" s="234"/>
      <c r="AA1733" s="234"/>
    </row>
    <row r="1734" ht="15.75" customHeight="1">
      <c r="A1734" s="91"/>
      <c r="B1734" s="91"/>
      <c r="C1734" s="220"/>
      <c r="D1734" s="91"/>
      <c r="E1734" s="221"/>
      <c r="F1734" s="91"/>
      <c r="G1734" s="91"/>
      <c r="H1734" s="242"/>
      <c r="I1734" s="91"/>
      <c r="J1734" s="234"/>
      <c r="K1734" s="243"/>
      <c r="L1734" s="236"/>
      <c r="M1734" s="236"/>
      <c r="N1734" s="236"/>
      <c r="O1734" s="244"/>
      <c r="P1734" s="244"/>
      <c r="Q1734" s="234"/>
      <c r="R1734" s="234"/>
      <c r="S1734" s="238"/>
      <c r="T1734" s="239"/>
      <c r="U1734" s="238"/>
      <c r="V1734" s="238"/>
      <c r="W1734" s="234"/>
      <c r="X1734" s="234"/>
      <c r="Y1734" s="234"/>
      <c r="Z1734" s="234"/>
      <c r="AA1734" s="234"/>
    </row>
    <row r="1735" ht="15.75" customHeight="1">
      <c r="A1735" s="91"/>
      <c r="B1735" s="91"/>
      <c r="C1735" s="220"/>
      <c r="D1735" s="91"/>
      <c r="E1735" s="221"/>
      <c r="F1735" s="91"/>
      <c r="G1735" s="91"/>
      <c r="H1735" s="242"/>
      <c r="I1735" s="91"/>
      <c r="J1735" s="234"/>
      <c r="K1735" s="243"/>
      <c r="L1735" s="236"/>
      <c r="M1735" s="236"/>
      <c r="N1735" s="236"/>
      <c r="O1735" s="244"/>
      <c r="P1735" s="244"/>
      <c r="Q1735" s="234"/>
      <c r="R1735" s="234"/>
      <c r="S1735" s="238"/>
      <c r="T1735" s="239"/>
      <c r="U1735" s="238"/>
      <c r="V1735" s="238"/>
      <c r="W1735" s="234"/>
      <c r="X1735" s="234"/>
      <c r="Y1735" s="234"/>
      <c r="Z1735" s="234"/>
      <c r="AA1735" s="234"/>
    </row>
    <row r="1736" ht="15.75" customHeight="1">
      <c r="A1736" s="91"/>
      <c r="B1736" s="91"/>
      <c r="C1736" s="220"/>
      <c r="D1736" s="91"/>
      <c r="E1736" s="221"/>
      <c r="F1736" s="91"/>
      <c r="G1736" s="91"/>
      <c r="H1736" s="242"/>
      <c r="I1736" s="91"/>
      <c r="J1736" s="234"/>
      <c r="K1736" s="243"/>
      <c r="L1736" s="236"/>
      <c r="M1736" s="236"/>
      <c r="N1736" s="236"/>
      <c r="O1736" s="244"/>
      <c r="P1736" s="244"/>
      <c r="Q1736" s="234"/>
      <c r="R1736" s="234"/>
      <c r="S1736" s="238"/>
      <c r="T1736" s="239"/>
      <c r="U1736" s="238"/>
      <c r="V1736" s="238"/>
      <c r="W1736" s="234"/>
      <c r="X1736" s="234"/>
      <c r="Y1736" s="234"/>
      <c r="Z1736" s="234"/>
      <c r="AA1736" s="234"/>
    </row>
    <row r="1737" ht="15.75" customHeight="1">
      <c r="A1737" s="91"/>
      <c r="B1737" s="91"/>
      <c r="C1737" s="220"/>
      <c r="D1737" s="91"/>
      <c r="E1737" s="221"/>
      <c r="F1737" s="91"/>
      <c r="G1737" s="91"/>
      <c r="H1737" s="242"/>
      <c r="I1737" s="91"/>
      <c r="J1737" s="234"/>
      <c r="K1737" s="243"/>
      <c r="L1737" s="236"/>
      <c r="M1737" s="236"/>
      <c r="N1737" s="236"/>
      <c r="O1737" s="244"/>
      <c r="P1737" s="244"/>
      <c r="Q1737" s="234"/>
      <c r="R1737" s="234"/>
      <c r="S1737" s="238"/>
      <c r="T1737" s="239"/>
      <c r="U1737" s="238"/>
      <c r="V1737" s="238"/>
      <c r="W1737" s="234"/>
      <c r="X1737" s="234"/>
      <c r="Y1737" s="234"/>
      <c r="Z1737" s="234"/>
      <c r="AA1737" s="234"/>
    </row>
    <row r="1738" ht="15.75" customHeight="1">
      <c r="A1738" s="91"/>
      <c r="B1738" s="91"/>
      <c r="C1738" s="220"/>
      <c r="D1738" s="91"/>
      <c r="E1738" s="221"/>
      <c r="F1738" s="91"/>
      <c r="G1738" s="91"/>
      <c r="H1738" s="242"/>
      <c r="I1738" s="91"/>
      <c r="J1738" s="234"/>
      <c r="K1738" s="243"/>
      <c r="L1738" s="236"/>
      <c r="M1738" s="236"/>
      <c r="N1738" s="236"/>
      <c r="O1738" s="244"/>
      <c r="P1738" s="244"/>
      <c r="Q1738" s="234"/>
      <c r="R1738" s="234"/>
      <c r="S1738" s="238"/>
      <c r="T1738" s="239"/>
      <c r="U1738" s="238"/>
      <c r="V1738" s="238"/>
      <c r="W1738" s="234"/>
      <c r="X1738" s="234"/>
      <c r="Y1738" s="234"/>
      <c r="Z1738" s="234"/>
      <c r="AA1738" s="234"/>
    </row>
    <row r="1739" ht="15.75" customHeight="1">
      <c r="A1739" s="91"/>
      <c r="B1739" s="91"/>
      <c r="C1739" s="220"/>
      <c r="D1739" s="91"/>
      <c r="E1739" s="221"/>
      <c r="F1739" s="91"/>
      <c r="G1739" s="91"/>
      <c r="H1739" s="242"/>
      <c r="I1739" s="91"/>
      <c r="J1739" s="234"/>
      <c r="K1739" s="243"/>
      <c r="L1739" s="236"/>
      <c r="M1739" s="236"/>
      <c r="N1739" s="236"/>
      <c r="O1739" s="244"/>
      <c r="P1739" s="244"/>
      <c r="Q1739" s="234"/>
      <c r="R1739" s="234"/>
      <c r="S1739" s="238"/>
      <c r="T1739" s="239"/>
      <c r="U1739" s="238"/>
      <c r="V1739" s="238"/>
      <c r="W1739" s="234"/>
      <c r="X1739" s="234"/>
      <c r="Y1739" s="234"/>
      <c r="Z1739" s="234"/>
      <c r="AA1739" s="234"/>
    </row>
    <row r="1740" ht="15.75" customHeight="1">
      <c r="A1740" s="91"/>
      <c r="B1740" s="91"/>
      <c r="C1740" s="220"/>
      <c r="D1740" s="91"/>
      <c r="E1740" s="221"/>
      <c r="F1740" s="91"/>
      <c r="G1740" s="91"/>
      <c r="H1740" s="242"/>
      <c r="I1740" s="91"/>
      <c r="J1740" s="234"/>
      <c r="K1740" s="243"/>
      <c r="L1740" s="236"/>
      <c r="M1740" s="236"/>
      <c r="N1740" s="236"/>
      <c r="O1740" s="244"/>
      <c r="P1740" s="244"/>
      <c r="Q1740" s="234"/>
      <c r="R1740" s="234"/>
      <c r="S1740" s="238"/>
      <c r="T1740" s="239"/>
      <c r="U1740" s="238"/>
      <c r="V1740" s="238"/>
      <c r="W1740" s="234"/>
      <c r="X1740" s="234"/>
      <c r="Y1740" s="234"/>
      <c r="Z1740" s="234"/>
      <c r="AA1740" s="234"/>
    </row>
    <row r="1741" ht="15.75" customHeight="1">
      <c r="A1741" s="91"/>
      <c r="B1741" s="91"/>
      <c r="C1741" s="220"/>
      <c r="D1741" s="91"/>
      <c r="E1741" s="221"/>
      <c r="F1741" s="91"/>
      <c r="G1741" s="91"/>
      <c r="H1741" s="242"/>
      <c r="I1741" s="91"/>
      <c r="J1741" s="234"/>
      <c r="K1741" s="243"/>
      <c r="L1741" s="236"/>
      <c r="M1741" s="236"/>
      <c r="N1741" s="236"/>
      <c r="O1741" s="244"/>
      <c r="P1741" s="244"/>
      <c r="Q1741" s="234"/>
      <c r="R1741" s="234"/>
      <c r="S1741" s="238"/>
      <c r="T1741" s="239"/>
      <c r="U1741" s="238"/>
      <c r="V1741" s="238"/>
      <c r="W1741" s="234"/>
      <c r="X1741" s="234"/>
      <c r="Y1741" s="234"/>
      <c r="Z1741" s="234"/>
      <c r="AA1741" s="234"/>
    </row>
    <row r="1742" ht="15.75" customHeight="1">
      <c r="A1742" s="91"/>
      <c r="B1742" s="91"/>
      <c r="C1742" s="220"/>
      <c r="D1742" s="91"/>
      <c r="E1742" s="221"/>
      <c r="F1742" s="91"/>
      <c r="G1742" s="91"/>
      <c r="H1742" s="242"/>
      <c r="I1742" s="91"/>
      <c r="J1742" s="234"/>
      <c r="K1742" s="243"/>
      <c r="L1742" s="236"/>
      <c r="M1742" s="236"/>
      <c r="N1742" s="236"/>
      <c r="O1742" s="244"/>
      <c r="P1742" s="244"/>
      <c r="Q1742" s="234"/>
      <c r="R1742" s="234"/>
      <c r="S1742" s="238"/>
      <c r="T1742" s="239"/>
      <c r="U1742" s="238"/>
      <c r="V1742" s="238"/>
      <c r="W1742" s="234"/>
      <c r="X1742" s="234"/>
      <c r="Y1742" s="234"/>
      <c r="Z1742" s="234"/>
      <c r="AA1742" s="234"/>
    </row>
    <row r="1743" ht="15.75" customHeight="1">
      <c r="A1743" s="91"/>
      <c r="B1743" s="91"/>
      <c r="C1743" s="220"/>
      <c r="D1743" s="91"/>
      <c r="E1743" s="221"/>
      <c r="F1743" s="91"/>
      <c r="G1743" s="91"/>
      <c r="H1743" s="242"/>
      <c r="I1743" s="91"/>
      <c r="J1743" s="234"/>
      <c r="K1743" s="243"/>
      <c r="L1743" s="236"/>
      <c r="M1743" s="236"/>
      <c r="N1743" s="236"/>
      <c r="O1743" s="244"/>
      <c r="P1743" s="244"/>
      <c r="Q1743" s="234"/>
      <c r="R1743" s="234"/>
      <c r="S1743" s="238"/>
      <c r="T1743" s="239"/>
      <c r="U1743" s="238"/>
      <c r="V1743" s="238"/>
      <c r="W1743" s="234"/>
      <c r="X1743" s="234"/>
      <c r="Y1743" s="234"/>
      <c r="Z1743" s="234"/>
      <c r="AA1743" s="234"/>
    </row>
    <row r="1744" ht="15.75" customHeight="1">
      <c r="A1744" s="91"/>
      <c r="B1744" s="91"/>
      <c r="C1744" s="220"/>
      <c r="D1744" s="91"/>
      <c r="E1744" s="221"/>
      <c r="F1744" s="91"/>
      <c r="G1744" s="91"/>
      <c r="H1744" s="242"/>
      <c r="I1744" s="91"/>
      <c r="J1744" s="234"/>
      <c r="K1744" s="243"/>
      <c r="L1744" s="236"/>
      <c r="M1744" s="236"/>
      <c r="N1744" s="236"/>
      <c r="O1744" s="244"/>
      <c r="P1744" s="244"/>
      <c r="Q1744" s="234"/>
      <c r="R1744" s="234"/>
      <c r="S1744" s="238"/>
      <c r="T1744" s="239"/>
      <c r="U1744" s="238"/>
      <c r="V1744" s="238"/>
      <c r="W1744" s="234"/>
      <c r="X1744" s="234"/>
      <c r="Y1744" s="234"/>
      <c r="Z1744" s="234"/>
      <c r="AA1744" s="234"/>
    </row>
    <row r="1745" ht="15.75" customHeight="1">
      <c r="A1745" s="91"/>
      <c r="B1745" s="91"/>
      <c r="C1745" s="220"/>
      <c r="D1745" s="91"/>
      <c r="E1745" s="221"/>
      <c r="F1745" s="91"/>
      <c r="G1745" s="91"/>
      <c r="H1745" s="242"/>
      <c r="I1745" s="91"/>
      <c r="J1745" s="234"/>
      <c r="K1745" s="243"/>
      <c r="L1745" s="236"/>
      <c r="M1745" s="236"/>
      <c r="N1745" s="236"/>
      <c r="O1745" s="244"/>
      <c r="P1745" s="244"/>
      <c r="Q1745" s="234"/>
      <c r="R1745" s="234"/>
      <c r="S1745" s="238"/>
      <c r="T1745" s="239"/>
      <c r="U1745" s="238"/>
      <c r="V1745" s="238"/>
      <c r="W1745" s="234"/>
      <c r="X1745" s="234"/>
      <c r="Y1745" s="234"/>
      <c r="Z1745" s="234"/>
      <c r="AA1745" s="234"/>
    </row>
    <row r="1746" ht="15.75" customHeight="1">
      <c r="A1746" s="91"/>
      <c r="B1746" s="91"/>
      <c r="C1746" s="220"/>
      <c r="D1746" s="91"/>
      <c r="E1746" s="221"/>
      <c r="F1746" s="91"/>
      <c r="G1746" s="91"/>
      <c r="H1746" s="242"/>
      <c r="I1746" s="91"/>
      <c r="J1746" s="234"/>
      <c r="K1746" s="243"/>
      <c r="L1746" s="236"/>
      <c r="M1746" s="236"/>
      <c r="N1746" s="236"/>
      <c r="O1746" s="244"/>
      <c r="P1746" s="244"/>
      <c r="Q1746" s="234"/>
      <c r="R1746" s="234"/>
      <c r="S1746" s="238"/>
      <c r="T1746" s="239"/>
      <c r="U1746" s="238"/>
      <c r="V1746" s="238"/>
      <c r="W1746" s="234"/>
      <c r="X1746" s="234"/>
      <c r="Y1746" s="234"/>
      <c r="Z1746" s="234"/>
      <c r="AA1746" s="234"/>
    </row>
    <row r="1747" ht="15.75" customHeight="1">
      <c r="A1747" s="91"/>
      <c r="B1747" s="91"/>
      <c r="C1747" s="220"/>
      <c r="D1747" s="91"/>
      <c r="E1747" s="221"/>
      <c r="F1747" s="91"/>
      <c r="G1747" s="91"/>
      <c r="H1747" s="242"/>
      <c r="I1747" s="91"/>
      <c r="J1747" s="234"/>
      <c r="K1747" s="243"/>
      <c r="L1747" s="236"/>
      <c r="M1747" s="236"/>
      <c r="N1747" s="236"/>
      <c r="O1747" s="244"/>
      <c r="P1747" s="244"/>
      <c r="Q1747" s="234"/>
      <c r="R1747" s="234"/>
      <c r="S1747" s="238"/>
      <c r="T1747" s="239"/>
      <c r="U1747" s="238"/>
      <c r="V1747" s="238"/>
      <c r="W1747" s="234"/>
      <c r="X1747" s="234"/>
      <c r="Y1747" s="234"/>
      <c r="Z1747" s="234"/>
      <c r="AA1747" s="234"/>
    </row>
    <row r="1748" ht="15.75" customHeight="1">
      <c r="A1748" s="91"/>
      <c r="B1748" s="91"/>
      <c r="C1748" s="220"/>
      <c r="D1748" s="91"/>
      <c r="E1748" s="221"/>
      <c r="F1748" s="91"/>
      <c r="G1748" s="91"/>
      <c r="H1748" s="242"/>
      <c r="I1748" s="91"/>
      <c r="J1748" s="234"/>
      <c r="K1748" s="243"/>
      <c r="L1748" s="236"/>
      <c r="M1748" s="236"/>
      <c r="N1748" s="236"/>
      <c r="O1748" s="244"/>
      <c r="P1748" s="244"/>
      <c r="Q1748" s="234"/>
      <c r="R1748" s="234"/>
      <c r="S1748" s="238"/>
      <c r="T1748" s="239"/>
      <c r="U1748" s="238"/>
      <c r="V1748" s="238"/>
      <c r="W1748" s="234"/>
      <c r="X1748" s="234"/>
      <c r="Y1748" s="234"/>
      <c r="Z1748" s="234"/>
      <c r="AA1748" s="234"/>
    </row>
    <row r="1749" ht="15.75" customHeight="1">
      <c r="A1749" s="91"/>
      <c r="B1749" s="91"/>
      <c r="C1749" s="220"/>
      <c r="D1749" s="91"/>
      <c r="E1749" s="221"/>
      <c r="F1749" s="91"/>
      <c r="G1749" s="91"/>
      <c r="H1749" s="242"/>
      <c r="I1749" s="91"/>
      <c r="J1749" s="234"/>
      <c r="K1749" s="243"/>
      <c r="L1749" s="236"/>
      <c r="M1749" s="236"/>
      <c r="N1749" s="236"/>
      <c r="O1749" s="244"/>
      <c r="P1749" s="244"/>
      <c r="Q1749" s="234"/>
      <c r="R1749" s="234"/>
      <c r="S1749" s="238"/>
      <c r="T1749" s="239"/>
      <c r="U1749" s="238"/>
      <c r="V1749" s="238"/>
      <c r="W1749" s="234"/>
      <c r="X1749" s="234"/>
      <c r="Y1749" s="234"/>
      <c r="Z1749" s="234"/>
      <c r="AA1749" s="234"/>
    </row>
    <row r="1750" ht="15.75" customHeight="1">
      <c r="A1750" s="91"/>
      <c r="B1750" s="91"/>
      <c r="C1750" s="220"/>
      <c r="D1750" s="91"/>
      <c r="E1750" s="221"/>
      <c r="F1750" s="91"/>
      <c r="G1750" s="91"/>
      <c r="H1750" s="242"/>
      <c r="I1750" s="91"/>
      <c r="J1750" s="234"/>
      <c r="K1750" s="243"/>
      <c r="L1750" s="236"/>
      <c r="M1750" s="236"/>
      <c r="N1750" s="236"/>
      <c r="O1750" s="244"/>
      <c r="P1750" s="244"/>
      <c r="Q1750" s="234"/>
      <c r="R1750" s="234"/>
      <c r="S1750" s="238"/>
      <c r="T1750" s="239"/>
      <c r="U1750" s="238"/>
      <c r="V1750" s="238"/>
      <c r="W1750" s="234"/>
      <c r="X1750" s="234"/>
      <c r="Y1750" s="234"/>
      <c r="Z1750" s="234"/>
      <c r="AA1750" s="234"/>
    </row>
    <row r="1751" ht="15.75" customHeight="1">
      <c r="A1751" s="91"/>
      <c r="B1751" s="91"/>
      <c r="C1751" s="220"/>
      <c r="D1751" s="91"/>
      <c r="E1751" s="221"/>
      <c r="F1751" s="91"/>
      <c r="G1751" s="91"/>
      <c r="H1751" s="242"/>
      <c r="I1751" s="91"/>
      <c r="J1751" s="234"/>
      <c r="K1751" s="243"/>
      <c r="L1751" s="236"/>
      <c r="M1751" s="236"/>
      <c r="N1751" s="236"/>
      <c r="O1751" s="244"/>
      <c r="P1751" s="244"/>
      <c r="Q1751" s="234"/>
      <c r="R1751" s="234"/>
      <c r="S1751" s="238"/>
      <c r="T1751" s="239"/>
      <c r="U1751" s="238"/>
      <c r="V1751" s="238"/>
      <c r="W1751" s="234"/>
      <c r="X1751" s="234"/>
      <c r="Y1751" s="234"/>
      <c r="Z1751" s="234"/>
      <c r="AA1751" s="234"/>
    </row>
    <row r="1752" ht="15.75" customHeight="1">
      <c r="A1752" s="91"/>
      <c r="B1752" s="91"/>
      <c r="C1752" s="220"/>
      <c r="D1752" s="91"/>
      <c r="E1752" s="221"/>
      <c r="F1752" s="91"/>
      <c r="G1752" s="91"/>
      <c r="H1752" s="242"/>
      <c r="I1752" s="91"/>
      <c r="J1752" s="234"/>
      <c r="K1752" s="243"/>
      <c r="L1752" s="236"/>
      <c r="M1752" s="236"/>
      <c r="N1752" s="236"/>
      <c r="O1752" s="244"/>
      <c r="P1752" s="244"/>
      <c r="Q1752" s="234"/>
      <c r="R1752" s="234"/>
      <c r="S1752" s="238"/>
      <c r="T1752" s="239"/>
      <c r="U1752" s="238"/>
      <c r="V1752" s="238"/>
      <c r="W1752" s="234"/>
      <c r="X1752" s="234"/>
      <c r="Y1752" s="234"/>
      <c r="Z1752" s="234"/>
      <c r="AA1752" s="234"/>
    </row>
    <row r="1753" ht="15.75" customHeight="1">
      <c r="A1753" s="91"/>
      <c r="B1753" s="91"/>
      <c r="C1753" s="220"/>
      <c r="D1753" s="91"/>
      <c r="E1753" s="221"/>
      <c r="F1753" s="91"/>
      <c r="G1753" s="91"/>
      <c r="H1753" s="242"/>
      <c r="I1753" s="91"/>
      <c r="J1753" s="234"/>
      <c r="K1753" s="243"/>
      <c r="L1753" s="236"/>
      <c r="M1753" s="236"/>
      <c r="N1753" s="236"/>
      <c r="O1753" s="244"/>
      <c r="P1753" s="244"/>
      <c r="Q1753" s="234"/>
      <c r="R1753" s="234"/>
      <c r="S1753" s="238"/>
      <c r="T1753" s="239"/>
      <c r="U1753" s="238"/>
      <c r="V1753" s="238"/>
      <c r="W1753" s="234"/>
      <c r="X1753" s="234"/>
      <c r="Y1753" s="234"/>
      <c r="Z1753" s="234"/>
      <c r="AA1753" s="234"/>
    </row>
    <row r="1754" ht="15.75" customHeight="1">
      <c r="A1754" s="91"/>
      <c r="B1754" s="91"/>
      <c r="C1754" s="220"/>
      <c r="D1754" s="91"/>
      <c r="E1754" s="221"/>
      <c r="F1754" s="91"/>
      <c r="G1754" s="91"/>
      <c r="H1754" s="242"/>
      <c r="I1754" s="91"/>
      <c r="J1754" s="234"/>
      <c r="K1754" s="243"/>
      <c r="L1754" s="236"/>
      <c r="M1754" s="236"/>
      <c r="N1754" s="236"/>
      <c r="O1754" s="244"/>
      <c r="P1754" s="244"/>
      <c r="Q1754" s="234"/>
      <c r="R1754" s="234"/>
      <c r="S1754" s="238"/>
      <c r="T1754" s="239"/>
      <c r="U1754" s="238"/>
      <c r="V1754" s="238"/>
      <c r="W1754" s="234"/>
      <c r="X1754" s="234"/>
      <c r="Y1754" s="234"/>
      <c r="Z1754" s="234"/>
      <c r="AA1754" s="234"/>
    </row>
    <row r="1755" ht="15.75" customHeight="1">
      <c r="A1755" s="91"/>
      <c r="B1755" s="91"/>
      <c r="C1755" s="220"/>
      <c r="D1755" s="91"/>
      <c r="E1755" s="221"/>
      <c r="F1755" s="91"/>
      <c r="G1755" s="91"/>
      <c r="H1755" s="242"/>
      <c r="I1755" s="91"/>
      <c r="J1755" s="234"/>
      <c r="K1755" s="243"/>
      <c r="L1755" s="236"/>
      <c r="M1755" s="236"/>
      <c r="N1755" s="236"/>
      <c r="O1755" s="244"/>
      <c r="P1755" s="244"/>
      <c r="Q1755" s="234"/>
      <c r="R1755" s="234"/>
      <c r="S1755" s="238"/>
      <c r="T1755" s="239"/>
      <c r="U1755" s="238"/>
      <c r="V1755" s="238"/>
      <c r="W1755" s="234"/>
      <c r="X1755" s="234"/>
      <c r="Y1755" s="234"/>
      <c r="Z1755" s="234"/>
      <c r="AA1755" s="234"/>
    </row>
    <row r="1756" ht="15.75" customHeight="1">
      <c r="A1756" s="91"/>
      <c r="B1756" s="91"/>
      <c r="C1756" s="220"/>
      <c r="D1756" s="91"/>
      <c r="E1756" s="221"/>
      <c r="F1756" s="91"/>
      <c r="G1756" s="91"/>
      <c r="H1756" s="242"/>
      <c r="I1756" s="91"/>
      <c r="J1756" s="234"/>
      <c r="K1756" s="243"/>
      <c r="L1756" s="236"/>
      <c r="M1756" s="236"/>
      <c r="N1756" s="236"/>
      <c r="O1756" s="244"/>
      <c r="P1756" s="244"/>
      <c r="Q1756" s="234"/>
      <c r="R1756" s="234"/>
      <c r="S1756" s="238"/>
      <c r="T1756" s="239"/>
      <c r="U1756" s="238"/>
      <c r="V1756" s="238"/>
      <c r="W1756" s="234"/>
      <c r="X1756" s="234"/>
      <c r="Y1756" s="234"/>
      <c r="Z1756" s="234"/>
      <c r="AA1756" s="234"/>
    </row>
    <row r="1757" ht="15.75" customHeight="1">
      <c r="A1757" s="91"/>
      <c r="B1757" s="91"/>
      <c r="C1757" s="220"/>
      <c r="D1757" s="91"/>
      <c r="E1757" s="221"/>
      <c r="F1757" s="91"/>
      <c r="G1757" s="91"/>
      <c r="H1757" s="242"/>
      <c r="I1757" s="91"/>
      <c r="J1757" s="234"/>
      <c r="K1757" s="243"/>
      <c r="L1757" s="236"/>
      <c r="M1757" s="236"/>
      <c r="N1757" s="236"/>
      <c r="O1757" s="244"/>
      <c r="P1757" s="244"/>
      <c r="Q1757" s="234"/>
      <c r="R1757" s="234"/>
      <c r="S1757" s="238"/>
      <c r="T1757" s="239"/>
      <c r="U1757" s="238"/>
      <c r="V1757" s="238"/>
      <c r="W1757" s="234"/>
      <c r="X1757" s="234"/>
      <c r="Y1757" s="234"/>
      <c r="Z1757" s="234"/>
      <c r="AA1757" s="234"/>
    </row>
    <row r="1758" ht="15.75" customHeight="1">
      <c r="A1758" s="91"/>
      <c r="B1758" s="91"/>
      <c r="C1758" s="220"/>
      <c r="D1758" s="91"/>
      <c r="E1758" s="221"/>
      <c r="F1758" s="91"/>
      <c r="G1758" s="91"/>
      <c r="H1758" s="242"/>
      <c r="I1758" s="91"/>
      <c r="J1758" s="234"/>
      <c r="K1758" s="243"/>
      <c r="L1758" s="236"/>
      <c r="M1758" s="236"/>
      <c r="N1758" s="236"/>
      <c r="O1758" s="244"/>
      <c r="P1758" s="244"/>
      <c r="Q1758" s="234"/>
      <c r="R1758" s="234"/>
      <c r="S1758" s="238"/>
      <c r="T1758" s="239"/>
      <c r="U1758" s="238"/>
      <c r="V1758" s="238"/>
      <c r="W1758" s="234"/>
      <c r="X1758" s="234"/>
      <c r="Y1758" s="234"/>
      <c r="Z1758" s="234"/>
      <c r="AA1758" s="234"/>
    </row>
    <row r="1759" ht="15.75" customHeight="1">
      <c r="A1759" s="91"/>
      <c r="B1759" s="91"/>
      <c r="C1759" s="220"/>
      <c r="D1759" s="91"/>
      <c r="E1759" s="221"/>
      <c r="F1759" s="91"/>
      <c r="G1759" s="91"/>
      <c r="H1759" s="242"/>
      <c r="I1759" s="91"/>
      <c r="J1759" s="234"/>
      <c r="K1759" s="243"/>
      <c r="L1759" s="236"/>
      <c r="M1759" s="236"/>
      <c r="N1759" s="236"/>
      <c r="O1759" s="244"/>
      <c r="P1759" s="244"/>
      <c r="Q1759" s="234"/>
      <c r="R1759" s="234"/>
      <c r="S1759" s="238"/>
      <c r="T1759" s="239"/>
      <c r="U1759" s="238"/>
      <c r="V1759" s="238"/>
      <c r="W1759" s="234"/>
      <c r="X1759" s="234"/>
      <c r="Y1759" s="234"/>
      <c r="Z1759" s="234"/>
      <c r="AA1759" s="234"/>
    </row>
    <row r="1760" ht="15.75" customHeight="1">
      <c r="A1760" s="91"/>
      <c r="B1760" s="91"/>
      <c r="C1760" s="220"/>
      <c r="D1760" s="91"/>
      <c r="E1760" s="221"/>
      <c r="F1760" s="91"/>
      <c r="G1760" s="91"/>
      <c r="H1760" s="242"/>
      <c r="I1760" s="91"/>
      <c r="J1760" s="234"/>
      <c r="K1760" s="243"/>
      <c r="L1760" s="236"/>
      <c r="M1760" s="236"/>
      <c r="N1760" s="236"/>
      <c r="O1760" s="244"/>
      <c r="P1760" s="244"/>
      <c r="Q1760" s="234"/>
      <c r="R1760" s="234"/>
      <c r="S1760" s="238"/>
      <c r="T1760" s="239"/>
      <c r="U1760" s="238"/>
      <c r="V1760" s="238"/>
      <c r="W1760" s="234"/>
      <c r="X1760" s="234"/>
      <c r="Y1760" s="234"/>
      <c r="Z1760" s="234"/>
      <c r="AA1760" s="234"/>
    </row>
    <row r="1761" ht="15.75" customHeight="1">
      <c r="A1761" s="91"/>
      <c r="B1761" s="91"/>
      <c r="C1761" s="220"/>
      <c r="D1761" s="91"/>
      <c r="E1761" s="221"/>
      <c r="F1761" s="91"/>
      <c r="G1761" s="91"/>
      <c r="H1761" s="242"/>
      <c r="I1761" s="91"/>
      <c r="J1761" s="234"/>
      <c r="K1761" s="243"/>
      <c r="L1761" s="236"/>
      <c r="M1761" s="236"/>
      <c r="N1761" s="236"/>
      <c r="O1761" s="244"/>
      <c r="P1761" s="244"/>
      <c r="Q1761" s="234"/>
      <c r="R1761" s="234"/>
      <c r="S1761" s="238"/>
      <c r="T1761" s="239"/>
      <c r="U1761" s="238"/>
      <c r="V1761" s="238"/>
      <c r="W1761" s="234"/>
      <c r="X1761" s="234"/>
      <c r="Y1761" s="234"/>
      <c r="Z1761" s="234"/>
      <c r="AA1761" s="234"/>
    </row>
    <row r="1762" ht="15.75" customHeight="1">
      <c r="A1762" s="91"/>
      <c r="B1762" s="91"/>
      <c r="C1762" s="220"/>
      <c r="D1762" s="91"/>
      <c r="E1762" s="221"/>
      <c r="F1762" s="91"/>
      <c r="G1762" s="91"/>
      <c r="H1762" s="242"/>
      <c r="I1762" s="91"/>
      <c r="J1762" s="234"/>
      <c r="K1762" s="243"/>
      <c r="L1762" s="236"/>
      <c r="M1762" s="236"/>
      <c r="N1762" s="236"/>
      <c r="O1762" s="244"/>
      <c r="P1762" s="244"/>
      <c r="Q1762" s="234"/>
      <c r="R1762" s="234"/>
      <c r="S1762" s="238"/>
      <c r="T1762" s="239"/>
      <c r="U1762" s="238"/>
      <c r="V1762" s="238"/>
      <c r="W1762" s="234"/>
      <c r="X1762" s="234"/>
      <c r="Y1762" s="234"/>
      <c r="Z1762" s="234"/>
      <c r="AA1762" s="234"/>
    </row>
    <row r="1763" ht="15.75" customHeight="1">
      <c r="A1763" s="91"/>
      <c r="B1763" s="91"/>
      <c r="C1763" s="220"/>
      <c r="D1763" s="91"/>
      <c r="E1763" s="221"/>
      <c r="F1763" s="91"/>
      <c r="G1763" s="91"/>
      <c r="H1763" s="242"/>
      <c r="I1763" s="91"/>
      <c r="J1763" s="234"/>
      <c r="K1763" s="243"/>
      <c r="L1763" s="236"/>
      <c r="M1763" s="236"/>
      <c r="N1763" s="236"/>
      <c r="O1763" s="244"/>
      <c r="P1763" s="244"/>
      <c r="Q1763" s="234"/>
      <c r="R1763" s="234"/>
      <c r="S1763" s="238"/>
      <c r="T1763" s="239"/>
      <c r="U1763" s="238"/>
      <c r="V1763" s="238"/>
      <c r="W1763" s="234"/>
      <c r="X1763" s="234"/>
      <c r="Y1763" s="234"/>
      <c r="Z1763" s="234"/>
      <c r="AA1763" s="234"/>
    </row>
    <row r="1764" ht="15.75" customHeight="1">
      <c r="A1764" s="91"/>
      <c r="B1764" s="91"/>
      <c r="C1764" s="220"/>
      <c r="D1764" s="91"/>
      <c r="E1764" s="221"/>
      <c r="F1764" s="91"/>
      <c r="G1764" s="91"/>
      <c r="H1764" s="242"/>
      <c r="I1764" s="91"/>
      <c r="J1764" s="234"/>
      <c r="K1764" s="243"/>
      <c r="L1764" s="236"/>
      <c r="M1764" s="236"/>
      <c r="N1764" s="236"/>
      <c r="O1764" s="244"/>
      <c r="P1764" s="244"/>
      <c r="Q1764" s="234"/>
      <c r="R1764" s="234"/>
      <c r="S1764" s="238"/>
      <c r="T1764" s="239"/>
      <c r="U1764" s="238"/>
      <c r="V1764" s="238"/>
      <c r="W1764" s="234"/>
      <c r="X1764" s="234"/>
      <c r="Y1764" s="234"/>
      <c r="Z1764" s="234"/>
      <c r="AA1764" s="234"/>
    </row>
    <row r="1765" ht="15.75" customHeight="1">
      <c r="A1765" s="91"/>
      <c r="B1765" s="91"/>
      <c r="C1765" s="220"/>
      <c r="D1765" s="91"/>
      <c r="E1765" s="221"/>
      <c r="F1765" s="91"/>
      <c r="G1765" s="91"/>
      <c r="H1765" s="242"/>
      <c r="I1765" s="91"/>
      <c r="J1765" s="234"/>
      <c r="K1765" s="243"/>
      <c r="L1765" s="236"/>
      <c r="M1765" s="236"/>
      <c r="N1765" s="236"/>
      <c r="O1765" s="244"/>
      <c r="P1765" s="244"/>
      <c r="Q1765" s="234"/>
      <c r="R1765" s="234"/>
      <c r="S1765" s="238"/>
      <c r="T1765" s="239"/>
      <c r="U1765" s="238"/>
      <c r="V1765" s="238"/>
      <c r="W1765" s="234"/>
      <c r="X1765" s="234"/>
      <c r="Y1765" s="234"/>
      <c r="Z1765" s="234"/>
      <c r="AA1765" s="234"/>
    </row>
    <row r="1766" ht="15.75" customHeight="1">
      <c r="A1766" s="91"/>
      <c r="B1766" s="91"/>
      <c r="C1766" s="220"/>
      <c r="D1766" s="91"/>
      <c r="E1766" s="221"/>
      <c r="F1766" s="91"/>
      <c r="G1766" s="91"/>
      <c r="H1766" s="242"/>
      <c r="I1766" s="91"/>
      <c r="J1766" s="234"/>
      <c r="K1766" s="243"/>
      <c r="L1766" s="236"/>
      <c r="M1766" s="236"/>
      <c r="N1766" s="236"/>
      <c r="O1766" s="244"/>
      <c r="P1766" s="244"/>
      <c r="Q1766" s="234"/>
      <c r="R1766" s="234"/>
      <c r="S1766" s="238"/>
      <c r="T1766" s="239"/>
      <c r="U1766" s="238"/>
      <c r="V1766" s="238"/>
      <c r="W1766" s="234"/>
      <c r="X1766" s="234"/>
      <c r="Y1766" s="234"/>
      <c r="Z1766" s="234"/>
      <c r="AA1766" s="234"/>
    </row>
    <row r="1767" ht="15.75" customHeight="1">
      <c r="A1767" s="91"/>
      <c r="B1767" s="91"/>
      <c r="C1767" s="220"/>
      <c r="D1767" s="91"/>
      <c r="E1767" s="221"/>
      <c r="F1767" s="91"/>
      <c r="G1767" s="91"/>
      <c r="H1767" s="242"/>
      <c r="I1767" s="91"/>
      <c r="J1767" s="234"/>
      <c r="K1767" s="243"/>
      <c r="L1767" s="236"/>
      <c r="M1767" s="236"/>
      <c r="N1767" s="236"/>
      <c r="O1767" s="244"/>
      <c r="P1767" s="244"/>
      <c r="Q1767" s="234"/>
      <c r="R1767" s="234"/>
      <c r="S1767" s="238"/>
      <c r="T1767" s="239"/>
      <c r="U1767" s="238"/>
      <c r="V1767" s="238"/>
      <c r="W1767" s="234"/>
      <c r="X1767" s="234"/>
      <c r="Y1767" s="234"/>
      <c r="Z1767" s="234"/>
      <c r="AA1767" s="234"/>
    </row>
    <row r="1768" ht="15.75" customHeight="1">
      <c r="A1768" s="91"/>
      <c r="B1768" s="91"/>
      <c r="C1768" s="220"/>
      <c r="D1768" s="91"/>
      <c r="E1768" s="221"/>
      <c r="F1768" s="91"/>
      <c r="G1768" s="91"/>
      <c r="H1768" s="242"/>
      <c r="I1768" s="91"/>
      <c r="J1768" s="234"/>
      <c r="K1768" s="243"/>
      <c r="L1768" s="236"/>
      <c r="M1768" s="236"/>
      <c r="N1768" s="236"/>
      <c r="O1768" s="244"/>
      <c r="P1768" s="244"/>
      <c r="Q1768" s="234"/>
      <c r="R1768" s="234"/>
      <c r="S1768" s="238"/>
      <c r="T1768" s="239"/>
      <c r="U1768" s="238"/>
      <c r="V1768" s="238"/>
      <c r="W1768" s="234"/>
      <c r="X1768" s="234"/>
      <c r="Y1768" s="234"/>
      <c r="Z1768" s="234"/>
      <c r="AA1768" s="234"/>
    </row>
    <row r="1769" ht="15.75" customHeight="1">
      <c r="A1769" s="91"/>
      <c r="B1769" s="91"/>
      <c r="C1769" s="220"/>
      <c r="D1769" s="91"/>
      <c r="E1769" s="221"/>
      <c r="F1769" s="91"/>
      <c r="G1769" s="91"/>
      <c r="H1769" s="242"/>
      <c r="I1769" s="91"/>
      <c r="J1769" s="234"/>
      <c r="K1769" s="243"/>
      <c r="L1769" s="236"/>
      <c r="M1769" s="236"/>
      <c r="N1769" s="236"/>
      <c r="O1769" s="244"/>
      <c r="P1769" s="244"/>
      <c r="Q1769" s="234"/>
      <c r="R1769" s="234"/>
      <c r="S1769" s="238"/>
      <c r="T1769" s="239"/>
      <c r="U1769" s="238"/>
      <c r="V1769" s="238"/>
      <c r="W1769" s="234"/>
      <c r="X1769" s="234"/>
      <c r="Y1769" s="234"/>
      <c r="Z1769" s="234"/>
      <c r="AA1769" s="234"/>
    </row>
    <row r="1770" ht="15.75" customHeight="1">
      <c r="A1770" s="91"/>
      <c r="B1770" s="91"/>
      <c r="C1770" s="220"/>
      <c r="D1770" s="91"/>
      <c r="E1770" s="221"/>
      <c r="F1770" s="91"/>
      <c r="G1770" s="91"/>
      <c r="H1770" s="242"/>
      <c r="I1770" s="91"/>
      <c r="J1770" s="234"/>
      <c r="K1770" s="243"/>
      <c r="L1770" s="236"/>
      <c r="M1770" s="236"/>
      <c r="N1770" s="236"/>
      <c r="O1770" s="244"/>
      <c r="P1770" s="244"/>
      <c r="Q1770" s="234"/>
      <c r="R1770" s="234"/>
      <c r="S1770" s="238"/>
      <c r="T1770" s="239"/>
      <c r="U1770" s="238"/>
      <c r="V1770" s="238"/>
      <c r="W1770" s="234"/>
      <c r="X1770" s="234"/>
      <c r="Y1770" s="234"/>
      <c r="Z1770" s="234"/>
      <c r="AA1770" s="234"/>
    </row>
    <row r="1771" ht="15.75" customHeight="1">
      <c r="A1771" s="91"/>
      <c r="B1771" s="91"/>
      <c r="C1771" s="220"/>
      <c r="D1771" s="91"/>
      <c r="E1771" s="221"/>
      <c r="F1771" s="91"/>
      <c r="G1771" s="91"/>
      <c r="H1771" s="242"/>
      <c r="I1771" s="91"/>
      <c r="J1771" s="234"/>
      <c r="K1771" s="243"/>
      <c r="L1771" s="236"/>
      <c r="M1771" s="236"/>
      <c r="N1771" s="236"/>
      <c r="O1771" s="244"/>
      <c r="P1771" s="244"/>
      <c r="Q1771" s="234"/>
      <c r="R1771" s="234"/>
      <c r="S1771" s="238"/>
      <c r="T1771" s="239"/>
      <c r="U1771" s="238"/>
      <c r="V1771" s="238"/>
      <c r="W1771" s="234"/>
      <c r="X1771" s="234"/>
      <c r="Y1771" s="234"/>
      <c r="Z1771" s="234"/>
      <c r="AA1771" s="234"/>
    </row>
    <row r="1772" ht="15.75" customHeight="1">
      <c r="A1772" s="91"/>
      <c r="B1772" s="91"/>
      <c r="C1772" s="220"/>
      <c r="D1772" s="91"/>
      <c r="E1772" s="221"/>
      <c r="F1772" s="91"/>
      <c r="G1772" s="91"/>
      <c r="H1772" s="242"/>
      <c r="I1772" s="91"/>
      <c r="J1772" s="234"/>
      <c r="K1772" s="243"/>
      <c r="L1772" s="236"/>
      <c r="M1772" s="236"/>
      <c r="N1772" s="236"/>
      <c r="O1772" s="244"/>
      <c r="P1772" s="244"/>
      <c r="Q1772" s="234"/>
      <c r="R1772" s="234"/>
      <c r="S1772" s="238"/>
      <c r="T1772" s="239"/>
      <c r="U1772" s="238"/>
      <c r="V1772" s="238"/>
      <c r="W1772" s="234"/>
      <c r="X1772" s="234"/>
      <c r="Y1772" s="234"/>
      <c r="Z1772" s="234"/>
      <c r="AA1772" s="234"/>
    </row>
    <row r="1773" ht="15.75" customHeight="1">
      <c r="A1773" s="91"/>
      <c r="B1773" s="91"/>
      <c r="C1773" s="220"/>
      <c r="D1773" s="91"/>
      <c r="E1773" s="221"/>
      <c r="F1773" s="91"/>
      <c r="G1773" s="91"/>
      <c r="H1773" s="242"/>
      <c r="I1773" s="91"/>
      <c r="J1773" s="234"/>
      <c r="K1773" s="243"/>
      <c r="L1773" s="236"/>
      <c r="M1773" s="236"/>
      <c r="N1773" s="236"/>
      <c r="O1773" s="244"/>
      <c r="P1773" s="244"/>
      <c r="Q1773" s="234"/>
      <c r="R1773" s="234"/>
      <c r="S1773" s="238"/>
      <c r="T1773" s="239"/>
      <c r="U1773" s="238"/>
      <c r="V1773" s="238"/>
      <c r="W1773" s="234"/>
      <c r="X1773" s="234"/>
      <c r="Y1773" s="234"/>
      <c r="Z1773" s="234"/>
      <c r="AA1773" s="234"/>
    </row>
    <row r="1774" ht="15.75" customHeight="1">
      <c r="A1774" s="91"/>
      <c r="B1774" s="91"/>
      <c r="C1774" s="220"/>
      <c r="D1774" s="91"/>
      <c r="E1774" s="221"/>
      <c r="F1774" s="91"/>
      <c r="G1774" s="91"/>
      <c r="H1774" s="242"/>
      <c r="I1774" s="91"/>
      <c r="J1774" s="234"/>
      <c r="K1774" s="243"/>
      <c r="L1774" s="236"/>
      <c r="M1774" s="236"/>
      <c r="N1774" s="236"/>
      <c r="O1774" s="244"/>
      <c r="P1774" s="244"/>
      <c r="Q1774" s="234"/>
      <c r="R1774" s="234"/>
      <c r="S1774" s="238"/>
      <c r="T1774" s="239"/>
      <c r="U1774" s="238"/>
      <c r="V1774" s="238"/>
      <c r="W1774" s="234"/>
      <c r="X1774" s="234"/>
      <c r="Y1774" s="234"/>
      <c r="Z1774" s="234"/>
      <c r="AA1774" s="234"/>
    </row>
    <row r="1775" ht="15.75" customHeight="1">
      <c r="A1775" s="91"/>
      <c r="B1775" s="91"/>
      <c r="C1775" s="220"/>
      <c r="D1775" s="91"/>
      <c r="E1775" s="221"/>
      <c r="F1775" s="91"/>
      <c r="G1775" s="91"/>
      <c r="H1775" s="242"/>
      <c r="I1775" s="91"/>
      <c r="J1775" s="234"/>
      <c r="K1775" s="243"/>
      <c r="L1775" s="236"/>
      <c r="M1775" s="236"/>
      <c r="N1775" s="236"/>
      <c r="O1775" s="244"/>
      <c r="P1775" s="244"/>
      <c r="Q1775" s="234"/>
      <c r="R1775" s="234"/>
      <c r="S1775" s="238"/>
      <c r="T1775" s="239"/>
      <c r="U1775" s="238"/>
      <c r="V1775" s="238"/>
      <c r="W1775" s="234"/>
      <c r="X1775" s="234"/>
      <c r="Y1775" s="234"/>
      <c r="Z1775" s="234"/>
      <c r="AA1775" s="234"/>
    </row>
    <row r="1776" ht="15.75" customHeight="1">
      <c r="A1776" s="91"/>
      <c r="B1776" s="91"/>
      <c r="C1776" s="220"/>
      <c r="D1776" s="91"/>
      <c r="E1776" s="221"/>
      <c r="F1776" s="91"/>
      <c r="G1776" s="91"/>
      <c r="H1776" s="242"/>
      <c r="I1776" s="91"/>
      <c r="J1776" s="234"/>
      <c r="K1776" s="243"/>
      <c r="L1776" s="236"/>
      <c r="M1776" s="236"/>
      <c r="N1776" s="236"/>
      <c r="O1776" s="244"/>
      <c r="P1776" s="244"/>
      <c r="Q1776" s="234"/>
      <c r="R1776" s="234"/>
      <c r="S1776" s="238"/>
      <c r="T1776" s="239"/>
      <c r="U1776" s="238"/>
      <c r="V1776" s="238"/>
      <c r="W1776" s="234"/>
      <c r="X1776" s="234"/>
      <c r="Y1776" s="234"/>
      <c r="Z1776" s="234"/>
      <c r="AA1776" s="234"/>
    </row>
    <row r="1777" ht="15.75" customHeight="1">
      <c r="A1777" s="91"/>
      <c r="B1777" s="91"/>
      <c r="C1777" s="220"/>
      <c r="D1777" s="91"/>
      <c r="E1777" s="221"/>
      <c r="F1777" s="91"/>
      <c r="G1777" s="91"/>
      <c r="H1777" s="242"/>
      <c r="I1777" s="91"/>
      <c r="J1777" s="234"/>
      <c r="K1777" s="243"/>
      <c r="L1777" s="236"/>
      <c r="M1777" s="236"/>
      <c r="N1777" s="236"/>
      <c r="O1777" s="244"/>
      <c r="P1777" s="244"/>
      <c r="Q1777" s="234"/>
      <c r="R1777" s="234"/>
      <c r="S1777" s="238"/>
      <c r="T1777" s="239"/>
      <c r="U1777" s="238"/>
      <c r="V1777" s="238"/>
      <c r="W1777" s="234"/>
      <c r="X1777" s="234"/>
      <c r="Y1777" s="234"/>
      <c r="Z1777" s="234"/>
      <c r="AA1777" s="234"/>
    </row>
    <row r="1778" ht="15.75" customHeight="1">
      <c r="A1778" s="91"/>
      <c r="B1778" s="91"/>
      <c r="C1778" s="220"/>
      <c r="D1778" s="91"/>
      <c r="E1778" s="221"/>
      <c r="F1778" s="91"/>
      <c r="G1778" s="91"/>
      <c r="H1778" s="242"/>
      <c r="I1778" s="91"/>
      <c r="J1778" s="234"/>
      <c r="K1778" s="243"/>
      <c r="L1778" s="236"/>
      <c r="M1778" s="236"/>
      <c r="N1778" s="236"/>
      <c r="O1778" s="244"/>
      <c r="P1778" s="244"/>
      <c r="Q1778" s="234"/>
      <c r="R1778" s="234"/>
      <c r="S1778" s="238"/>
      <c r="T1778" s="239"/>
      <c r="U1778" s="238"/>
      <c r="V1778" s="238"/>
      <c r="W1778" s="234"/>
      <c r="X1778" s="234"/>
      <c r="Y1778" s="234"/>
      <c r="Z1778" s="234"/>
      <c r="AA1778" s="234"/>
    </row>
    <row r="1779" ht="15.75" customHeight="1">
      <c r="A1779" s="91"/>
      <c r="B1779" s="91"/>
      <c r="C1779" s="220"/>
      <c r="D1779" s="91"/>
      <c r="E1779" s="221"/>
      <c r="F1779" s="91"/>
      <c r="G1779" s="91"/>
      <c r="H1779" s="242"/>
      <c r="I1779" s="91"/>
      <c r="J1779" s="234"/>
      <c r="K1779" s="243"/>
      <c r="L1779" s="236"/>
      <c r="M1779" s="236"/>
      <c r="N1779" s="236"/>
      <c r="O1779" s="244"/>
      <c r="P1779" s="244"/>
      <c r="Q1779" s="234"/>
      <c r="R1779" s="234"/>
      <c r="S1779" s="238"/>
      <c r="T1779" s="239"/>
      <c r="U1779" s="238"/>
      <c r="V1779" s="238"/>
      <c r="W1779" s="234"/>
      <c r="X1779" s="234"/>
      <c r="Y1779" s="234"/>
      <c r="Z1779" s="234"/>
      <c r="AA1779" s="234"/>
    </row>
    <row r="1780" ht="15.75" customHeight="1">
      <c r="A1780" s="91"/>
      <c r="B1780" s="91"/>
      <c r="C1780" s="220"/>
      <c r="D1780" s="91"/>
      <c r="E1780" s="221"/>
      <c r="F1780" s="91"/>
      <c r="G1780" s="91"/>
      <c r="H1780" s="242"/>
      <c r="I1780" s="91"/>
      <c r="J1780" s="234"/>
      <c r="K1780" s="243"/>
      <c r="L1780" s="236"/>
      <c r="M1780" s="236"/>
      <c r="N1780" s="236"/>
      <c r="O1780" s="244"/>
      <c r="P1780" s="244"/>
      <c r="Q1780" s="234"/>
      <c r="R1780" s="234"/>
      <c r="S1780" s="238"/>
      <c r="T1780" s="239"/>
      <c r="U1780" s="238"/>
      <c r="V1780" s="238"/>
      <c r="W1780" s="234"/>
      <c r="X1780" s="234"/>
      <c r="Y1780" s="234"/>
      <c r="Z1780" s="234"/>
      <c r="AA1780" s="234"/>
    </row>
    <row r="1781" ht="15.75" customHeight="1">
      <c r="A1781" s="91"/>
      <c r="B1781" s="91"/>
      <c r="C1781" s="220"/>
      <c r="D1781" s="91"/>
      <c r="E1781" s="221"/>
      <c r="F1781" s="91"/>
      <c r="G1781" s="91"/>
      <c r="H1781" s="242"/>
      <c r="I1781" s="91"/>
      <c r="J1781" s="234"/>
      <c r="K1781" s="243"/>
      <c r="L1781" s="236"/>
      <c r="M1781" s="236"/>
      <c r="N1781" s="236"/>
      <c r="O1781" s="244"/>
      <c r="P1781" s="244"/>
      <c r="Q1781" s="234"/>
      <c r="R1781" s="234"/>
      <c r="S1781" s="238"/>
      <c r="T1781" s="239"/>
      <c r="U1781" s="238"/>
      <c r="V1781" s="238"/>
      <c r="W1781" s="234"/>
      <c r="X1781" s="234"/>
      <c r="Y1781" s="234"/>
      <c r="Z1781" s="234"/>
      <c r="AA1781" s="234"/>
    </row>
    <row r="1782" ht="15.75" customHeight="1">
      <c r="A1782" s="91"/>
      <c r="B1782" s="91"/>
      <c r="C1782" s="220"/>
      <c r="D1782" s="91"/>
      <c r="E1782" s="221"/>
      <c r="F1782" s="91"/>
      <c r="G1782" s="91"/>
      <c r="H1782" s="242"/>
      <c r="I1782" s="91"/>
      <c r="J1782" s="234"/>
      <c r="K1782" s="243"/>
      <c r="L1782" s="236"/>
      <c r="M1782" s="236"/>
      <c r="N1782" s="236"/>
      <c r="O1782" s="244"/>
      <c r="P1782" s="244"/>
      <c r="Q1782" s="234"/>
      <c r="R1782" s="234"/>
      <c r="S1782" s="238"/>
      <c r="T1782" s="239"/>
      <c r="U1782" s="238"/>
      <c r="V1782" s="238"/>
      <c r="W1782" s="234"/>
      <c r="X1782" s="234"/>
      <c r="Y1782" s="234"/>
      <c r="Z1782" s="234"/>
      <c r="AA1782" s="234"/>
    </row>
    <row r="1783" ht="15.75" customHeight="1">
      <c r="A1783" s="91"/>
      <c r="B1783" s="91"/>
      <c r="C1783" s="220"/>
      <c r="D1783" s="91"/>
      <c r="E1783" s="221"/>
      <c r="F1783" s="91"/>
      <c r="G1783" s="91"/>
      <c r="H1783" s="242"/>
      <c r="I1783" s="91"/>
      <c r="J1783" s="234"/>
      <c r="K1783" s="243"/>
      <c r="L1783" s="236"/>
      <c r="M1783" s="236"/>
      <c r="N1783" s="236"/>
      <c r="O1783" s="244"/>
      <c r="P1783" s="244"/>
      <c r="Q1783" s="234"/>
      <c r="R1783" s="234"/>
      <c r="S1783" s="238"/>
      <c r="T1783" s="239"/>
      <c r="U1783" s="238"/>
      <c r="V1783" s="238"/>
      <c r="W1783" s="234"/>
      <c r="X1783" s="234"/>
      <c r="Y1783" s="234"/>
      <c r="Z1783" s="234"/>
      <c r="AA1783" s="234"/>
    </row>
    <row r="1784" ht="15.75" customHeight="1">
      <c r="A1784" s="91"/>
      <c r="B1784" s="91"/>
      <c r="C1784" s="220"/>
      <c r="D1784" s="91"/>
      <c r="E1784" s="221"/>
      <c r="F1784" s="91"/>
      <c r="G1784" s="91"/>
      <c r="H1784" s="242"/>
      <c r="I1784" s="91"/>
      <c r="J1784" s="234"/>
      <c r="K1784" s="243"/>
      <c r="L1784" s="236"/>
      <c r="M1784" s="236"/>
      <c r="N1784" s="236"/>
      <c r="O1784" s="244"/>
      <c r="P1784" s="244"/>
      <c r="Q1784" s="234"/>
      <c r="R1784" s="234"/>
      <c r="S1784" s="238"/>
      <c r="T1784" s="239"/>
      <c r="U1784" s="238"/>
      <c r="V1784" s="238"/>
      <c r="W1784" s="234"/>
      <c r="X1784" s="234"/>
      <c r="Y1784" s="234"/>
      <c r="Z1784" s="234"/>
      <c r="AA1784" s="234"/>
    </row>
    <row r="1785" ht="15.75" customHeight="1">
      <c r="A1785" s="91"/>
      <c r="B1785" s="91"/>
      <c r="C1785" s="220"/>
      <c r="D1785" s="91"/>
      <c r="E1785" s="221"/>
      <c r="F1785" s="91"/>
      <c r="G1785" s="91"/>
      <c r="H1785" s="242"/>
      <c r="I1785" s="91"/>
      <c r="J1785" s="234"/>
      <c r="K1785" s="243"/>
      <c r="L1785" s="236"/>
      <c r="M1785" s="236"/>
      <c r="N1785" s="236"/>
      <c r="O1785" s="244"/>
      <c r="P1785" s="244"/>
      <c r="Q1785" s="234"/>
      <c r="R1785" s="234"/>
      <c r="S1785" s="238"/>
      <c r="T1785" s="239"/>
      <c r="U1785" s="238"/>
      <c r="V1785" s="238"/>
      <c r="W1785" s="234"/>
      <c r="X1785" s="234"/>
      <c r="Y1785" s="234"/>
      <c r="Z1785" s="234"/>
      <c r="AA1785" s="234"/>
    </row>
    <row r="1786" ht="15.75" customHeight="1">
      <c r="A1786" s="91"/>
      <c r="B1786" s="91"/>
      <c r="C1786" s="220"/>
      <c r="D1786" s="91"/>
      <c r="E1786" s="221"/>
      <c r="F1786" s="91"/>
      <c r="G1786" s="91"/>
      <c r="H1786" s="242"/>
      <c r="I1786" s="91"/>
      <c r="J1786" s="234"/>
      <c r="K1786" s="243"/>
      <c r="L1786" s="236"/>
      <c r="M1786" s="236"/>
      <c r="N1786" s="236"/>
      <c r="O1786" s="244"/>
      <c r="P1786" s="244"/>
      <c r="Q1786" s="234"/>
      <c r="R1786" s="234"/>
      <c r="S1786" s="238"/>
      <c r="T1786" s="239"/>
      <c r="U1786" s="238"/>
      <c r="V1786" s="238"/>
      <c r="W1786" s="234"/>
      <c r="X1786" s="234"/>
      <c r="Y1786" s="234"/>
      <c r="Z1786" s="234"/>
      <c r="AA1786" s="234"/>
    </row>
    <row r="1787" ht="15.75" customHeight="1">
      <c r="A1787" s="91"/>
      <c r="B1787" s="91"/>
      <c r="C1787" s="220"/>
      <c r="D1787" s="91"/>
      <c r="E1787" s="221"/>
      <c r="F1787" s="91"/>
      <c r="G1787" s="91"/>
      <c r="H1787" s="242"/>
      <c r="I1787" s="91"/>
      <c r="J1787" s="234"/>
      <c r="K1787" s="243"/>
      <c r="L1787" s="236"/>
      <c r="M1787" s="236"/>
      <c r="N1787" s="236"/>
      <c r="O1787" s="244"/>
      <c r="P1787" s="244"/>
      <c r="Q1787" s="234"/>
      <c r="R1787" s="234"/>
      <c r="S1787" s="238"/>
      <c r="T1787" s="239"/>
      <c r="U1787" s="238"/>
      <c r="V1787" s="238"/>
      <c r="W1787" s="234"/>
      <c r="X1787" s="234"/>
      <c r="Y1787" s="234"/>
      <c r="Z1787" s="234"/>
      <c r="AA1787" s="234"/>
    </row>
    <row r="1788" ht="15.75" customHeight="1">
      <c r="A1788" s="91"/>
      <c r="B1788" s="91"/>
      <c r="C1788" s="220"/>
      <c r="D1788" s="91"/>
      <c r="E1788" s="221"/>
      <c r="F1788" s="91"/>
      <c r="G1788" s="91"/>
      <c r="H1788" s="242"/>
      <c r="I1788" s="91"/>
      <c r="J1788" s="234"/>
      <c r="K1788" s="243"/>
      <c r="L1788" s="236"/>
      <c r="M1788" s="236"/>
      <c r="N1788" s="236"/>
      <c r="O1788" s="244"/>
      <c r="P1788" s="244"/>
      <c r="Q1788" s="234"/>
      <c r="R1788" s="234"/>
      <c r="S1788" s="238"/>
      <c r="T1788" s="239"/>
      <c r="U1788" s="238"/>
      <c r="V1788" s="238"/>
      <c r="W1788" s="234"/>
      <c r="X1788" s="234"/>
      <c r="Y1788" s="234"/>
      <c r="Z1788" s="234"/>
      <c r="AA1788" s="234"/>
    </row>
    <row r="1789" ht="15.75" customHeight="1">
      <c r="A1789" s="91"/>
      <c r="B1789" s="91"/>
      <c r="C1789" s="220"/>
      <c r="D1789" s="91"/>
      <c r="E1789" s="221"/>
      <c r="F1789" s="91"/>
      <c r="G1789" s="91"/>
      <c r="H1789" s="242"/>
      <c r="I1789" s="91"/>
      <c r="J1789" s="234"/>
      <c r="K1789" s="243"/>
      <c r="L1789" s="236"/>
      <c r="M1789" s="236"/>
      <c r="N1789" s="236"/>
      <c r="O1789" s="244"/>
      <c r="P1789" s="244"/>
      <c r="Q1789" s="234"/>
      <c r="R1789" s="234"/>
      <c r="S1789" s="238"/>
      <c r="T1789" s="239"/>
      <c r="U1789" s="238"/>
      <c r="V1789" s="238"/>
      <c r="W1789" s="234"/>
      <c r="X1789" s="234"/>
      <c r="Y1789" s="234"/>
      <c r="Z1789" s="234"/>
      <c r="AA1789" s="234"/>
    </row>
    <row r="1790" ht="15.75" customHeight="1">
      <c r="A1790" s="91"/>
      <c r="B1790" s="91"/>
      <c r="C1790" s="220"/>
      <c r="D1790" s="91"/>
      <c r="E1790" s="221"/>
      <c r="F1790" s="91"/>
      <c r="G1790" s="91"/>
      <c r="H1790" s="242"/>
      <c r="I1790" s="91"/>
      <c r="J1790" s="234"/>
      <c r="K1790" s="243"/>
      <c r="L1790" s="236"/>
      <c r="M1790" s="236"/>
      <c r="N1790" s="236"/>
      <c r="O1790" s="244"/>
      <c r="P1790" s="244"/>
      <c r="Q1790" s="234"/>
      <c r="R1790" s="234"/>
      <c r="S1790" s="238"/>
      <c r="T1790" s="239"/>
      <c r="U1790" s="238"/>
      <c r="V1790" s="238"/>
      <c r="W1790" s="234"/>
      <c r="X1790" s="234"/>
      <c r="Y1790" s="234"/>
      <c r="Z1790" s="234"/>
      <c r="AA1790" s="234"/>
    </row>
    <row r="1791" ht="15.75" customHeight="1">
      <c r="A1791" s="91"/>
      <c r="B1791" s="91"/>
      <c r="C1791" s="220"/>
      <c r="D1791" s="91"/>
      <c r="E1791" s="221"/>
      <c r="F1791" s="91"/>
      <c r="G1791" s="91"/>
      <c r="H1791" s="242"/>
      <c r="I1791" s="91"/>
      <c r="J1791" s="234"/>
      <c r="K1791" s="243"/>
      <c r="L1791" s="236"/>
      <c r="M1791" s="236"/>
      <c r="N1791" s="236"/>
      <c r="O1791" s="244"/>
      <c r="P1791" s="244"/>
      <c r="Q1791" s="234"/>
      <c r="R1791" s="234"/>
      <c r="S1791" s="238"/>
      <c r="T1791" s="239"/>
      <c r="U1791" s="238"/>
      <c r="V1791" s="238"/>
      <c r="W1791" s="234"/>
      <c r="X1791" s="234"/>
      <c r="Y1791" s="234"/>
      <c r="Z1791" s="234"/>
      <c r="AA1791" s="234"/>
    </row>
    <row r="1792" ht="15.75" customHeight="1">
      <c r="A1792" s="91"/>
      <c r="B1792" s="91"/>
      <c r="C1792" s="220"/>
      <c r="D1792" s="91"/>
      <c r="E1792" s="221"/>
      <c r="F1792" s="91"/>
      <c r="G1792" s="91"/>
      <c r="H1792" s="242"/>
      <c r="I1792" s="91"/>
      <c r="J1792" s="234"/>
      <c r="K1792" s="243"/>
      <c r="L1792" s="236"/>
      <c r="M1792" s="236"/>
      <c r="N1792" s="236"/>
      <c r="O1792" s="244"/>
      <c r="P1792" s="244"/>
      <c r="Q1792" s="234"/>
      <c r="R1792" s="234"/>
      <c r="S1792" s="238"/>
      <c r="T1792" s="239"/>
      <c r="U1792" s="238"/>
      <c r="V1792" s="238"/>
      <c r="W1792" s="234"/>
      <c r="X1792" s="234"/>
      <c r="Y1792" s="234"/>
      <c r="Z1792" s="234"/>
      <c r="AA1792" s="234"/>
    </row>
    <row r="1793" ht="15.75" customHeight="1">
      <c r="A1793" s="91"/>
      <c r="B1793" s="91"/>
      <c r="C1793" s="220"/>
      <c r="D1793" s="91"/>
      <c r="E1793" s="221"/>
      <c r="F1793" s="91"/>
      <c r="G1793" s="91"/>
      <c r="H1793" s="242"/>
      <c r="I1793" s="91"/>
      <c r="J1793" s="234"/>
      <c r="K1793" s="243"/>
      <c r="L1793" s="236"/>
      <c r="M1793" s="236"/>
      <c r="N1793" s="236"/>
      <c r="O1793" s="244"/>
      <c r="P1793" s="244"/>
      <c r="Q1793" s="234"/>
      <c r="R1793" s="234"/>
      <c r="S1793" s="238"/>
      <c r="T1793" s="239"/>
      <c r="U1793" s="238"/>
      <c r="V1793" s="238"/>
      <c r="W1793" s="234"/>
      <c r="X1793" s="234"/>
      <c r="Y1793" s="234"/>
      <c r="Z1793" s="234"/>
      <c r="AA1793" s="234"/>
    </row>
    <row r="1794" ht="15.75" customHeight="1">
      <c r="A1794" s="91"/>
      <c r="B1794" s="91"/>
      <c r="C1794" s="220"/>
      <c r="D1794" s="91"/>
      <c r="E1794" s="221"/>
      <c r="F1794" s="91"/>
      <c r="G1794" s="91"/>
      <c r="H1794" s="242"/>
      <c r="I1794" s="91"/>
      <c r="J1794" s="234"/>
      <c r="K1794" s="243"/>
      <c r="L1794" s="236"/>
      <c r="M1794" s="236"/>
      <c r="N1794" s="236"/>
      <c r="O1794" s="244"/>
      <c r="P1794" s="244"/>
      <c r="Q1794" s="234"/>
      <c r="R1794" s="234"/>
      <c r="S1794" s="238"/>
      <c r="T1794" s="239"/>
      <c r="U1794" s="238"/>
      <c r="V1794" s="238"/>
      <c r="W1794" s="234"/>
      <c r="X1794" s="234"/>
      <c r="Y1794" s="234"/>
      <c r="Z1794" s="234"/>
      <c r="AA1794" s="234"/>
    </row>
    <row r="1795" ht="15.75" customHeight="1">
      <c r="A1795" s="91"/>
      <c r="B1795" s="91"/>
      <c r="C1795" s="220"/>
      <c r="D1795" s="91"/>
      <c r="E1795" s="221"/>
      <c r="F1795" s="91"/>
      <c r="G1795" s="91"/>
      <c r="H1795" s="242"/>
      <c r="I1795" s="91"/>
      <c r="J1795" s="234"/>
      <c r="K1795" s="243"/>
      <c r="L1795" s="236"/>
      <c r="M1795" s="236"/>
      <c r="N1795" s="236"/>
      <c r="O1795" s="244"/>
      <c r="P1795" s="244"/>
      <c r="Q1795" s="234"/>
      <c r="R1795" s="234"/>
      <c r="S1795" s="238"/>
      <c r="T1795" s="239"/>
      <c r="U1795" s="238"/>
      <c r="V1795" s="238"/>
      <c r="W1795" s="234"/>
      <c r="X1795" s="234"/>
      <c r="Y1795" s="234"/>
      <c r="Z1795" s="234"/>
      <c r="AA1795" s="234"/>
    </row>
    <row r="1796" ht="15.75" customHeight="1">
      <c r="A1796" s="91"/>
      <c r="B1796" s="91"/>
      <c r="C1796" s="220"/>
      <c r="D1796" s="91"/>
      <c r="E1796" s="221"/>
      <c r="F1796" s="91"/>
      <c r="G1796" s="91"/>
      <c r="H1796" s="242"/>
      <c r="I1796" s="91"/>
      <c r="J1796" s="234"/>
      <c r="K1796" s="243"/>
      <c r="L1796" s="236"/>
      <c r="M1796" s="236"/>
      <c r="N1796" s="236"/>
      <c r="O1796" s="244"/>
      <c r="P1796" s="244"/>
      <c r="Q1796" s="234"/>
      <c r="R1796" s="234"/>
      <c r="S1796" s="238"/>
      <c r="T1796" s="239"/>
      <c r="U1796" s="238"/>
      <c r="V1796" s="238"/>
      <c r="W1796" s="234"/>
      <c r="X1796" s="234"/>
      <c r="Y1796" s="234"/>
      <c r="Z1796" s="234"/>
      <c r="AA1796" s="234"/>
    </row>
    <row r="1797" ht="15.75" customHeight="1">
      <c r="A1797" s="91"/>
      <c r="B1797" s="91"/>
      <c r="C1797" s="220"/>
      <c r="D1797" s="91"/>
      <c r="E1797" s="221"/>
      <c r="F1797" s="91"/>
      <c r="G1797" s="91"/>
      <c r="H1797" s="242"/>
      <c r="I1797" s="91"/>
      <c r="J1797" s="234"/>
      <c r="K1797" s="243"/>
      <c r="L1797" s="236"/>
      <c r="M1797" s="236"/>
      <c r="N1797" s="236"/>
      <c r="O1797" s="244"/>
      <c r="P1797" s="244"/>
      <c r="Q1797" s="234"/>
      <c r="R1797" s="234"/>
      <c r="S1797" s="238"/>
      <c r="T1797" s="239"/>
      <c r="U1797" s="238"/>
      <c r="V1797" s="238"/>
      <c r="W1797" s="234"/>
      <c r="X1797" s="234"/>
      <c r="Y1797" s="234"/>
      <c r="Z1797" s="234"/>
      <c r="AA1797" s="234"/>
    </row>
    <row r="1798" ht="15.75" customHeight="1">
      <c r="A1798" s="91"/>
      <c r="B1798" s="91"/>
      <c r="C1798" s="220"/>
      <c r="D1798" s="91"/>
      <c r="E1798" s="221"/>
      <c r="F1798" s="91"/>
      <c r="G1798" s="91"/>
      <c r="H1798" s="242"/>
      <c r="I1798" s="91"/>
      <c r="J1798" s="234"/>
      <c r="K1798" s="243"/>
      <c r="L1798" s="236"/>
      <c r="M1798" s="236"/>
      <c r="N1798" s="236"/>
      <c r="O1798" s="244"/>
      <c r="P1798" s="244"/>
      <c r="Q1798" s="234"/>
      <c r="R1798" s="234"/>
      <c r="S1798" s="238"/>
      <c r="T1798" s="239"/>
      <c r="U1798" s="238"/>
      <c r="V1798" s="238"/>
      <c r="W1798" s="234"/>
      <c r="X1798" s="234"/>
      <c r="Y1798" s="234"/>
      <c r="Z1798" s="234"/>
      <c r="AA1798" s="234"/>
    </row>
    <row r="1799" ht="15.75" customHeight="1">
      <c r="A1799" s="91"/>
      <c r="B1799" s="91"/>
      <c r="C1799" s="220"/>
      <c r="D1799" s="91"/>
      <c r="E1799" s="221"/>
      <c r="F1799" s="91"/>
      <c r="G1799" s="91"/>
      <c r="H1799" s="242"/>
      <c r="I1799" s="91"/>
      <c r="J1799" s="234"/>
      <c r="K1799" s="243"/>
      <c r="L1799" s="236"/>
      <c r="M1799" s="236"/>
      <c r="N1799" s="236"/>
      <c r="O1799" s="244"/>
      <c r="P1799" s="244"/>
      <c r="Q1799" s="234"/>
      <c r="R1799" s="234"/>
      <c r="S1799" s="238"/>
      <c r="T1799" s="239"/>
      <c r="U1799" s="238"/>
      <c r="V1799" s="238"/>
      <c r="W1799" s="234"/>
      <c r="X1799" s="234"/>
      <c r="Y1799" s="234"/>
      <c r="Z1799" s="234"/>
      <c r="AA1799" s="234"/>
    </row>
    <row r="1800" ht="15.75" customHeight="1">
      <c r="A1800" s="91"/>
      <c r="B1800" s="91"/>
      <c r="C1800" s="220"/>
      <c r="D1800" s="91"/>
      <c r="E1800" s="221"/>
      <c r="F1800" s="91"/>
      <c r="G1800" s="91"/>
      <c r="H1800" s="242"/>
      <c r="I1800" s="91"/>
      <c r="J1800" s="234"/>
      <c r="K1800" s="243"/>
      <c r="L1800" s="236"/>
      <c r="M1800" s="236"/>
      <c r="N1800" s="236"/>
      <c r="O1800" s="244"/>
      <c r="P1800" s="244"/>
      <c r="Q1800" s="234"/>
      <c r="R1800" s="234"/>
      <c r="S1800" s="238"/>
      <c r="T1800" s="239"/>
      <c r="U1800" s="238"/>
      <c r="V1800" s="238"/>
      <c r="W1800" s="234"/>
      <c r="X1800" s="234"/>
      <c r="Y1800" s="234"/>
      <c r="Z1800" s="234"/>
      <c r="AA1800" s="234"/>
    </row>
    <row r="1801" ht="15.75" customHeight="1">
      <c r="A1801" s="91"/>
      <c r="B1801" s="91"/>
      <c r="C1801" s="220"/>
      <c r="D1801" s="91"/>
      <c r="E1801" s="221"/>
      <c r="F1801" s="91"/>
      <c r="G1801" s="91"/>
      <c r="H1801" s="242"/>
      <c r="I1801" s="91"/>
      <c r="J1801" s="234"/>
      <c r="K1801" s="243"/>
      <c r="L1801" s="236"/>
      <c r="M1801" s="236"/>
      <c r="N1801" s="236"/>
      <c r="O1801" s="244"/>
      <c r="P1801" s="244"/>
      <c r="Q1801" s="234"/>
      <c r="R1801" s="234"/>
      <c r="S1801" s="238"/>
      <c r="T1801" s="239"/>
      <c r="U1801" s="238"/>
      <c r="V1801" s="238"/>
      <c r="W1801" s="234"/>
      <c r="X1801" s="234"/>
      <c r="Y1801" s="234"/>
      <c r="Z1801" s="234"/>
      <c r="AA1801" s="234"/>
    </row>
    <row r="1802" ht="15.75" customHeight="1">
      <c r="A1802" s="91"/>
      <c r="B1802" s="91"/>
      <c r="C1802" s="220"/>
      <c r="D1802" s="91"/>
      <c r="E1802" s="221"/>
      <c r="F1802" s="91"/>
      <c r="G1802" s="91"/>
      <c r="H1802" s="242"/>
      <c r="I1802" s="91"/>
      <c r="J1802" s="234"/>
      <c r="K1802" s="243"/>
      <c r="L1802" s="236"/>
      <c r="M1802" s="236"/>
      <c r="N1802" s="236"/>
      <c r="O1802" s="244"/>
      <c r="P1802" s="244"/>
      <c r="Q1802" s="234"/>
      <c r="R1802" s="234"/>
      <c r="S1802" s="238"/>
      <c r="T1802" s="239"/>
      <c r="U1802" s="238"/>
      <c r="V1802" s="238"/>
      <c r="W1802" s="234"/>
      <c r="X1802" s="234"/>
      <c r="Y1802" s="234"/>
      <c r="Z1802" s="234"/>
      <c r="AA1802" s="234"/>
    </row>
    <row r="1803" ht="15.75" customHeight="1">
      <c r="A1803" s="91"/>
      <c r="B1803" s="91"/>
      <c r="C1803" s="220"/>
      <c r="D1803" s="91"/>
      <c r="E1803" s="221"/>
      <c r="F1803" s="91"/>
      <c r="G1803" s="91"/>
      <c r="H1803" s="242"/>
      <c r="I1803" s="91"/>
      <c r="J1803" s="234"/>
      <c r="K1803" s="243"/>
      <c r="L1803" s="236"/>
      <c r="M1803" s="236"/>
      <c r="N1803" s="236"/>
      <c r="O1803" s="244"/>
      <c r="P1803" s="244"/>
      <c r="Q1803" s="234"/>
      <c r="R1803" s="234"/>
      <c r="S1803" s="238"/>
      <c r="T1803" s="239"/>
      <c r="U1803" s="238"/>
      <c r="V1803" s="238"/>
      <c r="W1803" s="234"/>
      <c r="X1803" s="234"/>
      <c r="Y1803" s="234"/>
      <c r="Z1803" s="234"/>
      <c r="AA1803" s="234"/>
    </row>
    <row r="1804" ht="15.75" customHeight="1">
      <c r="A1804" s="91"/>
      <c r="B1804" s="91"/>
      <c r="C1804" s="220"/>
      <c r="D1804" s="91"/>
      <c r="E1804" s="221"/>
      <c r="F1804" s="91"/>
      <c r="G1804" s="91"/>
      <c r="H1804" s="242"/>
      <c r="I1804" s="91"/>
      <c r="J1804" s="234"/>
      <c r="K1804" s="243"/>
      <c r="L1804" s="236"/>
      <c r="M1804" s="236"/>
      <c r="N1804" s="236"/>
      <c r="O1804" s="244"/>
      <c r="P1804" s="244"/>
      <c r="Q1804" s="234"/>
      <c r="R1804" s="234"/>
      <c r="S1804" s="238"/>
      <c r="T1804" s="239"/>
      <c r="U1804" s="238"/>
      <c r="V1804" s="238"/>
      <c r="W1804" s="234"/>
      <c r="X1804" s="234"/>
      <c r="Y1804" s="234"/>
      <c r="Z1804" s="234"/>
      <c r="AA1804" s="234"/>
    </row>
    <row r="1805" ht="15.75" customHeight="1">
      <c r="A1805" s="91"/>
      <c r="B1805" s="91"/>
      <c r="C1805" s="220"/>
      <c r="D1805" s="91"/>
      <c r="E1805" s="221"/>
      <c r="F1805" s="91"/>
      <c r="G1805" s="91"/>
      <c r="H1805" s="242"/>
      <c r="I1805" s="91"/>
      <c r="J1805" s="234"/>
      <c r="K1805" s="243"/>
      <c r="L1805" s="236"/>
      <c r="M1805" s="236"/>
      <c r="N1805" s="236"/>
      <c r="O1805" s="244"/>
      <c r="P1805" s="244"/>
      <c r="Q1805" s="234"/>
      <c r="R1805" s="234"/>
      <c r="S1805" s="238"/>
      <c r="T1805" s="239"/>
      <c r="U1805" s="238"/>
      <c r="V1805" s="238"/>
      <c r="W1805" s="234"/>
      <c r="X1805" s="234"/>
      <c r="Y1805" s="234"/>
      <c r="Z1805" s="234"/>
      <c r="AA1805" s="234"/>
    </row>
    <row r="1806" ht="15.75" customHeight="1">
      <c r="A1806" s="91"/>
      <c r="B1806" s="91"/>
      <c r="C1806" s="220"/>
      <c r="D1806" s="91"/>
      <c r="E1806" s="221"/>
      <c r="F1806" s="91"/>
      <c r="G1806" s="91"/>
      <c r="H1806" s="242"/>
      <c r="I1806" s="91"/>
      <c r="J1806" s="234"/>
      <c r="K1806" s="243"/>
      <c r="L1806" s="236"/>
      <c r="M1806" s="236"/>
      <c r="N1806" s="236"/>
      <c r="O1806" s="244"/>
      <c r="P1806" s="244"/>
      <c r="Q1806" s="234"/>
      <c r="R1806" s="234"/>
      <c r="S1806" s="238"/>
      <c r="T1806" s="239"/>
      <c r="U1806" s="238"/>
      <c r="V1806" s="238"/>
      <c r="W1806" s="234"/>
      <c r="X1806" s="234"/>
      <c r="Y1806" s="234"/>
      <c r="Z1806" s="234"/>
      <c r="AA1806" s="234"/>
    </row>
    <row r="1807" ht="15.75" customHeight="1">
      <c r="A1807" s="91"/>
      <c r="B1807" s="91"/>
      <c r="C1807" s="220"/>
      <c r="D1807" s="91"/>
      <c r="E1807" s="221"/>
      <c r="F1807" s="91"/>
      <c r="G1807" s="91"/>
      <c r="H1807" s="242"/>
      <c r="I1807" s="91"/>
      <c r="J1807" s="234"/>
      <c r="K1807" s="243"/>
      <c r="L1807" s="236"/>
      <c r="M1807" s="236"/>
      <c r="N1807" s="236"/>
      <c r="O1807" s="244"/>
      <c r="P1807" s="244"/>
      <c r="Q1807" s="234"/>
      <c r="R1807" s="234"/>
      <c r="S1807" s="238"/>
      <c r="T1807" s="239"/>
      <c r="U1807" s="238"/>
      <c r="V1807" s="238"/>
      <c r="W1807" s="234"/>
      <c r="X1807" s="234"/>
      <c r="Y1807" s="234"/>
      <c r="Z1807" s="234"/>
      <c r="AA1807" s="234"/>
    </row>
    <row r="1808" ht="15.75" customHeight="1">
      <c r="A1808" s="91"/>
      <c r="B1808" s="91"/>
      <c r="C1808" s="220"/>
      <c r="D1808" s="91"/>
      <c r="E1808" s="221"/>
      <c r="F1808" s="91"/>
      <c r="G1808" s="91"/>
      <c r="H1808" s="242"/>
      <c r="I1808" s="91"/>
      <c r="J1808" s="234"/>
      <c r="K1808" s="243"/>
      <c r="L1808" s="236"/>
      <c r="M1808" s="236"/>
      <c r="N1808" s="236"/>
      <c r="O1808" s="244"/>
      <c r="P1808" s="244"/>
      <c r="Q1808" s="234"/>
      <c r="R1808" s="234"/>
      <c r="S1808" s="238"/>
      <c r="T1808" s="239"/>
      <c r="U1808" s="238"/>
      <c r="V1808" s="238"/>
      <c r="W1808" s="234"/>
      <c r="X1808" s="234"/>
      <c r="Y1808" s="234"/>
      <c r="Z1808" s="234"/>
      <c r="AA1808" s="234"/>
    </row>
    <row r="1809" ht="15.75" customHeight="1">
      <c r="A1809" s="91"/>
      <c r="B1809" s="91"/>
      <c r="C1809" s="220"/>
      <c r="D1809" s="91"/>
      <c r="E1809" s="221"/>
      <c r="F1809" s="91"/>
      <c r="G1809" s="91"/>
      <c r="H1809" s="242"/>
      <c r="I1809" s="91"/>
      <c r="J1809" s="234"/>
      <c r="K1809" s="243"/>
      <c r="L1809" s="236"/>
      <c r="M1809" s="236"/>
      <c r="N1809" s="236"/>
      <c r="O1809" s="244"/>
      <c r="P1809" s="244"/>
      <c r="Q1809" s="234"/>
      <c r="R1809" s="234"/>
      <c r="S1809" s="238"/>
      <c r="T1809" s="239"/>
      <c r="U1809" s="238"/>
      <c r="V1809" s="238"/>
      <c r="W1809" s="234"/>
      <c r="X1809" s="234"/>
      <c r="Y1809" s="234"/>
      <c r="Z1809" s="234"/>
      <c r="AA1809" s="234"/>
    </row>
    <row r="1810" ht="15.75" customHeight="1">
      <c r="A1810" s="91"/>
      <c r="B1810" s="91"/>
      <c r="C1810" s="220"/>
      <c r="D1810" s="91"/>
      <c r="E1810" s="221"/>
      <c r="F1810" s="91"/>
      <c r="G1810" s="91"/>
      <c r="H1810" s="242"/>
      <c r="I1810" s="91"/>
      <c r="J1810" s="234"/>
      <c r="K1810" s="243"/>
      <c r="L1810" s="236"/>
      <c r="M1810" s="236"/>
      <c r="N1810" s="236"/>
      <c r="O1810" s="244"/>
      <c r="P1810" s="244"/>
      <c r="Q1810" s="234"/>
      <c r="R1810" s="234"/>
      <c r="S1810" s="238"/>
      <c r="T1810" s="239"/>
      <c r="U1810" s="238"/>
      <c r="V1810" s="238"/>
      <c r="W1810" s="234"/>
      <c r="X1810" s="234"/>
      <c r="Y1810" s="234"/>
      <c r="Z1810" s="234"/>
      <c r="AA1810" s="234"/>
    </row>
    <row r="1811" ht="15.75" customHeight="1">
      <c r="A1811" s="91"/>
      <c r="B1811" s="91"/>
      <c r="C1811" s="220"/>
      <c r="D1811" s="91"/>
      <c r="E1811" s="221"/>
      <c r="F1811" s="91"/>
      <c r="G1811" s="91"/>
      <c r="H1811" s="242"/>
      <c r="I1811" s="91"/>
      <c r="J1811" s="234"/>
      <c r="K1811" s="243"/>
      <c r="L1811" s="236"/>
      <c r="M1811" s="236"/>
      <c r="N1811" s="236"/>
      <c r="O1811" s="244"/>
      <c r="P1811" s="244"/>
      <c r="Q1811" s="234"/>
      <c r="R1811" s="234"/>
      <c r="S1811" s="238"/>
      <c r="T1811" s="239"/>
      <c r="U1811" s="238"/>
      <c r="V1811" s="238"/>
      <c r="W1811" s="234"/>
      <c r="X1811" s="234"/>
      <c r="Y1811" s="234"/>
      <c r="Z1811" s="234"/>
      <c r="AA1811" s="234"/>
    </row>
    <row r="1812" ht="15.75" customHeight="1">
      <c r="A1812" s="91"/>
      <c r="B1812" s="91"/>
      <c r="C1812" s="220"/>
      <c r="D1812" s="91"/>
      <c r="E1812" s="221"/>
      <c r="F1812" s="91"/>
      <c r="G1812" s="91"/>
      <c r="H1812" s="242"/>
      <c r="I1812" s="91"/>
      <c r="J1812" s="234"/>
      <c r="K1812" s="243"/>
      <c r="L1812" s="236"/>
      <c r="M1812" s="236"/>
      <c r="N1812" s="236"/>
      <c r="O1812" s="244"/>
      <c r="P1812" s="244"/>
      <c r="Q1812" s="234"/>
      <c r="R1812" s="234"/>
      <c r="S1812" s="238"/>
      <c r="T1812" s="239"/>
      <c r="U1812" s="238"/>
      <c r="V1812" s="238"/>
      <c r="W1812" s="234"/>
      <c r="X1812" s="234"/>
      <c r="Y1812" s="234"/>
      <c r="Z1812" s="234"/>
      <c r="AA1812" s="234"/>
    </row>
    <row r="1813" ht="15.75" customHeight="1">
      <c r="A1813" s="91"/>
      <c r="B1813" s="91"/>
      <c r="C1813" s="220"/>
      <c r="D1813" s="91"/>
      <c r="E1813" s="221"/>
      <c r="F1813" s="91"/>
      <c r="G1813" s="91"/>
      <c r="H1813" s="242"/>
      <c r="I1813" s="91"/>
      <c r="J1813" s="234"/>
      <c r="K1813" s="243"/>
      <c r="L1813" s="236"/>
      <c r="M1813" s="236"/>
      <c r="N1813" s="236"/>
      <c r="O1813" s="244"/>
      <c r="P1813" s="244"/>
      <c r="Q1813" s="234"/>
      <c r="R1813" s="234"/>
      <c r="S1813" s="238"/>
      <c r="T1813" s="239"/>
      <c r="U1813" s="238"/>
      <c r="V1813" s="238"/>
      <c r="W1813" s="234"/>
      <c r="X1813" s="234"/>
      <c r="Y1813" s="234"/>
      <c r="Z1813" s="234"/>
      <c r="AA1813" s="234"/>
    </row>
    <row r="1814" ht="15.75" customHeight="1">
      <c r="A1814" s="91"/>
      <c r="B1814" s="91"/>
      <c r="C1814" s="220"/>
      <c r="D1814" s="91"/>
      <c r="E1814" s="221"/>
      <c r="F1814" s="91"/>
      <c r="G1814" s="91"/>
      <c r="H1814" s="242"/>
      <c r="I1814" s="91"/>
      <c r="J1814" s="234"/>
      <c r="K1814" s="243"/>
      <c r="L1814" s="236"/>
      <c r="M1814" s="236"/>
      <c r="N1814" s="236"/>
      <c r="O1814" s="244"/>
      <c r="P1814" s="244"/>
      <c r="Q1814" s="234"/>
      <c r="R1814" s="234"/>
      <c r="S1814" s="238"/>
      <c r="T1814" s="239"/>
      <c r="U1814" s="238"/>
      <c r="V1814" s="238"/>
      <c r="W1814" s="234"/>
      <c r="X1814" s="234"/>
      <c r="Y1814" s="234"/>
      <c r="Z1814" s="234"/>
      <c r="AA1814" s="234"/>
    </row>
    <row r="1815" ht="15.75" customHeight="1">
      <c r="A1815" s="91"/>
      <c r="B1815" s="91"/>
      <c r="C1815" s="220"/>
      <c r="D1815" s="91"/>
      <c r="E1815" s="221"/>
      <c r="F1815" s="91"/>
      <c r="G1815" s="91"/>
      <c r="H1815" s="242"/>
      <c r="I1815" s="91"/>
      <c r="J1815" s="234"/>
      <c r="K1815" s="243"/>
      <c r="L1815" s="236"/>
      <c r="M1815" s="236"/>
      <c r="N1815" s="236"/>
      <c r="O1815" s="244"/>
      <c r="P1815" s="244"/>
      <c r="Q1815" s="234"/>
      <c r="R1815" s="234"/>
      <c r="S1815" s="238"/>
      <c r="T1815" s="239"/>
      <c r="U1815" s="238"/>
      <c r="V1815" s="238"/>
      <c r="W1815" s="234"/>
      <c r="X1815" s="234"/>
      <c r="Y1815" s="234"/>
      <c r="Z1815" s="234"/>
      <c r="AA1815" s="234"/>
    </row>
    <row r="1816" ht="15.75" customHeight="1">
      <c r="A1816" s="91"/>
      <c r="B1816" s="91"/>
      <c r="C1816" s="220"/>
      <c r="D1816" s="91"/>
      <c r="E1816" s="221"/>
      <c r="F1816" s="91"/>
      <c r="G1816" s="91"/>
      <c r="H1816" s="242"/>
      <c r="I1816" s="91"/>
      <c r="J1816" s="234"/>
      <c r="K1816" s="243"/>
      <c r="L1816" s="236"/>
      <c r="M1816" s="236"/>
      <c r="N1816" s="236"/>
      <c r="O1816" s="244"/>
      <c r="P1816" s="244"/>
      <c r="Q1816" s="234"/>
      <c r="R1816" s="234"/>
      <c r="S1816" s="238"/>
      <c r="T1816" s="239"/>
      <c r="U1816" s="238"/>
      <c r="V1816" s="238"/>
      <c r="W1816" s="234"/>
      <c r="X1816" s="234"/>
      <c r="Y1816" s="234"/>
      <c r="Z1816" s="234"/>
      <c r="AA1816" s="234"/>
    </row>
    <row r="1817" ht="15.75" customHeight="1">
      <c r="A1817" s="91"/>
      <c r="B1817" s="91"/>
      <c r="C1817" s="220"/>
      <c r="D1817" s="91"/>
      <c r="E1817" s="221"/>
      <c r="F1817" s="91"/>
      <c r="G1817" s="91"/>
      <c r="H1817" s="242"/>
      <c r="I1817" s="91"/>
      <c r="J1817" s="234"/>
      <c r="K1817" s="243"/>
      <c r="L1817" s="236"/>
      <c r="M1817" s="236"/>
      <c r="N1817" s="236"/>
      <c r="O1817" s="244"/>
      <c r="P1817" s="244"/>
      <c r="Q1817" s="234"/>
      <c r="R1817" s="234"/>
      <c r="S1817" s="238"/>
      <c r="T1817" s="239"/>
      <c r="U1817" s="238"/>
      <c r="V1817" s="238"/>
      <c r="W1817" s="234"/>
      <c r="X1817" s="234"/>
      <c r="Y1817" s="234"/>
      <c r="Z1817" s="234"/>
      <c r="AA1817" s="234"/>
    </row>
    <row r="1818" ht="15.75" customHeight="1">
      <c r="A1818" s="91"/>
      <c r="B1818" s="91"/>
      <c r="C1818" s="220"/>
      <c r="D1818" s="91"/>
      <c r="E1818" s="221"/>
      <c r="F1818" s="91"/>
      <c r="G1818" s="91"/>
      <c r="H1818" s="242"/>
      <c r="I1818" s="91"/>
      <c r="J1818" s="234"/>
      <c r="K1818" s="243"/>
      <c r="L1818" s="236"/>
      <c r="M1818" s="236"/>
      <c r="N1818" s="236"/>
      <c r="O1818" s="244"/>
      <c r="P1818" s="244"/>
      <c r="Q1818" s="234"/>
      <c r="R1818" s="234"/>
      <c r="S1818" s="238"/>
      <c r="T1818" s="239"/>
      <c r="U1818" s="238"/>
      <c r="V1818" s="238"/>
      <c r="W1818" s="234"/>
      <c r="X1818" s="234"/>
      <c r="Y1818" s="234"/>
      <c r="Z1818" s="234"/>
      <c r="AA1818" s="234"/>
    </row>
    <row r="1819" ht="15.75" customHeight="1">
      <c r="A1819" s="91"/>
      <c r="B1819" s="91"/>
      <c r="C1819" s="220"/>
      <c r="D1819" s="91"/>
      <c r="E1819" s="221"/>
      <c r="F1819" s="91"/>
      <c r="G1819" s="91"/>
      <c r="H1819" s="242"/>
      <c r="I1819" s="91"/>
      <c r="J1819" s="234"/>
      <c r="K1819" s="243"/>
      <c r="L1819" s="236"/>
      <c r="M1819" s="236"/>
      <c r="N1819" s="236"/>
      <c r="O1819" s="244"/>
      <c r="P1819" s="244"/>
      <c r="Q1819" s="234"/>
      <c r="R1819" s="234"/>
      <c r="S1819" s="238"/>
      <c r="T1819" s="239"/>
      <c r="U1819" s="238"/>
      <c r="V1819" s="238"/>
      <c r="W1819" s="234"/>
      <c r="X1819" s="234"/>
      <c r="Y1819" s="234"/>
      <c r="Z1819" s="234"/>
      <c r="AA1819" s="234"/>
    </row>
    <row r="1820" ht="15.75" customHeight="1">
      <c r="A1820" s="91"/>
      <c r="B1820" s="91"/>
      <c r="C1820" s="220"/>
      <c r="D1820" s="91"/>
      <c r="E1820" s="221"/>
      <c r="F1820" s="91"/>
      <c r="G1820" s="91"/>
      <c r="H1820" s="242"/>
      <c r="I1820" s="91"/>
      <c r="J1820" s="234"/>
      <c r="K1820" s="243"/>
      <c r="L1820" s="236"/>
      <c r="M1820" s="236"/>
      <c r="N1820" s="236"/>
      <c r="O1820" s="244"/>
      <c r="P1820" s="244"/>
      <c r="Q1820" s="234"/>
      <c r="R1820" s="234"/>
      <c r="S1820" s="238"/>
      <c r="T1820" s="239"/>
      <c r="U1820" s="238"/>
      <c r="V1820" s="238"/>
      <c r="W1820" s="234"/>
      <c r="X1820" s="234"/>
      <c r="Y1820" s="234"/>
      <c r="Z1820" s="234"/>
      <c r="AA1820" s="234"/>
    </row>
    <row r="1821" ht="15.75" customHeight="1">
      <c r="A1821" s="91"/>
      <c r="B1821" s="91"/>
      <c r="C1821" s="220"/>
      <c r="D1821" s="91"/>
      <c r="E1821" s="221"/>
      <c r="F1821" s="91"/>
      <c r="G1821" s="91"/>
      <c r="H1821" s="242"/>
      <c r="I1821" s="91"/>
      <c r="J1821" s="234"/>
      <c r="K1821" s="243"/>
      <c r="L1821" s="236"/>
      <c r="M1821" s="236"/>
      <c r="N1821" s="236"/>
      <c r="O1821" s="244"/>
      <c r="P1821" s="244"/>
      <c r="Q1821" s="234"/>
      <c r="R1821" s="234"/>
      <c r="S1821" s="238"/>
      <c r="T1821" s="239"/>
      <c r="U1821" s="238"/>
      <c r="V1821" s="238"/>
      <c r="W1821" s="234"/>
      <c r="X1821" s="234"/>
      <c r="Y1821" s="234"/>
      <c r="Z1821" s="234"/>
      <c r="AA1821" s="234"/>
    </row>
    <row r="1822" ht="15.75" customHeight="1">
      <c r="A1822" s="91"/>
      <c r="B1822" s="91"/>
      <c r="C1822" s="220"/>
      <c r="D1822" s="91"/>
      <c r="E1822" s="221"/>
      <c r="F1822" s="91"/>
      <c r="G1822" s="91"/>
      <c r="H1822" s="242"/>
      <c r="I1822" s="91"/>
      <c r="J1822" s="234"/>
      <c r="K1822" s="243"/>
      <c r="L1822" s="236"/>
      <c r="M1822" s="236"/>
      <c r="N1822" s="236"/>
      <c r="O1822" s="244"/>
      <c r="P1822" s="244"/>
      <c r="Q1822" s="234"/>
      <c r="R1822" s="234"/>
      <c r="S1822" s="238"/>
      <c r="T1822" s="239"/>
      <c r="U1822" s="238"/>
      <c r="V1822" s="238"/>
      <c r="W1822" s="234"/>
      <c r="X1822" s="234"/>
      <c r="Y1822" s="234"/>
      <c r="Z1822" s="234"/>
      <c r="AA1822" s="234"/>
    </row>
    <row r="1823" ht="15.75" customHeight="1">
      <c r="A1823" s="91"/>
      <c r="B1823" s="91"/>
      <c r="C1823" s="220"/>
      <c r="D1823" s="91"/>
      <c r="E1823" s="221"/>
      <c r="F1823" s="91"/>
      <c r="G1823" s="91"/>
      <c r="H1823" s="242"/>
      <c r="I1823" s="91"/>
      <c r="J1823" s="234"/>
      <c r="K1823" s="243"/>
      <c r="L1823" s="236"/>
      <c r="M1823" s="236"/>
      <c r="N1823" s="236"/>
      <c r="O1823" s="244"/>
      <c r="P1823" s="244"/>
      <c r="Q1823" s="234"/>
      <c r="R1823" s="234"/>
      <c r="S1823" s="238"/>
      <c r="T1823" s="239"/>
      <c r="U1823" s="238"/>
      <c r="V1823" s="238"/>
      <c r="W1823" s="234"/>
      <c r="X1823" s="234"/>
      <c r="Y1823" s="234"/>
      <c r="Z1823" s="234"/>
      <c r="AA1823" s="234"/>
    </row>
    <row r="1824" ht="15.75" customHeight="1">
      <c r="A1824" s="91"/>
      <c r="B1824" s="91"/>
      <c r="C1824" s="220"/>
      <c r="D1824" s="91"/>
      <c r="E1824" s="221"/>
      <c r="F1824" s="91"/>
      <c r="G1824" s="91"/>
      <c r="H1824" s="242"/>
      <c r="I1824" s="91"/>
      <c r="J1824" s="234"/>
      <c r="K1824" s="243"/>
      <c r="L1824" s="236"/>
      <c r="M1824" s="236"/>
      <c r="N1824" s="236"/>
      <c r="O1824" s="244"/>
      <c r="P1824" s="244"/>
      <c r="Q1824" s="234"/>
      <c r="R1824" s="234"/>
      <c r="S1824" s="238"/>
      <c r="T1824" s="239"/>
      <c r="U1824" s="238"/>
      <c r="V1824" s="238"/>
      <c r="W1824" s="234"/>
      <c r="X1824" s="234"/>
      <c r="Y1824" s="234"/>
      <c r="Z1824" s="234"/>
      <c r="AA1824" s="234"/>
    </row>
    <row r="1825" ht="15.75" customHeight="1">
      <c r="A1825" s="91"/>
      <c r="B1825" s="91"/>
      <c r="C1825" s="220"/>
      <c r="D1825" s="91"/>
      <c r="E1825" s="221"/>
      <c r="F1825" s="91"/>
      <c r="G1825" s="91"/>
      <c r="H1825" s="242"/>
      <c r="I1825" s="91"/>
      <c r="J1825" s="234"/>
      <c r="K1825" s="243"/>
      <c r="L1825" s="236"/>
      <c r="M1825" s="236"/>
      <c r="N1825" s="236"/>
      <c r="O1825" s="244"/>
      <c r="P1825" s="244"/>
      <c r="Q1825" s="234"/>
      <c r="R1825" s="234"/>
      <c r="S1825" s="238"/>
      <c r="T1825" s="239"/>
      <c r="U1825" s="238"/>
      <c r="V1825" s="238"/>
      <c r="W1825" s="234"/>
      <c r="X1825" s="234"/>
      <c r="Y1825" s="234"/>
      <c r="Z1825" s="234"/>
      <c r="AA1825" s="234"/>
    </row>
    <row r="1826" ht="15.75" customHeight="1">
      <c r="A1826" s="91"/>
      <c r="B1826" s="91"/>
      <c r="C1826" s="220"/>
      <c r="D1826" s="91"/>
      <c r="E1826" s="221"/>
      <c r="F1826" s="91"/>
      <c r="G1826" s="91"/>
      <c r="H1826" s="242"/>
      <c r="I1826" s="91"/>
      <c r="J1826" s="234"/>
      <c r="K1826" s="243"/>
      <c r="L1826" s="236"/>
      <c r="M1826" s="236"/>
      <c r="N1826" s="236"/>
      <c r="O1826" s="244"/>
      <c r="P1826" s="244"/>
      <c r="Q1826" s="234"/>
      <c r="R1826" s="234"/>
      <c r="S1826" s="238"/>
      <c r="T1826" s="239"/>
      <c r="U1826" s="238"/>
      <c r="V1826" s="238"/>
      <c r="W1826" s="234"/>
      <c r="X1826" s="234"/>
      <c r="Y1826" s="234"/>
      <c r="Z1826" s="234"/>
      <c r="AA1826" s="234"/>
    </row>
    <row r="1827" ht="15.75" customHeight="1">
      <c r="A1827" s="91"/>
      <c r="B1827" s="91"/>
      <c r="C1827" s="220"/>
      <c r="D1827" s="91"/>
      <c r="E1827" s="221"/>
      <c r="F1827" s="91"/>
      <c r="G1827" s="91"/>
      <c r="H1827" s="242"/>
      <c r="I1827" s="91"/>
      <c r="J1827" s="234"/>
      <c r="K1827" s="243"/>
      <c r="L1827" s="236"/>
      <c r="M1827" s="236"/>
      <c r="N1827" s="236"/>
      <c r="O1827" s="244"/>
      <c r="P1827" s="244"/>
      <c r="Q1827" s="234"/>
      <c r="R1827" s="234"/>
      <c r="S1827" s="238"/>
      <c r="T1827" s="239"/>
      <c r="U1827" s="238"/>
      <c r="V1827" s="238"/>
      <c r="W1827" s="234"/>
      <c r="X1827" s="234"/>
      <c r="Y1827" s="234"/>
      <c r="Z1827" s="234"/>
      <c r="AA1827" s="234"/>
    </row>
    <row r="1828" ht="15.75" customHeight="1">
      <c r="A1828" s="91"/>
      <c r="B1828" s="91"/>
      <c r="C1828" s="220"/>
      <c r="D1828" s="91"/>
      <c r="E1828" s="221"/>
      <c r="F1828" s="91"/>
      <c r="G1828" s="91"/>
      <c r="H1828" s="242"/>
      <c r="I1828" s="91"/>
      <c r="J1828" s="234"/>
      <c r="K1828" s="243"/>
      <c r="L1828" s="236"/>
      <c r="M1828" s="236"/>
      <c r="N1828" s="236"/>
      <c r="O1828" s="244"/>
      <c r="P1828" s="244"/>
      <c r="Q1828" s="234"/>
      <c r="R1828" s="234"/>
      <c r="S1828" s="238"/>
      <c r="T1828" s="239"/>
      <c r="U1828" s="238"/>
      <c r="V1828" s="238"/>
      <c r="W1828" s="234"/>
      <c r="X1828" s="234"/>
      <c r="Y1828" s="234"/>
      <c r="Z1828" s="234"/>
      <c r="AA1828" s="234"/>
    </row>
    <row r="1829" ht="15.75" customHeight="1">
      <c r="A1829" s="91"/>
      <c r="B1829" s="91"/>
      <c r="C1829" s="220"/>
      <c r="D1829" s="91"/>
      <c r="E1829" s="221"/>
      <c r="F1829" s="91"/>
      <c r="G1829" s="91"/>
      <c r="H1829" s="242"/>
      <c r="I1829" s="91"/>
      <c r="J1829" s="234"/>
      <c r="K1829" s="243"/>
      <c r="L1829" s="236"/>
      <c r="M1829" s="236"/>
      <c r="N1829" s="236"/>
      <c r="O1829" s="244"/>
      <c r="P1829" s="244"/>
      <c r="Q1829" s="234"/>
      <c r="R1829" s="234"/>
      <c r="S1829" s="238"/>
      <c r="T1829" s="239"/>
      <c r="U1829" s="238"/>
      <c r="V1829" s="238"/>
      <c r="W1829" s="234"/>
      <c r="X1829" s="234"/>
      <c r="Y1829" s="234"/>
      <c r="Z1829" s="234"/>
      <c r="AA1829" s="234"/>
    </row>
    <row r="1830" ht="15.75" customHeight="1">
      <c r="A1830" s="91"/>
      <c r="B1830" s="91"/>
      <c r="C1830" s="220"/>
      <c r="D1830" s="91"/>
      <c r="E1830" s="221"/>
      <c r="F1830" s="91"/>
      <c r="G1830" s="91"/>
      <c r="H1830" s="242"/>
      <c r="I1830" s="91"/>
      <c r="J1830" s="234"/>
      <c r="K1830" s="243"/>
      <c r="L1830" s="236"/>
      <c r="M1830" s="236"/>
      <c r="N1830" s="236"/>
      <c r="O1830" s="244"/>
      <c r="P1830" s="244"/>
      <c r="Q1830" s="234"/>
      <c r="R1830" s="234"/>
      <c r="S1830" s="238"/>
      <c r="T1830" s="239"/>
      <c r="U1830" s="238"/>
      <c r="V1830" s="238"/>
      <c r="W1830" s="234"/>
      <c r="X1830" s="234"/>
      <c r="Y1830" s="234"/>
      <c r="Z1830" s="234"/>
      <c r="AA1830" s="234"/>
    </row>
    <row r="1831" ht="15.75" customHeight="1">
      <c r="A1831" s="91"/>
      <c r="B1831" s="91"/>
      <c r="C1831" s="220"/>
      <c r="D1831" s="91"/>
      <c r="E1831" s="221"/>
      <c r="F1831" s="91"/>
      <c r="G1831" s="91"/>
      <c r="H1831" s="242"/>
      <c r="I1831" s="91"/>
      <c r="J1831" s="234"/>
      <c r="K1831" s="243"/>
      <c r="L1831" s="236"/>
      <c r="M1831" s="236"/>
      <c r="N1831" s="236"/>
      <c r="O1831" s="244"/>
      <c r="P1831" s="244"/>
      <c r="Q1831" s="234"/>
      <c r="R1831" s="234"/>
      <c r="S1831" s="238"/>
      <c r="T1831" s="239"/>
      <c r="U1831" s="238"/>
      <c r="V1831" s="238"/>
      <c r="W1831" s="234"/>
      <c r="X1831" s="234"/>
      <c r="Y1831" s="234"/>
      <c r="Z1831" s="234"/>
      <c r="AA1831" s="234"/>
    </row>
    <row r="1832" ht="15.75" customHeight="1">
      <c r="A1832" s="91"/>
      <c r="B1832" s="91"/>
      <c r="C1832" s="220"/>
      <c r="D1832" s="91"/>
      <c r="E1832" s="221"/>
      <c r="F1832" s="91"/>
      <c r="G1832" s="91"/>
      <c r="H1832" s="242"/>
      <c r="I1832" s="91"/>
      <c r="J1832" s="234"/>
      <c r="K1832" s="243"/>
      <c r="L1832" s="236"/>
      <c r="M1832" s="236"/>
      <c r="N1832" s="236"/>
      <c r="O1832" s="244"/>
      <c r="P1832" s="244"/>
      <c r="Q1832" s="234"/>
      <c r="R1832" s="234"/>
      <c r="S1832" s="238"/>
      <c r="T1832" s="239"/>
      <c r="U1832" s="238"/>
      <c r="V1832" s="238"/>
      <c r="W1832" s="234"/>
      <c r="X1832" s="234"/>
      <c r="Y1832" s="234"/>
      <c r="Z1832" s="234"/>
      <c r="AA1832" s="234"/>
    </row>
    <row r="1833" ht="15.75" customHeight="1">
      <c r="A1833" s="91"/>
      <c r="B1833" s="91"/>
      <c r="C1833" s="220"/>
      <c r="D1833" s="91"/>
      <c r="E1833" s="221"/>
      <c r="F1833" s="91"/>
      <c r="G1833" s="91"/>
      <c r="H1833" s="242"/>
      <c r="I1833" s="91"/>
      <c r="J1833" s="234"/>
      <c r="K1833" s="243"/>
      <c r="L1833" s="236"/>
      <c r="M1833" s="236"/>
      <c r="N1833" s="236"/>
      <c r="O1833" s="244"/>
      <c r="P1833" s="244"/>
      <c r="Q1833" s="234"/>
      <c r="R1833" s="234"/>
      <c r="S1833" s="238"/>
      <c r="T1833" s="239"/>
      <c r="U1833" s="238"/>
      <c r="V1833" s="238"/>
      <c r="W1833" s="234"/>
      <c r="X1833" s="234"/>
      <c r="Y1833" s="234"/>
      <c r="Z1833" s="234"/>
      <c r="AA1833" s="234"/>
    </row>
    <row r="1834" ht="15.75" customHeight="1">
      <c r="A1834" s="91"/>
      <c r="B1834" s="91"/>
      <c r="C1834" s="220"/>
      <c r="D1834" s="91"/>
      <c r="E1834" s="221"/>
      <c r="F1834" s="91"/>
      <c r="G1834" s="91"/>
      <c r="H1834" s="242"/>
      <c r="I1834" s="91"/>
      <c r="J1834" s="234"/>
      <c r="K1834" s="243"/>
      <c r="L1834" s="236"/>
      <c r="M1834" s="236"/>
      <c r="N1834" s="236"/>
      <c r="O1834" s="244"/>
      <c r="P1834" s="244"/>
      <c r="Q1834" s="234"/>
      <c r="R1834" s="234"/>
      <c r="S1834" s="238"/>
      <c r="T1834" s="239"/>
      <c r="U1834" s="238"/>
      <c r="V1834" s="238"/>
      <c r="W1834" s="234"/>
      <c r="X1834" s="234"/>
      <c r="Y1834" s="234"/>
      <c r="Z1834" s="234"/>
      <c r="AA1834" s="234"/>
    </row>
    <row r="1835" ht="15.75" customHeight="1">
      <c r="A1835" s="91"/>
      <c r="B1835" s="91"/>
      <c r="C1835" s="220"/>
      <c r="D1835" s="91"/>
      <c r="E1835" s="221"/>
      <c r="F1835" s="91"/>
      <c r="G1835" s="91"/>
      <c r="H1835" s="242"/>
      <c r="I1835" s="91"/>
      <c r="J1835" s="234"/>
      <c r="K1835" s="243"/>
      <c r="L1835" s="236"/>
      <c r="M1835" s="236"/>
      <c r="N1835" s="236"/>
      <c r="O1835" s="244"/>
      <c r="P1835" s="244"/>
      <c r="Q1835" s="234"/>
      <c r="R1835" s="234"/>
      <c r="S1835" s="238"/>
      <c r="T1835" s="239"/>
      <c r="U1835" s="238"/>
      <c r="V1835" s="238"/>
      <c r="W1835" s="234"/>
      <c r="X1835" s="234"/>
      <c r="Y1835" s="234"/>
      <c r="Z1835" s="234"/>
      <c r="AA1835" s="234"/>
    </row>
    <row r="1836" ht="15.75" customHeight="1">
      <c r="A1836" s="91"/>
      <c r="B1836" s="91"/>
      <c r="C1836" s="220"/>
      <c r="D1836" s="91"/>
      <c r="E1836" s="221"/>
      <c r="F1836" s="91"/>
      <c r="G1836" s="91"/>
      <c r="H1836" s="242"/>
      <c r="I1836" s="91"/>
      <c r="J1836" s="234"/>
      <c r="K1836" s="243"/>
      <c r="L1836" s="236"/>
      <c r="M1836" s="236"/>
      <c r="N1836" s="236"/>
      <c r="O1836" s="244"/>
      <c r="P1836" s="244"/>
      <c r="Q1836" s="234"/>
      <c r="R1836" s="234"/>
      <c r="S1836" s="238"/>
      <c r="T1836" s="239"/>
      <c r="U1836" s="238"/>
      <c r="V1836" s="238"/>
      <c r="W1836" s="234"/>
      <c r="X1836" s="234"/>
      <c r="Y1836" s="234"/>
      <c r="Z1836" s="234"/>
      <c r="AA1836" s="234"/>
    </row>
    <row r="1837" ht="15.75" customHeight="1">
      <c r="A1837" s="91"/>
      <c r="B1837" s="91"/>
      <c r="C1837" s="220"/>
      <c r="D1837" s="91"/>
      <c r="E1837" s="221"/>
      <c r="F1837" s="91"/>
      <c r="G1837" s="91"/>
      <c r="H1837" s="242"/>
      <c r="I1837" s="91"/>
      <c r="J1837" s="234"/>
      <c r="K1837" s="243"/>
      <c r="L1837" s="236"/>
      <c r="M1837" s="236"/>
      <c r="N1837" s="236"/>
      <c r="O1837" s="244"/>
      <c r="P1837" s="244"/>
      <c r="Q1837" s="234"/>
      <c r="R1837" s="234"/>
      <c r="S1837" s="238"/>
      <c r="T1837" s="239"/>
      <c r="U1837" s="238"/>
      <c r="V1837" s="238"/>
      <c r="W1837" s="234"/>
      <c r="X1837" s="234"/>
      <c r="Y1837" s="234"/>
      <c r="Z1837" s="234"/>
      <c r="AA1837" s="234"/>
    </row>
    <row r="1838" ht="15.75" customHeight="1">
      <c r="A1838" s="91"/>
      <c r="B1838" s="91"/>
      <c r="C1838" s="220"/>
      <c r="D1838" s="91"/>
      <c r="E1838" s="221"/>
      <c r="F1838" s="91"/>
      <c r="G1838" s="91"/>
      <c r="H1838" s="242"/>
      <c r="I1838" s="91"/>
      <c r="J1838" s="234"/>
      <c r="K1838" s="243"/>
      <c r="L1838" s="236"/>
      <c r="M1838" s="236"/>
      <c r="N1838" s="236"/>
      <c r="O1838" s="244"/>
      <c r="P1838" s="244"/>
      <c r="Q1838" s="234"/>
      <c r="R1838" s="234"/>
      <c r="S1838" s="238"/>
      <c r="T1838" s="239"/>
      <c r="U1838" s="238"/>
      <c r="V1838" s="238"/>
      <c r="W1838" s="234"/>
      <c r="X1838" s="234"/>
      <c r="Y1838" s="234"/>
      <c r="Z1838" s="234"/>
      <c r="AA1838" s="234"/>
    </row>
    <row r="1839" ht="15.75" customHeight="1">
      <c r="A1839" s="91"/>
      <c r="B1839" s="91"/>
      <c r="C1839" s="220"/>
      <c r="D1839" s="91"/>
      <c r="E1839" s="221"/>
      <c r="F1839" s="91"/>
      <c r="G1839" s="91"/>
      <c r="H1839" s="242"/>
      <c r="I1839" s="91"/>
      <c r="J1839" s="234"/>
      <c r="K1839" s="243"/>
      <c r="L1839" s="236"/>
      <c r="M1839" s="236"/>
      <c r="N1839" s="236"/>
      <c r="O1839" s="244"/>
      <c r="P1839" s="244"/>
      <c r="Q1839" s="234"/>
      <c r="R1839" s="234"/>
      <c r="S1839" s="238"/>
      <c r="T1839" s="239"/>
      <c r="U1839" s="238"/>
      <c r="V1839" s="238"/>
      <c r="W1839" s="234"/>
      <c r="X1839" s="234"/>
      <c r="Y1839" s="234"/>
      <c r="Z1839" s="234"/>
      <c r="AA1839" s="234"/>
    </row>
    <row r="1840" ht="15.75" customHeight="1">
      <c r="A1840" s="91"/>
      <c r="B1840" s="91"/>
      <c r="C1840" s="220"/>
      <c r="D1840" s="91"/>
      <c r="E1840" s="221"/>
      <c r="F1840" s="91"/>
      <c r="G1840" s="91"/>
      <c r="H1840" s="242"/>
      <c r="I1840" s="91"/>
      <c r="J1840" s="234"/>
      <c r="K1840" s="243"/>
      <c r="L1840" s="236"/>
      <c r="M1840" s="236"/>
      <c r="N1840" s="236"/>
      <c r="O1840" s="244"/>
      <c r="P1840" s="244"/>
      <c r="Q1840" s="234"/>
      <c r="R1840" s="234"/>
      <c r="S1840" s="238"/>
      <c r="T1840" s="239"/>
      <c r="U1840" s="238"/>
      <c r="V1840" s="238"/>
      <c r="W1840" s="234"/>
      <c r="X1840" s="234"/>
      <c r="Y1840" s="234"/>
      <c r="Z1840" s="234"/>
      <c r="AA1840" s="234"/>
    </row>
    <row r="1841" ht="15.75" customHeight="1">
      <c r="A1841" s="91"/>
      <c r="B1841" s="91"/>
      <c r="C1841" s="220"/>
      <c r="D1841" s="91"/>
      <c r="E1841" s="221"/>
      <c r="F1841" s="91"/>
      <c r="G1841" s="91"/>
      <c r="H1841" s="242"/>
      <c r="I1841" s="91"/>
      <c r="J1841" s="234"/>
      <c r="K1841" s="243"/>
      <c r="L1841" s="236"/>
      <c r="M1841" s="236"/>
      <c r="N1841" s="236"/>
      <c r="O1841" s="244"/>
      <c r="P1841" s="244"/>
      <c r="Q1841" s="234"/>
      <c r="R1841" s="234"/>
      <c r="S1841" s="238"/>
      <c r="T1841" s="239"/>
      <c r="U1841" s="238"/>
      <c r="V1841" s="238"/>
      <c r="W1841" s="234"/>
      <c r="X1841" s="234"/>
      <c r="Y1841" s="234"/>
      <c r="Z1841" s="234"/>
      <c r="AA1841" s="234"/>
    </row>
    <row r="1842" ht="15.75" customHeight="1">
      <c r="A1842" s="91"/>
      <c r="B1842" s="91"/>
      <c r="C1842" s="220"/>
      <c r="D1842" s="91"/>
      <c r="E1842" s="221"/>
      <c r="F1842" s="91"/>
      <c r="G1842" s="91"/>
      <c r="H1842" s="242"/>
      <c r="I1842" s="91"/>
      <c r="J1842" s="234"/>
      <c r="K1842" s="243"/>
      <c r="L1842" s="236"/>
      <c r="M1842" s="236"/>
      <c r="N1842" s="236"/>
      <c r="O1842" s="244"/>
      <c r="P1842" s="244"/>
      <c r="Q1842" s="234"/>
      <c r="R1842" s="234"/>
      <c r="S1842" s="238"/>
      <c r="T1842" s="239"/>
      <c r="U1842" s="238"/>
      <c r="V1842" s="238"/>
      <c r="W1842" s="234"/>
      <c r="X1842" s="234"/>
      <c r="Y1842" s="234"/>
      <c r="Z1842" s="234"/>
      <c r="AA1842" s="234"/>
    </row>
    <row r="1843" ht="15.75" customHeight="1">
      <c r="A1843" s="91"/>
      <c r="B1843" s="91"/>
      <c r="C1843" s="220"/>
      <c r="D1843" s="91"/>
      <c r="E1843" s="221"/>
      <c r="F1843" s="91"/>
      <c r="G1843" s="91"/>
      <c r="H1843" s="242"/>
      <c r="I1843" s="91"/>
      <c r="J1843" s="234"/>
      <c r="K1843" s="243"/>
      <c r="L1843" s="236"/>
      <c r="M1843" s="236"/>
      <c r="N1843" s="236"/>
      <c r="O1843" s="244"/>
      <c r="P1843" s="244"/>
      <c r="Q1843" s="234"/>
      <c r="R1843" s="234"/>
      <c r="S1843" s="238"/>
      <c r="T1843" s="239"/>
      <c r="U1843" s="238"/>
      <c r="V1843" s="238"/>
      <c r="W1843" s="234"/>
      <c r="X1843" s="234"/>
      <c r="Y1843" s="234"/>
      <c r="Z1843" s="234"/>
      <c r="AA1843" s="234"/>
    </row>
    <row r="1844" ht="15.75" customHeight="1">
      <c r="A1844" s="91"/>
      <c r="B1844" s="91"/>
      <c r="C1844" s="220"/>
      <c r="D1844" s="91"/>
      <c r="E1844" s="221"/>
      <c r="F1844" s="91"/>
      <c r="G1844" s="91"/>
      <c r="H1844" s="242"/>
      <c r="I1844" s="91"/>
      <c r="J1844" s="234"/>
      <c r="K1844" s="243"/>
      <c r="L1844" s="236"/>
      <c r="M1844" s="236"/>
      <c r="N1844" s="236"/>
      <c r="O1844" s="244"/>
      <c r="P1844" s="244"/>
      <c r="Q1844" s="234"/>
      <c r="R1844" s="234"/>
      <c r="S1844" s="238"/>
      <c r="T1844" s="239"/>
      <c r="U1844" s="238"/>
      <c r="V1844" s="238"/>
      <c r="W1844" s="234"/>
      <c r="X1844" s="234"/>
      <c r="Y1844" s="234"/>
      <c r="Z1844" s="234"/>
      <c r="AA1844" s="234"/>
    </row>
    <row r="1845" ht="15.75" customHeight="1">
      <c r="A1845" s="91"/>
      <c r="B1845" s="91"/>
      <c r="C1845" s="220"/>
      <c r="D1845" s="91"/>
      <c r="E1845" s="221"/>
      <c r="F1845" s="91"/>
      <c r="G1845" s="91"/>
      <c r="H1845" s="242"/>
      <c r="I1845" s="91"/>
      <c r="J1845" s="234"/>
      <c r="K1845" s="243"/>
      <c r="L1845" s="236"/>
      <c r="M1845" s="236"/>
      <c r="N1845" s="236"/>
      <c r="O1845" s="244"/>
      <c r="P1845" s="244"/>
      <c r="Q1845" s="234"/>
      <c r="R1845" s="234"/>
      <c r="S1845" s="238"/>
      <c r="T1845" s="239"/>
      <c r="U1845" s="238"/>
      <c r="V1845" s="238"/>
      <c r="W1845" s="234"/>
      <c r="X1845" s="234"/>
      <c r="Y1845" s="234"/>
      <c r="Z1845" s="234"/>
      <c r="AA1845" s="234"/>
    </row>
    <row r="1846" ht="15.75" customHeight="1">
      <c r="A1846" s="91"/>
      <c r="B1846" s="91"/>
      <c r="C1846" s="220"/>
      <c r="D1846" s="91"/>
      <c r="E1846" s="221"/>
      <c r="F1846" s="91"/>
      <c r="G1846" s="91"/>
      <c r="H1846" s="242"/>
      <c r="I1846" s="91"/>
      <c r="J1846" s="234"/>
      <c r="K1846" s="243"/>
      <c r="L1846" s="236"/>
      <c r="M1846" s="236"/>
      <c r="N1846" s="236"/>
      <c r="O1846" s="244"/>
      <c r="P1846" s="244"/>
      <c r="Q1846" s="234"/>
      <c r="R1846" s="234"/>
      <c r="S1846" s="238"/>
      <c r="T1846" s="239"/>
      <c r="U1846" s="238"/>
      <c r="V1846" s="238"/>
      <c r="W1846" s="234"/>
      <c r="X1846" s="234"/>
      <c r="Y1846" s="234"/>
      <c r="Z1846" s="234"/>
      <c r="AA1846" s="234"/>
    </row>
    <row r="1847" ht="15.75" customHeight="1">
      <c r="A1847" s="91"/>
      <c r="B1847" s="91"/>
      <c r="C1847" s="220"/>
      <c r="D1847" s="91"/>
      <c r="E1847" s="221"/>
      <c r="F1847" s="91"/>
      <c r="G1847" s="91"/>
      <c r="H1847" s="242"/>
      <c r="I1847" s="91"/>
      <c r="J1847" s="234"/>
      <c r="K1847" s="243"/>
      <c r="L1847" s="236"/>
      <c r="M1847" s="236"/>
      <c r="N1847" s="236"/>
      <c r="O1847" s="244"/>
      <c r="P1847" s="244"/>
      <c r="Q1847" s="234"/>
      <c r="R1847" s="234"/>
      <c r="S1847" s="238"/>
      <c r="T1847" s="239"/>
      <c r="U1847" s="238"/>
      <c r="V1847" s="238"/>
      <c r="W1847" s="234"/>
      <c r="X1847" s="234"/>
      <c r="Y1847" s="234"/>
      <c r="Z1847" s="234"/>
      <c r="AA1847" s="234"/>
    </row>
    <row r="1848" ht="15.75" customHeight="1">
      <c r="A1848" s="91"/>
      <c r="B1848" s="91"/>
      <c r="C1848" s="220"/>
      <c r="D1848" s="91"/>
      <c r="E1848" s="221"/>
      <c r="F1848" s="91"/>
      <c r="G1848" s="91"/>
      <c r="H1848" s="242"/>
      <c r="I1848" s="91"/>
      <c r="J1848" s="234"/>
      <c r="K1848" s="243"/>
      <c r="L1848" s="236"/>
      <c r="M1848" s="236"/>
      <c r="N1848" s="236"/>
      <c r="O1848" s="244"/>
      <c r="P1848" s="244"/>
      <c r="Q1848" s="234"/>
      <c r="R1848" s="234"/>
      <c r="S1848" s="238"/>
      <c r="T1848" s="239"/>
      <c r="U1848" s="238"/>
      <c r="V1848" s="238"/>
      <c r="W1848" s="234"/>
      <c r="X1848" s="234"/>
      <c r="Y1848" s="234"/>
      <c r="Z1848" s="234"/>
      <c r="AA1848" s="234"/>
    </row>
    <row r="1849" ht="15.75" customHeight="1">
      <c r="A1849" s="91"/>
      <c r="B1849" s="91"/>
      <c r="C1849" s="220"/>
      <c r="D1849" s="91"/>
      <c r="E1849" s="221"/>
      <c r="F1849" s="91"/>
      <c r="G1849" s="91"/>
      <c r="H1849" s="242"/>
      <c r="I1849" s="91"/>
      <c r="J1849" s="234"/>
      <c r="K1849" s="243"/>
      <c r="L1849" s="236"/>
      <c r="M1849" s="236"/>
      <c r="N1849" s="236"/>
      <c r="O1849" s="244"/>
      <c r="P1849" s="244"/>
      <c r="Q1849" s="234"/>
      <c r="R1849" s="234"/>
      <c r="S1849" s="238"/>
      <c r="T1849" s="239"/>
      <c r="U1849" s="238"/>
      <c r="V1849" s="238"/>
      <c r="W1849" s="234"/>
      <c r="X1849" s="234"/>
      <c r="Y1849" s="234"/>
      <c r="Z1849" s="234"/>
      <c r="AA1849" s="234"/>
    </row>
    <row r="1850" ht="15.75" customHeight="1">
      <c r="A1850" s="91"/>
      <c r="B1850" s="91"/>
      <c r="C1850" s="220"/>
      <c r="D1850" s="91"/>
      <c r="E1850" s="221"/>
      <c r="F1850" s="91"/>
      <c r="G1850" s="91"/>
      <c r="H1850" s="242"/>
      <c r="I1850" s="91"/>
      <c r="J1850" s="234"/>
      <c r="K1850" s="243"/>
      <c r="L1850" s="236"/>
      <c r="M1850" s="236"/>
      <c r="N1850" s="236"/>
      <c r="O1850" s="244"/>
      <c r="P1850" s="244"/>
      <c r="Q1850" s="234"/>
      <c r="R1850" s="234"/>
      <c r="S1850" s="238"/>
      <c r="T1850" s="239"/>
      <c r="U1850" s="238"/>
      <c r="V1850" s="238"/>
      <c r="W1850" s="234"/>
      <c r="X1850" s="234"/>
      <c r="Y1850" s="234"/>
      <c r="Z1850" s="234"/>
      <c r="AA1850" s="234"/>
    </row>
    <row r="1851" ht="15.75" customHeight="1">
      <c r="A1851" s="91"/>
      <c r="B1851" s="91"/>
      <c r="C1851" s="220"/>
      <c r="D1851" s="91"/>
      <c r="E1851" s="221"/>
      <c r="F1851" s="91"/>
      <c r="G1851" s="91"/>
      <c r="H1851" s="242"/>
      <c r="I1851" s="91"/>
      <c r="J1851" s="234"/>
      <c r="K1851" s="243"/>
      <c r="L1851" s="236"/>
      <c r="M1851" s="236"/>
      <c r="N1851" s="236"/>
      <c r="O1851" s="244"/>
      <c r="P1851" s="244"/>
      <c r="Q1851" s="234"/>
      <c r="R1851" s="234"/>
      <c r="S1851" s="238"/>
      <c r="T1851" s="239"/>
      <c r="U1851" s="238"/>
      <c r="V1851" s="238"/>
      <c r="W1851" s="234"/>
      <c r="X1851" s="234"/>
      <c r="Y1851" s="234"/>
      <c r="Z1851" s="234"/>
      <c r="AA1851" s="234"/>
    </row>
    <row r="1852" ht="15.75" customHeight="1">
      <c r="A1852" s="91"/>
      <c r="B1852" s="91"/>
      <c r="C1852" s="220"/>
      <c r="D1852" s="91"/>
      <c r="E1852" s="221"/>
      <c r="F1852" s="91"/>
      <c r="G1852" s="91"/>
      <c r="H1852" s="242"/>
      <c r="I1852" s="91"/>
      <c r="J1852" s="234"/>
      <c r="K1852" s="243"/>
      <c r="L1852" s="236"/>
      <c r="M1852" s="236"/>
      <c r="N1852" s="236"/>
      <c r="O1852" s="244"/>
      <c r="P1852" s="244"/>
      <c r="Q1852" s="234"/>
      <c r="R1852" s="234"/>
      <c r="S1852" s="238"/>
      <c r="T1852" s="239"/>
      <c r="U1852" s="238"/>
      <c r="V1852" s="238"/>
      <c r="W1852" s="234"/>
      <c r="X1852" s="234"/>
      <c r="Y1852" s="234"/>
      <c r="Z1852" s="234"/>
      <c r="AA1852" s="234"/>
    </row>
    <row r="1853" ht="15.75" customHeight="1">
      <c r="A1853" s="91"/>
      <c r="B1853" s="91"/>
      <c r="C1853" s="220"/>
      <c r="D1853" s="91"/>
      <c r="E1853" s="221"/>
      <c r="F1853" s="91"/>
      <c r="G1853" s="91"/>
      <c r="H1853" s="242"/>
      <c r="I1853" s="91"/>
      <c r="J1853" s="234"/>
      <c r="K1853" s="243"/>
      <c r="L1853" s="236"/>
      <c r="M1853" s="236"/>
      <c r="N1853" s="236"/>
      <c r="O1853" s="244"/>
      <c r="P1853" s="244"/>
      <c r="Q1853" s="234"/>
      <c r="R1853" s="234"/>
      <c r="S1853" s="238"/>
      <c r="T1853" s="239"/>
      <c r="U1853" s="238"/>
      <c r="V1853" s="238"/>
      <c r="W1853" s="234"/>
      <c r="X1853" s="234"/>
      <c r="Y1853" s="234"/>
      <c r="Z1853" s="234"/>
      <c r="AA1853" s="234"/>
    </row>
    <row r="1854" ht="15.75" customHeight="1">
      <c r="A1854" s="91"/>
      <c r="B1854" s="91"/>
      <c r="C1854" s="220"/>
      <c r="D1854" s="91"/>
      <c r="E1854" s="221"/>
      <c r="F1854" s="91"/>
      <c r="G1854" s="91"/>
      <c r="H1854" s="242"/>
      <c r="I1854" s="91"/>
      <c r="J1854" s="234"/>
      <c r="K1854" s="243"/>
      <c r="L1854" s="236"/>
      <c r="M1854" s="236"/>
      <c r="N1854" s="236"/>
      <c r="O1854" s="244"/>
      <c r="P1854" s="244"/>
      <c r="Q1854" s="234"/>
      <c r="R1854" s="234"/>
      <c r="S1854" s="238"/>
      <c r="T1854" s="239"/>
      <c r="U1854" s="238"/>
      <c r="V1854" s="238"/>
      <c r="W1854" s="234"/>
      <c r="X1854" s="234"/>
      <c r="Y1854" s="234"/>
      <c r="Z1854" s="234"/>
      <c r="AA1854" s="234"/>
    </row>
    <row r="1855" ht="15.75" customHeight="1">
      <c r="A1855" s="91"/>
      <c r="B1855" s="91"/>
      <c r="C1855" s="220"/>
      <c r="D1855" s="91"/>
      <c r="E1855" s="221"/>
      <c r="F1855" s="91"/>
      <c r="G1855" s="91"/>
      <c r="H1855" s="242"/>
      <c r="I1855" s="91"/>
      <c r="J1855" s="234"/>
      <c r="K1855" s="243"/>
      <c r="L1855" s="236"/>
      <c r="M1855" s="236"/>
      <c r="N1855" s="236"/>
      <c r="O1855" s="244"/>
      <c r="P1855" s="244"/>
      <c r="Q1855" s="234"/>
      <c r="R1855" s="234"/>
      <c r="S1855" s="238"/>
      <c r="T1855" s="239"/>
      <c r="U1855" s="238"/>
      <c r="V1855" s="238"/>
      <c r="W1855" s="234"/>
      <c r="X1855" s="234"/>
      <c r="Y1855" s="234"/>
      <c r="Z1855" s="234"/>
      <c r="AA1855" s="234"/>
    </row>
    <row r="1856" ht="15.75" customHeight="1">
      <c r="A1856" s="91"/>
      <c r="B1856" s="91"/>
      <c r="C1856" s="220"/>
      <c r="D1856" s="91"/>
      <c r="E1856" s="221"/>
      <c r="F1856" s="91"/>
      <c r="G1856" s="91"/>
      <c r="H1856" s="242"/>
      <c r="I1856" s="91"/>
      <c r="J1856" s="234"/>
      <c r="K1856" s="243"/>
      <c r="L1856" s="236"/>
      <c r="M1856" s="236"/>
      <c r="N1856" s="236"/>
      <c r="O1856" s="244"/>
      <c r="P1856" s="244"/>
      <c r="Q1856" s="234"/>
      <c r="R1856" s="234"/>
      <c r="S1856" s="238"/>
      <c r="T1856" s="239"/>
      <c r="U1856" s="238"/>
      <c r="V1856" s="238"/>
      <c r="W1856" s="234"/>
      <c r="X1856" s="234"/>
      <c r="Y1856" s="234"/>
      <c r="Z1856" s="234"/>
      <c r="AA1856" s="234"/>
    </row>
    <row r="1857" ht="15.75" customHeight="1">
      <c r="A1857" s="91"/>
      <c r="B1857" s="91"/>
      <c r="C1857" s="220"/>
      <c r="D1857" s="91"/>
      <c r="E1857" s="221"/>
      <c r="F1857" s="91"/>
      <c r="G1857" s="91"/>
      <c r="H1857" s="242"/>
      <c r="I1857" s="91"/>
      <c r="J1857" s="234"/>
      <c r="K1857" s="243"/>
      <c r="L1857" s="236"/>
      <c r="M1857" s="236"/>
      <c r="N1857" s="236"/>
      <c r="O1857" s="244"/>
      <c r="P1857" s="244"/>
      <c r="Q1857" s="234"/>
      <c r="R1857" s="234"/>
      <c r="S1857" s="238"/>
      <c r="T1857" s="239"/>
      <c r="U1857" s="238"/>
      <c r="V1857" s="238"/>
      <c r="W1857" s="234"/>
      <c r="X1857" s="234"/>
      <c r="Y1857" s="234"/>
      <c r="Z1857" s="234"/>
      <c r="AA1857" s="234"/>
    </row>
    <row r="1858" ht="15.75" customHeight="1">
      <c r="A1858" s="91"/>
      <c r="B1858" s="91"/>
      <c r="C1858" s="220"/>
      <c r="D1858" s="91"/>
      <c r="E1858" s="221"/>
      <c r="F1858" s="91"/>
      <c r="G1858" s="91"/>
      <c r="H1858" s="242"/>
      <c r="I1858" s="91"/>
      <c r="J1858" s="234"/>
      <c r="K1858" s="243"/>
      <c r="L1858" s="236"/>
      <c r="M1858" s="236"/>
      <c r="N1858" s="236"/>
      <c r="O1858" s="244"/>
      <c r="P1858" s="244"/>
      <c r="Q1858" s="234"/>
      <c r="R1858" s="234"/>
      <c r="S1858" s="238"/>
      <c r="T1858" s="239"/>
      <c r="U1858" s="238"/>
      <c r="V1858" s="238"/>
      <c r="W1858" s="234"/>
      <c r="X1858" s="234"/>
      <c r="Y1858" s="234"/>
      <c r="Z1858" s="234"/>
      <c r="AA1858" s="234"/>
    </row>
    <row r="1859" ht="15.75" customHeight="1">
      <c r="A1859" s="91"/>
      <c r="B1859" s="91"/>
      <c r="C1859" s="220"/>
      <c r="D1859" s="91"/>
      <c r="E1859" s="221"/>
      <c r="F1859" s="91"/>
      <c r="G1859" s="91"/>
      <c r="H1859" s="242"/>
      <c r="I1859" s="91"/>
      <c r="J1859" s="234"/>
      <c r="K1859" s="243"/>
      <c r="L1859" s="236"/>
      <c r="M1859" s="236"/>
      <c r="N1859" s="236"/>
      <c r="O1859" s="244"/>
      <c r="P1859" s="244"/>
      <c r="Q1859" s="234"/>
      <c r="R1859" s="234"/>
      <c r="S1859" s="238"/>
      <c r="T1859" s="239"/>
      <c r="U1859" s="238"/>
      <c r="V1859" s="238"/>
      <c r="W1859" s="234"/>
      <c r="X1859" s="234"/>
      <c r="Y1859" s="234"/>
      <c r="Z1859" s="234"/>
      <c r="AA1859" s="234"/>
    </row>
    <row r="1860" ht="15.75" customHeight="1">
      <c r="A1860" s="91"/>
      <c r="B1860" s="91"/>
      <c r="C1860" s="220"/>
      <c r="D1860" s="91"/>
      <c r="E1860" s="221"/>
      <c r="F1860" s="91"/>
      <c r="G1860" s="91"/>
      <c r="H1860" s="242"/>
      <c r="I1860" s="91"/>
      <c r="J1860" s="234"/>
      <c r="K1860" s="243"/>
      <c r="L1860" s="236"/>
      <c r="M1860" s="236"/>
      <c r="N1860" s="236"/>
      <c r="O1860" s="244"/>
      <c r="P1860" s="244"/>
      <c r="Q1860" s="234"/>
      <c r="R1860" s="234"/>
      <c r="S1860" s="238"/>
      <c r="T1860" s="239"/>
      <c r="U1860" s="238"/>
      <c r="V1860" s="238"/>
      <c r="W1860" s="234"/>
      <c r="X1860" s="234"/>
      <c r="Y1860" s="234"/>
      <c r="Z1860" s="234"/>
      <c r="AA1860" s="234"/>
    </row>
    <row r="1861" ht="15.75" customHeight="1">
      <c r="A1861" s="91"/>
      <c r="B1861" s="91"/>
      <c r="C1861" s="220"/>
      <c r="D1861" s="91"/>
      <c r="E1861" s="221"/>
      <c r="F1861" s="91"/>
      <c r="G1861" s="91"/>
      <c r="H1861" s="242"/>
      <c r="I1861" s="91"/>
      <c r="J1861" s="234"/>
      <c r="K1861" s="243"/>
      <c r="L1861" s="236"/>
      <c r="M1861" s="236"/>
      <c r="N1861" s="236"/>
      <c r="O1861" s="244"/>
      <c r="P1861" s="244"/>
      <c r="Q1861" s="234"/>
      <c r="R1861" s="234"/>
      <c r="S1861" s="238"/>
      <c r="T1861" s="239"/>
      <c r="U1861" s="238"/>
      <c r="V1861" s="238"/>
      <c r="W1861" s="234"/>
      <c r="X1861" s="234"/>
      <c r="Y1861" s="234"/>
      <c r="Z1861" s="234"/>
      <c r="AA1861" s="234"/>
    </row>
    <row r="1862" ht="15.75" customHeight="1">
      <c r="A1862" s="91"/>
      <c r="B1862" s="91"/>
      <c r="C1862" s="220"/>
      <c r="D1862" s="91"/>
      <c r="E1862" s="221"/>
      <c r="F1862" s="91"/>
      <c r="G1862" s="91"/>
      <c r="H1862" s="242"/>
      <c r="I1862" s="91"/>
      <c r="J1862" s="234"/>
      <c r="K1862" s="243"/>
      <c r="L1862" s="236"/>
      <c r="M1862" s="236"/>
      <c r="N1862" s="236"/>
      <c r="O1862" s="244"/>
      <c r="P1862" s="244"/>
      <c r="Q1862" s="234"/>
      <c r="R1862" s="234"/>
      <c r="S1862" s="238"/>
      <c r="T1862" s="239"/>
      <c r="U1862" s="238"/>
      <c r="V1862" s="238"/>
      <c r="W1862" s="234"/>
      <c r="X1862" s="234"/>
      <c r="Y1862" s="234"/>
      <c r="Z1862" s="234"/>
      <c r="AA1862" s="234"/>
    </row>
    <row r="1863" ht="15.75" customHeight="1">
      <c r="A1863" s="91"/>
      <c r="B1863" s="91"/>
      <c r="C1863" s="220"/>
      <c r="D1863" s="91"/>
      <c r="E1863" s="221"/>
      <c r="F1863" s="91"/>
      <c r="G1863" s="91"/>
      <c r="H1863" s="242"/>
      <c r="I1863" s="91"/>
      <c r="J1863" s="234"/>
      <c r="K1863" s="243"/>
      <c r="L1863" s="236"/>
      <c r="M1863" s="236"/>
      <c r="N1863" s="236"/>
      <c r="O1863" s="244"/>
      <c r="P1863" s="244"/>
      <c r="Q1863" s="234"/>
      <c r="R1863" s="234"/>
      <c r="S1863" s="238"/>
      <c r="T1863" s="239"/>
      <c r="U1863" s="238"/>
      <c r="V1863" s="238"/>
      <c r="W1863" s="234"/>
      <c r="X1863" s="234"/>
      <c r="Y1863" s="234"/>
      <c r="Z1863" s="234"/>
      <c r="AA1863" s="234"/>
    </row>
    <row r="1864" ht="15.75" customHeight="1">
      <c r="A1864" s="91"/>
      <c r="B1864" s="91"/>
      <c r="C1864" s="220"/>
      <c r="D1864" s="91"/>
      <c r="E1864" s="221"/>
      <c r="F1864" s="91"/>
      <c r="G1864" s="91"/>
      <c r="H1864" s="242"/>
      <c r="I1864" s="91"/>
      <c r="J1864" s="234"/>
      <c r="K1864" s="243"/>
      <c r="L1864" s="236"/>
      <c r="M1864" s="236"/>
      <c r="N1864" s="236"/>
      <c r="O1864" s="244"/>
      <c r="P1864" s="244"/>
      <c r="Q1864" s="234"/>
      <c r="R1864" s="234"/>
      <c r="S1864" s="238"/>
      <c r="T1864" s="239"/>
      <c r="U1864" s="238"/>
      <c r="V1864" s="238"/>
      <c r="W1864" s="234"/>
      <c r="X1864" s="234"/>
      <c r="Y1864" s="234"/>
      <c r="Z1864" s="234"/>
      <c r="AA1864" s="234"/>
    </row>
    <row r="1865" ht="15.75" customHeight="1">
      <c r="A1865" s="91"/>
      <c r="B1865" s="91"/>
      <c r="C1865" s="220"/>
      <c r="D1865" s="91"/>
      <c r="E1865" s="221"/>
      <c r="F1865" s="91"/>
      <c r="G1865" s="91"/>
      <c r="H1865" s="242"/>
      <c r="I1865" s="91"/>
      <c r="J1865" s="234"/>
      <c r="K1865" s="243"/>
      <c r="L1865" s="236"/>
      <c r="M1865" s="236"/>
      <c r="N1865" s="236"/>
      <c r="O1865" s="244"/>
      <c r="P1865" s="244"/>
      <c r="Q1865" s="234"/>
      <c r="R1865" s="234"/>
      <c r="S1865" s="238"/>
      <c r="T1865" s="239"/>
      <c r="U1865" s="238"/>
      <c r="V1865" s="238"/>
      <c r="W1865" s="234"/>
      <c r="X1865" s="234"/>
      <c r="Y1865" s="234"/>
      <c r="Z1865" s="234"/>
      <c r="AA1865" s="234"/>
    </row>
    <row r="1866" ht="15.75" customHeight="1">
      <c r="A1866" s="91"/>
      <c r="B1866" s="91"/>
      <c r="C1866" s="220"/>
      <c r="D1866" s="91"/>
      <c r="E1866" s="221"/>
      <c r="F1866" s="91"/>
      <c r="G1866" s="91"/>
      <c r="H1866" s="242"/>
      <c r="I1866" s="91"/>
      <c r="J1866" s="234"/>
      <c r="K1866" s="243"/>
      <c r="L1866" s="236"/>
      <c r="M1866" s="236"/>
      <c r="N1866" s="236"/>
      <c r="O1866" s="244"/>
      <c r="P1866" s="244"/>
      <c r="Q1866" s="234"/>
      <c r="R1866" s="234"/>
      <c r="S1866" s="238"/>
      <c r="T1866" s="239"/>
      <c r="U1866" s="238"/>
      <c r="V1866" s="238"/>
      <c r="W1866" s="234"/>
      <c r="X1866" s="234"/>
      <c r="Y1866" s="234"/>
      <c r="Z1866" s="234"/>
      <c r="AA1866" s="234"/>
    </row>
    <row r="1867" ht="15.75" customHeight="1">
      <c r="A1867" s="91"/>
      <c r="B1867" s="91"/>
      <c r="C1867" s="220"/>
      <c r="D1867" s="91"/>
      <c r="E1867" s="221"/>
      <c r="F1867" s="91"/>
      <c r="G1867" s="91"/>
      <c r="H1867" s="242"/>
      <c r="I1867" s="91"/>
      <c r="J1867" s="234"/>
      <c r="K1867" s="243"/>
      <c r="L1867" s="236"/>
      <c r="M1867" s="236"/>
      <c r="N1867" s="236"/>
      <c r="O1867" s="244"/>
      <c r="P1867" s="244"/>
      <c r="Q1867" s="234"/>
      <c r="R1867" s="234"/>
      <c r="S1867" s="238"/>
      <c r="T1867" s="239"/>
      <c r="U1867" s="238"/>
      <c r="V1867" s="238"/>
      <c r="W1867" s="234"/>
      <c r="X1867" s="234"/>
      <c r="Y1867" s="234"/>
      <c r="Z1867" s="234"/>
      <c r="AA1867" s="234"/>
    </row>
    <row r="1868" ht="15.75" customHeight="1">
      <c r="A1868" s="91"/>
      <c r="B1868" s="91"/>
      <c r="C1868" s="220"/>
      <c r="D1868" s="91"/>
      <c r="E1868" s="221"/>
      <c r="F1868" s="91"/>
      <c r="G1868" s="91"/>
      <c r="H1868" s="242"/>
      <c r="I1868" s="91"/>
      <c r="J1868" s="234"/>
      <c r="K1868" s="243"/>
      <c r="L1868" s="236"/>
      <c r="M1868" s="236"/>
      <c r="N1868" s="236"/>
      <c r="O1868" s="244"/>
      <c r="P1868" s="244"/>
      <c r="Q1868" s="234"/>
      <c r="R1868" s="234"/>
      <c r="S1868" s="238"/>
      <c r="T1868" s="239"/>
      <c r="U1868" s="238"/>
      <c r="V1868" s="238"/>
      <c r="W1868" s="234"/>
      <c r="X1868" s="234"/>
      <c r="Y1868" s="234"/>
      <c r="Z1868" s="234"/>
      <c r="AA1868" s="234"/>
    </row>
    <row r="1869" ht="15.75" customHeight="1">
      <c r="A1869" s="91"/>
      <c r="B1869" s="91"/>
      <c r="C1869" s="220"/>
      <c r="D1869" s="91"/>
      <c r="E1869" s="221"/>
      <c r="F1869" s="91"/>
      <c r="G1869" s="91"/>
      <c r="H1869" s="242"/>
      <c r="I1869" s="91"/>
      <c r="J1869" s="234"/>
      <c r="K1869" s="243"/>
      <c r="L1869" s="236"/>
      <c r="M1869" s="236"/>
      <c r="N1869" s="236"/>
      <c r="O1869" s="244"/>
      <c r="P1869" s="244"/>
      <c r="Q1869" s="234"/>
      <c r="R1869" s="234"/>
      <c r="S1869" s="238"/>
      <c r="T1869" s="239"/>
      <c r="U1869" s="238"/>
      <c r="V1869" s="238"/>
      <c r="W1869" s="234"/>
      <c r="X1869" s="234"/>
      <c r="Y1869" s="234"/>
      <c r="Z1869" s="234"/>
      <c r="AA1869" s="234"/>
    </row>
    <row r="1870" ht="15.75" customHeight="1">
      <c r="A1870" s="91"/>
      <c r="B1870" s="91"/>
      <c r="C1870" s="220"/>
      <c r="D1870" s="91"/>
      <c r="E1870" s="221"/>
      <c r="F1870" s="91"/>
      <c r="G1870" s="91"/>
      <c r="H1870" s="242"/>
      <c r="I1870" s="91"/>
      <c r="J1870" s="234"/>
      <c r="K1870" s="243"/>
      <c r="L1870" s="236"/>
      <c r="M1870" s="236"/>
      <c r="N1870" s="236"/>
      <c r="O1870" s="244"/>
      <c r="P1870" s="244"/>
      <c r="Q1870" s="234"/>
      <c r="R1870" s="234"/>
      <c r="S1870" s="238"/>
      <c r="T1870" s="239"/>
      <c r="U1870" s="238"/>
      <c r="V1870" s="238"/>
      <c r="W1870" s="234"/>
      <c r="X1870" s="234"/>
      <c r="Y1870" s="234"/>
      <c r="Z1870" s="234"/>
      <c r="AA1870" s="234"/>
    </row>
    <row r="1871" ht="15.75" customHeight="1">
      <c r="A1871" s="91"/>
      <c r="B1871" s="91"/>
      <c r="C1871" s="220"/>
      <c r="D1871" s="91"/>
      <c r="E1871" s="221"/>
      <c r="F1871" s="91"/>
      <c r="G1871" s="91"/>
      <c r="H1871" s="242"/>
      <c r="I1871" s="91"/>
      <c r="J1871" s="234"/>
      <c r="K1871" s="243"/>
      <c r="L1871" s="236"/>
      <c r="M1871" s="236"/>
      <c r="N1871" s="236"/>
      <c r="O1871" s="244"/>
      <c r="P1871" s="244"/>
      <c r="Q1871" s="234"/>
      <c r="R1871" s="234"/>
      <c r="S1871" s="238"/>
      <c r="T1871" s="239"/>
      <c r="U1871" s="238"/>
      <c r="V1871" s="238"/>
      <c r="W1871" s="234"/>
      <c r="X1871" s="234"/>
      <c r="Y1871" s="234"/>
      <c r="Z1871" s="234"/>
      <c r="AA1871" s="234"/>
    </row>
    <row r="1872" ht="15.75" customHeight="1">
      <c r="A1872" s="91"/>
      <c r="B1872" s="91"/>
      <c r="C1872" s="220"/>
      <c r="D1872" s="91"/>
      <c r="E1872" s="221"/>
      <c r="F1872" s="91"/>
      <c r="G1872" s="91"/>
      <c r="H1872" s="242"/>
      <c r="I1872" s="91"/>
      <c r="J1872" s="234"/>
      <c r="K1872" s="243"/>
      <c r="L1872" s="236"/>
      <c r="M1872" s="236"/>
      <c r="N1872" s="236"/>
      <c r="O1872" s="244"/>
      <c r="P1872" s="244"/>
      <c r="Q1872" s="234"/>
      <c r="R1872" s="234"/>
      <c r="S1872" s="238"/>
      <c r="T1872" s="239"/>
      <c r="U1872" s="238"/>
      <c r="V1872" s="238"/>
      <c r="W1872" s="234"/>
      <c r="X1872" s="234"/>
      <c r="Y1872" s="234"/>
      <c r="Z1872" s="234"/>
      <c r="AA1872" s="234"/>
    </row>
    <row r="1873" ht="15.75" customHeight="1">
      <c r="A1873" s="91"/>
      <c r="B1873" s="91"/>
      <c r="C1873" s="220"/>
      <c r="D1873" s="91"/>
      <c r="E1873" s="221"/>
      <c r="F1873" s="91"/>
      <c r="G1873" s="91"/>
      <c r="H1873" s="242"/>
      <c r="I1873" s="91"/>
      <c r="J1873" s="234"/>
      <c r="K1873" s="243"/>
      <c r="L1873" s="236"/>
      <c r="M1873" s="236"/>
      <c r="N1873" s="236"/>
      <c r="O1873" s="244"/>
      <c r="P1873" s="244"/>
      <c r="Q1873" s="234"/>
      <c r="R1873" s="234"/>
      <c r="S1873" s="238"/>
      <c r="T1873" s="239"/>
      <c r="U1873" s="238"/>
      <c r="V1873" s="238"/>
      <c r="W1873" s="234"/>
      <c r="X1873" s="234"/>
      <c r="Y1873" s="234"/>
      <c r="Z1873" s="234"/>
      <c r="AA1873" s="234"/>
    </row>
    <row r="1874" ht="15.75" customHeight="1">
      <c r="A1874" s="91"/>
      <c r="B1874" s="91"/>
      <c r="C1874" s="220"/>
      <c r="D1874" s="91"/>
      <c r="E1874" s="221"/>
      <c r="F1874" s="91"/>
      <c r="G1874" s="91"/>
      <c r="H1874" s="242"/>
      <c r="I1874" s="91"/>
      <c r="J1874" s="234"/>
      <c r="K1874" s="243"/>
      <c r="L1874" s="236"/>
      <c r="M1874" s="236"/>
      <c r="N1874" s="236"/>
      <c r="O1874" s="244"/>
      <c r="P1874" s="244"/>
      <c r="Q1874" s="234"/>
      <c r="R1874" s="234"/>
      <c r="S1874" s="238"/>
      <c r="T1874" s="239"/>
      <c r="U1874" s="238"/>
      <c r="V1874" s="238"/>
      <c r="W1874" s="234"/>
      <c r="X1874" s="234"/>
      <c r="Y1874" s="234"/>
      <c r="Z1874" s="234"/>
      <c r="AA1874" s="234"/>
    </row>
    <row r="1875" ht="15.75" customHeight="1">
      <c r="A1875" s="91"/>
      <c r="B1875" s="91"/>
      <c r="C1875" s="220"/>
      <c r="D1875" s="91"/>
      <c r="E1875" s="221"/>
      <c r="F1875" s="91"/>
      <c r="G1875" s="91"/>
      <c r="H1875" s="242"/>
      <c r="I1875" s="91"/>
      <c r="J1875" s="234"/>
      <c r="K1875" s="243"/>
      <c r="L1875" s="236"/>
      <c r="M1875" s="236"/>
      <c r="N1875" s="236"/>
      <c r="O1875" s="244"/>
      <c r="P1875" s="244"/>
      <c r="Q1875" s="234"/>
      <c r="R1875" s="234"/>
      <c r="S1875" s="238"/>
      <c r="T1875" s="239"/>
      <c r="U1875" s="238"/>
      <c r="V1875" s="238"/>
      <c r="W1875" s="234"/>
      <c r="X1875" s="234"/>
      <c r="Y1875" s="234"/>
      <c r="Z1875" s="234"/>
      <c r="AA1875" s="234"/>
    </row>
    <row r="1876" ht="15.75" customHeight="1">
      <c r="A1876" s="91"/>
      <c r="B1876" s="91"/>
      <c r="C1876" s="220"/>
      <c r="D1876" s="91"/>
      <c r="E1876" s="221"/>
      <c r="F1876" s="91"/>
      <c r="G1876" s="91"/>
      <c r="H1876" s="242"/>
      <c r="I1876" s="91"/>
      <c r="J1876" s="234"/>
      <c r="K1876" s="243"/>
      <c r="L1876" s="236"/>
      <c r="M1876" s="236"/>
      <c r="N1876" s="236"/>
      <c r="O1876" s="244"/>
      <c r="P1876" s="244"/>
      <c r="Q1876" s="234"/>
      <c r="R1876" s="234"/>
      <c r="S1876" s="238"/>
      <c r="T1876" s="239"/>
      <c r="U1876" s="238"/>
      <c r="V1876" s="238"/>
      <c r="W1876" s="234"/>
      <c r="X1876" s="234"/>
      <c r="Y1876" s="234"/>
      <c r="Z1876" s="234"/>
      <c r="AA1876" s="234"/>
    </row>
    <row r="1877" ht="15.75" customHeight="1">
      <c r="A1877" s="91"/>
      <c r="B1877" s="91"/>
      <c r="C1877" s="220"/>
      <c r="D1877" s="91"/>
      <c r="E1877" s="221"/>
      <c r="F1877" s="91"/>
      <c r="G1877" s="91"/>
      <c r="H1877" s="242"/>
      <c r="I1877" s="91"/>
      <c r="J1877" s="234"/>
      <c r="K1877" s="243"/>
      <c r="L1877" s="236"/>
      <c r="M1877" s="236"/>
      <c r="N1877" s="236"/>
      <c r="O1877" s="244"/>
      <c r="P1877" s="244"/>
      <c r="Q1877" s="234"/>
      <c r="R1877" s="234"/>
      <c r="S1877" s="238"/>
      <c r="T1877" s="239"/>
      <c r="U1877" s="238"/>
      <c r="V1877" s="238"/>
      <c r="W1877" s="234"/>
      <c r="X1877" s="234"/>
      <c r="Y1877" s="234"/>
      <c r="Z1877" s="234"/>
      <c r="AA1877" s="234"/>
    </row>
    <row r="1878" ht="15.75" customHeight="1">
      <c r="A1878" s="91"/>
      <c r="B1878" s="91"/>
      <c r="C1878" s="220"/>
      <c r="D1878" s="91"/>
      <c r="E1878" s="221"/>
      <c r="F1878" s="91"/>
      <c r="G1878" s="91"/>
      <c r="H1878" s="242"/>
      <c r="I1878" s="91"/>
      <c r="J1878" s="234"/>
      <c r="K1878" s="243"/>
      <c r="L1878" s="236"/>
      <c r="M1878" s="236"/>
      <c r="N1878" s="236"/>
      <c r="O1878" s="244"/>
      <c r="P1878" s="244"/>
      <c r="Q1878" s="234"/>
      <c r="R1878" s="234"/>
      <c r="S1878" s="238"/>
      <c r="T1878" s="239"/>
      <c r="U1878" s="238"/>
      <c r="V1878" s="238"/>
      <c r="W1878" s="234"/>
      <c r="X1878" s="234"/>
      <c r="Y1878" s="234"/>
      <c r="Z1878" s="234"/>
      <c r="AA1878" s="234"/>
    </row>
    <row r="1879" ht="15.75" customHeight="1">
      <c r="A1879" s="91"/>
      <c r="B1879" s="91"/>
      <c r="C1879" s="220"/>
      <c r="D1879" s="91"/>
      <c r="E1879" s="221"/>
      <c r="F1879" s="91"/>
      <c r="G1879" s="91"/>
      <c r="H1879" s="242"/>
      <c r="I1879" s="91"/>
      <c r="J1879" s="234"/>
      <c r="K1879" s="243"/>
      <c r="L1879" s="236"/>
      <c r="M1879" s="236"/>
      <c r="N1879" s="236"/>
      <c r="O1879" s="244"/>
      <c r="P1879" s="244"/>
      <c r="Q1879" s="234"/>
      <c r="R1879" s="234"/>
      <c r="S1879" s="238"/>
      <c r="T1879" s="239"/>
      <c r="U1879" s="238"/>
      <c r="V1879" s="238"/>
      <c r="W1879" s="234"/>
      <c r="X1879" s="234"/>
      <c r="Y1879" s="234"/>
      <c r="Z1879" s="234"/>
      <c r="AA1879" s="234"/>
    </row>
    <row r="1880" ht="15.75" customHeight="1">
      <c r="A1880" s="91"/>
      <c r="B1880" s="91"/>
      <c r="C1880" s="220"/>
      <c r="D1880" s="91"/>
      <c r="E1880" s="221"/>
      <c r="F1880" s="91"/>
      <c r="G1880" s="91"/>
      <c r="H1880" s="242"/>
      <c r="I1880" s="91"/>
      <c r="J1880" s="234"/>
      <c r="K1880" s="243"/>
      <c r="L1880" s="236"/>
      <c r="M1880" s="236"/>
      <c r="N1880" s="236"/>
      <c r="O1880" s="244"/>
      <c r="P1880" s="244"/>
      <c r="Q1880" s="234"/>
      <c r="R1880" s="234"/>
      <c r="S1880" s="238"/>
      <c r="T1880" s="239"/>
      <c r="U1880" s="238"/>
      <c r="V1880" s="238"/>
      <c r="W1880" s="234"/>
      <c r="X1880" s="234"/>
      <c r="Y1880" s="234"/>
      <c r="Z1880" s="234"/>
      <c r="AA1880" s="234"/>
    </row>
    <row r="1881" ht="15.75" customHeight="1">
      <c r="A1881" s="91"/>
      <c r="B1881" s="91"/>
      <c r="C1881" s="220"/>
      <c r="D1881" s="91"/>
      <c r="E1881" s="221"/>
      <c r="F1881" s="91"/>
      <c r="G1881" s="91"/>
      <c r="H1881" s="242"/>
      <c r="I1881" s="91"/>
      <c r="J1881" s="234"/>
      <c r="K1881" s="243"/>
      <c r="L1881" s="236"/>
      <c r="M1881" s="236"/>
      <c r="N1881" s="236"/>
      <c r="O1881" s="244"/>
      <c r="P1881" s="244"/>
      <c r="Q1881" s="234"/>
      <c r="R1881" s="234"/>
      <c r="S1881" s="238"/>
      <c r="T1881" s="239"/>
      <c r="U1881" s="238"/>
      <c r="V1881" s="238"/>
      <c r="W1881" s="234"/>
      <c r="X1881" s="234"/>
      <c r="Y1881" s="234"/>
      <c r="Z1881" s="234"/>
      <c r="AA1881" s="234"/>
    </row>
    <row r="1882" ht="15.75" customHeight="1">
      <c r="A1882" s="91"/>
      <c r="B1882" s="91"/>
      <c r="C1882" s="220"/>
      <c r="D1882" s="91"/>
      <c r="E1882" s="221"/>
      <c r="F1882" s="91"/>
      <c r="G1882" s="91"/>
      <c r="H1882" s="242"/>
      <c r="I1882" s="91"/>
      <c r="J1882" s="234"/>
      <c r="K1882" s="243"/>
      <c r="L1882" s="236"/>
      <c r="M1882" s="236"/>
      <c r="N1882" s="236"/>
      <c r="O1882" s="244"/>
      <c r="P1882" s="244"/>
      <c r="Q1882" s="234"/>
      <c r="R1882" s="234"/>
      <c r="S1882" s="238"/>
      <c r="T1882" s="239"/>
      <c r="U1882" s="238"/>
      <c r="V1882" s="238"/>
      <c r="W1882" s="234"/>
      <c r="X1882" s="234"/>
      <c r="Y1882" s="234"/>
      <c r="Z1882" s="234"/>
      <c r="AA1882" s="234"/>
    </row>
    <row r="1883" ht="15.75" customHeight="1">
      <c r="A1883" s="91"/>
      <c r="B1883" s="91"/>
      <c r="C1883" s="220"/>
      <c r="D1883" s="91"/>
      <c r="E1883" s="221"/>
      <c r="F1883" s="91"/>
      <c r="G1883" s="91"/>
      <c r="H1883" s="242"/>
      <c r="I1883" s="91"/>
      <c r="J1883" s="234"/>
      <c r="K1883" s="243"/>
      <c r="L1883" s="236"/>
      <c r="M1883" s="236"/>
      <c r="N1883" s="236"/>
      <c r="O1883" s="244"/>
      <c r="P1883" s="244"/>
      <c r="Q1883" s="234"/>
      <c r="R1883" s="234"/>
      <c r="S1883" s="238"/>
      <c r="T1883" s="239"/>
      <c r="U1883" s="238"/>
      <c r="V1883" s="238"/>
      <c r="W1883" s="234"/>
      <c r="X1883" s="234"/>
      <c r="Y1883" s="234"/>
      <c r="Z1883" s="234"/>
      <c r="AA1883" s="234"/>
    </row>
    <row r="1884" ht="15.75" customHeight="1">
      <c r="A1884" s="91"/>
      <c r="B1884" s="91"/>
      <c r="C1884" s="220"/>
      <c r="D1884" s="91"/>
      <c r="E1884" s="221"/>
      <c r="F1884" s="91"/>
      <c r="G1884" s="91"/>
      <c r="H1884" s="242"/>
      <c r="I1884" s="91"/>
      <c r="J1884" s="234"/>
      <c r="K1884" s="243"/>
      <c r="L1884" s="236"/>
      <c r="M1884" s="236"/>
      <c r="N1884" s="236"/>
      <c r="O1884" s="244"/>
      <c r="P1884" s="244"/>
      <c r="Q1884" s="234"/>
      <c r="R1884" s="234"/>
      <c r="S1884" s="238"/>
      <c r="T1884" s="239"/>
      <c r="U1884" s="238"/>
      <c r="V1884" s="238"/>
      <c r="W1884" s="234"/>
      <c r="X1884" s="234"/>
      <c r="Y1884" s="234"/>
      <c r="Z1884" s="234"/>
      <c r="AA1884" s="234"/>
    </row>
    <row r="1885" ht="15.75" customHeight="1">
      <c r="A1885" s="91"/>
      <c r="B1885" s="91"/>
      <c r="C1885" s="220"/>
      <c r="D1885" s="91"/>
      <c r="E1885" s="221"/>
      <c r="F1885" s="91"/>
      <c r="G1885" s="91"/>
      <c r="H1885" s="242"/>
      <c r="I1885" s="91"/>
      <c r="J1885" s="234"/>
      <c r="K1885" s="243"/>
      <c r="L1885" s="236"/>
      <c r="M1885" s="236"/>
      <c r="N1885" s="236"/>
      <c r="O1885" s="244"/>
      <c r="P1885" s="244"/>
      <c r="Q1885" s="234"/>
      <c r="R1885" s="234"/>
      <c r="S1885" s="238"/>
      <c r="T1885" s="239"/>
      <c r="U1885" s="238"/>
      <c r="V1885" s="238"/>
      <c r="W1885" s="234"/>
      <c r="X1885" s="234"/>
      <c r="Y1885" s="234"/>
      <c r="Z1885" s="234"/>
      <c r="AA1885" s="234"/>
    </row>
    <row r="1886" ht="15.75" customHeight="1">
      <c r="A1886" s="91"/>
      <c r="B1886" s="91"/>
      <c r="C1886" s="220"/>
      <c r="D1886" s="91"/>
      <c r="E1886" s="221"/>
      <c r="F1886" s="91"/>
      <c r="G1886" s="91"/>
      <c r="H1886" s="242"/>
      <c r="I1886" s="91"/>
      <c r="J1886" s="234"/>
      <c r="K1886" s="243"/>
      <c r="L1886" s="236"/>
      <c r="M1886" s="236"/>
      <c r="N1886" s="236"/>
      <c r="O1886" s="244"/>
      <c r="P1886" s="244"/>
      <c r="Q1886" s="234"/>
      <c r="R1886" s="234"/>
      <c r="S1886" s="238"/>
      <c r="T1886" s="239"/>
      <c r="U1886" s="238"/>
      <c r="V1886" s="238"/>
      <c r="W1886" s="234"/>
      <c r="X1886" s="234"/>
      <c r="Y1886" s="234"/>
      <c r="Z1886" s="234"/>
      <c r="AA1886" s="234"/>
    </row>
    <row r="1887" ht="15.75" customHeight="1">
      <c r="A1887" s="91"/>
      <c r="B1887" s="91"/>
      <c r="C1887" s="220"/>
      <c r="D1887" s="91"/>
      <c r="E1887" s="221"/>
      <c r="F1887" s="91"/>
      <c r="G1887" s="91"/>
      <c r="H1887" s="242"/>
      <c r="I1887" s="91"/>
      <c r="J1887" s="234"/>
      <c r="K1887" s="243"/>
      <c r="L1887" s="236"/>
      <c r="M1887" s="236"/>
      <c r="N1887" s="236"/>
      <c r="O1887" s="244"/>
      <c r="P1887" s="244"/>
      <c r="Q1887" s="234"/>
      <c r="R1887" s="234"/>
      <c r="S1887" s="238"/>
      <c r="T1887" s="239"/>
      <c r="U1887" s="238"/>
      <c r="V1887" s="238"/>
      <c r="W1887" s="234"/>
      <c r="X1887" s="234"/>
      <c r="Y1887" s="234"/>
      <c r="Z1887" s="234"/>
      <c r="AA1887" s="234"/>
    </row>
    <row r="1888" ht="15.75" customHeight="1">
      <c r="A1888" s="91"/>
      <c r="B1888" s="91"/>
      <c r="C1888" s="220"/>
      <c r="D1888" s="91"/>
      <c r="E1888" s="221"/>
      <c r="F1888" s="91"/>
      <c r="G1888" s="91"/>
      <c r="H1888" s="242"/>
      <c r="I1888" s="91"/>
      <c r="J1888" s="234"/>
      <c r="K1888" s="243"/>
      <c r="L1888" s="236"/>
      <c r="M1888" s="236"/>
      <c r="N1888" s="236"/>
      <c r="O1888" s="244"/>
      <c r="P1888" s="244"/>
      <c r="Q1888" s="234"/>
      <c r="R1888" s="234"/>
      <c r="S1888" s="238"/>
      <c r="T1888" s="239"/>
      <c r="U1888" s="238"/>
      <c r="V1888" s="238"/>
      <c r="W1888" s="234"/>
      <c r="X1888" s="234"/>
      <c r="Y1888" s="234"/>
      <c r="Z1888" s="234"/>
      <c r="AA1888" s="234"/>
    </row>
    <row r="1889" ht="15.75" customHeight="1">
      <c r="A1889" s="91"/>
      <c r="B1889" s="91"/>
      <c r="C1889" s="220"/>
      <c r="D1889" s="91"/>
      <c r="E1889" s="221"/>
      <c r="F1889" s="91"/>
      <c r="G1889" s="91"/>
      <c r="H1889" s="242"/>
      <c r="I1889" s="91"/>
      <c r="J1889" s="234"/>
      <c r="K1889" s="243"/>
      <c r="L1889" s="236"/>
      <c r="M1889" s="236"/>
      <c r="N1889" s="236"/>
      <c r="O1889" s="244"/>
      <c r="P1889" s="244"/>
      <c r="Q1889" s="234"/>
      <c r="R1889" s="234"/>
      <c r="S1889" s="238"/>
      <c r="T1889" s="239"/>
      <c r="U1889" s="238"/>
      <c r="V1889" s="238"/>
      <c r="W1889" s="234"/>
      <c r="X1889" s="234"/>
      <c r="Y1889" s="234"/>
      <c r="Z1889" s="234"/>
      <c r="AA1889" s="234"/>
    </row>
    <row r="1890" ht="15.75" customHeight="1">
      <c r="A1890" s="91"/>
      <c r="B1890" s="91"/>
      <c r="C1890" s="220"/>
      <c r="D1890" s="91"/>
      <c r="E1890" s="221"/>
      <c r="F1890" s="91"/>
      <c r="G1890" s="91"/>
      <c r="H1890" s="242"/>
      <c r="I1890" s="91"/>
      <c r="J1890" s="234"/>
      <c r="K1890" s="243"/>
      <c r="L1890" s="236"/>
      <c r="M1890" s="236"/>
      <c r="N1890" s="236"/>
      <c r="O1890" s="244"/>
      <c r="P1890" s="244"/>
      <c r="Q1890" s="234"/>
      <c r="R1890" s="234"/>
      <c r="S1890" s="238"/>
      <c r="T1890" s="239"/>
      <c r="U1890" s="238"/>
      <c r="V1890" s="238"/>
      <c r="W1890" s="234"/>
      <c r="X1890" s="234"/>
      <c r="Y1890" s="234"/>
      <c r="Z1890" s="234"/>
      <c r="AA1890" s="234"/>
    </row>
    <row r="1891" ht="15.75" customHeight="1">
      <c r="A1891" s="91"/>
      <c r="B1891" s="91"/>
      <c r="C1891" s="220"/>
      <c r="D1891" s="91"/>
      <c r="E1891" s="221"/>
      <c r="F1891" s="91"/>
      <c r="G1891" s="91"/>
      <c r="H1891" s="242"/>
      <c r="I1891" s="91"/>
      <c r="J1891" s="234"/>
      <c r="K1891" s="243"/>
      <c r="L1891" s="236"/>
      <c r="M1891" s="236"/>
      <c r="N1891" s="236"/>
      <c r="O1891" s="244"/>
      <c r="P1891" s="244"/>
      <c r="Q1891" s="234"/>
      <c r="R1891" s="234"/>
      <c r="S1891" s="238"/>
      <c r="T1891" s="239"/>
      <c r="U1891" s="238"/>
      <c r="V1891" s="238"/>
      <c r="W1891" s="234"/>
      <c r="X1891" s="234"/>
      <c r="Y1891" s="234"/>
      <c r="Z1891" s="234"/>
      <c r="AA1891" s="234"/>
    </row>
    <row r="1892" ht="15.75" customHeight="1">
      <c r="A1892" s="91"/>
      <c r="B1892" s="91"/>
      <c r="C1892" s="220"/>
      <c r="D1892" s="91"/>
      <c r="E1892" s="221"/>
      <c r="F1892" s="91"/>
      <c r="G1892" s="91"/>
      <c r="H1892" s="242"/>
      <c r="I1892" s="91"/>
      <c r="J1892" s="234"/>
      <c r="K1892" s="243"/>
      <c r="L1892" s="236"/>
      <c r="M1892" s="236"/>
      <c r="N1892" s="236"/>
      <c r="O1892" s="244"/>
      <c r="P1892" s="244"/>
      <c r="Q1892" s="234"/>
      <c r="R1892" s="234"/>
      <c r="S1892" s="238"/>
      <c r="T1892" s="239"/>
      <c r="U1892" s="238"/>
      <c r="V1892" s="238"/>
      <c r="W1892" s="234"/>
      <c r="X1892" s="234"/>
      <c r="Y1892" s="234"/>
      <c r="Z1892" s="234"/>
      <c r="AA1892" s="234"/>
    </row>
    <row r="1893" ht="15.75" customHeight="1">
      <c r="A1893" s="91"/>
      <c r="B1893" s="91"/>
      <c r="C1893" s="220"/>
      <c r="D1893" s="91"/>
      <c r="E1893" s="221"/>
      <c r="F1893" s="91"/>
      <c r="G1893" s="91"/>
      <c r="H1893" s="242"/>
      <c r="I1893" s="91"/>
      <c r="J1893" s="234"/>
      <c r="K1893" s="243"/>
      <c r="L1893" s="236"/>
      <c r="M1893" s="236"/>
      <c r="N1893" s="236"/>
      <c r="O1893" s="244"/>
      <c r="P1893" s="244"/>
      <c r="Q1893" s="234"/>
      <c r="R1893" s="234"/>
      <c r="S1893" s="238"/>
      <c r="T1893" s="239"/>
      <c r="U1893" s="238"/>
      <c r="V1893" s="238"/>
      <c r="W1893" s="234"/>
      <c r="X1893" s="234"/>
      <c r="Y1893" s="234"/>
      <c r="Z1893" s="234"/>
      <c r="AA1893" s="234"/>
    </row>
    <row r="1894" ht="15.75" customHeight="1">
      <c r="A1894" s="91"/>
      <c r="G1894" s="91"/>
      <c r="H1894" s="242"/>
      <c r="I1894" s="91"/>
      <c r="J1894" s="234"/>
      <c r="K1894" s="243"/>
      <c r="L1894" s="236"/>
      <c r="M1894" s="236"/>
      <c r="N1894" s="236"/>
      <c r="O1894" s="244"/>
      <c r="P1894" s="244"/>
      <c r="Q1894" s="234"/>
      <c r="R1894" s="234"/>
      <c r="S1894" s="238"/>
      <c r="T1894" s="239"/>
      <c r="U1894" s="238"/>
      <c r="V1894" s="238"/>
      <c r="W1894" s="234"/>
      <c r="X1894" s="234"/>
      <c r="Y1894" s="234"/>
      <c r="Z1894" s="234"/>
      <c r="AA1894" s="234"/>
    </row>
    <row r="1895" ht="15.75" customHeight="1">
      <c r="A1895" s="91"/>
      <c r="G1895" s="91"/>
      <c r="H1895" s="242"/>
      <c r="I1895" s="91"/>
      <c r="J1895" s="234"/>
      <c r="K1895" s="243"/>
      <c r="L1895" s="236"/>
      <c r="M1895" s="236"/>
      <c r="N1895" s="236"/>
      <c r="O1895" s="244"/>
      <c r="P1895" s="244"/>
      <c r="Q1895" s="234"/>
      <c r="R1895" s="234"/>
      <c r="S1895" s="238"/>
      <c r="T1895" s="239"/>
      <c r="U1895" s="238"/>
      <c r="V1895" s="238"/>
      <c r="W1895" s="234"/>
      <c r="X1895" s="234"/>
      <c r="Y1895" s="234"/>
      <c r="Z1895" s="234"/>
      <c r="AA1895" s="234"/>
    </row>
    <row r="1896" ht="15.75" customHeight="1">
      <c r="A1896" s="91"/>
      <c r="G1896" s="91"/>
      <c r="H1896" s="242"/>
      <c r="I1896" s="91"/>
      <c r="J1896" s="234"/>
      <c r="K1896" s="243"/>
      <c r="L1896" s="236"/>
      <c r="M1896" s="236"/>
      <c r="N1896" s="236"/>
      <c r="O1896" s="244"/>
      <c r="P1896" s="244"/>
      <c r="Q1896" s="234"/>
      <c r="R1896" s="234"/>
      <c r="S1896" s="238"/>
      <c r="T1896" s="239"/>
      <c r="U1896" s="238"/>
      <c r="V1896" s="238"/>
      <c r="W1896" s="234"/>
      <c r="X1896" s="234"/>
      <c r="Y1896" s="234"/>
      <c r="Z1896" s="234"/>
      <c r="AA1896" s="234"/>
    </row>
    <row r="1897" ht="15.75" customHeight="1">
      <c r="A1897" s="91"/>
      <c r="G1897" s="91"/>
      <c r="H1897" s="242"/>
      <c r="I1897" s="91"/>
      <c r="J1897" s="234"/>
      <c r="K1897" s="243"/>
      <c r="L1897" s="236"/>
      <c r="M1897" s="236"/>
      <c r="N1897" s="236"/>
      <c r="O1897" s="244"/>
      <c r="P1897" s="244"/>
      <c r="Q1897" s="234"/>
      <c r="R1897" s="234"/>
      <c r="S1897" s="238"/>
      <c r="T1897" s="239"/>
      <c r="U1897" s="238"/>
      <c r="V1897" s="238"/>
      <c r="W1897" s="234"/>
      <c r="X1897" s="234"/>
      <c r="Y1897" s="234"/>
      <c r="Z1897" s="234"/>
      <c r="AA1897" s="234"/>
    </row>
    <row r="1898" ht="15.75" customHeight="1">
      <c r="A1898" s="91"/>
      <c r="G1898" s="91"/>
      <c r="H1898" s="242"/>
      <c r="I1898" s="91"/>
      <c r="J1898" s="234"/>
      <c r="K1898" s="243"/>
      <c r="L1898" s="236"/>
      <c r="M1898" s="236"/>
      <c r="N1898" s="236"/>
      <c r="O1898" s="244"/>
      <c r="P1898" s="244"/>
      <c r="Q1898" s="234"/>
      <c r="R1898" s="234"/>
      <c r="S1898" s="238"/>
      <c r="T1898" s="239"/>
      <c r="U1898" s="238"/>
      <c r="V1898" s="238"/>
      <c r="W1898" s="234"/>
      <c r="X1898" s="234"/>
      <c r="Y1898" s="234"/>
      <c r="Z1898" s="234"/>
      <c r="AA1898" s="234"/>
    </row>
    <row r="1899" ht="15.75" customHeight="1">
      <c r="A1899" s="91"/>
      <c r="G1899" s="91"/>
      <c r="H1899" s="242"/>
      <c r="I1899" s="91"/>
      <c r="J1899" s="234"/>
      <c r="K1899" s="243"/>
      <c r="L1899" s="236"/>
      <c r="M1899" s="236"/>
      <c r="N1899" s="236"/>
      <c r="O1899" s="244"/>
      <c r="P1899" s="244"/>
      <c r="Q1899" s="234"/>
      <c r="R1899" s="234"/>
      <c r="S1899" s="238"/>
      <c r="T1899" s="239"/>
      <c r="U1899" s="238"/>
      <c r="V1899" s="238"/>
      <c r="W1899" s="234"/>
      <c r="X1899" s="234"/>
      <c r="Y1899" s="234"/>
      <c r="Z1899" s="234"/>
      <c r="AA1899" s="234"/>
    </row>
    <row r="1900" ht="15.75" customHeight="1">
      <c r="A1900" s="91"/>
      <c r="G1900" s="91"/>
      <c r="H1900" s="242"/>
      <c r="I1900" s="91"/>
      <c r="J1900" s="234"/>
      <c r="K1900" s="243"/>
      <c r="L1900" s="236"/>
      <c r="M1900" s="236"/>
      <c r="N1900" s="236"/>
      <c r="O1900" s="244"/>
      <c r="P1900" s="244"/>
      <c r="Q1900" s="234"/>
      <c r="R1900" s="234"/>
      <c r="S1900" s="238"/>
      <c r="T1900" s="239"/>
      <c r="U1900" s="238"/>
      <c r="V1900" s="238"/>
      <c r="W1900" s="234"/>
      <c r="X1900" s="234"/>
      <c r="Y1900" s="234"/>
      <c r="Z1900" s="234"/>
      <c r="AA1900" s="234"/>
    </row>
    <row r="1901" ht="15.75" customHeight="1">
      <c r="A1901" s="91"/>
      <c r="G1901" s="91"/>
      <c r="H1901" s="242"/>
      <c r="I1901" s="91"/>
      <c r="J1901" s="234"/>
      <c r="K1901" s="243"/>
      <c r="L1901" s="236"/>
      <c r="M1901" s="236"/>
      <c r="N1901" s="236"/>
      <c r="O1901" s="244"/>
      <c r="P1901" s="244"/>
      <c r="Q1901" s="234"/>
      <c r="R1901" s="234"/>
      <c r="S1901" s="238"/>
      <c r="T1901" s="239"/>
      <c r="U1901" s="238"/>
      <c r="V1901" s="238"/>
      <c r="W1901" s="234"/>
      <c r="X1901" s="234"/>
      <c r="Y1901" s="234"/>
      <c r="Z1901" s="234"/>
      <c r="AA1901" s="234"/>
    </row>
    <row r="1902" ht="15.75" customHeight="1">
      <c r="A1902" s="91"/>
      <c r="G1902" s="91"/>
      <c r="H1902" s="242"/>
      <c r="I1902" s="91"/>
      <c r="J1902" s="234"/>
      <c r="K1902" s="243"/>
      <c r="L1902" s="236"/>
      <c r="M1902" s="236"/>
      <c r="N1902" s="236"/>
      <c r="O1902" s="244"/>
      <c r="P1902" s="244"/>
      <c r="Q1902" s="234"/>
      <c r="R1902" s="234"/>
      <c r="S1902" s="238"/>
      <c r="T1902" s="239"/>
      <c r="U1902" s="238"/>
      <c r="V1902" s="238"/>
      <c r="W1902" s="234"/>
      <c r="X1902" s="234"/>
      <c r="Y1902" s="234"/>
      <c r="Z1902" s="234"/>
      <c r="AA1902" s="234"/>
    </row>
    <row r="1903" ht="15.75" customHeight="1">
      <c r="A1903" s="91"/>
      <c r="G1903" s="91"/>
      <c r="H1903" s="242"/>
      <c r="I1903" s="91"/>
      <c r="J1903" s="234"/>
      <c r="K1903" s="243"/>
      <c r="L1903" s="236"/>
      <c r="M1903" s="236"/>
      <c r="N1903" s="236"/>
      <c r="O1903" s="244"/>
      <c r="P1903" s="244"/>
      <c r="Q1903" s="234"/>
      <c r="R1903" s="234"/>
      <c r="S1903" s="238"/>
      <c r="T1903" s="239"/>
      <c r="U1903" s="238"/>
      <c r="V1903" s="238"/>
      <c r="W1903" s="234"/>
      <c r="X1903" s="234"/>
      <c r="Y1903" s="234"/>
      <c r="Z1903" s="234"/>
      <c r="AA1903" s="234"/>
    </row>
    <row r="1904" ht="15.75" customHeight="1">
      <c r="A1904" s="91"/>
      <c r="G1904" s="91"/>
      <c r="H1904" s="242"/>
      <c r="I1904" s="91"/>
      <c r="J1904" s="234"/>
      <c r="K1904" s="243"/>
      <c r="L1904" s="236"/>
      <c r="M1904" s="236"/>
      <c r="N1904" s="236"/>
      <c r="O1904" s="244"/>
      <c r="P1904" s="244"/>
      <c r="Q1904" s="234"/>
      <c r="R1904" s="234"/>
      <c r="S1904" s="238"/>
      <c r="T1904" s="239"/>
      <c r="U1904" s="238"/>
      <c r="V1904" s="238"/>
      <c r="W1904" s="234"/>
      <c r="X1904" s="234"/>
      <c r="Y1904" s="234"/>
      <c r="Z1904" s="234"/>
      <c r="AA1904" s="234"/>
    </row>
    <row r="1905" ht="15.75" customHeight="1">
      <c r="A1905" s="91"/>
      <c r="G1905" s="91"/>
      <c r="H1905" s="242"/>
      <c r="I1905" s="91"/>
      <c r="J1905" s="234"/>
      <c r="K1905" s="243"/>
      <c r="L1905" s="236"/>
      <c r="M1905" s="236"/>
      <c r="N1905" s="236"/>
      <c r="O1905" s="244"/>
      <c r="P1905" s="244"/>
      <c r="Q1905" s="234"/>
      <c r="R1905" s="234"/>
      <c r="S1905" s="238"/>
      <c r="T1905" s="239"/>
      <c r="U1905" s="238"/>
      <c r="V1905" s="238"/>
      <c r="W1905" s="234"/>
      <c r="X1905" s="234"/>
      <c r="Y1905" s="234"/>
      <c r="Z1905" s="234"/>
      <c r="AA1905" s="234"/>
    </row>
    <row r="1906" ht="15.75" customHeight="1">
      <c r="A1906" s="91"/>
      <c r="G1906" s="91"/>
      <c r="H1906" s="242"/>
      <c r="I1906" s="91"/>
      <c r="J1906" s="234"/>
      <c r="K1906" s="243"/>
      <c r="L1906" s="236"/>
      <c r="M1906" s="236"/>
      <c r="N1906" s="236"/>
      <c r="O1906" s="244"/>
      <c r="P1906" s="244"/>
      <c r="Q1906" s="234"/>
      <c r="R1906" s="234"/>
      <c r="S1906" s="238"/>
      <c r="T1906" s="239"/>
      <c r="U1906" s="238"/>
      <c r="V1906" s="238"/>
      <c r="W1906" s="234"/>
      <c r="X1906" s="234"/>
      <c r="Y1906" s="234"/>
      <c r="Z1906" s="234"/>
      <c r="AA1906" s="234"/>
    </row>
    <row r="1907" ht="15.75" customHeight="1">
      <c r="A1907" s="91"/>
      <c r="G1907" s="91"/>
      <c r="H1907" s="242"/>
      <c r="I1907" s="91"/>
      <c r="J1907" s="234"/>
      <c r="K1907" s="243"/>
      <c r="L1907" s="236"/>
      <c r="M1907" s="236"/>
      <c r="N1907" s="236"/>
      <c r="O1907" s="244"/>
      <c r="P1907" s="244"/>
      <c r="Q1907" s="234"/>
      <c r="R1907" s="234"/>
      <c r="S1907" s="238"/>
      <c r="T1907" s="239"/>
      <c r="U1907" s="238"/>
      <c r="V1907" s="238"/>
      <c r="W1907" s="234"/>
      <c r="X1907" s="234"/>
      <c r="Y1907" s="234"/>
      <c r="Z1907" s="234"/>
      <c r="AA1907" s="234"/>
    </row>
    <row r="1908" ht="15.75" customHeight="1">
      <c r="A1908" s="91"/>
      <c r="G1908" s="91"/>
      <c r="H1908" s="242"/>
      <c r="I1908" s="91"/>
      <c r="J1908" s="234"/>
      <c r="K1908" s="243"/>
      <c r="L1908" s="236"/>
      <c r="M1908" s="236"/>
      <c r="N1908" s="236"/>
      <c r="O1908" s="244"/>
      <c r="P1908" s="244"/>
      <c r="Q1908" s="234"/>
      <c r="R1908" s="234"/>
      <c r="S1908" s="238"/>
      <c r="T1908" s="239"/>
      <c r="U1908" s="238"/>
      <c r="V1908" s="238"/>
      <c r="W1908" s="234"/>
      <c r="X1908" s="234"/>
      <c r="Y1908" s="234"/>
      <c r="Z1908" s="234"/>
      <c r="AA1908" s="234"/>
    </row>
    <row r="1909" ht="15.75" customHeight="1">
      <c r="A1909" s="91"/>
      <c r="G1909" s="91"/>
      <c r="H1909" s="242"/>
      <c r="I1909" s="91"/>
      <c r="J1909" s="234"/>
      <c r="K1909" s="243"/>
      <c r="L1909" s="236"/>
      <c r="M1909" s="236"/>
      <c r="N1909" s="236"/>
      <c r="O1909" s="244"/>
      <c r="P1909" s="244"/>
      <c r="Q1909" s="234"/>
      <c r="R1909" s="234"/>
      <c r="S1909" s="238"/>
      <c r="T1909" s="239"/>
      <c r="U1909" s="238"/>
      <c r="V1909" s="238"/>
      <c r="W1909" s="234"/>
      <c r="X1909" s="234"/>
      <c r="Y1909" s="234"/>
      <c r="Z1909" s="234"/>
      <c r="AA1909" s="234"/>
    </row>
    <row r="1910" ht="15.75" customHeight="1">
      <c r="A1910" s="91"/>
      <c r="G1910" s="91"/>
      <c r="H1910" s="242"/>
      <c r="I1910" s="91"/>
      <c r="J1910" s="234"/>
      <c r="K1910" s="243"/>
      <c r="L1910" s="236"/>
      <c r="M1910" s="236"/>
      <c r="N1910" s="236"/>
      <c r="O1910" s="244"/>
      <c r="P1910" s="244"/>
      <c r="Q1910" s="234"/>
      <c r="R1910" s="234"/>
      <c r="S1910" s="238"/>
      <c r="T1910" s="239"/>
      <c r="U1910" s="238"/>
      <c r="V1910" s="238"/>
      <c r="W1910" s="234"/>
      <c r="X1910" s="234"/>
      <c r="Y1910" s="234"/>
      <c r="Z1910" s="234"/>
      <c r="AA1910" s="234"/>
    </row>
    <row r="1911" ht="15.75" customHeight="1">
      <c r="A1911" s="91"/>
      <c r="G1911" s="91"/>
      <c r="H1911" s="242"/>
      <c r="I1911" s="91"/>
      <c r="J1911" s="234"/>
      <c r="K1911" s="243"/>
      <c r="L1911" s="236"/>
      <c r="M1911" s="236"/>
      <c r="N1911" s="236"/>
      <c r="O1911" s="244"/>
      <c r="P1911" s="244"/>
      <c r="Q1911" s="234"/>
      <c r="R1911" s="234"/>
      <c r="S1911" s="238"/>
      <c r="T1911" s="239"/>
      <c r="U1911" s="238"/>
      <c r="V1911" s="238"/>
      <c r="W1911" s="234"/>
      <c r="X1911" s="234"/>
      <c r="Y1911" s="234"/>
      <c r="Z1911" s="234"/>
      <c r="AA1911" s="234"/>
    </row>
    <row r="1912" ht="15.75" customHeight="1">
      <c r="A1912" s="91"/>
      <c r="G1912" s="91"/>
      <c r="H1912" s="242"/>
      <c r="I1912" s="91"/>
      <c r="J1912" s="234"/>
      <c r="K1912" s="243"/>
      <c r="L1912" s="236"/>
      <c r="M1912" s="236"/>
      <c r="N1912" s="236"/>
      <c r="O1912" s="244"/>
      <c r="P1912" s="244"/>
      <c r="Q1912" s="234"/>
      <c r="R1912" s="234"/>
      <c r="S1912" s="238"/>
      <c r="T1912" s="239"/>
      <c r="U1912" s="238"/>
      <c r="V1912" s="238"/>
      <c r="W1912" s="234"/>
      <c r="X1912" s="234"/>
      <c r="Y1912" s="234"/>
      <c r="Z1912" s="234"/>
      <c r="AA1912" s="234"/>
    </row>
    <row r="1913" ht="15.75" customHeight="1">
      <c r="A1913" s="91"/>
      <c r="G1913" s="91"/>
      <c r="H1913" s="242"/>
      <c r="I1913" s="91"/>
      <c r="J1913" s="234"/>
      <c r="K1913" s="243"/>
      <c r="L1913" s="236"/>
      <c r="M1913" s="236"/>
      <c r="N1913" s="236"/>
      <c r="O1913" s="244"/>
      <c r="P1913" s="244"/>
      <c r="Q1913" s="234"/>
      <c r="R1913" s="234"/>
      <c r="S1913" s="238"/>
      <c r="T1913" s="239"/>
      <c r="U1913" s="238"/>
      <c r="V1913" s="238"/>
      <c r="W1913" s="234"/>
      <c r="X1913" s="234"/>
      <c r="Y1913" s="234"/>
      <c r="Z1913" s="234"/>
      <c r="AA1913" s="234"/>
    </row>
    <row r="1914" ht="15.75" customHeight="1">
      <c r="A1914" s="91"/>
      <c r="G1914" s="91"/>
      <c r="H1914" s="242"/>
      <c r="I1914" s="91"/>
      <c r="J1914" s="234"/>
      <c r="K1914" s="243"/>
      <c r="L1914" s="236"/>
      <c r="M1914" s="236"/>
      <c r="N1914" s="236"/>
      <c r="O1914" s="244"/>
      <c r="P1914" s="244"/>
      <c r="Q1914" s="234"/>
      <c r="R1914" s="234"/>
      <c r="S1914" s="238"/>
      <c r="T1914" s="239"/>
      <c r="U1914" s="238"/>
      <c r="V1914" s="238"/>
      <c r="W1914" s="234"/>
      <c r="X1914" s="234"/>
      <c r="Y1914" s="234"/>
      <c r="Z1914" s="234"/>
      <c r="AA1914" s="234"/>
    </row>
    <row r="1915" ht="15.75" customHeight="1">
      <c r="A1915" s="91"/>
      <c r="G1915" s="91"/>
      <c r="H1915" s="242"/>
      <c r="I1915" s="91"/>
      <c r="J1915" s="234"/>
      <c r="K1915" s="243"/>
      <c r="L1915" s="236"/>
      <c r="M1915" s="236"/>
      <c r="N1915" s="236"/>
      <c r="O1915" s="244"/>
      <c r="P1915" s="244"/>
      <c r="Q1915" s="234"/>
      <c r="R1915" s="234"/>
      <c r="S1915" s="238"/>
      <c r="T1915" s="239"/>
      <c r="U1915" s="238"/>
      <c r="V1915" s="238"/>
      <c r="W1915" s="234"/>
      <c r="X1915" s="234"/>
      <c r="Y1915" s="234"/>
      <c r="Z1915" s="234"/>
      <c r="AA1915" s="234"/>
    </row>
    <row r="1916" ht="15.75" customHeight="1">
      <c r="A1916" s="91"/>
      <c r="G1916" s="91"/>
      <c r="H1916" s="242"/>
      <c r="I1916" s="91"/>
      <c r="J1916" s="234"/>
      <c r="K1916" s="243"/>
      <c r="L1916" s="236"/>
      <c r="M1916" s="236"/>
      <c r="N1916" s="236"/>
      <c r="O1916" s="244"/>
      <c r="P1916" s="244"/>
      <c r="Q1916" s="234"/>
      <c r="R1916" s="234"/>
      <c r="S1916" s="238"/>
      <c r="T1916" s="239"/>
      <c r="U1916" s="238"/>
      <c r="V1916" s="238"/>
      <c r="W1916" s="234"/>
      <c r="X1916" s="234"/>
      <c r="Y1916" s="234"/>
      <c r="Z1916" s="234"/>
      <c r="AA1916" s="234"/>
    </row>
    <row r="1917" ht="15.75" customHeight="1">
      <c r="A1917" s="91"/>
      <c r="G1917" s="91"/>
      <c r="H1917" s="242"/>
      <c r="I1917" s="91"/>
      <c r="J1917" s="234"/>
      <c r="K1917" s="243"/>
      <c r="L1917" s="236"/>
      <c r="M1917" s="236"/>
      <c r="N1917" s="236"/>
      <c r="O1917" s="244"/>
      <c r="P1917" s="244"/>
      <c r="Q1917" s="234"/>
      <c r="R1917" s="234"/>
      <c r="S1917" s="238"/>
      <c r="T1917" s="239"/>
      <c r="U1917" s="238"/>
      <c r="V1917" s="238"/>
      <c r="W1917" s="234"/>
      <c r="X1917" s="234"/>
      <c r="Y1917" s="234"/>
      <c r="Z1917" s="234"/>
      <c r="AA1917" s="234"/>
    </row>
    <row r="1918" ht="15.75" customHeight="1">
      <c r="A1918" s="91"/>
      <c r="G1918" s="91"/>
      <c r="H1918" s="242"/>
      <c r="I1918" s="91"/>
      <c r="J1918" s="234"/>
      <c r="K1918" s="243"/>
      <c r="L1918" s="236"/>
      <c r="M1918" s="236"/>
      <c r="N1918" s="236"/>
      <c r="O1918" s="244"/>
      <c r="P1918" s="244"/>
      <c r="Q1918" s="234"/>
      <c r="R1918" s="234"/>
      <c r="S1918" s="238"/>
      <c r="T1918" s="239"/>
      <c r="U1918" s="238"/>
      <c r="V1918" s="238"/>
      <c r="W1918" s="234"/>
      <c r="X1918" s="234"/>
      <c r="Y1918" s="234"/>
      <c r="Z1918" s="234"/>
      <c r="AA1918" s="234"/>
    </row>
    <row r="1919" ht="15.75" customHeight="1">
      <c r="A1919" s="91"/>
      <c r="G1919" s="91"/>
      <c r="H1919" s="242"/>
      <c r="I1919" s="91"/>
      <c r="J1919" s="234"/>
      <c r="K1919" s="243"/>
      <c r="L1919" s="236"/>
      <c r="M1919" s="236"/>
      <c r="N1919" s="236"/>
      <c r="O1919" s="244"/>
      <c r="P1919" s="244"/>
      <c r="Q1919" s="234"/>
      <c r="R1919" s="234"/>
      <c r="S1919" s="238"/>
      <c r="T1919" s="239"/>
      <c r="U1919" s="238"/>
      <c r="V1919" s="238"/>
      <c r="W1919" s="234"/>
      <c r="X1919" s="234"/>
      <c r="Y1919" s="234"/>
      <c r="Z1919" s="234"/>
      <c r="AA1919" s="234"/>
    </row>
    <row r="1920" ht="15.75" customHeight="1">
      <c r="A1920" s="91"/>
      <c r="G1920" s="91"/>
      <c r="H1920" s="242"/>
      <c r="I1920" s="91"/>
      <c r="J1920" s="234"/>
      <c r="K1920" s="243"/>
      <c r="L1920" s="236"/>
      <c r="M1920" s="236"/>
      <c r="N1920" s="236"/>
      <c r="O1920" s="244"/>
      <c r="P1920" s="244"/>
      <c r="Q1920" s="234"/>
      <c r="R1920" s="234"/>
      <c r="S1920" s="238"/>
      <c r="T1920" s="239"/>
      <c r="U1920" s="238"/>
      <c r="V1920" s="238"/>
      <c r="W1920" s="234"/>
      <c r="X1920" s="234"/>
      <c r="Y1920" s="234"/>
      <c r="Z1920" s="234"/>
      <c r="AA1920" s="234"/>
    </row>
    <row r="1921" ht="15.75" customHeight="1">
      <c r="A1921" s="91"/>
      <c r="G1921" s="91"/>
      <c r="H1921" s="242"/>
      <c r="I1921" s="91"/>
      <c r="J1921" s="234"/>
      <c r="K1921" s="243"/>
      <c r="L1921" s="236"/>
      <c r="M1921" s="236"/>
      <c r="N1921" s="236"/>
      <c r="O1921" s="244"/>
      <c r="P1921" s="244"/>
      <c r="Q1921" s="234"/>
      <c r="R1921" s="234"/>
      <c r="S1921" s="238"/>
      <c r="T1921" s="239"/>
      <c r="U1921" s="238"/>
      <c r="V1921" s="238"/>
      <c r="W1921" s="234"/>
      <c r="X1921" s="234"/>
      <c r="Y1921" s="234"/>
      <c r="Z1921" s="234"/>
      <c r="AA1921" s="234"/>
    </row>
    <row r="1922" ht="15.75" customHeight="1">
      <c r="A1922" s="91"/>
      <c r="G1922" s="91"/>
      <c r="H1922" s="242"/>
      <c r="I1922" s="91"/>
      <c r="J1922" s="234"/>
      <c r="K1922" s="243"/>
      <c r="L1922" s="236"/>
      <c r="M1922" s="236"/>
      <c r="N1922" s="236"/>
      <c r="O1922" s="244"/>
      <c r="P1922" s="244"/>
      <c r="Q1922" s="234"/>
      <c r="R1922" s="234"/>
      <c r="S1922" s="238"/>
      <c r="T1922" s="239"/>
      <c r="U1922" s="238"/>
      <c r="V1922" s="238"/>
      <c r="W1922" s="234"/>
      <c r="X1922" s="234"/>
      <c r="Y1922" s="234"/>
      <c r="Z1922" s="234"/>
      <c r="AA1922" s="234"/>
    </row>
    <row r="1923" ht="15.75" customHeight="1">
      <c r="A1923" s="91"/>
      <c r="G1923" s="91"/>
      <c r="H1923" s="242"/>
      <c r="I1923" s="61" t="s">
        <v>0</v>
      </c>
      <c r="J1923" s="234"/>
      <c r="K1923" s="243"/>
      <c r="L1923" s="236"/>
      <c r="M1923" s="236"/>
      <c r="N1923" s="236"/>
      <c r="O1923" s="244"/>
      <c r="P1923" s="244"/>
      <c r="Q1923" s="234"/>
      <c r="R1923" s="234"/>
      <c r="S1923" s="238"/>
      <c r="T1923" s="239"/>
      <c r="U1923" s="238"/>
      <c r="V1923" s="238"/>
      <c r="W1923" s="234"/>
      <c r="X1923" s="234"/>
      <c r="Y1923" s="234"/>
      <c r="Z1923" s="234"/>
      <c r="AA1923" s="234"/>
    </row>
  </sheetData>
  <autoFilter ref="$A$1:$AA$983"/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9.57"/>
    <col customWidth="1" min="2" max="2" width="18.43"/>
    <col customWidth="1" min="3" max="3" width="16.43"/>
    <col customWidth="1" min="4" max="4" width="18.43"/>
    <col customWidth="1" min="5" max="5" width="31.43"/>
    <col customWidth="1" min="6" max="6" width="7.14"/>
    <col customWidth="1" min="7" max="7" width="10.14"/>
    <col customWidth="1" min="8" max="8" width="11.43"/>
    <col customWidth="1" min="9" max="9" width="13.0"/>
    <col customWidth="1" min="10" max="10" width="13.29"/>
    <col customWidth="1" min="11" max="11" width="12.43"/>
    <col customWidth="1" min="12" max="12" width="15.14"/>
    <col customWidth="1" min="13" max="13" width="13.43"/>
    <col customWidth="1" min="14" max="14" width="17.43"/>
    <col customWidth="1" min="15" max="15" width="15.71"/>
    <col customWidth="1" min="16" max="16" width="11.14"/>
    <col customWidth="1" min="17" max="17" width="14.0"/>
    <col customWidth="1" min="18" max="18" width="11.43"/>
    <col customWidth="1" min="19" max="19" width="13.43"/>
    <col customWidth="1" min="20" max="20" width="19.29"/>
    <col customWidth="1" min="21" max="21" width="15.0"/>
    <col customWidth="1" min="22" max="22" width="15.29"/>
    <col customWidth="1" min="23" max="23" width="18.43"/>
    <col customWidth="1" min="24" max="24" width="15.14"/>
    <col customWidth="1" min="25" max="25" width="17.29"/>
    <col customWidth="1" min="26" max="26" width="18.43"/>
    <col customWidth="1" min="27" max="27" width="18.57"/>
    <col customWidth="1" min="28" max="28" width="10.29"/>
    <col customWidth="1" min="29" max="29" width="17.0"/>
    <col customWidth="1" min="30" max="30" width="18.71"/>
    <col customWidth="1" min="31" max="36" width="12.29"/>
    <col customWidth="1" min="37" max="37" width="13.71"/>
    <col customWidth="1" min="38" max="41" width="12.29"/>
  </cols>
  <sheetData>
    <row r="1" ht="43.5" customHeight="1">
      <c r="A1" s="1" t="s">
        <v>279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250" t="s">
        <v>9</v>
      </c>
      <c r="K1" s="6" t="s">
        <v>10</v>
      </c>
      <c r="L1" s="7" t="s">
        <v>11</v>
      </c>
      <c r="M1" s="573" t="s">
        <v>12</v>
      </c>
      <c r="N1" s="574" t="s">
        <v>13</v>
      </c>
      <c r="O1" s="575" t="s">
        <v>1969</v>
      </c>
      <c r="P1" s="575" t="s">
        <v>14</v>
      </c>
      <c r="Q1" s="576" t="s">
        <v>15</v>
      </c>
      <c r="R1" s="577" t="s">
        <v>16</v>
      </c>
      <c r="S1" s="576" t="s">
        <v>17</v>
      </c>
      <c r="T1" s="574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4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3" t="s">
        <v>29</v>
      </c>
      <c r="AF1" s="13" t="s">
        <v>30</v>
      </c>
      <c r="AG1" s="16" t="s">
        <v>31</v>
      </c>
      <c r="AH1" s="17" t="s">
        <v>32</v>
      </c>
      <c r="AI1" s="16" t="s">
        <v>33</v>
      </c>
      <c r="AJ1" s="16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8" t="s">
        <v>39</v>
      </c>
    </row>
    <row r="2" ht="15.75" customHeight="1">
      <c r="A2" s="69">
        <v>43334.0</v>
      </c>
      <c r="B2" s="144" t="s">
        <v>101</v>
      </c>
      <c r="C2" s="252"/>
      <c r="D2" s="252" t="s">
        <v>280</v>
      </c>
      <c r="E2" s="246" t="s">
        <v>281</v>
      </c>
      <c r="F2" s="253">
        <v>90.0</v>
      </c>
      <c r="G2" s="254">
        <v>2.6</v>
      </c>
      <c r="H2" s="255">
        <f t="shared" ref="H2:H19" si="1">G2*F2</f>
        <v>234</v>
      </c>
      <c r="I2" s="256" t="s">
        <v>171</v>
      </c>
      <c r="J2" s="403" t="s">
        <v>282</v>
      </c>
      <c r="K2" s="258" t="s">
        <v>1970</v>
      </c>
      <c r="L2" s="258">
        <v>43354.0</v>
      </c>
      <c r="M2" s="333" t="s">
        <v>1971</v>
      </c>
      <c r="N2" s="422" t="s">
        <v>1972</v>
      </c>
      <c r="O2" s="578"/>
      <c r="P2" s="578"/>
      <c r="Q2" s="578"/>
      <c r="R2" s="579"/>
      <c r="S2" s="579">
        <v>3780.0</v>
      </c>
      <c r="T2" s="310" t="s">
        <v>1973</v>
      </c>
      <c r="U2" s="259"/>
      <c r="V2" s="260">
        <v>43350.0</v>
      </c>
      <c r="W2" s="261" t="s">
        <v>283</v>
      </c>
      <c r="X2" s="261" t="s">
        <v>1974</v>
      </c>
      <c r="Y2" s="260">
        <v>43348.0</v>
      </c>
      <c r="Z2" s="580"/>
      <c r="AA2" s="331"/>
      <c r="AB2" s="331"/>
      <c r="AC2" s="331"/>
      <c r="AD2" s="331"/>
      <c r="AE2" s="253" t="s">
        <v>284</v>
      </c>
      <c r="AF2" s="253"/>
      <c r="AG2" s="262"/>
      <c r="AH2" s="263">
        <v>43469.0</v>
      </c>
      <c r="AI2" s="262"/>
      <c r="AJ2" s="262"/>
      <c r="AK2" s="253" t="s">
        <v>50</v>
      </c>
      <c r="AL2" s="253" t="s">
        <v>285</v>
      </c>
      <c r="AM2" s="253" t="s">
        <v>286</v>
      </c>
      <c r="AN2" s="253" t="s">
        <v>52</v>
      </c>
      <c r="AO2" s="264"/>
    </row>
    <row r="3" ht="15.75" customHeight="1">
      <c r="A3" s="69">
        <v>43349.0</v>
      </c>
      <c r="B3" s="265" t="s">
        <v>101</v>
      </c>
      <c r="C3" s="252" t="s">
        <v>287</v>
      </c>
      <c r="D3" s="252" t="s">
        <v>288</v>
      </c>
      <c r="E3" s="32" t="s">
        <v>289</v>
      </c>
      <c r="F3" s="266">
        <v>3.0</v>
      </c>
      <c r="G3" s="267">
        <v>847.0</v>
      </c>
      <c r="H3" s="268">
        <f t="shared" si="1"/>
        <v>2541</v>
      </c>
      <c r="I3" s="256" t="s">
        <v>171</v>
      </c>
      <c r="J3" s="269" t="s">
        <v>290</v>
      </c>
      <c r="K3" s="258">
        <v>43482.0</v>
      </c>
      <c r="L3" s="258">
        <v>43476.0</v>
      </c>
      <c r="M3" s="333" t="s">
        <v>1439</v>
      </c>
      <c r="N3" s="422" t="s">
        <v>1975</v>
      </c>
      <c r="O3" s="268"/>
      <c r="P3" s="268"/>
      <c r="Q3" s="268">
        <v>2583.0</v>
      </c>
      <c r="R3" s="330"/>
      <c r="S3" s="330">
        <f>79911-484</f>
        <v>79427</v>
      </c>
      <c r="T3" s="320" t="s">
        <v>1976</v>
      </c>
      <c r="U3" s="270">
        <v>43524.0</v>
      </c>
      <c r="V3" s="271">
        <v>43475.0</v>
      </c>
      <c r="W3" s="261" t="s">
        <v>291</v>
      </c>
      <c r="X3" s="272">
        <v>79911.0</v>
      </c>
      <c r="Y3" s="260">
        <v>43524.0</v>
      </c>
      <c r="Z3" s="581" t="s">
        <v>1977</v>
      </c>
      <c r="AA3" s="581">
        <v>3.393663825E9</v>
      </c>
      <c r="AB3" s="331"/>
      <c r="AC3" s="331"/>
      <c r="AD3" s="331"/>
      <c r="AE3" s="253" t="s">
        <v>284</v>
      </c>
      <c r="AF3" s="253"/>
      <c r="AG3" s="262"/>
      <c r="AH3" s="263">
        <v>43530.0</v>
      </c>
      <c r="AI3" s="262"/>
      <c r="AJ3" s="262"/>
      <c r="AK3" s="253" t="s">
        <v>50</v>
      </c>
      <c r="AL3" s="253" t="s">
        <v>285</v>
      </c>
      <c r="AM3" s="253" t="s">
        <v>51</v>
      </c>
      <c r="AN3" s="253" t="s">
        <v>52</v>
      </c>
      <c r="AO3" s="264"/>
    </row>
    <row r="4" ht="15.75" customHeight="1">
      <c r="A4" s="69">
        <v>43349.0</v>
      </c>
      <c r="B4" s="265" t="s">
        <v>101</v>
      </c>
      <c r="C4" s="252" t="s">
        <v>287</v>
      </c>
      <c r="D4" s="252" t="s">
        <v>288</v>
      </c>
      <c r="E4" s="35" t="s">
        <v>292</v>
      </c>
      <c r="F4" s="266">
        <v>3.0</v>
      </c>
      <c r="G4" s="267">
        <v>2.0</v>
      </c>
      <c r="H4" s="268">
        <f t="shared" si="1"/>
        <v>6</v>
      </c>
      <c r="I4" s="256" t="s">
        <v>171</v>
      </c>
      <c r="J4" s="269" t="s">
        <v>290</v>
      </c>
      <c r="K4" s="258">
        <v>43482.0</v>
      </c>
      <c r="L4" s="258">
        <v>43476.0</v>
      </c>
      <c r="M4" s="333" t="s">
        <v>1439</v>
      </c>
      <c r="N4" s="422" t="s">
        <v>1975</v>
      </c>
      <c r="O4" s="268"/>
      <c r="P4" s="268"/>
      <c r="Q4" s="268">
        <v>15.75</v>
      </c>
      <c r="R4" s="330"/>
      <c r="S4" s="330">
        <v>484.0</v>
      </c>
      <c r="T4" s="320" t="s">
        <v>1976</v>
      </c>
      <c r="U4" s="270">
        <v>43524.0</v>
      </c>
      <c r="V4" s="271">
        <v>43475.0</v>
      </c>
      <c r="W4" s="261" t="s">
        <v>291</v>
      </c>
      <c r="X4" s="261" t="s">
        <v>1978</v>
      </c>
      <c r="Y4" s="260">
        <v>43524.0</v>
      </c>
      <c r="Z4" s="581" t="s">
        <v>1977</v>
      </c>
      <c r="AA4" s="581">
        <v>3.393663825E9</v>
      </c>
      <c r="AB4" s="331"/>
      <c r="AC4" s="331"/>
      <c r="AD4" s="331"/>
      <c r="AE4" s="253" t="s">
        <v>284</v>
      </c>
      <c r="AF4" s="253"/>
      <c r="AG4" s="262"/>
      <c r="AH4" s="263">
        <v>43530.0</v>
      </c>
      <c r="AI4" s="262"/>
      <c r="AJ4" s="262"/>
      <c r="AK4" s="253" t="s">
        <v>50</v>
      </c>
      <c r="AL4" s="253" t="s">
        <v>285</v>
      </c>
      <c r="AM4" s="253" t="s">
        <v>51</v>
      </c>
      <c r="AN4" s="253" t="s">
        <v>52</v>
      </c>
      <c r="AO4" s="264"/>
    </row>
    <row r="5" ht="15.75" customHeight="1">
      <c r="A5" s="273">
        <v>429.0</v>
      </c>
      <c r="B5" s="265" t="s">
        <v>101</v>
      </c>
      <c r="C5" s="252" t="s">
        <v>287</v>
      </c>
      <c r="D5" s="252" t="s">
        <v>288</v>
      </c>
      <c r="E5" s="32" t="s">
        <v>293</v>
      </c>
      <c r="F5" s="266">
        <v>3.0</v>
      </c>
      <c r="G5" s="267">
        <v>84.7</v>
      </c>
      <c r="H5" s="268">
        <f t="shared" si="1"/>
        <v>254.1</v>
      </c>
      <c r="I5" s="256" t="s">
        <v>171</v>
      </c>
      <c r="J5" s="269" t="s">
        <v>290</v>
      </c>
      <c r="K5" s="258">
        <v>43482.0</v>
      </c>
      <c r="L5" s="258">
        <v>43476.0</v>
      </c>
      <c r="M5" s="333" t="s">
        <v>1439</v>
      </c>
      <c r="N5" s="422" t="s">
        <v>1975</v>
      </c>
      <c r="O5" s="267"/>
      <c r="P5" s="267"/>
      <c r="Q5" s="267" t="s">
        <v>1979</v>
      </c>
      <c r="R5" s="330"/>
      <c r="S5" s="330">
        <v>0.0</v>
      </c>
      <c r="T5" s="320" t="s">
        <v>1976</v>
      </c>
      <c r="U5" s="270">
        <v>43524.0</v>
      </c>
      <c r="V5" s="271">
        <v>43475.0</v>
      </c>
      <c r="W5" s="261" t="s">
        <v>291</v>
      </c>
      <c r="X5" s="261" t="s">
        <v>1978</v>
      </c>
      <c r="Y5" s="260">
        <v>43524.0</v>
      </c>
      <c r="Z5" s="581" t="s">
        <v>1977</v>
      </c>
      <c r="AA5" s="581">
        <v>3.393663825E9</v>
      </c>
      <c r="AB5" s="331"/>
      <c r="AC5" s="331"/>
      <c r="AD5" s="331"/>
      <c r="AE5" s="253" t="s">
        <v>284</v>
      </c>
      <c r="AF5" s="253"/>
      <c r="AG5" s="262"/>
      <c r="AH5" s="263">
        <v>43530.0</v>
      </c>
      <c r="AI5" s="262"/>
      <c r="AJ5" s="262"/>
      <c r="AK5" s="253" t="s">
        <v>50</v>
      </c>
      <c r="AL5" s="253" t="s">
        <v>285</v>
      </c>
      <c r="AM5" s="253" t="s">
        <v>51</v>
      </c>
      <c r="AN5" s="253" t="s">
        <v>52</v>
      </c>
      <c r="AO5" s="264"/>
    </row>
    <row r="6" ht="15.75" customHeight="1">
      <c r="A6" s="274">
        <v>43390.0</v>
      </c>
      <c r="B6" s="275" t="s">
        <v>77</v>
      </c>
      <c r="C6" s="276">
        <v>1042.0</v>
      </c>
      <c r="D6" s="277" t="s">
        <v>294</v>
      </c>
      <c r="E6" s="278" t="s">
        <v>295</v>
      </c>
      <c r="F6" s="279"/>
      <c r="G6" s="280">
        <v>503.0</v>
      </c>
      <c r="H6" s="281">
        <f t="shared" si="1"/>
        <v>0</v>
      </c>
      <c r="I6" s="282" t="s">
        <v>43</v>
      </c>
      <c r="J6" s="283" t="s">
        <v>71</v>
      </c>
      <c r="K6" s="284" t="s">
        <v>71</v>
      </c>
      <c r="L6" s="291"/>
      <c r="M6" s="283"/>
      <c r="N6" s="276"/>
      <c r="O6" s="582"/>
      <c r="P6" s="582"/>
      <c r="Q6" s="582"/>
      <c r="R6" s="583"/>
      <c r="S6" s="583"/>
      <c r="T6" s="584"/>
      <c r="U6" s="285"/>
      <c r="V6" s="286"/>
      <c r="W6" s="286"/>
      <c r="X6" s="286"/>
      <c r="Y6" s="286"/>
      <c r="Z6" s="585"/>
      <c r="AA6" s="286"/>
      <c r="AB6" s="286"/>
      <c r="AC6" s="286"/>
      <c r="AD6" s="286"/>
      <c r="AE6" s="279"/>
      <c r="AF6" s="279"/>
      <c r="AG6" s="287"/>
      <c r="AH6" s="279" t="s">
        <v>1227</v>
      </c>
      <c r="AI6" s="287"/>
      <c r="AJ6" s="287"/>
      <c r="AK6" s="279" t="s">
        <v>50</v>
      </c>
      <c r="AL6" s="279" t="s">
        <v>296</v>
      </c>
      <c r="AM6" s="279" t="s">
        <v>286</v>
      </c>
      <c r="AN6" s="279" t="s">
        <v>52</v>
      </c>
      <c r="AO6" s="288"/>
    </row>
    <row r="7" ht="15.75" customHeight="1">
      <c r="A7" s="274">
        <v>43390.0</v>
      </c>
      <c r="B7" s="275" t="s">
        <v>77</v>
      </c>
      <c r="C7" s="276">
        <v>1042.0</v>
      </c>
      <c r="D7" s="277" t="s">
        <v>294</v>
      </c>
      <c r="E7" s="278" t="s">
        <v>297</v>
      </c>
      <c r="F7" s="279"/>
      <c r="G7" s="280">
        <v>20.0</v>
      </c>
      <c r="H7" s="289">
        <f t="shared" si="1"/>
        <v>0</v>
      </c>
      <c r="I7" s="282" t="s">
        <v>43</v>
      </c>
      <c r="J7" s="290" t="s">
        <v>71</v>
      </c>
      <c r="K7" s="284" t="s">
        <v>71</v>
      </c>
      <c r="L7" s="291"/>
      <c r="M7" s="283"/>
      <c r="N7" s="276"/>
      <c r="O7" s="582"/>
      <c r="P7" s="582"/>
      <c r="Q7" s="582"/>
      <c r="R7" s="583"/>
      <c r="S7" s="583"/>
      <c r="T7" s="586"/>
      <c r="U7" s="277"/>
      <c r="V7" s="286"/>
      <c r="W7" s="286"/>
      <c r="X7" s="286"/>
      <c r="Y7" s="286"/>
      <c r="Z7" s="585"/>
      <c r="AA7" s="286"/>
      <c r="AB7" s="286"/>
      <c r="AC7" s="286"/>
      <c r="AD7" s="286"/>
      <c r="AE7" s="279"/>
      <c r="AF7" s="279"/>
      <c r="AG7" s="287"/>
      <c r="AH7" s="279" t="s">
        <v>1227</v>
      </c>
      <c r="AI7" s="287"/>
      <c r="AJ7" s="287"/>
      <c r="AK7" s="279" t="s">
        <v>50</v>
      </c>
      <c r="AL7" s="279" t="s">
        <v>296</v>
      </c>
      <c r="AM7" s="279" t="s">
        <v>286</v>
      </c>
      <c r="AN7" s="279" t="s">
        <v>52</v>
      </c>
      <c r="AO7" s="288"/>
    </row>
    <row r="8" ht="15.75" customHeight="1">
      <c r="A8" s="274">
        <v>43390.0</v>
      </c>
      <c r="B8" s="275" t="s">
        <v>77</v>
      </c>
      <c r="C8" s="276">
        <v>1042.0</v>
      </c>
      <c r="D8" s="277" t="s">
        <v>298</v>
      </c>
      <c r="E8" s="278" t="s">
        <v>295</v>
      </c>
      <c r="F8" s="279"/>
      <c r="G8" s="280">
        <v>503.0</v>
      </c>
      <c r="H8" s="289">
        <f t="shared" si="1"/>
        <v>0</v>
      </c>
      <c r="I8" s="282" t="s">
        <v>43</v>
      </c>
      <c r="J8" s="290" t="s">
        <v>299</v>
      </c>
      <c r="K8" s="291" t="s">
        <v>71</v>
      </c>
      <c r="L8" s="291"/>
      <c r="M8" s="283"/>
      <c r="N8" s="276"/>
      <c r="O8" s="582"/>
      <c r="P8" s="582"/>
      <c r="Q8" s="582"/>
      <c r="R8" s="583"/>
      <c r="S8" s="583"/>
      <c r="T8" s="586"/>
      <c r="U8" s="277"/>
      <c r="V8" s="286"/>
      <c r="W8" s="286"/>
      <c r="X8" s="286"/>
      <c r="Y8" s="286"/>
      <c r="Z8" s="585"/>
      <c r="AA8" s="286"/>
      <c r="AB8" s="286"/>
      <c r="AC8" s="286"/>
      <c r="AD8" s="286"/>
      <c r="AE8" s="279"/>
      <c r="AF8" s="279"/>
      <c r="AG8" s="287"/>
      <c r="AH8" s="279" t="s">
        <v>1227</v>
      </c>
      <c r="AI8" s="287"/>
      <c r="AJ8" s="287"/>
      <c r="AK8" s="279" t="s">
        <v>50</v>
      </c>
      <c r="AL8" s="279" t="s">
        <v>296</v>
      </c>
      <c r="AM8" s="279" t="s">
        <v>286</v>
      </c>
      <c r="AN8" s="279" t="s">
        <v>52</v>
      </c>
      <c r="AO8" s="288"/>
    </row>
    <row r="9" ht="15.75" customHeight="1">
      <c r="A9" s="274">
        <v>43390.0</v>
      </c>
      <c r="B9" s="275" t="s">
        <v>77</v>
      </c>
      <c r="C9" s="276">
        <v>1042.0</v>
      </c>
      <c r="D9" s="277" t="s">
        <v>298</v>
      </c>
      <c r="E9" s="278" t="s">
        <v>297</v>
      </c>
      <c r="F9" s="279"/>
      <c r="G9" s="280">
        <v>20.0</v>
      </c>
      <c r="H9" s="289">
        <f t="shared" si="1"/>
        <v>0</v>
      </c>
      <c r="I9" s="282" t="s">
        <v>43</v>
      </c>
      <c r="J9" s="290" t="s">
        <v>71</v>
      </c>
      <c r="K9" s="291" t="s">
        <v>71</v>
      </c>
      <c r="L9" s="291"/>
      <c r="M9" s="283"/>
      <c r="N9" s="276"/>
      <c r="O9" s="582"/>
      <c r="P9" s="582"/>
      <c r="Q9" s="582"/>
      <c r="R9" s="583"/>
      <c r="S9" s="583"/>
      <c r="T9" s="586"/>
      <c r="U9" s="277"/>
      <c r="V9" s="286"/>
      <c r="W9" s="286"/>
      <c r="X9" s="286"/>
      <c r="Y9" s="286"/>
      <c r="Z9" s="585"/>
      <c r="AA9" s="286"/>
      <c r="AB9" s="286"/>
      <c r="AC9" s="286"/>
      <c r="AD9" s="286"/>
      <c r="AE9" s="279"/>
      <c r="AF9" s="279"/>
      <c r="AG9" s="287"/>
      <c r="AH9" s="279" t="s">
        <v>1227</v>
      </c>
      <c r="AI9" s="287"/>
      <c r="AJ9" s="287"/>
      <c r="AK9" s="279" t="s">
        <v>50</v>
      </c>
      <c r="AL9" s="279" t="s">
        <v>296</v>
      </c>
      <c r="AM9" s="279" t="s">
        <v>286</v>
      </c>
      <c r="AN9" s="279" t="s">
        <v>52</v>
      </c>
      <c r="AO9" s="288"/>
    </row>
    <row r="10" ht="33.75" customHeight="1">
      <c r="A10" s="69">
        <v>43395.0</v>
      </c>
      <c r="B10" s="70" t="s">
        <v>101</v>
      </c>
      <c r="C10" s="292" t="s">
        <v>300</v>
      </c>
      <c r="D10" s="21" t="s">
        <v>1980</v>
      </c>
      <c r="E10" s="246" t="s">
        <v>302</v>
      </c>
      <c r="F10" s="54">
        <v>10.0</v>
      </c>
      <c r="G10" s="48">
        <v>85.0</v>
      </c>
      <c r="H10" s="26">
        <f t="shared" si="1"/>
        <v>850</v>
      </c>
      <c r="I10" s="61" t="s">
        <v>303</v>
      </c>
      <c r="J10" s="293" t="s">
        <v>71</v>
      </c>
      <c r="K10" s="30">
        <v>43536.0</v>
      </c>
      <c r="L10" s="30">
        <v>43430.0</v>
      </c>
      <c r="M10" s="431" t="s">
        <v>1981</v>
      </c>
      <c r="N10" s="32" t="s">
        <v>1982</v>
      </c>
      <c r="O10" s="587"/>
      <c r="P10" s="587"/>
      <c r="Q10" s="587"/>
      <c r="R10" s="588"/>
      <c r="S10" s="588">
        <v>50221.0</v>
      </c>
      <c r="T10" s="35" t="s">
        <v>1983</v>
      </c>
      <c r="U10" s="294">
        <v>43450.0</v>
      </c>
      <c r="V10" s="295">
        <v>43420.0</v>
      </c>
      <c r="W10" s="296" t="s">
        <v>304</v>
      </c>
      <c r="X10" s="297">
        <v>62685.0</v>
      </c>
      <c r="Y10" s="295">
        <v>43445.0</v>
      </c>
      <c r="Z10" s="306" t="s">
        <v>1984</v>
      </c>
      <c r="AA10" s="306">
        <v>3.4557796E9</v>
      </c>
      <c r="AB10" s="306"/>
      <c r="AC10" s="306"/>
      <c r="AD10" s="306"/>
      <c r="AE10" s="298"/>
      <c r="AF10" s="298">
        <v>30.79</v>
      </c>
      <c r="AG10" s="299"/>
      <c r="AH10" s="300">
        <v>43587.0</v>
      </c>
      <c r="AI10" s="299">
        <f>21441.77*30.84</f>
        <v>661264.1868</v>
      </c>
      <c r="AJ10" s="299">
        <f>(10+10.73)*30.84</f>
        <v>639.3132</v>
      </c>
      <c r="AK10" s="298" t="s">
        <v>50</v>
      </c>
      <c r="AL10" s="24" t="s">
        <v>285</v>
      </c>
      <c r="AM10" s="298" t="s">
        <v>286</v>
      </c>
      <c r="AN10" s="298" t="s">
        <v>52</v>
      </c>
      <c r="AO10" s="234" t="s">
        <v>305</v>
      </c>
    </row>
    <row r="11" ht="15.75" customHeight="1">
      <c r="A11" s="69">
        <v>43395.0</v>
      </c>
      <c r="B11" s="70" t="s">
        <v>101</v>
      </c>
      <c r="C11" s="292" t="s">
        <v>300</v>
      </c>
      <c r="D11" s="303" t="s">
        <v>1980</v>
      </c>
      <c r="E11" s="246" t="s">
        <v>1985</v>
      </c>
      <c r="F11" s="54">
        <v>10.0</v>
      </c>
      <c r="G11" s="48">
        <v>847.0</v>
      </c>
      <c r="H11" s="26">
        <f t="shared" si="1"/>
        <v>8470</v>
      </c>
      <c r="I11" s="61" t="s">
        <v>303</v>
      </c>
      <c r="J11" s="293" t="s">
        <v>71</v>
      </c>
      <c r="K11" s="30">
        <v>43536.0</v>
      </c>
      <c r="L11" s="30">
        <v>43532.0</v>
      </c>
      <c r="M11" s="31" t="s">
        <v>1439</v>
      </c>
      <c r="N11" s="32" t="s">
        <v>1986</v>
      </c>
      <c r="O11" s="587"/>
      <c r="P11" s="587"/>
      <c r="Q11" s="587">
        <v>8610.0</v>
      </c>
      <c r="R11" s="588"/>
      <c r="S11" s="588">
        <v>265188.0</v>
      </c>
      <c r="T11" s="20" t="s">
        <v>1976</v>
      </c>
      <c r="U11" s="294">
        <v>43585.0</v>
      </c>
      <c r="V11" s="295">
        <v>43531.0</v>
      </c>
      <c r="W11" s="296" t="s">
        <v>308</v>
      </c>
      <c r="X11" s="297">
        <v>266805.0</v>
      </c>
      <c r="Y11" s="302">
        <v>43586.0</v>
      </c>
      <c r="Z11" s="306" t="s">
        <v>1984</v>
      </c>
      <c r="AA11" s="306">
        <v>3.4557796E9</v>
      </c>
      <c r="AB11" s="306"/>
      <c r="AC11" s="306"/>
      <c r="AD11" s="306"/>
      <c r="AE11" s="298"/>
      <c r="AF11" s="298">
        <v>30.79</v>
      </c>
      <c r="AG11" s="299"/>
      <c r="AH11" s="300">
        <v>43587.0</v>
      </c>
      <c r="AI11" s="299" t="s">
        <v>1987</v>
      </c>
      <c r="AJ11" s="299" t="s">
        <v>1988</v>
      </c>
      <c r="AK11" s="298" t="s">
        <v>50</v>
      </c>
      <c r="AL11" s="24" t="s">
        <v>285</v>
      </c>
      <c r="AM11" s="298" t="s">
        <v>286</v>
      </c>
      <c r="AN11" s="298" t="s">
        <v>52</v>
      </c>
      <c r="AO11" s="234" t="s">
        <v>305</v>
      </c>
    </row>
    <row r="12" ht="42.75" customHeight="1">
      <c r="A12" s="69">
        <v>43395.0</v>
      </c>
      <c r="B12" s="70" t="s">
        <v>101</v>
      </c>
      <c r="C12" s="292" t="s">
        <v>300</v>
      </c>
      <c r="D12" s="21" t="s">
        <v>309</v>
      </c>
      <c r="E12" s="246" t="s">
        <v>310</v>
      </c>
      <c r="F12" s="54">
        <v>10.0</v>
      </c>
      <c r="G12" s="48">
        <v>6.0</v>
      </c>
      <c r="H12" s="26">
        <f t="shared" si="1"/>
        <v>60</v>
      </c>
      <c r="I12" s="61" t="s">
        <v>303</v>
      </c>
      <c r="J12" s="293" t="s">
        <v>71</v>
      </c>
      <c r="K12" s="30">
        <v>43536.0</v>
      </c>
      <c r="L12" s="30">
        <v>43532.0</v>
      </c>
      <c r="M12" s="31" t="s">
        <v>1439</v>
      </c>
      <c r="N12" s="23" t="s">
        <v>1986</v>
      </c>
      <c r="O12" s="589"/>
      <c r="P12" s="589"/>
      <c r="Q12" s="587">
        <v>52.5</v>
      </c>
      <c r="R12" s="588"/>
      <c r="S12" s="588">
        <v>1617.0</v>
      </c>
      <c r="T12" s="22" t="s">
        <v>1976</v>
      </c>
      <c r="U12" s="294">
        <v>43585.0</v>
      </c>
      <c r="V12" s="295">
        <v>43531.0</v>
      </c>
      <c r="W12" s="296" t="s">
        <v>308</v>
      </c>
      <c r="X12" s="296" t="s">
        <v>1989</v>
      </c>
      <c r="Y12" s="302">
        <v>43586.0</v>
      </c>
      <c r="Z12" s="306" t="s">
        <v>1984</v>
      </c>
      <c r="AA12" s="306">
        <v>3.4557796E9</v>
      </c>
      <c r="AB12" s="306"/>
      <c r="AC12" s="306"/>
      <c r="AD12" s="306"/>
      <c r="AE12" s="298"/>
      <c r="AF12" s="298">
        <v>30.79</v>
      </c>
      <c r="AG12" s="299"/>
      <c r="AH12" s="300">
        <v>43587.0</v>
      </c>
      <c r="AI12" s="299" t="s">
        <v>1987</v>
      </c>
      <c r="AJ12" s="299" t="s">
        <v>1988</v>
      </c>
      <c r="AK12" s="298" t="s">
        <v>50</v>
      </c>
      <c r="AL12" s="24" t="s">
        <v>285</v>
      </c>
      <c r="AM12" s="298" t="s">
        <v>286</v>
      </c>
      <c r="AN12" s="298" t="s">
        <v>52</v>
      </c>
      <c r="AO12" s="234" t="s">
        <v>305</v>
      </c>
    </row>
    <row r="13" ht="15.75" customHeight="1">
      <c r="A13" s="69">
        <v>43395.0</v>
      </c>
      <c r="B13" s="70" t="s">
        <v>101</v>
      </c>
      <c r="C13" s="292" t="s">
        <v>300</v>
      </c>
      <c r="D13" s="21" t="s">
        <v>309</v>
      </c>
      <c r="E13" s="246" t="s">
        <v>293</v>
      </c>
      <c r="F13" s="54">
        <v>10.0</v>
      </c>
      <c r="G13" s="48">
        <v>84.7</v>
      </c>
      <c r="H13" s="26">
        <f t="shared" si="1"/>
        <v>847</v>
      </c>
      <c r="I13" s="61" t="s">
        <v>303</v>
      </c>
      <c r="J13" s="293" t="s">
        <v>71</v>
      </c>
      <c r="K13" s="30">
        <v>43536.0</v>
      </c>
      <c r="L13" s="30">
        <v>43532.0</v>
      </c>
      <c r="M13" s="31" t="s">
        <v>1439</v>
      </c>
      <c r="N13" s="32" t="s">
        <v>1986</v>
      </c>
      <c r="O13" s="47"/>
      <c r="P13" s="47"/>
      <c r="Q13" s="47" t="s">
        <v>1990</v>
      </c>
      <c r="R13" s="588"/>
      <c r="S13" s="588">
        <v>0.0</v>
      </c>
      <c r="T13" s="20" t="s">
        <v>1976</v>
      </c>
      <c r="U13" s="294">
        <v>43585.0</v>
      </c>
      <c r="V13" s="295">
        <v>43531.0</v>
      </c>
      <c r="W13" s="296" t="s">
        <v>308</v>
      </c>
      <c r="X13" s="296" t="s">
        <v>1989</v>
      </c>
      <c r="Y13" s="302">
        <v>43586.0</v>
      </c>
      <c r="Z13" s="306" t="s">
        <v>1984</v>
      </c>
      <c r="AA13" s="306">
        <v>3.4557796E9</v>
      </c>
      <c r="AB13" s="306"/>
      <c r="AC13" s="306"/>
      <c r="AD13" s="306"/>
      <c r="AE13" s="298"/>
      <c r="AF13" s="298">
        <v>30.79</v>
      </c>
      <c r="AG13" s="299"/>
      <c r="AH13" s="300">
        <v>43587.0</v>
      </c>
      <c r="AI13" s="299" t="s">
        <v>1987</v>
      </c>
      <c r="AJ13" s="299" t="s">
        <v>1988</v>
      </c>
      <c r="AK13" s="298" t="s">
        <v>50</v>
      </c>
      <c r="AL13" s="24" t="s">
        <v>285</v>
      </c>
      <c r="AM13" s="298" t="s">
        <v>286</v>
      </c>
      <c r="AN13" s="298" t="s">
        <v>52</v>
      </c>
      <c r="AO13" s="234" t="s">
        <v>305</v>
      </c>
    </row>
    <row r="14" ht="15.75" customHeight="1">
      <c r="A14" s="69">
        <v>43395.0</v>
      </c>
      <c r="B14" s="70" t="s">
        <v>101</v>
      </c>
      <c r="C14" s="292" t="s">
        <v>300</v>
      </c>
      <c r="D14" s="21" t="s">
        <v>311</v>
      </c>
      <c r="E14" s="246" t="s">
        <v>302</v>
      </c>
      <c r="F14" s="54">
        <v>10.0</v>
      </c>
      <c r="G14" s="48">
        <v>85.0</v>
      </c>
      <c r="H14" s="26">
        <f t="shared" si="1"/>
        <v>850</v>
      </c>
      <c r="I14" s="61" t="s">
        <v>303</v>
      </c>
      <c r="J14" s="293" t="s">
        <v>71</v>
      </c>
      <c r="K14" s="30">
        <v>43566.0</v>
      </c>
      <c r="L14" s="30">
        <v>43430.0</v>
      </c>
      <c r="M14" s="431" t="s">
        <v>1981</v>
      </c>
      <c r="N14" s="32" t="s">
        <v>1982</v>
      </c>
      <c r="O14" s="587"/>
      <c r="P14" s="587"/>
      <c r="Q14" s="587"/>
      <c r="R14" s="47"/>
      <c r="S14" s="47">
        <v>0.0</v>
      </c>
      <c r="T14" s="51" t="s">
        <v>1983</v>
      </c>
      <c r="U14" s="294">
        <v>43450.0</v>
      </c>
      <c r="V14" s="295">
        <v>43420.0</v>
      </c>
      <c r="W14" s="296" t="s">
        <v>304</v>
      </c>
      <c r="X14" s="297" t="s">
        <v>1991</v>
      </c>
      <c r="Y14" s="295">
        <v>43445.0</v>
      </c>
      <c r="Z14" s="306" t="s">
        <v>1992</v>
      </c>
      <c r="AA14" s="306">
        <v>4.16858911E9</v>
      </c>
      <c r="AB14" s="306"/>
      <c r="AC14" s="306"/>
      <c r="AD14" s="306"/>
      <c r="AE14" s="298"/>
      <c r="AF14" s="298">
        <v>30.77</v>
      </c>
      <c r="AG14" s="299">
        <f t="shared" ref="AG14:AG17" si="2">AF14*H14</f>
        <v>26154.5</v>
      </c>
      <c r="AH14" s="300">
        <v>43602.0</v>
      </c>
      <c r="AI14" s="299" t="s">
        <v>1993</v>
      </c>
      <c r="AJ14" s="299" t="s">
        <v>1994</v>
      </c>
      <c r="AK14" s="298" t="s">
        <v>50</v>
      </c>
      <c r="AL14" s="24" t="s">
        <v>285</v>
      </c>
      <c r="AM14" s="298" t="s">
        <v>286</v>
      </c>
      <c r="AN14" s="298" t="s">
        <v>52</v>
      </c>
      <c r="AO14" s="234" t="s">
        <v>305</v>
      </c>
    </row>
    <row r="15" ht="15.75" customHeight="1">
      <c r="A15" s="69">
        <v>43395.0</v>
      </c>
      <c r="B15" s="70" t="s">
        <v>101</v>
      </c>
      <c r="C15" s="292" t="s">
        <v>300</v>
      </c>
      <c r="D15" s="303" t="s">
        <v>311</v>
      </c>
      <c r="E15" s="246" t="s">
        <v>1995</v>
      </c>
      <c r="F15" s="54">
        <v>10.0</v>
      </c>
      <c r="G15" s="48">
        <v>847.0</v>
      </c>
      <c r="H15" s="26">
        <f t="shared" si="1"/>
        <v>8470</v>
      </c>
      <c r="I15" s="61" t="s">
        <v>303</v>
      </c>
      <c r="J15" s="58" t="s">
        <v>71</v>
      </c>
      <c r="K15" s="30">
        <v>43566.0</v>
      </c>
      <c r="L15" s="30">
        <v>43564.0</v>
      </c>
      <c r="M15" s="31" t="s">
        <v>1439</v>
      </c>
      <c r="N15" s="32" t="s">
        <v>1986</v>
      </c>
      <c r="O15" s="587"/>
      <c r="P15" s="587"/>
      <c r="Q15" s="587">
        <v>8610.0</v>
      </c>
      <c r="R15" s="408"/>
      <c r="S15" s="408">
        <v>265188.0</v>
      </c>
      <c r="T15" s="20" t="s">
        <v>1976</v>
      </c>
      <c r="U15" s="304">
        <v>43616.0</v>
      </c>
      <c r="V15" s="305">
        <v>43563.0</v>
      </c>
      <c r="W15" s="306" t="s">
        <v>313</v>
      </c>
      <c r="X15" s="306">
        <v>266805.0</v>
      </c>
      <c r="Y15" s="305">
        <v>43616.0</v>
      </c>
      <c r="Z15" s="306" t="s">
        <v>1992</v>
      </c>
      <c r="AA15" s="306">
        <v>4.16858911E9</v>
      </c>
      <c r="AB15" s="462">
        <v>43616.0</v>
      </c>
      <c r="AC15" s="306"/>
      <c r="AD15" s="306"/>
      <c r="AE15" s="298"/>
      <c r="AF15" s="298">
        <v>30.77</v>
      </c>
      <c r="AG15" s="299">
        <f t="shared" si="2"/>
        <v>260621.9</v>
      </c>
      <c r="AH15" s="300">
        <v>43602.0</v>
      </c>
      <c r="AI15" s="299">
        <f>19748.12*31.16</f>
        <v>615351.4192</v>
      </c>
      <c r="AJ15" s="299">
        <f>(19768-19748.12)*31.16</f>
        <v>619.4608</v>
      </c>
      <c r="AK15" s="298" t="s">
        <v>50</v>
      </c>
      <c r="AL15" s="24" t="s">
        <v>285</v>
      </c>
      <c r="AM15" s="298" t="s">
        <v>286</v>
      </c>
      <c r="AN15" s="298" t="s">
        <v>52</v>
      </c>
      <c r="AO15" s="234" t="s">
        <v>305</v>
      </c>
    </row>
    <row r="16" ht="15.75" customHeight="1">
      <c r="A16" s="69">
        <v>43395.0</v>
      </c>
      <c r="B16" s="70" t="s">
        <v>101</v>
      </c>
      <c r="C16" s="292" t="s">
        <v>300</v>
      </c>
      <c r="D16" s="21" t="s">
        <v>311</v>
      </c>
      <c r="E16" s="246" t="s">
        <v>310</v>
      </c>
      <c r="F16" s="54">
        <v>10.0</v>
      </c>
      <c r="G16" s="48">
        <v>6.0</v>
      </c>
      <c r="H16" s="26">
        <f t="shared" si="1"/>
        <v>60</v>
      </c>
      <c r="I16" s="61" t="s">
        <v>303</v>
      </c>
      <c r="J16" s="293" t="s">
        <v>71</v>
      </c>
      <c r="K16" s="30">
        <v>43566.0</v>
      </c>
      <c r="L16" s="30">
        <v>43564.0</v>
      </c>
      <c r="M16" s="31" t="s">
        <v>1439</v>
      </c>
      <c r="N16" s="32" t="s">
        <v>1986</v>
      </c>
      <c r="O16" s="587"/>
      <c r="P16" s="587"/>
      <c r="Q16" s="587">
        <v>52.5</v>
      </c>
      <c r="R16" s="408"/>
      <c r="S16" s="408">
        <v>1617.0</v>
      </c>
      <c r="T16" s="20" t="s">
        <v>1976</v>
      </c>
      <c r="U16" s="304">
        <v>43616.0</v>
      </c>
      <c r="V16" s="305">
        <v>43563.0</v>
      </c>
      <c r="W16" s="306" t="s">
        <v>313</v>
      </c>
      <c r="X16" s="306" t="s">
        <v>1996</v>
      </c>
      <c r="Y16" s="305">
        <v>43616.0</v>
      </c>
      <c r="Z16" s="306" t="s">
        <v>1992</v>
      </c>
      <c r="AA16" s="306">
        <v>4.16858911E9</v>
      </c>
      <c r="AB16" s="462">
        <v>43616.0</v>
      </c>
      <c r="AC16" s="306"/>
      <c r="AD16" s="306"/>
      <c r="AE16" s="298"/>
      <c r="AF16" s="298">
        <v>30.77</v>
      </c>
      <c r="AG16" s="299">
        <f t="shared" si="2"/>
        <v>1846.2</v>
      </c>
      <c r="AH16" s="300">
        <v>43602.0</v>
      </c>
      <c r="AI16" s="299" t="s">
        <v>1993</v>
      </c>
      <c r="AJ16" s="299" t="s">
        <v>1994</v>
      </c>
      <c r="AK16" s="298" t="s">
        <v>50</v>
      </c>
      <c r="AL16" s="24" t="s">
        <v>285</v>
      </c>
      <c r="AM16" s="298" t="s">
        <v>286</v>
      </c>
      <c r="AN16" s="298" t="s">
        <v>52</v>
      </c>
      <c r="AO16" s="234" t="s">
        <v>305</v>
      </c>
    </row>
    <row r="17" ht="15.75" customHeight="1">
      <c r="A17" s="69">
        <v>43395.0</v>
      </c>
      <c r="B17" s="70" t="s">
        <v>101</v>
      </c>
      <c r="C17" s="292" t="s">
        <v>300</v>
      </c>
      <c r="D17" s="21" t="s">
        <v>311</v>
      </c>
      <c r="E17" s="246" t="s">
        <v>293</v>
      </c>
      <c r="F17" s="54">
        <v>10.0</v>
      </c>
      <c r="G17" s="48">
        <v>84.7</v>
      </c>
      <c r="H17" s="26">
        <f t="shared" si="1"/>
        <v>847</v>
      </c>
      <c r="I17" s="61" t="s">
        <v>303</v>
      </c>
      <c r="J17" s="293" t="s">
        <v>71</v>
      </c>
      <c r="K17" s="30">
        <v>43566.0</v>
      </c>
      <c r="L17" s="30">
        <v>43564.0</v>
      </c>
      <c r="M17" s="31" t="s">
        <v>1439</v>
      </c>
      <c r="N17" s="23" t="s">
        <v>1986</v>
      </c>
      <c r="O17" s="590"/>
      <c r="P17" s="590"/>
      <c r="Q17" s="591" t="s">
        <v>1997</v>
      </c>
      <c r="R17" s="408"/>
      <c r="S17" s="408">
        <v>0.0</v>
      </c>
      <c r="T17" s="22" t="s">
        <v>1976</v>
      </c>
      <c r="U17" s="304">
        <v>43616.0</v>
      </c>
      <c r="V17" s="305">
        <v>43563.0</v>
      </c>
      <c r="W17" s="306" t="s">
        <v>313</v>
      </c>
      <c r="X17" s="306" t="s">
        <v>1996</v>
      </c>
      <c r="Y17" s="305">
        <v>43616.0</v>
      </c>
      <c r="Z17" s="306" t="s">
        <v>1992</v>
      </c>
      <c r="AA17" s="306">
        <v>4.16858911E9</v>
      </c>
      <c r="AB17" s="462">
        <v>43616.0</v>
      </c>
      <c r="AC17" s="306"/>
      <c r="AD17" s="306"/>
      <c r="AE17" s="298"/>
      <c r="AF17" s="298">
        <v>30.77</v>
      </c>
      <c r="AG17" s="299">
        <f t="shared" si="2"/>
        <v>26062.19</v>
      </c>
      <c r="AH17" s="300">
        <v>43602.0</v>
      </c>
      <c r="AI17" s="299" t="s">
        <v>1993</v>
      </c>
      <c r="AJ17" s="299" t="s">
        <v>1994</v>
      </c>
      <c r="AK17" s="298" t="s">
        <v>50</v>
      </c>
      <c r="AL17" s="24" t="s">
        <v>285</v>
      </c>
      <c r="AM17" s="298" t="s">
        <v>286</v>
      </c>
      <c r="AN17" s="298" t="s">
        <v>52</v>
      </c>
      <c r="AO17" s="234" t="s">
        <v>305</v>
      </c>
    </row>
    <row r="18" ht="15.75" customHeight="1">
      <c r="A18" s="69">
        <v>43399.0</v>
      </c>
      <c r="B18" s="265" t="s">
        <v>77</v>
      </c>
      <c r="C18" s="252">
        <v>1069.0</v>
      </c>
      <c r="D18" s="252" t="s">
        <v>314</v>
      </c>
      <c r="E18" s="246" t="s">
        <v>315</v>
      </c>
      <c r="F18" s="253">
        <v>20.0</v>
      </c>
      <c r="G18" s="254">
        <v>285.0</v>
      </c>
      <c r="H18" s="255">
        <f t="shared" si="1"/>
        <v>5700</v>
      </c>
      <c r="I18" s="256" t="s">
        <v>43</v>
      </c>
      <c r="J18" s="257" t="s">
        <v>316</v>
      </c>
      <c r="K18" s="258">
        <v>43475.0</v>
      </c>
      <c r="L18" s="258">
        <v>43473.0</v>
      </c>
      <c r="M18" s="333" t="s">
        <v>1998</v>
      </c>
      <c r="N18" s="252" t="s">
        <v>1999</v>
      </c>
      <c r="O18" s="268"/>
      <c r="P18" s="268"/>
      <c r="Q18" s="268">
        <v>5250.0</v>
      </c>
      <c r="R18" s="310"/>
      <c r="S18" s="310"/>
      <c r="T18" s="320" t="s">
        <v>2000</v>
      </c>
      <c r="U18" s="260">
        <v>43555.0</v>
      </c>
      <c r="V18" s="260">
        <v>43472.0</v>
      </c>
      <c r="W18" s="261" t="s">
        <v>317</v>
      </c>
      <c r="X18" s="272">
        <v>375144.0</v>
      </c>
      <c r="Y18" s="260">
        <v>43564.0</v>
      </c>
      <c r="Z18" s="331" t="s">
        <v>2001</v>
      </c>
      <c r="AA18" s="581">
        <v>6.13848793E8</v>
      </c>
      <c r="AB18" s="331"/>
      <c r="AC18" s="331"/>
      <c r="AD18" s="331"/>
      <c r="AE18" s="253" t="s">
        <v>284</v>
      </c>
      <c r="AF18" s="253"/>
      <c r="AG18" s="262"/>
      <c r="AH18" s="253"/>
      <c r="AI18" s="262">
        <f>14150*30.76</f>
        <v>435254</v>
      </c>
      <c r="AJ18" s="262">
        <v>0.0</v>
      </c>
      <c r="AK18" s="253" t="s">
        <v>50</v>
      </c>
      <c r="AL18" s="253" t="s">
        <v>285</v>
      </c>
      <c r="AM18" s="253" t="s">
        <v>51</v>
      </c>
      <c r="AN18" s="253" t="s">
        <v>52</v>
      </c>
      <c r="AO18" s="264"/>
    </row>
    <row r="19" ht="15.75" customHeight="1">
      <c r="A19" s="69">
        <v>43399.0</v>
      </c>
      <c r="B19" s="265" t="s">
        <v>77</v>
      </c>
      <c r="C19" s="252">
        <v>1069.0</v>
      </c>
      <c r="D19" s="252" t="s">
        <v>314</v>
      </c>
      <c r="E19" s="246" t="s">
        <v>318</v>
      </c>
      <c r="F19" s="307">
        <v>30.0</v>
      </c>
      <c r="G19" s="254">
        <v>255.0</v>
      </c>
      <c r="H19" s="255">
        <f t="shared" si="1"/>
        <v>7650</v>
      </c>
      <c r="I19" s="256" t="s">
        <v>43</v>
      </c>
      <c r="J19" s="257" t="s">
        <v>316</v>
      </c>
      <c r="K19" s="258">
        <v>43475.0</v>
      </c>
      <c r="L19" s="258">
        <v>43473.0</v>
      </c>
      <c r="M19" s="333" t="s">
        <v>1998</v>
      </c>
      <c r="N19" s="252" t="s">
        <v>1999</v>
      </c>
      <c r="O19" s="268"/>
      <c r="P19" s="268"/>
      <c r="Q19" s="268" t="s">
        <v>2002</v>
      </c>
      <c r="R19" s="579"/>
      <c r="S19" s="579">
        <v>-213444.0</v>
      </c>
      <c r="T19" s="320" t="s">
        <v>2000</v>
      </c>
      <c r="U19" s="260">
        <v>43555.0</v>
      </c>
      <c r="V19" s="260">
        <v>43472.0</v>
      </c>
      <c r="W19" s="261" t="s">
        <v>317</v>
      </c>
      <c r="X19" s="261" t="s">
        <v>2003</v>
      </c>
      <c r="Y19" s="260">
        <v>43564.0</v>
      </c>
      <c r="Z19" s="331" t="s">
        <v>2001</v>
      </c>
      <c r="AA19" s="581">
        <v>6.13848793E8</v>
      </c>
      <c r="AB19" s="331"/>
      <c r="AC19" s="331"/>
      <c r="AD19" s="331"/>
      <c r="AE19" s="253" t="s">
        <v>284</v>
      </c>
      <c r="AF19" s="253"/>
      <c r="AG19" s="262"/>
      <c r="AH19" s="253"/>
      <c r="AI19" s="262" t="s">
        <v>2004</v>
      </c>
      <c r="AJ19" s="262" t="s">
        <v>2005</v>
      </c>
      <c r="AK19" s="253" t="s">
        <v>50</v>
      </c>
      <c r="AL19" s="253" t="s">
        <v>285</v>
      </c>
      <c r="AM19" s="253" t="s">
        <v>51</v>
      </c>
      <c r="AN19" s="253" t="s">
        <v>52</v>
      </c>
      <c r="AO19" s="264"/>
    </row>
    <row r="20" ht="15.75" customHeight="1">
      <c r="A20" s="308">
        <v>43404.0</v>
      </c>
      <c r="B20" s="309" t="s">
        <v>101</v>
      </c>
      <c r="C20" s="310" t="s">
        <v>0</v>
      </c>
      <c r="D20" s="252" t="s">
        <v>319</v>
      </c>
      <c r="E20" s="35" t="s">
        <v>320</v>
      </c>
      <c r="F20" s="266">
        <v>100.0</v>
      </c>
      <c r="G20" s="267">
        <v>20.0</v>
      </c>
      <c r="H20" s="255">
        <f>F20*G20</f>
        <v>2000</v>
      </c>
      <c r="I20" s="256" t="s">
        <v>303</v>
      </c>
      <c r="J20" s="257" t="s">
        <v>282</v>
      </c>
      <c r="K20" s="258" t="s">
        <v>1970</v>
      </c>
      <c r="L20" s="258">
        <v>43522.0</v>
      </c>
      <c r="M20" s="592" t="s">
        <v>2006</v>
      </c>
      <c r="N20" s="422" t="s">
        <v>2007</v>
      </c>
      <c r="O20" s="593"/>
      <c r="P20" s="593"/>
      <c r="Q20" s="593"/>
      <c r="R20" s="268"/>
      <c r="S20" s="268">
        <v>52500.0</v>
      </c>
      <c r="T20" s="388" t="s">
        <v>2008</v>
      </c>
      <c r="U20" s="311">
        <v>43560.0</v>
      </c>
      <c r="V20" s="260">
        <v>43522.0</v>
      </c>
      <c r="W20" s="261" t="s">
        <v>321</v>
      </c>
      <c r="X20" s="272">
        <v>52500.0</v>
      </c>
      <c r="Y20" s="260">
        <v>43564.0</v>
      </c>
      <c r="Z20" s="331"/>
      <c r="AA20" s="331"/>
      <c r="AB20" s="331"/>
      <c r="AC20" s="331"/>
      <c r="AD20" s="331"/>
      <c r="AE20" s="253"/>
      <c r="AF20" s="253"/>
      <c r="AG20" s="262"/>
      <c r="AH20" s="263">
        <v>43509.0</v>
      </c>
      <c r="AI20" s="262">
        <f>1983.5*30.77</f>
        <v>61032.295</v>
      </c>
      <c r="AJ20" s="262">
        <f>(10+6.5)*30.77</f>
        <v>507.705</v>
      </c>
      <c r="AK20" s="253" t="s">
        <v>50</v>
      </c>
      <c r="AL20" s="253" t="s">
        <v>285</v>
      </c>
      <c r="AM20" s="253" t="s">
        <v>286</v>
      </c>
      <c r="AN20" s="253" t="s">
        <v>52</v>
      </c>
      <c r="AO20" s="264"/>
    </row>
    <row r="21" ht="15.75" customHeight="1">
      <c r="A21" s="69">
        <v>43441.0</v>
      </c>
      <c r="B21" s="265" t="s">
        <v>119</v>
      </c>
      <c r="C21" s="252" t="s">
        <v>322</v>
      </c>
      <c r="D21" s="252" t="s">
        <v>323</v>
      </c>
      <c r="E21" s="246" t="s">
        <v>152</v>
      </c>
      <c r="F21" s="264">
        <v>4.0</v>
      </c>
      <c r="G21" s="254">
        <v>1045.0</v>
      </c>
      <c r="H21" s="255">
        <f t="shared" ref="H21:H43" si="3">G21*F21</f>
        <v>4180</v>
      </c>
      <c r="I21" s="256" t="s">
        <v>171</v>
      </c>
      <c r="J21" s="256" t="s">
        <v>122</v>
      </c>
      <c r="K21" s="258">
        <v>43479.0</v>
      </c>
      <c r="L21" s="258">
        <v>43475.0</v>
      </c>
      <c r="M21" s="403" t="s">
        <v>90</v>
      </c>
      <c r="N21" s="252" t="s">
        <v>2009</v>
      </c>
      <c r="O21" s="268"/>
      <c r="P21" s="268"/>
      <c r="Q21" s="268">
        <v>3864.0</v>
      </c>
      <c r="R21" s="594"/>
      <c r="S21" s="594">
        <v>118818.0</v>
      </c>
      <c r="T21" s="578" t="s">
        <v>94</v>
      </c>
      <c r="U21" s="312">
        <v>43524.0</v>
      </c>
      <c r="V21" s="260">
        <v>43474.0</v>
      </c>
      <c r="W21" s="261" t="s">
        <v>324</v>
      </c>
      <c r="X21" s="272">
        <v>291492.0</v>
      </c>
      <c r="Y21" s="260">
        <v>43522.0</v>
      </c>
      <c r="Z21" s="331" t="s">
        <v>2010</v>
      </c>
      <c r="AA21" s="331" t="s">
        <v>2011</v>
      </c>
      <c r="AB21" s="331"/>
      <c r="AC21" s="331"/>
      <c r="AD21" s="331"/>
      <c r="AE21" s="253" t="s">
        <v>284</v>
      </c>
      <c r="AF21" s="253"/>
      <c r="AG21" s="262"/>
      <c r="AH21" s="307"/>
      <c r="AI21" s="262"/>
      <c r="AJ21" s="262"/>
      <c r="AK21" s="253" t="s">
        <v>50</v>
      </c>
      <c r="AL21" s="253" t="s">
        <v>285</v>
      </c>
      <c r="AM21" s="253" t="s">
        <v>51</v>
      </c>
      <c r="AN21" s="253" t="s">
        <v>52</v>
      </c>
      <c r="AO21" s="264"/>
    </row>
    <row r="22" ht="15.75" customHeight="1">
      <c r="A22" s="69">
        <v>43441.0</v>
      </c>
      <c r="B22" s="265" t="s">
        <v>119</v>
      </c>
      <c r="C22" s="252" t="s">
        <v>322</v>
      </c>
      <c r="D22" s="252" t="s">
        <v>323</v>
      </c>
      <c r="E22" s="246" t="s">
        <v>121</v>
      </c>
      <c r="F22" s="253">
        <v>10.0</v>
      </c>
      <c r="G22" s="254">
        <v>359.0</v>
      </c>
      <c r="H22" s="255">
        <f t="shared" si="3"/>
        <v>3590</v>
      </c>
      <c r="I22" s="256" t="s">
        <v>171</v>
      </c>
      <c r="J22" s="256" t="s">
        <v>122</v>
      </c>
      <c r="K22" s="258">
        <v>43479.0</v>
      </c>
      <c r="L22" s="258">
        <v>43475.0</v>
      </c>
      <c r="M22" s="403" t="s">
        <v>90</v>
      </c>
      <c r="N22" s="252" t="s">
        <v>2009</v>
      </c>
      <c r="O22" s="268"/>
      <c r="P22" s="268"/>
      <c r="Q22" s="268">
        <v>3486.0</v>
      </c>
      <c r="R22" s="268"/>
      <c r="S22" s="268">
        <v>107195.0</v>
      </c>
      <c r="T22" s="578" t="s">
        <v>94</v>
      </c>
      <c r="U22" s="312">
        <v>43524.0</v>
      </c>
      <c r="V22" s="260">
        <v>43474.0</v>
      </c>
      <c r="W22" s="261" t="s">
        <v>324</v>
      </c>
      <c r="X22" s="261" t="s">
        <v>2012</v>
      </c>
      <c r="Y22" s="260">
        <v>43522.0</v>
      </c>
      <c r="Z22" s="331" t="s">
        <v>2010</v>
      </c>
      <c r="AA22" s="331" t="s">
        <v>2011</v>
      </c>
      <c r="AB22" s="331"/>
      <c r="AC22" s="331"/>
      <c r="AD22" s="331"/>
      <c r="AE22" s="253" t="s">
        <v>284</v>
      </c>
      <c r="AF22" s="253"/>
      <c r="AG22" s="262"/>
      <c r="AH22" s="307"/>
      <c r="AI22" s="262"/>
      <c r="AJ22" s="262"/>
      <c r="AK22" s="253" t="s">
        <v>50</v>
      </c>
      <c r="AL22" s="253" t="s">
        <v>285</v>
      </c>
      <c r="AM22" s="253" t="s">
        <v>51</v>
      </c>
      <c r="AN22" s="253" t="s">
        <v>52</v>
      </c>
      <c r="AO22" s="264"/>
    </row>
    <row r="23" ht="15.75" customHeight="1">
      <c r="A23" s="313">
        <v>43441.0</v>
      </c>
      <c r="B23" s="314" t="s">
        <v>119</v>
      </c>
      <c r="C23" s="314" t="s">
        <v>322</v>
      </c>
      <c r="D23" s="252" t="s">
        <v>323</v>
      </c>
      <c r="E23" s="315" t="s">
        <v>325</v>
      </c>
      <c r="F23" s="253">
        <v>4.0</v>
      </c>
      <c r="G23" s="316">
        <v>577.0</v>
      </c>
      <c r="H23" s="255">
        <f t="shared" si="3"/>
        <v>2308</v>
      </c>
      <c r="I23" s="266" t="s">
        <v>171</v>
      </c>
      <c r="J23" s="266" t="s">
        <v>122</v>
      </c>
      <c r="K23" s="258">
        <v>43479.0</v>
      </c>
      <c r="L23" s="258">
        <v>43475.0</v>
      </c>
      <c r="M23" s="333" t="s">
        <v>90</v>
      </c>
      <c r="N23" s="368" t="s">
        <v>2009</v>
      </c>
      <c r="O23" s="336"/>
      <c r="P23" s="336"/>
      <c r="Q23" s="336">
        <v>2129.4</v>
      </c>
      <c r="R23" s="336"/>
      <c r="S23" s="336">
        <v>65479.0</v>
      </c>
      <c r="T23" s="595" t="s">
        <v>94</v>
      </c>
      <c r="U23" s="317">
        <v>43524.0</v>
      </c>
      <c r="V23" s="318">
        <v>43474.0</v>
      </c>
      <c r="W23" s="319" t="s">
        <v>324</v>
      </c>
      <c r="X23" s="319" t="s">
        <v>2012</v>
      </c>
      <c r="Y23" s="260">
        <v>43522.0</v>
      </c>
      <c r="Z23" s="331" t="s">
        <v>2010</v>
      </c>
      <c r="AA23" s="331" t="s">
        <v>2011</v>
      </c>
      <c r="AB23" s="331"/>
      <c r="AC23" s="331"/>
      <c r="AD23" s="331"/>
      <c r="AE23" s="253" t="s">
        <v>284</v>
      </c>
      <c r="AF23" s="253"/>
      <c r="AG23" s="262"/>
      <c r="AH23" s="307"/>
      <c r="AI23" s="262"/>
      <c r="AJ23" s="262"/>
      <c r="AK23" s="253" t="s">
        <v>50</v>
      </c>
      <c r="AL23" s="253" t="s">
        <v>285</v>
      </c>
      <c r="AM23" s="253" t="s">
        <v>51</v>
      </c>
      <c r="AN23" s="253" t="s">
        <v>52</v>
      </c>
      <c r="AO23" s="264"/>
    </row>
    <row r="24" ht="15.75" customHeight="1">
      <c r="A24" s="19">
        <v>43444.0</v>
      </c>
      <c r="B24" s="320" t="s">
        <v>326</v>
      </c>
      <c r="C24" s="252">
        <v>2026605.0</v>
      </c>
      <c r="D24" s="310" t="s">
        <v>327</v>
      </c>
      <c r="E24" s="246" t="s">
        <v>328</v>
      </c>
      <c r="F24" s="253">
        <v>5.0</v>
      </c>
      <c r="G24" s="254">
        <v>607.0</v>
      </c>
      <c r="H24" s="255">
        <f t="shared" si="3"/>
        <v>3035</v>
      </c>
      <c r="I24" s="256" t="s">
        <v>43</v>
      </c>
      <c r="J24" s="321" t="s">
        <v>329</v>
      </c>
      <c r="K24" s="258">
        <v>43475.0</v>
      </c>
      <c r="L24" s="258">
        <v>43475.0</v>
      </c>
      <c r="M24" s="333" t="s">
        <v>54</v>
      </c>
      <c r="N24" s="252" t="s">
        <v>2013</v>
      </c>
      <c r="O24" s="268"/>
      <c r="P24" s="268"/>
      <c r="Q24" s="268">
        <v>2966.25</v>
      </c>
      <c r="R24" s="596"/>
      <c r="S24" s="596">
        <v>91301.0</v>
      </c>
      <c r="T24" s="597" t="s">
        <v>56</v>
      </c>
      <c r="U24" s="322">
        <v>43524.0</v>
      </c>
      <c r="V24" s="260">
        <v>43479.0</v>
      </c>
      <c r="W24" s="261" t="s">
        <v>330</v>
      </c>
      <c r="X24" s="272">
        <v>267795.0</v>
      </c>
      <c r="Y24" s="260">
        <v>43525.0</v>
      </c>
      <c r="Z24" s="331" t="s">
        <v>2014</v>
      </c>
      <c r="AA24" s="331" t="s">
        <v>2015</v>
      </c>
      <c r="AB24" s="331"/>
      <c r="AC24" s="331"/>
      <c r="AD24" s="331"/>
      <c r="AE24" s="253" t="s">
        <v>284</v>
      </c>
      <c r="AF24" s="253"/>
      <c r="AG24" s="262"/>
      <c r="AH24" s="253"/>
      <c r="AI24" s="262"/>
      <c r="AJ24" s="262"/>
      <c r="AK24" s="253" t="s">
        <v>50</v>
      </c>
      <c r="AL24" s="253" t="s">
        <v>285</v>
      </c>
      <c r="AM24" s="253" t="s">
        <v>51</v>
      </c>
      <c r="AN24" s="253" t="s">
        <v>52</v>
      </c>
      <c r="AO24" s="264"/>
    </row>
    <row r="25" ht="15.75" customHeight="1">
      <c r="A25" s="19">
        <v>43444.0</v>
      </c>
      <c r="B25" s="320" t="s">
        <v>326</v>
      </c>
      <c r="C25" s="252">
        <v>2026605.0</v>
      </c>
      <c r="D25" s="310" t="s">
        <v>327</v>
      </c>
      <c r="E25" s="246" t="s">
        <v>2016</v>
      </c>
      <c r="F25" s="253">
        <v>5.0</v>
      </c>
      <c r="G25" s="254">
        <v>27.0</v>
      </c>
      <c r="H25" s="255">
        <f t="shared" si="3"/>
        <v>135</v>
      </c>
      <c r="I25" s="256" t="s">
        <v>43</v>
      </c>
      <c r="J25" s="321" t="s">
        <v>329</v>
      </c>
      <c r="K25" s="258">
        <v>43475.0</v>
      </c>
      <c r="L25" s="258">
        <v>43475.0</v>
      </c>
      <c r="M25" s="333" t="s">
        <v>54</v>
      </c>
      <c r="N25" s="252" t="s">
        <v>2013</v>
      </c>
      <c r="O25" s="268"/>
      <c r="P25" s="268"/>
      <c r="Q25" s="268">
        <v>131.25</v>
      </c>
      <c r="R25" s="596"/>
      <c r="S25" s="596">
        <v>4040.0</v>
      </c>
      <c r="T25" s="597" t="s">
        <v>56</v>
      </c>
      <c r="U25" s="322">
        <v>43524.0</v>
      </c>
      <c r="V25" s="260">
        <v>43479.0</v>
      </c>
      <c r="W25" s="261" t="s">
        <v>330</v>
      </c>
      <c r="X25" s="261" t="s">
        <v>2017</v>
      </c>
      <c r="Y25" s="260">
        <v>43525.0</v>
      </c>
      <c r="Z25" s="331" t="s">
        <v>2014</v>
      </c>
      <c r="AA25" s="331" t="s">
        <v>2015</v>
      </c>
      <c r="AB25" s="331"/>
      <c r="AC25" s="331"/>
      <c r="AD25" s="331"/>
      <c r="AE25" s="253" t="s">
        <v>284</v>
      </c>
      <c r="AF25" s="253"/>
      <c r="AG25" s="262"/>
      <c r="AH25" s="253"/>
      <c r="AI25" s="262"/>
      <c r="AJ25" s="262"/>
      <c r="AK25" s="253" t="s">
        <v>50</v>
      </c>
      <c r="AL25" s="253" t="s">
        <v>285</v>
      </c>
      <c r="AM25" s="253" t="s">
        <v>51</v>
      </c>
      <c r="AN25" s="253" t="s">
        <v>52</v>
      </c>
      <c r="AO25" s="264"/>
    </row>
    <row r="26" ht="15.75" customHeight="1">
      <c r="A26" s="19">
        <v>43444.0</v>
      </c>
      <c r="B26" s="320" t="s">
        <v>326</v>
      </c>
      <c r="C26" s="252">
        <v>2026605.0</v>
      </c>
      <c r="D26" s="310" t="s">
        <v>327</v>
      </c>
      <c r="E26" s="246" t="s">
        <v>53</v>
      </c>
      <c r="F26" s="253">
        <v>10.0</v>
      </c>
      <c r="G26" s="254">
        <v>31.0</v>
      </c>
      <c r="H26" s="255">
        <f t="shared" si="3"/>
        <v>310</v>
      </c>
      <c r="I26" s="256" t="s">
        <v>43</v>
      </c>
      <c r="J26" s="321" t="s">
        <v>329</v>
      </c>
      <c r="K26" s="258">
        <v>43475.0</v>
      </c>
      <c r="L26" s="258">
        <v>43475.0</v>
      </c>
      <c r="M26" s="333" t="s">
        <v>54</v>
      </c>
      <c r="N26" s="252" t="s">
        <v>2013</v>
      </c>
      <c r="O26" s="268"/>
      <c r="P26" s="268"/>
      <c r="Q26" s="268">
        <v>226.8</v>
      </c>
      <c r="R26" s="596"/>
      <c r="S26" s="596">
        <v>6981.0</v>
      </c>
      <c r="T26" s="597" t="s">
        <v>56</v>
      </c>
      <c r="U26" s="322">
        <v>43524.0</v>
      </c>
      <c r="V26" s="260">
        <v>43479.0</v>
      </c>
      <c r="W26" s="261" t="s">
        <v>330</v>
      </c>
      <c r="X26" s="261" t="s">
        <v>2017</v>
      </c>
      <c r="Y26" s="260">
        <v>43525.0</v>
      </c>
      <c r="Z26" s="581" t="s">
        <v>2014</v>
      </c>
      <c r="AA26" s="331" t="s">
        <v>2015</v>
      </c>
      <c r="AB26" s="331"/>
      <c r="AC26" s="331"/>
      <c r="AD26" s="331"/>
      <c r="AE26" s="253" t="s">
        <v>284</v>
      </c>
      <c r="AF26" s="253"/>
      <c r="AG26" s="262"/>
      <c r="AH26" s="253"/>
      <c r="AI26" s="262"/>
      <c r="AJ26" s="262"/>
      <c r="AK26" s="253" t="s">
        <v>50</v>
      </c>
      <c r="AL26" s="253" t="s">
        <v>285</v>
      </c>
      <c r="AM26" s="253" t="s">
        <v>51</v>
      </c>
      <c r="AN26" s="253" t="s">
        <v>52</v>
      </c>
      <c r="AO26" s="264"/>
    </row>
    <row r="27" ht="15.75" customHeight="1">
      <c r="A27" s="19">
        <v>43444.0</v>
      </c>
      <c r="B27" s="320" t="s">
        <v>326</v>
      </c>
      <c r="C27" s="252">
        <v>2026605.0</v>
      </c>
      <c r="D27" s="310" t="s">
        <v>327</v>
      </c>
      <c r="E27" s="246" t="s">
        <v>59</v>
      </c>
      <c r="F27" s="253">
        <v>10.0</v>
      </c>
      <c r="G27" s="254">
        <v>4.0</v>
      </c>
      <c r="H27" s="255">
        <f t="shared" si="3"/>
        <v>40</v>
      </c>
      <c r="I27" s="256" t="s">
        <v>43</v>
      </c>
      <c r="J27" s="269" t="s">
        <v>329</v>
      </c>
      <c r="K27" s="258">
        <v>43475.0</v>
      </c>
      <c r="L27" s="258">
        <v>43475.0</v>
      </c>
      <c r="M27" s="333" t="s">
        <v>54</v>
      </c>
      <c r="N27" s="252" t="s">
        <v>2013</v>
      </c>
      <c r="O27" s="268"/>
      <c r="P27" s="268"/>
      <c r="Q27" s="268">
        <v>21.0</v>
      </c>
      <c r="R27" s="596"/>
      <c r="S27" s="596">
        <v>646.0</v>
      </c>
      <c r="T27" s="422" t="s">
        <v>56</v>
      </c>
      <c r="U27" s="322">
        <v>43524.0</v>
      </c>
      <c r="V27" s="260">
        <v>43479.0</v>
      </c>
      <c r="W27" s="261" t="s">
        <v>330</v>
      </c>
      <c r="X27" s="261" t="s">
        <v>2017</v>
      </c>
      <c r="Y27" s="260">
        <v>43525.0</v>
      </c>
      <c r="Z27" s="581" t="s">
        <v>2014</v>
      </c>
      <c r="AA27" s="331" t="s">
        <v>2015</v>
      </c>
      <c r="AB27" s="331"/>
      <c r="AC27" s="331"/>
      <c r="AD27" s="331"/>
      <c r="AE27" s="253" t="s">
        <v>284</v>
      </c>
      <c r="AF27" s="253"/>
      <c r="AG27" s="262"/>
      <c r="AH27" s="253"/>
      <c r="AI27" s="262"/>
      <c r="AJ27" s="262"/>
      <c r="AK27" s="253" t="s">
        <v>50</v>
      </c>
      <c r="AL27" s="253" t="s">
        <v>285</v>
      </c>
      <c r="AM27" s="253" t="s">
        <v>51</v>
      </c>
      <c r="AN27" s="253" t="s">
        <v>52</v>
      </c>
      <c r="AO27" s="264"/>
    </row>
    <row r="28" ht="15.75" customHeight="1">
      <c r="A28" s="19">
        <v>43444.0</v>
      </c>
      <c r="B28" s="320" t="s">
        <v>326</v>
      </c>
      <c r="C28" s="252">
        <v>2026605.0</v>
      </c>
      <c r="D28" s="310" t="s">
        <v>327</v>
      </c>
      <c r="E28" s="246" t="s">
        <v>42</v>
      </c>
      <c r="F28" s="253">
        <v>10.0</v>
      </c>
      <c r="G28" s="254">
        <v>273.0</v>
      </c>
      <c r="H28" s="255">
        <f t="shared" si="3"/>
        <v>2730</v>
      </c>
      <c r="I28" s="256" t="s">
        <v>43</v>
      </c>
      <c r="J28" s="269" t="s">
        <v>329</v>
      </c>
      <c r="K28" s="258">
        <v>43475.0</v>
      </c>
      <c r="L28" s="258">
        <v>43467.0</v>
      </c>
      <c r="M28" s="333" t="s">
        <v>45</v>
      </c>
      <c r="N28" s="252" t="s">
        <v>2018</v>
      </c>
      <c r="O28" s="267"/>
      <c r="P28" s="267"/>
      <c r="Q28" s="267">
        <v>2184.0</v>
      </c>
      <c r="R28" s="579"/>
      <c r="S28" s="579">
        <v>67121.0</v>
      </c>
      <c r="T28" s="578" t="s">
        <v>47</v>
      </c>
      <c r="U28" s="323">
        <v>43497.0</v>
      </c>
      <c r="V28" s="260">
        <v>43467.0</v>
      </c>
      <c r="W28" s="261" t="s">
        <v>332</v>
      </c>
      <c r="X28" s="272">
        <v>67121.0</v>
      </c>
      <c r="Y28" s="260">
        <v>43523.0</v>
      </c>
      <c r="Z28" s="581" t="s">
        <v>2014</v>
      </c>
      <c r="AA28" s="331" t="s">
        <v>2015</v>
      </c>
      <c r="AB28" s="331"/>
      <c r="AC28" s="331"/>
      <c r="AD28" s="331"/>
      <c r="AE28" s="253" t="s">
        <v>284</v>
      </c>
      <c r="AF28" s="253"/>
      <c r="AG28" s="262"/>
      <c r="AH28" s="253"/>
      <c r="AI28" s="262"/>
      <c r="AJ28" s="262"/>
      <c r="AK28" s="253" t="s">
        <v>50</v>
      </c>
      <c r="AL28" s="253" t="s">
        <v>285</v>
      </c>
      <c r="AM28" s="253" t="s">
        <v>51</v>
      </c>
      <c r="AN28" s="253" t="s">
        <v>52</v>
      </c>
      <c r="AO28" s="264"/>
    </row>
    <row r="29" ht="15.75" customHeight="1">
      <c r="A29" s="19">
        <v>43444.0</v>
      </c>
      <c r="B29" s="320" t="s">
        <v>326</v>
      </c>
      <c r="C29" s="252">
        <v>2026605.0</v>
      </c>
      <c r="D29" s="310" t="s">
        <v>2019</v>
      </c>
      <c r="E29" s="324" t="s">
        <v>61</v>
      </c>
      <c r="F29" s="253">
        <v>10.0</v>
      </c>
      <c r="G29" s="325">
        <v>567.0</v>
      </c>
      <c r="H29" s="255">
        <f t="shared" si="3"/>
        <v>5670</v>
      </c>
      <c r="I29" s="256" t="s">
        <v>43</v>
      </c>
      <c r="J29" s="269" t="s">
        <v>329</v>
      </c>
      <c r="K29" s="258">
        <v>43475.0</v>
      </c>
      <c r="L29" s="258">
        <v>43475.0</v>
      </c>
      <c r="M29" s="333" t="s">
        <v>54</v>
      </c>
      <c r="N29" s="252" t="s">
        <v>2013</v>
      </c>
      <c r="O29" s="268"/>
      <c r="P29" s="268"/>
      <c r="Q29" s="268">
        <v>5355.0</v>
      </c>
      <c r="R29" s="596"/>
      <c r="S29" s="596">
        <v>164827.0</v>
      </c>
      <c r="T29" s="422" t="s">
        <v>56</v>
      </c>
      <c r="U29" s="322">
        <v>43524.0</v>
      </c>
      <c r="V29" s="260">
        <v>43479.0</v>
      </c>
      <c r="W29" s="261" t="s">
        <v>330</v>
      </c>
      <c r="X29" s="261" t="s">
        <v>2017</v>
      </c>
      <c r="Y29" s="260">
        <v>43525.0</v>
      </c>
      <c r="Z29" s="581" t="s">
        <v>2014</v>
      </c>
      <c r="AA29" s="331" t="s">
        <v>2015</v>
      </c>
      <c r="AB29" s="331"/>
      <c r="AC29" s="331"/>
      <c r="AD29" s="331"/>
      <c r="AE29" s="253" t="s">
        <v>284</v>
      </c>
      <c r="AF29" s="253"/>
      <c r="AG29" s="262"/>
      <c r="AH29" s="253"/>
      <c r="AI29" s="262"/>
      <c r="AJ29" s="262"/>
      <c r="AK29" s="253" t="s">
        <v>50</v>
      </c>
      <c r="AL29" s="253" t="s">
        <v>285</v>
      </c>
      <c r="AM29" s="253" t="s">
        <v>51</v>
      </c>
      <c r="AN29" s="253" t="s">
        <v>52</v>
      </c>
      <c r="AO29" s="264"/>
    </row>
    <row r="30" ht="15.75" customHeight="1">
      <c r="A30" s="69">
        <v>43446.0</v>
      </c>
      <c r="B30" s="265" t="s">
        <v>101</v>
      </c>
      <c r="C30" s="252" t="s">
        <v>334</v>
      </c>
      <c r="D30" s="252" t="s">
        <v>335</v>
      </c>
      <c r="E30" s="324" t="s">
        <v>336</v>
      </c>
      <c r="F30" s="253">
        <v>1.0</v>
      </c>
      <c r="G30" s="325">
        <v>178.0</v>
      </c>
      <c r="H30" s="255">
        <f t="shared" si="3"/>
        <v>178</v>
      </c>
      <c r="I30" s="256" t="s">
        <v>303</v>
      </c>
      <c r="J30" s="269" t="s">
        <v>290</v>
      </c>
      <c r="K30" s="258">
        <v>43475.0</v>
      </c>
      <c r="L30" s="258">
        <v>43454.0</v>
      </c>
      <c r="M30" s="592" t="s">
        <v>2020</v>
      </c>
      <c r="N30" s="422" t="s">
        <v>2021</v>
      </c>
      <c r="O30" s="598"/>
      <c r="P30" s="598"/>
      <c r="Q30" s="598"/>
      <c r="R30" s="579"/>
      <c r="S30" s="579">
        <v>4589.0</v>
      </c>
      <c r="T30" s="599" t="s">
        <v>1983</v>
      </c>
      <c r="U30" s="326">
        <v>43120.0</v>
      </c>
      <c r="V30" s="260">
        <v>43454.0</v>
      </c>
      <c r="W30" s="261" t="s">
        <v>337</v>
      </c>
      <c r="X30" s="272">
        <v>42305.0</v>
      </c>
      <c r="Y30" s="260">
        <v>43528.0</v>
      </c>
      <c r="Z30" s="331" t="s">
        <v>2022</v>
      </c>
      <c r="AA30" s="331">
        <v>2.268650241E9</v>
      </c>
      <c r="AB30" s="331"/>
      <c r="AC30" s="331"/>
      <c r="AD30" s="331"/>
      <c r="AE30" s="253" t="s">
        <v>284</v>
      </c>
      <c r="AF30" s="253"/>
      <c r="AG30" s="262"/>
      <c r="AH30" s="263">
        <v>43521.0</v>
      </c>
      <c r="AI30" s="262" t="s">
        <v>2023</v>
      </c>
      <c r="AJ30" s="262" t="s">
        <v>2024</v>
      </c>
      <c r="AK30" s="253" t="s">
        <v>50</v>
      </c>
      <c r="AL30" s="253" t="s">
        <v>285</v>
      </c>
      <c r="AM30" s="253" t="s">
        <v>51</v>
      </c>
      <c r="AN30" s="253" t="s">
        <v>52</v>
      </c>
      <c r="AO30" s="264"/>
    </row>
    <row r="31" ht="15.75" customHeight="1">
      <c r="A31" s="69">
        <v>43446.0</v>
      </c>
      <c r="B31" s="265" t="s">
        <v>101</v>
      </c>
      <c r="C31" s="252" t="s">
        <v>334</v>
      </c>
      <c r="D31" s="252" t="s">
        <v>335</v>
      </c>
      <c r="E31" s="327" t="s">
        <v>338</v>
      </c>
      <c r="F31" s="253">
        <v>1.0</v>
      </c>
      <c r="G31" s="325">
        <v>42.0</v>
      </c>
      <c r="H31" s="255">
        <f t="shared" si="3"/>
        <v>42</v>
      </c>
      <c r="I31" s="256" t="s">
        <v>303</v>
      </c>
      <c r="J31" s="269" t="s">
        <v>290</v>
      </c>
      <c r="K31" s="258">
        <v>43475.0</v>
      </c>
      <c r="L31" s="258">
        <v>43455.0</v>
      </c>
      <c r="M31" s="592" t="s">
        <v>1439</v>
      </c>
      <c r="N31" s="422" t="s">
        <v>2025</v>
      </c>
      <c r="O31" s="310"/>
      <c r="P31" s="310"/>
      <c r="Q31" s="310">
        <v>36.75</v>
      </c>
      <c r="R31" s="600"/>
      <c r="S31" s="600">
        <v>1134.0</v>
      </c>
      <c r="T31" s="310" t="s">
        <v>1976</v>
      </c>
      <c r="U31" s="323">
        <v>43496.0</v>
      </c>
      <c r="V31" s="260">
        <v>43454.0</v>
      </c>
      <c r="W31" s="261" t="s">
        <v>339</v>
      </c>
      <c r="X31" s="272">
        <v>1134.0</v>
      </c>
      <c r="Y31" s="260">
        <v>43495.0</v>
      </c>
      <c r="Z31" s="331" t="s">
        <v>2022</v>
      </c>
      <c r="AA31" s="331">
        <v>2.268650241E9</v>
      </c>
      <c r="AB31" s="331"/>
      <c r="AC31" s="331"/>
      <c r="AD31" s="331"/>
      <c r="AE31" s="253" t="s">
        <v>284</v>
      </c>
      <c r="AF31" s="253"/>
      <c r="AG31" s="262"/>
      <c r="AH31" s="263">
        <v>43521.0</v>
      </c>
      <c r="AI31" s="262" t="s">
        <v>2023</v>
      </c>
      <c r="AJ31" s="262" t="s">
        <v>2024</v>
      </c>
      <c r="AK31" s="253" t="s">
        <v>50</v>
      </c>
      <c r="AL31" s="253" t="s">
        <v>285</v>
      </c>
      <c r="AM31" s="253" t="s">
        <v>51</v>
      </c>
      <c r="AN31" s="253" t="s">
        <v>52</v>
      </c>
      <c r="AO31" s="264"/>
    </row>
    <row r="32" ht="15.75" customHeight="1">
      <c r="A32" s="69">
        <v>43446.0</v>
      </c>
      <c r="B32" s="265" t="s">
        <v>101</v>
      </c>
      <c r="C32" s="252" t="s">
        <v>334</v>
      </c>
      <c r="D32" s="252" t="s">
        <v>335</v>
      </c>
      <c r="E32" s="324" t="s">
        <v>340</v>
      </c>
      <c r="F32" s="253">
        <v>1.0</v>
      </c>
      <c r="G32" s="325">
        <v>341.0</v>
      </c>
      <c r="H32" s="255">
        <f t="shared" si="3"/>
        <v>341</v>
      </c>
      <c r="I32" s="256" t="s">
        <v>303</v>
      </c>
      <c r="J32" s="269" t="s">
        <v>290</v>
      </c>
      <c r="K32" s="258">
        <v>43475.0</v>
      </c>
      <c r="L32" s="258">
        <v>43454.0</v>
      </c>
      <c r="M32" s="333" t="s">
        <v>2026</v>
      </c>
      <c r="N32" s="422" t="s">
        <v>2027</v>
      </c>
      <c r="O32" s="267"/>
      <c r="P32" s="267"/>
      <c r="Q32" s="267">
        <v>304.5</v>
      </c>
      <c r="R32" s="310"/>
      <c r="S32" s="310">
        <v>9400.0</v>
      </c>
      <c r="T32" s="578" t="s">
        <v>47</v>
      </c>
      <c r="U32" s="323">
        <v>43118.0</v>
      </c>
      <c r="V32" s="260">
        <v>43453.0</v>
      </c>
      <c r="W32" s="261" t="s">
        <v>341</v>
      </c>
      <c r="X32" s="272">
        <v>9400.0</v>
      </c>
      <c r="Y32" s="260">
        <v>43483.0</v>
      </c>
      <c r="Z32" s="331" t="s">
        <v>2022</v>
      </c>
      <c r="AA32" s="331">
        <v>2.268650241E9</v>
      </c>
      <c r="AB32" s="331"/>
      <c r="AC32" s="331"/>
      <c r="AD32" s="331"/>
      <c r="AE32" s="253" t="s">
        <v>284</v>
      </c>
      <c r="AF32" s="253"/>
      <c r="AG32" s="262"/>
      <c r="AH32" s="263">
        <v>43521.0</v>
      </c>
      <c r="AI32" s="262" t="s">
        <v>2023</v>
      </c>
      <c r="AJ32" s="262" t="s">
        <v>2024</v>
      </c>
      <c r="AK32" s="253" t="s">
        <v>50</v>
      </c>
      <c r="AL32" s="253" t="s">
        <v>285</v>
      </c>
      <c r="AM32" s="253" t="s">
        <v>51</v>
      </c>
      <c r="AN32" s="253" t="s">
        <v>52</v>
      </c>
      <c r="AO32" s="264"/>
    </row>
    <row r="33" ht="15.75" customHeight="1">
      <c r="A33" s="69">
        <v>43446.0</v>
      </c>
      <c r="B33" s="265" t="s">
        <v>101</v>
      </c>
      <c r="C33" s="252" t="s">
        <v>334</v>
      </c>
      <c r="D33" s="252" t="s">
        <v>335</v>
      </c>
      <c r="E33" s="246" t="s">
        <v>342</v>
      </c>
      <c r="F33" s="253">
        <v>1.0</v>
      </c>
      <c r="G33" s="254">
        <v>45.0</v>
      </c>
      <c r="H33" s="255">
        <f t="shared" si="3"/>
        <v>45</v>
      </c>
      <c r="I33" s="256" t="s">
        <v>303</v>
      </c>
      <c r="J33" s="269" t="s">
        <v>290</v>
      </c>
      <c r="K33" s="258">
        <v>43475.0</v>
      </c>
      <c r="L33" s="258">
        <v>43473.0</v>
      </c>
      <c r="M33" s="403" t="s">
        <v>2028</v>
      </c>
      <c r="N33" s="422" t="s">
        <v>2029</v>
      </c>
      <c r="O33" s="598"/>
      <c r="P33" s="598"/>
      <c r="Q33" s="598"/>
      <c r="R33" s="579"/>
      <c r="S33" s="579">
        <v>1295.0</v>
      </c>
      <c r="T33" s="578" t="s">
        <v>2030</v>
      </c>
      <c r="U33" s="326">
        <v>43524.0</v>
      </c>
      <c r="V33" s="260">
        <v>43472.0</v>
      </c>
      <c r="W33" s="261" t="s">
        <v>343</v>
      </c>
      <c r="X33" s="261" t="s">
        <v>2031</v>
      </c>
      <c r="Y33" s="260">
        <v>43524.0</v>
      </c>
      <c r="Z33" s="331" t="s">
        <v>2022</v>
      </c>
      <c r="AA33" s="331">
        <v>2.268650241E9</v>
      </c>
      <c r="AB33" s="331"/>
      <c r="AC33" s="331"/>
      <c r="AD33" s="331"/>
      <c r="AE33" s="253" t="s">
        <v>284</v>
      </c>
      <c r="AF33" s="253"/>
      <c r="AG33" s="262"/>
      <c r="AH33" s="263">
        <v>43521.0</v>
      </c>
      <c r="AI33" s="262" t="s">
        <v>2023</v>
      </c>
      <c r="AJ33" s="262" t="s">
        <v>2024</v>
      </c>
      <c r="AK33" s="253" t="s">
        <v>50</v>
      </c>
      <c r="AL33" s="253" t="s">
        <v>285</v>
      </c>
      <c r="AM33" s="253" t="s">
        <v>51</v>
      </c>
      <c r="AN33" s="253" t="s">
        <v>52</v>
      </c>
      <c r="AO33" s="264"/>
    </row>
    <row r="34" ht="15.75" customHeight="1">
      <c r="A34" s="69">
        <v>43446.0</v>
      </c>
      <c r="B34" s="265" t="s">
        <v>101</v>
      </c>
      <c r="C34" s="252" t="s">
        <v>334</v>
      </c>
      <c r="D34" s="328" t="s">
        <v>344</v>
      </c>
      <c r="E34" s="246" t="s">
        <v>345</v>
      </c>
      <c r="F34" s="253">
        <v>1.0</v>
      </c>
      <c r="G34" s="254">
        <v>592.0</v>
      </c>
      <c r="H34" s="255">
        <f t="shared" si="3"/>
        <v>592</v>
      </c>
      <c r="I34" s="256" t="s">
        <v>303</v>
      </c>
      <c r="J34" s="269" t="s">
        <v>290</v>
      </c>
      <c r="K34" s="258">
        <v>43475.0</v>
      </c>
      <c r="L34" s="258">
        <v>43473.0</v>
      </c>
      <c r="M34" s="403" t="s">
        <v>2028</v>
      </c>
      <c r="N34" s="422" t="s">
        <v>2029</v>
      </c>
      <c r="O34" s="598"/>
      <c r="P34" s="598"/>
      <c r="Q34" s="598" t="s">
        <v>0</v>
      </c>
      <c r="R34" s="579"/>
      <c r="S34" s="579">
        <v>17174.0</v>
      </c>
      <c r="T34" s="578" t="s">
        <v>2030</v>
      </c>
      <c r="U34" s="326">
        <v>43524.0</v>
      </c>
      <c r="V34" s="260">
        <v>43472.0</v>
      </c>
      <c r="W34" s="261" t="s">
        <v>343</v>
      </c>
      <c r="X34" s="272">
        <v>18468.0</v>
      </c>
      <c r="Y34" s="260">
        <v>43524.0</v>
      </c>
      <c r="Z34" s="331" t="s">
        <v>2022</v>
      </c>
      <c r="AA34" s="331">
        <v>2.268650241E9</v>
      </c>
      <c r="AB34" s="331"/>
      <c r="AC34" s="331"/>
      <c r="AD34" s="331"/>
      <c r="AE34" s="253" t="s">
        <v>284</v>
      </c>
      <c r="AF34" s="253"/>
      <c r="AG34" s="262"/>
      <c r="AH34" s="263">
        <v>43521.0</v>
      </c>
      <c r="AI34" s="262">
        <f>5931.5*30.76</f>
        <v>182452.94</v>
      </c>
      <c r="AJ34" s="262">
        <f>(5938-5931.5)*30.76+(5949-5938)*30.76</f>
        <v>538.3</v>
      </c>
      <c r="AK34" s="253" t="s">
        <v>50</v>
      </c>
      <c r="AL34" s="253" t="s">
        <v>285</v>
      </c>
      <c r="AM34" s="253" t="s">
        <v>51</v>
      </c>
      <c r="AN34" s="253" t="s">
        <v>52</v>
      </c>
      <c r="AO34" s="264"/>
    </row>
    <row r="35" ht="15.75" customHeight="1">
      <c r="A35" s="69">
        <v>43446.0</v>
      </c>
      <c r="B35" s="265" t="s">
        <v>101</v>
      </c>
      <c r="C35" s="252" t="s">
        <v>334</v>
      </c>
      <c r="D35" s="252" t="s">
        <v>346</v>
      </c>
      <c r="E35" s="35" t="s">
        <v>347</v>
      </c>
      <c r="F35" s="253">
        <v>1.0</v>
      </c>
      <c r="G35" s="254">
        <v>1500.0</v>
      </c>
      <c r="H35" s="255">
        <f t="shared" si="3"/>
        <v>1500</v>
      </c>
      <c r="I35" s="256" t="s">
        <v>303</v>
      </c>
      <c r="J35" s="269" t="s">
        <v>290</v>
      </c>
      <c r="K35" s="258">
        <v>43475.0</v>
      </c>
      <c r="L35" s="258"/>
      <c r="M35" s="592" t="s">
        <v>2032</v>
      </c>
      <c r="N35" s="422"/>
      <c r="O35" s="596"/>
      <c r="P35" s="596"/>
      <c r="Q35" s="596"/>
      <c r="R35" s="310"/>
      <c r="S35" s="310">
        <v>40646.0</v>
      </c>
      <c r="T35" s="320" t="s">
        <v>2033</v>
      </c>
      <c r="U35" s="326">
        <v>43513.0</v>
      </c>
      <c r="V35" s="260">
        <v>43483.0</v>
      </c>
      <c r="W35" s="261" t="s">
        <v>348</v>
      </c>
      <c r="X35" s="272">
        <v>40646.0</v>
      </c>
      <c r="Y35" s="260">
        <v>43526.0</v>
      </c>
      <c r="Z35" s="331" t="s">
        <v>2022</v>
      </c>
      <c r="AA35" s="331">
        <v>2.268650241E9</v>
      </c>
      <c r="AB35" s="331"/>
      <c r="AC35" s="331"/>
      <c r="AD35" s="331"/>
      <c r="AE35" s="253" t="s">
        <v>284</v>
      </c>
      <c r="AF35" s="253"/>
      <c r="AG35" s="262"/>
      <c r="AH35" s="263">
        <v>43521.0</v>
      </c>
      <c r="AI35" s="262" t="s">
        <v>2023</v>
      </c>
      <c r="AJ35" s="262" t="s">
        <v>2024</v>
      </c>
      <c r="AK35" s="253" t="s">
        <v>50</v>
      </c>
      <c r="AL35" s="253" t="s">
        <v>285</v>
      </c>
      <c r="AM35" s="253" t="s">
        <v>51</v>
      </c>
      <c r="AN35" s="253" t="s">
        <v>52</v>
      </c>
      <c r="AO35" s="264"/>
    </row>
    <row r="36" ht="15.75" customHeight="1">
      <c r="A36" s="69">
        <v>43446.0</v>
      </c>
      <c r="B36" s="265" t="s">
        <v>101</v>
      </c>
      <c r="C36" s="252" t="s">
        <v>349</v>
      </c>
      <c r="D36" s="328" t="s">
        <v>350</v>
      </c>
      <c r="E36" s="246" t="s">
        <v>351</v>
      </c>
      <c r="F36" s="253">
        <v>10.0</v>
      </c>
      <c r="G36" s="254">
        <v>93.0</v>
      </c>
      <c r="H36" s="255">
        <f t="shared" si="3"/>
        <v>930</v>
      </c>
      <c r="I36" s="256" t="s">
        <v>303</v>
      </c>
      <c r="J36" s="269" t="s">
        <v>290</v>
      </c>
      <c r="K36" s="258">
        <v>43475.0</v>
      </c>
      <c r="L36" s="258">
        <v>43460.0</v>
      </c>
      <c r="M36" s="253" t="s">
        <v>2034</v>
      </c>
      <c r="N36" s="422" t="s">
        <v>2035</v>
      </c>
      <c r="O36" s="579"/>
      <c r="P36" s="579"/>
      <c r="Q36" s="579">
        <v>924.0</v>
      </c>
      <c r="R36" s="600"/>
      <c r="S36" s="600">
        <v>28464.0</v>
      </c>
      <c r="T36" s="310" t="s">
        <v>2036</v>
      </c>
      <c r="U36" s="326">
        <v>43521.0</v>
      </c>
      <c r="V36" s="260">
        <v>43459.0</v>
      </c>
      <c r="W36" s="261" t="s">
        <v>352</v>
      </c>
      <c r="X36" s="272">
        <v>94772.0</v>
      </c>
      <c r="Y36" s="260">
        <v>43524.0</v>
      </c>
      <c r="Z36" s="331" t="s">
        <v>2022</v>
      </c>
      <c r="AA36" s="331">
        <v>2.268650241E9</v>
      </c>
      <c r="AB36" s="331"/>
      <c r="AC36" s="331"/>
      <c r="AD36" s="331"/>
      <c r="AE36" s="253" t="s">
        <v>284</v>
      </c>
      <c r="AF36" s="253"/>
      <c r="AG36" s="262"/>
      <c r="AH36" s="263">
        <v>43521.0</v>
      </c>
      <c r="AI36" s="262" t="s">
        <v>2023</v>
      </c>
      <c r="AJ36" s="262" t="s">
        <v>2024</v>
      </c>
      <c r="AK36" s="253" t="s">
        <v>50</v>
      </c>
      <c r="AL36" s="253" t="s">
        <v>285</v>
      </c>
      <c r="AM36" s="253" t="s">
        <v>51</v>
      </c>
      <c r="AN36" s="253" t="s">
        <v>52</v>
      </c>
      <c r="AO36" s="264"/>
    </row>
    <row r="37" ht="15.75" customHeight="1">
      <c r="A37" s="69">
        <v>43446.0</v>
      </c>
      <c r="B37" s="265" t="s">
        <v>101</v>
      </c>
      <c r="C37" s="252" t="s">
        <v>349</v>
      </c>
      <c r="D37" s="328" t="s">
        <v>350</v>
      </c>
      <c r="E37" s="329" t="s">
        <v>353</v>
      </c>
      <c r="F37" s="253">
        <v>10.0</v>
      </c>
      <c r="G37" s="254">
        <v>73.0</v>
      </c>
      <c r="H37" s="255">
        <f t="shared" si="3"/>
        <v>730</v>
      </c>
      <c r="I37" s="256" t="s">
        <v>303</v>
      </c>
      <c r="J37" s="269" t="s">
        <v>290</v>
      </c>
      <c r="K37" s="258">
        <v>43475.0</v>
      </c>
      <c r="L37" s="258">
        <v>43460.0</v>
      </c>
      <c r="M37" s="592" t="s">
        <v>2034</v>
      </c>
      <c r="N37" s="422" t="s">
        <v>2035</v>
      </c>
      <c r="O37" s="268"/>
      <c r="P37" s="268"/>
      <c r="Q37" s="268">
        <v>724.5</v>
      </c>
      <c r="R37" s="600"/>
      <c r="S37" s="600">
        <v>22318.0</v>
      </c>
      <c r="T37" s="320" t="s">
        <v>2036</v>
      </c>
      <c r="U37" s="326">
        <v>43521.0</v>
      </c>
      <c r="V37" s="260">
        <v>43459.0</v>
      </c>
      <c r="W37" s="261" t="s">
        <v>352</v>
      </c>
      <c r="X37" s="261" t="s">
        <v>2037</v>
      </c>
      <c r="Y37" s="260">
        <v>43524.0</v>
      </c>
      <c r="Z37" s="331" t="s">
        <v>2022</v>
      </c>
      <c r="AA37" s="331">
        <v>2.268650241E9</v>
      </c>
      <c r="AB37" s="331"/>
      <c r="AC37" s="331"/>
      <c r="AD37" s="331"/>
      <c r="AE37" s="253" t="s">
        <v>284</v>
      </c>
      <c r="AF37" s="253"/>
      <c r="AG37" s="262"/>
      <c r="AH37" s="263">
        <v>43521.0</v>
      </c>
      <c r="AI37" s="262" t="s">
        <v>2023</v>
      </c>
      <c r="AJ37" s="262" t="s">
        <v>2024</v>
      </c>
      <c r="AK37" s="253" t="s">
        <v>50</v>
      </c>
      <c r="AL37" s="253" t="s">
        <v>285</v>
      </c>
      <c r="AM37" s="253" t="s">
        <v>51</v>
      </c>
      <c r="AN37" s="253" t="s">
        <v>52</v>
      </c>
      <c r="AO37" s="264"/>
    </row>
    <row r="38" ht="15.75" customHeight="1">
      <c r="A38" s="69">
        <v>43446.0</v>
      </c>
      <c r="B38" s="265" t="s">
        <v>101</v>
      </c>
      <c r="C38" s="252" t="s">
        <v>349</v>
      </c>
      <c r="D38" s="328" t="s">
        <v>350</v>
      </c>
      <c r="E38" s="246" t="s">
        <v>354</v>
      </c>
      <c r="F38" s="253">
        <v>10.0</v>
      </c>
      <c r="G38" s="254">
        <v>140.0</v>
      </c>
      <c r="H38" s="255">
        <f t="shared" si="3"/>
        <v>1400</v>
      </c>
      <c r="I38" s="256" t="s">
        <v>303</v>
      </c>
      <c r="J38" s="269" t="s">
        <v>290</v>
      </c>
      <c r="K38" s="258">
        <v>43475.0</v>
      </c>
      <c r="L38" s="258">
        <v>43460.0</v>
      </c>
      <c r="M38" s="592" t="s">
        <v>2034</v>
      </c>
      <c r="N38" s="422" t="s">
        <v>2035</v>
      </c>
      <c r="O38" s="268"/>
      <c r="P38" s="268"/>
      <c r="Q38" s="268">
        <v>1396.5</v>
      </c>
      <c r="R38" s="600"/>
      <c r="S38" s="600">
        <v>43020.0</v>
      </c>
      <c r="T38" s="320" t="s">
        <v>2036</v>
      </c>
      <c r="U38" s="326">
        <v>43521.0</v>
      </c>
      <c r="V38" s="260">
        <v>43459.0</v>
      </c>
      <c r="W38" s="261" t="s">
        <v>352</v>
      </c>
      <c r="X38" s="261" t="s">
        <v>2037</v>
      </c>
      <c r="Y38" s="260">
        <v>43524.0</v>
      </c>
      <c r="Z38" s="331" t="s">
        <v>2022</v>
      </c>
      <c r="AA38" s="331">
        <v>2.268650241E9</v>
      </c>
      <c r="AB38" s="331"/>
      <c r="AC38" s="331"/>
      <c r="AD38" s="331"/>
      <c r="AE38" s="253" t="s">
        <v>284</v>
      </c>
      <c r="AF38" s="253"/>
      <c r="AG38" s="262"/>
      <c r="AH38" s="263">
        <v>43521.0</v>
      </c>
      <c r="AI38" s="262" t="s">
        <v>2023</v>
      </c>
      <c r="AJ38" s="262" t="s">
        <v>2024</v>
      </c>
      <c r="AK38" s="253" t="s">
        <v>50</v>
      </c>
      <c r="AL38" s="253" t="s">
        <v>285</v>
      </c>
      <c r="AM38" s="253" t="s">
        <v>51</v>
      </c>
      <c r="AN38" s="253" t="s">
        <v>52</v>
      </c>
      <c r="AO38" s="264"/>
    </row>
    <row r="39" ht="27.75" customHeight="1">
      <c r="A39" s="69">
        <v>43446.0</v>
      </c>
      <c r="B39" s="265" t="s">
        <v>101</v>
      </c>
      <c r="C39" s="252" t="s">
        <v>349</v>
      </c>
      <c r="D39" s="328" t="s">
        <v>350</v>
      </c>
      <c r="E39" s="246" t="s">
        <v>355</v>
      </c>
      <c r="F39" s="253">
        <v>10.0</v>
      </c>
      <c r="G39" s="254">
        <v>4.0</v>
      </c>
      <c r="H39" s="255">
        <f t="shared" si="3"/>
        <v>40</v>
      </c>
      <c r="I39" s="256" t="s">
        <v>303</v>
      </c>
      <c r="J39" s="269" t="s">
        <v>290</v>
      </c>
      <c r="K39" s="258">
        <v>43475.0</v>
      </c>
      <c r="L39" s="258">
        <v>43460.0</v>
      </c>
      <c r="M39" s="253" t="s">
        <v>2034</v>
      </c>
      <c r="N39" s="422" t="s">
        <v>2035</v>
      </c>
      <c r="O39" s="268"/>
      <c r="P39" s="268"/>
      <c r="Q39" s="268">
        <v>31.5</v>
      </c>
      <c r="R39" s="600"/>
      <c r="S39" s="600">
        <v>970.0</v>
      </c>
      <c r="T39" s="320" t="s">
        <v>2036</v>
      </c>
      <c r="U39" s="326">
        <v>43521.0</v>
      </c>
      <c r="V39" s="260">
        <v>43459.0</v>
      </c>
      <c r="W39" s="261" t="s">
        <v>352</v>
      </c>
      <c r="X39" s="261" t="s">
        <v>2037</v>
      </c>
      <c r="Y39" s="260">
        <v>43524.0</v>
      </c>
      <c r="Z39" s="331" t="s">
        <v>2022</v>
      </c>
      <c r="AA39" s="331">
        <v>2.268650241E9</v>
      </c>
      <c r="AB39" s="331"/>
      <c r="AC39" s="331"/>
      <c r="AD39" s="331"/>
      <c r="AE39" s="253" t="s">
        <v>284</v>
      </c>
      <c r="AF39" s="253"/>
      <c r="AG39" s="262"/>
      <c r="AH39" s="263">
        <v>43521.0</v>
      </c>
      <c r="AI39" s="262" t="s">
        <v>2023</v>
      </c>
      <c r="AJ39" s="262" t="s">
        <v>2024</v>
      </c>
      <c r="AK39" s="253" t="s">
        <v>50</v>
      </c>
      <c r="AL39" s="253" t="s">
        <v>285</v>
      </c>
      <c r="AM39" s="253" t="s">
        <v>51</v>
      </c>
      <c r="AN39" s="253" t="s">
        <v>52</v>
      </c>
      <c r="AO39" s="264"/>
    </row>
    <row r="40" ht="33.0" customHeight="1">
      <c r="A40" s="69">
        <v>43446.0</v>
      </c>
      <c r="B40" s="265" t="s">
        <v>101</v>
      </c>
      <c r="C40" s="252" t="s">
        <v>349</v>
      </c>
      <c r="D40" s="328" t="s">
        <v>350</v>
      </c>
      <c r="E40" s="246" t="s">
        <v>356</v>
      </c>
      <c r="F40" s="253">
        <v>10.0</v>
      </c>
      <c r="G40" s="254">
        <v>2.0</v>
      </c>
      <c r="H40" s="255">
        <f t="shared" si="3"/>
        <v>20</v>
      </c>
      <c r="I40" s="256" t="s">
        <v>303</v>
      </c>
      <c r="J40" s="269" t="s">
        <v>290</v>
      </c>
      <c r="K40" s="258">
        <v>43475.0</v>
      </c>
      <c r="L40" s="601">
        <v>43454.0</v>
      </c>
      <c r="M40" s="253" t="s">
        <v>179</v>
      </c>
      <c r="N40" s="602"/>
      <c r="O40" s="600"/>
      <c r="P40" s="600"/>
      <c r="Q40" s="600"/>
      <c r="R40" s="310"/>
      <c r="S40" s="310">
        <f>(63*F40)*1.05</f>
        <v>661.5</v>
      </c>
      <c r="T40" s="388"/>
      <c r="U40" s="330"/>
      <c r="V40" s="331"/>
      <c r="W40" s="331"/>
      <c r="X40" s="331"/>
      <c r="Y40" s="331"/>
      <c r="Z40" s="331" t="s">
        <v>2022</v>
      </c>
      <c r="AA40" s="331">
        <v>2.268650241E9</v>
      </c>
      <c r="AB40" s="331"/>
      <c r="AC40" s="331"/>
      <c r="AD40" s="331"/>
      <c r="AE40" s="253" t="s">
        <v>284</v>
      </c>
      <c r="AF40" s="253"/>
      <c r="AG40" s="262"/>
      <c r="AH40" s="263">
        <v>43521.0</v>
      </c>
      <c r="AI40" s="262" t="s">
        <v>2023</v>
      </c>
      <c r="AJ40" s="262" t="s">
        <v>2024</v>
      </c>
      <c r="AK40" s="253" t="s">
        <v>50</v>
      </c>
      <c r="AL40" s="253" t="s">
        <v>285</v>
      </c>
      <c r="AM40" s="253" t="s">
        <v>51</v>
      </c>
      <c r="AN40" s="253" t="s">
        <v>52</v>
      </c>
      <c r="AO40" s="264"/>
    </row>
    <row r="41" ht="15.75" customHeight="1">
      <c r="A41" s="69">
        <v>43446.0</v>
      </c>
      <c r="B41" s="265" t="s">
        <v>101</v>
      </c>
      <c r="C41" s="252" t="s">
        <v>349</v>
      </c>
      <c r="D41" s="328" t="s">
        <v>350</v>
      </c>
      <c r="E41" s="246" t="s">
        <v>357</v>
      </c>
      <c r="F41" s="253">
        <v>10.0</v>
      </c>
      <c r="G41" s="254">
        <v>2.5</v>
      </c>
      <c r="H41" s="255">
        <f t="shared" si="3"/>
        <v>25</v>
      </c>
      <c r="I41" s="256" t="s">
        <v>303</v>
      </c>
      <c r="J41" s="269" t="s">
        <v>290</v>
      </c>
      <c r="K41" s="258">
        <v>43475.0</v>
      </c>
      <c r="L41" s="601">
        <v>43454.0</v>
      </c>
      <c r="M41" s="253" t="s">
        <v>179</v>
      </c>
      <c r="N41" s="602"/>
      <c r="O41" s="600"/>
      <c r="P41" s="600"/>
      <c r="Q41" s="600"/>
      <c r="R41" s="310"/>
      <c r="S41" s="310">
        <f>(35*F41)*1.05</f>
        <v>367.5</v>
      </c>
      <c r="T41" s="388"/>
      <c r="U41" s="330"/>
      <c r="V41" s="331"/>
      <c r="W41" s="331"/>
      <c r="X41" s="331"/>
      <c r="Y41" s="331"/>
      <c r="Z41" s="331" t="s">
        <v>2022</v>
      </c>
      <c r="AA41" s="331">
        <v>2.268650241E9</v>
      </c>
      <c r="AB41" s="331"/>
      <c r="AC41" s="331"/>
      <c r="AD41" s="331"/>
      <c r="AE41" s="253" t="s">
        <v>284</v>
      </c>
      <c r="AF41" s="253"/>
      <c r="AG41" s="262"/>
      <c r="AH41" s="263">
        <v>43521.0</v>
      </c>
      <c r="AI41" s="262" t="s">
        <v>2023</v>
      </c>
      <c r="AJ41" s="262" t="s">
        <v>2024</v>
      </c>
      <c r="AK41" s="253" t="s">
        <v>50</v>
      </c>
      <c r="AL41" s="253" t="s">
        <v>285</v>
      </c>
      <c r="AM41" s="253" t="s">
        <v>51</v>
      </c>
      <c r="AN41" s="253" t="s">
        <v>52</v>
      </c>
      <c r="AO41" s="264"/>
    </row>
    <row r="42" ht="15.75" customHeight="1">
      <c r="A42" s="69">
        <v>43446.0</v>
      </c>
      <c r="B42" s="265" t="s">
        <v>101</v>
      </c>
      <c r="C42" s="252" t="s">
        <v>349</v>
      </c>
      <c r="D42" s="328" t="s">
        <v>350</v>
      </c>
      <c r="E42" s="246" t="s">
        <v>358</v>
      </c>
      <c r="F42" s="253">
        <v>10.0</v>
      </c>
      <c r="G42" s="254">
        <v>2.6</v>
      </c>
      <c r="H42" s="332">
        <f t="shared" si="3"/>
        <v>26</v>
      </c>
      <c r="I42" s="256" t="s">
        <v>303</v>
      </c>
      <c r="J42" s="269" t="s">
        <v>290</v>
      </c>
      <c r="K42" s="258">
        <v>43475.0</v>
      </c>
      <c r="L42" s="601">
        <v>43454.0</v>
      </c>
      <c r="M42" s="253" t="s">
        <v>179</v>
      </c>
      <c r="N42" s="602"/>
      <c r="O42" s="600"/>
      <c r="P42" s="600"/>
      <c r="Q42" s="600"/>
      <c r="R42" s="600"/>
      <c r="S42" s="600"/>
      <c r="T42" s="330"/>
      <c r="U42" s="330"/>
      <c r="V42" s="331"/>
      <c r="W42" s="331"/>
      <c r="X42" s="331"/>
      <c r="Y42" s="331"/>
      <c r="Z42" s="331" t="s">
        <v>2022</v>
      </c>
      <c r="AA42" s="331">
        <v>2.268650241E9</v>
      </c>
      <c r="AB42" s="331"/>
      <c r="AC42" s="331"/>
      <c r="AD42" s="331"/>
      <c r="AE42" s="253" t="s">
        <v>284</v>
      </c>
      <c r="AF42" s="253"/>
      <c r="AG42" s="262"/>
      <c r="AH42" s="263">
        <v>43521.0</v>
      </c>
      <c r="AI42" s="262" t="s">
        <v>2023</v>
      </c>
      <c r="AJ42" s="262" t="s">
        <v>2024</v>
      </c>
      <c r="AK42" s="253" t="s">
        <v>50</v>
      </c>
      <c r="AL42" s="253" t="s">
        <v>285</v>
      </c>
      <c r="AM42" s="253" t="s">
        <v>51</v>
      </c>
      <c r="AN42" s="253" t="s">
        <v>52</v>
      </c>
      <c r="AO42" s="264"/>
    </row>
    <row r="43" ht="15.75" customHeight="1">
      <c r="A43" s="69">
        <v>43446.0</v>
      </c>
      <c r="B43" s="265" t="s">
        <v>101</v>
      </c>
      <c r="C43" s="252" t="s">
        <v>349</v>
      </c>
      <c r="D43" s="328" t="s">
        <v>350</v>
      </c>
      <c r="E43" s="246" t="s">
        <v>359</v>
      </c>
      <c r="F43" s="253">
        <v>10.0</v>
      </c>
      <c r="G43" s="254">
        <v>8.0</v>
      </c>
      <c r="H43" s="255">
        <f t="shared" si="3"/>
        <v>80</v>
      </c>
      <c r="I43" s="256" t="s">
        <v>303</v>
      </c>
      <c r="J43" s="269" t="s">
        <v>290</v>
      </c>
      <c r="K43" s="258">
        <v>43475.0</v>
      </c>
      <c r="L43" s="258">
        <v>43479.0</v>
      </c>
      <c r="M43" s="253" t="s">
        <v>2038</v>
      </c>
      <c r="N43" s="602"/>
      <c r="O43" s="600"/>
      <c r="P43" s="600"/>
      <c r="Q43" s="600"/>
      <c r="R43" s="600"/>
      <c r="S43" s="600"/>
      <c r="T43" s="330"/>
      <c r="U43" s="330"/>
      <c r="V43" s="331"/>
      <c r="W43" s="331"/>
      <c r="X43" s="331"/>
      <c r="Y43" s="331"/>
      <c r="Z43" s="331" t="s">
        <v>2022</v>
      </c>
      <c r="AA43" s="331">
        <v>2.268650241E9</v>
      </c>
      <c r="AB43" s="331"/>
      <c r="AC43" s="331"/>
      <c r="AD43" s="331"/>
      <c r="AE43" s="253" t="s">
        <v>284</v>
      </c>
      <c r="AF43" s="253"/>
      <c r="AG43" s="262"/>
      <c r="AH43" s="263">
        <v>43521.0</v>
      </c>
      <c r="AI43" s="262" t="s">
        <v>2023</v>
      </c>
      <c r="AJ43" s="262" t="s">
        <v>2024</v>
      </c>
      <c r="AK43" s="253" t="s">
        <v>50</v>
      </c>
      <c r="AL43" s="253" t="s">
        <v>285</v>
      </c>
      <c r="AM43" s="253" t="s">
        <v>51</v>
      </c>
      <c r="AN43" s="253" t="s">
        <v>52</v>
      </c>
      <c r="AO43" s="264"/>
    </row>
    <row r="44" ht="15.75" customHeight="1">
      <c r="A44" s="69">
        <v>43446.0</v>
      </c>
      <c r="B44" s="265" t="s">
        <v>77</v>
      </c>
      <c r="C44" s="252"/>
      <c r="D44" s="252" t="s">
        <v>360</v>
      </c>
      <c r="E44" s="246" t="s">
        <v>361</v>
      </c>
      <c r="F44" s="253">
        <v>1.0</v>
      </c>
      <c r="G44" s="254">
        <v>0.0</v>
      </c>
      <c r="H44" s="255">
        <v>0.0</v>
      </c>
      <c r="I44" s="256" t="s">
        <v>43</v>
      </c>
      <c r="J44" s="333" t="s">
        <v>316</v>
      </c>
      <c r="K44" s="258">
        <v>43469.0</v>
      </c>
      <c r="L44" s="258">
        <v>43458.0</v>
      </c>
      <c r="M44" s="266" t="s">
        <v>2039</v>
      </c>
      <c r="N44" s="252" t="s">
        <v>578</v>
      </c>
      <c r="O44" s="600"/>
      <c r="P44" s="600"/>
      <c r="Q44" s="600"/>
      <c r="R44" s="581"/>
      <c r="S44" s="581" t="s">
        <v>578</v>
      </c>
      <c r="T44" s="340"/>
      <c r="U44" s="334"/>
      <c r="V44" s="331" t="s">
        <v>578</v>
      </c>
      <c r="W44" s="331" t="s">
        <v>578</v>
      </c>
      <c r="X44" s="331" t="s">
        <v>578</v>
      </c>
      <c r="Y44" s="331"/>
      <c r="Z44" s="331" t="s">
        <v>2040</v>
      </c>
      <c r="AA44" s="331">
        <v>6.0396917E8</v>
      </c>
      <c r="AB44" s="331"/>
      <c r="AC44" s="331"/>
      <c r="AD44" s="331"/>
      <c r="AE44" s="253"/>
      <c r="AF44" s="253"/>
      <c r="AG44" s="262"/>
      <c r="AH44" s="253"/>
      <c r="AI44" s="262" t="s">
        <v>2004</v>
      </c>
      <c r="AJ44" s="262" t="s">
        <v>2005</v>
      </c>
      <c r="AK44" s="253" t="s">
        <v>50</v>
      </c>
      <c r="AL44" s="253" t="s">
        <v>285</v>
      </c>
      <c r="AM44" s="253" t="s">
        <v>51</v>
      </c>
      <c r="AN44" s="253" t="s">
        <v>52</v>
      </c>
      <c r="AO44" s="264"/>
    </row>
    <row r="45" ht="15.75" customHeight="1">
      <c r="A45" s="69">
        <v>43446.0</v>
      </c>
      <c r="B45" s="265" t="s">
        <v>77</v>
      </c>
      <c r="C45" s="252">
        <v>1314.0</v>
      </c>
      <c r="D45" s="252" t="s">
        <v>360</v>
      </c>
      <c r="E45" s="246" t="s">
        <v>362</v>
      </c>
      <c r="F45" s="307">
        <v>40.0</v>
      </c>
      <c r="G45" s="254">
        <v>20.0</v>
      </c>
      <c r="H45" s="255">
        <f t="shared" ref="H45:H66" si="4">G45*F45</f>
        <v>800</v>
      </c>
      <c r="I45" s="256" t="s">
        <v>43</v>
      </c>
      <c r="J45" s="333" t="s">
        <v>316</v>
      </c>
      <c r="K45" s="258">
        <v>43469.0</v>
      </c>
      <c r="L45" s="258">
        <v>43448.0</v>
      </c>
      <c r="M45" s="403" t="s">
        <v>2041</v>
      </c>
      <c r="N45" s="252" t="s">
        <v>2042</v>
      </c>
      <c r="O45" s="268"/>
      <c r="P45" s="268"/>
      <c r="Q45" s="268">
        <v>730.8</v>
      </c>
      <c r="R45" s="596"/>
      <c r="S45" s="596">
        <v>22546.0</v>
      </c>
      <c r="T45" s="310" t="s">
        <v>2043</v>
      </c>
      <c r="U45" s="260">
        <v>43460.0</v>
      </c>
      <c r="V45" s="271">
        <v>43448.0</v>
      </c>
      <c r="W45" s="261" t="s">
        <v>363</v>
      </c>
      <c r="X45" s="272">
        <v>22546.0</v>
      </c>
      <c r="Y45" s="260">
        <v>43472.0</v>
      </c>
      <c r="Z45" s="331" t="s">
        <v>2040</v>
      </c>
      <c r="AA45" s="331">
        <v>6.0396917E8</v>
      </c>
      <c r="AB45" s="331"/>
      <c r="AC45" s="331"/>
      <c r="AD45" s="331"/>
      <c r="AE45" s="253"/>
      <c r="AF45" s="253"/>
      <c r="AG45" s="262"/>
      <c r="AH45" s="253"/>
      <c r="AI45" s="262" t="s">
        <v>2004</v>
      </c>
      <c r="AJ45" s="262" t="s">
        <v>2005</v>
      </c>
      <c r="AK45" s="253" t="s">
        <v>50</v>
      </c>
      <c r="AL45" s="253" t="s">
        <v>285</v>
      </c>
      <c r="AM45" s="253" t="s">
        <v>51</v>
      </c>
      <c r="AN45" s="253" t="s">
        <v>52</v>
      </c>
      <c r="AO45" s="264"/>
    </row>
    <row r="46" ht="15.75" customHeight="1">
      <c r="A46" s="69">
        <v>43446.0</v>
      </c>
      <c r="B46" s="265" t="s">
        <v>101</v>
      </c>
      <c r="C46" s="252" t="s">
        <v>364</v>
      </c>
      <c r="D46" s="252" t="s">
        <v>365</v>
      </c>
      <c r="E46" s="246" t="s">
        <v>366</v>
      </c>
      <c r="F46" s="307">
        <v>22.0</v>
      </c>
      <c r="G46" s="254">
        <v>140.0</v>
      </c>
      <c r="H46" s="255">
        <f t="shared" si="4"/>
        <v>3080</v>
      </c>
      <c r="I46" s="256" t="s">
        <v>303</v>
      </c>
      <c r="J46" s="269" t="s">
        <v>290</v>
      </c>
      <c r="K46" s="258">
        <v>43482.0</v>
      </c>
      <c r="L46" s="258">
        <v>43475.0</v>
      </c>
      <c r="M46" s="603" t="s">
        <v>90</v>
      </c>
      <c r="N46" s="422" t="s">
        <v>2044</v>
      </c>
      <c r="O46" s="268"/>
      <c r="P46" s="268"/>
      <c r="Q46" s="268">
        <v>2541.0</v>
      </c>
      <c r="R46" s="310"/>
      <c r="S46" s="310">
        <v>78136.0</v>
      </c>
      <c r="T46" s="578" t="s">
        <v>94</v>
      </c>
      <c r="U46" s="326">
        <v>43524.0</v>
      </c>
      <c r="V46" s="260">
        <v>43474.0</v>
      </c>
      <c r="W46" s="261" t="s">
        <v>367</v>
      </c>
      <c r="X46" s="272">
        <v>78136.0</v>
      </c>
      <c r="Y46" s="260">
        <v>43522.0</v>
      </c>
      <c r="Z46" s="331" t="s">
        <v>1977</v>
      </c>
      <c r="AA46" s="581">
        <v>3.393663825E9</v>
      </c>
      <c r="AB46" s="331"/>
      <c r="AC46" s="331"/>
      <c r="AD46" s="331"/>
      <c r="AE46" s="253" t="s">
        <v>284</v>
      </c>
      <c r="AF46" s="253"/>
      <c r="AG46" s="262"/>
      <c r="AH46" s="263">
        <v>43530.0</v>
      </c>
      <c r="AI46" s="262"/>
      <c r="AJ46" s="262"/>
      <c r="AK46" s="253" t="s">
        <v>50</v>
      </c>
      <c r="AL46" s="253" t="s">
        <v>285</v>
      </c>
      <c r="AM46" s="253" t="s">
        <v>51</v>
      </c>
      <c r="AN46" s="253" t="s">
        <v>52</v>
      </c>
      <c r="AO46" s="264"/>
    </row>
    <row r="47" ht="15.75" customHeight="1">
      <c r="A47" s="69">
        <v>43446.0</v>
      </c>
      <c r="B47" s="265" t="s">
        <v>101</v>
      </c>
      <c r="C47" s="252" t="s">
        <v>364</v>
      </c>
      <c r="D47" s="328" t="s">
        <v>368</v>
      </c>
      <c r="E47" s="246" t="s">
        <v>369</v>
      </c>
      <c r="F47" s="307">
        <v>20.0</v>
      </c>
      <c r="G47" s="254">
        <v>76.0</v>
      </c>
      <c r="H47" s="255">
        <f t="shared" si="4"/>
        <v>1520</v>
      </c>
      <c r="I47" s="256" t="s">
        <v>303</v>
      </c>
      <c r="J47" s="269" t="s">
        <v>290</v>
      </c>
      <c r="K47" s="258">
        <v>43482.0</v>
      </c>
      <c r="L47" s="258">
        <v>43454.0</v>
      </c>
      <c r="M47" s="592" t="s">
        <v>2020</v>
      </c>
      <c r="N47" s="422" t="s">
        <v>2045</v>
      </c>
      <c r="O47" s="600"/>
      <c r="P47" s="600"/>
      <c r="Q47" s="600"/>
      <c r="R47" s="579"/>
      <c r="S47" s="579">
        <v>37716.0</v>
      </c>
      <c r="T47" s="604" t="s">
        <v>1983</v>
      </c>
      <c r="U47" s="326">
        <v>43120.0</v>
      </c>
      <c r="V47" s="260">
        <v>43454.0</v>
      </c>
      <c r="W47" s="261" t="s">
        <v>337</v>
      </c>
      <c r="X47" s="261" t="s">
        <v>2046</v>
      </c>
      <c r="Y47" s="260">
        <v>43528.0</v>
      </c>
      <c r="Z47" s="331" t="s">
        <v>1977</v>
      </c>
      <c r="AA47" s="581">
        <v>3.393663825E9</v>
      </c>
      <c r="AB47" s="331"/>
      <c r="AC47" s="331"/>
      <c r="AD47" s="331"/>
      <c r="AE47" s="253" t="s">
        <v>284</v>
      </c>
      <c r="AF47" s="253"/>
      <c r="AG47" s="262"/>
      <c r="AH47" s="263">
        <v>43530.0</v>
      </c>
      <c r="AI47" s="262"/>
      <c r="AJ47" s="262"/>
      <c r="AK47" s="253" t="s">
        <v>50</v>
      </c>
      <c r="AL47" s="253" t="s">
        <v>285</v>
      </c>
      <c r="AM47" s="253" t="s">
        <v>51</v>
      </c>
      <c r="AN47" s="253" t="s">
        <v>52</v>
      </c>
      <c r="AO47" s="264"/>
    </row>
    <row r="48" ht="15.75" customHeight="1">
      <c r="A48" s="69">
        <v>43446.0</v>
      </c>
      <c r="B48" s="265" t="s">
        <v>101</v>
      </c>
      <c r="C48" s="252" t="s">
        <v>364</v>
      </c>
      <c r="D48" s="328" t="s">
        <v>368</v>
      </c>
      <c r="E48" s="246" t="s">
        <v>371</v>
      </c>
      <c r="F48" s="253">
        <v>20.0</v>
      </c>
      <c r="G48" s="254">
        <v>331.0</v>
      </c>
      <c r="H48" s="255">
        <f t="shared" si="4"/>
        <v>6620</v>
      </c>
      <c r="I48" s="256" t="s">
        <v>303</v>
      </c>
      <c r="J48" s="269" t="s">
        <v>290</v>
      </c>
      <c r="K48" s="258">
        <v>43482.0</v>
      </c>
      <c r="L48" s="258">
        <v>43480.0</v>
      </c>
      <c r="M48" s="388" t="s">
        <v>2047</v>
      </c>
      <c r="N48" s="422" t="s">
        <v>2048</v>
      </c>
      <c r="O48" s="600"/>
      <c r="P48" s="600"/>
      <c r="Q48" s="600"/>
      <c r="R48" s="579"/>
      <c r="S48" s="579">
        <v>170780.0</v>
      </c>
      <c r="T48" s="578" t="s">
        <v>2030</v>
      </c>
      <c r="U48" s="326">
        <v>43524.0</v>
      </c>
      <c r="V48" s="260">
        <v>43479.0</v>
      </c>
      <c r="W48" s="261" t="s">
        <v>372</v>
      </c>
      <c r="X48" s="272">
        <v>175443.0</v>
      </c>
      <c r="Y48" s="260">
        <v>43524.0</v>
      </c>
      <c r="Z48" s="331" t="s">
        <v>1977</v>
      </c>
      <c r="AA48" s="581">
        <v>3.393663825E9</v>
      </c>
      <c r="AB48" s="331"/>
      <c r="AC48" s="331"/>
      <c r="AD48" s="331"/>
      <c r="AE48" s="253" t="s">
        <v>284</v>
      </c>
      <c r="AF48" s="253"/>
      <c r="AG48" s="262"/>
      <c r="AH48" s="263">
        <v>43530.0</v>
      </c>
      <c r="AI48" s="262"/>
      <c r="AJ48" s="262"/>
      <c r="AK48" s="253" t="s">
        <v>50</v>
      </c>
      <c r="AL48" s="253" t="s">
        <v>285</v>
      </c>
      <c r="AM48" s="253" t="s">
        <v>51</v>
      </c>
      <c r="AN48" s="253" t="s">
        <v>52</v>
      </c>
      <c r="AO48" s="264"/>
    </row>
    <row r="49" ht="15.75" customHeight="1">
      <c r="A49" s="69">
        <v>43446.0</v>
      </c>
      <c r="B49" s="265" t="s">
        <v>101</v>
      </c>
      <c r="C49" s="252" t="s">
        <v>364</v>
      </c>
      <c r="D49" s="328" t="s">
        <v>368</v>
      </c>
      <c r="E49" s="246" t="s">
        <v>292</v>
      </c>
      <c r="F49" s="253">
        <v>20.0</v>
      </c>
      <c r="G49" s="254">
        <v>9.0</v>
      </c>
      <c r="H49" s="255">
        <f t="shared" si="4"/>
        <v>180</v>
      </c>
      <c r="I49" s="256" t="s">
        <v>303</v>
      </c>
      <c r="J49" s="269" t="s">
        <v>290</v>
      </c>
      <c r="K49" s="258">
        <v>43482.0</v>
      </c>
      <c r="L49" s="258">
        <v>43480.0</v>
      </c>
      <c r="M49" s="330" t="s">
        <v>2047</v>
      </c>
      <c r="N49" s="422" t="s">
        <v>2048</v>
      </c>
      <c r="O49" s="600"/>
      <c r="P49" s="600"/>
      <c r="Q49" s="600"/>
      <c r="R49" s="579"/>
      <c r="S49" s="579">
        <v>4663.008</v>
      </c>
      <c r="T49" s="578" t="s">
        <v>2030</v>
      </c>
      <c r="U49" s="326">
        <v>43524.0</v>
      </c>
      <c r="V49" s="260">
        <v>43479.0</v>
      </c>
      <c r="W49" s="261" t="s">
        <v>372</v>
      </c>
      <c r="X49" s="261" t="s">
        <v>2049</v>
      </c>
      <c r="Y49" s="260">
        <v>43524.0</v>
      </c>
      <c r="Z49" s="331" t="s">
        <v>1977</v>
      </c>
      <c r="AA49" s="581">
        <v>3.393663825E9</v>
      </c>
      <c r="AB49" s="331"/>
      <c r="AC49" s="331"/>
      <c r="AD49" s="331"/>
      <c r="AE49" s="253" t="s">
        <v>284</v>
      </c>
      <c r="AF49" s="253"/>
      <c r="AG49" s="262"/>
      <c r="AH49" s="263">
        <v>43530.0</v>
      </c>
      <c r="AI49" s="262"/>
      <c r="AJ49" s="262"/>
      <c r="AK49" s="253" t="s">
        <v>50</v>
      </c>
      <c r="AL49" s="253" t="s">
        <v>285</v>
      </c>
      <c r="AM49" s="253" t="s">
        <v>51</v>
      </c>
      <c r="AN49" s="253" t="s">
        <v>52</v>
      </c>
      <c r="AO49" s="264"/>
    </row>
    <row r="50" ht="15.75" customHeight="1">
      <c r="A50" s="69">
        <v>43452.0</v>
      </c>
      <c r="B50" s="265" t="s">
        <v>373</v>
      </c>
      <c r="C50" s="252">
        <v>2.01812170017E11</v>
      </c>
      <c r="D50" s="252" t="s">
        <v>374</v>
      </c>
      <c r="E50" s="246" t="s">
        <v>375</v>
      </c>
      <c r="F50" s="307">
        <v>40.0</v>
      </c>
      <c r="G50" s="254">
        <v>63.0</v>
      </c>
      <c r="H50" s="336">
        <f t="shared" si="4"/>
        <v>2520</v>
      </c>
      <c r="I50" s="256" t="s">
        <v>43</v>
      </c>
      <c r="J50" s="256" t="s">
        <v>90</v>
      </c>
      <c r="K50" s="337">
        <v>43469.0</v>
      </c>
      <c r="L50" s="258">
        <v>43468.0</v>
      </c>
      <c r="M50" s="403" t="s">
        <v>90</v>
      </c>
      <c r="N50" s="252" t="s">
        <v>2050</v>
      </c>
      <c r="O50" s="268"/>
      <c r="P50" s="268"/>
      <c r="Q50" s="268">
        <v>2352.0</v>
      </c>
      <c r="R50" s="605"/>
      <c r="S50" s="605">
        <v>72324.0</v>
      </c>
      <c r="T50" s="578" t="s">
        <v>94</v>
      </c>
      <c r="U50" s="326">
        <v>43524.0</v>
      </c>
      <c r="V50" s="260">
        <v>43468.0</v>
      </c>
      <c r="W50" s="261" t="s">
        <v>376</v>
      </c>
      <c r="X50" s="272">
        <v>72324.0</v>
      </c>
      <c r="Y50" s="260">
        <v>43522.0</v>
      </c>
      <c r="Z50" s="331" t="s">
        <v>2051</v>
      </c>
      <c r="AA50" s="331" t="s">
        <v>2052</v>
      </c>
      <c r="AB50" s="331" t="s">
        <v>2053</v>
      </c>
      <c r="AC50" s="404">
        <v>77591.0</v>
      </c>
      <c r="AD50" s="606">
        <v>43468.0</v>
      </c>
      <c r="AE50" s="253" t="s">
        <v>377</v>
      </c>
      <c r="AF50" s="253"/>
      <c r="AG50" s="262"/>
      <c r="AH50" s="253"/>
      <c r="AI50" s="262"/>
      <c r="AJ50" s="262"/>
      <c r="AK50" s="253" t="s">
        <v>50</v>
      </c>
      <c r="AL50" s="253" t="s">
        <v>285</v>
      </c>
      <c r="AM50" s="253" t="s">
        <v>51</v>
      </c>
      <c r="AN50" s="253" t="s">
        <v>377</v>
      </c>
      <c r="AO50" s="264"/>
    </row>
    <row r="51" ht="15.75" customHeight="1">
      <c r="A51" s="69">
        <v>43452.0</v>
      </c>
      <c r="B51" s="144" t="s">
        <v>378</v>
      </c>
      <c r="C51" s="252">
        <v>8730.0</v>
      </c>
      <c r="D51" s="252" t="s">
        <v>379</v>
      </c>
      <c r="E51" s="23" t="s">
        <v>380</v>
      </c>
      <c r="F51" s="307">
        <v>187.0</v>
      </c>
      <c r="G51" s="338">
        <v>62.0</v>
      </c>
      <c r="H51" s="255">
        <f t="shared" si="4"/>
        <v>11594</v>
      </c>
      <c r="I51" s="256" t="s">
        <v>171</v>
      </c>
      <c r="J51" s="269" t="s">
        <v>381</v>
      </c>
      <c r="K51" s="258">
        <v>43514.0</v>
      </c>
      <c r="L51" s="258">
        <v>43508.0</v>
      </c>
      <c r="M51" s="266" t="s">
        <v>2054</v>
      </c>
      <c r="N51" s="252" t="s">
        <v>2055</v>
      </c>
      <c r="O51" s="598"/>
      <c r="P51" s="598"/>
      <c r="Q51" s="598"/>
      <c r="R51" s="579"/>
      <c r="S51" s="579">
        <v>266643.0</v>
      </c>
      <c r="T51" s="252" t="s">
        <v>2056</v>
      </c>
      <c r="U51" s="260">
        <v>43529.0</v>
      </c>
      <c r="V51" s="260">
        <v>43508.0</v>
      </c>
      <c r="W51" s="261" t="s">
        <v>382</v>
      </c>
      <c r="X51" s="272">
        <v>266643.0</v>
      </c>
      <c r="Y51" s="260">
        <v>43531.0</v>
      </c>
      <c r="Z51" s="331" t="s">
        <v>2057</v>
      </c>
      <c r="AA51" s="331" t="s">
        <v>2058</v>
      </c>
      <c r="AB51" s="331"/>
      <c r="AC51" s="331"/>
      <c r="AD51" s="331"/>
      <c r="AE51" s="253" t="s">
        <v>284</v>
      </c>
      <c r="AF51" s="253"/>
      <c r="AG51" s="262"/>
      <c r="AH51" s="253"/>
      <c r="AI51" s="262">
        <f>(11584-6.5)*30.79</f>
        <v>356471.225</v>
      </c>
      <c r="AJ51" s="262">
        <f>6.5*30.79+10*30.79</f>
        <v>508.035</v>
      </c>
      <c r="AK51" s="253" t="s">
        <v>50</v>
      </c>
      <c r="AL51" s="253" t="s">
        <v>285</v>
      </c>
      <c r="AM51" s="253" t="s">
        <v>286</v>
      </c>
      <c r="AN51" s="253" t="s">
        <v>52</v>
      </c>
      <c r="AO51" s="264"/>
    </row>
    <row r="52" ht="15.75" customHeight="1">
      <c r="A52" s="69">
        <v>43452.0</v>
      </c>
      <c r="B52" s="144" t="s">
        <v>378</v>
      </c>
      <c r="C52" s="252">
        <v>8730.0</v>
      </c>
      <c r="D52" s="252" t="s">
        <v>379</v>
      </c>
      <c r="E52" s="23" t="s">
        <v>383</v>
      </c>
      <c r="F52" s="307">
        <v>187.0</v>
      </c>
      <c r="G52" s="338">
        <v>0.0</v>
      </c>
      <c r="H52" s="255">
        <f t="shared" si="4"/>
        <v>0</v>
      </c>
      <c r="I52" s="256" t="s">
        <v>171</v>
      </c>
      <c r="J52" s="269" t="s">
        <v>381</v>
      </c>
      <c r="K52" s="258">
        <v>43514.0</v>
      </c>
      <c r="L52" s="258">
        <v>43469.0</v>
      </c>
      <c r="M52" s="266" t="s">
        <v>1970</v>
      </c>
      <c r="N52" s="252"/>
      <c r="O52" s="598"/>
      <c r="P52" s="598"/>
      <c r="Q52" s="598"/>
      <c r="R52" s="596"/>
      <c r="S52" s="596"/>
      <c r="T52" s="265"/>
      <c r="U52" s="339"/>
      <c r="V52" s="331"/>
      <c r="W52" s="331"/>
      <c r="X52" s="331"/>
      <c r="Y52" s="331"/>
      <c r="Z52" s="331" t="s">
        <v>2059</v>
      </c>
      <c r="AA52" s="331" t="s">
        <v>2060</v>
      </c>
      <c r="AB52" s="331"/>
      <c r="AC52" s="331"/>
      <c r="AD52" s="331"/>
      <c r="AE52" s="253" t="s">
        <v>284</v>
      </c>
      <c r="AF52" s="253"/>
      <c r="AG52" s="262"/>
      <c r="AH52" s="253"/>
      <c r="AI52" s="262" t="s">
        <v>2061</v>
      </c>
      <c r="AJ52" s="262" t="s">
        <v>2061</v>
      </c>
      <c r="AK52" s="253" t="s">
        <v>50</v>
      </c>
      <c r="AL52" s="253" t="s">
        <v>285</v>
      </c>
      <c r="AM52" s="253" t="s">
        <v>286</v>
      </c>
      <c r="AN52" s="253" t="s">
        <v>52</v>
      </c>
      <c r="AO52" s="264"/>
    </row>
    <row r="53" ht="15.75" customHeight="1">
      <c r="A53" s="19">
        <v>43453.0</v>
      </c>
      <c r="B53" s="340" t="s">
        <v>54</v>
      </c>
      <c r="C53" s="252" t="s">
        <v>384</v>
      </c>
      <c r="D53" s="310" t="s">
        <v>385</v>
      </c>
      <c r="E53" s="23" t="s">
        <v>386</v>
      </c>
      <c r="F53" s="253">
        <v>10.0</v>
      </c>
      <c r="G53" s="254">
        <v>150.15</v>
      </c>
      <c r="H53" s="267">
        <f t="shared" si="4"/>
        <v>1501.5</v>
      </c>
      <c r="I53" s="266" t="s">
        <v>43</v>
      </c>
      <c r="J53" s="269" t="s">
        <v>90</v>
      </c>
      <c r="K53" s="258">
        <v>43479.0</v>
      </c>
      <c r="L53" s="258">
        <v>43479.0</v>
      </c>
      <c r="M53" s="603" t="s">
        <v>90</v>
      </c>
      <c r="N53" s="252" t="s">
        <v>2062</v>
      </c>
      <c r="O53" s="579"/>
      <c r="P53" s="579"/>
      <c r="Q53" s="579">
        <v>1344.0</v>
      </c>
      <c r="R53" s="310"/>
      <c r="S53" s="310">
        <v>41402.0</v>
      </c>
      <c r="T53" s="340" t="s">
        <v>94</v>
      </c>
      <c r="U53" s="326">
        <v>43524.0</v>
      </c>
      <c r="V53" s="260">
        <v>43479.0</v>
      </c>
      <c r="W53" s="261" t="s">
        <v>387</v>
      </c>
      <c r="X53" s="272">
        <v>41402.0</v>
      </c>
      <c r="Y53" s="260">
        <v>43522.0</v>
      </c>
      <c r="Z53" s="331" t="s">
        <v>2063</v>
      </c>
      <c r="AA53" s="331" t="s">
        <v>2064</v>
      </c>
      <c r="AB53" s="331">
        <v>30.802</v>
      </c>
      <c r="AC53" s="331">
        <v>46249.0</v>
      </c>
      <c r="AD53" s="606">
        <v>43480.0</v>
      </c>
      <c r="AE53" s="253"/>
      <c r="AF53" s="253"/>
      <c r="AG53" s="262"/>
      <c r="AH53" s="253"/>
      <c r="AI53" s="262"/>
      <c r="AJ53" s="262"/>
      <c r="AK53" s="253" t="s">
        <v>50</v>
      </c>
      <c r="AL53" s="253" t="s">
        <v>285</v>
      </c>
      <c r="AM53" s="253" t="s">
        <v>51</v>
      </c>
      <c r="AN53" s="253" t="s">
        <v>377</v>
      </c>
      <c r="AO53" s="264"/>
    </row>
    <row r="54" ht="15.75" customHeight="1">
      <c r="A54" s="19">
        <v>43455.0</v>
      </c>
      <c r="B54" s="51" t="s">
        <v>101</v>
      </c>
      <c r="C54" s="22" t="s">
        <v>388</v>
      </c>
      <c r="D54" s="607" t="s">
        <v>392</v>
      </c>
      <c r="E54" s="23" t="s">
        <v>2065</v>
      </c>
      <c r="F54" s="82">
        <v>3.0</v>
      </c>
      <c r="G54" s="47">
        <v>620.0</v>
      </c>
      <c r="H54" s="26">
        <f t="shared" si="4"/>
        <v>1860</v>
      </c>
      <c r="I54" s="61" t="s">
        <v>303</v>
      </c>
      <c r="J54" s="58" t="s">
        <v>290</v>
      </c>
      <c r="K54" s="30">
        <v>43522.0</v>
      </c>
      <c r="L54" s="30">
        <v>43521.0</v>
      </c>
      <c r="M54" s="58" t="s">
        <v>1439</v>
      </c>
      <c r="N54" s="93" t="s">
        <v>2066</v>
      </c>
      <c r="O54" s="587"/>
      <c r="P54" s="587"/>
      <c r="Q54" s="587">
        <v>1779.75</v>
      </c>
      <c r="R54" s="408"/>
      <c r="S54" s="408">
        <v>54825.0</v>
      </c>
      <c r="T54" s="20" t="s">
        <v>1976</v>
      </c>
      <c r="U54" s="294">
        <v>43555.0</v>
      </c>
      <c r="V54" s="295">
        <v>43519.0</v>
      </c>
      <c r="W54" s="296" t="s">
        <v>391</v>
      </c>
      <c r="X54" s="297">
        <v>73747.0</v>
      </c>
      <c r="Y54" s="295">
        <v>43557.0</v>
      </c>
      <c r="Z54" s="306" t="s">
        <v>2067</v>
      </c>
      <c r="AA54" s="306">
        <v>2.371347893E9</v>
      </c>
      <c r="AB54" s="306"/>
      <c r="AC54" s="306"/>
      <c r="AD54" s="306"/>
      <c r="AE54" s="298"/>
      <c r="AF54" s="298"/>
      <c r="AG54" s="299"/>
      <c r="AH54" s="300">
        <v>43602.0</v>
      </c>
      <c r="AI54" s="299" t="s">
        <v>1993</v>
      </c>
      <c r="AJ54" s="299" t="s">
        <v>1994</v>
      </c>
      <c r="AK54" s="298" t="s">
        <v>50</v>
      </c>
      <c r="AL54" s="24" t="s">
        <v>285</v>
      </c>
      <c r="AM54" s="298" t="s">
        <v>51</v>
      </c>
      <c r="AN54" s="298" t="s">
        <v>52</v>
      </c>
      <c r="AO54" s="234" t="s">
        <v>305</v>
      </c>
    </row>
    <row r="55" ht="15.75" customHeight="1">
      <c r="A55" s="19">
        <v>43455.0</v>
      </c>
      <c r="B55" s="51" t="s">
        <v>101</v>
      </c>
      <c r="C55" s="22" t="s">
        <v>388</v>
      </c>
      <c r="D55" s="22" t="s">
        <v>392</v>
      </c>
      <c r="E55" s="23" t="s">
        <v>393</v>
      </c>
      <c r="F55" s="82">
        <v>3.0</v>
      </c>
      <c r="G55" s="47">
        <v>219.0</v>
      </c>
      <c r="H55" s="26">
        <f t="shared" si="4"/>
        <v>657</v>
      </c>
      <c r="I55" s="61" t="s">
        <v>303</v>
      </c>
      <c r="J55" s="58" t="s">
        <v>290</v>
      </c>
      <c r="K55" s="30">
        <v>43522.0</v>
      </c>
      <c r="L55" s="30">
        <v>43521.0</v>
      </c>
      <c r="M55" s="58" t="s">
        <v>1439</v>
      </c>
      <c r="N55" s="93" t="s">
        <v>2066</v>
      </c>
      <c r="O55" s="408"/>
      <c r="P55" s="408"/>
      <c r="Q55" s="408">
        <v>614.25</v>
      </c>
      <c r="R55" s="408"/>
      <c r="S55" s="408">
        <v>18922.0</v>
      </c>
      <c r="T55" s="20" t="s">
        <v>1976</v>
      </c>
      <c r="U55" s="294">
        <v>43555.0</v>
      </c>
      <c r="V55" s="295">
        <v>43519.0</v>
      </c>
      <c r="W55" s="296" t="s">
        <v>391</v>
      </c>
      <c r="X55" s="296" t="s">
        <v>2068</v>
      </c>
      <c r="Y55" s="295">
        <v>43557.0</v>
      </c>
      <c r="Z55" s="306" t="s">
        <v>2067</v>
      </c>
      <c r="AA55" s="306">
        <v>2.371347893E9</v>
      </c>
      <c r="AB55" s="306"/>
      <c r="AC55" s="306"/>
      <c r="AD55" s="306"/>
      <c r="AE55" s="298"/>
      <c r="AF55" s="298"/>
      <c r="AG55" s="299"/>
      <c r="AH55" s="300">
        <v>43602.0</v>
      </c>
      <c r="AI55" s="299" t="s">
        <v>1993</v>
      </c>
      <c r="AJ55" s="299" t="s">
        <v>1994</v>
      </c>
      <c r="AK55" s="298" t="s">
        <v>50</v>
      </c>
      <c r="AL55" s="24" t="s">
        <v>285</v>
      </c>
      <c r="AM55" s="298" t="s">
        <v>51</v>
      </c>
      <c r="AN55" s="298" t="s">
        <v>52</v>
      </c>
      <c r="AO55" s="234" t="s">
        <v>305</v>
      </c>
    </row>
    <row r="56" ht="15.75" customHeight="1">
      <c r="A56" s="19">
        <v>43455.0</v>
      </c>
      <c r="B56" s="51" t="s">
        <v>101</v>
      </c>
      <c r="C56" s="22" t="s">
        <v>388</v>
      </c>
      <c r="D56" s="22" t="s">
        <v>392</v>
      </c>
      <c r="E56" s="23" t="s">
        <v>394</v>
      </c>
      <c r="F56" s="82">
        <v>3.0</v>
      </c>
      <c r="G56" s="47">
        <v>85.0</v>
      </c>
      <c r="H56" s="47">
        <f t="shared" si="4"/>
        <v>255</v>
      </c>
      <c r="I56" s="87" t="s">
        <v>303</v>
      </c>
      <c r="J56" s="31" t="s">
        <v>290</v>
      </c>
      <c r="K56" s="30">
        <v>43522.0</v>
      </c>
      <c r="L56" s="29">
        <v>43460.0</v>
      </c>
      <c r="M56" s="608" t="s">
        <v>2069</v>
      </c>
      <c r="N56" s="292" t="s">
        <v>2070</v>
      </c>
      <c r="O56" s="306"/>
      <c r="P56" s="306"/>
      <c r="Q56" s="306"/>
      <c r="R56" s="609"/>
      <c r="S56" s="609">
        <f>(2348*F56)*1.05</f>
        <v>7396.2</v>
      </c>
      <c r="T56" s="51" t="s">
        <v>1983</v>
      </c>
      <c r="U56" s="342" t="s">
        <v>395</v>
      </c>
      <c r="V56" s="342" t="s">
        <v>395</v>
      </c>
      <c r="W56" s="342" t="s">
        <v>395</v>
      </c>
      <c r="X56" s="342" t="s">
        <v>395</v>
      </c>
      <c r="Y56" s="342" t="s">
        <v>395</v>
      </c>
      <c r="Z56" s="306" t="s">
        <v>2067</v>
      </c>
      <c r="AA56" s="306">
        <v>2.371347893E9</v>
      </c>
      <c r="AB56" s="306"/>
      <c r="AC56" s="306"/>
      <c r="AD56" s="298"/>
      <c r="AE56" s="298"/>
      <c r="AF56" s="298"/>
      <c r="AG56" s="299"/>
      <c r="AH56" s="300">
        <v>43602.0</v>
      </c>
      <c r="AI56" s="299" t="s">
        <v>1993</v>
      </c>
      <c r="AJ56" s="299" t="s">
        <v>1994</v>
      </c>
      <c r="AK56" s="298" t="s">
        <v>50</v>
      </c>
      <c r="AL56" s="24" t="s">
        <v>285</v>
      </c>
      <c r="AM56" s="298" t="s">
        <v>51</v>
      </c>
      <c r="AN56" s="298" t="s">
        <v>52</v>
      </c>
      <c r="AO56" s="234" t="s">
        <v>305</v>
      </c>
    </row>
    <row r="57" ht="15.75" customHeight="1">
      <c r="A57" s="343">
        <v>43455.0</v>
      </c>
      <c r="B57" s="344" t="s">
        <v>101</v>
      </c>
      <c r="C57" s="345" t="s">
        <v>388</v>
      </c>
      <c r="D57" s="345" t="s">
        <v>396</v>
      </c>
      <c r="E57" s="23" t="s">
        <v>393</v>
      </c>
      <c r="F57" s="346">
        <v>3.0</v>
      </c>
      <c r="G57" s="347">
        <v>219.0</v>
      </c>
      <c r="H57" s="26">
        <f t="shared" si="4"/>
        <v>657</v>
      </c>
      <c r="I57" s="348" t="s">
        <v>303</v>
      </c>
      <c r="J57" s="349" t="s">
        <v>290</v>
      </c>
      <c r="K57" s="30">
        <v>43563.0</v>
      </c>
      <c r="L57" s="30">
        <v>43558.0</v>
      </c>
      <c r="M57" s="58" t="s">
        <v>1439</v>
      </c>
      <c r="N57" s="21" t="s">
        <v>2066</v>
      </c>
      <c r="O57" s="34"/>
      <c r="P57" s="34"/>
      <c r="Q57" s="34">
        <v>614.25</v>
      </c>
      <c r="R57" s="41"/>
      <c r="S57" s="41">
        <v>18922.0</v>
      </c>
      <c r="T57" s="20" t="s">
        <v>1976</v>
      </c>
      <c r="U57" s="350">
        <v>43616.0</v>
      </c>
      <c r="V57" s="351">
        <v>43557.0</v>
      </c>
      <c r="W57" s="352" t="s">
        <v>397</v>
      </c>
      <c r="X57" s="352" t="s">
        <v>2071</v>
      </c>
      <c r="Y57" s="305">
        <v>43616.0</v>
      </c>
      <c r="Z57" s="37" t="s">
        <v>2072</v>
      </c>
      <c r="AA57" s="22">
        <v>1.022758925E9</v>
      </c>
      <c r="AB57" s="610">
        <v>43616.0</v>
      </c>
      <c r="AC57" s="37"/>
      <c r="AD57" s="37"/>
      <c r="AE57" s="24"/>
      <c r="AF57" s="24">
        <v>30.77</v>
      </c>
      <c r="AG57" s="55">
        <f t="shared" ref="AG57:AG59" si="5">H57*AF57</f>
        <v>20215.89</v>
      </c>
      <c r="AH57" s="56">
        <v>43565.0</v>
      </c>
      <c r="AI57" s="38">
        <f>11409.5*30.78</f>
        <v>351184.41</v>
      </c>
      <c r="AJ57" s="38">
        <f>(11426-11409.5)*30.78</f>
        <v>507.87</v>
      </c>
      <c r="AK57" s="24" t="s">
        <v>50</v>
      </c>
      <c r="AL57" s="24" t="s">
        <v>285</v>
      </c>
      <c r="AM57" s="24" t="s">
        <v>51</v>
      </c>
      <c r="AN57" s="54" t="s">
        <v>52</v>
      </c>
      <c r="AO57" s="57" t="s">
        <v>398</v>
      </c>
    </row>
    <row r="58" ht="15.75" customHeight="1">
      <c r="A58" s="343">
        <v>43455.0</v>
      </c>
      <c r="B58" s="344" t="s">
        <v>101</v>
      </c>
      <c r="C58" s="345" t="s">
        <v>388</v>
      </c>
      <c r="D58" s="353" t="s">
        <v>396</v>
      </c>
      <c r="E58" s="23" t="s">
        <v>2073</v>
      </c>
      <c r="F58" s="346">
        <v>3.0</v>
      </c>
      <c r="G58" s="347">
        <v>620.0</v>
      </c>
      <c r="H58" s="26">
        <f t="shared" si="4"/>
        <v>1860</v>
      </c>
      <c r="I58" s="348" t="s">
        <v>303</v>
      </c>
      <c r="J58" s="349" t="s">
        <v>290</v>
      </c>
      <c r="K58" s="30">
        <v>43563.0</v>
      </c>
      <c r="L58" s="30">
        <v>43558.0</v>
      </c>
      <c r="M58" s="58" t="s">
        <v>1439</v>
      </c>
      <c r="N58" s="93" t="s">
        <v>2066</v>
      </c>
      <c r="O58" s="611"/>
      <c r="P58" s="611"/>
      <c r="Q58" s="611">
        <v>1779.75</v>
      </c>
      <c r="R58" s="41"/>
      <c r="S58" s="41">
        <v>54825.0</v>
      </c>
      <c r="T58" s="20" t="s">
        <v>1976</v>
      </c>
      <c r="U58" s="354">
        <v>43616.0</v>
      </c>
      <c r="V58" s="351">
        <v>43557.0</v>
      </c>
      <c r="W58" s="352" t="s">
        <v>397</v>
      </c>
      <c r="X58" s="352">
        <v>73747.0</v>
      </c>
      <c r="Y58" s="305">
        <v>43616.0</v>
      </c>
      <c r="Z58" s="37" t="s">
        <v>2072</v>
      </c>
      <c r="AA58" s="22">
        <v>1.022758925E9</v>
      </c>
      <c r="AB58" s="610">
        <v>43616.0</v>
      </c>
      <c r="AC58" s="37"/>
      <c r="AD58" s="37"/>
      <c r="AE58" s="24"/>
      <c r="AF58" s="24">
        <v>30.77</v>
      </c>
      <c r="AG58" s="55">
        <f t="shared" si="5"/>
        <v>57232.2</v>
      </c>
      <c r="AH58" s="56">
        <v>43565.0</v>
      </c>
      <c r="AI58" s="38" t="s">
        <v>2074</v>
      </c>
      <c r="AJ58" s="38" t="s">
        <v>2075</v>
      </c>
      <c r="AK58" s="24" t="s">
        <v>50</v>
      </c>
      <c r="AL58" s="24" t="s">
        <v>285</v>
      </c>
      <c r="AM58" s="24" t="s">
        <v>51</v>
      </c>
      <c r="AN58" s="54" t="s">
        <v>52</v>
      </c>
      <c r="AO58" s="57" t="s">
        <v>398</v>
      </c>
    </row>
    <row r="59" ht="15.75" customHeight="1">
      <c r="A59" s="343">
        <v>43455.0</v>
      </c>
      <c r="B59" s="344" t="s">
        <v>101</v>
      </c>
      <c r="C59" s="345" t="s">
        <v>388</v>
      </c>
      <c r="D59" s="345" t="s">
        <v>396</v>
      </c>
      <c r="E59" s="23" t="s">
        <v>394</v>
      </c>
      <c r="F59" s="346">
        <v>3.0</v>
      </c>
      <c r="G59" s="347">
        <v>85.0</v>
      </c>
      <c r="H59" s="26">
        <f t="shared" si="4"/>
        <v>255</v>
      </c>
      <c r="I59" s="348" t="s">
        <v>303</v>
      </c>
      <c r="J59" s="349" t="s">
        <v>290</v>
      </c>
      <c r="K59" s="30">
        <v>43563.0</v>
      </c>
      <c r="L59" s="29">
        <v>43460.0</v>
      </c>
      <c r="M59" s="35" t="s">
        <v>2069</v>
      </c>
      <c r="N59" s="292" t="s">
        <v>2070</v>
      </c>
      <c r="O59" s="41"/>
      <c r="P59" s="41"/>
      <c r="Q59" s="41"/>
      <c r="R59" s="612"/>
      <c r="S59" s="612">
        <v>7392.0</v>
      </c>
      <c r="T59" s="555" t="s">
        <v>1983</v>
      </c>
      <c r="U59" s="355"/>
      <c r="V59" s="46"/>
      <c r="W59" s="37"/>
      <c r="X59" s="356"/>
      <c r="Y59" s="37"/>
      <c r="Z59" s="37" t="s">
        <v>2072</v>
      </c>
      <c r="AA59" s="22">
        <v>1.022758925E9</v>
      </c>
      <c r="AB59" s="37"/>
      <c r="AC59" s="37"/>
      <c r="AD59" s="37"/>
      <c r="AE59" s="24"/>
      <c r="AF59" s="24">
        <v>30.77</v>
      </c>
      <c r="AG59" s="55">
        <f t="shared" si="5"/>
        <v>7846.35</v>
      </c>
      <c r="AH59" s="56">
        <v>43565.0</v>
      </c>
      <c r="AI59" s="38" t="s">
        <v>2074</v>
      </c>
      <c r="AJ59" s="38" t="s">
        <v>2075</v>
      </c>
      <c r="AK59" s="24" t="s">
        <v>50</v>
      </c>
      <c r="AL59" s="24" t="s">
        <v>285</v>
      </c>
      <c r="AM59" s="24" t="s">
        <v>51</v>
      </c>
      <c r="AN59" s="24" t="s">
        <v>52</v>
      </c>
      <c r="AO59" s="40" t="s">
        <v>398</v>
      </c>
    </row>
    <row r="60" ht="15.75" customHeight="1">
      <c r="A60" s="110">
        <v>43458.0</v>
      </c>
      <c r="B60" s="357" t="s">
        <v>400</v>
      </c>
      <c r="C60" s="358" t="s">
        <v>401</v>
      </c>
      <c r="D60" s="358" t="s">
        <v>402</v>
      </c>
      <c r="E60" s="23" t="s">
        <v>403</v>
      </c>
      <c r="F60" s="359">
        <v>5.0</v>
      </c>
      <c r="G60" s="357">
        <v>231.0</v>
      </c>
      <c r="H60" s="255">
        <f t="shared" si="4"/>
        <v>1155</v>
      </c>
      <c r="I60" s="266" t="s">
        <v>303</v>
      </c>
      <c r="J60" s="269" t="s">
        <v>404</v>
      </c>
      <c r="K60" s="258">
        <v>43482.0</v>
      </c>
      <c r="L60" s="258">
        <v>43469.0</v>
      </c>
      <c r="M60" s="266" t="s">
        <v>90</v>
      </c>
      <c r="N60" s="252" t="s">
        <v>2076</v>
      </c>
      <c r="O60" s="310"/>
      <c r="P60" s="310"/>
      <c r="Q60" s="310">
        <v>892.5</v>
      </c>
      <c r="R60" s="310"/>
      <c r="S60" s="310">
        <v>27493.0</v>
      </c>
      <c r="T60" s="340" t="s">
        <v>94</v>
      </c>
      <c r="U60" s="326">
        <v>43524.0</v>
      </c>
      <c r="V60" s="260">
        <v>43479.0</v>
      </c>
      <c r="W60" s="261" t="s">
        <v>405</v>
      </c>
      <c r="X60" s="272">
        <v>27493.0</v>
      </c>
      <c r="Y60" s="260">
        <v>43522.0</v>
      </c>
      <c r="Z60" s="331" t="s">
        <v>2077</v>
      </c>
      <c r="AA60" s="310">
        <v>6.11842162E8</v>
      </c>
      <c r="AB60" s="331"/>
      <c r="AC60" s="331"/>
      <c r="AD60" s="331"/>
      <c r="AE60" s="253" t="s">
        <v>284</v>
      </c>
      <c r="AF60" s="253"/>
      <c r="AG60" s="262"/>
      <c r="AH60" s="253"/>
      <c r="AI60" s="262"/>
      <c r="AJ60" s="262"/>
      <c r="AK60" s="253" t="s">
        <v>50</v>
      </c>
      <c r="AL60" s="253" t="s">
        <v>285</v>
      </c>
      <c r="AM60" s="253" t="s">
        <v>51</v>
      </c>
      <c r="AN60" s="253" t="s">
        <v>52</v>
      </c>
      <c r="AO60" s="264"/>
    </row>
    <row r="61" ht="15.75" customHeight="1">
      <c r="A61" s="110">
        <v>43458.0</v>
      </c>
      <c r="B61" s="360" t="s">
        <v>406</v>
      </c>
      <c r="C61" s="360">
        <v>7.000143878E9</v>
      </c>
      <c r="D61" s="360" t="s">
        <v>407</v>
      </c>
      <c r="E61" s="23" t="s">
        <v>408</v>
      </c>
      <c r="F61" s="361">
        <v>1.0</v>
      </c>
      <c r="G61" s="362">
        <v>54.0</v>
      </c>
      <c r="H61" s="255">
        <f t="shared" si="4"/>
        <v>54</v>
      </c>
      <c r="I61" s="256" t="s">
        <v>43</v>
      </c>
      <c r="J61" s="256" t="s">
        <v>409</v>
      </c>
      <c r="K61" s="258">
        <v>43472.0</v>
      </c>
      <c r="L61" s="258">
        <v>43493.0</v>
      </c>
      <c r="M61" s="403" t="s">
        <v>2078</v>
      </c>
      <c r="N61" s="252" t="s">
        <v>2079</v>
      </c>
      <c r="O61" s="310"/>
      <c r="P61" s="600"/>
      <c r="Q61" s="600"/>
      <c r="R61" s="579"/>
      <c r="S61" s="579">
        <v>1491.0</v>
      </c>
      <c r="T61" s="320" t="s">
        <v>2080</v>
      </c>
      <c r="U61" s="260">
        <v>43524.0</v>
      </c>
      <c r="V61" s="260">
        <v>43468.0</v>
      </c>
      <c r="W61" s="261" t="s">
        <v>410</v>
      </c>
      <c r="X61" s="272">
        <v>1491.0</v>
      </c>
      <c r="Y61" s="260">
        <v>43523.0</v>
      </c>
      <c r="Z61" s="331" t="s">
        <v>2081</v>
      </c>
      <c r="AA61" s="331">
        <v>8.211042475E9</v>
      </c>
      <c r="AB61" s="331"/>
      <c r="AC61" s="331"/>
      <c r="AD61" s="331"/>
      <c r="AE61" s="253" t="s">
        <v>284</v>
      </c>
      <c r="AF61" s="253"/>
      <c r="AG61" s="262"/>
      <c r="AH61" s="253"/>
      <c r="AI61" s="262"/>
      <c r="AJ61" s="262"/>
      <c r="AK61" s="253" t="s">
        <v>50</v>
      </c>
      <c r="AL61" s="253" t="s">
        <v>285</v>
      </c>
      <c r="AM61" s="253" t="s">
        <v>51</v>
      </c>
      <c r="AN61" s="253" t="s">
        <v>52</v>
      </c>
      <c r="AO61" s="264"/>
    </row>
    <row r="62" ht="15.75" customHeight="1">
      <c r="A62" s="110">
        <v>43458.0</v>
      </c>
      <c r="B62" s="360" t="s">
        <v>119</v>
      </c>
      <c r="C62" s="360" t="s">
        <v>411</v>
      </c>
      <c r="D62" s="360" t="s">
        <v>412</v>
      </c>
      <c r="E62" s="23" t="s">
        <v>161</v>
      </c>
      <c r="F62" s="363">
        <v>4.0</v>
      </c>
      <c r="G62" s="362">
        <v>485.0</v>
      </c>
      <c r="H62" s="364">
        <f t="shared" si="4"/>
        <v>1940</v>
      </c>
      <c r="I62" s="256" t="s">
        <v>171</v>
      </c>
      <c r="J62" s="256" t="s">
        <v>122</v>
      </c>
      <c r="K62" s="258">
        <v>43494.0</v>
      </c>
      <c r="M62" s="603" t="s">
        <v>90</v>
      </c>
      <c r="N62" s="252" t="s">
        <v>2082</v>
      </c>
      <c r="O62" s="310"/>
      <c r="P62" s="310"/>
      <c r="Q62" s="310">
        <v>1680.0</v>
      </c>
      <c r="R62" s="600"/>
      <c r="S62" s="600"/>
      <c r="T62" s="340" t="s">
        <v>94</v>
      </c>
      <c r="U62" s="326">
        <v>43555.0</v>
      </c>
      <c r="V62" s="260">
        <v>43493.0</v>
      </c>
      <c r="W62" s="261" t="s">
        <v>413</v>
      </c>
      <c r="X62" s="272">
        <v>985443.0</v>
      </c>
      <c r="Y62" s="260">
        <v>43532.0</v>
      </c>
      <c r="Z62" s="331" t="s">
        <v>2083</v>
      </c>
      <c r="AA62" s="331" t="s">
        <v>2084</v>
      </c>
      <c r="AB62" s="331"/>
      <c r="AC62" s="331"/>
      <c r="AD62" s="331"/>
      <c r="AE62" s="253" t="s">
        <v>284</v>
      </c>
      <c r="AF62" s="253"/>
      <c r="AG62" s="262"/>
      <c r="AH62" s="307"/>
      <c r="AI62" s="262"/>
      <c r="AJ62" s="262"/>
      <c r="AK62" s="253" t="s">
        <v>50</v>
      </c>
      <c r="AL62" s="253" t="s">
        <v>285</v>
      </c>
      <c r="AM62" s="253" t="s">
        <v>51</v>
      </c>
      <c r="AN62" s="253" t="s">
        <v>52</v>
      </c>
      <c r="AO62" s="264"/>
    </row>
    <row r="63" ht="15.75" customHeight="1">
      <c r="A63" s="110">
        <v>43458.0</v>
      </c>
      <c r="B63" s="360" t="s">
        <v>119</v>
      </c>
      <c r="C63" s="360" t="s">
        <v>411</v>
      </c>
      <c r="D63" s="360" t="s">
        <v>412</v>
      </c>
      <c r="E63" s="23" t="s">
        <v>162</v>
      </c>
      <c r="F63" s="365">
        <v>15.0</v>
      </c>
      <c r="G63" s="366">
        <v>738.0</v>
      </c>
      <c r="H63" s="364">
        <f t="shared" si="4"/>
        <v>11070</v>
      </c>
      <c r="I63" s="256" t="s">
        <v>171</v>
      </c>
      <c r="J63" s="256" t="s">
        <v>122</v>
      </c>
      <c r="K63" s="258">
        <v>43494.0</v>
      </c>
      <c r="L63" s="258">
        <v>43493.0</v>
      </c>
      <c r="M63" s="603" t="s">
        <v>90</v>
      </c>
      <c r="N63" s="252" t="s">
        <v>2082</v>
      </c>
      <c r="O63" s="310"/>
      <c r="P63" s="310"/>
      <c r="Q63" s="310">
        <v>10048.5</v>
      </c>
      <c r="R63" s="600"/>
      <c r="S63" s="600"/>
      <c r="T63" s="578" t="s">
        <v>94</v>
      </c>
      <c r="U63" s="326">
        <v>43555.0</v>
      </c>
      <c r="V63" s="260">
        <v>43493.0</v>
      </c>
      <c r="W63" s="261" t="s">
        <v>413</v>
      </c>
      <c r="X63" s="272" t="s">
        <v>2085</v>
      </c>
      <c r="Y63" s="260">
        <v>43532.0</v>
      </c>
      <c r="Z63" s="331" t="s">
        <v>2083</v>
      </c>
      <c r="AA63" s="331" t="s">
        <v>2084</v>
      </c>
      <c r="AB63" s="331"/>
      <c r="AC63" s="331"/>
      <c r="AD63" s="331"/>
      <c r="AE63" s="253" t="s">
        <v>284</v>
      </c>
      <c r="AF63" s="253"/>
      <c r="AG63" s="262"/>
      <c r="AH63" s="307"/>
      <c r="AI63" s="262"/>
      <c r="AJ63" s="262"/>
      <c r="AK63" s="253" t="s">
        <v>50</v>
      </c>
      <c r="AL63" s="253" t="s">
        <v>285</v>
      </c>
      <c r="AM63" s="253" t="s">
        <v>51</v>
      </c>
      <c r="AN63" s="253" t="s">
        <v>52</v>
      </c>
      <c r="AO63" s="264"/>
    </row>
    <row r="64" ht="15.75" customHeight="1">
      <c r="A64" s="69">
        <v>43458.0</v>
      </c>
      <c r="B64" s="360" t="s">
        <v>119</v>
      </c>
      <c r="C64" s="360" t="s">
        <v>411</v>
      </c>
      <c r="D64" s="360" t="s">
        <v>412</v>
      </c>
      <c r="E64" s="23" t="s">
        <v>121</v>
      </c>
      <c r="F64" s="361">
        <v>50.0</v>
      </c>
      <c r="G64" s="367">
        <v>359.0</v>
      </c>
      <c r="H64" s="364">
        <f t="shared" si="4"/>
        <v>17950</v>
      </c>
      <c r="I64" s="266" t="s">
        <v>171</v>
      </c>
      <c r="J64" s="256" t="s">
        <v>122</v>
      </c>
      <c r="K64" s="258">
        <v>43494.0</v>
      </c>
      <c r="L64" s="258">
        <v>43493.0</v>
      </c>
      <c r="M64" s="603" t="s">
        <v>90</v>
      </c>
      <c r="N64" s="252" t="s">
        <v>2082</v>
      </c>
      <c r="O64" s="310"/>
      <c r="P64" s="310"/>
      <c r="Q64" s="310">
        <v>17430.0</v>
      </c>
      <c r="R64" s="600"/>
      <c r="S64" s="600"/>
      <c r="T64" s="340" t="s">
        <v>94</v>
      </c>
      <c r="U64" s="326">
        <v>43555.0</v>
      </c>
      <c r="V64" s="260">
        <v>43493.0</v>
      </c>
      <c r="W64" s="261" t="s">
        <v>413</v>
      </c>
      <c r="X64" s="272" t="s">
        <v>2085</v>
      </c>
      <c r="Y64" s="260">
        <v>43532.0</v>
      </c>
      <c r="Z64" s="331" t="s">
        <v>2083</v>
      </c>
      <c r="AA64" s="331" t="s">
        <v>2084</v>
      </c>
      <c r="AB64" s="331"/>
      <c r="AC64" s="331"/>
      <c r="AD64" s="331"/>
      <c r="AE64" s="253" t="s">
        <v>284</v>
      </c>
      <c r="AF64" s="253"/>
      <c r="AG64" s="262"/>
      <c r="AH64" s="307"/>
      <c r="AI64" s="262"/>
      <c r="AJ64" s="262"/>
      <c r="AK64" s="253" t="s">
        <v>50</v>
      </c>
      <c r="AL64" s="253" t="s">
        <v>285</v>
      </c>
      <c r="AM64" s="253" t="s">
        <v>51</v>
      </c>
      <c r="AN64" s="253" t="s">
        <v>52</v>
      </c>
      <c r="AO64" s="264"/>
    </row>
    <row r="65" ht="15.75" customHeight="1">
      <c r="A65" s="69">
        <v>43458.0</v>
      </c>
      <c r="B65" s="368" t="s">
        <v>119</v>
      </c>
      <c r="C65" s="368" t="s">
        <v>411</v>
      </c>
      <c r="D65" s="368" t="s">
        <v>412</v>
      </c>
      <c r="E65" s="23" t="s">
        <v>414</v>
      </c>
      <c r="F65" s="361">
        <v>4.0</v>
      </c>
      <c r="G65" s="367">
        <v>118.0</v>
      </c>
      <c r="H65" s="364">
        <f t="shared" si="4"/>
        <v>472</v>
      </c>
      <c r="I65" s="256" t="s">
        <v>171</v>
      </c>
      <c r="J65" s="256" t="s">
        <v>122</v>
      </c>
      <c r="K65" s="258">
        <v>43494.0</v>
      </c>
      <c r="L65" s="258">
        <v>43493.0</v>
      </c>
      <c r="M65" s="603" t="s">
        <v>90</v>
      </c>
      <c r="N65" s="252" t="s">
        <v>2082</v>
      </c>
      <c r="O65" s="310"/>
      <c r="P65" s="310"/>
      <c r="Q65" s="310">
        <v>436.8</v>
      </c>
      <c r="R65" s="600"/>
      <c r="S65" s="600"/>
      <c r="T65" s="340" t="s">
        <v>94</v>
      </c>
      <c r="U65" s="326">
        <v>43555.0</v>
      </c>
      <c r="V65" s="260">
        <v>43493.0</v>
      </c>
      <c r="W65" s="261" t="s">
        <v>413</v>
      </c>
      <c r="X65" s="272" t="s">
        <v>2085</v>
      </c>
      <c r="Y65" s="260">
        <v>43532.0</v>
      </c>
      <c r="Z65" s="331" t="s">
        <v>2083</v>
      </c>
      <c r="AA65" s="331" t="s">
        <v>2084</v>
      </c>
      <c r="AB65" s="331"/>
      <c r="AC65" s="331"/>
      <c r="AD65" s="331"/>
      <c r="AE65" s="253" t="s">
        <v>284</v>
      </c>
      <c r="AF65" s="253"/>
      <c r="AG65" s="262"/>
      <c r="AH65" s="307"/>
      <c r="AI65" s="262"/>
      <c r="AJ65" s="262"/>
      <c r="AK65" s="253" t="s">
        <v>50</v>
      </c>
      <c r="AL65" s="253" t="s">
        <v>285</v>
      </c>
      <c r="AM65" s="253" t="s">
        <v>51</v>
      </c>
      <c r="AN65" s="253" t="s">
        <v>52</v>
      </c>
      <c r="AO65" s="264"/>
    </row>
    <row r="66" ht="15.75" customHeight="1">
      <c r="A66" s="69">
        <v>43458.0</v>
      </c>
      <c r="B66" s="265" t="s">
        <v>119</v>
      </c>
      <c r="C66" s="252" t="s">
        <v>411</v>
      </c>
      <c r="D66" s="252" t="s">
        <v>412</v>
      </c>
      <c r="E66" s="23" t="s">
        <v>415</v>
      </c>
      <c r="F66" s="253">
        <v>8.0</v>
      </c>
      <c r="G66" s="254">
        <v>335.0</v>
      </c>
      <c r="H66" s="364">
        <f t="shared" si="4"/>
        <v>2680</v>
      </c>
      <c r="I66" s="256" t="s">
        <v>171</v>
      </c>
      <c r="J66" s="256" t="s">
        <v>122</v>
      </c>
      <c r="K66" s="258">
        <v>43494.0</v>
      </c>
      <c r="L66" s="258">
        <v>43493.0</v>
      </c>
      <c r="M66" s="603" t="s">
        <v>90</v>
      </c>
      <c r="N66" s="252" t="s">
        <v>2082</v>
      </c>
      <c r="O66" s="310"/>
      <c r="P66" s="310"/>
      <c r="Q66" s="310">
        <v>2436.0</v>
      </c>
      <c r="R66" s="600"/>
      <c r="S66" s="600"/>
      <c r="T66" s="578" t="s">
        <v>94</v>
      </c>
      <c r="U66" s="326">
        <v>43555.0</v>
      </c>
      <c r="V66" s="260">
        <v>43493.0</v>
      </c>
      <c r="W66" s="261" t="s">
        <v>413</v>
      </c>
      <c r="X66" s="272" t="s">
        <v>2085</v>
      </c>
      <c r="Y66" s="260">
        <v>43532.0</v>
      </c>
      <c r="Z66" s="331" t="s">
        <v>2083</v>
      </c>
      <c r="AA66" s="331" t="s">
        <v>2084</v>
      </c>
      <c r="AB66" s="331"/>
      <c r="AC66" s="331"/>
      <c r="AD66" s="331"/>
      <c r="AE66" s="253" t="s">
        <v>284</v>
      </c>
      <c r="AF66" s="253"/>
      <c r="AG66" s="262"/>
      <c r="AH66" s="307"/>
      <c r="AI66" s="262"/>
      <c r="AJ66" s="262"/>
      <c r="AK66" s="253" t="s">
        <v>50</v>
      </c>
      <c r="AL66" s="253" t="s">
        <v>285</v>
      </c>
      <c r="AM66" s="253" t="s">
        <v>51</v>
      </c>
      <c r="AN66" s="253" t="s">
        <v>52</v>
      </c>
      <c r="AO66" s="264"/>
    </row>
    <row r="67" ht="15.75" customHeight="1">
      <c r="A67" s="69">
        <v>43458.0</v>
      </c>
      <c r="B67" s="265" t="s">
        <v>416</v>
      </c>
      <c r="C67" s="252" t="s">
        <v>417</v>
      </c>
      <c r="D67" s="252" t="s">
        <v>418</v>
      </c>
      <c r="E67" s="23" t="s">
        <v>419</v>
      </c>
      <c r="F67" s="253">
        <v>4.0</v>
      </c>
      <c r="G67" s="254">
        <v>55.0</v>
      </c>
      <c r="H67" s="255">
        <v>220.0</v>
      </c>
      <c r="I67" s="256" t="s">
        <v>420</v>
      </c>
      <c r="J67" s="257" t="s">
        <v>421</v>
      </c>
      <c r="K67" s="258">
        <v>43489.0</v>
      </c>
      <c r="L67" s="258">
        <v>43487.0</v>
      </c>
      <c r="M67" s="253" t="s">
        <v>2086</v>
      </c>
      <c r="N67" s="252" t="s">
        <v>2087</v>
      </c>
      <c r="O67" s="600"/>
      <c r="P67" s="600"/>
      <c r="Q67" s="600"/>
      <c r="R67" s="579"/>
      <c r="S67" s="579">
        <v>5040.0</v>
      </c>
      <c r="T67" s="599" t="s">
        <v>2088</v>
      </c>
      <c r="U67" s="261" t="s">
        <v>422</v>
      </c>
      <c r="V67" s="260">
        <v>43486.0</v>
      </c>
      <c r="W67" s="261" t="s">
        <v>423</v>
      </c>
      <c r="X67" s="272">
        <v>5040.0</v>
      </c>
      <c r="Y67" s="260">
        <v>43494.0</v>
      </c>
      <c r="Z67" s="331" t="s">
        <v>2089</v>
      </c>
      <c r="AA67" s="331" t="s">
        <v>2090</v>
      </c>
      <c r="AB67" s="331"/>
      <c r="AC67" s="331"/>
      <c r="AD67" s="331"/>
      <c r="AE67" s="253" t="s">
        <v>284</v>
      </c>
      <c r="AF67" s="253"/>
      <c r="AG67" s="262"/>
      <c r="AH67" s="253"/>
      <c r="AI67" s="262"/>
      <c r="AJ67" s="262"/>
      <c r="AK67" s="253" t="s">
        <v>50</v>
      </c>
      <c r="AL67" s="253" t="s">
        <v>285</v>
      </c>
      <c r="AM67" s="253" t="s">
        <v>51</v>
      </c>
      <c r="AN67" s="253" t="s">
        <v>52</v>
      </c>
      <c r="AO67" s="264"/>
    </row>
    <row r="68" ht="15.75" customHeight="1">
      <c r="A68" s="69">
        <v>43458.0</v>
      </c>
      <c r="B68" s="265" t="s">
        <v>416</v>
      </c>
      <c r="C68" s="252" t="s">
        <v>417</v>
      </c>
      <c r="D68" s="252" t="s">
        <v>418</v>
      </c>
      <c r="E68" s="23" t="s">
        <v>424</v>
      </c>
      <c r="F68" s="253">
        <v>4.0</v>
      </c>
      <c r="G68" s="254">
        <v>352.0</v>
      </c>
      <c r="H68" s="255">
        <v>1408.0</v>
      </c>
      <c r="I68" s="256" t="s">
        <v>420</v>
      </c>
      <c r="J68" s="257" t="s">
        <v>421</v>
      </c>
      <c r="K68" s="258">
        <v>43489.0</v>
      </c>
      <c r="L68" s="258">
        <v>43481.0</v>
      </c>
      <c r="M68" s="403" t="s">
        <v>2091</v>
      </c>
      <c r="N68" s="252" t="s">
        <v>2092</v>
      </c>
      <c r="O68" s="310"/>
      <c r="P68" s="600"/>
      <c r="Q68" s="600"/>
      <c r="R68" s="579"/>
      <c r="S68" s="579">
        <v>42672.0</v>
      </c>
      <c r="T68" s="320" t="s">
        <v>2080</v>
      </c>
      <c r="U68" s="271">
        <v>43524.0</v>
      </c>
      <c r="V68" s="271">
        <v>43480.0</v>
      </c>
      <c r="W68" s="261" t="s">
        <v>425</v>
      </c>
      <c r="X68" s="272">
        <v>42672.0</v>
      </c>
      <c r="Y68" s="260">
        <v>43523.0</v>
      </c>
      <c r="Z68" s="581" t="s">
        <v>2089</v>
      </c>
      <c r="AA68" s="331" t="s">
        <v>2090</v>
      </c>
      <c r="AB68" s="331"/>
      <c r="AC68" s="331"/>
      <c r="AD68" s="331"/>
      <c r="AE68" s="253" t="s">
        <v>284</v>
      </c>
      <c r="AF68" s="253"/>
      <c r="AG68" s="262"/>
      <c r="AH68" s="253"/>
      <c r="AI68" s="262"/>
      <c r="AJ68" s="262"/>
      <c r="AK68" s="253" t="s">
        <v>50</v>
      </c>
      <c r="AL68" s="253" t="s">
        <v>285</v>
      </c>
      <c r="AM68" s="253" t="s">
        <v>51</v>
      </c>
      <c r="AN68" s="253" t="s">
        <v>52</v>
      </c>
      <c r="AO68" s="264"/>
    </row>
    <row r="69" ht="15.75" customHeight="1">
      <c r="A69" s="69">
        <v>43458.0</v>
      </c>
      <c r="B69" s="265" t="s">
        <v>416</v>
      </c>
      <c r="C69" s="252" t="s">
        <v>417</v>
      </c>
      <c r="D69" s="252" t="s">
        <v>418</v>
      </c>
      <c r="E69" s="23" t="s">
        <v>426</v>
      </c>
      <c r="F69" s="253">
        <v>1.0</v>
      </c>
      <c r="G69" s="254">
        <v>264.0</v>
      </c>
      <c r="H69" s="255">
        <v>264.0</v>
      </c>
      <c r="I69" s="256" t="s">
        <v>420</v>
      </c>
      <c r="J69" s="257" t="s">
        <v>421</v>
      </c>
      <c r="K69" s="258">
        <v>43489.0</v>
      </c>
      <c r="L69" s="258">
        <v>43475.0</v>
      </c>
      <c r="M69" s="603" t="s">
        <v>90</v>
      </c>
      <c r="N69" s="252" t="s">
        <v>2093</v>
      </c>
      <c r="O69" s="581"/>
      <c r="P69" s="581"/>
      <c r="Q69" s="581">
        <v>239.4</v>
      </c>
      <c r="R69" s="310"/>
      <c r="S69" s="310">
        <v>7362.0</v>
      </c>
      <c r="T69" s="340" t="s">
        <v>94</v>
      </c>
      <c r="U69" s="260">
        <v>43524.0</v>
      </c>
      <c r="V69" s="260">
        <v>43474.0</v>
      </c>
      <c r="W69" s="261" t="s">
        <v>427</v>
      </c>
      <c r="X69" s="272">
        <v>7362.0</v>
      </c>
      <c r="Y69" s="260">
        <v>43522.0</v>
      </c>
      <c r="Z69" s="331" t="s">
        <v>2089</v>
      </c>
      <c r="AA69" s="331" t="s">
        <v>2090</v>
      </c>
      <c r="AB69" s="331"/>
      <c r="AC69" s="331"/>
      <c r="AD69" s="331"/>
      <c r="AE69" s="253" t="s">
        <v>284</v>
      </c>
      <c r="AF69" s="253"/>
      <c r="AG69" s="262"/>
      <c r="AH69" s="253"/>
      <c r="AI69" s="262"/>
      <c r="AJ69" s="262"/>
      <c r="AK69" s="253" t="s">
        <v>50</v>
      </c>
      <c r="AL69" s="253" t="s">
        <v>285</v>
      </c>
      <c r="AM69" s="253" t="s">
        <v>51</v>
      </c>
      <c r="AN69" s="253" t="s">
        <v>52</v>
      </c>
      <c r="AO69" s="264"/>
    </row>
    <row r="70" ht="15.75" customHeight="1">
      <c r="A70" s="69">
        <v>43467.0</v>
      </c>
      <c r="B70" s="70" t="s">
        <v>77</v>
      </c>
      <c r="C70" s="292">
        <v>1.0</v>
      </c>
      <c r="D70" s="292" t="s">
        <v>428</v>
      </c>
      <c r="E70" s="23" t="s">
        <v>429</v>
      </c>
      <c r="F70" s="54">
        <v>1.0</v>
      </c>
      <c r="G70" s="48">
        <v>133.0</v>
      </c>
      <c r="H70" s="26">
        <f t="shared" ref="H70:H74" si="6">G70*F70</f>
        <v>133</v>
      </c>
      <c r="I70" s="348" t="s">
        <v>43</v>
      </c>
      <c r="J70" s="293" t="s">
        <v>316</v>
      </c>
      <c r="K70" s="29">
        <v>43531.0</v>
      </c>
      <c r="L70" s="30">
        <v>43529.0</v>
      </c>
      <c r="M70" s="58" t="s">
        <v>90</v>
      </c>
      <c r="N70" s="21" t="s">
        <v>2094</v>
      </c>
      <c r="O70" s="22"/>
      <c r="P70" s="22"/>
      <c r="Q70" s="22">
        <v>122.85</v>
      </c>
      <c r="R70" s="408"/>
      <c r="S70" s="408">
        <v>3776.0</v>
      </c>
      <c r="T70" s="51" t="s">
        <v>94</v>
      </c>
      <c r="U70" s="295">
        <v>43585.0</v>
      </c>
      <c r="V70" s="295">
        <v>43528.0</v>
      </c>
      <c r="W70" s="296" t="s">
        <v>430</v>
      </c>
      <c r="X70" s="297">
        <v>3776.0</v>
      </c>
      <c r="Y70" s="295">
        <v>43557.0</v>
      </c>
      <c r="Z70" s="53" t="s">
        <v>2095</v>
      </c>
      <c r="AA70" s="53">
        <v>6.45361205E8</v>
      </c>
      <c r="AB70" s="53"/>
      <c r="AC70" s="53"/>
      <c r="AD70" s="53"/>
      <c r="AE70" s="54"/>
      <c r="AF70" s="54"/>
      <c r="AG70" s="55"/>
      <c r="AH70" s="54"/>
      <c r="AI70" s="55"/>
      <c r="AJ70" s="55"/>
      <c r="AK70" s="54" t="s">
        <v>50</v>
      </c>
      <c r="AL70" s="24" t="s">
        <v>285</v>
      </c>
      <c r="AM70" s="54" t="s">
        <v>51</v>
      </c>
      <c r="AN70" s="54" t="s">
        <v>52</v>
      </c>
      <c r="AO70" s="57" t="s">
        <v>398</v>
      </c>
    </row>
    <row r="71" ht="15.75" customHeight="1">
      <c r="A71" s="19">
        <v>43469.0</v>
      </c>
      <c r="B71" s="320" t="s">
        <v>326</v>
      </c>
      <c r="C71" s="252">
        <v>2026895.0</v>
      </c>
      <c r="D71" s="310" t="s">
        <v>431</v>
      </c>
      <c r="E71" s="23" t="s">
        <v>53</v>
      </c>
      <c r="F71" s="253">
        <v>10.0</v>
      </c>
      <c r="G71" s="254">
        <v>31.0</v>
      </c>
      <c r="H71" s="255">
        <f t="shared" si="6"/>
        <v>310</v>
      </c>
      <c r="I71" s="266" t="s">
        <v>43</v>
      </c>
      <c r="J71" s="369" t="s">
        <v>329</v>
      </c>
      <c r="K71" s="258">
        <v>43496.0</v>
      </c>
      <c r="L71" s="258">
        <v>43490.0</v>
      </c>
      <c r="M71" s="403" t="s">
        <v>54</v>
      </c>
      <c r="N71" s="602" t="s">
        <v>2096</v>
      </c>
      <c r="O71" s="310"/>
      <c r="P71" s="310"/>
      <c r="Q71" s="310">
        <v>226.8</v>
      </c>
      <c r="R71" s="600"/>
      <c r="S71" s="600"/>
      <c r="T71" s="597" t="s">
        <v>56</v>
      </c>
      <c r="U71" s="260">
        <v>43555.0</v>
      </c>
      <c r="V71" s="370">
        <v>43494.0</v>
      </c>
      <c r="W71" s="261" t="s">
        <v>432</v>
      </c>
      <c r="X71" s="272" t="s">
        <v>2097</v>
      </c>
      <c r="Y71" s="260">
        <v>43557.0</v>
      </c>
      <c r="Z71" s="331" t="s">
        <v>2098</v>
      </c>
      <c r="AA71" s="331">
        <v>621570.0</v>
      </c>
      <c r="AB71" s="331"/>
      <c r="AC71" s="331"/>
      <c r="AD71" s="331"/>
      <c r="AE71" s="253" t="s">
        <v>284</v>
      </c>
      <c r="AF71" s="253"/>
      <c r="AG71" s="262"/>
      <c r="AH71" s="253"/>
      <c r="AI71" s="262"/>
      <c r="AJ71" s="262"/>
      <c r="AK71" s="253" t="s">
        <v>50</v>
      </c>
      <c r="AL71" s="253" t="s">
        <v>285</v>
      </c>
      <c r="AM71" s="253" t="s">
        <v>51</v>
      </c>
      <c r="AN71" s="253" t="s">
        <v>52</v>
      </c>
      <c r="AO71" s="264"/>
    </row>
    <row r="72" ht="15.75" customHeight="1">
      <c r="A72" s="19">
        <v>43469.0</v>
      </c>
      <c r="B72" s="320" t="s">
        <v>326</v>
      </c>
      <c r="C72" s="265">
        <v>2026895.0</v>
      </c>
      <c r="D72" s="320" t="s">
        <v>431</v>
      </c>
      <c r="E72" s="23" t="s">
        <v>59</v>
      </c>
      <c r="F72" s="253">
        <v>10.0</v>
      </c>
      <c r="G72" s="254">
        <v>4.0</v>
      </c>
      <c r="H72" s="255">
        <f t="shared" si="6"/>
        <v>40</v>
      </c>
      <c r="I72" s="266" t="s">
        <v>43</v>
      </c>
      <c r="J72" s="369" t="s">
        <v>329</v>
      </c>
      <c r="K72" s="258">
        <v>43496.0</v>
      </c>
      <c r="L72" s="258">
        <v>43490.0</v>
      </c>
      <c r="M72" s="403" t="s">
        <v>54</v>
      </c>
      <c r="N72" s="602" t="s">
        <v>2096</v>
      </c>
      <c r="O72" s="310"/>
      <c r="P72" s="310"/>
      <c r="Q72" s="310">
        <v>21.0</v>
      </c>
      <c r="R72" s="600"/>
      <c r="S72" s="600"/>
      <c r="T72" s="422" t="s">
        <v>56</v>
      </c>
      <c r="U72" s="260">
        <v>43555.0</v>
      </c>
      <c r="V72" s="370">
        <v>43494.0</v>
      </c>
      <c r="W72" s="261" t="s">
        <v>432</v>
      </c>
      <c r="X72" s="272" t="s">
        <v>2097</v>
      </c>
      <c r="Y72" s="260">
        <v>43557.0</v>
      </c>
      <c r="Z72" s="331" t="s">
        <v>2098</v>
      </c>
      <c r="AA72" s="331">
        <v>621570.0</v>
      </c>
      <c r="AB72" s="331"/>
      <c r="AC72" s="331"/>
      <c r="AD72" s="331"/>
      <c r="AE72" s="253" t="s">
        <v>284</v>
      </c>
      <c r="AF72" s="253"/>
      <c r="AG72" s="262"/>
      <c r="AH72" s="253"/>
      <c r="AI72" s="262"/>
      <c r="AJ72" s="262"/>
      <c r="AK72" s="253" t="s">
        <v>50</v>
      </c>
      <c r="AL72" s="253" t="s">
        <v>285</v>
      </c>
      <c r="AM72" s="253" t="s">
        <v>51</v>
      </c>
      <c r="AN72" s="253" t="s">
        <v>52</v>
      </c>
      <c r="AO72" s="264"/>
    </row>
    <row r="73" ht="15.75" customHeight="1">
      <c r="A73" s="19">
        <v>43469.0</v>
      </c>
      <c r="B73" s="320" t="s">
        <v>326</v>
      </c>
      <c r="C73" s="265">
        <v>2026895.0</v>
      </c>
      <c r="D73" s="320" t="s">
        <v>433</v>
      </c>
      <c r="E73" s="23" t="s">
        <v>42</v>
      </c>
      <c r="F73" s="253">
        <v>10.0</v>
      </c>
      <c r="G73" s="254">
        <v>273.0</v>
      </c>
      <c r="H73" s="255">
        <f t="shared" si="6"/>
        <v>2730</v>
      </c>
      <c r="I73" s="266" t="s">
        <v>43</v>
      </c>
      <c r="J73" s="369" t="s">
        <v>329</v>
      </c>
      <c r="K73" s="258">
        <v>43496.0</v>
      </c>
      <c r="L73" s="258">
        <v>43483.0</v>
      </c>
      <c r="M73" s="403" t="s">
        <v>45</v>
      </c>
      <c r="N73" s="602" t="s">
        <v>2099</v>
      </c>
      <c r="O73" s="267"/>
      <c r="P73" s="267"/>
      <c r="Q73" s="267">
        <v>2184.0</v>
      </c>
      <c r="R73" s="579"/>
      <c r="S73" s="579">
        <v>67311.0</v>
      </c>
      <c r="T73" s="578" t="s">
        <v>47</v>
      </c>
      <c r="U73" s="260">
        <v>43514.0</v>
      </c>
      <c r="V73" s="271">
        <v>43481.0</v>
      </c>
      <c r="W73" s="261" t="s">
        <v>434</v>
      </c>
      <c r="X73" s="272">
        <v>67311.0</v>
      </c>
      <c r="Y73" s="260">
        <v>43523.0</v>
      </c>
      <c r="Z73" s="331" t="s">
        <v>2098</v>
      </c>
      <c r="AA73" s="331">
        <v>621570.0</v>
      </c>
      <c r="AB73" s="331"/>
      <c r="AC73" s="331"/>
      <c r="AD73" s="331"/>
      <c r="AE73" s="253" t="s">
        <v>284</v>
      </c>
      <c r="AF73" s="253"/>
      <c r="AG73" s="262"/>
      <c r="AH73" s="253"/>
      <c r="AI73" s="262"/>
      <c r="AJ73" s="262"/>
      <c r="AK73" s="253" t="s">
        <v>50</v>
      </c>
      <c r="AL73" s="253" t="s">
        <v>285</v>
      </c>
      <c r="AM73" s="253" t="s">
        <v>51</v>
      </c>
      <c r="AN73" s="253" t="s">
        <v>52</v>
      </c>
      <c r="AO73" s="264"/>
    </row>
    <row r="74" ht="15.75" customHeight="1">
      <c r="A74" s="19">
        <v>43469.0</v>
      </c>
      <c r="B74" s="320" t="s">
        <v>326</v>
      </c>
      <c r="C74" s="265">
        <v>2026895.0</v>
      </c>
      <c r="D74" s="320" t="s">
        <v>2100</v>
      </c>
      <c r="E74" s="23" t="s">
        <v>61</v>
      </c>
      <c r="F74" s="253">
        <v>10.0</v>
      </c>
      <c r="G74" s="254">
        <v>567.0</v>
      </c>
      <c r="H74" s="255">
        <f t="shared" si="6"/>
        <v>5670</v>
      </c>
      <c r="I74" s="266" t="s">
        <v>43</v>
      </c>
      <c r="J74" s="369" t="s">
        <v>329</v>
      </c>
      <c r="K74" s="258">
        <v>43496.0</v>
      </c>
      <c r="L74" s="258">
        <v>43490.0</v>
      </c>
      <c r="M74" s="403" t="s">
        <v>54</v>
      </c>
      <c r="N74" s="602" t="s">
        <v>2096</v>
      </c>
      <c r="O74" s="310"/>
      <c r="P74" s="310"/>
      <c r="Q74" s="310">
        <v>5355.0</v>
      </c>
      <c r="R74" s="600"/>
      <c r="S74" s="600"/>
      <c r="T74" s="597" t="s">
        <v>56</v>
      </c>
      <c r="U74" s="260">
        <v>43555.0</v>
      </c>
      <c r="V74" s="370">
        <v>43494.0</v>
      </c>
      <c r="W74" s="261" t="s">
        <v>432</v>
      </c>
      <c r="X74" s="272">
        <v>172763.0</v>
      </c>
      <c r="Y74" s="260">
        <v>43557.0</v>
      </c>
      <c r="Z74" s="331" t="s">
        <v>2098</v>
      </c>
      <c r="AA74" s="331">
        <v>621570.0</v>
      </c>
      <c r="AB74" s="331"/>
      <c r="AC74" s="331"/>
      <c r="AD74" s="331"/>
      <c r="AE74" s="253" t="s">
        <v>284</v>
      </c>
      <c r="AF74" s="253"/>
      <c r="AG74" s="262"/>
      <c r="AH74" s="253"/>
      <c r="AI74" s="262"/>
      <c r="AJ74" s="262"/>
      <c r="AK74" s="253" t="s">
        <v>50</v>
      </c>
      <c r="AL74" s="253" t="s">
        <v>285</v>
      </c>
      <c r="AM74" s="253" t="s">
        <v>51</v>
      </c>
      <c r="AN74" s="253" t="s">
        <v>52</v>
      </c>
      <c r="AO74" s="264"/>
    </row>
    <row r="75" ht="15.75" customHeight="1">
      <c r="A75" s="19">
        <v>43472.0</v>
      </c>
      <c r="B75" s="144" t="s">
        <v>101</v>
      </c>
      <c r="C75" s="21"/>
      <c r="D75" s="21" t="s">
        <v>436</v>
      </c>
      <c r="E75" s="23" t="s">
        <v>437</v>
      </c>
      <c r="F75" s="298">
        <v>1.0</v>
      </c>
      <c r="G75" s="48">
        <v>92.0</v>
      </c>
      <c r="H75" s="26">
        <f t="shared" ref="H75:H80" si="7">F75*G75</f>
        <v>92</v>
      </c>
      <c r="I75" s="49" t="s">
        <v>303</v>
      </c>
      <c r="J75" s="349" t="s">
        <v>438</v>
      </c>
      <c r="K75" s="30">
        <v>43539.0</v>
      </c>
      <c r="L75" s="613">
        <v>43518.0</v>
      </c>
      <c r="M75" s="614" t="s">
        <v>45</v>
      </c>
      <c r="N75" s="615" t="s">
        <v>2101</v>
      </c>
      <c r="O75" s="296"/>
      <c r="P75" s="296"/>
      <c r="Q75" s="296">
        <v>37.8</v>
      </c>
      <c r="R75" s="616"/>
      <c r="S75" s="616">
        <v>1165.0</v>
      </c>
      <c r="T75" s="617" t="s">
        <v>47</v>
      </c>
      <c r="U75" s="295">
        <v>43547.0</v>
      </c>
      <c r="V75" s="295">
        <v>43517.0</v>
      </c>
      <c r="W75" s="296" t="s">
        <v>439</v>
      </c>
      <c r="X75" s="297">
        <v>1165.0</v>
      </c>
      <c r="Y75" s="295">
        <v>43558.0</v>
      </c>
      <c r="Z75" s="296" t="s">
        <v>2102</v>
      </c>
      <c r="AA75" s="296">
        <v>5.41087925E9</v>
      </c>
      <c r="AB75" s="296"/>
      <c r="AC75" s="296"/>
      <c r="AD75" s="296"/>
      <c r="AE75" s="371"/>
      <c r="AF75" s="371">
        <v>30.79</v>
      </c>
      <c r="AG75" s="372"/>
      <c r="AH75" s="373">
        <v>43636.0</v>
      </c>
      <c r="AI75" s="372" t="s">
        <v>2103</v>
      </c>
      <c r="AJ75" s="372" t="s">
        <v>2104</v>
      </c>
      <c r="AK75" s="371" t="s">
        <v>50</v>
      </c>
      <c r="AL75" s="371" t="s">
        <v>285</v>
      </c>
      <c r="AM75" s="371" t="s">
        <v>286</v>
      </c>
      <c r="AN75" s="371" t="s">
        <v>52</v>
      </c>
      <c r="AO75" s="374" t="s">
        <v>440</v>
      </c>
    </row>
    <row r="76" ht="15.75" customHeight="1">
      <c r="A76" s="19">
        <v>43472.0</v>
      </c>
      <c r="B76" s="144" t="s">
        <v>101</v>
      </c>
      <c r="C76" s="21"/>
      <c r="D76" s="21" t="s">
        <v>436</v>
      </c>
      <c r="E76" s="23" t="s">
        <v>2105</v>
      </c>
      <c r="F76" s="298">
        <v>1.0</v>
      </c>
      <c r="G76" s="25">
        <v>1357.0</v>
      </c>
      <c r="H76" s="26">
        <f t="shared" si="7"/>
        <v>1357</v>
      </c>
      <c r="I76" s="49" t="s">
        <v>303</v>
      </c>
      <c r="J76" s="349" t="s">
        <v>438</v>
      </c>
      <c r="K76" s="30">
        <v>43539.0</v>
      </c>
      <c r="L76" s="613">
        <v>43539.0</v>
      </c>
      <c r="M76" s="618"/>
      <c r="N76" s="615" t="s">
        <v>2106</v>
      </c>
      <c r="O76" s="619"/>
      <c r="P76" s="619"/>
      <c r="Q76" s="619"/>
      <c r="R76" s="619"/>
      <c r="S76" s="619">
        <v>29672.0</v>
      </c>
      <c r="T76" s="619"/>
      <c r="U76" s="296"/>
      <c r="V76" s="296"/>
      <c r="W76" s="296"/>
      <c r="X76" s="297"/>
      <c r="Y76" s="296"/>
      <c r="Z76" s="296" t="s">
        <v>2102</v>
      </c>
      <c r="AA76" s="296">
        <v>5.41087925E9</v>
      </c>
      <c r="AB76" s="296"/>
      <c r="AC76" s="296"/>
      <c r="AD76" s="296"/>
      <c r="AE76" s="371"/>
      <c r="AF76" s="371">
        <v>30.79</v>
      </c>
      <c r="AG76" s="372"/>
      <c r="AH76" s="373">
        <v>43636.0</v>
      </c>
      <c r="AI76" s="372" t="s">
        <v>2103</v>
      </c>
      <c r="AJ76" s="372" t="s">
        <v>2104</v>
      </c>
      <c r="AK76" s="371" t="s">
        <v>50</v>
      </c>
      <c r="AL76" s="371" t="s">
        <v>285</v>
      </c>
      <c r="AM76" s="371" t="s">
        <v>286</v>
      </c>
      <c r="AN76" s="371" t="s">
        <v>52</v>
      </c>
      <c r="AO76" s="374" t="s">
        <v>440</v>
      </c>
    </row>
    <row r="77" ht="15.75" customHeight="1">
      <c r="A77" s="19">
        <v>43472.0</v>
      </c>
      <c r="B77" s="144" t="s">
        <v>101</v>
      </c>
      <c r="C77" s="21"/>
      <c r="D77" s="21" t="s">
        <v>436</v>
      </c>
      <c r="E77" s="23" t="s">
        <v>442</v>
      </c>
      <c r="F77" s="298">
        <v>1.0</v>
      </c>
      <c r="G77" s="25">
        <v>38.0</v>
      </c>
      <c r="H77" s="26">
        <f t="shared" si="7"/>
        <v>38</v>
      </c>
      <c r="I77" s="49" t="s">
        <v>303</v>
      </c>
      <c r="J77" s="349" t="s">
        <v>438</v>
      </c>
      <c r="K77" s="30">
        <v>43539.0</v>
      </c>
      <c r="L77" s="294"/>
      <c r="M77" s="620" t="s">
        <v>179</v>
      </c>
      <c r="N77" s="615" t="s">
        <v>2107</v>
      </c>
      <c r="O77" s="619"/>
      <c r="P77" s="619"/>
      <c r="Q77" s="619"/>
      <c r="R77" s="619"/>
      <c r="S77" s="619" t="s">
        <v>2108</v>
      </c>
      <c r="T77" s="618"/>
      <c r="U77" s="296"/>
      <c r="V77" s="296"/>
      <c r="W77" s="296"/>
      <c r="X77" s="297"/>
      <c r="Y77" s="296"/>
      <c r="Z77" s="296" t="s">
        <v>2102</v>
      </c>
      <c r="AA77" s="296">
        <v>5.41087925E9</v>
      </c>
      <c r="AB77" s="296"/>
      <c r="AC77" s="296"/>
      <c r="AD77" s="296"/>
      <c r="AE77" s="371"/>
      <c r="AF77" s="371">
        <v>30.79</v>
      </c>
      <c r="AG77" s="372"/>
      <c r="AH77" s="373">
        <v>43636.0</v>
      </c>
      <c r="AI77" s="372" t="s">
        <v>2103</v>
      </c>
      <c r="AJ77" s="372" t="s">
        <v>2104</v>
      </c>
      <c r="AK77" s="371" t="s">
        <v>50</v>
      </c>
      <c r="AL77" s="371" t="s">
        <v>285</v>
      </c>
      <c r="AM77" s="371" t="s">
        <v>286</v>
      </c>
      <c r="AN77" s="371" t="s">
        <v>52</v>
      </c>
      <c r="AO77" s="374" t="s">
        <v>440</v>
      </c>
    </row>
    <row r="78" ht="15.75" customHeight="1">
      <c r="A78" s="19">
        <v>43472.0</v>
      </c>
      <c r="B78" s="144" t="s">
        <v>101</v>
      </c>
      <c r="C78" s="21"/>
      <c r="D78" s="21" t="s">
        <v>436</v>
      </c>
      <c r="E78" s="23" t="s">
        <v>443</v>
      </c>
      <c r="F78" s="298">
        <v>1.0</v>
      </c>
      <c r="G78" s="25">
        <v>85.0</v>
      </c>
      <c r="H78" s="26">
        <f t="shared" si="7"/>
        <v>85</v>
      </c>
      <c r="I78" s="49" t="s">
        <v>303</v>
      </c>
      <c r="J78" s="349" t="s">
        <v>438</v>
      </c>
      <c r="K78" s="30">
        <v>43539.0</v>
      </c>
      <c r="L78" s="294"/>
      <c r="M78" s="620" t="s">
        <v>179</v>
      </c>
      <c r="N78" s="615" t="s">
        <v>2109</v>
      </c>
      <c r="O78" s="619"/>
      <c r="P78" s="619"/>
      <c r="Q78" s="619"/>
      <c r="R78" s="619"/>
      <c r="S78" s="619">
        <v>2659.0</v>
      </c>
      <c r="T78" s="619"/>
      <c r="U78" s="296"/>
      <c r="V78" s="296"/>
      <c r="W78" s="296"/>
      <c r="X78" s="297"/>
      <c r="Y78" s="296"/>
      <c r="Z78" s="296" t="s">
        <v>2102</v>
      </c>
      <c r="AA78" s="296">
        <v>5.41087925E9</v>
      </c>
      <c r="AB78" s="296"/>
      <c r="AC78" s="296"/>
      <c r="AD78" s="296"/>
      <c r="AE78" s="371"/>
      <c r="AF78" s="371">
        <v>30.79</v>
      </c>
      <c r="AG78" s="372"/>
      <c r="AH78" s="373">
        <v>43636.0</v>
      </c>
      <c r="AI78" s="372" t="s">
        <v>2103</v>
      </c>
      <c r="AJ78" s="372" t="s">
        <v>2104</v>
      </c>
      <c r="AK78" s="371" t="s">
        <v>50</v>
      </c>
      <c r="AL78" s="371" t="s">
        <v>285</v>
      </c>
      <c r="AM78" s="371" t="s">
        <v>286</v>
      </c>
      <c r="AN78" s="371" t="s">
        <v>52</v>
      </c>
      <c r="AO78" s="374" t="s">
        <v>440</v>
      </c>
    </row>
    <row r="79" ht="15.75" customHeight="1">
      <c r="A79" s="19">
        <v>43472.0</v>
      </c>
      <c r="B79" s="144" t="s">
        <v>101</v>
      </c>
      <c r="C79" s="21"/>
      <c r="D79" s="21" t="s">
        <v>436</v>
      </c>
      <c r="E79" s="23" t="s">
        <v>444</v>
      </c>
      <c r="F79" s="298">
        <v>1.0</v>
      </c>
      <c r="G79" s="25">
        <v>140.0</v>
      </c>
      <c r="H79" s="26">
        <f t="shared" si="7"/>
        <v>140</v>
      </c>
      <c r="I79" s="49" t="s">
        <v>303</v>
      </c>
      <c r="J79" s="349" t="s">
        <v>438</v>
      </c>
      <c r="K79" s="30">
        <v>43539.0</v>
      </c>
      <c r="L79" s="294"/>
      <c r="M79" s="620" t="s">
        <v>179</v>
      </c>
      <c r="N79" s="615" t="s">
        <v>2110</v>
      </c>
      <c r="O79" s="619"/>
      <c r="P79" s="619"/>
      <c r="Q79" s="619"/>
      <c r="R79" s="619"/>
      <c r="S79" s="619">
        <v>4095.0</v>
      </c>
      <c r="T79" s="619"/>
      <c r="U79" s="296"/>
      <c r="V79" s="296"/>
      <c r="W79" s="296"/>
      <c r="X79" s="297"/>
      <c r="Y79" s="296"/>
      <c r="Z79" s="296" t="s">
        <v>2102</v>
      </c>
      <c r="AA79" s="296">
        <v>5.41087925E9</v>
      </c>
      <c r="AB79" s="296"/>
      <c r="AC79" s="296"/>
      <c r="AD79" s="296"/>
      <c r="AE79" s="371"/>
      <c r="AF79" s="371">
        <v>30.79</v>
      </c>
      <c r="AG79" s="372"/>
      <c r="AH79" s="373">
        <v>43636.0</v>
      </c>
      <c r="AI79" s="372" t="s">
        <v>2103</v>
      </c>
      <c r="AJ79" s="372" t="s">
        <v>2104</v>
      </c>
      <c r="AK79" s="371" t="s">
        <v>50</v>
      </c>
      <c r="AL79" s="371" t="s">
        <v>285</v>
      </c>
      <c r="AM79" s="371" t="s">
        <v>286</v>
      </c>
      <c r="AN79" s="371" t="s">
        <v>52</v>
      </c>
      <c r="AO79" s="374" t="s">
        <v>440</v>
      </c>
    </row>
    <row r="80" ht="15.75" customHeight="1">
      <c r="A80" s="19">
        <v>43472.0</v>
      </c>
      <c r="B80" s="144" t="s">
        <v>101</v>
      </c>
      <c r="C80" s="70"/>
      <c r="D80" s="70" t="s">
        <v>436</v>
      </c>
      <c r="E80" s="23" t="s">
        <v>445</v>
      </c>
      <c r="F80" s="375">
        <v>1.0</v>
      </c>
      <c r="G80" s="25">
        <v>10.0</v>
      </c>
      <c r="H80" s="26">
        <f t="shared" si="7"/>
        <v>10</v>
      </c>
      <c r="I80" s="49" t="s">
        <v>303</v>
      </c>
      <c r="J80" s="161" t="s">
        <v>438</v>
      </c>
      <c r="K80" s="30">
        <v>43539.0</v>
      </c>
      <c r="L80" s="294"/>
      <c r="M80" s="618"/>
      <c r="N80" s="615" t="s">
        <v>2107</v>
      </c>
      <c r="O80" s="619"/>
      <c r="P80" s="619"/>
      <c r="Q80" s="619"/>
      <c r="R80" s="619"/>
      <c r="S80" s="619">
        <v>79.0</v>
      </c>
      <c r="T80" s="619"/>
      <c r="U80" s="296"/>
      <c r="V80" s="296"/>
      <c r="W80" s="296"/>
      <c r="X80" s="297"/>
      <c r="Y80" s="296"/>
      <c r="Z80" s="296" t="s">
        <v>2102</v>
      </c>
      <c r="AA80" s="296">
        <v>5.41087925E9</v>
      </c>
      <c r="AB80" s="296"/>
      <c r="AC80" s="296"/>
      <c r="AD80" s="296"/>
      <c r="AE80" s="371"/>
      <c r="AF80" s="371"/>
      <c r="AG80" s="372"/>
      <c r="AH80" s="373">
        <v>43636.0</v>
      </c>
      <c r="AI80" s="372" t="s">
        <v>2103</v>
      </c>
      <c r="AJ80" s="372" t="s">
        <v>2104</v>
      </c>
      <c r="AK80" s="371" t="s">
        <v>50</v>
      </c>
      <c r="AL80" s="371" t="s">
        <v>285</v>
      </c>
      <c r="AM80" s="371" t="s">
        <v>286</v>
      </c>
      <c r="AN80" s="371" t="s">
        <v>52</v>
      </c>
      <c r="AO80" s="374" t="s">
        <v>440</v>
      </c>
    </row>
    <row r="81" ht="15.75" customHeight="1">
      <c r="A81" s="376">
        <v>43472.0</v>
      </c>
      <c r="B81" s="275" t="s">
        <v>101</v>
      </c>
      <c r="C81" s="377"/>
      <c r="D81" s="377" t="s">
        <v>446</v>
      </c>
      <c r="E81" s="378" t="s">
        <v>447</v>
      </c>
      <c r="F81" s="379">
        <v>1.0</v>
      </c>
      <c r="G81" s="380">
        <v>0.0</v>
      </c>
      <c r="H81" s="381">
        <v>0.0</v>
      </c>
      <c r="I81" s="382" t="s">
        <v>303</v>
      </c>
      <c r="J81" s="383" t="s">
        <v>438</v>
      </c>
      <c r="K81" s="384">
        <v>43539.0</v>
      </c>
      <c r="L81" s="621"/>
      <c r="M81" s="622"/>
      <c r="N81" s="623" t="s">
        <v>2107</v>
      </c>
      <c r="O81" s="194"/>
      <c r="P81" s="194"/>
      <c r="Q81" s="194"/>
      <c r="R81" s="624"/>
      <c r="S81" s="624">
        <v>0.0</v>
      </c>
      <c r="T81" s="625"/>
      <c r="U81" s="195"/>
      <c r="V81" s="199"/>
      <c r="W81" s="199"/>
      <c r="X81" s="385"/>
      <c r="Y81" s="199"/>
      <c r="Z81" s="199"/>
      <c r="AA81" s="199" t="s">
        <v>0</v>
      </c>
      <c r="AB81" s="199"/>
      <c r="AC81" s="199"/>
      <c r="AD81" s="199"/>
      <c r="AE81" s="200"/>
      <c r="AF81" s="200"/>
      <c r="AG81" s="201"/>
      <c r="AH81" s="200"/>
      <c r="AI81" s="201"/>
      <c r="AJ81" s="201"/>
      <c r="AK81" s="200" t="s">
        <v>50</v>
      </c>
      <c r="AL81" s="200" t="s">
        <v>285</v>
      </c>
      <c r="AM81" s="200" t="s">
        <v>286</v>
      </c>
      <c r="AN81" s="200" t="s">
        <v>52</v>
      </c>
      <c r="AO81" s="203"/>
    </row>
    <row r="82" ht="15.75" customHeight="1">
      <c r="A82" s="19">
        <v>43472.0</v>
      </c>
      <c r="B82" s="144" t="s">
        <v>101</v>
      </c>
      <c r="C82" s="70"/>
      <c r="D82" s="70" t="s">
        <v>448</v>
      </c>
      <c r="E82" s="23" t="s">
        <v>2111</v>
      </c>
      <c r="F82" s="375">
        <v>2.0</v>
      </c>
      <c r="G82" s="143">
        <v>892.0</v>
      </c>
      <c r="H82" s="26">
        <f t="shared" ref="H82:H96" si="8">F82*G82</f>
        <v>1784</v>
      </c>
      <c r="I82" s="49" t="s">
        <v>303</v>
      </c>
      <c r="J82" s="161" t="s">
        <v>438</v>
      </c>
      <c r="K82" s="30">
        <v>43522.0</v>
      </c>
      <c r="L82" s="30">
        <v>43522.0</v>
      </c>
      <c r="M82" s="626" t="s">
        <v>2112</v>
      </c>
      <c r="N82" s="64" t="s">
        <v>2113</v>
      </c>
      <c r="O82" s="34"/>
      <c r="P82" s="34"/>
      <c r="Q82" s="34"/>
      <c r="R82" s="627"/>
      <c r="S82" s="627">
        <v>54255.0</v>
      </c>
      <c r="T82" s="76"/>
      <c r="U82" s="52"/>
      <c r="V82" s="53"/>
      <c r="W82" s="53"/>
      <c r="X82" s="386"/>
      <c r="Y82" s="53"/>
      <c r="Z82" s="53" t="s">
        <v>2067</v>
      </c>
      <c r="AA82" s="53">
        <v>2.371347893E9</v>
      </c>
      <c r="AB82" s="53"/>
      <c r="AC82" s="53"/>
      <c r="AD82" s="53"/>
      <c r="AE82" s="54"/>
      <c r="AF82" s="54">
        <v>30.8</v>
      </c>
      <c r="AG82" s="55"/>
      <c r="AH82" s="56">
        <v>43565.0</v>
      </c>
      <c r="AI82" s="38" t="s">
        <v>2074</v>
      </c>
      <c r="AJ82" s="38" t="s">
        <v>2075</v>
      </c>
      <c r="AK82" s="54" t="s">
        <v>50</v>
      </c>
      <c r="AL82" s="24" t="s">
        <v>285</v>
      </c>
      <c r="AM82" s="54" t="s">
        <v>286</v>
      </c>
      <c r="AN82" s="54" t="s">
        <v>52</v>
      </c>
      <c r="AO82" s="57" t="s">
        <v>398</v>
      </c>
    </row>
    <row r="83" ht="15.75" customHeight="1">
      <c r="A83" s="19">
        <v>43472.0</v>
      </c>
      <c r="B83" s="144" t="s">
        <v>101</v>
      </c>
      <c r="C83" s="70"/>
      <c r="D83" s="70" t="s">
        <v>448</v>
      </c>
      <c r="E83" s="23" t="s">
        <v>442</v>
      </c>
      <c r="F83" s="375">
        <v>2.0</v>
      </c>
      <c r="G83" s="143">
        <v>38.0</v>
      </c>
      <c r="H83" s="26">
        <f t="shared" si="8"/>
        <v>76</v>
      </c>
      <c r="I83" s="49" t="s">
        <v>303</v>
      </c>
      <c r="J83" s="161" t="s">
        <v>438</v>
      </c>
      <c r="K83" s="30">
        <v>43522.0</v>
      </c>
      <c r="L83" s="30">
        <v>43522.0</v>
      </c>
      <c r="M83" s="626" t="s">
        <v>2112</v>
      </c>
      <c r="N83" s="64" t="s">
        <v>2113</v>
      </c>
      <c r="O83" s="34"/>
      <c r="P83" s="34"/>
      <c r="Q83" s="34"/>
      <c r="R83" s="628"/>
      <c r="S83" s="628" t="s">
        <v>2114</v>
      </c>
      <c r="T83" s="76"/>
      <c r="U83" s="52"/>
      <c r="V83" s="53"/>
      <c r="W83" s="53"/>
      <c r="X83" s="386"/>
      <c r="Y83" s="53"/>
      <c r="Z83" s="53" t="s">
        <v>2067</v>
      </c>
      <c r="AA83" s="53">
        <v>2.371347893E9</v>
      </c>
      <c r="AB83" s="53"/>
      <c r="AC83" s="53"/>
      <c r="AD83" s="53"/>
      <c r="AE83" s="54"/>
      <c r="AF83" s="54">
        <v>30.8</v>
      </c>
      <c r="AG83" s="55"/>
      <c r="AH83" s="56">
        <v>43565.0</v>
      </c>
      <c r="AI83" s="38" t="s">
        <v>2074</v>
      </c>
      <c r="AJ83" s="38" t="s">
        <v>2075</v>
      </c>
      <c r="AK83" s="54" t="s">
        <v>50</v>
      </c>
      <c r="AL83" s="24" t="s">
        <v>285</v>
      </c>
      <c r="AM83" s="54" t="s">
        <v>286</v>
      </c>
      <c r="AN83" s="54" t="s">
        <v>52</v>
      </c>
      <c r="AO83" s="57" t="s">
        <v>398</v>
      </c>
    </row>
    <row r="84" ht="15.75" customHeight="1">
      <c r="A84" s="19">
        <v>43472.0</v>
      </c>
      <c r="B84" s="144" t="s">
        <v>101</v>
      </c>
      <c r="C84" s="70"/>
      <c r="D84" s="70" t="s">
        <v>448</v>
      </c>
      <c r="E84" s="23" t="s">
        <v>450</v>
      </c>
      <c r="F84" s="375">
        <v>2.0</v>
      </c>
      <c r="G84" s="143">
        <v>79.0</v>
      </c>
      <c r="H84" s="26">
        <f t="shared" si="8"/>
        <v>158</v>
      </c>
      <c r="I84" s="49" t="s">
        <v>303</v>
      </c>
      <c r="J84" s="161" t="s">
        <v>438</v>
      </c>
      <c r="K84" s="30">
        <v>43522.0</v>
      </c>
      <c r="L84" s="30">
        <v>43522.0</v>
      </c>
      <c r="M84" s="629" t="s">
        <v>2112</v>
      </c>
      <c r="N84" s="64" t="s">
        <v>2113</v>
      </c>
      <c r="O84" s="34"/>
      <c r="P84" s="34"/>
      <c r="Q84" s="34"/>
      <c r="R84" s="306"/>
      <c r="S84" s="306">
        <v>3291.0</v>
      </c>
      <c r="T84" s="66"/>
      <c r="U84" s="52"/>
      <c r="V84" s="53"/>
      <c r="W84" s="53"/>
      <c r="X84" s="386"/>
      <c r="Y84" s="53"/>
      <c r="Z84" s="53" t="s">
        <v>2067</v>
      </c>
      <c r="AA84" s="53">
        <v>2.371347893E9</v>
      </c>
      <c r="AB84" s="53"/>
      <c r="AC84" s="53"/>
      <c r="AD84" s="53"/>
      <c r="AE84" s="54"/>
      <c r="AF84" s="54">
        <v>30.8</v>
      </c>
      <c r="AG84" s="55"/>
      <c r="AH84" s="56">
        <v>43565.0</v>
      </c>
      <c r="AI84" s="38" t="s">
        <v>2074</v>
      </c>
      <c r="AJ84" s="38" t="s">
        <v>2075</v>
      </c>
      <c r="AK84" s="54" t="s">
        <v>50</v>
      </c>
      <c r="AL84" s="24" t="s">
        <v>285</v>
      </c>
      <c r="AM84" s="54" t="s">
        <v>286</v>
      </c>
      <c r="AN84" s="54" t="s">
        <v>52</v>
      </c>
      <c r="AO84" s="57" t="s">
        <v>398</v>
      </c>
    </row>
    <row r="85" ht="15.75" customHeight="1">
      <c r="A85" s="19">
        <v>43472.0</v>
      </c>
      <c r="B85" s="144" t="s">
        <v>101</v>
      </c>
      <c r="C85" s="70"/>
      <c r="D85" s="70" t="s">
        <v>448</v>
      </c>
      <c r="E85" s="23" t="s">
        <v>444</v>
      </c>
      <c r="F85" s="375">
        <v>2.0</v>
      </c>
      <c r="G85" s="143">
        <v>140.0</v>
      </c>
      <c r="H85" s="26">
        <f t="shared" si="8"/>
        <v>280</v>
      </c>
      <c r="I85" s="49" t="s">
        <v>303</v>
      </c>
      <c r="J85" s="161" t="s">
        <v>438</v>
      </c>
      <c r="K85" s="30">
        <v>43522.0</v>
      </c>
      <c r="L85" s="30">
        <v>43522.0</v>
      </c>
      <c r="M85" s="626" t="s">
        <v>2112</v>
      </c>
      <c r="N85" s="64" t="s">
        <v>2113</v>
      </c>
      <c r="O85" s="34"/>
      <c r="P85" s="34"/>
      <c r="Q85" s="34"/>
      <c r="R85" s="306"/>
      <c r="S85" s="306">
        <v>7791.0</v>
      </c>
      <c r="T85" s="76"/>
      <c r="U85" s="52"/>
      <c r="V85" s="53"/>
      <c r="W85" s="53"/>
      <c r="X85" s="386"/>
      <c r="Y85" s="53"/>
      <c r="Z85" s="53" t="s">
        <v>2067</v>
      </c>
      <c r="AA85" s="53">
        <v>2.371347893E9</v>
      </c>
      <c r="AB85" s="53"/>
      <c r="AC85" s="53"/>
      <c r="AD85" s="53"/>
      <c r="AE85" s="54"/>
      <c r="AF85" s="54">
        <v>30.8</v>
      </c>
      <c r="AG85" s="55"/>
      <c r="AH85" s="56">
        <v>43565.0</v>
      </c>
      <c r="AI85" s="38" t="s">
        <v>2074</v>
      </c>
      <c r="AJ85" s="38" t="s">
        <v>2075</v>
      </c>
      <c r="AK85" s="54" t="s">
        <v>50</v>
      </c>
      <c r="AL85" s="24" t="s">
        <v>285</v>
      </c>
      <c r="AM85" s="54" t="s">
        <v>286</v>
      </c>
      <c r="AN85" s="54" t="s">
        <v>52</v>
      </c>
      <c r="AO85" s="57" t="s">
        <v>398</v>
      </c>
    </row>
    <row r="86" ht="15.75" customHeight="1">
      <c r="A86" s="19">
        <v>43472.0</v>
      </c>
      <c r="B86" s="144" t="s">
        <v>101</v>
      </c>
      <c r="C86" s="70"/>
      <c r="D86" s="70" t="s">
        <v>448</v>
      </c>
      <c r="E86" s="23" t="s">
        <v>437</v>
      </c>
      <c r="F86" s="375">
        <v>2.0</v>
      </c>
      <c r="G86" s="143">
        <v>92.0</v>
      </c>
      <c r="H86" s="26">
        <f t="shared" si="8"/>
        <v>184</v>
      </c>
      <c r="I86" s="49" t="s">
        <v>303</v>
      </c>
      <c r="J86" s="161" t="s">
        <v>438</v>
      </c>
      <c r="K86" s="30">
        <v>43522.0</v>
      </c>
      <c r="L86" s="30">
        <v>43522.0</v>
      </c>
      <c r="M86" s="626" t="s">
        <v>2112</v>
      </c>
      <c r="N86" s="64" t="s">
        <v>2113</v>
      </c>
      <c r="O86" s="34"/>
      <c r="P86" s="34"/>
      <c r="Q86" s="34"/>
      <c r="R86" s="306"/>
      <c r="S86" s="306" t="s">
        <v>2114</v>
      </c>
      <c r="T86" s="66"/>
      <c r="U86" s="52"/>
      <c r="V86" s="53"/>
      <c r="W86" s="53"/>
      <c r="X86" s="386"/>
      <c r="Y86" s="53"/>
      <c r="Z86" s="53" t="s">
        <v>2067</v>
      </c>
      <c r="AA86" s="53">
        <v>2.371347893E9</v>
      </c>
      <c r="AB86" s="53"/>
      <c r="AC86" s="53"/>
      <c r="AD86" s="53"/>
      <c r="AE86" s="54"/>
      <c r="AF86" s="54">
        <v>30.8</v>
      </c>
      <c r="AG86" s="55"/>
      <c r="AH86" s="56">
        <v>43565.0</v>
      </c>
      <c r="AI86" s="38" t="s">
        <v>2074</v>
      </c>
      <c r="AJ86" s="38" t="s">
        <v>2075</v>
      </c>
      <c r="AK86" s="54" t="s">
        <v>50</v>
      </c>
      <c r="AL86" s="24" t="s">
        <v>285</v>
      </c>
      <c r="AM86" s="54" t="s">
        <v>286</v>
      </c>
      <c r="AN86" s="54" t="s">
        <v>52</v>
      </c>
      <c r="AO86" s="57" t="s">
        <v>398</v>
      </c>
    </row>
    <row r="87" ht="15.75" customHeight="1">
      <c r="A87" s="19">
        <v>43472.0</v>
      </c>
      <c r="B87" s="144" t="s">
        <v>101</v>
      </c>
      <c r="C87" s="70"/>
      <c r="D87" s="70" t="s">
        <v>448</v>
      </c>
      <c r="E87" s="23" t="s">
        <v>445</v>
      </c>
      <c r="F87" s="375">
        <v>2.0</v>
      </c>
      <c r="G87" s="387">
        <v>10.0</v>
      </c>
      <c r="H87" s="26">
        <f t="shared" si="8"/>
        <v>20</v>
      </c>
      <c r="I87" s="49" t="s">
        <v>303</v>
      </c>
      <c r="J87" s="161" t="s">
        <v>438</v>
      </c>
      <c r="K87" s="30">
        <v>43522.0</v>
      </c>
      <c r="L87" s="30">
        <v>43522.0</v>
      </c>
      <c r="M87" s="626" t="s">
        <v>2112</v>
      </c>
      <c r="N87" s="64" t="s">
        <v>2113</v>
      </c>
      <c r="O87" s="34"/>
      <c r="P87" s="34"/>
      <c r="Q87" s="34"/>
      <c r="R87" s="628"/>
      <c r="S87" s="628" t="s">
        <v>2114</v>
      </c>
      <c r="T87" s="76"/>
      <c r="U87" s="52"/>
      <c r="V87" s="53"/>
      <c r="W87" s="53"/>
      <c r="X87" s="386"/>
      <c r="Y87" s="53"/>
      <c r="Z87" s="53" t="s">
        <v>2067</v>
      </c>
      <c r="AA87" s="53">
        <v>2.371347893E9</v>
      </c>
      <c r="AB87" s="53"/>
      <c r="AC87" s="53"/>
      <c r="AD87" s="53"/>
      <c r="AE87" s="54"/>
      <c r="AF87" s="54">
        <v>30.8</v>
      </c>
      <c r="AG87" s="55"/>
      <c r="AH87" s="56">
        <v>43565.0</v>
      </c>
      <c r="AI87" s="38" t="s">
        <v>2074</v>
      </c>
      <c r="AJ87" s="38" t="s">
        <v>2075</v>
      </c>
      <c r="AK87" s="54" t="s">
        <v>50</v>
      </c>
      <c r="AL87" s="24" t="s">
        <v>285</v>
      </c>
      <c r="AM87" s="54" t="s">
        <v>286</v>
      </c>
      <c r="AN87" s="54" t="s">
        <v>52</v>
      </c>
      <c r="AO87" s="57" t="s">
        <v>398</v>
      </c>
    </row>
    <row r="88" ht="15.75" customHeight="1">
      <c r="A88" s="69">
        <v>43472.0</v>
      </c>
      <c r="B88" s="388" t="s">
        <v>130</v>
      </c>
      <c r="C88" s="389" t="s">
        <v>451</v>
      </c>
      <c r="D88" s="265" t="s">
        <v>452</v>
      </c>
      <c r="E88" s="23" t="s">
        <v>453</v>
      </c>
      <c r="F88" s="390">
        <v>20.0</v>
      </c>
      <c r="G88" s="391">
        <v>58.0</v>
      </c>
      <c r="H88" s="255">
        <f t="shared" si="8"/>
        <v>1160</v>
      </c>
      <c r="I88" s="266" t="s">
        <v>420</v>
      </c>
      <c r="J88" s="259" t="s">
        <v>454</v>
      </c>
      <c r="K88" s="258">
        <v>43494.0</v>
      </c>
      <c r="L88" s="258">
        <v>43493.0</v>
      </c>
      <c r="M88" s="403" t="s">
        <v>90</v>
      </c>
      <c r="N88" s="252" t="s">
        <v>2115</v>
      </c>
      <c r="O88" s="310"/>
      <c r="P88" s="310">
        <v>52.0</v>
      </c>
      <c r="Q88" s="310">
        <v>1092.0</v>
      </c>
      <c r="R88" s="600"/>
      <c r="S88" s="600"/>
      <c r="T88" s="578" t="s">
        <v>94</v>
      </c>
      <c r="U88" s="260">
        <v>43524.0</v>
      </c>
      <c r="V88" s="260">
        <v>43490.0</v>
      </c>
      <c r="W88" s="261" t="s">
        <v>455</v>
      </c>
      <c r="X88" s="272">
        <v>33595.0</v>
      </c>
      <c r="Y88" s="260">
        <v>43522.0</v>
      </c>
      <c r="Z88" s="331" t="s">
        <v>2116</v>
      </c>
      <c r="AA88" s="266">
        <v>8.005896592E9</v>
      </c>
      <c r="AB88" s="331"/>
      <c r="AC88" s="331"/>
      <c r="AD88" s="331"/>
      <c r="AE88" s="253" t="s">
        <v>284</v>
      </c>
      <c r="AF88" s="253"/>
      <c r="AG88" s="262"/>
      <c r="AH88" s="253"/>
      <c r="AI88" s="262"/>
      <c r="AJ88" s="262"/>
      <c r="AK88" s="253" t="s">
        <v>50</v>
      </c>
      <c r="AL88" s="253" t="s">
        <v>285</v>
      </c>
      <c r="AM88" s="253" t="s">
        <v>51</v>
      </c>
      <c r="AN88" s="253" t="s">
        <v>52</v>
      </c>
      <c r="AO88" s="264"/>
    </row>
    <row r="89" ht="15.75" customHeight="1">
      <c r="A89" s="69">
        <v>43473.0</v>
      </c>
      <c r="B89" s="265" t="s">
        <v>119</v>
      </c>
      <c r="C89" s="265" t="s">
        <v>456</v>
      </c>
      <c r="D89" s="265" t="s">
        <v>457</v>
      </c>
      <c r="E89" s="23" t="s">
        <v>458</v>
      </c>
      <c r="F89" s="392">
        <v>3.0</v>
      </c>
      <c r="G89" s="391">
        <v>1209.0</v>
      </c>
      <c r="H89" s="364">
        <f t="shared" si="8"/>
        <v>3627</v>
      </c>
      <c r="I89" s="266" t="s">
        <v>171</v>
      </c>
      <c r="J89" s="266" t="s">
        <v>122</v>
      </c>
      <c r="K89" s="258">
        <v>43494.0</v>
      </c>
      <c r="L89" s="258">
        <v>43493.0</v>
      </c>
      <c r="M89" s="403" t="s">
        <v>90</v>
      </c>
      <c r="N89" s="422" t="s">
        <v>2117</v>
      </c>
      <c r="O89" s="310"/>
      <c r="P89" s="310"/>
      <c r="Q89" s="310">
        <v>2986.2</v>
      </c>
      <c r="R89" s="600"/>
      <c r="S89" s="600"/>
      <c r="T89" s="578" t="s">
        <v>94</v>
      </c>
      <c r="U89" s="260">
        <v>43555.0</v>
      </c>
      <c r="V89" s="260">
        <v>43493.0</v>
      </c>
      <c r="W89" s="261" t="s">
        <v>459</v>
      </c>
      <c r="X89" s="272">
        <v>401013.0</v>
      </c>
      <c r="Y89" s="260">
        <v>43536.0</v>
      </c>
      <c r="Z89" s="331" t="s">
        <v>2083</v>
      </c>
      <c r="AA89" s="331" t="s">
        <v>2084</v>
      </c>
      <c r="AB89" s="331"/>
      <c r="AC89" s="331"/>
      <c r="AD89" s="331"/>
      <c r="AE89" s="253" t="s">
        <v>284</v>
      </c>
      <c r="AF89" s="253"/>
      <c r="AG89" s="262"/>
      <c r="AH89" s="307"/>
      <c r="AI89" s="262"/>
      <c r="AJ89" s="262"/>
      <c r="AK89" s="253" t="s">
        <v>50</v>
      </c>
      <c r="AL89" s="253" t="s">
        <v>285</v>
      </c>
      <c r="AM89" s="253" t="s">
        <v>51</v>
      </c>
      <c r="AN89" s="253" t="s">
        <v>52</v>
      </c>
      <c r="AO89" s="264"/>
    </row>
    <row r="90" ht="15.75" customHeight="1">
      <c r="A90" s="69">
        <v>43473.0</v>
      </c>
      <c r="B90" s="265" t="s">
        <v>119</v>
      </c>
      <c r="C90" s="265" t="s">
        <v>456</v>
      </c>
      <c r="D90" s="265" t="s">
        <v>457</v>
      </c>
      <c r="E90" s="23" t="s">
        <v>162</v>
      </c>
      <c r="F90" s="392">
        <v>15.0</v>
      </c>
      <c r="G90" s="391">
        <v>738.0</v>
      </c>
      <c r="H90" s="364">
        <f t="shared" si="8"/>
        <v>11070</v>
      </c>
      <c r="I90" s="266" t="s">
        <v>171</v>
      </c>
      <c r="J90" s="266" t="s">
        <v>122</v>
      </c>
      <c r="K90" s="258">
        <v>43494.0</v>
      </c>
      <c r="L90" s="258">
        <v>43493.0</v>
      </c>
      <c r="M90" s="403" t="s">
        <v>90</v>
      </c>
      <c r="N90" s="422" t="s">
        <v>2117</v>
      </c>
      <c r="O90" s="310"/>
      <c r="P90" s="310"/>
      <c r="Q90" s="310">
        <v>10048.5</v>
      </c>
      <c r="R90" s="600"/>
      <c r="S90" s="600"/>
      <c r="T90" s="578" t="s">
        <v>94</v>
      </c>
      <c r="U90" s="260">
        <v>43555.0</v>
      </c>
      <c r="V90" s="260">
        <v>43493.0</v>
      </c>
      <c r="W90" s="261" t="s">
        <v>459</v>
      </c>
      <c r="X90" s="272" t="s">
        <v>2118</v>
      </c>
      <c r="Y90" s="260">
        <v>43536.0</v>
      </c>
      <c r="Z90" s="331" t="s">
        <v>2083</v>
      </c>
      <c r="AA90" s="331" t="s">
        <v>2084</v>
      </c>
      <c r="AB90" s="331"/>
      <c r="AC90" s="331"/>
      <c r="AD90" s="331"/>
      <c r="AE90" s="253" t="s">
        <v>284</v>
      </c>
      <c r="AF90" s="253"/>
      <c r="AG90" s="262"/>
      <c r="AH90" s="307"/>
      <c r="AI90" s="262"/>
      <c r="AJ90" s="262"/>
      <c r="AK90" s="253" t="s">
        <v>50</v>
      </c>
      <c r="AL90" s="253" t="s">
        <v>285</v>
      </c>
      <c r="AM90" s="253" t="s">
        <v>51</v>
      </c>
      <c r="AN90" s="253" t="s">
        <v>52</v>
      </c>
      <c r="AO90" s="264"/>
    </row>
    <row r="91" ht="15.75" customHeight="1">
      <c r="A91" s="69">
        <v>43473.0</v>
      </c>
      <c r="B91" s="265" t="s">
        <v>229</v>
      </c>
      <c r="C91" s="265" t="s">
        <v>460</v>
      </c>
      <c r="D91" s="265" t="s">
        <v>461</v>
      </c>
      <c r="E91" s="23" t="s">
        <v>462</v>
      </c>
      <c r="F91" s="393">
        <v>35.0</v>
      </c>
      <c r="G91" s="391">
        <v>407.4</v>
      </c>
      <c r="H91" s="255">
        <f t="shared" si="8"/>
        <v>14259</v>
      </c>
      <c r="I91" s="266" t="s">
        <v>171</v>
      </c>
      <c r="J91" s="253" t="s">
        <v>90</v>
      </c>
      <c r="K91" s="258">
        <v>43487.0</v>
      </c>
      <c r="L91" s="258">
        <v>43487.0</v>
      </c>
      <c r="M91" s="403" t="s">
        <v>90</v>
      </c>
      <c r="N91" s="422" t="s">
        <v>2119</v>
      </c>
      <c r="O91" s="310"/>
      <c r="P91" s="310"/>
      <c r="Q91" s="310">
        <v>13046.25</v>
      </c>
      <c r="R91" s="600"/>
      <c r="S91" s="600"/>
      <c r="T91" s="578" t="s">
        <v>94</v>
      </c>
      <c r="U91" s="260">
        <v>43524.0</v>
      </c>
      <c r="V91" s="260">
        <v>43487.0</v>
      </c>
      <c r="W91" s="261" t="s">
        <v>463</v>
      </c>
      <c r="X91" s="272">
        <v>401368.0</v>
      </c>
      <c r="Y91" s="260">
        <v>43522.0</v>
      </c>
      <c r="Z91" s="331" t="s">
        <v>2120</v>
      </c>
      <c r="AA91" s="331"/>
      <c r="AB91" s="331">
        <v>30.835</v>
      </c>
      <c r="AC91" s="331">
        <v>439676.0</v>
      </c>
      <c r="AD91" s="606">
        <v>43486.0</v>
      </c>
      <c r="AE91" s="253"/>
      <c r="AF91" s="253"/>
      <c r="AG91" s="262"/>
      <c r="AH91" s="253"/>
      <c r="AI91" s="262"/>
      <c r="AJ91" s="262"/>
      <c r="AK91" s="253" t="s">
        <v>50</v>
      </c>
      <c r="AL91" s="253" t="s">
        <v>285</v>
      </c>
      <c r="AM91" s="253" t="s">
        <v>51</v>
      </c>
      <c r="AN91" s="253" t="s">
        <v>377</v>
      </c>
      <c r="AO91" s="264"/>
    </row>
    <row r="92" ht="15.75" customHeight="1">
      <c r="A92" s="69">
        <v>43476.0</v>
      </c>
      <c r="B92" s="265" t="s">
        <v>464</v>
      </c>
      <c r="C92" s="265">
        <v>503704.0</v>
      </c>
      <c r="D92" s="394" t="s">
        <v>465</v>
      </c>
      <c r="E92" s="23" t="s">
        <v>466</v>
      </c>
      <c r="F92" s="393">
        <v>1.0</v>
      </c>
      <c r="G92" s="391">
        <v>100.0</v>
      </c>
      <c r="H92" s="255">
        <f t="shared" si="8"/>
        <v>100</v>
      </c>
      <c r="I92" s="266" t="s">
        <v>171</v>
      </c>
      <c r="J92" s="253" t="s">
        <v>467</v>
      </c>
      <c r="K92" s="258">
        <v>43539.0</v>
      </c>
      <c r="L92" s="258">
        <v>43519.0</v>
      </c>
      <c r="M92" s="403" t="s">
        <v>90</v>
      </c>
      <c r="N92" s="422" t="s">
        <v>2121</v>
      </c>
      <c r="O92" s="310"/>
      <c r="P92" s="310"/>
      <c r="Q92" s="310">
        <v>89.25</v>
      </c>
      <c r="R92" s="600"/>
      <c r="S92" s="600"/>
      <c r="T92" s="578" t="s">
        <v>94</v>
      </c>
      <c r="U92" s="260">
        <v>43555.0</v>
      </c>
      <c r="V92" s="260">
        <v>43518.0</v>
      </c>
      <c r="W92" s="261" t="s">
        <v>468</v>
      </c>
      <c r="X92" s="272" t="s">
        <v>2122</v>
      </c>
      <c r="Y92" s="260">
        <v>43557.0</v>
      </c>
      <c r="Z92" s="331" t="s">
        <v>2123</v>
      </c>
      <c r="AA92" s="331">
        <v>2.52696603E8</v>
      </c>
      <c r="AB92" s="331"/>
      <c r="AC92" s="331"/>
      <c r="AD92" s="331"/>
      <c r="AE92" s="253"/>
      <c r="AF92" s="253">
        <v>30.79</v>
      </c>
      <c r="AG92" s="262"/>
      <c r="AH92" s="253"/>
      <c r="AI92" s="262" t="s">
        <v>2124</v>
      </c>
      <c r="AJ92" s="262" t="s">
        <v>2124</v>
      </c>
      <c r="AK92" s="253" t="s">
        <v>50</v>
      </c>
      <c r="AL92" s="253" t="s">
        <v>285</v>
      </c>
      <c r="AM92" s="253" t="s">
        <v>51</v>
      </c>
      <c r="AN92" s="253" t="s">
        <v>52</v>
      </c>
      <c r="AO92" s="264"/>
    </row>
    <row r="93" ht="15.75" customHeight="1">
      <c r="A93" s="69">
        <v>43476.0</v>
      </c>
      <c r="B93" s="265" t="s">
        <v>464</v>
      </c>
      <c r="C93" s="265">
        <v>503704.0</v>
      </c>
      <c r="D93" s="394" t="s">
        <v>469</v>
      </c>
      <c r="E93" s="23" t="s">
        <v>470</v>
      </c>
      <c r="F93" s="393">
        <v>1.0</v>
      </c>
      <c r="G93" s="391">
        <v>80.0</v>
      </c>
      <c r="H93" s="255">
        <f t="shared" si="8"/>
        <v>80</v>
      </c>
      <c r="I93" s="266" t="s">
        <v>171</v>
      </c>
      <c r="J93" s="253" t="s">
        <v>467</v>
      </c>
      <c r="K93" s="258">
        <v>43539.0</v>
      </c>
      <c r="L93" s="258">
        <v>43515.0</v>
      </c>
      <c r="M93" s="403" t="s">
        <v>2125</v>
      </c>
      <c r="N93" s="422" t="s">
        <v>2126</v>
      </c>
      <c r="O93" s="600"/>
      <c r="P93" s="600"/>
      <c r="Q93" s="600"/>
      <c r="R93" s="579"/>
      <c r="S93" s="579">
        <v>1628.0</v>
      </c>
      <c r="T93" s="310" t="s">
        <v>2127</v>
      </c>
      <c r="U93" s="261" t="s">
        <v>422</v>
      </c>
      <c r="V93" s="260">
        <v>43510.0</v>
      </c>
      <c r="W93" s="261" t="s">
        <v>471</v>
      </c>
      <c r="X93" s="272">
        <v>3766.0</v>
      </c>
      <c r="Y93" s="260">
        <v>43512.0</v>
      </c>
      <c r="Z93" s="331" t="s">
        <v>2123</v>
      </c>
      <c r="AA93" s="331">
        <v>2.52696603E8</v>
      </c>
      <c r="AB93" s="331"/>
      <c r="AC93" s="331"/>
      <c r="AD93" s="331"/>
      <c r="AE93" s="253"/>
      <c r="AF93" s="253">
        <v>30.79</v>
      </c>
      <c r="AG93" s="262"/>
      <c r="AH93" s="253"/>
      <c r="AI93" s="262" t="s">
        <v>2124</v>
      </c>
      <c r="AJ93" s="262" t="s">
        <v>2124</v>
      </c>
      <c r="AK93" s="253" t="s">
        <v>50</v>
      </c>
      <c r="AL93" s="253" t="s">
        <v>285</v>
      </c>
      <c r="AM93" s="253" t="s">
        <v>51</v>
      </c>
      <c r="AN93" s="253" t="s">
        <v>52</v>
      </c>
      <c r="AO93" s="264"/>
    </row>
    <row r="94" ht="15.75" customHeight="1">
      <c r="A94" s="110">
        <v>43476.0</v>
      </c>
      <c r="B94" s="252" t="s">
        <v>464</v>
      </c>
      <c r="C94" s="252">
        <v>503704.0</v>
      </c>
      <c r="D94" s="328" t="s">
        <v>469</v>
      </c>
      <c r="E94" s="23" t="s">
        <v>472</v>
      </c>
      <c r="F94" s="253">
        <v>1.0</v>
      </c>
      <c r="G94" s="267">
        <v>118.0</v>
      </c>
      <c r="H94" s="255">
        <f t="shared" si="8"/>
        <v>118</v>
      </c>
      <c r="I94" s="266" t="s">
        <v>171</v>
      </c>
      <c r="J94" s="253" t="s">
        <v>467</v>
      </c>
      <c r="K94" s="258">
        <v>43539.0</v>
      </c>
      <c r="L94" s="258">
        <v>43515.0</v>
      </c>
      <c r="M94" s="403" t="s">
        <v>2125</v>
      </c>
      <c r="N94" s="422" t="s">
        <v>2126</v>
      </c>
      <c r="O94" s="600"/>
      <c r="P94" s="600"/>
      <c r="Q94" s="600"/>
      <c r="R94" s="579"/>
      <c r="S94" s="579">
        <v>2138.0</v>
      </c>
      <c r="T94" s="320" t="s">
        <v>2127</v>
      </c>
      <c r="U94" s="261" t="s">
        <v>422</v>
      </c>
      <c r="V94" s="260">
        <v>43510.0</v>
      </c>
      <c r="W94" s="261" t="s">
        <v>471</v>
      </c>
      <c r="X94" s="272" t="s">
        <v>2128</v>
      </c>
      <c r="Y94" s="260">
        <v>43512.0</v>
      </c>
      <c r="Z94" s="331" t="s">
        <v>2123</v>
      </c>
      <c r="AA94" s="405">
        <v>2.52696603E8</v>
      </c>
      <c r="AB94" s="331"/>
      <c r="AC94" s="331"/>
      <c r="AD94" s="331"/>
      <c r="AE94" s="253"/>
      <c r="AF94" s="253">
        <v>30.79</v>
      </c>
      <c r="AG94" s="262"/>
      <c r="AH94" s="253"/>
      <c r="AI94" s="262" t="s">
        <v>2124</v>
      </c>
      <c r="AJ94" s="262" t="s">
        <v>2124</v>
      </c>
      <c r="AK94" s="253" t="s">
        <v>50</v>
      </c>
      <c r="AL94" s="253" t="s">
        <v>285</v>
      </c>
      <c r="AM94" s="253" t="s">
        <v>51</v>
      </c>
      <c r="AN94" s="253" t="s">
        <v>52</v>
      </c>
      <c r="AO94" s="264"/>
    </row>
    <row r="95" ht="15.75" customHeight="1">
      <c r="A95" s="110">
        <v>43476.0</v>
      </c>
      <c r="B95" s="265" t="s">
        <v>464</v>
      </c>
      <c r="C95" s="252">
        <v>503704.0</v>
      </c>
      <c r="D95" s="328" t="s">
        <v>469</v>
      </c>
      <c r="E95" s="23" t="s">
        <v>473</v>
      </c>
      <c r="F95" s="253">
        <v>1.0</v>
      </c>
      <c r="G95" s="267">
        <v>160.0</v>
      </c>
      <c r="H95" s="255">
        <f t="shared" si="8"/>
        <v>160</v>
      </c>
      <c r="I95" s="266" t="s">
        <v>171</v>
      </c>
      <c r="J95" s="253" t="s">
        <v>467</v>
      </c>
      <c r="K95" s="258">
        <v>43539.0</v>
      </c>
      <c r="L95" s="258">
        <v>43514.0</v>
      </c>
      <c r="M95" s="403" t="s">
        <v>2129</v>
      </c>
      <c r="N95" s="422" t="s">
        <v>2130</v>
      </c>
      <c r="O95" s="581"/>
      <c r="P95" s="581"/>
      <c r="Q95" s="581">
        <v>135.45</v>
      </c>
      <c r="R95" s="268"/>
      <c r="S95" s="268">
        <v>4176.0</v>
      </c>
      <c r="T95" s="340" t="s">
        <v>47</v>
      </c>
      <c r="U95" s="260">
        <v>43541.0</v>
      </c>
      <c r="V95" s="260">
        <v>43511.0</v>
      </c>
      <c r="W95" s="261" t="s">
        <v>474</v>
      </c>
      <c r="X95" s="272">
        <v>4176.0</v>
      </c>
      <c r="Y95" s="260">
        <v>43558.0</v>
      </c>
      <c r="Z95" s="331" t="s">
        <v>2123</v>
      </c>
      <c r="AA95" s="331">
        <v>2.52696603E8</v>
      </c>
      <c r="AB95" s="331"/>
      <c r="AC95" s="331"/>
      <c r="AD95" s="331"/>
      <c r="AE95" s="253"/>
      <c r="AF95" s="253">
        <v>30.79</v>
      </c>
      <c r="AG95" s="262"/>
      <c r="AH95" s="253"/>
      <c r="AI95" s="262" t="s">
        <v>2124</v>
      </c>
      <c r="AJ95" s="262" t="s">
        <v>2124</v>
      </c>
      <c r="AK95" s="253" t="s">
        <v>50</v>
      </c>
      <c r="AL95" s="253" t="s">
        <v>285</v>
      </c>
      <c r="AM95" s="253" t="s">
        <v>51</v>
      </c>
      <c r="AN95" s="253" t="s">
        <v>52</v>
      </c>
      <c r="AO95" s="264"/>
    </row>
    <row r="96" ht="15.75" customHeight="1">
      <c r="A96" s="110">
        <v>43476.0</v>
      </c>
      <c r="B96" s="265" t="s">
        <v>464</v>
      </c>
      <c r="C96" s="252">
        <v>503704.0</v>
      </c>
      <c r="D96" s="328" t="s">
        <v>475</v>
      </c>
      <c r="E96" s="23" t="s">
        <v>476</v>
      </c>
      <c r="F96" s="253">
        <v>1.0</v>
      </c>
      <c r="G96" s="267">
        <v>4120.0</v>
      </c>
      <c r="H96" s="255">
        <f t="shared" si="8"/>
        <v>4120</v>
      </c>
      <c r="I96" s="266" t="s">
        <v>171</v>
      </c>
      <c r="J96" s="395" t="s">
        <v>467</v>
      </c>
      <c r="K96" s="258">
        <v>43539.0</v>
      </c>
      <c r="L96" s="258">
        <v>43539.0</v>
      </c>
      <c r="M96" s="403" t="s">
        <v>90</v>
      </c>
      <c r="N96" s="422" t="s">
        <v>2121</v>
      </c>
      <c r="O96" s="310"/>
      <c r="P96" s="310"/>
      <c r="Q96" s="310">
        <v>3863.16</v>
      </c>
      <c r="R96" s="600"/>
      <c r="S96" s="600"/>
      <c r="T96" s="340" t="s">
        <v>94</v>
      </c>
      <c r="U96" s="260">
        <v>43555.0</v>
      </c>
      <c r="V96" s="260">
        <v>43518.0</v>
      </c>
      <c r="W96" s="261" t="s">
        <v>468</v>
      </c>
      <c r="X96" s="272">
        <v>121734.0</v>
      </c>
      <c r="Y96" s="260">
        <v>43557.0</v>
      </c>
      <c r="Z96" s="331" t="s">
        <v>2123</v>
      </c>
      <c r="AA96" s="331">
        <v>2.52696603E8</v>
      </c>
      <c r="AB96" s="331"/>
      <c r="AC96" s="331"/>
      <c r="AD96" s="331"/>
      <c r="AE96" s="253"/>
      <c r="AF96" s="253">
        <v>30.79</v>
      </c>
      <c r="AG96" s="262"/>
      <c r="AH96" s="307"/>
      <c r="AI96" s="262">
        <f>4578*30.73-200</f>
        <v>140481.94</v>
      </c>
      <c r="AJ96" s="262">
        <v>200.0</v>
      </c>
      <c r="AK96" s="253" t="s">
        <v>50</v>
      </c>
      <c r="AL96" s="253" t="s">
        <v>285</v>
      </c>
      <c r="AM96" s="253" t="s">
        <v>51</v>
      </c>
      <c r="AN96" s="253" t="s">
        <v>52</v>
      </c>
      <c r="AO96" s="264"/>
    </row>
    <row r="97" ht="15.75" customHeight="1">
      <c r="A97" s="110">
        <v>43479.0</v>
      </c>
      <c r="B97" s="70" t="s">
        <v>77</v>
      </c>
      <c r="C97" s="21">
        <v>14.0</v>
      </c>
      <c r="D97" s="21" t="s">
        <v>477</v>
      </c>
      <c r="E97" s="23" t="s">
        <v>478</v>
      </c>
      <c r="F97" s="82">
        <v>30.0</v>
      </c>
      <c r="G97" s="48">
        <v>2.25</v>
      </c>
      <c r="H97" s="60">
        <f t="shared" ref="H97:H102" si="9">G97*F97</f>
        <v>67.5</v>
      </c>
      <c r="I97" s="348" t="s">
        <v>43</v>
      </c>
      <c r="J97" s="58" t="s">
        <v>479</v>
      </c>
      <c r="K97" s="29">
        <v>43522.0</v>
      </c>
      <c r="L97" s="29">
        <v>43482.0</v>
      </c>
      <c r="M97" s="58" t="s">
        <v>179</v>
      </c>
      <c r="N97" s="139"/>
      <c r="O97" s="41"/>
      <c r="P97" s="41"/>
      <c r="Q97" s="41"/>
      <c r="R97" s="41"/>
      <c r="S97" s="41"/>
      <c r="T97" s="521" t="s">
        <v>2131</v>
      </c>
      <c r="U97" s="52"/>
      <c r="V97" s="53"/>
      <c r="W97" s="53"/>
      <c r="X97" s="386"/>
      <c r="Y97" s="53"/>
      <c r="Z97" s="53" t="s">
        <v>2132</v>
      </c>
      <c r="AA97" s="53" t="s">
        <v>2133</v>
      </c>
      <c r="AB97" s="53"/>
      <c r="AC97" s="53"/>
      <c r="AD97" s="53"/>
      <c r="AE97" s="54"/>
      <c r="AF97" s="54"/>
      <c r="AG97" s="55"/>
      <c r="AH97" s="54"/>
      <c r="AI97" s="55"/>
      <c r="AJ97" s="55"/>
      <c r="AK97" s="54" t="s">
        <v>50</v>
      </c>
      <c r="AL97" s="24" t="s">
        <v>285</v>
      </c>
      <c r="AM97" s="54" t="s">
        <v>51</v>
      </c>
      <c r="AN97" s="54" t="s">
        <v>52</v>
      </c>
      <c r="AO97" s="57" t="s">
        <v>398</v>
      </c>
    </row>
    <row r="98" ht="15.75" customHeight="1">
      <c r="A98" s="110">
        <v>43479.0</v>
      </c>
      <c r="B98" s="70" t="s">
        <v>77</v>
      </c>
      <c r="C98" s="21">
        <v>14.0</v>
      </c>
      <c r="D98" s="21" t="s">
        <v>477</v>
      </c>
      <c r="E98" s="23" t="s">
        <v>478</v>
      </c>
      <c r="F98" s="82">
        <v>20.0</v>
      </c>
      <c r="G98" s="48">
        <v>2.25</v>
      </c>
      <c r="H98" s="60">
        <f t="shared" si="9"/>
        <v>45</v>
      </c>
      <c r="I98" s="348" t="s">
        <v>43</v>
      </c>
      <c r="J98" s="58" t="s">
        <v>479</v>
      </c>
      <c r="K98" s="29">
        <v>43522.0</v>
      </c>
      <c r="L98" s="30">
        <v>43515.0</v>
      </c>
      <c r="M98" s="58" t="s">
        <v>179</v>
      </c>
      <c r="N98" s="139"/>
      <c r="O98" s="41"/>
      <c r="P98" s="41"/>
      <c r="Q98" s="41"/>
      <c r="R98" s="41"/>
      <c r="S98" s="41"/>
      <c r="T98" s="521" t="s">
        <v>2131</v>
      </c>
      <c r="U98" s="52"/>
      <c r="V98" s="53"/>
      <c r="W98" s="53"/>
      <c r="X98" s="386"/>
      <c r="Y98" s="53"/>
      <c r="Z98" s="53" t="s">
        <v>2132</v>
      </c>
      <c r="AA98" s="53" t="s">
        <v>2133</v>
      </c>
      <c r="AB98" s="53"/>
      <c r="AC98" s="53"/>
      <c r="AD98" s="53"/>
      <c r="AE98" s="54"/>
      <c r="AF98" s="54"/>
      <c r="AG98" s="55"/>
      <c r="AH98" s="54"/>
      <c r="AI98" s="55"/>
      <c r="AJ98" s="55"/>
      <c r="AK98" s="54" t="s">
        <v>50</v>
      </c>
      <c r="AL98" s="24" t="s">
        <v>285</v>
      </c>
      <c r="AM98" s="54" t="s">
        <v>51</v>
      </c>
      <c r="AN98" s="54" t="s">
        <v>52</v>
      </c>
      <c r="AO98" s="57" t="s">
        <v>398</v>
      </c>
    </row>
    <row r="99" ht="15.75" customHeight="1">
      <c r="A99" s="110">
        <v>43481.0</v>
      </c>
      <c r="B99" s="265" t="s">
        <v>406</v>
      </c>
      <c r="C99" s="252">
        <v>7.000144298E9</v>
      </c>
      <c r="D99" s="252" t="s">
        <v>480</v>
      </c>
      <c r="E99" s="23" t="s">
        <v>481</v>
      </c>
      <c r="F99" s="266">
        <v>2.0</v>
      </c>
      <c r="G99" s="330">
        <v>137.0</v>
      </c>
      <c r="H99" s="336">
        <f t="shared" si="9"/>
        <v>274</v>
      </c>
      <c r="I99" s="256" t="s">
        <v>43</v>
      </c>
      <c r="J99" s="266" t="s">
        <v>482</v>
      </c>
      <c r="K99" s="258">
        <v>43489.0</v>
      </c>
      <c r="L99" s="258">
        <v>43488.0</v>
      </c>
      <c r="M99" s="333" t="s">
        <v>2078</v>
      </c>
      <c r="N99" s="252" t="s">
        <v>2134</v>
      </c>
      <c r="O99" s="310"/>
      <c r="P99" s="600"/>
      <c r="Q99" s="600"/>
      <c r="R99" s="310"/>
      <c r="S99" s="310">
        <v>7558.0</v>
      </c>
      <c r="T99" s="320" t="s">
        <v>2080</v>
      </c>
      <c r="U99" s="260">
        <v>43524.0</v>
      </c>
      <c r="V99" s="370">
        <v>43487.0</v>
      </c>
      <c r="W99" s="261" t="s">
        <v>483</v>
      </c>
      <c r="X99" s="272">
        <v>14867.0</v>
      </c>
      <c r="Y99" s="260">
        <v>43523.0</v>
      </c>
      <c r="Z99" s="331" t="s">
        <v>2135</v>
      </c>
      <c r="AA99" s="331">
        <v>2.943373694E9</v>
      </c>
      <c r="AB99" s="331"/>
      <c r="AC99" s="331"/>
      <c r="AD99" s="331"/>
      <c r="AE99" s="253" t="s">
        <v>284</v>
      </c>
      <c r="AF99" s="253"/>
      <c r="AG99" s="262"/>
      <c r="AH99" s="253"/>
      <c r="AI99" s="262"/>
      <c r="AJ99" s="262"/>
      <c r="AK99" s="253" t="s">
        <v>50</v>
      </c>
      <c r="AL99" s="253" t="s">
        <v>285</v>
      </c>
      <c r="AM99" s="253" t="s">
        <v>51</v>
      </c>
      <c r="AN99" s="253" t="s">
        <v>52</v>
      </c>
      <c r="AO99" s="264"/>
    </row>
    <row r="100" ht="15.75" customHeight="1">
      <c r="A100" s="110">
        <v>43481.0</v>
      </c>
      <c r="B100" s="265" t="s">
        <v>406</v>
      </c>
      <c r="C100" s="252">
        <v>7.000144298E9</v>
      </c>
      <c r="D100" s="252" t="s">
        <v>480</v>
      </c>
      <c r="E100" s="23" t="s">
        <v>484</v>
      </c>
      <c r="F100" s="266">
        <v>1.0</v>
      </c>
      <c r="G100" s="330">
        <v>87.0</v>
      </c>
      <c r="H100" s="336">
        <f t="shared" si="9"/>
        <v>87</v>
      </c>
      <c r="I100" s="256" t="s">
        <v>43</v>
      </c>
      <c r="J100" s="266" t="s">
        <v>482</v>
      </c>
      <c r="K100" s="258">
        <v>43489.0</v>
      </c>
      <c r="L100" s="258">
        <v>43488.0</v>
      </c>
      <c r="M100" s="333" t="s">
        <v>2078</v>
      </c>
      <c r="N100" s="252" t="s">
        <v>2134</v>
      </c>
      <c r="O100" s="310"/>
      <c r="P100" s="600"/>
      <c r="Q100" s="600"/>
      <c r="R100" s="310"/>
      <c r="S100" s="310">
        <v>2387.0</v>
      </c>
      <c r="T100" s="320" t="s">
        <v>2080</v>
      </c>
      <c r="U100" s="260">
        <v>43524.0</v>
      </c>
      <c r="V100" s="370">
        <v>43487.0</v>
      </c>
      <c r="W100" s="261" t="s">
        <v>483</v>
      </c>
      <c r="X100" s="261" t="s">
        <v>2136</v>
      </c>
      <c r="Y100" s="260">
        <v>43523.0</v>
      </c>
      <c r="Z100" s="331" t="s">
        <v>2135</v>
      </c>
      <c r="AA100" s="331">
        <v>2.943373694E9</v>
      </c>
      <c r="AB100" s="331"/>
      <c r="AC100" s="331"/>
      <c r="AD100" s="331"/>
      <c r="AE100" s="253" t="s">
        <v>284</v>
      </c>
      <c r="AF100" s="253"/>
      <c r="AG100" s="262"/>
      <c r="AH100" s="253"/>
      <c r="AI100" s="262"/>
      <c r="AJ100" s="262"/>
      <c r="AK100" s="253" t="s">
        <v>50</v>
      </c>
      <c r="AL100" s="253" t="s">
        <v>285</v>
      </c>
      <c r="AM100" s="253" t="s">
        <v>51</v>
      </c>
      <c r="AN100" s="253" t="s">
        <v>52</v>
      </c>
      <c r="AO100" s="264"/>
    </row>
    <row r="101" ht="15.75" customHeight="1">
      <c r="A101" s="110">
        <v>43481.0</v>
      </c>
      <c r="B101" s="265" t="s">
        <v>406</v>
      </c>
      <c r="C101" s="252">
        <v>7.000144298E9</v>
      </c>
      <c r="D101" s="252" t="s">
        <v>480</v>
      </c>
      <c r="E101" s="23" t="s">
        <v>485</v>
      </c>
      <c r="F101" s="266">
        <v>1.0</v>
      </c>
      <c r="G101" s="330">
        <v>178.0</v>
      </c>
      <c r="H101" s="336">
        <f t="shared" si="9"/>
        <v>178</v>
      </c>
      <c r="I101" s="256" t="s">
        <v>43</v>
      </c>
      <c r="J101" s="266" t="s">
        <v>482</v>
      </c>
      <c r="K101" s="258">
        <v>43489.0</v>
      </c>
      <c r="L101" s="258">
        <v>43488.0</v>
      </c>
      <c r="M101" s="333" t="s">
        <v>2078</v>
      </c>
      <c r="N101" s="252" t="s">
        <v>2134</v>
      </c>
      <c r="O101" s="268"/>
      <c r="P101" s="598"/>
      <c r="Q101" s="598"/>
      <c r="R101" s="579"/>
      <c r="S101" s="579">
        <v>4922.0</v>
      </c>
      <c r="T101" s="320" t="s">
        <v>2080</v>
      </c>
      <c r="U101" s="260">
        <v>43524.0</v>
      </c>
      <c r="V101" s="370">
        <v>43487.0</v>
      </c>
      <c r="W101" s="261" t="s">
        <v>483</v>
      </c>
      <c r="X101" s="261" t="s">
        <v>2136</v>
      </c>
      <c r="Y101" s="260">
        <v>43523.0</v>
      </c>
      <c r="Z101" s="331" t="s">
        <v>2135</v>
      </c>
      <c r="AA101" s="331">
        <v>2.943373694E9</v>
      </c>
      <c r="AB101" s="331"/>
      <c r="AC101" s="331"/>
      <c r="AD101" s="331"/>
      <c r="AE101" s="253" t="s">
        <v>284</v>
      </c>
      <c r="AF101" s="253"/>
      <c r="AG101" s="262"/>
      <c r="AH101" s="253"/>
      <c r="AI101" s="262"/>
      <c r="AJ101" s="262"/>
      <c r="AK101" s="253" t="s">
        <v>50</v>
      </c>
      <c r="AL101" s="253" t="s">
        <v>285</v>
      </c>
      <c r="AM101" s="253" t="s">
        <v>51</v>
      </c>
      <c r="AN101" s="253" t="s">
        <v>52</v>
      </c>
      <c r="AO101" s="264"/>
    </row>
    <row r="102" ht="15.75" customHeight="1">
      <c r="A102" s="110">
        <v>43482.0</v>
      </c>
      <c r="B102" s="265" t="s">
        <v>101</v>
      </c>
      <c r="C102" s="252"/>
      <c r="D102" s="252" t="s">
        <v>486</v>
      </c>
      <c r="E102" s="23" t="s">
        <v>347</v>
      </c>
      <c r="F102" s="253">
        <v>1.0</v>
      </c>
      <c r="G102" s="254">
        <v>278.0</v>
      </c>
      <c r="H102" s="268">
        <f t="shared" si="9"/>
        <v>278</v>
      </c>
      <c r="I102" s="266" t="s">
        <v>105</v>
      </c>
      <c r="J102" s="369" t="s">
        <v>290</v>
      </c>
      <c r="K102" s="258">
        <v>43482.0</v>
      </c>
      <c r="L102" s="630"/>
      <c r="M102" s="253" t="s">
        <v>2032</v>
      </c>
      <c r="N102" s="252"/>
      <c r="O102" s="330"/>
      <c r="P102" s="330"/>
      <c r="Q102" s="330"/>
      <c r="R102" s="579"/>
      <c r="S102" s="579">
        <v>8224.0</v>
      </c>
      <c r="T102" s="310" t="s">
        <v>2033</v>
      </c>
      <c r="U102" s="396">
        <v>43520.0</v>
      </c>
      <c r="V102" s="271">
        <v>43490.0</v>
      </c>
      <c r="W102" s="261" t="s">
        <v>487</v>
      </c>
      <c r="X102" s="272">
        <v>9218.0</v>
      </c>
      <c r="Y102" s="260">
        <v>43526.0</v>
      </c>
      <c r="Z102" s="339"/>
      <c r="AA102" s="581" t="s">
        <v>0</v>
      </c>
      <c r="AB102" s="331"/>
      <c r="AC102" s="331"/>
      <c r="AD102" s="331"/>
      <c r="AE102" s="253" t="s">
        <v>284</v>
      </c>
      <c r="AF102" s="253"/>
      <c r="AG102" s="262"/>
      <c r="AH102" s="263">
        <v>43530.0</v>
      </c>
      <c r="AI102" s="262"/>
      <c r="AJ102" s="262"/>
      <c r="AK102" s="253" t="s">
        <v>50</v>
      </c>
      <c r="AL102" s="253" t="s">
        <v>285</v>
      </c>
      <c r="AM102" s="253" t="s">
        <v>51</v>
      </c>
      <c r="AN102" s="253" t="s">
        <v>52</v>
      </c>
      <c r="AO102" s="264"/>
    </row>
    <row r="103" ht="15.75" customHeight="1">
      <c r="A103" s="69">
        <v>43483.0</v>
      </c>
      <c r="B103" s="70" t="s">
        <v>101</v>
      </c>
      <c r="C103" s="21" t="s">
        <v>488</v>
      </c>
      <c r="D103" s="21" t="s">
        <v>489</v>
      </c>
      <c r="E103" s="23" t="s">
        <v>490</v>
      </c>
      <c r="F103" s="58">
        <v>1.0</v>
      </c>
      <c r="G103" s="47">
        <v>650.0</v>
      </c>
      <c r="H103" s="48">
        <f t="shared" ref="H103:H111" si="10">F103*G103</f>
        <v>650</v>
      </c>
      <c r="I103" s="87" t="s">
        <v>105</v>
      </c>
      <c r="J103" s="31" t="s">
        <v>290</v>
      </c>
      <c r="K103" s="29">
        <v>43522.0</v>
      </c>
      <c r="L103" s="30">
        <v>43521.0</v>
      </c>
      <c r="M103" s="348" t="s">
        <v>2137</v>
      </c>
      <c r="N103" s="21" t="s">
        <v>2138</v>
      </c>
      <c r="O103" s="408"/>
      <c r="P103" s="408"/>
      <c r="Q103" s="408"/>
      <c r="R103" s="408"/>
      <c r="S103" s="408">
        <v>19237.0</v>
      </c>
      <c r="T103" s="23" t="s">
        <v>2139</v>
      </c>
      <c r="U103" s="397" t="s">
        <v>491</v>
      </c>
      <c r="V103" s="295">
        <v>43521.0</v>
      </c>
      <c r="W103" s="296" t="s">
        <v>492</v>
      </c>
      <c r="X103" s="297">
        <v>28294.0</v>
      </c>
      <c r="Y103" s="295">
        <v>43512.0</v>
      </c>
      <c r="Z103" s="306" t="s">
        <v>2140</v>
      </c>
      <c r="AA103" s="306">
        <v>2.371245074E9</v>
      </c>
      <c r="AB103" s="306"/>
      <c r="AC103" s="306"/>
      <c r="AD103" s="306"/>
      <c r="AE103" s="298"/>
      <c r="AF103" s="298"/>
      <c r="AG103" s="299"/>
      <c r="AH103" s="300">
        <v>43587.0</v>
      </c>
      <c r="AI103" s="299" t="s">
        <v>1987</v>
      </c>
      <c r="AJ103" s="299" t="s">
        <v>1988</v>
      </c>
      <c r="AK103" s="298" t="s">
        <v>50</v>
      </c>
      <c r="AL103" s="24" t="s">
        <v>285</v>
      </c>
      <c r="AM103" s="298" t="s">
        <v>51</v>
      </c>
      <c r="AN103" s="298" t="s">
        <v>52</v>
      </c>
      <c r="AO103" s="234" t="s">
        <v>305</v>
      </c>
    </row>
    <row r="104" ht="15.75" customHeight="1">
      <c r="A104" s="69">
        <v>43483.0</v>
      </c>
      <c r="B104" s="70" t="s">
        <v>101</v>
      </c>
      <c r="C104" s="21" t="s">
        <v>488</v>
      </c>
      <c r="D104" s="398" t="s">
        <v>489</v>
      </c>
      <c r="E104" s="23" t="s">
        <v>493</v>
      </c>
      <c r="F104" s="58">
        <v>1.0</v>
      </c>
      <c r="G104" s="47">
        <v>309.0</v>
      </c>
      <c r="H104" s="48">
        <f t="shared" si="10"/>
        <v>309</v>
      </c>
      <c r="I104" s="87" t="s">
        <v>105</v>
      </c>
      <c r="J104" s="31" t="s">
        <v>290</v>
      </c>
      <c r="K104" s="29">
        <v>43522.0</v>
      </c>
      <c r="L104" s="30">
        <v>43521.0</v>
      </c>
      <c r="M104" s="348" t="s">
        <v>2137</v>
      </c>
      <c r="N104" s="21" t="s">
        <v>2141</v>
      </c>
      <c r="O104" s="408"/>
      <c r="P104" s="408"/>
      <c r="Q104" s="408"/>
      <c r="R104" s="408"/>
      <c r="S104" s="408">
        <v>9057.0</v>
      </c>
      <c r="T104" s="23" t="s">
        <v>2139</v>
      </c>
      <c r="U104" s="397" t="s">
        <v>491</v>
      </c>
      <c r="V104" s="295">
        <v>43521.0</v>
      </c>
      <c r="W104" s="296" t="s">
        <v>492</v>
      </c>
      <c r="X104" s="296" t="s">
        <v>2142</v>
      </c>
      <c r="Y104" s="295">
        <v>43512.0</v>
      </c>
      <c r="Z104" s="306" t="s">
        <v>2140</v>
      </c>
      <c r="AA104" s="306">
        <v>2.371245074E9</v>
      </c>
      <c r="AB104" s="306"/>
      <c r="AC104" s="306"/>
      <c r="AD104" s="306"/>
      <c r="AE104" s="298"/>
      <c r="AF104" s="298"/>
      <c r="AG104" s="299"/>
      <c r="AH104" s="300">
        <v>43587.0</v>
      </c>
      <c r="AI104" s="299" t="s">
        <v>1987</v>
      </c>
      <c r="AJ104" s="299" t="s">
        <v>1988</v>
      </c>
      <c r="AK104" s="298" t="s">
        <v>50</v>
      </c>
      <c r="AL104" s="24" t="s">
        <v>285</v>
      </c>
      <c r="AM104" s="298" t="s">
        <v>51</v>
      </c>
      <c r="AN104" s="298" t="s">
        <v>52</v>
      </c>
      <c r="AO104" s="234" t="s">
        <v>305</v>
      </c>
    </row>
    <row r="105" ht="15.75" customHeight="1">
      <c r="A105" s="399">
        <v>43483.0</v>
      </c>
      <c r="B105" s="377" t="s">
        <v>101</v>
      </c>
      <c r="C105" s="183" t="s">
        <v>488</v>
      </c>
      <c r="D105" s="183" t="s">
        <v>489</v>
      </c>
      <c r="E105" s="23" t="s">
        <v>2143</v>
      </c>
      <c r="F105" s="400">
        <v>0.0</v>
      </c>
      <c r="G105" s="401">
        <v>309.0</v>
      </c>
      <c r="H105" s="401">
        <f t="shared" si="10"/>
        <v>0</v>
      </c>
      <c r="I105" s="402" t="s">
        <v>105</v>
      </c>
      <c r="J105" s="383" t="s">
        <v>290</v>
      </c>
      <c r="K105" s="191">
        <v>43518.0</v>
      </c>
      <c r="L105" s="192">
        <v>43517.0</v>
      </c>
      <c r="M105" s="200" t="s">
        <v>2137</v>
      </c>
      <c r="N105" s="183" t="s">
        <v>2138</v>
      </c>
      <c r="O105" s="194"/>
      <c r="P105" s="194"/>
      <c r="Q105" s="194"/>
      <c r="R105" s="194"/>
      <c r="S105" s="194">
        <v>0.0</v>
      </c>
      <c r="T105" s="185" t="s">
        <v>2139</v>
      </c>
      <c r="U105" s="195"/>
      <c r="V105" s="199"/>
      <c r="W105" s="199"/>
      <c r="X105" s="385"/>
      <c r="Y105" s="199"/>
      <c r="Z105" s="199"/>
      <c r="AA105" s="199"/>
      <c r="AB105" s="199"/>
      <c r="AC105" s="199"/>
      <c r="AD105" s="199"/>
      <c r="AE105" s="200"/>
      <c r="AF105" s="200"/>
      <c r="AG105" s="201"/>
      <c r="AH105" s="200" t="s">
        <v>1227</v>
      </c>
      <c r="AI105" s="201"/>
      <c r="AJ105" s="201"/>
      <c r="AK105" s="200" t="s">
        <v>50</v>
      </c>
      <c r="AL105" s="200" t="s">
        <v>296</v>
      </c>
      <c r="AM105" s="200" t="s">
        <v>51</v>
      </c>
      <c r="AN105" s="200" t="s">
        <v>52</v>
      </c>
      <c r="AO105" s="203"/>
    </row>
    <row r="106" ht="15.75" customHeight="1">
      <c r="A106" s="69">
        <v>43484.0</v>
      </c>
      <c r="B106" s="144" t="s">
        <v>167</v>
      </c>
      <c r="C106" s="252"/>
      <c r="D106" s="252" t="s">
        <v>495</v>
      </c>
      <c r="E106" s="23" t="s">
        <v>496</v>
      </c>
      <c r="F106" s="403">
        <v>3.0</v>
      </c>
      <c r="G106" s="267">
        <v>1155.0</v>
      </c>
      <c r="H106" s="267">
        <f t="shared" si="10"/>
        <v>3465</v>
      </c>
      <c r="I106" s="266" t="s">
        <v>105</v>
      </c>
      <c r="J106" s="403" t="s">
        <v>172</v>
      </c>
      <c r="K106" s="258">
        <v>43517.0</v>
      </c>
      <c r="L106" s="258">
        <v>43517.0</v>
      </c>
      <c r="M106" s="604" t="s">
        <v>2112</v>
      </c>
      <c r="N106" s="602" t="s">
        <v>2144</v>
      </c>
      <c r="O106" s="600"/>
      <c r="P106" s="600"/>
      <c r="Q106" s="600"/>
      <c r="R106" s="268"/>
      <c r="S106" s="268">
        <v>112856.0</v>
      </c>
      <c r="T106" s="330"/>
      <c r="U106" s="339"/>
      <c r="V106" s="331"/>
      <c r="W106" s="331"/>
      <c r="X106" s="404"/>
      <c r="Y106" s="331"/>
      <c r="Z106" s="331" t="s">
        <v>2145</v>
      </c>
      <c r="AA106" s="331">
        <v>9.24717423E9</v>
      </c>
      <c r="AB106" s="331"/>
      <c r="AC106" s="331"/>
      <c r="AD106" s="331"/>
      <c r="AE106" s="253" t="s">
        <v>284</v>
      </c>
      <c r="AF106" s="253">
        <v>30.8</v>
      </c>
      <c r="AG106" s="262"/>
      <c r="AH106" s="253"/>
      <c r="AI106" s="262"/>
      <c r="AJ106" s="262"/>
      <c r="AK106" s="253" t="s">
        <v>50</v>
      </c>
      <c r="AL106" s="253" t="s">
        <v>285</v>
      </c>
      <c r="AM106" s="253" t="s">
        <v>286</v>
      </c>
      <c r="AN106" s="253" t="s">
        <v>52</v>
      </c>
      <c r="AO106" s="264"/>
    </row>
    <row r="107" ht="15.75" customHeight="1">
      <c r="A107" s="69">
        <v>43484.0</v>
      </c>
      <c r="B107" s="144" t="s">
        <v>167</v>
      </c>
      <c r="C107" s="252"/>
      <c r="D107" s="252" t="s">
        <v>495</v>
      </c>
      <c r="E107" s="23" t="s">
        <v>497</v>
      </c>
      <c r="F107" s="403">
        <v>3.0</v>
      </c>
      <c r="G107" s="267">
        <v>132.0</v>
      </c>
      <c r="H107" s="267">
        <f t="shared" si="10"/>
        <v>396</v>
      </c>
      <c r="I107" s="266" t="s">
        <v>105</v>
      </c>
      <c r="J107" s="330"/>
      <c r="K107" s="258">
        <v>43517.0</v>
      </c>
      <c r="L107" s="258">
        <v>43517.0</v>
      </c>
      <c r="M107" s="604" t="s">
        <v>2112</v>
      </c>
      <c r="N107" s="602" t="s">
        <v>2144</v>
      </c>
      <c r="O107" s="600"/>
      <c r="P107" s="600"/>
      <c r="Q107" s="600"/>
      <c r="R107" s="581"/>
      <c r="S107" s="581" t="s">
        <v>2146</v>
      </c>
      <c r="T107" s="330"/>
      <c r="U107" s="339"/>
      <c r="V107" s="331"/>
      <c r="W107" s="405"/>
      <c r="X107" s="404"/>
      <c r="Y107" s="331"/>
      <c r="Z107" s="331" t="s">
        <v>2145</v>
      </c>
      <c r="AA107" s="331">
        <v>9.24717423E9</v>
      </c>
      <c r="AB107" s="331"/>
      <c r="AC107" s="331"/>
      <c r="AD107" s="331"/>
      <c r="AE107" s="253" t="s">
        <v>284</v>
      </c>
      <c r="AF107" s="253">
        <v>30.8</v>
      </c>
      <c r="AG107" s="262"/>
      <c r="AH107" s="253"/>
      <c r="AI107" s="262"/>
      <c r="AJ107" s="262"/>
      <c r="AK107" s="253" t="s">
        <v>50</v>
      </c>
      <c r="AL107" s="253" t="s">
        <v>285</v>
      </c>
      <c r="AM107" s="253" t="s">
        <v>286</v>
      </c>
      <c r="AN107" s="253" t="s">
        <v>52</v>
      </c>
      <c r="AO107" s="264"/>
    </row>
    <row r="108" ht="15.75" customHeight="1">
      <c r="A108" s="110">
        <v>43484.0</v>
      </c>
      <c r="B108" s="147" t="s">
        <v>167</v>
      </c>
      <c r="C108" s="252"/>
      <c r="D108" s="252" t="s">
        <v>495</v>
      </c>
      <c r="E108" s="23" t="s">
        <v>498</v>
      </c>
      <c r="F108" s="403">
        <v>3.0</v>
      </c>
      <c r="G108" s="267">
        <v>28.0</v>
      </c>
      <c r="H108" s="255">
        <f t="shared" si="10"/>
        <v>84</v>
      </c>
      <c r="I108" s="266" t="s">
        <v>105</v>
      </c>
      <c r="J108" s="333" t="s">
        <v>172</v>
      </c>
      <c r="K108" s="258">
        <v>43517.0</v>
      </c>
      <c r="L108" s="258">
        <v>43517.0</v>
      </c>
      <c r="M108" s="604" t="s">
        <v>2112</v>
      </c>
      <c r="N108" s="602" t="s">
        <v>2144</v>
      </c>
      <c r="O108" s="600"/>
      <c r="P108" s="600"/>
      <c r="Q108" s="600"/>
      <c r="R108" s="581"/>
      <c r="S108" s="581" t="s">
        <v>2146</v>
      </c>
      <c r="T108" s="330"/>
      <c r="U108" s="339"/>
      <c r="V108" s="331"/>
      <c r="W108" s="331"/>
      <c r="X108" s="404"/>
      <c r="Y108" s="331"/>
      <c r="Z108" s="331" t="s">
        <v>2145</v>
      </c>
      <c r="AA108" s="331">
        <v>9.24717423E9</v>
      </c>
      <c r="AB108" s="331"/>
      <c r="AC108" s="331"/>
      <c r="AD108" s="331"/>
      <c r="AE108" s="253" t="s">
        <v>284</v>
      </c>
      <c r="AF108" s="253">
        <v>30.8</v>
      </c>
      <c r="AG108" s="262"/>
      <c r="AH108" s="253"/>
      <c r="AI108" s="262"/>
      <c r="AJ108" s="262"/>
      <c r="AK108" s="253" t="s">
        <v>50</v>
      </c>
      <c r="AL108" s="253" t="s">
        <v>285</v>
      </c>
      <c r="AM108" s="253" t="s">
        <v>286</v>
      </c>
      <c r="AN108" s="253" t="s">
        <v>52</v>
      </c>
      <c r="AO108" s="264"/>
    </row>
    <row r="109" ht="15.75" customHeight="1">
      <c r="A109" s="110">
        <v>43484.0</v>
      </c>
      <c r="B109" s="147" t="s">
        <v>167</v>
      </c>
      <c r="C109" s="252"/>
      <c r="D109" s="252" t="s">
        <v>499</v>
      </c>
      <c r="E109" s="23" t="s">
        <v>500</v>
      </c>
      <c r="F109" s="403">
        <v>1.0</v>
      </c>
      <c r="G109" s="267">
        <v>1155.0</v>
      </c>
      <c r="H109" s="255">
        <f t="shared" si="10"/>
        <v>1155</v>
      </c>
      <c r="I109" s="266" t="s">
        <v>105</v>
      </c>
      <c r="J109" s="333" t="s">
        <v>172</v>
      </c>
      <c r="K109" s="258">
        <v>43517.0</v>
      </c>
      <c r="L109" s="258">
        <v>43517.0</v>
      </c>
      <c r="M109" s="604" t="s">
        <v>2112</v>
      </c>
      <c r="N109" s="602" t="s">
        <v>2144</v>
      </c>
      <c r="O109" s="600"/>
      <c r="P109" s="600"/>
      <c r="Q109" s="600"/>
      <c r="R109" s="581"/>
      <c r="S109" s="581" t="s">
        <v>2146</v>
      </c>
      <c r="T109" s="330"/>
      <c r="U109" s="339"/>
      <c r="V109" s="331"/>
      <c r="W109" s="331"/>
      <c r="X109" s="404"/>
      <c r="Y109" s="331"/>
      <c r="Z109" s="331" t="s">
        <v>2145</v>
      </c>
      <c r="AA109" s="331">
        <v>9.24717423E9</v>
      </c>
      <c r="AB109" s="331"/>
      <c r="AC109" s="331"/>
      <c r="AD109" s="331"/>
      <c r="AE109" s="253" t="s">
        <v>284</v>
      </c>
      <c r="AF109" s="253">
        <v>30.8</v>
      </c>
      <c r="AG109" s="262"/>
      <c r="AH109" s="253"/>
      <c r="AI109" s="262"/>
      <c r="AJ109" s="262"/>
      <c r="AK109" s="253" t="s">
        <v>50</v>
      </c>
      <c r="AL109" s="253" t="s">
        <v>285</v>
      </c>
      <c r="AM109" s="253" t="s">
        <v>286</v>
      </c>
      <c r="AN109" s="253" t="s">
        <v>52</v>
      </c>
      <c r="AO109" s="264"/>
    </row>
    <row r="110" ht="15.75" customHeight="1">
      <c r="A110" s="110">
        <v>43484.0</v>
      </c>
      <c r="B110" s="147" t="s">
        <v>167</v>
      </c>
      <c r="C110" s="252"/>
      <c r="D110" s="252" t="s">
        <v>499</v>
      </c>
      <c r="E110" s="23" t="s">
        <v>501</v>
      </c>
      <c r="F110" s="403">
        <v>1.0</v>
      </c>
      <c r="G110" s="267">
        <v>132.0</v>
      </c>
      <c r="H110" s="255">
        <f t="shared" si="10"/>
        <v>132</v>
      </c>
      <c r="I110" s="266" t="s">
        <v>105</v>
      </c>
      <c r="J110" s="333" t="s">
        <v>172</v>
      </c>
      <c r="K110" s="258">
        <v>43517.0</v>
      </c>
      <c r="L110" s="631"/>
      <c r="M110" s="604" t="s">
        <v>2112</v>
      </c>
      <c r="N110" s="602" t="s">
        <v>2144</v>
      </c>
      <c r="O110" s="600"/>
      <c r="P110" s="600"/>
      <c r="Q110" s="600"/>
      <c r="R110" s="581"/>
      <c r="S110" s="581" t="s">
        <v>2146</v>
      </c>
      <c r="T110" s="330"/>
      <c r="U110" s="339"/>
      <c r="V110" s="331"/>
      <c r="W110" s="331"/>
      <c r="X110" s="404"/>
      <c r="Y110" s="331"/>
      <c r="Z110" s="331" t="s">
        <v>2145</v>
      </c>
      <c r="AA110" s="331">
        <v>9.24717423E9</v>
      </c>
      <c r="AB110" s="331"/>
      <c r="AC110" s="331"/>
      <c r="AD110" s="331"/>
      <c r="AE110" s="253" t="s">
        <v>284</v>
      </c>
      <c r="AF110" s="253">
        <v>30.8</v>
      </c>
      <c r="AG110" s="262"/>
      <c r="AH110" s="253"/>
      <c r="AI110" s="262"/>
      <c r="AJ110" s="262"/>
      <c r="AK110" s="253" t="s">
        <v>50</v>
      </c>
      <c r="AL110" s="253" t="s">
        <v>285</v>
      </c>
      <c r="AM110" s="253" t="s">
        <v>286</v>
      </c>
      <c r="AN110" s="253" t="s">
        <v>52</v>
      </c>
      <c r="AO110" s="264"/>
    </row>
    <row r="111" ht="15.75" customHeight="1">
      <c r="A111" s="110">
        <v>43484.0</v>
      </c>
      <c r="B111" s="147" t="s">
        <v>167</v>
      </c>
      <c r="C111" s="252"/>
      <c r="D111" s="252" t="s">
        <v>499</v>
      </c>
      <c r="E111" s="23" t="s">
        <v>498</v>
      </c>
      <c r="F111" s="403">
        <v>1.0</v>
      </c>
      <c r="G111" s="267">
        <v>28.0</v>
      </c>
      <c r="H111" s="255">
        <f t="shared" si="10"/>
        <v>28</v>
      </c>
      <c r="I111" s="266" t="s">
        <v>105</v>
      </c>
      <c r="J111" s="333" t="s">
        <v>172</v>
      </c>
      <c r="K111" s="258">
        <v>43517.0</v>
      </c>
      <c r="L111" s="631"/>
      <c r="M111" s="599" t="s">
        <v>2112</v>
      </c>
      <c r="N111" s="602" t="s">
        <v>2144</v>
      </c>
      <c r="O111" s="600"/>
      <c r="P111" s="600"/>
      <c r="Q111" s="600"/>
      <c r="R111" s="581"/>
      <c r="S111" s="581" t="s">
        <v>2146</v>
      </c>
      <c r="T111" s="388"/>
      <c r="U111" s="339"/>
      <c r="V111" s="331"/>
      <c r="W111" s="331"/>
      <c r="X111" s="404"/>
      <c r="Y111" s="331"/>
      <c r="Z111" s="331" t="s">
        <v>2145</v>
      </c>
      <c r="AA111" s="331">
        <v>9.24717423E9</v>
      </c>
      <c r="AB111" s="331"/>
      <c r="AC111" s="331"/>
      <c r="AD111" s="331"/>
      <c r="AE111" s="253" t="s">
        <v>284</v>
      </c>
      <c r="AF111" s="253">
        <v>30.8</v>
      </c>
      <c r="AG111" s="262"/>
      <c r="AH111" s="253"/>
      <c r="AI111" s="262"/>
      <c r="AJ111" s="262"/>
      <c r="AK111" s="253" t="s">
        <v>50</v>
      </c>
      <c r="AL111" s="253" t="s">
        <v>285</v>
      </c>
      <c r="AM111" s="253" t="s">
        <v>286</v>
      </c>
      <c r="AN111" s="253" t="s">
        <v>52</v>
      </c>
      <c r="AO111" s="264"/>
    </row>
    <row r="112" ht="15.75" customHeight="1">
      <c r="A112" s="110">
        <v>43486.0</v>
      </c>
      <c r="B112" s="147" t="s">
        <v>140</v>
      </c>
      <c r="C112" s="21" t="s">
        <v>502</v>
      </c>
      <c r="D112" s="21" t="s">
        <v>503</v>
      </c>
      <c r="E112" s="23" t="s">
        <v>504</v>
      </c>
      <c r="F112" s="58">
        <v>1.0</v>
      </c>
      <c r="G112" s="76">
        <v>63.0</v>
      </c>
      <c r="H112" s="26">
        <v>63.0</v>
      </c>
      <c r="I112" s="87" t="s">
        <v>105</v>
      </c>
      <c r="J112" s="31" t="s">
        <v>505</v>
      </c>
      <c r="K112" s="29">
        <v>43510.0</v>
      </c>
      <c r="L112" s="29">
        <v>43508.0</v>
      </c>
      <c r="M112" s="50" t="s">
        <v>1537</v>
      </c>
      <c r="N112" s="93" t="s">
        <v>2147</v>
      </c>
      <c r="O112" s="408"/>
      <c r="P112" s="408"/>
      <c r="Q112" s="408"/>
      <c r="R112" s="627"/>
      <c r="S112" s="627">
        <v>1386.0</v>
      </c>
      <c r="T112" s="21" t="s">
        <v>2148</v>
      </c>
      <c r="U112" s="305">
        <v>43529.0</v>
      </c>
      <c r="V112" s="305">
        <v>43507.0</v>
      </c>
      <c r="W112" s="306" t="s">
        <v>506</v>
      </c>
      <c r="X112" s="406">
        <v>6867.0</v>
      </c>
      <c r="Y112" s="305">
        <v>43557.0</v>
      </c>
      <c r="Z112" s="306" t="s">
        <v>2149</v>
      </c>
      <c r="AA112" s="352">
        <v>6.32243511E8</v>
      </c>
      <c r="AB112" s="306"/>
      <c r="AC112" s="306"/>
      <c r="AD112" s="306"/>
      <c r="AE112" s="298"/>
      <c r="AF112" s="298"/>
      <c r="AG112" s="299"/>
      <c r="AH112" s="300">
        <v>43676.0</v>
      </c>
      <c r="AI112" s="299">
        <f>1074.55*31.03</f>
        <v>33343.2865</v>
      </c>
      <c r="AJ112" s="299">
        <f>(1121-1074.55)*31.03</f>
        <v>1441.3435</v>
      </c>
      <c r="AK112" s="298" t="s">
        <v>50</v>
      </c>
      <c r="AL112" s="298" t="s">
        <v>285</v>
      </c>
      <c r="AM112" s="298" t="s">
        <v>286</v>
      </c>
      <c r="AN112" s="298" t="s">
        <v>52</v>
      </c>
      <c r="AO112" s="234" t="s">
        <v>507</v>
      </c>
    </row>
    <row r="113" ht="15.75" customHeight="1">
      <c r="A113" s="110">
        <v>43486.0</v>
      </c>
      <c r="B113" s="147" t="s">
        <v>140</v>
      </c>
      <c r="C113" s="21" t="s">
        <v>502</v>
      </c>
      <c r="D113" s="21" t="s">
        <v>503</v>
      </c>
      <c r="E113" s="23" t="s">
        <v>508</v>
      </c>
      <c r="F113" s="58">
        <v>1.0</v>
      </c>
      <c r="G113" s="76">
        <v>93.0</v>
      </c>
      <c r="H113" s="26">
        <v>93.0</v>
      </c>
      <c r="I113" s="87" t="s">
        <v>105</v>
      </c>
      <c r="J113" s="58" t="s">
        <v>505</v>
      </c>
      <c r="K113" s="29">
        <v>43510.0</v>
      </c>
      <c r="L113" s="29">
        <v>43508.0</v>
      </c>
      <c r="M113" s="50" t="s">
        <v>1537</v>
      </c>
      <c r="N113" s="93" t="s">
        <v>2147</v>
      </c>
      <c r="O113" s="408"/>
      <c r="P113" s="408"/>
      <c r="Q113" s="408"/>
      <c r="R113" s="632"/>
      <c r="S113" s="632">
        <v>2047.5</v>
      </c>
      <c r="T113" s="21" t="s">
        <v>2148</v>
      </c>
      <c r="U113" s="305">
        <v>43529.0</v>
      </c>
      <c r="V113" s="305">
        <v>43507.0</v>
      </c>
      <c r="W113" s="306" t="s">
        <v>506</v>
      </c>
      <c r="X113" s="406" t="s">
        <v>2150</v>
      </c>
      <c r="Y113" s="305">
        <v>43557.0</v>
      </c>
      <c r="Z113" s="306" t="s">
        <v>2149</v>
      </c>
      <c r="AA113" s="352">
        <v>6.32243511E8</v>
      </c>
      <c r="AB113" s="306"/>
      <c r="AC113" s="306"/>
      <c r="AD113" s="306"/>
      <c r="AE113" s="298"/>
      <c r="AF113" s="298"/>
      <c r="AG113" s="299"/>
      <c r="AH113" s="300">
        <v>43676.0</v>
      </c>
      <c r="AI113" s="299" t="s">
        <v>2151</v>
      </c>
      <c r="AJ113" s="299" t="s">
        <v>2152</v>
      </c>
      <c r="AK113" s="298" t="s">
        <v>50</v>
      </c>
      <c r="AL113" s="298" t="s">
        <v>285</v>
      </c>
      <c r="AM113" s="298" t="s">
        <v>286</v>
      </c>
      <c r="AN113" s="298" t="s">
        <v>52</v>
      </c>
      <c r="AO113" s="234" t="s">
        <v>507</v>
      </c>
    </row>
    <row r="114" ht="15.75" customHeight="1">
      <c r="A114" s="110">
        <v>43486.0</v>
      </c>
      <c r="B114" s="147" t="s">
        <v>140</v>
      </c>
      <c r="C114" s="21" t="s">
        <v>502</v>
      </c>
      <c r="D114" s="21" t="s">
        <v>503</v>
      </c>
      <c r="E114" s="23" t="s">
        <v>509</v>
      </c>
      <c r="F114" s="58">
        <v>1.0</v>
      </c>
      <c r="G114" s="76">
        <v>93.0</v>
      </c>
      <c r="H114" s="26">
        <v>93.0</v>
      </c>
      <c r="I114" s="87" t="s">
        <v>105</v>
      </c>
      <c r="J114" s="31" t="s">
        <v>505</v>
      </c>
      <c r="K114" s="29">
        <v>43510.0</v>
      </c>
      <c r="L114" s="29">
        <v>43508.0</v>
      </c>
      <c r="M114" s="50" t="s">
        <v>1537</v>
      </c>
      <c r="N114" s="93" t="s">
        <v>2147</v>
      </c>
      <c r="O114" s="408"/>
      <c r="P114" s="408"/>
      <c r="Q114" s="408"/>
      <c r="R114" s="632"/>
      <c r="S114" s="632">
        <v>2047.5</v>
      </c>
      <c r="T114" s="21" t="s">
        <v>2148</v>
      </c>
      <c r="U114" s="305">
        <v>43529.0</v>
      </c>
      <c r="V114" s="305">
        <v>43507.0</v>
      </c>
      <c r="W114" s="306" t="s">
        <v>506</v>
      </c>
      <c r="X114" s="406" t="s">
        <v>2150</v>
      </c>
      <c r="Y114" s="305">
        <v>43557.0</v>
      </c>
      <c r="Z114" s="306" t="s">
        <v>2149</v>
      </c>
      <c r="AA114" s="352">
        <v>6.32243511E8</v>
      </c>
      <c r="AB114" s="306"/>
      <c r="AC114" s="306"/>
      <c r="AD114" s="306"/>
      <c r="AE114" s="298"/>
      <c r="AF114" s="298"/>
      <c r="AG114" s="299"/>
      <c r="AH114" s="300">
        <v>43676.0</v>
      </c>
      <c r="AI114" s="299" t="s">
        <v>2151</v>
      </c>
      <c r="AJ114" s="299" t="s">
        <v>2152</v>
      </c>
      <c r="AK114" s="298" t="s">
        <v>50</v>
      </c>
      <c r="AL114" s="298" t="s">
        <v>285</v>
      </c>
      <c r="AM114" s="298" t="s">
        <v>286</v>
      </c>
      <c r="AN114" s="298" t="s">
        <v>52</v>
      </c>
      <c r="AO114" s="234" t="s">
        <v>507</v>
      </c>
    </row>
    <row r="115" ht="15.75" customHeight="1">
      <c r="A115" s="110">
        <v>43486.0</v>
      </c>
      <c r="B115" s="147" t="s">
        <v>140</v>
      </c>
      <c r="C115" s="21" t="s">
        <v>502</v>
      </c>
      <c r="D115" s="21" t="s">
        <v>503</v>
      </c>
      <c r="E115" s="23" t="s">
        <v>510</v>
      </c>
      <c r="F115" s="58">
        <v>1.0</v>
      </c>
      <c r="G115" s="76">
        <v>63.0</v>
      </c>
      <c r="H115" s="26">
        <v>63.0</v>
      </c>
      <c r="I115" s="87" t="s">
        <v>105</v>
      </c>
      <c r="J115" s="31" t="s">
        <v>505</v>
      </c>
      <c r="K115" s="29">
        <v>43510.0</v>
      </c>
      <c r="L115" s="29">
        <v>43508.0</v>
      </c>
      <c r="M115" s="50" t="s">
        <v>1537</v>
      </c>
      <c r="N115" s="93" t="s">
        <v>2147</v>
      </c>
      <c r="O115" s="408"/>
      <c r="P115" s="408"/>
      <c r="Q115" s="408"/>
      <c r="R115" s="627"/>
      <c r="S115" s="627">
        <v>1386.0</v>
      </c>
      <c r="T115" s="21" t="s">
        <v>2148</v>
      </c>
      <c r="U115" s="305">
        <v>43529.0</v>
      </c>
      <c r="V115" s="305">
        <v>43507.0</v>
      </c>
      <c r="W115" s="306" t="s">
        <v>506</v>
      </c>
      <c r="X115" s="406" t="s">
        <v>2150</v>
      </c>
      <c r="Y115" s="305">
        <v>43557.0</v>
      </c>
      <c r="Z115" s="306" t="s">
        <v>2149</v>
      </c>
      <c r="AA115" s="352">
        <v>6.32243511E8</v>
      </c>
      <c r="AB115" s="306"/>
      <c r="AC115" s="306"/>
      <c r="AD115" s="306"/>
      <c r="AE115" s="298"/>
      <c r="AF115" s="298"/>
      <c r="AG115" s="299"/>
      <c r="AH115" s="300">
        <v>43676.0</v>
      </c>
      <c r="AI115" s="299" t="s">
        <v>2151</v>
      </c>
      <c r="AJ115" s="299" t="s">
        <v>2152</v>
      </c>
      <c r="AK115" s="298" t="s">
        <v>50</v>
      </c>
      <c r="AL115" s="298" t="s">
        <v>285</v>
      </c>
      <c r="AM115" s="298" t="s">
        <v>286</v>
      </c>
      <c r="AN115" s="298" t="s">
        <v>52</v>
      </c>
      <c r="AO115" s="234" t="s">
        <v>507</v>
      </c>
    </row>
    <row r="116" ht="15.75" customHeight="1">
      <c r="A116" s="343">
        <v>43486.0</v>
      </c>
      <c r="B116" s="147" t="s">
        <v>406</v>
      </c>
      <c r="C116" s="292">
        <v>7.000144378E9</v>
      </c>
      <c r="D116" s="22" t="s">
        <v>2153</v>
      </c>
      <c r="E116" s="23" t="s">
        <v>512</v>
      </c>
      <c r="F116" s="24">
        <v>5.0</v>
      </c>
      <c r="G116" s="48">
        <v>39.0</v>
      </c>
      <c r="H116" s="26">
        <f t="shared" ref="H116:H118" si="11">F116*G116</f>
        <v>195</v>
      </c>
      <c r="I116" s="82" t="s">
        <v>43</v>
      </c>
      <c r="J116" s="407" t="s">
        <v>513</v>
      </c>
      <c r="K116" s="29">
        <v>43529.0</v>
      </c>
      <c r="L116" s="30">
        <v>43528.0</v>
      </c>
      <c r="M116" s="298" t="s">
        <v>1324</v>
      </c>
      <c r="N116" s="93" t="s">
        <v>2154</v>
      </c>
      <c r="O116" s="408"/>
      <c r="P116" s="408"/>
      <c r="Q116" s="408"/>
      <c r="R116" s="408"/>
      <c r="S116" s="408">
        <v>4541.0</v>
      </c>
      <c r="T116" s="408"/>
      <c r="U116" s="306"/>
      <c r="V116" s="306"/>
      <c r="W116" s="306"/>
      <c r="X116" s="406"/>
      <c r="Y116" s="306"/>
      <c r="Z116" s="306" t="s">
        <v>2155</v>
      </c>
      <c r="AA116" s="306">
        <v>7.47615708E9</v>
      </c>
      <c r="AB116" s="306"/>
      <c r="AC116" s="306"/>
      <c r="AD116" s="306"/>
      <c r="AE116" s="298"/>
      <c r="AF116" s="298">
        <v>30.74</v>
      </c>
      <c r="AG116" s="299"/>
      <c r="AH116" s="145">
        <v>43588.0</v>
      </c>
      <c r="AI116" s="299" t="s">
        <v>2156</v>
      </c>
      <c r="AJ116" s="299" t="s">
        <v>2157</v>
      </c>
      <c r="AK116" s="298" t="s">
        <v>50</v>
      </c>
      <c r="AL116" s="24" t="s">
        <v>285</v>
      </c>
      <c r="AM116" s="298" t="s">
        <v>286</v>
      </c>
      <c r="AN116" s="298" t="s">
        <v>52</v>
      </c>
      <c r="AO116" s="234" t="s">
        <v>305</v>
      </c>
    </row>
    <row r="117" ht="15.75" customHeight="1">
      <c r="A117" s="343">
        <v>43486.0</v>
      </c>
      <c r="B117" s="147" t="s">
        <v>406</v>
      </c>
      <c r="C117" s="292">
        <v>7.000144378E9</v>
      </c>
      <c r="D117" s="22" t="s">
        <v>2158</v>
      </c>
      <c r="E117" s="23" t="s">
        <v>515</v>
      </c>
      <c r="F117" s="24">
        <v>5.0</v>
      </c>
      <c r="G117" s="48">
        <v>43.0</v>
      </c>
      <c r="H117" s="26">
        <f t="shared" si="11"/>
        <v>215</v>
      </c>
      <c r="I117" s="82" t="s">
        <v>43</v>
      </c>
      <c r="J117" s="407" t="s">
        <v>513</v>
      </c>
      <c r="K117" s="29">
        <v>43529.0</v>
      </c>
      <c r="L117" s="30">
        <v>43528.0</v>
      </c>
      <c r="M117" s="298" t="s">
        <v>1324</v>
      </c>
      <c r="N117" s="93" t="s">
        <v>2154</v>
      </c>
      <c r="O117" s="408"/>
      <c r="P117" s="408"/>
      <c r="Q117" s="408"/>
      <c r="R117" s="408"/>
      <c r="S117" s="408">
        <v>4830.0</v>
      </c>
      <c r="T117" s="408"/>
      <c r="U117" s="306"/>
      <c r="V117" s="306"/>
      <c r="W117" s="306"/>
      <c r="X117" s="406"/>
      <c r="Y117" s="306"/>
      <c r="Z117" s="306" t="s">
        <v>2155</v>
      </c>
      <c r="AA117" s="306">
        <v>7.47615708E9</v>
      </c>
      <c r="AB117" s="306"/>
      <c r="AC117" s="306"/>
      <c r="AD117" s="306"/>
      <c r="AE117" s="298"/>
      <c r="AF117" s="298">
        <v>30.74</v>
      </c>
      <c r="AG117" s="299"/>
      <c r="AH117" s="145">
        <v>43588.0</v>
      </c>
      <c r="AI117" s="299" t="s">
        <v>2156</v>
      </c>
      <c r="AJ117" s="299" t="s">
        <v>2157</v>
      </c>
      <c r="AK117" s="298" t="s">
        <v>50</v>
      </c>
      <c r="AL117" s="24" t="s">
        <v>285</v>
      </c>
      <c r="AM117" s="298" t="s">
        <v>286</v>
      </c>
      <c r="AN117" s="298" t="s">
        <v>52</v>
      </c>
      <c r="AO117" s="234" t="s">
        <v>305</v>
      </c>
    </row>
    <row r="118" ht="15.75" customHeight="1">
      <c r="A118" s="343">
        <v>43486.0</v>
      </c>
      <c r="B118" s="147" t="s">
        <v>406</v>
      </c>
      <c r="C118" s="292">
        <v>7.000144378E9</v>
      </c>
      <c r="D118" s="22" t="s">
        <v>2159</v>
      </c>
      <c r="E118" s="23" t="s">
        <v>2160</v>
      </c>
      <c r="F118" s="24">
        <v>5.0</v>
      </c>
      <c r="G118" s="48">
        <v>685.0</v>
      </c>
      <c r="H118" s="26">
        <f t="shared" si="11"/>
        <v>3425</v>
      </c>
      <c r="I118" s="82" t="s">
        <v>43</v>
      </c>
      <c r="J118" s="50" t="s">
        <v>513</v>
      </c>
      <c r="K118" s="29">
        <v>43529.0</v>
      </c>
      <c r="L118" s="30">
        <v>43528.0</v>
      </c>
      <c r="M118" s="298" t="s">
        <v>1324</v>
      </c>
      <c r="N118" s="93" t="s">
        <v>2154</v>
      </c>
      <c r="O118" s="408"/>
      <c r="P118" s="408"/>
      <c r="Q118" s="408"/>
      <c r="R118" s="408"/>
      <c r="S118" s="408">
        <v>105042.0</v>
      </c>
      <c r="T118" s="408"/>
      <c r="U118" s="306"/>
      <c r="V118" s="306"/>
      <c r="W118" s="306"/>
      <c r="X118" s="406"/>
      <c r="Y118" s="306"/>
      <c r="Z118" s="306" t="s">
        <v>2155</v>
      </c>
      <c r="AA118" s="306">
        <v>7.47615708E9</v>
      </c>
      <c r="AB118" s="306"/>
      <c r="AC118" s="306"/>
      <c r="AD118" s="306"/>
      <c r="AE118" s="298"/>
      <c r="AF118" s="298">
        <v>30.74</v>
      </c>
      <c r="AG118" s="299"/>
      <c r="AH118" s="145">
        <v>43588.0</v>
      </c>
      <c r="AI118" s="299">
        <f>12939.02*30.87</f>
        <v>399427.5474</v>
      </c>
      <c r="AJ118" s="299">
        <f>(20+6.48)*30.87</f>
        <v>817.4376</v>
      </c>
      <c r="AK118" s="298" t="s">
        <v>50</v>
      </c>
      <c r="AL118" s="24" t="s">
        <v>285</v>
      </c>
      <c r="AM118" s="298" t="s">
        <v>286</v>
      </c>
      <c r="AN118" s="298" t="s">
        <v>52</v>
      </c>
      <c r="AO118" s="234" t="s">
        <v>305</v>
      </c>
    </row>
    <row r="119" ht="15.75" customHeight="1">
      <c r="A119" s="110">
        <v>43488.0</v>
      </c>
      <c r="B119" s="252" t="s">
        <v>406</v>
      </c>
      <c r="C119" s="252">
        <v>7.000144486E9</v>
      </c>
      <c r="D119" s="252" t="s">
        <v>518</v>
      </c>
      <c r="E119" s="23" t="s">
        <v>519</v>
      </c>
      <c r="F119" s="253">
        <v>270.0</v>
      </c>
      <c r="G119" s="254">
        <v>141.8</v>
      </c>
      <c r="H119" s="255">
        <f>G119*F119</f>
        <v>38286</v>
      </c>
      <c r="I119" s="266" t="s">
        <v>43</v>
      </c>
      <c r="J119" s="266" t="s">
        <v>520</v>
      </c>
      <c r="K119" s="258">
        <v>43496.0</v>
      </c>
      <c r="L119" s="258">
        <v>43495.0</v>
      </c>
      <c r="M119" s="403" t="s">
        <v>2078</v>
      </c>
      <c r="N119" s="252" t="s">
        <v>2161</v>
      </c>
      <c r="O119" s="310"/>
      <c r="P119" s="600"/>
      <c r="Q119" s="600"/>
      <c r="R119" s="579"/>
      <c r="S119" s="579">
        <v>1109619.0</v>
      </c>
      <c r="T119" s="310" t="s">
        <v>2080</v>
      </c>
      <c r="U119" s="260">
        <v>43585.0</v>
      </c>
      <c r="V119" s="370">
        <v>43495.0</v>
      </c>
      <c r="W119" s="261" t="s">
        <v>521</v>
      </c>
      <c r="X119" s="272">
        <v>1109619.0</v>
      </c>
      <c r="Y119" s="370">
        <v>43588.0</v>
      </c>
      <c r="Z119" s="331" t="s">
        <v>2162</v>
      </c>
      <c r="AA119" s="331" t="s">
        <v>2163</v>
      </c>
      <c r="AB119" s="331"/>
      <c r="AC119" s="331"/>
      <c r="AD119" s="331"/>
      <c r="AE119" s="253" t="s">
        <v>284</v>
      </c>
      <c r="AF119" s="253"/>
      <c r="AG119" s="262"/>
      <c r="AH119" s="263">
        <v>43497.0</v>
      </c>
      <c r="AI119" s="262">
        <f>38246.87*30.69</f>
        <v>1173796.44</v>
      </c>
      <c r="AJ119" s="262">
        <f>(19.13+20)*30.69</f>
        <v>1200.8997</v>
      </c>
      <c r="AK119" s="253" t="s">
        <v>50</v>
      </c>
      <c r="AL119" s="253" t="s">
        <v>285</v>
      </c>
      <c r="AM119" s="253" t="s">
        <v>51</v>
      </c>
      <c r="AN119" s="253" t="s">
        <v>52</v>
      </c>
      <c r="AO119" s="264"/>
    </row>
    <row r="120" ht="15.75" customHeight="1">
      <c r="A120" s="343">
        <v>43488.0</v>
      </c>
      <c r="B120" s="22" t="s">
        <v>101</v>
      </c>
      <c r="C120" s="408" t="s">
        <v>522</v>
      </c>
      <c r="D120" s="409" t="s">
        <v>523</v>
      </c>
      <c r="E120" s="23" t="s">
        <v>524</v>
      </c>
      <c r="F120" s="58">
        <v>6.0</v>
      </c>
      <c r="G120" s="47">
        <v>48.0</v>
      </c>
      <c r="H120" s="26">
        <f t="shared" ref="H120:H138" si="12">F120*G120</f>
        <v>288</v>
      </c>
      <c r="I120" s="298" t="s">
        <v>105</v>
      </c>
      <c r="J120" s="161" t="s">
        <v>290</v>
      </c>
      <c r="K120" s="29">
        <v>43518.0</v>
      </c>
      <c r="L120" s="30">
        <v>43511.0</v>
      </c>
      <c r="M120" s="626" t="s">
        <v>2028</v>
      </c>
      <c r="N120" s="93" t="s">
        <v>2164</v>
      </c>
      <c r="O120" s="34"/>
      <c r="P120" s="34"/>
      <c r="Q120" s="34"/>
      <c r="R120" s="408"/>
      <c r="S120" s="408">
        <v>8259.0</v>
      </c>
      <c r="T120" s="35" t="s">
        <v>2030</v>
      </c>
      <c r="U120" s="410">
        <v>43555.0</v>
      </c>
      <c r="V120" s="295">
        <v>43510.0</v>
      </c>
      <c r="W120" s="296" t="s">
        <v>525</v>
      </c>
      <c r="X120" s="297" t="s">
        <v>2165</v>
      </c>
      <c r="Y120" s="295">
        <v>43564.0</v>
      </c>
      <c r="Z120" s="53" t="s">
        <v>2166</v>
      </c>
      <c r="AA120" s="53">
        <v>1.836940674E9</v>
      </c>
      <c r="AB120" s="53"/>
      <c r="AC120" s="53"/>
      <c r="AD120" s="53"/>
      <c r="AE120" s="54"/>
      <c r="AF120" s="54"/>
      <c r="AG120" s="55"/>
      <c r="AH120" s="56">
        <v>43565.0</v>
      </c>
      <c r="AI120" s="38" t="s">
        <v>2074</v>
      </c>
      <c r="AJ120" s="38" t="s">
        <v>2075</v>
      </c>
      <c r="AK120" s="54" t="s">
        <v>50</v>
      </c>
      <c r="AL120" s="24" t="s">
        <v>285</v>
      </c>
      <c r="AM120" s="54" t="s">
        <v>51</v>
      </c>
      <c r="AN120" s="54" t="s">
        <v>52</v>
      </c>
      <c r="AO120" s="57" t="s">
        <v>398</v>
      </c>
    </row>
    <row r="121" ht="15.75" customHeight="1">
      <c r="A121" s="343">
        <v>43488.0</v>
      </c>
      <c r="B121" s="22" t="s">
        <v>101</v>
      </c>
      <c r="C121" s="408" t="s">
        <v>522</v>
      </c>
      <c r="D121" s="409" t="s">
        <v>2167</v>
      </c>
      <c r="E121" s="23" t="s">
        <v>2168</v>
      </c>
      <c r="F121" s="58">
        <v>6.0</v>
      </c>
      <c r="G121" s="47">
        <v>322.0</v>
      </c>
      <c r="H121" s="26">
        <f t="shared" si="12"/>
        <v>1932</v>
      </c>
      <c r="I121" s="298" t="s">
        <v>105</v>
      </c>
      <c r="J121" s="161" t="s">
        <v>290</v>
      </c>
      <c r="K121" s="29">
        <v>43518.0</v>
      </c>
      <c r="L121" s="30">
        <v>43511.0</v>
      </c>
      <c r="M121" s="626" t="s">
        <v>2028</v>
      </c>
      <c r="N121" s="93" t="s">
        <v>2164</v>
      </c>
      <c r="O121" s="34"/>
      <c r="P121" s="34"/>
      <c r="Q121" s="34"/>
      <c r="R121" s="408"/>
      <c r="S121" s="408">
        <v>55056.0</v>
      </c>
      <c r="T121" s="35" t="s">
        <v>2030</v>
      </c>
      <c r="U121" s="410">
        <v>43555.0</v>
      </c>
      <c r="V121" s="295">
        <v>43510.0</v>
      </c>
      <c r="W121" s="296" t="s">
        <v>525</v>
      </c>
      <c r="X121" s="297">
        <v>63315.0</v>
      </c>
      <c r="Y121" s="295">
        <v>43564.0</v>
      </c>
      <c r="Z121" s="53" t="s">
        <v>2166</v>
      </c>
      <c r="AA121" s="53">
        <v>1.836940674E9</v>
      </c>
      <c r="AB121" s="53"/>
      <c r="AC121" s="53"/>
      <c r="AD121" s="53"/>
      <c r="AE121" s="54"/>
      <c r="AF121" s="54"/>
      <c r="AG121" s="55"/>
      <c r="AH121" s="56">
        <v>43565.0</v>
      </c>
      <c r="AI121" s="38" t="s">
        <v>2074</v>
      </c>
      <c r="AJ121" s="38" t="s">
        <v>2075</v>
      </c>
      <c r="AK121" s="54" t="s">
        <v>50</v>
      </c>
      <c r="AL121" s="24" t="s">
        <v>285</v>
      </c>
      <c r="AM121" s="54" t="s">
        <v>51</v>
      </c>
      <c r="AN121" s="54" t="s">
        <v>52</v>
      </c>
      <c r="AO121" s="57" t="s">
        <v>398</v>
      </c>
    </row>
    <row r="122" ht="15.75" customHeight="1">
      <c r="A122" s="343">
        <v>43488.0</v>
      </c>
      <c r="B122" s="20" t="s">
        <v>101</v>
      </c>
      <c r="C122" s="411" t="s">
        <v>522</v>
      </c>
      <c r="D122" s="412" t="s">
        <v>2169</v>
      </c>
      <c r="E122" s="23" t="s">
        <v>529</v>
      </c>
      <c r="F122" s="58">
        <v>6.0</v>
      </c>
      <c r="G122" s="47">
        <v>56.0</v>
      </c>
      <c r="H122" s="47">
        <f t="shared" si="12"/>
        <v>336</v>
      </c>
      <c r="I122" s="298" t="s">
        <v>105</v>
      </c>
      <c r="J122" s="161" t="s">
        <v>290</v>
      </c>
      <c r="K122" s="29">
        <v>43518.0</v>
      </c>
      <c r="L122" s="30">
        <v>43509.0</v>
      </c>
      <c r="M122" s="626" t="s">
        <v>2170</v>
      </c>
      <c r="N122" s="64" t="s">
        <v>2171</v>
      </c>
      <c r="O122" s="34"/>
      <c r="P122" s="34"/>
      <c r="Q122" s="34"/>
      <c r="R122" s="627"/>
      <c r="S122" s="627">
        <v>3864.0</v>
      </c>
      <c r="T122" s="22" t="s">
        <v>2172</v>
      </c>
      <c r="U122" s="296" t="s">
        <v>422</v>
      </c>
      <c r="V122" s="413">
        <v>43508.0</v>
      </c>
      <c r="W122" s="342" t="s">
        <v>530</v>
      </c>
      <c r="X122" s="414">
        <v>17850.0</v>
      </c>
      <c r="Y122" s="295">
        <v>43495.0</v>
      </c>
      <c r="Z122" s="53" t="s">
        <v>2166</v>
      </c>
      <c r="AA122" s="53">
        <v>1.836940674E9</v>
      </c>
      <c r="AB122" s="53"/>
      <c r="AC122" s="53"/>
      <c r="AD122" s="53"/>
      <c r="AE122" s="54"/>
      <c r="AF122" s="54"/>
      <c r="AG122" s="55"/>
      <c r="AH122" s="56">
        <v>43565.0</v>
      </c>
      <c r="AI122" s="38" t="s">
        <v>2074</v>
      </c>
      <c r="AJ122" s="38" t="s">
        <v>2075</v>
      </c>
      <c r="AK122" s="54" t="s">
        <v>50</v>
      </c>
      <c r="AL122" s="24" t="s">
        <v>285</v>
      </c>
      <c r="AM122" s="54" t="s">
        <v>51</v>
      </c>
      <c r="AN122" s="54" t="s">
        <v>52</v>
      </c>
      <c r="AO122" s="57" t="s">
        <v>398</v>
      </c>
    </row>
    <row r="123" ht="15.75" customHeight="1">
      <c r="A123" s="343">
        <v>43488.0</v>
      </c>
      <c r="B123" s="20" t="s">
        <v>101</v>
      </c>
      <c r="C123" s="411" t="s">
        <v>522</v>
      </c>
      <c r="D123" s="412" t="s">
        <v>2173</v>
      </c>
      <c r="E123" s="23" t="s">
        <v>532</v>
      </c>
      <c r="F123" s="58">
        <v>6.0</v>
      </c>
      <c r="G123" s="47">
        <v>85.0</v>
      </c>
      <c r="H123" s="47">
        <f t="shared" si="12"/>
        <v>510</v>
      </c>
      <c r="I123" s="298" t="s">
        <v>105</v>
      </c>
      <c r="J123" s="161" t="s">
        <v>290</v>
      </c>
      <c r="K123" s="29">
        <v>43518.0</v>
      </c>
      <c r="L123" s="30">
        <v>43509.0</v>
      </c>
      <c r="M123" s="626" t="s">
        <v>2170</v>
      </c>
      <c r="N123" s="64" t="s">
        <v>2174</v>
      </c>
      <c r="O123" s="34"/>
      <c r="P123" s="34"/>
      <c r="Q123" s="34"/>
      <c r="R123" s="627"/>
      <c r="S123" s="627">
        <v>13986.0</v>
      </c>
      <c r="T123" s="22" t="s">
        <v>2172</v>
      </c>
      <c r="U123" s="296" t="s">
        <v>422</v>
      </c>
      <c r="V123" s="413">
        <v>43508.0</v>
      </c>
      <c r="W123" s="342" t="s">
        <v>530</v>
      </c>
      <c r="X123" s="414" t="s">
        <v>2175</v>
      </c>
      <c r="Y123" s="295">
        <v>43495.0</v>
      </c>
      <c r="Z123" s="53" t="s">
        <v>2176</v>
      </c>
      <c r="AA123" s="53">
        <v>1.836940674E9</v>
      </c>
      <c r="AB123" s="53"/>
      <c r="AC123" s="53"/>
      <c r="AD123" s="53"/>
      <c r="AE123" s="54"/>
      <c r="AF123" s="54"/>
      <c r="AG123" s="55"/>
      <c r="AH123" s="56">
        <v>43565.0</v>
      </c>
      <c r="AI123" s="38" t="s">
        <v>2074</v>
      </c>
      <c r="AJ123" s="38" t="s">
        <v>2075</v>
      </c>
      <c r="AK123" s="54" t="s">
        <v>50</v>
      </c>
      <c r="AL123" s="24" t="s">
        <v>285</v>
      </c>
      <c r="AM123" s="54" t="s">
        <v>51</v>
      </c>
      <c r="AN123" s="54" t="s">
        <v>52</v>
      </c>
      <c r="AO123" s="57" t="s">
        <v>398</v>
      </c>
    </row>
    <row r="124" ht="15.75" customHeight="1">
      <c r="A124" s="343">
        <v>43488.0</v>
      </c>
      <c r="B124" s="20" t="s">
        <v>101</v>
      </c>
      <c r="C124" s="411" t="s">
        <v>522</v>
      </c>
      <c r="D124" s="412" t="s">
        <v>533</v>
      </c>
      <c r="E124" s="23" t="s">
        <v>347</v>
      </c>
      <c r="F124" s="58">
        <v>1.0</v>
      </c>
      <c r="G124" s="47">
        <v>103.0</v>
      </c>
      <c r="H124" s="47">
        <f t="shared" si="12"/>
        <v>103</v>
      </c>
      <c r="I124" s="298" t="s">
        <v>105</v>
      </c>
      <c r="J124" s="82" t="s">
        <v>534</v>
      </c>
      <c r="K124" s="29">
        <v>43518.0</v>
      </c>
      <c r="L124" s="30">
        <v>43518.0</v>
      </c>
      <c r="M124" s="58" t="s">
        <v>2032</v>
      </c>
      <c r="N124" s="93" t="s">
        <v>2177</v>
      </c>
      <c r="O124" s="34"/>
      <c r="P124" s="34"/>
      <c r="Q124" s="34"/>
      <c r="R124" s="408"/>
      <c r="S124" s="408">
        <v>929.0</v>
      </c>
      <c r="T124" s="22" t="s">
        <v>2033</v>
      </c>
      <c r="U124" s="295">
        <v>43554.0</v>
      </c>
      <c r="V124" s="295">
        <v>43524.0</v>
      </c>
      <c r="W124" s="296" t="s">
        <v>535</v>
      </c>
      <c r="X124" s="297">
        <v>9780.0</v>
      </c>
      <c r="Y124" s="413">
        <v>43557.0</v>
      </c>
      <c r="Z124" s="53"/>
      <c r="AA124" s="53">
        <v>1.836940674E9</v>
      </c>
      <c r="AB124" s="53"/>
      <c r="AC124" s="53"/>
      <c r="AD124" s="53"/>
      <c r="AE124" s="54"/>
      <c r="AF124" s="54"/>
      <c r="AG124" s="55"/>
      <c r="AH124" s="56">
        <v>43565.0</v>
      </c>
      <c r="AI124" s="38" t="s">
        <v>2074</v>
      </c>
      <c r="AJ124" s="38" t="s">
        <v>2075</v>
      </c>
      <c r="AK124" s="54" t="s">
        <v>50</v>
      </c>
      <c r="AL124" s="24" t="s">
        <v>285</v>
      </c>
      <c r="AM124" s="54" t="s">
        <v>51</v>
      </c>
      <c r="AN124" s="54" t="s">
        <v>52</v>
      </c>
      <c r="AO124" s="57" t="s">
        <v>398</v>
      </c>
    </row>
    <row r="125" ht="15.75" customHeight="1">
      <c r="A125" s="69">
        <v>43488.0</v>
      </c>
      <c r="B125" s="265" t="s">
        <v>119</v>
      </c>
      <c r="C125" s="252" t="s">
        <v>536</v>
      </c>
      <c r="D125" s="252" t="s">
        <v>537</v>
      </c>
      <c r="E125" s="23" t="s">
        <v>538</v>
      </c>
      <c r="F125" s="253">
        <v>11.0</v>
      </c>
      <c r="G125" s="254">
        <v>44.0</v>
      </c>
      <c r="H125" s="267">
        <f t="shared" si="12"/>
        <v>484</v>
      </c>
      <c r="I125" s="266" t="s">
        <v>171</v>
      </c>
      <c r="J125" s="266" t="s">
        <v>122</v>
      </c>
      <c r="K125" s="258">
        <v>43510.0</v>
      </c>
      <c r="L125" s="258">
        <v>43509.0</v>
      </c>
      <c r="M125" s="403" t="s">
        <v>90</v>
      </c>
      <c r="N125" s="633" t="s">
        <v>2178</v>
      </c>
      <c r="O125" s="605"/>
      <c r="P125" s="605"/>
      <c r="Q125" s="310">
        <v>415.8</v>
      </c>
      <c r="R125" s="600"/>
      <c r="S125" s="600"/>
      <c r="T125" s="578" t="s">
        <v>94</v>
      </c>
      <c r="U125" s="260">
        <v>43555.0</v>
      </c>
      <c r="V125" s="260">
        <v>43509.0</v>
      </c>
      <c r="W125" s="261" t="s">
        <v>539</v>
      </c>
      <c r="X125" s="272">
        <v>784990.0</v>
      </c>
      <c r="Y125" s="260">
        <v>43536.0</v>
      </c>
      <c r="Z125" s="331" t="s">
        <v>2179</v>
      </c>
      <c r="AA125" s="331" t="s">
        <v>2180</v>
      </c>
      <c r="AB125" s="331"/>
      <c r="AC125" s="331"/>
      <c r="AD125" s="331"/>
      <c r="AE125" s="253" t="s">
        <v>540</v>
      </c>
      <c r="AF125" s="253"/>
      <c r="AG125" s="262"/>
      <c r="AH125" s="263">
        <v>43511.0</v>
      </c>
      <c r="AI125" s="262">
        <f>21594.18*30.787+6983.5*30.784</f>
        <v>879800.0837</v>
      </c>
      <c r="AJ125" s="262">
        <f>10.82*30.787+6.5*30.784+20*30.787</f>
        <v>1148.95134</v>
      </c>
      <c r="AK125" s="253" t="s">
        <v>50</v>
      </c>
      <c r="AL125" s="253" t="s">
        <v>285</v>
      </c>
      <c r="AM125" s="253" t="s">
        <v>51</v>
      </c>
      <c r="AN125" s="253" t="s">
        <v>52</v>
      </c>
      <c r="AO125" s="264"/>
    </row>
    <row r="126" ht="15.75" customHeight="1">
      <c r="A126" s="110">
        <v>43488.0</v>
      </c>
      <c r="B126" s="368" t="s">
        <v>119</v>
      </c>
      <c r="C126" s="368" t="s">
        <v>536</v>
      </c>
      <c r="D126" s="368" t="s">
        <v>537</v>
      </c>
      <c r="E126" s="23" t="s">
        <v>161</v>
      </c>
      <c r="F126" s="369">
        <v>25.0</v>
      </c>
      <c r="G126" s="254">
        <v>485.0</v>
      </c>
      <c r="H126" s="255">
        <f t="shared" si="12"/>
        <v>12125</v>
      </c>
      <c r="I126" s="266" t="s">
        <v>171</v>
      </c>
      <c r="J126" s="266" t="s">
        <v>122</v>
      </c>
      <c r="K126" s="258">
        <v>43510.0</v>
      </c>
      <c r="L126" s="258">
        <v>43509.0</v>
      </c>
      <c r="M126" s="403" t="s">
        <v>90</v>
      </c>
      <c r="N126" s="422" t="s">
        <v>2178</v>
      </c>
      <c r="O126" s="310"/>
      <c r="P126" s="310"/>
      <c r="Q126" s="310">
        <v>10500.0</v>
      </c>
      <c r="R126" s="600"/>
      <c r="S126" s="600"/>
      <c r="T126" s="578" t="s">
        <v>94</v>
      </c>
      <c r="U126" s="260">
        <v>43555.0</v>
      </c>
      <c r="V126" s="260">
        <v>43509.0</v>
      </c>
      <c r="W126" s="261" t="s">
        <v>539</v>
      </c>
      <c r="X126" s="272" t="s">
        <v>2181</v>
      </c>
      <c r="Y126" s="260">
        <v>43536.0</v>
      </c>
      <c r="Z126" s="331" t="s">
        <v>2179</v>
      </c>
      <c r="AA126" s="331" t="s">
        <v>2180</v>
      </c>
      <c r="AB126" s="331"/>
      <c r="AC126" s="331"/>
      <c r="AD126" s="331"/>
      <c r="AE126" s="253" t="s">
        <v>540</v>
      </c>
      <c r="AF126" s="253"/>
      <c r="AG126" s="262"/>
      <c r="AH126" s="263">
        <v>43511.0</v>
      </c>
      <c r="AI126" s="262" t="s">
        <v>2182</v>
      </c>
      <c r="AJ126" s="262" t="s">
        <v>2183</v>
      </c>
      <c r="AK126" s="253" t="s">
        <v>50</v>
      </c>
      <c r="AL126" s="253" t="s">
        <v>285</v>
      </c>
      <c r="AM126" s="253" t="s">
        <v>51</v>
      </c>
      <c r="AN126" s="253" t="s">
        <v>52</v>
      </c>
      <c r="AO126" s="264"/>
    </row>
    <row r="127" ht="15.75" customHeight="1">
      <c r="A127" s="110">
        <v>43488.0</v>
      </c>
      <c r="B127" s="368" t="s">
        <v>119</v>
      </c>
      <c r="C127" s="368" t="s">
        <v>536</v>
      </c>
      <c r="D127" s="368" t="s">
        <v>537</v>
      </c>
      <c r="E127" s="23" t="s">
        <v>158</v>
      </c>
      <c r="F127" s="253">
        <v>6.0</v>
      </c>
      <c r="G127" s="267">
        <v>979.0</v>
      </c>
      <c r="H127" s="255">
        <f t="shared" si="12"/>
        <v>5874</v>
      </c>
      <c r="I127" s="266" t="s">
        <v>171</v>
      </c>
      <c r="J127" s="266" t="s">
        <v>122</v>
      </c>
      <c r="K127" s="258">
        <v>43510.0</v>
      </c>
      <c r="L127" s="258">
        <v>43511.0</v>
      </c>
      <c r="M127" s="403" t="s">
        <v>90</v>
      </c>
      <c r="N127" s="422" t="s">
        <v>2178</v>
      </c>
      <c r="O127" s="310"/>
      <c r="P127" s="310"/>
      <c r="Q127" s="310">
        <v>5014.8</v>
      </c>
      <c r="R127" s="600"/>
      <c r="S127" s="600"/>
      <c r="T127" s="578" t="s">
        <v>94</v>
      </c>
      <c r="U127" s="260">
        <v>43555.0</v>
      </c>
      <c r="V127" s="260">
        <v>43509.0</v>
      </c>
      <c r="W127" s="261" t="s">
        <v>539</v>
      </c>
      <c r="X127" s="272" t="s">
        <v>2181</v>
      </c>
      <c r="Y127" s="260">
        <v>43536.0</v>
      </c>
      <c r="Z127" s="331" t="s">
        <v>2179</v>
      </c>
      <c r="AA127" s="331" t="s">
        <v>2180</v>
      </c>
      <c r="AB127" s="331"/>
      <c r="AC127" s="331"/>
      <c r="AD127" s="331"/>
      <c r="AE127" s="253" t="s">
        <v>540</v>
      </c>
      <c r="AF127" s="253"/>
      <c r="AG127" s="262"/>
      <c r="AH127" s="263">
        <v>43511.0</v>
      </c>
      <c r="AI127" s="262" t="s">
        <v>2182</v>
      </c>
      <c r="AJ127" s="262" t="s">
        <v>2183</v>
      </c>
      <c r="AK127" s="253" t="s">
        <v>50</v>
      </c>
      <c r="AL127" s="253" t="s">
        <v>285</v>
      </c>
      <c r="AM127" s="253" t="s">
        <v>51</v>
      </c>
      <c r="AN127" s="253" t="s">
        <v>52</v>
      </c>
      <c r="AO127" s="264"/>
    </row>
    <row r="128" ht="15.75" customHeight="1">
      <c r="A128" s="110">
        <v>43488.0</v>
      </c>
      <c r="B128" s="368" t="s">
        <v>119</v>
      </c>
      <c r="C128" s="368" t="s">
        <v>536</v>
      </c>
      <c r="D128" s="368" t="s">
        <v>537</v>
      </c>
      <c r="E128" s="23" t="s">
        <v>162</v>
      </c>
      <c r="F128" s="369">
        <v>4.0</v>
      </c>
      <c r="G128" s="267">
        <v>738.0</v>
      </c>
      <c r="H128" s="255">
        <f t="shared" si="12"/>
        <v>2952</v>
      </c>
      <c r="I128" s="266" t="s">
        <v>171</v>
      </c>
      <c r="J128" s="266" t="s">
        <v>122</v>
      </c>
      <c r="K128" s="258">
        <v>43510.0</v>
      </c>
      <c r="L128" s="258">
        <v>43509.0</v>
      </c>
      <c r="M128" s="403" t="s">
        <v>90</v>
      </c>
      <c r="N128" s="422" t="s">
        <v>2178</v>
      </c>
      <c r="O128" s="310"/>
      <c r="P128" s="310"/>
      <c r="Q128" s="310">
        <v>2679.6</v>
      </c>
      <c r="R128" s="600"/>
      <c r="S128" s="600"/>
      <c r="T128" s="578" t="s">
        <v>94</v>
      </c>
      <c r="U128" s="260">
        <v>43555.0</v>
      </c>
      <c r="V128" s="260">
        <v>43509.0</v>
      </c>
      <c r="W128" s="261" t="s">
        <v>539</v>
      </c>
      <c r="X128" s="272" t="s">
        <v>2181</v>
      </c>
      <c r="Y128" s="260">
        <v>43536.0</v>
      </c>
      <c r="Z128" s="331" t="s">
        <v>2179</v>
      </c>
      <c r="AA128" s="331" t="s">
        <v>2180</v>
      </c>
      <c r="AB128" s="331"/>
      <c r="AC128" s="331"/>
      <c r="AD128" s="331"/>
      <c r="AE128" s="253" t="s">
        <v>540</v>
      </c>
      <c r="AF128" s="253"/>
      <c r="AG128" s="262"/>
      <c r="AH128" s="263">
        <v>43511.0</v>
      </c>
      <c r="AI128" s="262" t="s">
        <v>2182</v>
      </c>
      <c r="AJ128" s="262" t="s">
        <v>2183</v>
      </c>
      <c r="AK128" s="253" t="s">
        <v>50</v>
      </c>
      <c r="AL128" s="253" t="s">
        <v>285</v>
      </c>
      <c r="AM128" s="253" t="s">
        <v>51</v>
      </c>
      <c r="AN128" s="253" t="s">
        <v>52</v>
      </c>
      <c r="AO128" s="264"/>
    </row>
    <row r="129" ht="15.75" customHeight="1">
      <c r="A129" s="110">
        <v>43488.0</v>
      </c>
      <c r="B129" s="368" t="s">
        <v>119</v>
      </c>
      <c r="C129" s="368" t="s">
        <v>536</v>
      </c>
      <c r="D129" s="368" t="s">
        <v>537</v>
      </c>
      <c r="E129" s="23" t="s">
        <v>121</v>
      </c>
      <c r="F129" s="253">
        <v>20.0</v>
      </c>
      <c r="G129" s="330">
        <v>359.0</v>
      </c>
      <c r="H129" s="255">
        <f t="shared" si="12"/>
        <v>7180</v>
      </c>
      <c r="I129" s="266" t="s">
        <v>171</v>
      </c>
      <c r="J129" s="266" t="s">
        <v>122</v>
      </c>
      <c r="K129" s="258">
        <v>43510.0</v>
      </c>
      <c r="L129" s="258">
        <v>43509.0</v>
      </c>
      <c r="M129" s="403" t="s">
        <v>90</v>
      </c>
      <c r="N129" s="422" t="s">
        <v>2178</v>
      </c>
      <c r="O129" s="310"/>
      <c r="P129" s="310"/>
      <c r="Q129" s="310">
        <v>6972.0</v>
      </c>
      <c r="R129" s="600"/>
      <c r="S129" s="600"/>
      <c r="T129" s="578" t="s">
        <v>94</v>
      </c>
      <c r="U129" s="260">
        <v>43555.0</v>
      </c>
      <c r="V129" s="260">
        <v>43509.0</v>
      </c>
      <c r="W129" s="261" t="s">
        <v>539</v>
      </c>
      <c r="X129" s="272" t="s">
        <v>2181</v>
      </c>
      <c r="Y129" s="260">
        <v>43536.0</v>
      </c>
      <c r="Z129" s="331" t="s">
        <v>2179</v>
      </c>
      <c r="AA129" s="331" t="s">
        <v>2180</v>
      </c>
      <c r="AB129" s="331"/>
      <c r="AC129" s="331"/>
      <c r="AD129" s="331"/>
      <c r="AE129" s="253" t="s">
        <v>540</v>
      </c>
      <c r="AF129" s="253"/>
      <c r="AG129" s="262"/>
      <c r="AH129" s="263">
        <v>43511.0</v>
      </c>
      <c r="AI129" s="262" t="s">
        <v>2182</v>
      </c>
      <c r="AJ129" s="262" t="s">
        <v>2183</v>
      </c>
      <c r="AK129" s="253" t="s">
        <v>50</v>
      </c>
      <c r="AL129" s="253" t="s">
        <v>285</v>
      </c>
      <c r="AM129" s="253" t="s">
        <v>51</v>
      </c>
      <c r="AN129" s="253" t="s">
        <v>52</v>
      </c>
      <c r="AO129" s="264"/>
    </row>
    <row r="130" ht="15.75" customHeight="1">
      <c r="A130" s="110">
        <v>43488.0</v>
      </c>
      <c r="B130" s="71" t="s">
        <v>119</v>
      </c>
      <c r="C130" s="71" t="s">
        <v>536</v>
      </c>
      <c r="D130" s="71" t="s">
        <v>541</v>
      </c>
      <c r="E130" s="23" t="s">
        <v>121</v>
      </c>
      <c r="F130" s="24">
        <v>68.0</v>
      </c>
      <c r="G130" s="150">
        <v>359.0</v>
      </c>
      <c r="H130" s="26">
        <f t="shared" si="12"/>
        <v>24412</v>
      </c>
      <c r="I130" s="298" t="s">
        <v>171</v>
      </c>
      <c r="J130" s="82" t="s">
        <v>122</v>
      </c>
      <c r="K130" s="29">
        <v>43532.0</v>
      </c>
      <c r="L130" s="30">
        <v>43531.0</v>
      </c>
      <c r="M130" s="58" t="s">
        <v>90</v>
      </c>
      <c r="N130" s="93" t="s">
        <v>2184</v>
      </c>
      <c r="O130" s="408"/>
      <c r="P130" s="408"/>
      <c r="Q130" s="408">
        <v>23704.8</v>
      </c>
      <c r="R130" s="408"/>
      <c r="S130" s="408">
        <v>728686.0</v>
      </c>
      <c r="T130" s="51" t="s">
        <v>94</v>
      </c>
      <c r="U130" s="295">
        <v>43585.0</v>
      </c>
      <c r="V130" s="295">
        <v>43531.0</v>
      </c>
      <c r="W130" s="296" t="s">
        <v>542</v>
      </c>
      <c r="X130" s="297">
        <v>728686.0</v>
      </c>
      <c r="Y130" s="295">
        <v>43557.0</v>
      </c>
      <c r="Z130" s="53" t="s">
        <v>2185</v>
      </c>
      <c r="AA130" s="53" t="s">
        <v>2186</v>
      </c>
      <c r="AB130" s="53"/>
      <c r="AC130" s="53"/>
      <c r="AD130" s="53"/>
      <c r="AE130" s="54" t="s">
        <v>540</v>
      </c>
      <c r="AF130" s="54">
        <v>30.74</v>
      </c>
      <c r="AG130" s="55"/>
      <c r="AH130" s="56">
        <v>43551.0</v>
      </c>
      <c r="AI130" s="55" t="s">
        <v>2187</v>
      </c>
      <c r="AJ130" s="55" t="s">
        <v>2188</v>
      </c>
      <c r="AK130" s="54" t="s">
        <v>50</v>
      </c>
      <c r="AL130" s="24" t="s">
        <v>285</v>
      </c>
      <c r="AM130" s="54" t="s">
        <v>51</v>
      </c>
      <c r="AN130" s="54" t="s">
        <v>52</v>
      </c>
      <c r="AO130" s="57" t="s">
        <v>398</v>
      </c>
    </row>
    <row r="131" ht="15.75" customHeight="1">
      <c r="A131" s="110">
        <v>43489.0</v>
      </c>
      <c r="B131" s="415" t="s">
        <v>101</v>
      </c>
      <c r="C131" s="408" t="s">
        <v>0</v>
      </c>
      <c r="D131" s="408" t="s">
        <v>543</v>
      </c>
      <c r="E131" s="23" t="s">
        <v>2189</v>
      </c>
      <c r="F131" s="298">
        <v>8.0</v>
      </c>
      <c r="G131" s="47">
        <f>592</f>
        <v>592</v>
      </c>
      <c r="H131" s="26">
        <f t="shared" si="12"/>
        <v>4736</v>
      </c>
      <c r="I131" s="82" t="s">
        <v>303</v>
      </c>
      <c r="J131" s="58" t="s">
        <v>438</v>
      </c>
      <c r="K131" s="29">
        <v>43536.0</v>
      </c>
      <c r="L131" s="30">
        <v>43532.0</v>
      </c>
      <c r="M131" s="298" t="s">
        <v>1324</v>
      </c>
      <c r="N131" s="93" t="s">
        <v>2190</v>
      </c>
      <c r="O131" s="408"/>
      <c r="P131" s="408"/>
      <c r="Q131" s="408"/>
      <c r="R131" s="408"/>
      <c r="S131" s="408">
        <v>128629.0</v>
      </c>
      <c r="T131" s="503"/>
      <c r="U131" s="306"/>
      <c r="V131" s="306"/>
      <c r="W131" s="306"/>
      <c r="X131" s="406"/>
      <c r="Y131" s="306"/>
      <c r="Z131" s="306" t="s">
        <v>1984</v>
      </c>
      <c r="AA131" s="306">
        <v>3.4557796E9</v>
      </c>
      <c r="AB131" s="306"/>
      <c r="AC131" s="306"/>
      <c r="AD131" s="306"/>
      <c r="AE131" s="298"/>
      <c r="AF131" s="298">
        <v>30.79</v>
      </c>
      <c r="AG131" s="299"/>
      <c r="AH131" s="300">
        <v>43587.0</v>
      </c>
      <c r="AI131" s="299" t="s">
        <v>1987</v>
      </c>
      <c r="AJ131" s="299" t="s">
        <v>1988</v>
      </c>
      <c r="AK131" s="298" t="s">
        <v>50</v>
      </c>
      <c r="AL131" s="24" t="s">
        <v>285</v>
      </c>
      <c r="AM131" s="298" t="s">
        <v>286</v>
      </c>
      <c r="AN131" s="298" t="s">
        <v>52</v>
      </c>
      <c r="AO131" s="234" t="s">
        <v>305</v>
      </c>
    </row>
    <row r="132" ht="15.75" customHeight="1">
      <c r="A132" s="110">
        <v>43489.0</v>
      </c>
      <c r="B132" s="415" t="s">
        <v>101</v>
      </c>
      <c r="C132" s="408" t="s">
        <v>0</v>
      </c>
      <c r="D132" s="408" t="s">
        <v>543</v>
      </c>
      <c r="E132" s="23" t="s">
        <v>442</v>
      </c>
      <c r="F132" s="298">
        <v>8.0</v>
      </c>
      <c r="G132" s="47">
        <v>38.0</v>
      </c>
      <c r="H132" s="26">
        <f t="shared" si="12"/>
        <v>304</v>
      </c>
      <c r="I132" s="82" t="s">
        <v>303</v>
      </c>
      <c r="J132" s="58" t="s">
        <v>438</v>
      </c>
      <c r="K132" s="29">
        <v>43536.0</v>
      </c>
      <c r="L132" s="30"/>
      <c r="M132" s="298" t="s">
        <v>1324</v>
      </c>
      <c r="N132" s="93" t="s">
        <v>2190</v>
      </c>
      <c r="O132" s="408"/>
      <c r="P132" s="408"/>
      <c r="Q132" s="408"/>
      <c r="R132" s="408"/>
      <c r="S132" s="634">
        <v>6938.0</v>
      </c>
      <c r="T132" s="503"/>
      <c r="U132" s="306"/>
      <c r="V132" s="306"/>
      <c r="W132" s="306"/>
      <c r="X132" s="406"/>
      <c r="Y132" s="306"/>
      <c r="Z132" s="306" t="s">
        <v>1984</v>
      </c>
      <c r="AA132" s="306">
        <v>3.4557796E9</v>
      </c>
      <c r="AB132" s="306"/>
      <c r="AC132" s="306"/>
      <c r="AD132" s="306"/>
      <c r="AE132" s="298"/>
      <c r="AF132" s="298">
        <v>30.79</v>
      </c>
      <c r="AG132" s="299"/>
      <c r="AH132" s="300">
        <v>43587.0</v>
      </c>
      <c r="AI132" s="299" t="s">
        <v>1987</v>
      </c>
      <c r="AJ132" s="299" t="s">
        <v>1988</v>
      </c>
      <c r="AK132" s="298" t="s">
        <v>50</v>
      </c>
      <c r="AL132" s="24" t="s">
        <v>285</v>
      </c>
      <c r="AM132" s="298" t="s">
        <v>286</v>
      </c>
      <c r="AN132" s="298" t="s">
        <v>52</v>
      </c>
      <c r="AO132" s="234" t="s">
        <v>305</v>
      </c>
    </row>
    <row r="133" ht="15.75" customHeight="1">
      <c r="A133" s="110">
        <v>43489.0</v>
      </c>
      <c r="B133" s="415" t="s">
        <v>101</v>
      </c>
      <c r="C133" s="408" t="s">
        <v>0</v>
      </c>
      <c r="D133" s="408" t="s">
        <v>543</v>
      </c>
      <c r="E133" s="23" t="s">
        <v>545</v>
      </c>
      <c r="F133" s="298">
        <v>8.0</v>
      </c>
      <c r="G133" s="47">
        <v>76.0</v>
      </c>
      <c r="H133" s="26">
        <f t="shared" si="12"/>
        <v>608</v>
      </c>
      <c r="I133" s="82" t="s">
        <v>303</v>
      </c>
      <c r="J133" s="58" t="s">
        <v>438</v>
      </c>
      <c r="K133" s="29">
        <v>43536.0</v>
      </c>
      <c r="L133" s="30"/>
      <c r="M133" s="298" t="s">
        <v>1324</v>
      </c>
      <c r="N133" s="93" t="s">
        <v>2190</v>
      </c>
      <c r="O133" s="408"/>
      <c r="P133" s="408"/>
      <c r="Q133" s="408"/>
      <c r="R133" s="408"/>
      <c r="S133" s="408">
        <v>14557.0</v>
      </c>
      <c r="T133" s="503"/>
      <c r="U133" s="306"/>
      <c r="V133" s="306"/>
      <c r="W133" s="306"/>
      <c r="X133" s="406"/>
      <c r="Y133" s="306"/>
      <c r="Z133" s="306" t="s">
        <v>1984</v>
      </c>
      <c r="AA133" s="306">
        <v>3.4557796E9</v>
      </c>
      <c r="AB133" s="306"/>
      <c r="AC133" s="306"/>
      <c r="AD133" s="306"/>
      <c r="AE133" s="298"/>
      <c r="AF133" s="298">
        <v>30.79</v>
      </c>
      <c r="AG133" s="299"/>
      <c r="AH133" s="300">
        <v>43587.0</v>
      </c>
      <c r="AI133" s="299" t="s">
        <v>1987</v>
      </c>
      <c r="AJ133" s="299" t="s">
        <v>1988</v>
      </c>
      <c r="AK133" s="298" t="s">
        <v>50</v>
      </c>
      <c r="AL133" s="24" t="s">
        <v>285</v>
      </c>
      <c r="AM133" s="298" t="s">
        <v>286</v>
      </c>
      <c r="AN133" s="298" t="s">
        <v>52</v>
      </c>
      <c r="AO133" s="234" t="s">
        <v>305</v>
      </c>
    </row>
    <row r="134" ht="15.75" customHeight="1">
      <c r="A134" s="110">
        <v>43489.0</v>
      </c>
      <c r="B134" s="415" t="s">
        <v>101</v>
      </c>
      <c r="C134" s="408" t="s">
        <v>0</v>
      </c>
      <c r="D134" s="408" t="s">
        <v>543</v>
      </c>
      <c r="E134" s="23" t="s">
        <v>444</v>
      </c>
      <c r="F134" s="298">
        <v>8.0</v>
      </c>
      <c r="G134" s="47">
        <v>140.0</v>
      </c>
      <c r="H134" s="26">
        <f t="shared" si="12"/>
        <v>1120</v>
      </c>
      <c r="I134" s="82" t="s">
        <v>303</v>
      </c>
      <c r="J134" s="58" t="s">
        <v>438</v>
      </c>
      <c r="K134" s="29">
        <v>43536.0</v>
      </c>
      <c r="L134" s="30"/>
      <c r="M134" s="298" t="s">
        <v>1324</v>
      </c>
      <c r="N134" s="93" t="s">
        <v>2190</v>
      </c>
      <c r="O134" s="408"/>
      <c r="P134" s="408"/>
      <c r="Q134" s="408"/>
      <c r="R134" s="408"/>
      <c r="S134" s="408">
        <v>31364.0</v>
      </c>
      <c r="T134" s="503"/>
      <c r="U134" s="306"/>
      <c r="V134" s="306"/>
      <c r="W134" s="306"/>
      <c r="X134" s="406"/>
      <c r="Y134" s="306"/>
      <c r="Z134" s="306" t="s">
        <v>1984</v>
      </c>
      <c r="AA134" s="306">
        <v>3.4557796E9</v>
      </c>
      <c r="AB134" s="306"/>
      <c r="AC134" s="306"/>
      <c r="AD134" s="306"/>
      <c r="AE134" s="298"/>
      <c r="AF134" s="298">
        <v>30.79</v>
      </c>
      <c r="AG134" s="299"/>
      <c r="AH134" s="300">
        <v>43587.0</v>
      </c>
      <c r="AI134" s="299" t="s">
        <v>1987</v>
      </c>
      <c r="AJ134" s="299" t="s">
        <v>1988</v>
      </c>
      <c r="AK134" s="298" t="s">
        <v>50</v>
      </c>
      <c r="AL134" s="24" t="s">
        <v>285</v>
      </c>
      <c r="AM134" s="298" t="s">
        <v>286</v>
      </c>
      <c r="AN134" s="298" t="s">
        <v>52</v>
      </c>
      <c r="AO134" s="234" t="s">
        <v>305</v>
      </c>
    </row>
    <row r="135" ht="15.75" customHeight="1">
      <c r="A135" s="110">
        <v>43489.0</v>
      </c>
      <c r="B135" s="415" t="s">
        <v>101</v>
      </c>
      <c r="C135" s="408" t="s">
        <v>0</v>
      </c>
      <c r="D135" s="408" t="s">
        <v>543</v>
      </c>
      <c r="E135" s="23" t="s">
        <v>546</v>
      </c>
      <c r="F135" s="298">
        <v>8.0</v>
      </c>
      <c r="G135" s="47">
        <v>47.0</v>
      </c>
      <c r="H135" s="26">
        <f t="shared" si="12"/>
        <v>376</v>
      </c>
      <c r="I135" s="82" t="s">
        <v>303</v>
      </c>
      <c r="J135" s="58" t="s">
        <v>438</v>
      </c>
      <c r="K135" s="29">
        <v>43536.0</v>
      </c>
      <c r="L135" s="30"/>
      <c r="M135" s="298" t="s">
        <v>1324</v>
      </c>
      <c r="N135" s="93" t="s">
        <v>2190</v>
      </c>
      <c r="O135" s="408"/>
      <c r="P135" s="408"/>
      <c r="Q135" s="408"/>
      <c r="R135" s="408"/>
      <c r="S135" s="408">
        <v>10360.0</v>
      </c>
      <c r="T135" s="503"/>
      <c r="U135" s="306"/>
      <c r="V135" s="306"/>
      <c r="W135" s="306"/>
      <c r="X135" s="406"/>
      <c r="Y135" s="306"/>
      <c r="Z135" s="306" t="s">
        <v>1984</v>
      </c>
      <c r="AA135" s="306">
        <v>3.4557796E9</v>
      </c>
      <c r="AB135" s="306"/>
      <c r="AC135" s="306"/>
      <c r="AD135" s="306"/>
      <c r="AE135" s="298"/>
      <c r="AF135" s="298">
        <v>30.79</v>
      </c>
      <c r="AG135" s="299"/>
      <c r="AH135" s="300">
        <v>43587.0</v>
      </c>
      <c r="AI135" s="299" t="s">
        <v>1987</v>
      </c>
      <c r="AJ135" s="299" t="s">
        <v>1988</v>
      </c>
      <c r="AK135" s="298" t="s">
        <v>50</v>
      </c>
      <c r="AL135" s="24" t="s">
        <v>285</v>
      </c>
      <c r="AM135" s="298" t="s">
        <v>286</v>
      </c>
      <c r="AN135" s="298" t="s">
        <v>52</v>
      </c>
      <c r="AO135" s="234" t="s">
        <v>305</v>
      </c>
    </row>
    <row r="136" ht="15.75" customHeight="1">
      <c r="A136" s="110">
        <v>43489.0</v>
      </c>
      <c r="B136" s="415" t="s">
        <v>101</v>
      </c>
      <c r="C136" s="408" t="s">
        <v>0</v>
      </c>
      <c r="D136" s="408" t="s">
        <v>543</v>
      </c>
      <c r="E136" s="23" t="s">
        <v>445</v>
      </c>
      <c r="F136" s="298">
        <v>8.0</v>
      </c>
      <c r="G136" s="47">
        <v>10.0</v>
      </c>
      <c r="H136" s="26">
        <f t="shared" si="12"/>
        <v>80</v>
      </c>
      <c r="I136" s="82" t="s">
        <v>303</v>
      </c>
      <c r="J136" s="58" t="s">
        <v>438</v>
      </c>
      <c r="K136" s="29">
        <v>43536.0</v>
      </c>
      <c r="L136" s="30"/>
      <c r="M136" s="298" t="s">
        <v>1324</v>
      </c>
      <c r="N136" s="93" t="s">
        <v>2190</v>
      </c>
      <c r="O136" s="408"/>
      <c r="P136" s="408"/>
      <c r="Q136" s="408"/>
      <c r="R136" s="408"/>
      <c r="S136" s="635">
        <v>631.0</v>
      </c>
      <c r="T136" s="503"/>
      <c r="U136" s="306"/>
      <c r="V136" s="306"/>
      <c r="W136" s="306"/>
      <c r="X136" s="406"/>
      <c r="Y136" s="306"/>
      <c r="Z136" s="306" t="s">
        <v>1984</v>
      </c>
      <c r="AA136" s="306">
        <v>3.4557796E9</v>
      </c>
      <c r="AB136" s="306"/>
      <c r="AC136" s="306"/>
      <c r="AD136" s="306"/>
      <c r="AE136" s="298"/>
      <c r="AF136" s="298">
        <v>30.79</v>
      </c>
      <c r="AG136" s="299"/>
      <c r="AH136" s="300">
        <v>43587.0</v>
      </c>
      <c r="AI136" s="299" t="s">
        <v>1987</v>
      </c>
      <c r="AJ136" s="299" t="s">
        <v>1988</v>
      </c>
      <c r="AK136" s="298" t="s">
        <v>50</v>
      </c>
      <c r="AL136" s="24" t="s">
        <v>285</v>
      </c>
      <c r="AM136" s="298" t="s">
        <v>286</v>
      </c>
      <c r="AN136" s="298" t="s">
        <v>52</v>
      </c>
      <c r="AO136" s="234" t="s">
        <v>305</v>
      </c>
    </row>
    <row r="137" ht="15.75" customHeight="1">
      <c r="A137" s="110">
        <v>43489.0</v>
      </c>
      <c r="B137" s="416" t="s">
        <v>101</v>
      </c>
      <c r="C137" s="417" t="s">
        <v>0</v>
      </c>
      <c r="D137" s="417" t="s">
        <v>543</v>
      </c>
      <c r="E137" s="23" t="s">
        <v>547</v>
      </c>
      <c r="F137" s="375">
        <v>8.0</v>
      </c>
      <c r="G137" s="387">
        <v>29.0</v>
      </c>
      <c r="H137" s="26">
        <f t="shared" si="12"/>
        <v>232</v>
      </c>
      <c r="I137" s="82" t="s">
        <v>303</v>
      </c>
      <c r="J137" s="58" t="s">
        <v>438</v>
      </c>
      <c r="K137" s="29">
        <v>43536.0</v>
      </c>
      <c r="L137" s="30"/>
      <c r="M137" s="298" t="s">
        <v>1324</v>
      </c>
      <c r="N137" s="93" t="s">
        <v>2190</v>
      </c>
      <c r="O137" s="408"/>
      <c r="P137" s="408"/>
      <c r="Q137" s="408"/>
      <c r="R137" s="408"/>
      <c r="S137" s="408">
        <v>3150.0</v>
      </c>
      <c r="T137" s="408"/>
      <c r="U137" s="306"/>
      <c r="V137" s="306"/>
      <c r="W137" s="306"/>
      <c r="X137" s="406"/>
      <c r="Y137" s="306"/>
      <c r="Z137" s="306" t="s">
        <v>1984</v>
      </c>
      <c r="AA137" s="306">
        <v>3.4557796E9</v>
      </c>
      <c r="AB137" s="306"/>
      <c r="AC137" s="306"/>
      <c r="AD137" s="306"/>
      <c r="AE137" s="298"/>
      <c r="AF137" s="298">
        <v>30.79</v>
      </c>
      <c r="AG137" s="299"/>
      <c r="AH137" s="300">
        <v>43587.0</v>
      </c>
      <c r="AI137" s="299" t="s">
        <v>1987</v>
      </c>
      <c r="AJ137" s="299" t="s">
        <v>1988</v>
      </c>
      <c r="AK137" s="298" t="s">
        <v>50</v>
      </c>
      <c r="AL137" s="24" t="s">
        <v>285</v>
      </c>
      <c r="AM137" s="298" t="s">
        <v>286</v>
      </c>
      <c r="AN137" s="298" t="s">
        <v>52</v>
      </c>
      <c r="AO137" s="234" t="s">
        <v>305</v>
      </c>
    </row>
    <row r="138" ht="15.75" customHeight="1">
      <c r="A138" s="110">
        <v>43489.0</v>
      </c>
      <c r="B138" s="314" t="s">
        <v>548</v>
      </c>
      <c r="C138" s="314" t="s">
        <v>549</v>
      </c>
      <c r="D138" s="314" t="s">
        <v>550</v>
      </c>
      <c r="E138" s="23" t="s">
        <v>551</v>
      </c>
      <c r="F138" s="390">
        <v>3.0</v>
      </c>
      <c r="G138" s="418">
        <v>2516.0</v>
      </c>
      <c r="H138" s="255">
        <f t="shared" si="12"/>
        <v>7548</v>
      </c>
      <c r="I138" s="266" t="s">
        <v>303</v>
      </c>
      <c r="J138" s="369" t="s">
        <v>552</v>
      </c>
      <c r="K138" s="258">
        <v>43515.0</v>
      </c>
      <c r="L138" s="258">
        <v>43509.0</v>
      </c>
      <c r="M138" s="403" t="s">
        <v>2078</v>
      </c>
      <c r="N138" s="252" t="s">
        <v>2191</v>
      </c>
      <c r="O138" s="310"/>
      <c r="P138" s="600"/>
      <c r="Q138" s="600"/>
      <c r="R138" s="579"/>
      <c r="S138" s="579">
        <v>214011.0</v>
      </c>
      <c r="T138" s="310" t="s">
        <v>2080</v>
      </c>
      <c r="U138" s="260">
        <v>43585.0</v>
      </c>
      <c r="V138" s="260">
        <v>43508.0</v>
      </c>
      <c r="W138" s="261" t="s">
        <v>553</v>
      </c>
      <c r="X138" s="272">
        <v>214011.0</v>
      </c>
      <c r="Y138" s="370">
        <v>43588.0</v>
      </c>
      <c r="Z138" s="331" t="s">
        <v>2192</v>
      </c>
      <c r="AA138" s="310">
        <v>6.177661884E9</v>
      </c>
      <c r="AB138" s="331"/>
      <c r="AC138" s="331"/>
      <c r="AD138" s="331"/>
      <c r="AE138" s="253"/>
      <c r="AF138" s="253"/>
      <c r="AG138" s="262"/>
      <c r="AH138" s="253"/>
      <c r="AI138" s="262"/>
      <c r="AJ138" s="262"/>
      <c r="AK138" s="253" t="s">
        <v>50</v>
      </c>
      <c r="AL138" s="253" t="s">
        <v>285</v>
      </c>
      <c r="AM138" s="253" t="s">
        <v>51</v>
      </c>
      <c r="AN138" s="253" t="s">
        <v>52</v>
      </c>
      <c r="AO138" s="264" t="s">
        <v>398</v>
      </c>
    </row>
    <row r="139" ht="15.75" customHeight="1">
      <c r="A139" s="110">
        <v>43490.0</v>
      </c>
      <c r="B139" s="419" t="s">
        <v>77</v>
      </c>
      <c r="C139" s="419">
        <v>53.0</v>
      </c>
      <c r="D139" s="419" t="s">
        <v>554</v>
      </c>
      <c r="E139" s="23" t="s">
        <v>555</v>
      </c>
      <c r="F139" s="375">
        <v>50.0</v>
      </c>
      <c r="G139" s="420">
        <v>2.5</v>
      </c>
      <c r="H139" s="26">
        <f t="shared" ref="H139:H176" si="13">G139*F139</f>
        <v>125</v>
      </c>
      <c r="I139" s="298" t="s">
        <v>43</v>
      </c>
      <c r="J139" s="58" t="s">
        <v>316</v>
      </c>
      <c r="K139" s="29">
        <v>43550.0</v>
      </c>
      <c r="L139" s="29">
        <v>43544.0</v>
      </c>
      <c r="M139" s="50" t="s">
        <v>2039</v>
      </c>
      <c r="N139" s="93" t="s">
        <v>2193</v>
      </c>
      <c r="O139" s="408"/>
      <c r="P139" s="408"/>
      <c r="Q139" s="408"/>
      <c r="R139" s="627"/>
      <c r="S139" s="627">
        <v>2730.0</v>
      </c>
      <c r="T139" s="22" t="s">
        <v>2194</v>
      </c>
      <c r="U139" s="295">
        <v>43560.0</v>
      </c>
      <c r="V139" s="295">
        <v>43531.0</v>
      </c>
      <c r="W139" s="296" t="s">
        <v>556</v>
      </c>
      <c r="X139" s="297" t="s">
        <v>2195</v>
      </c>
      <c r="Y139" s="295">
        <v>43564.0</v>
      </c>
      <c r="Z139" s="306" t="s">
        <v>2196</v>
      </c>
      <c r="AA139" s="306">
        <v>2.5826325E8</v>
      </c>
      <c r="AB139" s="306"/>
      <c r="AC139" s="306"/>
      <c r="AD139" s="306"/>
      <c r="AE139" s="298"/>
      <c r="AF139" s="298">
        <v>30.825</v>
      </c>
      <c r="AG139" s="299"/>
      <c r="AH139" s="300">
        <v>43580.0</v>
      </c>
      <c r="AI139" s="299">
        <f>1931*30.86</f>
        <v>59590.66</v>
      </c>
      <c r="AJ139" s="299">
        <v>0.0</v>
      </c>
      <c r="AK139" s="298" t="s">
        <v>50</v>
      </c>
      <c r="AL139" s="24" t="s">
        <v>285</v>
      </c>
      <c r="AM139" s="298" t="s">
        <v>51</v>
      </c>
      <c r="AN139" s="298" t="s">
        <v>52</v>
      </c>
      <c r="AO139" s="234" t="s">
        <v>305</v>
      </c>
    </row>
    <row r="140" ht="15.75" customHeight="1">
      <c r="A140" s="110">
        <v>43490.0</v>
      </c>
      <c r="B140" s="314" t="s">
        <v>406</v>
      </c>
      <c r="C140" s="314">
        <v>7.000144555E9</v>
      </c>
      <c r="D140" s="314" t="s">
        <v>557</v>
      </c>
      <c r="E140" s="23" t="s">
        <v>558</v>
      </c>
      <c r="F140" s="390">
        <v>2.0</v>
      </c>
      <c r="G140" s="418">
        <v>148.0</v>
      </c>
      <c r="H140" s="255">
        <f t="shared" si="13"/>
        <v>296</v>
      </c>
      <c r="I140" s="266" t="s">
        <v>43</v>
      </c>
      <c r="J140" s="266" t="s">
        <v>520</v>
      </c>
      <c r="K140" s="258">
        <v>43496.0</v>
      </c>
      <c r="L140" s="601">
        <v>43495.0</v>
      </c>
      <c r="M140" s="403" t="s">
        <v>2078</v>
      </c>
      <c r="N140" s="252" t="s">
        <v>2197</v>
      </c>
      <c r="O140" s="310"/>
      <c r="P140" s="600"/>
      <c r="Q140" s="600"/>
      <c r="R140" s="579"/>
      <c r="S140" s="579">
        <v>8194.0</v>
      </c>
      <c r="T140" s="310" t="s">
        <v>2080</v>
      </c>
      <c r="U140" s="260">
        <v>43585.0</v>
      </c>
      <c r="V140" s="260">
        <v>43494.0</v>
      </c>
      <c r="W140" s="261" t="s">
        <v>559</v>
      </c>
      <c r="X140" s="272">
        <v>14955.0</v>
      </c>
      <c r="Y140" s="370">
        <v>43588.0</v>
      </c>
      <c r="Z140" s="331" t="s">
        <v>2162</v>
      </c>
      <c r="AA140" s="331" t="s">
        <v>2163</v>
      </c>
      <c r="AB140" s="331"/>
      <c r="AC140" s="331"/>
      <c r="AD140" s="331"/>
      <c r="AE140" s="253" t="s">
        <v>284</v>
      </c>
      <c r="AF140" s="253"/>
      <c r="AG140" s="262"/>
      <c r="AH140" s="253"/>
      <c r="AI140" s="262"/>
      <c r="AJ140" s="262"/>
      <c r="AK140" s="253" t="s">
        <v>50</v>
      </c>
      <c r="AL140" s="253" t="s">
        <v>285</v>
      </c>
      <c r="AM140" s="253" t="s">
        <v>51</v>
      </c>
      <c r="AN140" s="253" t="s">
        <v>52</v>
      </c>
      <c r="AO140" s="264"/>
    </row>
    <row r="141" ht="15.75" customHeight="1">
      <c r="A141" s="110">
        <v>43490.0</v>
      </c>
      <c r="B141" s="314" t="s">
        <v>406</v>
      </c>
      <c r="C141" s="314">
        <v>7.000144555E9</v>
      </c>
      <c r="D141" s="314" t="s">
        <v>557</v>
      </c>
      <c r="E141" s="23" t="s">
        <v>481</v>
      </c>
      <c r="F141" s="390">
        <v>1.0</v>
      </c>
      <c r="G141" s="418">
        <v>137.0</v>
      </c>
      <c r="H141" s="255">
        <f t="shared" si="13"/>
        <v>137</v>
      </c>
      <c r="I141" s="266" t="s">
        <v>43</v>
      </c>
      <c r="J141" s="266" t="s">
        <v>520</v>
      </c>
      <c r="K141" s="258">
        <v>43496.0</v>
      </c>
      <c r="L141" s="601">
        <v>43495.0</v>
      </c>
      <c r="M141" s="403" t="s">
        <v>2078</v>
      </c>
      <c r="N141" s="252" t="s">
        <v>2197</v>
      </c>
      <c r="O141" s="310"/>
      <c r="P141" s="600"/>
      <c r="Q141" s="600"/>
      <c r="R141" s="579"/>
      <c r="S141" s="579">
        <v>3779.0</v>
      </c>
      <c r="T141" s="310" t="s">
        <v>2080</v>
      </c>
      <c r="U141" s="260">
        <v>43585.0</v>
      </c>
      <c r="V141" s="260">
        <v>43494.0</v>
      </c>
      <c r="W141" s="261" t="s">
        <v>559</v>
      </c>
      <c r="X141" s="272" t="s">
        <v>2198</v>
      </c>
      <c r="Y141" s="370">
        <v>43588.0</v>
      </c>
      <c r="Z141" s="331" t="s">
        <v>2162</v>
      </c>
      <c r="AA141" s="331" t="s">
        <v>2163</v>
      </c>
      <c r="AB141" s="331"/>
      <c r="AC141" s="331"/>
      <c r="AD141" s="331"/>
      <c r="AE141" s="253" t="s">
        <v>284</v>
      </c>
      <c r="AF141" s="253"/>
      <c r="AG141" s="262"/>
      <c r="AH141" s="253"/>
      <c r="AI141" s="262"/>
      <c r="AJ141" s="262"/>
      <c r="AK141" s="253" t="s">
        <v>50</v>
      </c>
      <c r="AL141" s="253" t="s">
        <v>285</v>
      </c>
      <c r="AM141" s="253" t="s">
        <v>51</v>
      </c>
      <c r="AN141" s="253" t="s">
        <v>52</v>
      </c>
      <c r="AO141" s="264"/>
    </row>
    <row r="142" ht="15.75" customHeight="1">
      <c r="A142" s="110">
        <v>43490.0</v>
      </c>
      <c r="B142" s="314" t="s">
        <v>406</v>
      </c>
      <c r="C142" s="314">
        <v>7.000144555E9</v>
      </c>
      <c r="D142" s="314" t="s">
        <v>557</v>
      </c>
      <c r="E142" s="23" t="s">
        <v>408</v>
      </c>
      <c r="F142" s="390">
        <v>2.0</v>
      </c>
      <c r="G142" s="418">
        <v>54.0</v>
      </c>
      <c r="H142" s="255">
        <f t="shared" si="13"/>
        <v>108</v>
      </c>
      <c r="I142" s="266" t="s">
        <v>43</v>
      </c>
      <c r="J142" s="266" t="s">
        <v>520</v>
      </c>
      <c r="K142" s="258">
        <v>43496.0</v>
      </c>
      <c r="L142" s="601">
        <v>43495.0</v>
      </c>
      <c r="M142" s="403" t="s">
        <v>2078</v>
      </c>
      <c r="N142" s="252" t="s">
        <v>2197</v>
      </c>
      <c r="O142" s="310"/>
      <c r="P142" s="600"/>
      <c r="Q142" s="600"/>
      <c r="R142" s="579"/>
      <c r="S142" s="579">
        <v>2982.0</v>
      </c>
      <c r="T142" s="310" t="s">
        <v>2080</v>
      </c>
      <c r="U142" s="260">
        <v>43585.0</v>
      </c>
      <c r="V142" s="260">
        <v>43494.0</v>
      </c>
      <c r="W142" s="261" t="s">
        <v>559</v>
      </c>
      <c r="X142" s="272" t="s">
        <v>2198</v>
      </c>
      <c r="Y142" s="370">
        <v>43588.0</v>
      </c>
      <c r="Z142" s="331" t="s">
        <v>2162</v>
      </c>
      <c r="AA142" s="331" t="s">
        <v>2163</v>
      </c>
      <c r="AB142" s="331"/>
      <c r="AC142" s="331"/>
      <c r="AD142" s="331"/>
      <c r="AE142" s="253" t="s">
        <v>284</v>
      </c>
      <c r="AF142" s="253"/>
      <c r="AG142" s="262"/>
      <c r="AH142" s="253"/>
      <c r="AI142" s="262"/>
      <c r="AJ142" s="262"/>
      <c r="AK142" s="253" t="s">
        <v>50</v>
      </c>
      <c r="AL142" s="253" t="s">
        <v>285</v>
      </c>
      <c r="AM142" s="253" t="s">
        <v>51</v>
      </c>
      <c r="AN142" s="253" t="s">
        <v>52</v>
      </c>
      <c r="AO142" s="264"/>
    </row>
    <row r="143" ht="15.75" customHeight="1">
      <c r="A143" s="110">
        <v>43490.0</v>
      </c>
      <c r="B143" s="314" t="s">
        <v>560</v>
      </c>
      <c r="C143" s="314"/>
      <c r="D143" s="314" t="s">
        <v>561</v>
      </c>
      <c r="E143" s="23" t="s">
        <v>562</v>
      </c>
      <c r="F143" s="390">
        <v>1.0</v>
      </c>
      <c r="G143" s="418">
        <v>3497.6</v>
      </c>
      <c r="H143" s="255">
        <f t="shared" si="13"/>
        <v>3497.6</v>
      </c>
      <c r="I143" s="266" t="s">
        <v>303</v>
      </c>
      <c r="J143" s="403" t="s">
        <v>563</v>
      </c>
      <c r="K143" s="258">
        <v>43496.0</v>
      </c>
      <c r="L143" s="631"/>
      <c r="M143" s="604"/>
      <c r="N143" s="602"/>
      <c r="O143" s="600"/>
      <c r="P143" s="600"/>
      <c r="Q143" s="600"/>
      <c r="R143" s="600"/>
      <c r="S143" s="600"/>
      <c r="T143" s="330"/>
      <c r="U143" s="339"/>
      <c r="V143" s="331"/>
      <c r="W143" s="331"/>
      <c r="X143" s="404"/>
      <c r="Y143" s="331"/>
      <c r="Z143" s="331" t="s">
        <v>2199</v>
      </c>
      <c r="AA143" s="331" t="s">
        <v>2200</v>
      </c>
      <c r="AB143" s="331"/>
      <c r="AC143" s="331">
        <v>111130.0</v>
      </c>
      <c r="AD143" s="606">
        <v>43495.0</v>
      </c>
      <c r="AE143" s="253" t="s">
        <v>377</v>
      </c>
      <c r="AF143" s="253"/>
      <c r="AG143" s="262"/>
      <c r="AH143" s="253"/>
      <c r="AI143" s="262"/>
      <c r="AJ143" s="262"/>
      <c r="AK143" s="253" t="s">
        <v>50</v>
      </c>
      <c r="AL143" s="253" t="s">
        <v>285</v>
      </c>
      <c r="AM143" s="253" t="s">
        <v>51</v>
      </c>
      <c r="AN143" s="253" t="s">
        <v>377</v>
      </c>
      <c r="AO143" s="264"/>
    </row>
    <row r="144" ht="15.75" customHeight="1">
      <c r="A144" s="110">
        <v>43490.0</v>
      </c>
      <c r="B144" s="252" t="s">
        <v>119</v>
      </c>
      <c r="C144" s="252" t="s">
        <v>536</v>
      </c>
      <c r="D144" s="252" t="s">
        <v>564</v>
      </c>
      <c r="E144" s="23" t="s">
        <v>166</v>
      </c>
      <c r="F144" s="393">
        <v>4.0</v>
      </c>
      <c r="G144" s="254">
        <v>880.0</v>
      </c>
      <c r="H144" s="332">
        <f t="shared" si="13"/>
        <v>3520</v>
      </c>
      <c r="I144" s="266" t="s">
        <v>171</v>
      </c>
      <c r="J144" s="266" t="s">
        <v>122</v>
      </c>
      <c r="K144" s="258">
        <v>43521.0</v>
      </c>
      <c r="L144" s="258">
        <v>43518.0</v>
      </c>
      <c r="M144" s="369" t="s">
        <v>90</v>
      </c>
      <c r="N144" s="422" t="s">
        <v>2201</v>
      </c>
      <c r="O144" s="310"/>
      <c r="P144" s="310"/>
      <c r="Q144" s="310">
        <v>3139.5</v>
      </c>
      <c r="R144" s="600"/>
      <c r="S144" s="600"/>
      <c r="T144" s="578" t="s">
        <v>94</v>
      </c>
      <c r="U144" s="260">
        <v>43555.0</v>
      </c>
      <c r="V144" s="260">
        <v>43517.0</v>
      </c>
      <c r="W144" s="261" t="s">
        <v>565</v>
      </c>
      <c r="X144" s="272">
        <v>262277.0</v>
      </c>
      <c r="Y144" s="260">
        <v>43557.0</v>
      </c>
      <c r="Z144" s="331" t="s">
        <v>2202</v>
      </c>
      <c r="AA144" s="405" t="s">
        <v>2203</v>
      </c>
      <c r="AB144" s="331"/>
      <c r="AC144" s="331"/>
      <c r="AD144" s="331"/>
      <c r="AE144" s="253" t="s">
        <v>284</v>
      </c>
      <c r="AF144" s="253"/>
      <c r="AG144" s="262"/>
      <c r="AH144" s="307"/>
      <c r="AI144" s="262"/>
      <c r="AJ144" s="262"/>
      <c r="AK144" s="253" t="s">
        <v>50</v>
      </c>
      <c r="AL144" s="253" t="s">
        <v>285</v>
      </c>
      <c r="AM144" s="253" t="s">
        <v>51</v>
      </c>
      <c r="AN144" s="253" t="s">
        <v>52</v>
      </c>
      <c r="AO144" s="264"/>
    </row>
    <row r="145" ht="15.75" customHeight="1">
      <c r="A145" s="110">
        <v>43490.0</v>
      </c>
      <c r="B145" s="265" t="s">
        <v>119</v>
      </c>
      <c r="C145" s="252" t="s">
        <v>536</v>
      </c>
      <c r="D145" s="252" t="s">
        <v>564</v>
      </c>
      <c r="E145" s="23" t="s">
        <v>566</v>
      </c>
      <c r="F145" s="393">
        <v>40.0</v>
      </c>
      <c r="G145" s="254">
        <v>105.0</v>
      </c>
      <c r="H145" s="332">
        <f t="shared" si="13"/>
        <v>4200</v>
      </c>
      <c r="I145" s="266" t="s">
        <v>171</v>
      </c>
      <c r="J145" s="256" t="s">
        <v>122</v>
      </c>
      <c r="K145" s="258">
        <v>43521.0</v>
      </c>
      <c r="L145" s="258">
        <v>43518.0</v>
      </c>
      <c r="M145" s="369" t="s">
        <v>90</v>
      </c>
      <c r="N145" s="422" t="s">
        <v>2201</v>
      </c>
      <c r="O145" s="310"/>
      <c r="P145" s="310"/>
      <c r="Q145" s="310">
        <v>3444.0</v>
      </c>
      <c r="R145" s="600"/>
      <c r="S145" s="600"/>
      <c r="T145" s="636" t="s">
        <v>94</v>
      </c>
      <c r="U145" s="260">
        <v>43555.0</v>
      </c>
      <c r="V145" s="260">
        <v>43517.0</v>
      </c>
      <c r="W145" s="261" t="s">
        <v>565</v>
      </c>
      <c r="X145" s="272" t="s">
        <v>2204</v>
      </c>
      <c r="Y145" s="260">
        <v>43557.0</v>
      </c>
      <c r="Z145" s="331" t="s">
        <v>2202</v>
      </c>
      <c r="AA145" s="331" t="s">
        <v>2203</v>
      </c>
      <c r="AB145" s="331"/>
      <c r="AC145" s="331"/>
      <c r="AD145" s="331"/>
      <c r="AE145" s="253" t="s">
        <v>284</v>
      </c>
      <c r="AF145" s="253"/>
      <c r="AG145" s="262"/>
      <c r="AH145" s="307"/>
      <c r="AI145" s="262"/>
      <c r="AJ145" s="262"/>
      <c r="AK145" s="253" t="s">
        <v>50</v>
      </c>
      <c r="AL145" s="253" t="s">
        <v>285</v>
      </c>
      <c r="AM145" s="253" t="s">
        <v>51</v>
      </c>
      <c r="AN145" s="253" t="s">
        <v>52</v>
      </c>
      <c r="AO145" s="264"/>
    </row>
    <row r="146" ht="15.75" customHeight="1">
      <c r="A146" s="110">
        <v>43490.0</v>
      </c>
      <c r="B146" s="265" t="s">
        <v>119</v>
      </c>
      <c r="C146" s="252" t="s">
        <v>536</v>
      </c>
      <c r="D146" s="252" t="s">
        <v>564</v>
      </c>
      <c r="E146" s="23" t="s">
        <v>152</v>
      </c>
      <c r="F146" s="393">
        <v>2.0</v>
      </c>
      <c r="G146" s="254">
        <v>1045.0</v>
      </c>
      <c r="H146" s="332">
        <f t="shared" si="13"/>
        <v>2090</v>
      </c>
      <c r="I146" s="266" t="s">
        <v>171</v>
      </c>
      <c r="J146" s="266" t="s">
        <v>122</v>
      </c>
      <c r="K146" s="258">
        <v>43521.0</v>
      </c>
      <c r="L146" s="258">
        <v>43518.0</v>
      </c>
      <c r="M146" s="369" t="s">
        <v>90</v>
      </c>
      <c r="N146" s="422" t="s">
        <v>2201</v>
      </c>
      <c r="O146" s="310"/>
      <c r="P146" s="310"/>
      <c r="Q146" s="310">
        <v>1932.0</v>
      </c>
      <c r="R146" s="600"/>
      <c r="S146" s="600"/>
      <c r="T146" s="578" t="s">
        <v>94</v>
      </c>
      <c r="U146" s="260">
        <v>43555.0</v>
      </c>
      <c r="V146" s="260">
        <v>43517.0</v>
      </c>
      <c r="W146" s="261" t="s">
        <v>565</v>
      </c>
      <c r="X146" s="272" t="s">
        <v>2204</v>
      </c>
      <c r="Y146" s="260">
        <v>43557.0</v>
      </c>
      <c r="Z146" s="331" t="s">
        <v>2202</v>
      </c>
      <c r="AA146" s="331" t="s">
        <v>2203</v>
      </c>
      <c r="AB146" s="331"/>
      <c r="AC146" s="331"/>
      <c r="AD146" s="331"/>
      <c r="AE146" s="253" t="s">
        <v>284</v>
      </c>
      <c r="AF146" s="253"/>
      <c r="AG146" s="262"/>
      <c r="AH146" s="307"/>
      <c r="AI146" s="262"/>
      <c r="AJ146" s="262"/>
      <c r="AK146" s="253" t="s">
        <v>50</v>
      </c>
      <c r="AL146" s="253" t="s">
        <v>285</v>
      </c>
      <c r="AM146" s="253" t="s">
        <v>51</v>
      </c>
      <c r="AN146" s="253" t="s">
        <v>52</v>
      </c>
      <c r="AO146" s="264"/>
    </row>
    <row r="147" ht="15.75" customHeight="1">
      <c r="A147" s="110">
        <v>43490.0</v>
      </c>
      <c r="B147" s="70" t="s">
        <v>119</v>
      </c>
      <c r="C147" s="21" t="s">
        <v>536</v>
      </c>
      <c r="D147" s="21" t="s">
        <v>567</v>
      </c>
      <c r="E147" s="23" t="s">
        <v>152</v>
      </c>
      <c r="F147" s="421">
        <v>4.0</v>
      </c>
      <c r="G147" s="48">
        <v>1045.0</v>
      </c>
      <c r="H147" s="26">
        <f t="shared" si="13"/>
        <v>4180</v>
      </c>
      <c r="I147" s="298" t="s">
        <v>171</v>
      </c>
      <c r="J147" s="82" t="s">
        <v>122</v>
      </c>
      <c r="K147" s="29">
        <v>43532.0</v>
      </c>
      <c r="L147" s="29">
        <v>43531.0</v>
      </c>
      <c r="M147" s="63" t="s">
        <v>90</v>
      </c>
      <c r="N147" s="93" t="s">
        <v>2205</v>
      </c>
      <c r="O147" s="408"/>
      <c r="P147" s="408"/>
      <c r="Q147" s="408">
        <v>3864.0</v>
      </c>
      <c r="R147" s="408"/>
      <c r="S147" s="408">
        <v>118779.0</v>
      </c>
      <c r="T147" s="35" t="s">
        <v>94</v>
      </c>
      <c r="U147" s="295">
        <v>43585.0</v>
      </c>
      <c r="V147" s="295">
        <v>43531.0</v>
      </c>
      <c r="W147" s="296" t="s">
        <v>568</v>
      </c>
      <c r="X147" s="297">
        <v>118779.0</v>
      </c>
      <c r="Y147" s="302">
        <v>43586.0</v>
      </c>
      <c r="Z147" s="53" t="s">
        <v>2185</v>
      </c>
      <c r="AA147" s="53" t="s">
        <v>2186</v>
      </c>
      <c r="AB147" s="53"/>
      <c r="AC147" s="53"/>
      <c r="AD147" s="53"/>
      <c r="AE147" s="54" t="s">
        <v>540</v>
      </c>
      <c r="AF147" s="54">
        <v>30.74</v>
      </c>
      <c r="AG147" s="55"/>
      <c r="AH147" s="68" t="s">
        <v>569</v>
      </c>
      <c r="AI147" s="55">
        <f>3931.5*30.783</f>
        <v>121023.3645</v>
      </c>
      <c r="AJ147" s="55">
        <f>(3950-3931.5)*30.783</f>
        <v>569.4855</v>
      </c>
      <c r="AK147" s="54" t="s">
        <v>50</v>
      </c>
      <c r="AL147" s="24" t="s">
        <v>285</v>
      </c>
      <c r="AM147" s="54" t="s">
        <v>51</v>
      </c>
      <c r="AN147" s="54" t="s">
        <v>52</v>
      </c>
      <c r="AO147" s="57" t="s">
        <v>398</v>
      </c>
    </row>
    <row r="148" ht="15.75" customHeight="1">
      <c r="A148" s="110">
        <v>43490.0</v>
      </c>
      <c r="B148" s="265" t="s">
        <v>119</v>
      </c>
      <c r="C148" s="252" t="s">
        <v>536</v>
      </c>
      <c r="D148" s="252" t="s">
        <v>570</v>
      </c>
      <c r="E148" s="23" t="s">
        <v>571</v>
      </c>
      <c r="F148" s="393">
        <v>20.0</v>
      </c>
      <c r="G148" s="254">
        <v>350.0</v>
      </c>
      <c r="H148" s="332">
        <f t="shared" si="13"/>
        <v>7000</v>
      </c>
      <c r="I148" s="266" t="s">
        <v>171</v>
      </c>
      <c r="J148" s="266" t="s">
        <v>122</v>
      </c>
      <c r="K148" s="258">
        <v>43532.0</v>
      </c>
      <c r="L148" s="258">
        <v>43532.0</v>
      </c>
      <c r="M148" s="403" t="s">
        <v>54</v>
      </c>
      <c r="N148" s="252" t="s">
        <v>2206</v>
      </c>
      <c r="O148" s="310"/>
      <c r="P148" s="310"/>
      <c r="Q148" s="310">
        <v>6552.0</v>
      </c>
      <c r="R148" s="600"/>
      <c r="S148" s="600"/>
      <c r="T148" s="604" t="s">
        <v>2207</v>
      </c>
      <c r="U148" s="260">
        <v>43585.0</v>
      </c>
      <c r="V148" s="260">
        <v>43536.0</v>
      </c>
      <c r="W148" s="261" t="s">
        <v>572</v>
      </c>
      <c r="X148" s="272">
        <v>202424.0</v>
      </c>
      <c r="Y148" s="370">
        <v>43588.0</v>
      </c>
      <c r="Z148" s="331" t="s">
        <v>2185</v>
      </c>
      <c r="AA148" s="331" t="s">
        <v>2186</v>
      </c>
      <c r="AB148" s="331"/>
      <c r="AC148" s="331"/>
      <c r="AD148" s="331"/>
      <c r="AE148" s="253" t="s">
        <v>284</v>
      </c>
      <c r="AF148" s="253">
        <v>30.74</v>
      </c>
      <c r="AG148" s="262"/>
      <c r="AH148" s="307"/>
      <c r="AI148" s="262"/>
      <c r="AJ148" s="262"/>
      <c r="AK148" s="253" t="s">
        <v>50</v>
      </c>
      <c r="AL148" s="253" t="s">
        <v>285</v>
      </c>
      <c r="AM148" s="253" t="s">
        <v>51</v>
      </c>
      <c r="AN148" s="253" t="s">
        <v>52</v>
      </c>
      <c r="AO148" s="264"/>
    </row>
    <row r="149" ht="15.75" customHeight="1">
      <c r="A149" s="110">
        <v>43490.0</v>
      </c>
      <c r="B149" s="265" t="s">
        <v>119</v>
      </c>
      <c r="C149" s="252" t="s">
        <v>536</v>
      </c>
      <c r="D149" s="252" t="s">
        <v>573</v>
      </c>
      <c r="E149" s="23" t="s">
        <v>571</v>
      </c>
      <c r="F149" s="393">
        <v>20.0</v>
      </c>
      <c r="G149" s="254">
        <v>350.0</v>
      </c>
      <c r="H149" s="332">
        <f t="shared" si="13"/>
        <v>7000</v>
      </c>
      <c r="I149" s="266" t="s">
        <v>171</v>
      </c>
      <c r="J149" s="266" t="s">
        <v>122</v>
      </c>
      <c r="K149" s="258">
        <v>43532.0</v>
      </c>
      <c r="L149" s="258">
        <v>43532.0</v>
      </c>
      <c r="M149" s="403" t="s">
        <v>54</v>
      </c>
      <c r="N149" s="252" t="s">
        <v>2208</v>
      </c>
      <c r="O149" s="310"/>
      <c r="P149" s="310"/>
      <c r="Q149" s="310">
        <v>6552.0</v>
      </c>
      <c r="R149" s="600"/>
      <c r="S149" s="600"/>
      <c r="T149" s="604" t="s">
        <v>2207</v>
      </c>
      <c r="U149" s="260">
        <v>43585.0</v>
      </c>
      <c r="V149" s="260">
        <v>43536.0</v>
      </c>
      <c r="W149" s="261" t="s">
        <v>574</v>
      </c>
      <c r="X149" s="272">
        <v>202424.0</v>
      </c>
      <c r="Y149" s="370">
        <v>43588.0</v>
      </c>
      <c r="Z149" s="331" t="s">
        <v>2185</v>
      </c>
      <c r="AA149" s="331" t="s">
        <v>2186</v>
      </c>
      <c r="AB149" s="331"/>
      <c r="AC149" s="331"/>
      <c r="AD149" s="331"/>
      <c r="AE149" s="253" t="s">
        <v>284</v>
      </c>
      <c r="AF149" s="253">
        <v>30.74</v>
      </c>
      <c r="AG149" s="262"/>
      <c r="AH149" s="307"/>
      <c r="AI149" s="262"/>
      <c r="AJ149" s="262"/>
      <c r="AK149" s="253" t="s">
        <v>50</v>
      </c>
      <c r="AL149" s="253" t="s">
        <v>285</v>
      </c>
      <c r="AM149" s="253" t="s">
        <v>51</v>
      </c>
      <c r="AN149" s="253" t="s">
        <v>52</v>
      </c>
      <c r="AO149" s="264"/>
    </row>
    <row r="150" ht="15.75" customHeight="1">
      <c r="A150" s="110">
        <v>43492.0</v>
      </c>
      <c r="B150" s="252" t="s">
        <v>77</v>
      </c>
      <c r="C150" s="252"/>
      <c r="D150" s="252" t="s">
        <v>575</v>
      </c>
      <c r="E150" s="23" t="s">
        <v>318</v>
      </c>
      <c r="F150" s="253">
        <v>10.0</v>
      </c>
      <c r="G150" s="254">
        <v>0.0</v>
      </c>
      <c r="H150" s="255">
        <f t="shared" si="13"/>
        <v>0</v>
      </c>
      <c r="I150" s="266" t="s">
        <v>43</v>
      </c>
      <c r="J150" s="257" t="s">
        <v>576</v>
      </c>
      <c r="K150" s="258">
        <v>43496.0</v>
      </c>
      <c r="L150" s="258">
        <v>43495.0</v>
      </c>
      <c r="M150" s="369" t="s">
        <v>1998</v>
      </c>
      <c r="N150" s="602" t="s">
        <v>2209</v>
      </c>
      <c r="O150" s="310"/>
      <c r="P150" s="310"/>
      <c r="Q150" s="310">
        <v>2310.0</v>
      </c>
      <c r="R150" s="310"/>
      <c r="S150" s="310"/>
      <c r="T150" s="320" t="s">
        <v>2000</v>
      </c>
      <c r="U150" s="260">
        <v>43555.0</v>
      </c>
      <c r="V150" s="260">
        <v>43495.0</v>
      </c>
      <c r="W150" s="261" t="s">
        <v>577</v>
      </c>
      <c r="X150" s="272">
        <v>71125.0</v>
      </c>
      <c r="Y150" s="260">
        <v>43649.0</v>
      </c>
      <c r="Z150" s="331" t="s">
        <v>2210</v>
      </c>
      <c r="AA150" s="331">
        <v>6.23779052E8</v>
      </c>
      <c r="AB150" s="331"/>
      <c r="AC150" s="331"/>
      <c r="AD150" s="331"/>
      <c r="AE150" s="253" t="s">
        <v>578</v>
      </c>
      <c r="AF150" s="253"/>
      <c r="AG150" s="262"/>
      <c r="AH150" s="253"/>
      <c r="AI150" s="262" t="s">
        <v>2004</v>
      </c>
      <c r="AJ150" s="262" t="s">
        <v>2005</v>
      </c>
      <c r="AK150" s="253" t="s">
        <v>50</v>
      </c>
      <c r="AL150" s="253" t="s">
        <v>285</v>
      </c>
      <c r="AM150" s="253" t="s">
        <v>51</v>
      </c>
      <c r="AN150" s="253" t="s">
        <v>52</v>
      </c>
      <c r="AO150" s="264"/>
    </row>
    <row r="151" ht="15.75" customHeight="1">
      <c r="A151" s="110">
        <v>43493.0</v>
      </c>
      <c r="B151" s="252" t="s">
        <v>579</v>
      </c>
      <c r="C151" s="252">
        <v>2.0190128001E10</v>
      </c>
      <c r="D151" s="252" t="s">
        <v>580</v>
      </c>
      <c r="E151" s="23" t="s">
        <v>581</v>
      </c>
      <c r="F151" s="253">
        <v>4.0</v>
      </c>
      <c r="G151" s="325">
        <v>96.6</v>
      </c>
      <c r="H151" s="255">
        <f t="shared" si="13"/>
        <v>386.4</v>
      </c>
      <c r="I151" s="266" t="s">
        <v>171</v>
      </c>
      <c r="J151" s="321" t="s">
        <v>582</v>
      </c>
      <c r="K151" s="258">
        <v>43495.0</v>
      </c>
      <c r="L151" s="601">
        <v>43495.0</v>
      </c>
      <c r="M151" s="369" t="s">
        <v>1439</v>
      </c>
      <c r="N151" s="602" t="s">
        <v>2211</v>
      </c>
      <c r="O151" s="310"/>
      <c r="P151" s="310"/>
      <c r="Q151" s="310">
        <v>336.0</v>
      </c>
      <c r="R151" s="310"/>
      <c r="S151" s="310">
        <v>10346.0</v>
      </c>
      <c r="T151" s="388" t="s">
        <v>2212</v>
      </c>
      <c r="U151" s="396">
        <v>43555.0</v>
      </c>
      <c r="V151" s="370">
        <v>43494.0</v>
      </c>
      <c r="W151" s="261" t="s">
        <v>583</v>
      </c>
      <c r="X151" s="272">
        <v>10346.0</v>
      </c>
      <c r="Y151" s="260">
        <v>43557.0</v>
      </c>
      <c r="Z151" s="331" t="s">
        <v>2213</v>
      </c>
      <c r="AA151" s="331" t="s">
        <v>2214</v>
      </c>
      <c r="AB151" s="331">
        <v>30.0</v>
      </c>
      <c r="AC151" s="331">
        <v>11592.0</v>
      </c>
      <c r="AD151" s="606">
        <v>43494.0</v>
      </c>
      <c r="AE151" s="253"/>
      <c r="AF151" s="253"/>
      <c r="AG151" s="262"/>
      <c r="AH151" s="253"/>
      <c r="AI151" s="262"/>
      <c r="AJ151" s="262"/>
      <c r="AK151" s="253" t="s">
        <v>50</v>
      </c>
      <c r="AL151" s="253" t="s">
        <v>285</v>
      </c>
      <c r="AM151" s="253" t="s">
        <v>51</v>
      </c>
      <c r="AN151" s="253" t="s">
        <v>377</v>
      </c>
      <c r="AO151" s="264"/>
    </row>
    <row r="152" ht="15.75" customHeight="1">
      <c r="A152" s="110">
        <v>43493.0</v>
      </c>
      <c r="B152" s="252" t="s">
        <v>406</v>
      </c>
      <c r="C152" s="252">
        <v>7.000144606E9</v>
      </c>
      <c r="D152" s="252" t="s">
        <v>584</v>
      </c>
      <c r="E152" s="23" t="s">
        <v>585</v>
      </c>
      <c r="F152" s="253">
        <v>3.0</v>
      </c>
      <c r="G152" s="254">
        <v>1069.0</v>
      </c>
      <c r="H152" s="255">
        <f t="shared" si="13"/>
        <v>3207</v>
      </c>
      <c r="I152" s="266" t="s">
        <v>43</v>
      </c>
      <c r="J152" s="257" t="s">
        <v>513</v>
      </c>
      <c r="K152" s="258">
        <v>43510.0</v>
      </c>
      <c r="L152" s="601">
        <v>43509.0</v>
      </c>
      <c r="M152" s="403" t="s">
        <v>2078</v>
      </c>
      <c r="N152" s="422" t="s">
        <v>2215</v>
      </c>
      <c r="O152" s="310"/>
      <c r="P152" s="600"/>
      <c r="Q152" s="600"/>
      <c r="R152" s="637"/>
      <c r="S152" s="637">
        <v>88855.0</v>
      </c>
      <c r="T152" s="320" t="s">
        <v>2080</v>
      </c>
      <c r="U152" s="260">
        <v>43585.0</v>
      </c>
      <c r="V152" s="260">
        <v>43508.0</v>
      </c>
      <c r="W152" s="261" t="s">
        <v>586</v>
      </c>
      <c r="X152" s="272">
        <v>89813.0</v>
      </c>
      <c r="Y152" s="370">
        <v>43588.0</v>
      </c>
      <c r="Z152" s="331" t="s">
        <v>2216</v>
      </c>
      <c r="AA152" s="331">
        <v>2.730290404E9</v>
      </c>
      <c r="AB152" s="331"/>
      <c r="AC152" s="331"/>
      <c r="AD152" s="331"/>
      <c r="AE152" s="253" t="s">
        <v>284</v>
      </c>
      <c r="AF152" s="253"/>
      <c r="AG152" s="262"/>
      <c r="AH152" s="253"/>
      <c r="AI152" s="262"/>
      <c r="AJ152" s="262"/>
      <c r="AK152" s="253" t="s">
        <v>50</v>
      </c>
      <c r="AL152" s="253" t="s">
        <v>285</v>
      </c>
      <c r="AM152" s="253" t="s">
        <v>51</v>
      </c>
      <c r="AN152" s="253" t="s">
        <v>52</v>
      </c>
      <c r="AO152" s="264"/>
    </row>
    <row r="153" ht="15.75" customHeight="1">
      <c r="A153" s="110">
        <v>43493.0</v>
      </c>
      <c r="B153" s="252" t="s">
        <v>406</v>
      </c>
      <c r="C153" s="252">
        <v>7.000144606E9</v>
      </c>
      <c r="D153" s="252" t="s">
        <v>584</v>
      </c>
      <c r="E153" s="23" t="s">
        <v>587</v>
      </c>
      <c r="F153" s="253">
        <v>3.0</v>
      </c>
      <c r="G153" s="254">
        <v>15.0</v>
      </c>
      <c r="H153" s="255">
        <f t="shared" si="13"/>
        <v>45</v>
      </c>
      <c r="I153" s="266" t="s">
        <v>43</v>
      </c>
      <c r="J153" s="257" t="s">
        <v>513</v>
      </c>
      <c r="K153" s="258">
        <v>43510.0</v>
      </c>
      <c r="L153" s="601">
        <v>43509.0</v>
      </c>
      <c r="M153" s="333" t="s">
        <v>2078</v>
      </c>
      <c r="N153" s="422" t="s">
        <v>2215</v>
      </c>
      <c r="O153" s="310"/>
      <c r="P153" s="600"/>
      <c r="Q153" s="600"/>
      <c r="R153" s="637"/>
      <c r="S153" s="637">
        <v>958.0</v>
      </c>
      <c r="T153" s="310" t="s">
        <v>2080</v>
      </c>
      <c r="U153" s="260">
        <v>43585.0</v>
      </c>
      <c r="V153" s="260">
        <v>43508.0</v>
      </c>
      <c r="W153" s="261" t="s">
        <v>586</v>
      </c>
      <c r="X153" s="272" t="s">
        <v>2217</v>
      </c>
      <c r="Y153" s="370">
        <v>43588.0</v>
      </c>
      <c r="Z153" s="331" t="s">
        <v>2216</v>
      </c>
      <c r="AA153" s="331">
        <v>2.730290404E9</v>
      </c>
      <c r="AB153" s="331"/>
      <c r="AC153" s="331"/>
      <c r="AD153" s="331"/>
      <c r="AE153" s="253" t="s">
        <v>284</v>
      </c>
      <c r="AF153" s="253"/>
      <c r="AG153" s="262"/>
      <c r="AH153" s="253"/>
      <c r="AI153" s="262"/>
      <c r="AJ153" s="262"/>
      <c r="AK153" s="253" t="s">
        <v>50</v>
      </c>
      <c r="AL153" s="253" t="s">
        <v>285</v>
      </c>
      <c r="AM153" s="253" t="s">
        <v>51</v>
      </c>
      <c r="AN153" s="253" t="s">
        <v>52</v>
      </c>
      <c r="AO153" s="264"/>
    </row>
    <row r="154" ht="15.75" customHeight="1">
      <c r="A154" s="110">
        <v>43495.0</v>
      </c>
      <c r="B154" s="422" t="s">
        <v>77</v>
      </c>
      <c r="C154" s="252">
        <v>74.0</v>
      </c>
      <c r="D154" s="422" t="s">
        <v>588</v>
      </c>
      <c r="E154" s="23" t="s">
        <v>589</v>
      </c>
      <c r="F154" s="253">
        <v>2.0</v>
      </c>
      <c r="G154" s="254">
        <v>77.0</v>
      </c>
      <c r="H154" s="255">
        <f t="shared" si="13"/>
        <v>154</v>
      </c>
      <c r="I154" s="266" t="s">
        <v>43</v>
      </c>
      <c r="J154" s="257" t="s">
        <v>316</v>
      </c>
      <c r="K154" s="258">
        <v>43496.0</v>
      </c>
      <c r="L154" s="258">
        <v>43468.0</v>
      </c>
      <c r="M154" s="269" t="s">
        <v>2218</v>
      </c>
      <c r="N154" s="602" t="s">
        <v>2219</v>
      </c>
      <c r="O154" s="339"/>
      <c r="P154" s="339"/>
      <c r="Q154" s="339"/>
      <c r="R154" s="637"/>
      <c r="S154" s="637">
        <v>1785.0</v>
      </c>
      <c r="T154" s="604" t="s">
        <v>2220</v>
      </c>
      <c r="U154" s="260">
        <v>43524.0</v>
      </c>
      <c r="V154" s="260">
        <v>43495.0</v>
      </c>
      <c r="W154" s="261" t="s">
        <v>590</v>
      </c>
      <c r="X154" s="272">
        <v>1785.0</v>
      </c>
      <c r="Y154" s="260">
        <v>43531.0</v>
      </c>
      <c r="Z154" s="331" t="s">
        <v>2221</v>
      </c>
      <c r="AA154" s="331">
        <v>6.23766776E8</v>
      </c>
      <c r="AB154" s="331"/>
      <c r="AC154" s="331"/>
      <c r="AD154" s="331"/>
      <c r="AE154" s="253" t="s">
        <v>284</v>
      </c>
      <c r="AF154" s="253"/>
      <c r="AG154" s="262"/>
      <c r="AH154" s="253"/>
      <c r="AI154" s="262"/>
      <c r="AJ154" s="262"/>
      <c r="AK154" s="253" t="s">
        <v>50</v>
      </c>
      <c r="AL154" s="253" t="s">
        <v>285</v>
      </c>
      <c r="AM154" s="253" t="s">
        <v>51</v>
      </c>
      <c r="AN154" s="253" t="s">
        <v>52</v>
      </c>
      <c r="AO154" s="264"/>
    </row>
    <row r="155" ht="15.75" customHeight="1">
      <c r="A155" s="110">
        <v>43495.0</v>
      </c>
      <c r="B155" s="32" t="s">
        <v>591</v>
      </c>
      <c r="C155" s="21"/>
      <c r="D155" s="21" t="s">
        <v>592</v>
      </c>
      <c r="E155" s="23" t="s">
        <v>593</v>
      </c>
      <c r="F155" s="24">
        <v>2.0</v>
      </c>
      <c r="G155" s="48">
        <v>30.0</v>
      </c>
      <c r="H155" s="423">
        <f t="shared" si="13"/>
        <v>60</v>
      </c>
      <c r="I155" s="298" t="s">
        <v>303</v>
      </c>
      <c r="J155" s="424" t="s">
        <v>594</v>
      </c>
      <c r="K155" s="29">
        <v>43522.0</v>
      </c>
      <c r="L155" s="613">
        <v>43157.0</v>
      </c>
      <c r="M155" s="614" t="s">
        <v>2041</v>
      </c>
      <c r="N155" s="615" t="s">
        <v>2222</v>
      </c>
      <c r="O155" s="619"/>
      <c r="P155" s="619"/>
      <c r="Q155" s="619" t="s">
        <v>2223</v>
      </c>
      <c r="R155" s="619"/>
      <c r="S155" s="619">
        <v>1648.0</v>
      </c>
      <c r="T155" s="638" t="s">
        <v>2043</v>
      </c>
      <c r="U155" s="295">
        <v>43534.0</v>
      </c>
      <c r="V155" s="295">
        <v>43522.0</v>
      </c>
      <c r="W155" s="296" t="s">
        <v>595</v>
      </c>
      <c r="X155" s="297">
        <v>1648.0</v>
      </c>
      <c r="Y155" s="295">
        <v>43531.0</v>
      </c>
      <c r="Z155" s="296" t="s">
        <v>2224</v>
      </c>
      <c r="AA155" s="296" t="s">
        <v>2225</v>
      </c>
      <c r="AB155" s="296"/>
      <c r="AC155" s="296"/>
      <c r="AD155" s="296"/>
      <c r="AE155" s="371"/>
      <c r="AF155" s="371"/>
      <c r="AG155" s="372"/>
      <c r="AH155" s="373">
        <v>43630.0</v>
      </c>
      <c r="AI155" s="372">
        <f>1314.64*31.47</f>
        <v>41371.7208</v>
      </c>
      <c r="AJ155" s="372">
        <f>(1346-1314.64)*31.47</f>
        <v>986.8992</v>
      </c>
      <c r="AK155" s="371" t="s">
        <v>50</v>
      </c>
      <c r="AL155" s="371" t="s">
        <v>285</v>
      </c>
      <c r="AM155" s="371" t="s">
        <v>51</v>
      </c>
      <c r="AN155" s="371" t="s">
        <v>52</v>
      </c>
      <c r="AO155" s="374" t="s">
        <v>440</v>
      </c>
    </row>
    <row r="156" ht="15.75" customHeight="1">
      <c r="A156" s="110">
        <v>43496.0</v>
      </c>
      <c r="B156" s="21" t="s">
        <v>119</v>
      </c>
      <c r="C156" s="21" t="s">
        <v>596</v>
      </c>
      <c r="D156" s="21" t="s">
        <v>597</v>
      </c>
      <c r="E156" s="23" t="s">
        <v>121</v>
      </c>
      <c r="F156" s="24">
        <v>50.0</v>
      </c>
      <c r="G156" s="48">
        <v>359.0</v>
      </c>
      <c r="H156" s="26">
        <f t="shared" si="13"/>
        <v>17950</v>
      </c>
      <c r="I156" s="298" t="s">
        <v>171</v>
      </c>
      <c r="J156" s="82" t="s">
        <v>122</v>
      </c>
      <c r="K156" s="29">
        <v>43539.0</v>
      </c>
      <c r="L156" s="29">
        <v>43539.0</v>
      </c>
      <c r="M156" s="63" t="s">
        <v>90</v>
      </c>
      <c r="N156" s="93" t="s">
        <v>2226</v>
      </c>
      <c r="O156" s="408"/>
      <c r="P156" s="408"/>
      <c r="Q156" s="408">
        <v>17430.0</v>
      </c>
      <c r="R156" s="408"/>
      <c r="S156" s="408">
        <v>536670.0</v>
      </c>
      <c r="T156" s="35" t="s">
        <v>94</v>
      </c>
      <c r="U156" s="295">
        <v>43585.0</v>
      </c>
      <c r="V156" s="295">
        <v>43538.0</v>
      </c>
      <c r="W156" s="296" t="s">
        <v>598</v>
      </c>
      <c r="X156" s="297">
        <v>536670.0</v>
      </c>
      <c r="Y156" s="302">
        <v>43586.0</v>
      </c>
      <c r="Z156" s="53" t="s">
        <v>2227</v>
      </c>
      <c r="AA156" s="53" t="s">
        <v>2228</v>
      </c>
      <c r="AB156" s="53"/>
      <c r="AC156" s="53"/>
      <c r="AD156" s="53"/>
      <c r="AE156" s="54" t="s">
        <v>540</v>
      </c>
      <c r="AF156" s="54">
        <v>30.79</v>
      </c>
      <c r="AG156" s="55"/>
      <c r="AH156" s="56">
        <v>43551.0</v>
      </c>
      <c r="AI156" s="55">
        <f>42560.7*30.798</f>
        <v>1310784.439</v>
      </c>
      <c r="AJ156" s="55">
        <f>(42592-42560.7)*30.798</f>
        <v>963.9774</v>
      </c>
      <c r="AK156" s="54" t="s">
        <v>50</v>
      </c>
      <c r="AL156" s="24" t="s">
        <v>285</v>
      </c>
      <c r="AM156" s="54" t="s">
        <v>51</v>
      </c>
      <c r="AN156" s="54" t="s">
        <v>52</v>
      </c>
      <c r="AO156" s="57" t="s">
        <v>398</v>
      </c>
    </row>
    <row r="157" ht="15.75" customHeight="1">
      <c r="A157" s="110">
        <v>43496.0</v>
      </c>
      <c r="B157" s="252" t="s">
        <v>119</v>
      </c>
      <c r="C157" s="252" t="s">
        <v>596</v>
      </c>
      <c r="D157" s="252" t="s">
        <v>599</v>
      </c>
      <c r="E157" s="23" t="s">
        <v>156</v>
      </c>
      <c r="F157" s="253">
        <v>3.0</v>
      </c>
      <c r="G157" s="254">
        <v>335.0</v>
      </c>
      <c r="H157" s="332">
        <f t="shared" si="13"/>
        <v>1005</v>
      </c>
      <c r="I157" s="266" t="s">
        <v>171</v>
      </c>
      <c r="J157" s="256" t="s">
        <v>122</v>
      </c>
      <c r="K157" s="258">
        <v>43521.0</v>
      </c>
      <c r="L157" s="258">
        <v>43517.0</v>
      </c>
      <c r="M157" s="369" t="s">
        <v>90</v>
      </c>
      <c r="N157" s="422" t="s">
        <v>2229</v>
      </c>
      <c r="O157" s="310"/>
      <c r="P157" s="310"/>
      <c r="Q157" s="310">
        <v>913.5</v>
      </c>
      <c r="R157" s="600"/>
      <c r="S157" s="600"/>
      <c r="T157" s="578" t="s">
        <v>94</v>
      </c>
      <c r="U157" s="260">
        <v>43555.0</v>
      </c>
      <c r="V157" s="260">
        <v>43516.0</v>
      </c>
      <c r="W157" s="261" t="s">
        <v>600</v>
      </c>
      <c r="X157" s="272" t="s">
        <v>2230</v>
      </c>
      <c r="Y157" s="260">
        <v>43532.0</v>
      </c>
      <c r="Z157" s="331" t="s">
        <v>2202</v>
      </c>
      <c r="AA157" s="331" t="s">
        <v>2203</v>
      </c>
      <c r="AB157" s="331"/>
      <c r="AC157" s="331"/>
      <c r="AD157" s="331"/>
      <c r="AE157" s="253" t="s">
        <v>284</v>
      </c>
      <c r="AF157" s="253"/>
      <c r="AG157" s="262"/>
      <c r="AH157" s="307"/>
      <c r="AI157" s="262"/>
      <c r="AJ157" s="262"/>
      <c r="AK157" s="253" t="s">
        <v>50</v>
      </c>
      <c r="AL157" s="253" t="s">
        <v>285</v>
      </c>
      <c r="AM157" s="253" t="s">
        <v>51</v>
      </c>
      <c r="AN157" s="253" t="s">
        <v>52</v>
      </c>
      <c r="AO157" s="264"/>
    </row>
    <row r="158" ht="15.75" customHeight="1">
      <c r="A158" s="110">
        <v>43496.0</v>
      </c>
      <c r="B158" s="252" t="s">
        <v>119</v>
      </c>
      <c r="C158" s="252" t="s">
        <v>596</v>
      </c>
      <c r="D158" s="252" t="s">
        <v>599</v>
      </c>
      <c r="E158" s="23" t="s">
        <v>414</v>
      </c>
      <c r="F158" s="253">
        <v>3.0</v>
      </c>
      <c r="G158" s="254">
        <v>118.0</v>
      </c>
      <c r="H158" s="332">
        <f t="shared" si="13"/>
        <v>354</v>
      </c>
      <c r="I158" s="266" t="s">
        <v>171</v>
      </c>
      <c r="J158" s="266" t="s">
        <v>122</v>
      </c>
      <c r="K158" s="258">
        <v>43521.0</v>
      </c>
      <c r="L158" s="258">
        <v>43501.0</v>
      </c>
      <c r="M158" s="369" t="s">
        <v>90</v>
      </c>
      <c r="N158" s="422" t="s">
        <v>2229</v>
      </c>
      <c r="O158" s="310"/>
      <c r="P158" s="310"/>
      <c r="Q158" s="310">
        <v>327.6</v>
      </c>
      <c r="R158" s="600"/>
      <c r="S158" s="600"/>
      <c r="T158" s="578" t="s">
        <v>94</v>
      </c>
      <c r="U158" s="425">
        <v>43555.0</v>
      </c>
      <c r="V158" s="426">
        <v>43516.0</v>
      </c>
      <c r="W158" s="261" t="s">
        <v>600</v>
      </c>
      <c r="X158" s="272" t="s">
        <v>2230</v>
      </c>
      <c r="Y158" s="260">
        <v>43532.0</v>
      </c>
      <c r="Z158" s="331" t="s">
        <v>2202</v>
      </c>
      <c r="AA158" s="331" t="s">
        <v>2203</v>
      </c>
      <c r="AB158" s="331"/>
      <c r="AC158" s="331"/>
      <c r="AD158" s="331"/>
      <c r="AE158" s="253" t="s">
        <v>284</v>
      </c>
      <c r="AF158" s="253"/>
      <c r="AG158" s="262"/>
      <c r="AH158" s="307"/>
      <c r="AI158" s="262"/>
      <c r="AJ158" s="262"/>
      <c r="AK158" s="253" t="s">
        <v>50</v>
      </c>
      <c r="AL158" s="253" t="s">
        <v>285</v>
      </c>
      <c r="AM158" s="253" t="s">
        <v>51</v>
      </c>
      <c r="AN158" s="253" t="s">
        <v>52</v>
      </c>
      <c r="AO158" s="264"/>
    </row>
    <row r="159" ht="15.75" customHeight="1">
      <c r="A159" s="110">
        <v>43496.0</v>
      </c>
      <c r="B159" s="265" t="s">
        <v>119</v>
      </c>
      <c r="C159" s="252" t="s">
        <v>596</v>
      </c>
      <c r="D159" s="252" t="s">
        <v>599</v>
      </c>
      <c r="E159" s="23" t="s">
        <v>161</v>
      </c>
      <c r="F159" s="253">
        <v>5.0</v>
      </c>
      <c r="G159" s="254">
        <v>485.0</v>
      </c>
      <c r="H159" s="332">
        <f t="shared" si="13"/>
        <v>2425</v>
      </c>
      <c r="I159" s="266" t="s">
        <v>171</v>
      </c>
      <c r="J159" s="266" t="s">
        <v>122</v>
      </c>
      <c r="K159" s="258">
        <v>43521.0</v>
      </c>
      <c r="L159" s="258">
        <v>43517.0</v>
      </c>
      <c r="M159" s="369" t="s">
        <v>90</v>
      </c>
      <c r="N159" s="422" t="s">
        <v>2229</v>
      </c>
      <c r="O159" s="310"/>
      <c r="P159" s="310"/>
      <c r="Q159" s="310">
        <v>2100.0</v>
      </c>
      <c r="R159" s="600"/>
      <c r="S159" s="600"/>
      <c r="T159" s="578" t="s">
        <v>94</v>
      </c>
      <c r="U159" s="260">
        <v>43555.0</v>
      </c>
      <c r="V159" s="260">
        <v>43516.0</v>
      </c>
      <c r="W159" s="261" t="s">
        <v>600</v>
      </c>
      <c r="X159" s="272" t="s">
        <v>2230</v>
      </c>
      <c r="Y159" s="260">
        <v>43532.0</v>
      </c>
      <c r="Z159" s="331" t="s">
        <v>2202</v>
      </c>
      <c r="AA159" s="331" t="s">
        <v>2203</v>
      </c>
      <c r="AB159" s="331"/>
      <c r="AC159" s="331"/>
      <c r="AD159" s="331"/>
      <c r="AE159" s="253" t="s">
        <v>284</v>
      </c>
      <c r="AF159" s="253"/>
      <c r="AG159" s="262"/>
      <c r="AH159" s="307"/>
      <c r="AI159" s="262"/>
      <c r="AJ159" s="262"/>
      <c r="AK159" s="253" t="s">
        <v>50</v>
      </c>
      <c r="AL159" s="253" t="s">
        <v>285</v>
      </c>
      <c r="AM159" s="253" t="s">
        <v>51</v>
      </c>
      <c r="AN159" s="253" t="s">
        <v>52</v>
      </c>
      <c r="AO159" s="264"/>
    </row>
    <row r="160" ht="15.75" customHeight="1">
      <c r="A160" s="110">
        <v>43496.0</v>
      </c>
      <c r="B160" s="265" t="s">
        <v>119</v>
      </c>
      <c r="C160" s="252" t="s">
        <v>596</v>
      </c>
      <c r="D160" s="252" t="s">
        <v>599</v>
      </c>
      <c r="E160" s="23" t="s">
        <v>162</v>
      </c>
      <c r="F160" s="253">
        <v>10.0</v>
      </c>
      <c r="G160" s="254">
        <v>738.0</v>
      </c>
      <c r="H160" s="332">
        <f t="shared" si="13"/>
        <v>7380</v>
      </c>
      <c r="I160" s="266" t="s">
        <v>171</v>
      </c>
      <c r="J160" s="266" t="s">
        <v>122</v>
      </c>
      <c r="K160" s="258">
        <v>43521.0</v>
      </c>
      <c r="L160" s="258">
        <v>43517.0</v>
      </c>
      <c r="M160" s="369" t="s">
        <v>90</v>
      </c>
      <c r="N160" s="422" t="s">
        <v>2229</v>
      </c>
      <c r="O160" s="310"/>
      <c r="P160" s="310"/>
      <c r="Q160" s="310">
        <v>6699.0</v>
      </c>
      <c r="R160" s="600"/>
      <c r="S160" s="600"/>
      <c r="T160" s="578" t="s">
        <v>94</v>
      </c>
      <c r="U160" s="260">
        <v>43555.0</v>
      </c>
      <c r="V160" s="260">
        <v>43516.0</v>
      </c>
      <c r="W160" s="261" t="s">
        <v>600</v>
      </c>
      <c r="X160" s="272" t="s">
        <v>2230</v>
      </c>
      <c r="Y160" s="260">
        <v>43532.0</v>
      </c>
      <c r="Z160" s="331" t="s">
        <v>2202</v>
      </c>
      <c r="AA160" s="331" t="s">
        <v>2203</v>
      </c>
      <c r="AB160" s="331"/>
      <c r="AC160" s="331"/>
      <c r="AD160" s="331"/>
      <c r="AE160" s="253" t="s">
        <v>284</v>
      </c>
      <c r="AF160" s="253"/>
      <c r="AG160" s="262"/>
      <c r="AH160" s="307"/>
      <c r="AI160" s="262"/>
      <c r="AJ160" s="262"/>
      <c r="AK160" s="253" t="s">
        <v>50</v>
      </c>
      <c r="AL160" s="253" t="s">
        <v>285</v>
      </c>
      <c r="AM160" s="253" t="s">
        <v>51</v>
      </c>
      <c r="AN160" s="253" t="s">
        <v>52</v>
      </c>
      <c r="AO160" s="264"/>
    </row>
    <row r="161" ht="15.75" customHeight="1">
      <c r="A161" s="110">
        <v>43496.0</v>
      </c>
      <c r="B161" s="265" t="s">
        <v>601</v>
      </c>
      <c r="C161" s="252" t="s">
        <v>602</v>
      </c>
      <c r="D161" s="252" t="s">
        <v>603</v>
      </c>
      <c r="E161" s="23" t="s">
        <v>604</v>
      </c>
      <c r="F161" s="253">
        <v>5.0</v>
      </c>
      <c r="G161" s="254">
        <v>241.5</v>
      </c>
      <c r="H161" s="255">
        <f t="shared" si="13"/>
        <v>1207.5</v>
      </c>
      <c r="I161" s="266" t="s">
        <v>43</v>
      </c>
      <c r="J161" s="333" t="s">
        <v>605</v>
      </c>
      <c r="K161" s="258">
        <v>43515.0</v>
      </c>
      <c r="L161" s="258">
        <v>43511.0</v>
      </c>
      <c r="M161" s="252" t="s">
        <v>2231</v>
      </c>
      <c r="N161" s="602">
        <v>2.0190211001E10</v>
      </c>
      <c r="O161" s="310"/>
      <c r="P161" s="310"/>
      <c r="Q161" s="310">
        <v>1102.5</v>
      </c>
      <c r="R161" s="600"/>
      <c r="S161" s="600"/>
      <c r="T161" s="310" t="s">
        <v>2232</v>
      </c>
      <c r="U161" s="261" t="s">
        <v>422</v>
      </c>
      <c r="V161" s="271">
        <v>43510.0</v>
      </c>
      <c r="W161" s="261" t="s">
        <v>606</v>
      </c>
      <c r="X161" s="272">
        <v>43384.0</v>
      </c>
      <c r="Y161" s="260">
        <v>43531.0</v>
      </c>
      <c r="Z161" s="331" t="s">
        <v>2233</v>
      </c>
      <c r="AA161" s="331" t="s">
        <v>2234</v>
      </c>
      <c r="AB161" s="331">
        <v>30.905</v>
      </c>
      <c r="AC161" s="331">
        <v>48676.0</v>
      </c>
      <c r="AD161" s="606">
        <v>43516.0</v>
      </c>
      <c r="AE161" s="253"/>
      <c r="AF161" s="253"/>
      <c r="AG161" s="262"/>
      <c r="AH161" s="253"/>
      <c r="AI161" s="262"/>
      <c r="AJ161" s="262"/>
      <c r="AK161" s="253" t="s">
        <v>50</v>
      </c>
      <c r="AL161" s="253" t="s">
        <v>285</v>
      </c>
      <c r="AM161" s="253" t="s">
        <v>51</v>
      </c>
      <c r="AN161" s="253" t="s">
        <v>377</v>
      </c>
      <c r="AO161" s="264"/>
    </row>
    <row r="162" ht="15.75" customHeight="1">
      <c r="A162" s="110">
        <v>43496.0</v>
      </c>
      <c r="B162" s="265" t="s">
        <v>601</v>
      </c>
      <c r="C162" s="252" t="s">
        <v>602</v>
      </c>
      <c r="D162" s="252" t="s">
        <v>603</v>
      </c>
      <c r="E162" s="23" t="s">
        <v>607</v>
      </c>
      <c r="F162" s="253">
        <v>5.0</v>
      </c>
      <c r="G162" s="254">
        <v>73.5</v>
      </c>
      <c r="H162" s="255">
        <f t="shared" si="13"/>
        <v>367.5</v>
      </c>
      <c r="I162" s="266" t="s">
        <v>43</v>
      </c>
      <c r="J162" s="403" t="s">
        <v>605</v>
      </c>
      <c r="K162" s="258">
        <v>43515.0</v>
      </c>
      <c r="L162" s="258">
        <v>43511.0</v>
      </c>
      <c r="M162" s="265" t="s">
        <v>2231</v>
      </c>
      <c r="N162" s="602">
        <v>2.0190211001E10</v>
      </c>
      <c r="O162" s="310"/>
      <c r="P162" s="310"/>
      <c r="Q162" s="310">
        <v>325.5</v>
      </c>
      <c r="R162" s="600"/>
      <c r="S162" s="600"/>
      <c r="T162" s="310" t="s">
        <v>2232</v>
      </c>
      <c r="U162" s="261" t="s">
        <v>422</v>
      </c>
      <c r="V162" s="271">
        <v>43510.0</v>
      </c>
      <c r="W162" s="261" t="s">
        <v>606</v>
      </c>
      <c r="X162" s="261" t="s">
        <v>2235</v>
      </c>
      <c r="Y162" s="260">
        <v>43531.0</v>
      </c>
      <c r="Z162" s="331" t="s">
        <v>2233</v>
      </c>
      <c r="AA162" s="331" t="s">
        <v>2234</v>
      </c>
      <c r="AB162" s="331">
        <v>30.905</v>
      </c>
      <c r="AC162" s="331" t="s">
        <v>2236</v>
      </c>
      <c r="AD162" s="606">
        <v>43516.0</v>
      </c>
      <c r="AE162" s="253"/>
      <c r="AF162" s="253"/>
      <c r="AG162" s="262"/>
      <c r="AH162" s="253"/>
      <c r="AI162" s="262"/>
      <c r="AJ162" s="262"/>
      <c r="AK162" s="253" t="s">
        <v>50</v>
      </c>
      <c r="AL162" s="253" t="s">
        <v>285</v>
      </c>
      <c r="AM162" s="253" t="s">
        <v>51</v>
      </c>
      <c r="AN162" s="253" t="s">
        <v>377</v>
      </c>
      <c r="AO162" s="264"/>
    </row>
    <row r="163" ht="15.75" customHeight="1">
      <c r="A163" s="110">
        <v>43496.0</v>
      </c>
      <c r="B163" s="147" t="s">
        <v>406</v>
      </c>
      <c r="C163" s="21">
        <v>7.000145102E9</v>
      </c>
      <c r="D163" s="139" t="s">
        <v>2237</v>
      </c>
      <c r="E163" s="23" t="s">
        <v>2238</v>
      </c>
      <c r="F163" s="24">
        <v>5.0</v>
      </c>
      <c r="G163" s="48">
        <v>775.0</v>
      </c>
      <c r="H163" s="26">
        <f t="shared" si="13"/>
        <v>3875</v>
      </c>
      <c r="I163" s="298" t="s">
        <v>43</v>
      </c>
      <c r="J163" s="427" t="s">
        <v>520</v>
      </c>
      <c r="K163" s="29">
        <v>43546.0</v>
      </c>
      <c r="L163" s="30">
        <v>43544.0</v>
      </c>
      <c r="M163" s="50" t="s">
        <v>1537</v>
      </c>
      <c r="N163" s="93" t="s">
        <v>2239</v>
      </c>
      <c r="O163" s="408"/>
      <c r="P163" s="408"/>
      <c r="Q163" s="408"/>
      <c r="R163" s="408"/>
      <c r="S163" s="408">
        <v>120325.0</v>
      </c>
      <c r="T163" s="503"/>
      <c r="U163" s="306"/>
      <c r="V163" s="306"/>
      <c r="W163" s="306"/>
      <c r="X163" s="406"/>
      <c r="Y163" s="306"/>
      <c r="Z163" s="306" t="s">
        <v>2240</v>
      </c>
      <c r="AA163" s="306" t="s">
        <v>2241</v>
      </c>
      <c r="AB163" s="306"/>
      <c r="AC163" s="306"/>
      <c r="AD163" s="306"/>
      <c r="AE163" s="298"/>
      <c r="AF163" s="298">
        <v>30.825</v>
      </c>
      <c r="AG163" s="299"/>
      <c r="AH163" s="145">
        <v>43588.0</v>
      </c>
      <c r="AI163" s="299" t="s">
        <v>2156</v>
      </c>
      <c r="AJ163" s="299" t="s">
        <v>2157</v>
      </c>
      <c r="AK163" s="298" t="s">
        <v>50</v>
      </c>
      <c r="AL163" s="24" t="s">
        <v>285</v>
      </c>
      <c r="AM163" s="298" t="s">
        <v>286</v>
      </c>
      <c r="AN163" s="298" t="s">
        <v>52</v>
      </c>
      <c r="AO163" s="234" t="s">
        <v>305</v>
      </c>
    </row>
    <row r="164" ht="15.75" customHeight="1">
      <c r="A164" s="110">
        <v>43496.0</v>
      </c>
      <c r="B164" s="252" t="s">
        <v>119</v>
      </c>
      <c r="C164" s="252" t="s">
        <v>596</v>
      </c>
      <c r="D164" s="252"/>
      <c r="E164" s="23" t="s">
        <v>158</v>
      </c>
      <c r="F164" s="253">
        <v>5.0</v>
      </c>
      <c r="G164" s="254">
        <v>979.0</v>
      </c>
      <c r="H164" s="332">
        <f t="shared" si="13"/>
        <v>4895</v>
      </c>
      <c r="I164" s="266" t="s">
        <v>171</v>
      </c>
      <c r="J164" s="428" t="s">
        <v>122</v>
      </c>
      <c r="K164" s="258">
        <v>43521.0</v>
      </c>
      <c r="L164" s="258">
        <v>43517.0</v>
      </c>
      <c r="M164" s="369" t="s">
        <v>90</v>
      </c>
      <c r="N164" s="422" t="s">
        <v>2229</v>
      </c>
      <c r="O164" s="310"/>
      <c r="P164" s="310"/>
      <c r="Q164" s="310">
        <v>4179.0</v>
      </c>
      <c r="R164" s="600"/>
      <c r="S164" s="600"/>
      <c r="T164" s="340" t="s">
        <v>94</v>
      </c>
      <c r="U164" s="260">
        <v>43555.0</v>
      </c>
      <c r="V164" s="260">
        <v>43516.0</v>
      </c>
      <c r="W164" s="261" t="s">
        <v>600</v>
      </c>
      <c r="X164" s="272">
        <v>436313.0</v>
      </c>
      <c r="Y164" s="260">
        <v>43532.0</v>
      </c>
      <c r="Z164" s="331" t="s">
        <v>2202</v>
      </c>
      <c r="AA164" s="331" t="s">
        <v>2203</v>
      </c>
      <c r="AB164" s="331"/>
      <c r="AC164" s="331"/>
      <c r="AD164" s="331"/>
      <c r="AE164" s="253" t="s">
        <v>284</v>
      </c>
      <c r="AF164" s="253"/>
      <c r="AG164" s="262"/>
      <c r="AH164" s="307"/>
      <c r="AI164" s="262"/>
      <c r="AJ164" s="262"/>
      <c r="AK164" s="253" t="s">
        <v>50</v>
      </c>
      <c r="AL164" s="253" t="s">
        <v>285</v>
      </c>
      <c r="AM164" s="253" t="s">
        <v>51</v>
      </c>
      <c r="AN164" s="253" t="s">
        <v>52</v>
      </c>
      <c r="AO164" s="264"/>
    </row>
    <row r="165" ht="15.75" customHeight="1">
      <c r="A165" s="110">
        <v>43497.0</v>
      </c>
      <c r="B165" s="252" t="s">
        <v>406</v>
      </c>
      <c r="C165" s="252">
        <v>7.000144687E9</v>
      </c>
      <c r="D165" s="252" t="s">
        <v>610</v>
      </c>
      <c r="E165" s="23" t="s">
        <v>611</v>
      </c>
      <c r="F165" s="253">
        <v>4.0</v>
      </c>
      <c r="G165" s="254">
        <v>148.0</v>
      </c>
      <c r="H165" s="255">
        <f t="shared" si="13"/>
        <v>592</v>
      </c>
      <c r="I165" s="266" t="s">
        <v>43</v>
      </c>
      <c r="J165" s="257" t="s">
        <v>513</v>
      </c>
      <c r="K165" s="258">
        <v>43510.0</v>
      </c>
      <c r="L165" s="601">
        <v>43509.0</v>
      </c>
      <c r="M165" s="403" t="s">
        <v>2078</v>
      </c>
      <c r="N165" s="422" t="s">
        <v>2242</v>
      </c>
      <c r="O165" s="310"/>
      <c r="P165" s="310"/>
      <c r="Q165" s="310"/>
      <c r="R165" s="579"/>
      <c r="S165" s="579">
        <v>16388.0</v>
      </c>
      <c r="T165" s="320" t="s">
        <v>2080</v>
      </c>
      <c r="U165" s="260">
        <v>43585.0</v>
      </c>
      <c r="V165" s="260">
        <v>43508.0</v>
      </c>
      <c r="W165" s="261" t="s">
        <v>612</v>
      </c>
      <c r="X165" s="272">
        <v>16388.0</v>
      </c>
      <c r="Y165" s="370">
        <v>43588.0</v>
      </c>
      <c r="Z165" s="331" t="s">
        <v>2216</v>
      </c>
      <c r="AA165" s="331">
        <v>2.730290404E9</v>
      </c>
      <c r="AB165" s="331"/>
      <c r="AC165" s="331"/>
      <c r="AD165" s="331"/>
      <c r="AE165" s="253" t="s">
        <v>284</v>
      </c>
      <c r="AF165" s="253"/>
      <c r="AG165" s="262"/>
      <c r="AH165" s="253"/>
      <c r="AI165" s="262"/>
      <c r="AJ165" s="262"/>
      <c r="AK165" s="253" t="s">
        <v>50</v>
      </c>
      <c r="AL165" s="253" t="s">
        <v>285</v>
      </c>
      <c r="AM165" s="253" t="s">
        <v>51</v>
      </c>
      <c r="AN165" s="253" t="s">
        <v>52</v>
      </c>
      <c r="AO165" s="264"/>
    </row>
    <row r="166" ht="15.75" customHeight="1">
      <c r="A166" s="110">
        <v>43497.0</v>
      </c>
      <c r="B166" s="252" t="s">
        <v>406</v>
      </c>
      <c r="C166" s="252">
        <v>7.000144687E9</v>
      </c>
      <c r="D166" s="252" t="s">
        <v>613</v>
      </c>
      <c r="E166" s="23" t="s">
        <v>614</v>
      </c>
      <c r="F166" s="253">
        <v>1.0</v>
      </c>
      <c r="G166" s="254">
        <v>298.0</v>
      </c>
      <c r="H166" s="255">
        <f t="shared" si="13"/>
        <v>298</v>
      </c>
      <c r="I166" s="266" t="s">
        <v>43</v>
      </c>
      <c r="J166" s="257" t="s">
        <v>513</v>
      </c>
      <c r="K166" s="258">
        <v>43510.0</v>
      </c>
      <c r="L166" s="601">
        <v>43509.0</v>
      </c>
      <c r="M166" s="403" t="s">
        <v>2078</v>
      </c>
      <c r="N166" s="252" t="s">
        <v>2243</v>
      </c>
      <c r="O166" s="310"/>
      <c r="P166" s="310"/>
      <c r="Q166" s="310"/>
      <c r="R166" s="579"/>
      <c r="S166" s="579">
        <v>8430.0</v>
      </c>
      <c r="T166" s="320" t="s">
        <v>2080</v>
      </c>
      <c r="U166" s="260">
        <v>43585.0</v>
      </c>
      <c r="V166" s="260">
        <v>43508.0</v>
      </c>
      <c r="W166" s="261" t="s">
        <v>615</v>
      </c>
      <c r="X166" s="272">
        <v>9074.0</v>
      </c>
      <c r="Y166" s="370">
        <v>43588.0</v>
      </c>
      <c r="Z166" s="331" t="s">
        <v>2244</v>
      </c>
      <c r="AA166" s="331">
        <v>2.730383401E9</v>
      </c>
      <c r="AB166" s="331"/>
      <c r="AC166" s="331"/>
      <c r="AD166" s="331"/>
      <c r="AE166" s="253" t="s">
        <v>284</v>
      </c>
      <c r="AF166" s="253"/>
      <c r="AG166" s="262"/>
      <c r="AH166" s="253"/>
      <c r="AI166" s="262"/>
      <c r="AJ166" s="262"/>
      <c r="AK166" s="253" t="s">
        <v>50</v>
      </c>
      <c r="AL166" s="253" t="s">
        <v>285</v>
      </c>
      <c r="AM166" s="253" t="s">
        <v>51</v>
      </c>
      <c r="AN166" s="253" t="s">
        <v>52</v>
      </c>
      <c r="AO166" s="264"/>
    </row>
    <row r="167" ht="15.75" customHeight="1">
      <c r="A167" s="110">
        <v>43497.0</v>
      </c>
      <c r="B167" s="252" t="s">
        <v>406</v>
      </c>
      <c r="C167" s="252">
        <v>7.000144687E9</v>
      </c>
      <c r="D167" s="252" t="s">
        <v>613</v>
      </c>
      <c r="E167" s="23" t="s">
        <v>616</v>
      </c>
      <c r="F167" s="253">
        <v>1.0</v>
      </c>
      <c r="G167" s="254">
        <v>23.0</v>
      </c>
      <c r="H167" s="255">
        <f t="shared" si="13"/>
        <v>23</v>
      </c>
      <c r="I167" s="266" t="s">
        <v>43</v>
      </c>
      <c r="J167" s="257" t="s">
        <v>513</v>
      </c>
      <c r="K167" s="258">
        <v>43510.0</v>
      </c>
      <c r="L167" s="601">
        <v>43509.0</v>
      </c>
      <c r="M167" s="403" t="s">
        <v>2078</v>
      </c>
      <c r="N167" s="252" t="s">
        <v>2243</v>
      </c>
      <c r="O167" s="310"/>
      <c r="P167" s="310"/>
      <c r="Q167" s="310"/>
      <c r="R167" s="579"/>
      <c r="S167" s="579">
        <v>644.0</v>
      </c>
      <c r="T167" s="320" t="s">
        <v>2080</v>
      </c>
      <c r="U167" s="260">
        <v>43585.0</v>
      </c>
      <c r="V167" s="260">
        <v>43508.0</v>
      </c>
      <c r="W167" s="261" t="s">
        <v>615</v>
      </c>
      <c r="X167" s="272" t="s">
        <v>2245</v>
      </c>
      <c r="Y167" s="370">
        <v>43588.0</v>
      </c>
      <c r="Z167" s="331" t="s">
        <v>2244</v>
      </c>
      <c r="AA167" s="331">
        <v>2.730383401E9</v>
      </c>
      <c r="AB167" s="331"/>
      <c r="AC167" s="331"/>
      <c r="AD167" s="331"/>
      <c r="AE167" s="253" t="s">
        <v>284</v>
      </c>
      <c r="AF167" s="253"/>
      <c r="AG167" s="262"/>
      <c r="AH167" s="253"/>
      <c r="AI167" s="262"/>
      <c r="AJ167" s="262"/>
      <c r="AK167" s="253" t="s">
        <v>50</v>
      </c>
      <c r="AL167" s="253" t="s">
        <v>285</v>
      </c>
      <c r="AM167" s="253" t="s">
        <v>51</v>
      </c>
      <c r="AN167" s="253" t="s">
        <v>52</v>
      </c>
      <c r="AO167" s="264"/>
    </row>
    <row r="168" ht="15.75" customHeight="1">
      <c r="A168" s="343">
        <v>43502.0</v>
      </c>
      <c r="B168" s="310" t="s">
        <v>326</v>
      </c>
      <c r="C168" s="252">
        <v>2027408.0</v>
      </c>
      <c r="D168" s="310" t="s">
        <v>617</v>
      </c>
      <c r="E168" s="23" t="s">
        <v>42</v>
      </c>
      <c r="F168" s="253">
        <v>10.0</v>
      </c>
      <c r="G168" s="254">
        <v>273.0</v>
      </c>
      <c r="H168" s="255">
        <f t="shared" si="13"/>
        <v>2730</v>
      </c>
      <c r="I168" s="266" t="s">
        <v>43</v>
      </c>
      <c r="J168" s="321" t="s">
        <v>329</v>
      </c>
      <c r="K168" s="258">
        <v>43531.0</v>
      </c>
      <c r="L168" s="258">
        <v>43517.0</v>
      </c>
      <c r="M168" s="403" t="s">
        <v>45</v>
      </c>
      <c r="N168" s="422" t="s">
        <v>2246</v>
      </c>
      <c r="O168" s="267"/>
      <c r="P168" s="267"/>
      <c r="Q168" s="267">
        <v>2184.0</v>
      </c>
      <c r="R168" s="310"/>
      <c r="S168" s="310">
        <v>67368.0</v>
      </c>
      <c r="T168" s="340" t="s">
        <v>47</v>
      </c>
      <c r="U168" s="260">
        <v>43546.0</v>
      </c>
      <c r="V168" s="260">
        <v>43516.0</v>
      </c>
      <c r="W168" s="261" t="s">
        <v>618</v>
      </c>
      <c r="X168" s="272">
        <v>67368.0</v>
      </c>
      <c r="Y168" s="260">
        <v>43558.0</v>
      </c>
      <c r="Z168" s="331" t="s">
        <v>2247</v>
      </c>
      <c r="AA168" s="331">
        <v>623644.0</v>
      </c>
      <c r="AB168" s="331"/>
      <c r="AC168" s="331"/>
      <c r="AD168" s="331"/>
      <c r="AE168" s="253" t="s">
        <v>284</v>
      </c>
      <c r="AF168" s="253"/>
      <c r="AG168" s="262"/>
      <c r="AH168" s="253"/>
      <c r="AI168" s="262"/>
      <c r="AJ168" s="262"/>
      <c r="AK168" s="253" t="s">
        <v>50</v>
      </c>
      <c r="AL168" s="253" t="s">
        <v>285</v>
      </c>
      <c r="AM168" s="253" t="s">
        <v>51</v>
      </c>
      <c r="AN168" s="253" t="s">
        <v>52</v>
      </c>
      <c r="AO168" s="264"/>
    </row>
    <row r="169" ht="15.75" customHeight="1">
      <c r="A169" s="343">
        <v>43502.0</v>
      </c>
      <c r="B169" s="310" t="s">
        <v>326</v>
      </c>
      <c r="C169" s="252">
        <v>2027408.0</v>
      </c>
      <c r="D169" s="310" t="s">
        <v>617</v>
      </c>
      <c r="E169" s="23" t="s">
        <v>53</v>
      </c>
      <c r="F169" s="253">
        <v>10.0</v>
      </c>
      <c r="G169" s="254">
        <v>31.0</v>
      </c>
      <c r="H169" s="255">
        <f t="shared" si="13"/>
        <v>310</v>
      </c>
      <c r="I169" s="266" t="s">
        <v>43</v>
      </c>
      <c r="J169" s="369" t="s">
        <v>329</v>
      </c>
      <c r="K169" s="258">
        <v>43531.0</v>
      </c>
      <c r="L169" s="258">
        <v>43522.0</v>
      </c>
      <c r="M169" s="333" t="s">
        <v>54</v>
      </c>
      <c r="N169" s="422" t="s">
        <v>2248</v>
      </c>
      <c r="O169" s="310"/>
      <c r="P169" s="310"/>
      <c r="Q169" s="310">
        <v>226.8</v>
      </c>
      <c r="R169" s="310"/>
      <c r="S169" s="310"/>
      <c r="T169" s="422" t="s">
        <v>56</v>
      </c>
      <c r="U169" s="260">
        <v>43585.0</v>
      </c>
      <c r="V169" s="260">
        <v>43528.0</v>
      </c>
      <c r="W169" s="261" t="s">
        <v>619</v>
      </c>
      <c r="X169" s="261" t="s">
        <v>2249</v>
      </c>
      <c r="Y169" s="370">
        <v>43588.0</v>
      </c>
      <c r="Z169" s="331" t="s">
        <v>2247</v>
      </c>
      <c r="AA169" s="331">
        <v>623644.0</v>
      </c>
      <c r="AB169" s="331"/>
      <c r="AC169" s="331"/>
      <c r="AD169" s="331"/>
      <c r="AE169" s="253" t="s">
        <v>284</v>
      </c>
      <c r="AF169" s="253"/>
      <c r="AG169" s="262"/>
      <c r="AH169" s="253"/>
      <c r="AI169" s="262"/>
      <c r="AJ169" s="262"/>
      <c r="AK169" s="253" t="s">
        <v>50</v>
      </c>
      <c r="AL169" s="253" t="s">
        <v>285</v>
      </c>
      <c r="AM169" s="253" t="s">
        <v>51</v>
      </c>
      <c r="AN169" s="253" t="s">
        <v>52</v>
      </c>
      <c r="AO169" s="264"/>
    </row>
    <row r="170" ht="15.75" customHeight="1">
      <c r="A170" s="343">
        <v>43502.0</v>
      </c>
      <c r="B170" s="310" t="s">
        <v>326</v>
      </c>
      <c r="C170" s="252">
        <v>2027408.0</v>
      </c>
      <c r="D170" s="310" t="s">
        <v>617</v>
      </c>
      <c r="E170" s="23" t="s">
        <v>59</v>
      </c>
      <c r="F170" s="253">
        <v>10.0</v>
      </c>
      <c r="G170" s="254">
        <v>4.0</v>
      </c>
      <c r="H170" s="255">
        <f t="shared" si="13"/>
        <v>40</v>
      </c>
      <c r="I170" s="266" t="s">
        <v>43</v>
      </c>
      <c r="J170" s="369" t="s">
        <v>329</v>
      </c>
      <c r="K170" s="258">
        <v>43531.0</v>
      </c>
      <c r="L170" s="258">
        <v>43522.0</v>
      </c>
      <c r="M170" s="333" t="s">
        <v>54</v>
      </c>
      <c r="N170" s="422" t="s">
        <v>2248</v>
      </c>
      <c r="O170" s="310"/>
      <c r="P170" s="310"/>
      <c r="Q170" s="310">
        <v>21.0</v>
      </c>
      <c r="R170" s="310"/>
      <c r="S170" s="310"/>
      <c r="T170" s="422" t="s">
        <v>56</v>
      </c>
      <c r="U170" s="260">
        <v>43585.0</v>
      </c>
      <c r="V170" s="260">
        <v>43528.0</v>
      </c>
      <c r="W170" s="261" t="s">
        <v>619</v>
      </c>
      <c r="X170" s="261" t="s">
        <v>2249</v>
      </c>
      <c r="Y170" s="370">
        <v>43588.0</v>
      </c>
      <c r="Z170" s="331" t="s">
        <v>2247</v>
      </c>
      <c r="AA170" s="331">
        <v>623644.0</v>
      </c>
      <c r="AB170" s="331"/>
      <c r="AC170" s="331"/>
      <c r="AD170" s="331"/>
      <c r="AE170" s="253" t="s">
        <v>284</v>
      </c>
      <c r="AF170" s="253"/>
      <c r="AG170" s="262"/>
      <c r="AH170" s="253"/>
      <c r="AI170" s="262"/>
      <c r="AJ170" s="262"/>
      <c r="AK170" s="253" t="s">
        <v>50</v>
      </c>
      <c r="AL170" s="253" t="s">
        <v>285</v>
      </c>
      <c r="AM170" s="253" t="s">
        <v>51</v>
      </c>
      <c r="AN170" s="253" t="s">
        <v>52</v>
      </c>
      <c r="AO170" s="264"/>
    </row>
    <row r="171" ht="15.75" customHeight="1">
      <c r="A171" s="343">
        <v>43502.0</v>
      </c>
      <c r="B171" s="320" t="s">
        <v>326</v>
      </c>
      <c r="C171" s="252">
        <v>2027408.0</v>
      </c>
      <c r="D171" s="310" t="s">
        <v>2250</v>
      </c>
      <c r="E171" s="23" t="s">
        <v>61</v>
      </c>
      <c r="F171" s="253">
        <v>10.0</v>
      </c>
      <c r="G171" s="254">
        <v>567.0</v>
      </c>
      <c r="H171" s="255">
        <f t="shared" si="13"/>
        <v>5670</v>
      </c>
      <c r="I171" s="266" t="s">
        <v>43</v>
      </c>
      <c r="J171" s="369" t="s">
        <v>329</v>
      </c>
      <c r="K171" s="258">
        <v>43531.0</v>
      </c>
      <c r="L171" s="258">
        <v>43521.0</v>
      </c>
      <c r="M171" s="403" t="s">
        <v>54</v>
      </c>
      <c r="N171" s="422" t="s">
        <v>2248</v>
      </c>
      <c r="O171" s="310"/>
      <c r="P171" s="310"/>
      <c r="Q171" s="310">
        <v>5355.0</v>
      </c>
      <c r="R171" s="310"/>
      <c r="S171" s="310"/>
      <c r="T171" s="422" t="s">
        <v>56</v>
      </c>
      <c r="U171" s="260">
        <v>43585.0</v>
      </c>
      <c r="V171" s="260">
        <v>43528.0</v>
      </c>
      <c r="W171" s="261" t="s">
        <v>619</v>
      </c>
      <c r="X171" s="272">
        <v>172398.0</v>
      </c>
      <c r="Y171" s="370">
        <v>43588.0</v>
      </c>
      <c r="Z171" s="331" t="s">
        <v>2247</v>
      </c>
      <c r="AA171" s="331">
        <v>623644.0</v>
      </c>
      <c r="AB171" s="331"/>
      <c r="AC171" s="331"/>
      <c r="AD171" s="331"/>
      <c r="AE171" s="253" t="s">
        <v>284</v>
      </c>
      <c r="AF171" s="253"/>
      <c r="AG171" s="262"/>
      <c r="AH171" s="253"/>
      <c r="AI171" s="262"/>
      <c r="AJ171" s="262"/>
      <c r="AK171" s="253" t="s">
        <v>50</v>
      </c>
      <c r="AL171" s="253" t="s">
        <v>285</v>
      </c>
      <c r="AM171" s="253" t="s">
        <v>51</v>
      </c>
      <c r="AN171" s="253" t="s">
        <v>52</v>
      </c>
      <c r="AO171" s="264"/>
    </row>
    <row r="172" ht="15.75" customHeight="1">
      <c r="A172" s="343">
        <v>43502.0</v>
      </c>
      <c r="B172" s="265" t="s">
        <v>621</v>
      </c>
      <c r="C172" s="252"/>
      <c r="D172" s="252" t="s">
        <v>622</v>
      </c>
      <c r="E172" s="23" t="s">
        <v>623</v>
      </c>
      <c r="F172" s="253">
        <v>1.0</v>
      </c>
      <c r="G172" s="254">
        <v>326.55</v>
      </c>
      <c r="H172" s="255">
        <f t="shared" si="13"/>
        <v>326.55</v>
      </c>
      <c r="I172" s="266" t="s">
        <v>43</v>
      </c>
      <c r="J172" s="369" t="s">
        <v>90</v>
      </c>
      <c r="K172" s="258">
        <v>43516.0</v>
      </c>
      <c r="L172" s="258">
        <v>43515.0</v>
      </c>
      <c r="M172" s="369" t="s">
        <v>90</v>
      </c>
      <c r="N172" s="422" t="s">
        <v>2251</v>
      </c>
      <c r="O172" s="310"/>
      <c r="P172" s="310"/>
      <c r="Q172" s="310">
        <v>300.3</v>
      </c>
      <c r="R172" s="310"/>
      <c r="S172" s="310"/>
      <c r="T172" s="578" t="s">
        <v>94</v>
      </c>
      <c r="U172" s="260">
        <v>43555.0</v>
      </c>
      <c r="V172" s="260">
        <v>43515.0</v>
      </c>
      <c r="W172" s="261" t="s">
        <v>624</v>
      </c>
      <c r="X172" s="272">
        <v>9215.0</v>
      </c>
      <c r="Y172" s="260">
        <v>43557.0</v>
      </c>
      <c r="Z172" s="331" t="s">
        <v>2252</v>
      </c>
      <c r="AA172" s="331" t="s">
        <v>2253</v>
      </c>
      <c r="AB172" s="331">
        <v>30.84</v>
      </c>
      <c r="AC172" s="404">
        <v>10071.0</v>
      </c>
      <c r="AD172" s="606">
        <v>43516.0</v>
      </c>
      <c r="AE172" s="253"/>
      <c r="AF172" s="253"/>
      <c r="AG172" s="262"/>
      <c r="AH172" s="253"/>
      <c r="AI172" s="262"/>
      <c r="AJ172" s="262"/>
      <c r="AK172" s="253" t="s">
        <v>50</v>
      </c>
      <c r="AL172" s="253" t="s">
        <v>285</v>
      </c>
      <c r="AM172" s="253" t="s">
        <v>51</v>
      </c>
      <c r="AN172" s="253" t="s">
        <v>377</v>
      </c>
      <c r="AO172" s="264"/>
    </row>
    <row r="173" ht="15.75" customHeight="1">
      <c r="A173" s="69">
        <v>43503.0</v>
      </c>
      <c r="B173" s="265" t="s">
        <v>406</v>
      </c>
      <c r="C173" s="252"/>
      <c r="D173" s="252" t="s">
        <v>584</v>
      </c>
      <c r="E173" s="23" t="s">
        <v>625</v>
      </c>
      <c r="F173" s="253">
        <v>5.0</v>
      </c>
      <c r="G173" s="254">
        <v>0.0</v>
      </c>
      <c r="H173" s="255">
        <f t="shared" si="13"/>
        <v>0</v>
      </c>
      <c r="I173" s="266" t="s">
        <v>43</v>
      </c>
      <c r="J173" s="403" t="s">
        <v>513</v>
      </c>
      <c r="K173" s="258">
        <v>43510.0</v>
      </c>
      <c r="L173" s="631" t="s">
        <v>2254</v>
      </c>
      <c r="M173" s="604" t="s">
        <v>2255</v>
      </c>
      <c r="N173" s="602"/>
      <c r="O173" s="600"/>
      <c r="P173" s="600"/>
      <c r="Q173" s="600"/>
      <c r="R173" s="581"/>
      <c r="S173" s="581" t="s">
        <v>578</v>
      </c>
      <c r="T173" s="330"/>
      <c r="U173" s="339"/>
      <c r="V173" s="331" t="s">
        <v>578</v>
      </c>
      <c r="W173" s="331" t="s">
        <v>578</v>
      </c>
      <c r="X173" s="331" t="s">
        <v>578</v>
      </c>
      <c r="Y173" s="331"/>
      <c r="Z173" s="331" t="s">
        <v>2244</v>
      </c>
      <c r="AA173" s="331">
        <v>2.730383401E9</v>
      </c>
      <c r="AB173" s="331"/>
      <c r="AC173" s="331"/>
      <c r="AD173" s="331"/>
      <c r="AE173" s="253"/>
      <c r="AF173" s="253"/>
      <c r="AG173" s="262"/>
      <c r="AH173" s="253"/>
      <c r="AI173" s="262"/>
      <c r="AJ173" s="262"/>
      <c r="AK173" s="253" t="s">
        <v>50</v>
      </c>
      <c r="AL173" s="253" t="s">
        <v>285</v>
      </c>
      <c r="AM173" s="253" t="s">
        <v>51</v>
      </c>
      <c r="AN173" s="253" t="s">
        <v>52</v>
      </c>
      <c r="AO173" s="264"/>
    </row>
    <row r="174" ht="15.75" customHeight="1">
      <c r="A174" s="69">
        <v>43507.0</v>
      </c>
      <c r="B174" s="252" t="s">
        <v>579</v>
      </c>
      <c r="C174" s="21">
        <v>2.0190201001E10</v>
      </c>
      <c r="D174" s="429" t="s">
        <v>626</v>
      </c>
      <c r="E174" s="23" t="s">
        <v>627</v>
      </c>
      <c r="F174" s="24">
        <v>1.0</v>
      </c>
      <c r="G174" s="48">
        <v>1643.25</v>
      </c>
      <c r="H174" s="26">
        <f t="shared" si="13"/>
        <v>1643.25</v>
      </c>
      <c r="I174" s="298" t="s">
        <v>171</v>
      </c>
      <c r="J174" s="63" t="s">
        <v>628</v>
      </c>
      <c r="K174" s="30">
        <v>43553.0</v>
      </c>
      <c r="L174" s="30">
        <v>43553.0</v>
      </c>
      <c r="M174" s="626"/>
      <c r="N174" s="64" t="s">
        <v>2256</v>
      </c>
      <c r="O174" s="34"/>
      <c r="P174" s="34"/>
      <c r="Q174" s="34"/>
      <c r="R174" s="639"/>
      <c r="S174" s="639">
        <v>41431.0</v>
      </c>
      <c r="T174" s="76" t="s">
        <v>1976</v>
      </c>
      <c r="U174" s="52"/>
      <c r="V174" s="53"/>
      <c r="W174" s="53"/>
      <c r="X174" s="53"/>
      <c r="Y174" s="53"/>
      <c r="Z174" s="53" t="s">
        <v>2257</v>
      </c>
      <c r="AA174" s="53" t="s">
        <v>2258</v>
      </c>
      <c r="AB174" s="53">
        <v>30.0</v>
      </c>
      <c r="AC174" s="53">
        <v>49298.0</v>
      </c>
      <c r="AD174" s="53" t="s">
        <v>2259</v>
      </c>
      <c r="AE174" s="54"/>
      <c r="AF174" s="54"/>
      <c r="AG174" s="55"/>
      <c r="AH174" s="54"/>
      <c r="AI174" s="55"/>
      <c r="AJ174" s="55"/>
      <c r="AK174" s="54" t="s">
        <v>50</v>
      </c>
      <c r="AL174" s="24" t="s">
        <v>285</v>
      </c>
      <c r="AM174" s="54" t="s">
        <v>286</v>
      </c>
      <c r="AN174" s="54" t="s">
        <v>377</v>
      </c>
      <c r="AO174" s="57" t="s">
        <v>398</v>
      </c>
    </row>
    <row r="175" ht="15.75" customHeight="1">
      <c r="A175" s="69">
        <v>43507.0</v>
      </c>
      <c r="B175" s="147" t="s">
        <v>579</v>
      </c>
      <c r="C175" s="21">
        <v>2.0190201001E10</v>
      </c>
      <c r="D175" s="21" t="s">
        <v>629</v>
      </c>
      <c r="E175" s="23" t="s">
        <v>630</v>
      </c>
      <c r="F175" s="24">
        <v>2.0</v>
      </c>
      <c r="G175" s="48">
        <v>1888.95</v>
      </c>
      <c r="H175" s="26">
        <f t="shared" si="13"/>
        <v>3777.9</v>
      </c>
      <c r="I175" s="298" t="s">
        <v>171</v>
      </c>
      <c r="J175" s="63" t="s">
        <v>628</v>
      </c>
      <c r="K175" s="29">
        <v>43542.0</v>
      </c>
      <c r="L175" s="29">
        <v>43539.0</v>
      </c>
      <c r="M175" s="63"/>
      <c r="N175" s="64" t="s">
        <v>2260</v>
      </c>
      <c r="O175" s="34"/>
      <c r="P175" s="34"/>
      <c r="Q175" s="34"/>
      <c r="R175" s="639"/>
      <c r="S175" s="639">
        <v>92799.0</v>
      </c>
      <c r="T175" s="76" t="s">
        <v>1976</v>
      </c>
      <c r="U175" s="52"/>
      <c r="V175" s="53"/>
      <c r="W175" s="53"/>
      <c r="X175" s="53"/>
      <c r="Y175" s="53"/>
      <c r="Z175" s="53" t="s">
        <v>2261</v>
      </c>
      <c r="AA175" s="53" t="s">
        <v>2262</v>
      </c>
      <c r="AB175" s="53">
        <v>30.0</v>
      </c>
      <c r="AC175" s="53">
        <v>113337.0</v>
      </c>
      <c r="AD175" s="472">
        <v>43542.0</v>
      </c>
      <c r="AE175" s="54"/>
      <c r="AF175" s="54"/>
      <c r="AG175" s="55"/>
      <c r="AH175" s="54"/>
      <c r="AI175" s="55"/>
      <c r="AJ175" s="55"/>
      <c r="AK175" s="54" t="s">
        <v>50</v>
      </c>
      <c r="AL175" s="24" t="s">
        <v>285</v>
      </c>
      <c r="AM175" s="54" t="s">
        <v>286</v>
      </c>
      <c r="AN175" s="54" t="s">
        <v>377</v>
      </c>
      <c r="AO175" s="57" t="s">
        <v>398</v>
      </c>
    </row>
    <row r="176" ht="15.75" customHeight="1">
      <c r="A176" s="69">
        <v>43508.0</v>
      </c>
      <c r="B176" s="70" t="s">
        <v>631</v>
      </c>
      <c r="C176" s="292" t="s">
        <v>632</v>
      </c>
      <c r="D176" s="292" t="s">
        <v>633</v>
      </c>
      <c r="E176" s="23" t="s">
        <v>634</v>
      </c>
      <c r="F176" s="54">
        <v>25.0</v>
      </c>
      <c r="G176" s="47">
        <v>173.25</v>
      </c>
      <c r="H176" s="26">
        <f t="shared" si="13"/>
        <v>4331.25</v>
      </c>
      <c r="I176" s="298" t="s">
        <v>171</v>
      </c>
      <c r="J176" s="63" t="s">
        <v>628</v>
      </c>
      <c r="K176" s="30">
        <v>43516.0</v>
      </c>
      <c r="L176" s="30">
        <v>43515.0</v>
      </c>
      <c r="M176" s="58" t="s">
        <v>2263</v>
      </c>
      <c r="N176" s="93" t="s">
        <v>2264</v>
      </c>
      <c r="O176" s="34"/>
      <c r="P176" s="34"/>
      <c r="Q176" s="34"/>
      <c r="R176" s="408"/>
      <c r="S176" s="408">
        <v>127313.0</v>
      </c>
      <c r="T176" s="22" t="s">
        <v>2265</v>
      </c>
      <c r="U176" s="295">
        <v>43529.0</v>
      </c>
      <c r="V176" s="295">
        <v>43514.0</v>
      </c>
      <c r="W176" s="296" t="s">
        <v>635</v>
      </c>
      <c r="X176" s="297">
        <v>127313.0</v>
      </c>
      <c r="Y176" s="295">
        <v>43531.0</v>
      </c>
      <c r="Z176" s="53" t="s">
        <v>2266</v>
      </c>
      <c r="AA176" s="53" t="s">
        <v>2267</v>
      </c>
      <c r="AB176" s="53">
        <v>30.84</v>
      </c>
      <c r="AC176" s="386">
        <v>133576.0</v>
      </c>
      <c r="AD176" s="53" t="s">
        <v>2268</v>
      </c>
      <c r="AE176" s="54"/>
      <c r="AF176" s="54"/>
      <c r="AG176" s="55"/>
      <c r="AH176" s="54"/>
      <c r="AI176" s="55"/>
      <c r="AJ176" s="55"/>
      <c r="AK176" s="54" t="s">
        <v>50</v>
      </c>
      <c r="AL176" s="24" t="s">
        <v>285</v>
      </c>
      <c r="AM176" s="54" t="s">
        <v>51</v>
      </c>
      <c r="AN176" s="54" t="s">
        <v>377</v>
      </c>
      <c r="AO176" s="57" t="s">
        <v>398</v>
      </c>
    </row>
    <row r="177" ht="15.75" customHeight="1">
      <c r="A177" s="69">
        <v>43508.0</v>
      </c>
      <c r="B177" s="265" t="s">
        <v>464</v>
      </c>
      <c r="C177" s="252" t="s">
        <v>636</v>
      </c>
      <c r="D177" s="328" t="s">
        <v>637</v>
      </c>
      <c r="E177" s="23" t="s">
        <v>638</v>
      </c>
      <c r="F177" s="253">
        <v>1.0</v>
      </c>
      <c r="G177" s="267">
        <v>80.0</v>
      </c>
      <c r="H177" s="255">
        <f t="shared" ref="H177:H189" si="14">F177*G177</f>
        <v>80</v>
      </c>
      <c r="I177" s="266" t="s">
        <v>171</v>
      </c>
      <c r="J177" s="253" t="s">
        <v>467</v>
      </c>
      <c r="K177" s="258">
        <v>43550.0</v>
      </c>
      <c r="L177" s="258">
        <v>43538.0</v>
      </c>
      <c r="M177" s="403" t="s">
        <v>2125</v>
      </c>
      <c r="N177" s="422" t="s">
        <v>2269</v>
      </c>
      <c r="O177" s="600"/>
      <c r="P177" s="600"/>
      <c r="Q177" s="600"/>
      <c r="R177" s="579"/>
      <c r="S177" s="579">
        <v>1628.0</v>
      </c>
      <c r="T177" s="310" t="s">
        <v>2127</v>
      </c>
      <c r="U177" s="261" t="s">
        <v>422</v>
      </c>
      <c r="V177" s="260">
        <v>43537.0</v>
      </c>
      <c r="W177" s="261" t="s">
        <v>639</v>
      </c>
      <c r="X177" s="272">
        <v>3768.0</v>
      </c>
      <c r="Y177" s="260">
        <v>43512.0</v>
      </c>
      <c r="Z177" s="331" t="s">
        <v>2270</v>
      </c>
      <c r="AA177" s="331">
        <v>2.58891835E8</v>
      </c>
      <c r="AB177" s="331"/>
      <c r="AC177" s="331"/>
      <c r="AD177" s="331"/>
      <c r="AE177" s="253" t="s">
        <v>284</v>
      </c>
      <c r="AF177" s="253">
        <v>30.825</v>
      </c>
      <c r="AG177" s="262"/>
      <c r="AH177" s="253"/>
      <c r="AI177" s="262"/>
      <c r="AJ177" s="262"/>
      <c r="AK177" s="253" t="s">
        <v>50</v>
      </c>
      <c r="AL177" s="253" t="s">
        <v>285</v>
      </c>
      <c r="AM177" s="253" t="s">
        <v>51</v>
      </c>
      <c r="AN177" s="253" t="s">
        <v>52</v>
      </c>
      <c r="AO177" s="264"/>
    </row>
    <row r="178" ht="15.75" customHeight="1">
      <c r="A178" s="69">
        <v>43508.0</v>
      </c>
      <c r="B178" s="265" t="s">
        <v>464</v>
      </c>
      <c r="C178" s="252" t="s">
        <v>636</v>
      </c>
      <c r="D178" s="328" t="s">
        <v>637</v>
      </c>
      <c r="E178" s="23" t="s">
        <v>472</v>
      </c>
      <c r="F178" s="253">
        <v>1.0</v>
      </c>
      <c r="G178" s="267">
        <v>118.0</v>
      </c>
      <c r="H178" s="255">
        <f t="shared" si="14"/>
        <v>118</v>
      </c>
      <c r="I178" s="266" t="s">
        <v>171</v>
      </c>
      <c r="J178" s="253" t="s">
        <v>467</v>
      </c>
      <c r="K178" s="258">
        <v>43550.0</v>
      </c>
      <c r="L178" s="258">
        <v>43538.0</v>
      </c>
      <c r="M178" s="403" t="s">
        <v>2125</v>
      </c>
      <c r="N178" s="422" t="s">
        <v>2269</v>
      </c>
      <c r="O178" s="600"/>
      <c r="P178" s="600"/>
      <c r="Q178" s="600"/>
      <c r="R178" s="579"/>
      <c r="S178" s="579">
        <v>2140.0</v>
      </c>
      <c r="T178" s="310" t="s">
        <v>2127</v>
      </c>
      <c r="U178" s="261" t="s">
        <v>422</v>
      </c>
      <c r="V178" s="260">
        <v>43537.0</v>
      </c>
      <c r="W178" s="261" t="s">
        <v>639</v>
      </c>
      <c r="X178" s="261" t="s">
        <v>2271</v>
      </c>
      <c r="Y178" s="260">
        <v>43512.0</v>
      </c>
      <c r="Z178" s="331" t="s">
        <v>2270</v>
      </c>
      <c r="AA178" s="331">
        <v>2.58891835E8</v>
      </c>
      <c r="AB178" s="331"/>
      <c r="AC178" s="331"/>
      <c r="AD178" s="331"/>
      <c r="AE178" s="253" t="s">
        <v>284</v>
      </c>
      <c r="AF178" s="253">
        <v>30.825</v>
      </c>
      <c r="AG178" s="262"/>
      <c r="AH178" s="253"/>
      <c r="AI178" s="262"/>
      <c r="AJ178" s="262"/>
      <c r="AK178" s="253" t="s">
        <v>50</v>
      </c>
      <c r="AL178" s="253" t="s">
        <v>285</v>
      </c>
      <c r="AM178" s="253" t="s">
        <v>51</v>
      </c>
      <c r="AN178" s="253" t="s">
        <v>52</v>
      </c>
      <c r="AO178" s="264"/>
    </row>
    <row r="179" ht="15.75" customHeight="1">
      <c r="A179" s="69">
        <v>43508.0</v>
      </c>
      <c r="B179" s="265" t="s">
        <v>464</v>
      </c>
      <c r="C179" s="252" t="s">
        <v>636</v>
      </c>
      <c r="D179" s="430" t="s">
        <v>637</v>
      </c>
      <c r="E179" s="32" t="s">
        <v>473</v>
      </c>
      <c r="F179" s="253">
        <v>1.0</v>
      </c>
      <c r="G179" s="267">
        <v>160.0</v>
      </c>
      <c r="H179" s="255">
        <f t="shared" si="14"/>
        <v>160</v>
      </c>
      <c r="I179" s="256" t="s">
        <v>171</v>
      </c>
      <c r="J179" s="253" t="s">
        <v>467</v>
      </c>
      <c r="K179" s="258">
        <v>43550.0</v>
      </c>
      <c r="L179" s="258">
        <v>43539.0</v>
      </c>
      <c r="M179" s="253" t="s">
        <v>2272</v>
      </c>
      <c r="N179" s="422" t="s">
        <v>2273</v>
      </c>
      <c r="O179" s="581"/>
      <c r="P179" s="581"/>
      <c r="Q179" s="581">
        <v>135.45</v>
      </c>
      <c r="R179" s="310"/>
      <c r="S179" s="310">
        <v>4187.0</v>
      </c>
      <c r="T179" s="578" t="s">
        <v>47</v>
      </c>
      <c r="U179" s="271">
        <v>43568.0</v>
      </c>
      <c r="V179" s="260">
        <v>43538.0</v>
      </c>
      <c r="W179" s="261" t="s">
        <v>640</v>
      </c>
      <c r="X179" s="272">
        <v>41835.0</v>
      </c>
      <c r="Y179" s="260">
        <v>43568.0</v>
      </c>
      <c r="Z179" s="331" t="s">
        <v>2270</v>
      </c>
      <c r="AA179" s="331">
        <v>2.58891835E8</v>
      </c>
      <c r="AB179" s="331"/>
      <c r="AC179" s="331"/>
      <c r="AD179" s="331"/>
      <c r="AE179" s="253" t="s">
        <v>284</v>
      </c>
      <c r="AF179" s="253">
        <v>30.825</v>
      </c>
      <c r="AG179" s="262"/>
      <c r="AH179" s="253"/>
      <c r="AI179" s="262"/>
      <c r="AJ179" s="262"/>
      <c r="AK179" s="253" t="s">
        <v>50</v>
      </c>
      <c r="AL179" s="253" t="s">
        <v>285</v>
      </c>
      <c r="AM179" s="253" t="s">
        <v>51</v>
      </c>
      <c r="AN179" s="253" t="s">
        <v>52</v>
      </c>
      <c r="AO179" s="264"/>
    </row>
    <row r="180" ht="15.75" customHeight="1">
      <c r="A180" s="69">
        <v>43508.0</v>
      </c>
      <c r="B180" s="265" t="s">
        <v>464</v>
      </c>
      <c r="C180" s="252" t="s">
        <v>636</v>
      </c>
      <c r="D180" s="328" t="s">
        <v>637</v>
      </c>
      <c r="E180" s="23" t="s">
        <v>641</v>
      </c>
      <c r="F180" s="253">
        <v>1.0</v>
      </c>
      <c r="G180" s="267">
        <v>4120.0</v>
      </c>
      <c r="H180" s="255">
        <f t="shared" si="14"/>
        <v>4120</v>
      </c>
      <c r="I180" s="266" t="s">
        <v>171</v>
      </c>
      <c r="J180" s="253" t="s">
        <v>467</v>
      </c>
      <c r="K180" s="258">
        <v>43550.0</v>
      </c>
      <c r="L180" s="258">
        <v>43550.0</v>
      </c>
      <c r="M180" s="369" t="s">
        <v>90</v>
      </c>
      <c r="N180" s="422" t="s">
        <v>2274</v>
      </c>
      <c r="O180" s="310"/>
      <c r="P180" s="310"/>
      <c r="Q180" s="310">
        <v>3863.16</v>
      </c>
      <c r="R180" s="310"/>
      <c r="S180" s="310">
        <v>119082.0</v>
      </c>
      <c r="T180" s="578" t="s">
        <v>94</v>
      </c>
      <c r="U180" s="271">
        <v>43585.0</v>
      </c>
      <c r="V180" s="260">
        <v>43545.0</v>
      </c>
      <c r="W180" s="261" t="s">
        <v>642</v>
      </c>
      <c r="X180" s="272">
        <v>121833.0</v>
      </c>
      <c r="Y180" s="370">
        <v>43586.0</v>
      </c>
      <c r="Z180" s="331" t="s">
        <v>2270</v>
      </c>
      <c r="AA180" s="331">
        <v>2.58891835E8</v>
      </c>
      <c r="AB180" s="331"/>
      <c r="AC180" s="331"/>
      <c r="AD180" s="331"/>
      <c r="AE180" s="253" t="s">
        <v>284</v>
      </c>
      <c r="AF180" s="253">
        <v>30.825</v>
      </c>
      <c r="AG180" s="262"/>
      <c r="AH180" s="253"/>
      <c r="AI180" s="262"/>
      <c r="AJ180" s="262"/>
      <c r="AK180" s="253" t="s">
        <v>50</v>
      </c>
      <c r="AL180" s="253" t="s">
        <v>285</v>
      </c>
      <c r="AM180" s="253" t="s">
        <v>51</v>
      </c>
      <c r="AN180" s="253" t="s">
        <v>52</v>
      </c>
      <c r="AO180" s="264"/>
    </row>
    <row r="181" ht="15.75" customHeight="1">
      <c r="A181" s="69">
        <v>43508.0</v>
      </c>
      <c r="B181" s="265" t="s">
        <v>464</v>
      </c>
      <c r="C181" s="252" t="s">
        <v>636</v>
      </c>
      <c r="D181" s="328" t="s">
        <v>637</v>
      </c>
      <c r="E181" s="23" t="s">
        <v>466</v>
      </c>
      <c r="F181" s="253">
        <v>1.0</v>
      </c>
      <c r="G181" s="267">
        <v>100.0</v>
      </c>
      <c r="H181" s="255">
        <f t="shared" si="14"/>
        <v>100</v>
      </c>
      <c r="I181" s="266" t="s">
        <v>171</v>
      </c>
      <c r="J181" s="253" t="s">
        <v>467</v>
      </c>
      <c r="K181" s="258">
        <v>43550.0</v>
      </c>
      <c r="L181" s="258">
        <v>43550.0</v>
      </c>
      <c r="M181" s="369" t="s">
        <v>90</v>
      </c>
      <c r="N181" s="422" t="s">
        <v>2274</v>
      </c>
      <c r="O181" s="581"/>
      <c r="P181" s="581"/>
      <c r="Q181" s="581">
        <v>89.25</v>
      </c>
      <c r="R181" s="310"/>
      <c r="S181" s="310">
        <v>2751.0</v>
      </c>
      <c r="T181" s="578" t="s">
        <v>94</v>
      </c>
      <c r="U181" s="271">
        <v>43585.0</v>
      </c>
      <c r="V181" s="260">
        <v>43545.0</v>
      </c>
      <c r="W181" s="261" t="s">
        <v>642</v>
      </c>
      <c r="X181" s="272" t="s">
        <v>2275</v>
      </c>
      <c r="Y181" s="370">
        <v>43586.0</v>
      </c>
      <c r="Z181" s="331" t="s">
        <v>2270</v>
      </c>
      <c r="AA181" s="331">
        <v>2.58891835E8</v>
      </c>
      <c r="AB181" s="331"/>
      <c r="AC181" s="331"/>
      <c r="AD181" s="331"/>
      <c r="AE181" s="253" t="s">
        <v>284</v>
      </c>
      <c r="AF181" s="253">
        <v>30.825</v>
      </c>
      <c r="AG181" s="262"/>
      <c r="AH181" s="253"/>
      <c r="AI181" s="262"/>
      <c r="AJ181" s="262"/>
      <c r="AK181" s="253" t="s">
        <v>50</v>
      </c>
      <c r="AL181" s="253" t="s">
        <v>285</v>
      </c>
      <c r="AM181" s="253" t="s">
        <v>51</v>
      </c>
      <c r="AN181" s="253" t="s">
        <v>52</v>
      </c>
      <c r="AO181" s="264"/>
    </row>
    <row r="182" ht="15.75" customHeight="1">
      <c r="A182" s="69">
        <v>43508.0</v>
      </c>
      <c r="B182" s="144" t="s">
        <v>77</v>
      </c>
      <c r="C182" s="21">
        <v>87.0</v>
      </c>
      <c r="D182" s="21" t="s">
        <v>643</v>
      </c>
      <c r="E182" s="23" t="s">
        <v>644</v>
      </c>
      <c r="F182" s="24">
        <v>7.0</v>
      </c>
      <c r="G182" s="48">
        <v>200.0</v>
      </c>
      <c r="H182" s="26">
        <f t="shared" si="14"/>
        <v>1400</v>
      </c>
      <c r="I182" s="298" t="s">
        <v>43</v>
      </c>
      <c r="J182" s="58" t="s">
        <v>316</v>
      </c>
      <c r="K182" s="29">
        <v>43550.0</v>
      </c>
      <c r="L182" s="30">
        <v>43542.0</v>
      </c>
      <c r="M182" s="50" t="s">
        <v>1537</v>
      </c>
      <c r="N182" s="21" t="s">
        <v>2276</v>
      </c>
      <c r="O182" s="408"/>
      <c r="P182" s="408"/>
      <c r="Q182" s="408"/>
      <c r="R182" s="627"/>
      <c r="S182" s="640">
        <v>35192.0</v>
      </c>
      <c r="T182" s="21" t="s">
        <v>2148</v>
      </c>
      <c r="U182" s="295">
        <v>43560.0</v>
      </c>
      <c r="V182" s="295">
        <v>43542.0</v>
      </c>
      <c r="W182" s="296" t="s">
        <v>645</v>
      </c>
      <c r="X182" s="297">
        <v>58707.0</v>
      </c>
      <c r="Y182" s="295">
        <v>43564.0</v>
      </c>
      <c r="Z182" s="306" t="s">
        <v>2196</v>
      </c>
      <c r="AA182" s="306">
        <v>2.5826325E8</v>
      </c>
      <c r="AB182" s="306"/>
      <c r="AC182" s="306"/>
      <c r="AD182" s="306"/>
      <c r="AE182" s="298"/>
      <c r="AF182" s="298">
        <v>30.825</v>
      </c>
      <c r="AG182" s="299"/>
      <c r="AH182" s="300">
        <v>43580.0</v>
      </c>
      <c r="AI182" s="299" t="s">
        <v>2277</v>
      </c>
      <c r="AJ182" s="299" t="s">
        <v>2278</v>
      </c>
      <c r="AK182" s="298" t="s">
        <v>50</v>
      </c>
      <c r="AL182" s="24" t="s">
        <v>285</v>
      </c>
      <c r="AM182" s="298" t="s">
        <v>286</v>
      </c>
      <c r="AN182" s="298" t="s">
        <v>52</v>
      </c>
      <c r="AO182" s="234" t="s">
        <v>305</v>
      </c>
    </row>
    <row r="183" ht="15.75" customHeight="1">
      <c r="A183" s="69">
        <v>43508.0</v>
      </c>
      <c r="B183" s="144" t="s">
        <v>77</v>
      </c>
      <c r="C183" s="21">
        <v>87.0</v>
      </c>
      <c r="D183" s="21" t="s">
        <v>643</v>
      </c>
      <c r="E183" s="23" t="s">
        <v>646</v>
      </c>
      <c r="F183" s="24">
        <v>7.0</v>
      </c>
      <c r="G183" s="48">
        <v>0.0</v>
      </c>
      <c r="H183" s="26">
        <f t="shared" si="14"/>
        <v>0</v>
      </c>
      <c r="I183" s="298" t="s">
        <v>43</v>
      </c>
      <c r="J183" s="58" t="s">
        <v>316</v>
      </c>
      <c r="K183" s="29">
        <v>43550.0</v>
      </c>
      <c r="L183" s="30">
        <v>43542.0</v>
      </c>
      <c r="M183" s="50" t="s">
        <v>1537</v>
      </c>
      <c r="N183" s="21" t="s">
        <v>2276</v>
      </c>
      <c r="O183" s="408"/>
      <c r="P183" s="408"/>
      <c r="Q183" s="408"/>
      <c r="R183" s="306"/>
      <c r="S183" s="306" t="s">
        <v>2279</v>
      </c>
      <c r="T183" s="21" t="s">
        <v>2148</v>
      </c>
      <c r="U183" s="295">
        <v>43560.0</v>
      </c>
      <c r="V183" s="295">
        <v>43542.0</v>
      </c>
      <c r="W183" s="296" t="s">
        <v>645</v>
      </c>
      <c r="X183" s="296" t="s">
        <v>2280</v>
      </c>
      <c r="Y183" s="295">
        <v>43564.0</v>
      </c>
      <c r="Z183" s="306" t="s">
        <v>2196</v>
      </c>
      <c r="AA183" s="306">
        <v>2.5826325E8</v>
      </c>
      <c r="AB183" s="306"/>
      <c r="AC183" s="306"/>
      <c r="AD183" s="306"/>
      <c r="AE183" s="298"/>
      <c r="AF183" s="298">
        <v>30.825</v>
      </c>
      <c r="AG183" s="299"/>
      <c r="AH183" s="300">
        <v>43580.0</v>
      </c>
      <c r="AI183" s="299" t="s">
        <v>2277</v>
      </c>
      <c r="AJ183" s="299" t="s">
        <v>2278</v>
      </c>
      <c r="AK183" s="298" t="s">
        <v>50</v>
      </c>
      <c r="AL183" s="24" t="s">
        <v>285</v>
      </c>
      <c r="AM183" s="298" t="s">
        <v>286</v>
      </c>
      <c r="AN183" s="298" t="s">
        <v>52</v>
      </c>
      <c r="AO183" s="234" t="s">
        <v>305</v>
      </c>
    </row>
    <row r="184" ht="15.75" customHeight="1">
      <c r="A184" s="69">
        <v>43508.0</v>
      </c>
      <c r="B184" s="144" t="s">
        <v>77</v>
      </c>
      <c r="C184" s="21">
        <v>87.0</v>
      </c>
      <c r="D184" s="21" t="s">
        <v>643</v>
      </c>
      <c r="E184" s="23" t="s">
        <v>647</v>
      </c>
      <c r="F184" s="24">
        <v>7.0</v>
      </c>
      <c r="G184" s="48">
        <v>0.0</v>
      </c>
      <c r="H184" s="26">
        <f t="shared" si="14"/>
        <v>0</v>
      </c>
      <c r="I184" s="298" t="s">
        <v>43</v>
      </c>
      <c r="J184" s="58" t="s">
        <v>316</v>
      </c>
      <c r="K184" s="29">
        <v>43550.0</v>
      </c>
      <c r="L184" s="30">
        <v>43542.0</v>
      </c>
      <c r="M184" s="50" t="s">
        <v>1537</v>
      </c>
      <c r="N184" s="21" t="s">
        <v>2276</v>
      </c>
      <c r="O184" s="408"/>
      <c r="P184" s="408"/>
      <c r="Q184" s="408"/>
      <c r="R184" s="306"/>
      <c r="S184" s="306" t="s">
        <v>2279</v>
      </c>
      <c r="T184" s="21" t="s">
        <v>2148</v>
      </c>
      <c r="U184" s="295">
        <v>43560.0</v>
      </c>
      <c r="V184" s="295">
        <v>43542.0</v>
      </c>
      <c r="W184" s="296" t="s">
        <v>645</v>
      </c>
      <c r="X184" s="296" t="s">
        <v>2280</v>
      </c>
      <c r="Y184" s="295">
        <v>43564.0</v>
      </c>
      <c r="Z184" s="306" t="s">
        <v>2196</v>
      </c>
      <c r="AA184" s="306">
        <v>2.5826325E8</v>
      </c>
      <c r="AB184" s="306"/>
      <c r="AC184" s="306"/>
      <c r="AD184" s="306"/>
      <c r="AE184" s="298"/>
      <c r="AF184" s="298">
        <v>30.825</v>
      </c>
      <c r="AG184" s="299"/>
      <c r="AH184" s="300">
        <v>43580.0</v>
      </c>
      <c r="AI184" s="299" t="s">
        <v>2277</v>
      </c>
      <c r="AJ184" s="299" t="s">
        <v>2278</v>
      </c>
      <c r="AK184" s="298" t="s">
        <v>50</v>
      </c>
      <c r="AL184" s="24" t="s">
        <v>285</v>
      </c>
      <c r="AM184" s="298" t="s">
        <v>286</v>
      </c>
      <c r="AN184" s="298" t="s">
        <v>52</v>
      </c>
      <c r="AO184" s="234" t="s">
        <v>305</v>
      </c>
    </row>
    <row r="185" ht="15.75" customHeight="1">
      <c r="A185" s="69">
        <v>43508.0</v>
      </c>
      <c r="B185" s="144" t="s">
        <v>77</v>
      </c>
      <c r="C185" s="21">
        <v>87.0</v>
      </c>
      <c r="D185" s="21" t="s">
        <v>643</v>
      </c>
      <c r="E185" s="23" t="s">
        <v>648</v>
      </c>
      <c r="F185" s="24">
        <v>7.0</v>
      </c>
      <c r="G185" s="48">
        <v>0.0</v>
      </c>
      <c r="H185" s="26">
        <f t="shared" si="14"/>
        <v>0</v>
      </c>
      <c r="I185" s="298" t="s">
        <v>43</v>
      </c>
      <c r="J185" s="58" t="s">
        <v>316</v>
      </c>
      <c r="K185" s="29">
        <v>43550.0</v>
      </c>
      <c r="L185" s="30">
        <v>43542.0</v>
      </c>
      <c r="M185" s="50" t="s">
        <v>1537</v>
      </c>
      <c r="N185" s="21" t="s">
        <v>2276</v>
      </c>
      <c r="O185" s="408"/>
      <c r="P185" s="408"/>
      <c r="Q185" s="408"/>
      <c r="R185" s="306"/>
      <c r="S185" s="306" t="s">
        <v>2279</v>
      </c>
      <c r="T185" s="21" t="s">
        <v>2148</v>
      </c>
      <c r="U185" s="295">
        <v>43560.0</v>
      </c>
      <c r="V185" s="295">
        <v>43542.0</v>
      </c>
      <c r="W185" s="296" t="s">
        <v>645</v>
      </c>
      <c r="X185" s="296" t="s">
        <v>2280</v>
      </c>
      <c r="Y185" s="295">
        <v>43564.0</v>
      </c>
      <c r="Z185" s="306" t="s">
        <v>2196</v>
      </c>
      <c r="AA185" s="306">
        <v>2.5826325E8</v>
      </c>
      <c r="AB185" s="306"/>
      <c r="AC185" s="306"/>
      <c r="AD185" s="306"/>
      <c r="AE185" s="298"/>
      <c r="AF185" s="298">
        <v>30.825</v>
      </c>
      <c r="AG185" s="299"/>
      <c r="AH185" s="300">
        <v>43580.0</v>
      </c>
      <c r="AI185" s="299" t="s">
        <v>2277</v>
      </c>
      <c r="AJ185" s="299" t="s">
        <v>2278</v>
      </c>
      <c r="AK185" s="298" t="s">
        <v>50</v>
      </c>
      <c r="AL185" s="24" t="s">
        <v>285</v>
      </c>
      <c r="AM185" s="298" t="s">
        <v>286</v>
      </c>
      <c r="AN185" s="298" t="s">
        <v>52</v>
      </c>
      <c r="AO185" s="234" t="s">
        <v>305</v>
      </c>
    </row>
    <row r="186" ht="15.75" customHeight="1">
      <c r="A186" s="69">
        <v>43508.0</v>
      </c>
      <c r="B186" s="144" t="s">
        <v>77</v>
      </c>
      <c r="C186" s="21">
        <v>87.0</v>
      </c>
      <c r="D186" s="21" t="s">
        <v>643</v>
      </c>
      <c r="E186" s="23" t="s">
        <v>649</v>
      </c>
      <c r="F186" s="24">
        <v>7.0</v>
      </c>
      <c r="G186" s="48">
        <v>0.0</v>
      </c>
      <c r="H186" s="26">
        <f t="shared" si="14"/>
        <v>0</v>
      </c>
      <c r="I186" s="298" t="s">
        <v>43</v>
      </c>
      <c r="J186" s="58" t="s">
        <v>316</v>
      </c>
      <c r="K186" s="29">
        <v>43550.0</v>
      </c>
      <c r="L186" s="30">
        <v>43542.0</v>
      </c>
      <c r="M186" s="50" t="s">
        <v>1537</v>
      </c>
      <c r="N186" s="21" t="s">
        <v>2276</v>
      </c>
      <c r="O186" s="408"/>
      <c r="P186" s="408"/>
      <c r="Q186" s="408"/>
      <c r="R186" s="306"/>
      <c r="S186" s="306" t="s">
        <v>2279</v>
      </c>
      <c r="T186" s="21" t="s">
        <v>2148</v>
      </c>
      <c r="U186" s="295">
        <v>43560.0</v>
      </c>
      <c r="V186" s="295">
        <v>43542.0</v>
      </c>
      <c r="W186" s="296" t="s">
        <v>645</v>
      </c>
      <c r="X186" s="296" t="s">
        <v>2280</v>
      </c>
      <c r="Y186" s="295">
        <v>43564.0</v>
      </c>
      <c r="Z186" s="306" t="s">
        <v>2196</v>
      </c>
      <c r="AA186" s="306">
        <v>2.5826325E8</v>
      </c>
      <c r="AB186" s="306"/>
      <c r="AC186" s="306"/>
      <c r="AD186" s="306"/>
      <c r="AE186" s="298"/>
      <c r="AF186" s="298">
        <v>30.825</v>
      </c>
      <c r="AG186" s="299"/>
      <c r="AH186" s="300">
        <v>43580.0</v>
      </c>
      <c r="AI186" s="299" t="s">
        <v>2277</v>
      </c>
      <c r="AJ186" s="299" t="s">
        <v>2278</v>
      </c>
      <c r="AK186" s="298" t="s">
        <v>50</v>
      </c>
      <c r="AL186" s="24" t="s">
        <v>285</v>
      </c>
      <c r="AM186" s="298" t="s">
        <v>286</v>
      </c>
      <c r="AN186" s="298" t="s">
        <v>52</v>
      </c>
      <c r="AO186" s="234" t="s">
        <v>305</v>
      </c>
    </row>
    <row r="187" ht="15.75" customHeight="1">
      <c r="A187" s="69">
        <v>43508.0</v>
      </c>
      <c r="B187" s="144" t="s">
        <v>77</v>
      </c>
      <c r="C187" s="21">
        <v>87.0</v>
      </c>
      <c r="D187" s="21" t="s">
        <v>643</v>
      </c>
      <c r="E187" s="23" t="s">
        <v>650</v>
      </c>
      <c r="F187" s="24">
        <v>7.0</v>
      </c>
      <c r="G187" s="48">
        <v>2.0</v>
      </c>
      <c r="H187" s="26">
        <f t="shared" si="14"/>
        <v>14</v>
      </c>
      <c r="I187" s="298" t="s">
        <v>43</v>
      </c>
      <c r="J187" s="58" t="s">
        <v>316</v>
      </c>
      <c r="K187" s="29">
        <v>43550.0</v>
      </c>
      <c r="L187" s="30">
        <v>43531.0</v>
      </c>
      <c r="M187" s="50" t="s">
        <v>2039</v>
      </c>
      <c r="N187" s="21" t="s">
        <v>2281</v>
      </c>
      <c r="O187" s="408"/>
      <c r="P187" s="408"/>
      <c r="Q187" s="408"/>
      <c r="R187" s="408"/>
      <c r="S187" s="408">
        <v>176.0</v>
      </c>
      <c r="T187" s="22" t="s">
        <v>2194</v>
      </c>
      <c r="U187" s="295">
        <v>43560.0</v>
      </c>
      <c r="V187" s="295">
        <v>43531.0</v>
      </c>
      <c r="W187" s="296" t="s">
        <v>556</v>
      </c>
      <c r="X187" s="297">
        <v>3788.0</v>
      </c>
      <c r="Y187" s="295">
        <v>43564.0</v>
      </c>
      <c r="Z187" s="306" t="s">
        <v>2196</v>
      </c>
      <c r="AA187" s="306">
        <v>2.5826325E8</v>
      </c>
      <c r="AB187" s="306"/>
      <c r="AC187" s="306"/>
      <c r="AD187" s="306"/>
      <c r="AE187" s="298"/>
      <c r="AF187" s="298">
        <v>30.825</v>
      </c>
      <c r="AG187" s="299"/>
      <c r="AH187" s="300">
        <v>43580.0</v>
      </c>
      <c r="AI187" s="299" t="s">
        <v>2277</v>
      </c>
      <c r="AJ187" s="299" t="s">
        <v>2278</v>
      </c>
      <c r="AK187" s="298" t="s">
        <v>50</v>
      </c>
      <c r="AL187" s="24" t="s">
        <v>285</v>
      </c>
      <c r="AM187" s="298" t="s">
        <v>286</v>
      </c>
      <c r="AN187" s="298" t="s">
        <v>52</v>
      </c>
      <c r="AO187" s="234" t="s">
        <v>305</v>
      </c>
    </row>
    <row r="188" ht="15.75" customHeight="1">
      <c r="A188" s="69">
        <v>43508.0</v>
      </c>
      <c r="B188" s="144" t="s">
        <v>77</v>
      </c>
      <c r="C188" s="21">
        <v>87.0</v>
      </c>
      <c r="D188" s="21" t="s">
        <v>643</v>
      </c>
      <c r="E188" s="23" t="s">
        <v>651</v>
      </c>
      <c r="F188" s="24">
        <v>7.0</v>
      </c>
      <c r="G188" s="48">
        <v>6.0</v>
      </c>
      <c r="H188" s="26">
        <f t="shared" si="14"/>
        <v>42</v>
      </c>
      <c r="I188" s="298" t="s">
        <v>43</v>
      </c>
      <c r="J188" s="58" t="s">
        <v>316</v>
      </c>
      <c r="K188" s="29">
        <v>43550.0</v>
      </c>
      <c r="L188" s="30">
        <v>43531.0</v>
      </c>
      <c r="M188" s="50" t="s">
        <v>2039</v>
      </c>
      <c r="N188" s="21" t="s">
        <v>2282</v>
      </c>
      <c r="O188" s="408"/>
      <c r="P188" s="408"/>
      <c r="Q188" s="408"/>
      <c r="R188" s="408"/>
      <c r="S188" s="408">
        <v>206.0</v>
      </c>
      <c r="T188" s="22" t="s">
        <v>2194</v>
      </c>
      <c r="U188" s="295">
        <v>43560.0</v>
      </c>
      <c r="V188" s="295">
        <v>43531.0</v>
      </c>
      <c r="W188" s="296" t="s">
        <v>556</v>
      </c>
      <c r="X188" s="297" t="s">
        <v>2195</v>
      </c>
      <c r="Y188" s="295">
        <v>43564.0</v>
      </c>
      <c r="Z188" s="306" t="s">
        <v>2196</v>
      </c>
      <c r="AA188" s="306">
        <v>2.5826325E8</v>
      </c>
      <c r="AB188" s="306"/>
      <c r="AC188" s="306"/>
      <c r="AD188" s="306"/>
      <c r="AE188" s="298"/>
      <c r="AF188" s="298">
        <v>30.825</v>
      </c>
      <c r="AG188" s="299"/>
      <c r="AH188" s="300">
        <v>43580.0</v>
      </c>
      <c r="AI188" s="299" t="s">
        <v>2277</v>
      </c>
      <c r="AJ188" s="299" t="s">
        <v>2278</v>
      </c>
      <c r="AK188" s="298" t="s">
        <v>50</v>
      </c>
      <c r="AL188" s="24" t="s">
        <v>285</v>
      </c>
      <c r="AM188" s="298" t="s">
        <v>286</v>
      </c>
      <c r="AN188" s="298" t="s">
        <v>52</v>
      </c>
      <c r="AO188" s="234" t="s">
        <v>305</v>
      </c>
    </row>
    <row r="189" ht="15.75" customHeight="1">
      <c r="A189" s="110">
        <v>43508.0</v>
      </c>
      <c r="B189" s="147" t="s">
        <v>77</v>
      </c>
      <c r="C189" s="21">
        <v>87.0</v>
      </c>
      <c r="D189" s="21" t="s">
        <v>643</v>
      </c>
      <c r="E189" s="23" t="s">
        <v>652</v>
      </c>
      <c r="F189" s="24">
        <v>7.0</v>
      </c>
      <c r="G189" s="48">
        <v>0.0</v>
      </c>
      <c r="H189" s="26">
        <f t="shared" si="14"/>
        <v>0</v>
      </c>
      <c r="I189" s="298" t="s">
        <v>43</v>
      </c>
      <c r="J189" s="58" t="s">
        <v>316</v>
      </c>
      <c r="K189" s="29">
        <v>43550.0</v>
      </c>
      <c r="L189" s="30">
        <v>43531.0</v>
      </c>
      <c r="M189" s="50" t="s">
        <v>2039</v>
      </c>
      <c r="N189" s="21" t="s">
        <v>2283</v>
      </c>
      <c r="O189" s="408"/>
      <c r="P189" s="408"/>
      <c r="Q189" s="408"/>
      <c r="R189" s="408">
        <v>92.0</v>
      </c>
      <c r="S189" s="408">
        <v>676.0</v>
      </c>
      <c r="T189" s="22" t="s">
        <v>2194</v>
      </c>
      <c r="U189" s="295">
        <v>43560.0</v>
      </c>
      <c r="V189" s="295">
        <v>43531.0</v>
      </c>
      <c r="W189" s="296" t="s">
        <v>556</v>
      </c>
      <c r="X189" s="297" t="s">
        <v>2195</v>
      </c>
      <c r="Y189" s="295">
        <v>43564.0</v>
      </c>
      <c r="Z189" s="306" t="s">
        <v>2196</v>
      </c>
      <c r="AA189" s="306">
        <v>2.5826325E8</v>
      </c>
      <c r="AB189" s="306"/>
      <c r="AC189" s="306"/>
      <c r="AD189" s="306"/>
      <c r="AE189" s="298"/>
      <c r="AF189" s="298">
        <v>30.825</v>
      </c>
      <c r="AG189" s="299"/>
      <c r="AH189" s="300">
        <v>43580.0</v>
      </c>
      <c r="AI189" s="299" t="s">
        <v>2277</v>
      </c>
      <c r="AJ189" s="299" t="s">
        <v>2278</v>
      </c>
      <c r="AK189" s="298" t="s">
        <v>50</v>
      </c>
      <c r="AL189" s="24" t="s">
        <v>285</v>
      </c>
      <c r="AM189" s="298" t="s">
        <v>286</v>
      </c>
      <c r="AN189" s="298" t="s">
        <v>52</v>
      </c>
      <c r="AO189" s="234" t="s">
        <v>305</v>
      </c>
    </row>
    <row r="190" ht="15.75" customHeight="1">
      <c r="A190" s="110">
        <v>43509.0</v>
      </c>
      <c r="B190" s="147" t="s">
        <v>406</v>
      </c>
      <c r="C190" s="21">
        <v>7.000145102E9</v>
      </c>
      <c r="D190" s="21" t="s">
        <v>653</v>
      </c>
      <c r="E190" s="23" t="s">
        <v>654</v>
      </c>
      <c r="F190" s="24">
        <v>1.0</v>
      </c>
      <c r="G190" s="48">
        <v>800.0</v>
      </c>
      <c r="H190" s="26">
        <f t="shared" ref="H190:H206" si="15">G190*F190</f>
        <v>800</v>
      </c>
      <c r="I190" s="298" t="s">
        <v>43</v>
      </c>
      <c r="J190" s="82" t="s">
        <v>520</v>
      </c>
      <c r="K190" s="29">
        <v>43546.0</v>
      </c>
      <c r="L190" s="30"/>
      <c r="M190" s="58"/>
      <c r="N190" s="93"/>
      <c r="O190" s="408"/>
      <c r="P190" s="408"/>
      <c r="Q190" s="408"/>
      <c r="R190" s="408"/>
      <c r="S190" s="641">
        <v>0.0</v>
      </c>
      <c r="T190" s="22"/>
      <c r="U190" s="305"/>
      <c r="V190" s="305"/>
      <c r="W190" s="306"/>
      <c r="X190" s="406"/>
      <c r="Y190" s="306"/>
      <c r="Z190" s="306" t="s">
        <v>2240</v>
      </c>
      <c r="AA190" s="306" t="s">
        <v>2241</v>
      </c>
      <c r="AB190" s="306"/>
      <c r="AC190" s="306"/>
      <c r="AD190" s="306"/>
      <c r="AE190" s="298"/>
      <c r="AF190" s="298">
        <v>30.825</v>
      </c>
      <c r="AG190" s="299"/>
      <c r="AH190" s="145">
        <v>43588.0</v>
      </c>
      <c r="AI190" s="299" t="s">
        <v>2156</v>
      </c>
      <c r="AJ190" s="299" t="s">
        <v>2157</v>
      </c>
      <c r="AK190" s="298" t="s">
        <v>50</v>
      </c>
      <c r="AL190" s="24" t="s">
        <v>285</v>
      </c>
      <c r="AM190" s="298" t="s">
        <v>286</v>
      </c>
      <c r="AN190" s="298" t="s">
        <v>52</v>
      </c>
      <c r="AO190" s="234" t="s">
        <v>305</v>
      </c>
    </row>
    <row r="191" ht="15.75" customHeight="1">
      <c r="A191" s="69">
        <v>43509.0</v>
      </c>
      <c r="B191" s="147" t="s">
        <v>406</v>
      </c>
      <c r="C191" s="21">
        <v>7.000145102E9</v>
      </c>
      <c r="D191" s="139" t="s">
        <v>2284</v>
      </c>
      <c r="E191" s="23" t="s">
        <v>512</v>
      </c>
      <c r="F191" s="24">
        <v>5.0</v>
      </c>
      <c r="G191" s="25">
        <v>39.0</v>
      </c>
      <c r="H191" s="26">
        <f t="shared" si="15"/>
        <v>195</v>
      </c>
      <c r="I191" s="298" t="s">
        <v>43</v>
      </c>
      <c r="J191" s="82" t="s">
        <v>520</v>
      </c>
      <c r="K191" s="29">
        <v>43546.0</v>
      </c>
      <c r="L191" s="30">
        <v>43523.0</v>
      </c>
      <c r="M191" s="407" t="s">
        <v>2170</v>
      </c>
      <c r="N191" s="93" t="s">
        <v>2285</v>
      </c>
      <c r="O191" s="408"/>
      <c r="P191" s="408"/>
      <c r="Q191" s="408"/>
      <c r="R191" s="298"/>
      <c r="S191" s="298">
        <v>4725.0</v>
      </c>
      <c r="T191" s="20"/>
      <c r="U191" s="305"/>
      <c r="V191" s="305"/>
      <c r="W191" s="306"/>
      <c r="X191" s="406"/>
      <c r="Y191" s="306"/>
      <c r="Z191" s="306" t="s">
        <v>2240</v>
      </c>
      <c r="AA191" s="306" t="s">
        <v>2241</v>
      </c>
      <c r="AB191" s="306"/>
      <c r="AC191" s="306"/>
      <c r="AD191" s="306"/>
      <c r="AE191" s="298"/>
      <c r="AF191" s="298">
        <v>30.825</v>
      </c>
      <c r="AG191" s="299"/>
      <c r="AH191" s="145">
        <v>43588.0</v>
      </c>
      <c r="AI191" s="299" t="s">
        <v>2156</v>
      </c>
      <c r="AJ191" s="299" t="s">
        <v>2157</v>
      </c>
      <c r="AK191" s="298" t="s">
        <v>50</v>
      </c>
      <c r="AL191" s="24" t="s">
        <v>285</v>
      </c>
      <c r="AM191" s="298" t="s">
        <v>286</v>
      </c>
      <c r="AN191" s="298" t="s">
        <v>52</v>
      </c>
      <c r="AO191" s="234" t="s">
        <v>305</v>
      </c>
    </row>
    <row r="192" ht="15.75" customHeight="1">
      <c r="A192" s="69">
        <v>43509.0</v>
      </c>
      <c r="B192" s="144" t="s">
        <v>406</v>
      </c>
      <c r="C192" s="21">
        <v>7.000145102E9</v>
      </c>
      <c r="D192" s="139" t="s">
        <v>2286</v>
      </c>
      <c r="E192" s="23" t="s">
        <v>515</v>
      </c>
      <c r="F192" s="24">
        <v>5.0</v>
      </c>
      <c r="G192" s="25">
        <v>43.0</v>
      </c>
      <c r="H192" s="26">
        <f t="shared" si="15"/>
        <v>215</v>
      </c>
      <c r="I192" s="298" t="s">
        <v>43</v>
      </c>
      <c r="J192" s="431" t="s">
        <v>520</v>
      </c>
      <c r="K192" s="29">
        <v>43546.0</v>
      </c>
      <c r="L192" s="30">
        <v>43523.0</v>
      </c>
      <c r="M192" s="31" t="s">
        <v>179</v>
      </c>
      <c r="N192" s="93" t="s">
        <v>2285</v>
      </c>
      <c r="O192" s="408"/>
      <c r="P192" s="408"/>
      <c r="Q192" s="408"/>
      <c r="R192" s="408"/>
      <c r="S192" s="408">
        <v>4384.0</v>
      </c>
      <c r="T192" s="22"/>
      <c r="U192" s="305"/>
      <c r="V192" s="305"/>
      <c r="W192" s="306"/>
      <c r="X192" s="406"/>
      <c r="Y192" s="306"/>
      <c r="Z192" s="306" t="s">
        <v>2240</v>
      </c>
      <c r="AA192" s="306" t="s">
        <v>2241</v>
      </c>
      <c r="AB192" s="306"/>
      <c r="AC192" s="306"/>
      <c r="AD192" s="306"/>
      <c r="AE192" s="298"/>
      <c r="AF192" s="298">
        <v>30.825</v>
      </c>
      <c r="AG192" s="299"/>
      <c r="AH192" s="145">
        <v>43588.0</v>
      </c>
      <c r="AI192" s="299" t="s">
        <v>2156</v>
      </c>
      <c r="AJ192" s="299" t="s">
        <v>2157</v>
      </c>
      <c r="AK192" s="298" t="s">
        <v>50</v>
      </c>
      <c r="AL192" s="24" t="s">
        <v>285</v>
      </c>
      <c r="AM192" s="298" t="s">
        <v>286</v>
      </c>
      <c r="AN192" s="298" t="s">
        <v>52</v>
      </c>
      <c r="AO192" s="234" t="s">
        <v>305</v>
      </c>
    </row>
    <row r="193" ht="15.75" customHeight="1">
      <c r="A193" s="69">
        <v>43509.0</v>
      </c>
      <c r="B193" s="144" t="s">
        <v>406</v>
      </c>
      <c r="C193" s="21">
        <v>7.000145102E9</v>
      </c>
      <c r="D193" s="139" t="s">
        <v>2287</v>
      </c>
      <c r="E193" s="23" t="s">
        <v>512</v>
      </c>
      <c r="F193" s="24">
        <v>5.0</v>
      </c>
      <c r="G193" s="25">
        <v>39.0</v>
      </c>
      <c r="H193" s="26">
        <f t="shared" si="15"/>
        <v>195</v>
      </c>
      <c r="I193" s="298" t="s">
        <v>43</v>
      </c>
      <c r="J193" s="407" t="s">
        <v>513</v>
      </c>
      <c r="K193" s="29">
        <v>43566.0</v>
      </c>
      <c r="L193" s="30">
        <v>43523.0</v>
      </c>
      <c r="M193" s="642" t="s">
        <v>2170</v>
      </c>
      <c r="N193" s="93" t="s">
        <v>2285</v>
      </c>
      <c r="O193" s="408"/>
      <c r="P193" s="408"/>
      <c r="Q193" s="408"/>
      <c r="R193" s="408"/>
      <c r="S193" s="408">
        <v>4725.0</v>
      </c>
      <c r="T193" s="20"/>
      <c r="U193" s="305"/>
      <c r="V193" s="305"/>
      <c r="W193" s="306"/>
      <c r="X193" s="406"/>
      <c r="Y193" s="306"/>
      <c r="Z193" s="306" t="s">
        <v>2288</v>
      </c>
      <c r="AA193" s="306">
        <v>4.076131905E9</v>
      </c>
      <c r="AB193" s="306"/>
      <c r="AC193" s="306"/>
      <c r="AD193" s="306"/>
      <c r="AE193" s="298"/>
      <c r="AF193" s="298">
        <v>30.76</v>
      </c>
      <c r="AG193" s="432">
        <f t="shared" ref="AG193:AG195" si="16">AF193*H193</f>
        <v>5998.2</v>
      </c>
      <c r="AH193" s="300">
        <v>43602.0</v>
      </c>
      <c r="AI193" s="299" t="s">
        <v>2289</v>
      </c>
      <c r="AJ193" s="299" t="s">
        <v>2290</v>
      </c>
      <c r="AK193" s="298" t="s">
        <v>50</v>
      </c>
      <c r="AL193" s="24" t="s">
        <v>285</v>
      </c>
      <c r="AM193" s="298" t="s">
        <v>286</v>
      </c>
      <c r="AN193" s="298" t="s">
        <v>52</v>
      </c>
      <c r="AO193" s="234" t="s">
        <v>305</v>
      </c>
    </row>
    <row r="194" ht="15.75" customHeight="1">
      <c r="A194" s="69">
        <v>43509.0</v>
      </c>
      <c r="B194" s="144" t="s">
        <v>406</v>
      </c>
      <c r="C194" s="21">
        <v>7.000145102E9</v>
      </c>
      <c r="D194" s="139" t="s">
        <v>2291</v>
      </c>
      <c r="E194" s="23" t="s">
        <v>515</v>
      </c>
      <c r="F194" s="24">
        <v>5.0</v>
      </c>
      <c r="G194" s="25">
        <v>43.0</v>
      </c>
      <c r="H194" s="26">
        <f t="shared" si="15"/>
        <v>215</v>
      </c>
      <c r="I194" s="298" t="s">
        <v>43</v>
      </c>
      <c r="J194" s="407" t="s">
        <v>513</v>
      </c>
      <c r="K194" s="29">
        <v>43566.0</v>
      </c>
      <c r="L194" s="30">
        <v>43523.0</v>
      </c>
      <c r="M194" s="497" t="s">
        <v>2170</v>
      </c>
      <c r="N194" s="93" t="s">
        <v>2285</v>
      </c>
      <c r="O194" s="408"/>
      <c r="P194" s="408"/>
      <c r="Q194" s="408"/>
      <c r="R194" s="408"/>
      <c r="S194" s="408">
        <v>4384.0</v>
      </c>
      <c r="T194" s="22"/>
      <c r="U194" s="305"/>
      <c r="V194" s="305"/>
      <c r="W194" s="306"/>
      <c r="X194" s="406"/>
      <c r="Y194" s="306"/>
      <c r="Z194" s="306" t="s">
        <v>2288</v>
      </c>
      <c r="AA194" s="306">
        <v>4.076131905E9</v>
      </c>
      <c r="AB194" s="306"/>
      <c r="AC194" s="306"/>
      <c r="AD194" s="306"/>
      <c r="AE194" s="298"/>
      <c r="AF194" s="298">
        <v>30.76</v>
      </c>
      <c r="AG194" s="432">
        <f t="shared" si="16"/>
        <v>6613.4</v>
      </c>
      <c r="AH194" s="300">
        <v>43602.0</v>
      </c>
      <c r="AI194" s="299" t="s">
        <v>2289</v>
      </c>
      <c r="AJ194" s="299" t="s">
        <v>2290</v>
      </c>
      <c r="AK194" s="298" t="s">
        <v>50</v>
      </c>
      <c r="AL194" s="24" t="s">
        <v>285</v>
      </c>
      <c r="AM194" s="298" t="s">
        <v>286</v>
      </c>
      <c r="AN194" s="298" t="s">
        <v>52</v>
      </c>
      <c r="AO194" s="234" t="s">
        <v>305</v>
      </c>
    </row>
    <row r="195" ht="15.75" customHeight="1">
      <c r="A195" s="69">
        <v>43509.0</v>
      </c>
      <c r="B195" s="144" t="s">
        <v>406</v>
      </c>
      <c r="C195" s="21">
        <v>7.000145102E9</v>
      </c>
      <c r="D195" s="139" t="s">
        <v>2292</v>
      </c>
      <c r="E195" s="23" t="s">
        <v>2293</v>
      </c>
      <c r="F195" s="24">
        <v>5.0</v>
      </c>
      <c r="G195" s="25">
        <v>775.0</v>
      </c>
      <c r="H195" s="26">
        <f t="shared" si="15"/>
        <v>3875</v>
      </c>
      <c r="I195" s="298" t="s">
        <v>43</v>
      </c>
      <c r="J195" s="407" t="s">
        <v>513</v>
      </c>
      <c r="K195" s="29">
        <v>43566.0</v>
      </c>
      <c r="L195" s="30">
        <v>43566.0</v>
      </c>
      <c r="M195" s="643" t="s">
        <v>1089</v>
      </c>
      <c r="N195" s="93" t="s">
        <v>2294</v>
      </c>
      <c r="O195" s="408"/>
      <c r="P195" s="408"/>
      <c r="Q195" s="408"/>
      <c r="R195" s="408"/>
      <c r="S195" s="408">
        <v>120325.0</v>
      </c>
      <c r="T195" s="22"/>
      <c r="U195" s="305"/>
      <c r="V195" s="305"/>
      <c r="W195" s="306"/>
      <c r="X195" s="406"/>
      <c r="Y195" s="306"/>
      <c r="Z195" s="306" t="s">
        <v>2288</v>
      </c>
      <c r="AA195" s="306">
        <v>4.076131905E9</v>
      </c>
      <c r="AB195" s="306"/>
      <c r="AC195" s="306"/>
      <c r="AD195" s="306"/>
      <c r="AE195" s="298"/>
      <c r="AF195" s="298">
        <v>30.76</v>
      </c>
      <c r="AG195" s="432">
        <f t="shared" si="16"/>
        <v>119195</v>
      </c>
      <c r="AH195" s="300">
        <v>43602.0</v>
      </c>
      <c r="AI195" s="299">
        <f>5142.57*31.11</f>
        <v>159985.3527</v>
      </c>
      <c r="AJ195" s="299">
        <f>(5169-5142.57)*31.11</f>
        <v>822.2373</v>
      </c>
      <c r="AK195" s="298" t="s">
        <v>50</v>
      </c>
      <c r="AL195" s="24" t="s">
        <v>285</v>
      </c>
      <c r="AM195" s="298" t="s">
        <v>286</v>
      </c>
      <c r="AN195" s="298" t="s">
        <v>52</v>
      </c>
      <c r="AO195" s="234" t="s">
        <v>305</v>
      </c>
    </row>
    <row r="196" ht="15.75" customHeight="1">
      <c r="A196" s="69">
        <v>43509.0</v>
      </c>
      <c r="B196" s="144" t="s">
        <v>406</v>
      </c>
      <c r="C196" s="21">
        <v>7.000145102E9</v>
      </c>
      <c r="D196" s="139" t="s">
        <v>2295</v>
      </c>
      <c r="E196" s="23" t="s">
        <v>512</v>
      </c>
      <c r="F196" s="24">
        <v>14.0</v>
      </c>
      <c r="G196" s="48">
        <v>39.0</v>
      </c>
      <c r="H196" s="26">
        <f t="shared" si="15"/>
        <v>546</v>
      </c>
      <c r="I196" s="298" t="s">
        <v>43</v>
      </c>
      <c r="J196" s="82" t="s">
        <v>520</v>
      </c>
      <c r="K196" s="29">
        <v>43588.0</v>
      </c>
      <c r="L196" s="613">
        <v>43523.0</v>
      </c>
      <c r="M196" s="644" t="s">
        <v>2170</v>
      </c>
      <c r="N196" s="615" t="s">
        <v>2285</v>
      </c>
      <c r="O196" s="619"/>
      <c r="P196" s="619"/>
      <c r="Q196" s="619"/>
      <c r="R196" s="619"/>
      <c r="S196" s="619">
        <v>13230.0</v>
      </c>
      <c r="T196" s="638"/>
      <c r="U196" s="295"/>
      <c r="V196" s="295"/>
      <c r="W196" s="296"/>
      <c r="X196" s="297"/>
      <c r="Y196" s="296"/>
      <c r="Z196" s="296" t="s">
        <v>2296</v>
      </c>
      <c r="AA196" s="296" t="s">
        <v>2297</v>
      </c>
      <c r="AB196" s="296"/>
      <c r="AC196" s="296"/>
      <c r="AD196" s="296"/>
      <c r="AE196" s="371"/>
      <c r="AF196" s="371">
        <v>30.845</v>
      </c>
      <c r="AG196" s="372">
        <v>0.0</v>
      </c>
      <c r="AH196" s="373">
        <v>43621.0</v>
      </c>
      <c r="AI196" s="372" t="s">
        <v>2298</v>
      </c>
      <c r="AJ196" s="372" t="s">
        <v>2299</v>
      </c>
      <c r="AK196" s="371" t="s">
        <v>50</v>
      </c>
      <c r="AL196" s="371" t="s">
        <v>285</v>
      </c>
      <c r="AM196" s="371" t="s">
        <v>286</v>
      </c>
      <c r="AN196" s="371" t="s">
        <v>52</v>
      </c>
      <c r="AO196" s="374" t="s">
        <v>440</v>
      </c>
    </row>
    <row r="197" ht="15.75" customHeight="1">
      <c r="A197" s="69">
        <v>43509.0</v>
      </c>
      <c r="B197" s="144" t="s">
        <v>406</v>
      </c>
      <c r="C197" s="21">
        <v>7.000145102E9</v>
      </c>
      <c r="D197" s="139" t="s">
        <v>2300</v>
      </c>
      <c r="E197" s="23" t="s">
        <v>515</v>
      </c>
      <c r="F197" s="24">
        <v>14.0</v>
      </c>
      <c r="G197" s="48">
        <v>43.0</v>
      </c>
      <c r="H197" s="26">
        <f t="shared" si="15"/>
        <v>602</v>
      </c>
      <c r="I197" s="298" t="s">
        <v>43</v>
      </c>
      <c r="J197" s="431" t="s">
        <v>520</v>
      </c>
      <c r="K197" s="29">
        <v>43588.0</v>
      </c>
      <c r="L197" s="613">
        <v>43523.0</v>
      </c>
      <c r="M197" s="644" t="s">
        <v>2170</v>
      </c>
      <c r="N197" s="615" t="s">
        <v>2285</v>
      </c>
      <c r="O197" s="619"/>
      <c r="P197" s="619"/>
      <c r="Q197" s="619"/>
      <c r="R197" s="619"/>
      <c r="S197" s="619">
        <v>12275.0</v>
      </c>
      <c r="T197" s="638"/>
      <c r="U197" s="295"/>
      <c r="V197" s="295"/>
      <c r="W197" s="296"/>
      <c r="X197" s="297"/>
      <c r="Y197" s="296"/>
      <c r="Z197" s="296" t="s">
        <v>2296</v>
      </c>
      <c r="AA197" s="296" t="s">
        <v>2297</v>
      </c>
      <c r="AB197" s="296"/>
      <c r="AC197" s="296"/>
      <c r="AD197" s="296"/>
      <c r="AE197" s="371"/>
      <c r="AF197" s="371">
        <v>30.845</v>
      </c>
      <c r="AG197" s="372">
        <v>0.0</v>
      </c>
      <c r="AH197" s="373">
        <v>43621.0</v>
      </c>
      <c r="AI197" s="372" t="s">
        <v>2298</v>
      </c>
      <c r="AJ197" s="372" t="s">
        <v>2299</v>
      </c>
      <c r="AK197" s="371" t="s">
        <v>50</v>
      </c>
      <c r="AL197" s="371" t="s">
        <v>285</v>
      </c>
      <c r="AM197" s="371" t="s">
        <v>286</v>
      </c>
      <c r="AN197" s="371" t="s">
        <v>52</v>
      </c>
      <c r="AO197" s="374" t="s">
        <v>440</v>
      </c>
    </row>
    <row r="198" ht="15.75" customHeight="1">
      <c r="A198" s="69">
        <v>43509.0</v>
      </c>
      <c r="B198" s="144" t="s">
        <v>406</v>
      </c>
      <c r="C198" s="21">
        <v>7.000145102E9</v>
      </c>
      <c r="D198" s="139" t="s">
        <v>2301</v>
      </c>
      <c r="E198" s="23" t="s">
        <v>512</v>
      </c>
      <c r="F198" s="24">
        <v>1.0</v>
      </c>
      <c r="G198" s="48">
        <v>39.0</v>
      </c>
      <c r="H198" s="26">
        <f t="shared" si="15"/>
        <v>39</v>
      </c>
      <c r="I198" s="87" t="s">
        <v>43</v>
      </c>
      <c r="J198" s="431" t="s">
        <v>520</v>
      </c>
      <c r="K198" s="30">
        <v>43634.0</v>
      </c>
      <c r="L198" s="30">
        <v>43523.0</v>
      </c>
      <c r="M198" s="497" t="s">
        <v>2170</v>
      </c>
      <c r="N198" s="93" t="s">
        <v>2285</v>
      </c>
      <c r="O198" s="408"/>
      <c r="P198" s="408"/>
      <c r="Q198" s="408"/>
      <c r="R198" s="408"/>
      <c r="S198" s="408">
        <f>(900*F198)*1.05</f>
        <v>945</v>
      </c>
      <c r="T198" s="20"/>
      <c r="U198" s="305"/>
      <c r="V198" s="305"/>
      <c r="W198" s="306"/>
      <c r="X198" s="406"/>
      <c r="Y198" s="306"/>
      <c r="Z198" s="306" t="s">
        <v>2302</v>
      </c>
      <c r="AA198" s="306" t="s">
        <v>2303</v>
      </c>
      <c r="AB198" s="306"/>
      <c r="AC198" s="306"/>
      <c r="AD198" s="306"/>
      <c r="AE198" s="298"/>
      <c r="AF198" s="298">
        <v>31.325</v>
      </c>
      <c r="AG198" s="299"/>
      <c r="AH198" s="300">
        <v>43677.0</v>
      </c>
      <c r="AI198" s="299"/>
      <c r="AJ198" s="299"/>
      <c r="AK198" s="298" t="s">
        <v>50</v>
      </c>
      <c r="AL198" s="298" t="s">
        <v>285</v>
      </c>
      <c r="AM198" s="298" t="s">
        <v>286</v>
      </c>
      <c r="AN198" s="298" t="s">
        <v>52</v>
      </c>
      <c r="AO198" s="234" t="s">
        <v>507</v>
      </c>
    </row>
    <row r="199" ht="15.75" customHeight="1">
      <c r="A199" s="69">
        <v>43509.0</v>
      </c>
      <c r="B199" s="144" t="s">
        <v>406</v>
      </c>
      <c r="C199" s="21">
        <v>7.000145102E9</v>
      </c>
      <c r="D199" s="139" t="s">
        <v>2304</v>
      </c>
      <c r="E199" s="23" t="s">
        <v>515</v>
      </c>
      <c r="F199" s="24">
        <v>1.0</v>
      </c>
      <c r="G199" s="25">
        <v>43.0</v>
      </c>
      <c r="H199" s="115">
        <f t="shared" si="15"/>
        <v>43</v>
      </c>
      <c r="I199" s="87" t="s">
        <v>43</v>
      </c>
      <c r="J199" s="431" t="s">
        <v>520</v>
      </c>
      <c r="K199" s="30">
        <v>43634.0</v>
      </c>
      <c r="L199" s="30">
        <v>43523.0</v>
      </c>
      <c r="M199" s="642" t="s">
        <v>2170</v>
      </c>
      <c r="N199" s="93" t="s">
        <v>2285</v>
      </c>
      <c r="O199" s="408"/>
      <c r="P199" s="408"/>
      <c r="Q199" s="408"/>
      <c r="R199" s="408"/>
      <c r="S199" s="408">
        <f>(835*F199)*1.05</f>
        <v>876.75</v>
      </c>
      <c r="T199" s="22"/>
      <c r="U199" s="305"/>
      <c r="V199" s="305"/>
      <c r="W199" s="306"/>
      <c r="X199" s="406"/>
      <c r="Y199" s="306"/>
      <c r="Z199" s="306" t="s">
        <v>2302</v>
      </c>
      <c r="AA199" s="306" t="s">
        <v>2303</v>
      </c>
      <c r="AB199" s="306"/>
      <c r="AC199" s="306"/>
      <c r="AD199" s="306"/>
      <c r="AE199" s="298"/>
      <c r="AF199" s="298">
        <v>31.325</v>
      </c>
      <c r="AG199" s="299"/>
      <c r="AH199" s="300">
        <v>43677.0</v>
      </c>
      <c r="AI199" s="299"/>
      <c r="AJ199" s="299"/>
      <c r="AK199" s="298" t="s">
        <v>50</v>
      </c>
      <c r="AL199" s="298" t="s">
        <v>285</v>
      </c>
      <c r="AM199" s="298" t="s">
        <v>286</v>
      </c>
      <c r="AN199" s="298" t="s">
        <v>52</v>
      </c>
      <c r="AO199" s="234" t="s">
        <v>507</v>
      </c>
    </row>
    <row r="200" ht="15.75" customHeight="1">
      <c r="A200" s="69">
        <v>43509.0</v>
      </c>
      <c r="B200" s="144" t="s">
        <v>406</v>
      </c>
      <c r="C200" s="21">
        <v>7.000145102E9</v>
      </c>
      <c r="D200" s="139" t="s">
        <v>2305</v>
      </c>
      <c r="E200" s="23" t="s">
        <v>2306</v>
      </c>
      <c r="F200" s="24">
        <v>14.0</v>
      </c>
      <c r="G200" s="48">
        <v>775.0</v>
      </c>
      <c r="H200" s="26">
        <f t="shared" si="15"/>
        <v>10850</v>
      </c>
      <c r="I200" s="298" t="s">
        <v>43</v>
      </c>
      <c r="J200" s="82" t="s">
        <v>520</v>
      </c>
      <c r="K200" s="29">
        <v>43588.0</v>
      </c>
      <c r="L200" s="613">
        <v>43581.0</v>
      </c>
      <c r="M200" s="614" t="s">
        <v>1089</v>
      </c>
      <c r="N200" s="615" t="s">
        <v>2307</v>
      </c>
      <c r="O200" s="619"/>
      <c r="P200" s="619"/>
      <c r="Q200" s="619"/>
      <c r="R200" s="619"/>
      <c r="S200" s="619">
        <v>332676.0</v>
      </c>
      <c r="T200" s="638"/>
      <c r="U200" s="295"/>
      <c r="V200" s="295"/>
      <c r="W200" s="296"/>
      <c r="X200" s="297"/>
      <c r="Y200" s="296"/>
      <c r="Z200" s="296" t="s">
        <v>2296</v>
      </c>
      <c r="AA200" s="296" t="s">
        <v>2297</v>
      </c>
      <c r="AB200" s="296"/>
      <c r="AC200" s="296"/>
      <c r="AD200" s="296"/>
      <c r="AE200" s="371"/>
      <c r="AF200" s="371">
        <v>30.845</v>
      </c>
      <c r="AG200" s="372">
        <f>11998*30.845</f>
        <v>370078.31</v>
      </c>
      <c r="AH200" s="373">
        <v>43621.0</v>
      </c>
      <c r="AI200" s="372">
        <f>11971.62*31.33</f>
        <v>375070.8546</v>
      </c>
      <c r="AJ200" s="372">
        <f>(11998-11971.62)*31.33</f>
        <v>826.4854</v>
      </c>
      <c r="AK200" s="371" t="s">
        <v>50</v>
      </c>
      <c r="AL200" s="371" t="s">
        <v>285</v>
      </c>
      <c r="AM200" s="371" t="s">
        <v>286</v>
      </c>
      <c r="AN200" s="371" t="s">
        <v>52</v>
      </c>
      <c r="AO200" s="374" t="s">
        <v>440</v>
      </c>
    </row>
    <row r="201" ht="15.75" customHeight="1">
      <c r="A201" s="69">
        <v>43509.0</v>
      </c>
      <c r="B201" s="144" t="s">
        <v>406</v>
      </c>
      <c r="C201" s="21">
        <v>7.000145102E9</v>
      </c>
      <c r="D201" s="139" t="s">
        <v>2308</v>
      </c>
      <c r="E201" s="23" t="s">
        <v>2309</v>
      </c>
      <c r="F201" s="24">
        <v>1.0</v>
      </c>
      <c r="G201" s="48">
        <v>775.0</v>
      </c>
      <c r="H201" s="26">
        <f t="shared" si="15"/>
        <v>775</v>
      </c>
      <c r="I201" s="87" t="s">
        <v>43</v>
      </c>
      <c r="J201" s="82" t="s">
        <v>520</v>
      </c>
      <c r="K201" s="30">
        <v>43634.0</v>
      </c>
      <c r="L201" s="30">
        <v>43593.0</v>
      </c>
      <c r="M201" s="58" t="s">
        <v>1089</v>
      </c>
      <c r="N201" s="93" t="s">
        <v>2307</v>
      </c>
      <c r="O201" s="408"/>
      <c r="P201" s="408"/>
      <c r="Q201" s="408"/>
      <c r="R201" s="408"/>
      <c r="S201" s="645">
        <v>23763.0</v>
      </c>
      <c r="T201" s="20"/>
      <c r="U201" s="305"/>
      <c r="V201" s="305"/>
      <c r="W201" s="306"/>
      <c r="X201" s="406"/>
      <c r="Y201" s="306"/>
      <c r="Z201" s="306" t="s">
        <v>2302</v>
      </c>
      <c r="AA201" s="306" t="s">
        <v>2303</v>
      </c>
      <c r="AB201" s="306"/>
      <c r="AC201" s="306"/>
      <c r="AD201" s="306"/>
      <c r="AE201" s="298"/>
      <c r="AF201" s="298">
        <v>31.325</v>
      </c>
      <c r="AG201" s="299"/>
      <c r="AH201" s="300">
        <v>43677.0</v>
      </c>
      <c r="AI201" s="299"/>
      <c r="AJ201" s="299"/>
      <c r="AK201" s="298" t="s">
        <v>50</v>
      </c>
      <c r="AL201" s="298" t="s">
        <v>285</v>
      </c>
      <c r="AM201" s="298" t="s">
        <v>286</v>
      </c>
      <c r="AN201" s="298" t="s">
        <v>52</v>
      </c>
      <c r="AO201" s="234" t="s">
        <v>507</v>
      </c>
    </row>
    <row r="202" ht="15.75" customHeight="1">
      <c r="A202" s="69">
        <v>43509.0</v>
      </c>
      <c r="B202" s="144" t="s">
        <v>406</v>
      </c>
      <c r="C202" s="21">
        <v>7.000145102E9</v>
      </c>
      <c r="D202" s="139" t="s">
        <v>2310</v>
      </c>
      <c r="E202" s="23" t="s">
        <v>512</v>
      </c>
      <c r="F202" s="24">
        <v>25.0</v>
      </c>
      <c r="G202" s="25">
        <v>39.0</v>
      </c>
      <c r="H202" s="26">
        <f t="shared" si="15"/>
        <v>975</v>
      </c>
      <c r="I202" s="82" t="s">
        <v>43</v>
      </c>
      <c r="J202" s="82" t="s">
        <v>520</v>
      </c>
      <c r="K202" s="30">
        <v>43634.0</v>
      </c>
      <c r="L202" s="613">
        <v>43523.0</v>
      </c>
      <c r="M202" s="617" t="s">
        <v>2170</v>
      </c>
      <c r="N202" s="646" t="s">
        <v>2285</v>
      </c>
      <c r="O202" s="647"/>
      <c r="P202" s="647"/>
      <c r="Q202" s="647"/>
      <c r="R202" s="647"/>
      <c r="S202" s="647">
        <v>23625.0</v>
      </c>
      <c r="T202" s="647"/>
      <c r="U202" s="413"/>
      <c r="V202" s="413"/>
      <c r="W202" s="342"/>
      <c r="X202" s="414"/>
      <c r="Y202" s="342"/>
      <c r="Z202" s="342" t="s">
        <v>2302</v>
      </c>
      <c r="AA202" s="342" t="s">
        <v>2303</v>
      </c>
      <c r="AB202" s="342"/>
      <c r="AC202" s="342"/>
      <c r="AD202" s="342"/>
      <c r="AE202" s="433" t="s">
        <v>284</v>
      </c>
      <c r="AF202" s="433">
        <v>31.325</v>
      </c>
      <c r="AG202" s="434"/>
      <c r="AH202" s="433"/>
      <c r="AI202" s="434"/>
      <c r="AJ202" s="434"/>
      <c r="AK202" s="433" t="s">
        <v>50</v>
      </c>
      <c r="AL202" s="371" t="s">
        <v>285</v>
      </c>
      <c r="AM202" s="433" t="s">
        <v>286</v>
      </c>
      <c r="AN202" s="433" t="s">
        <v>52</v>
      </c>
      <c r="AO202" s="374" t="s">
        <v>440</v>
      </c>
    </row>
    <row r="203" ht="15.75" customHeight="1">
      <c r="A203" s="69">
        <v>43509.0</v>
      </c>
      <c r="B203" s="144" t="s">
        <v>406</v>
      </c>
      <c r="C203" s="21">
        <v>7.000145102E9</v>
      </c>
      <c r="D203" s="139" t="s">
        <v>2311</v>
      </c>
      <c r="E203" s="23" t="s">
        <v>515</v>
      </c>
      <c r="F203" s="24">
        <v>25.0</v>
      </c>
      <c r="G203" s="48">
        <v>43.0</v>
      </c>
      <c r="H203" s="26">
        <f t="shared" si="15"/>
        <v>1075</v>
      </c>
      <c r="I203" s="82" t="s">
        <v>43</v>
      </c>
      <c r="J203" s="82" t="s">
        <v>520</v>
      </c>
      <c r="K203" s="30">
        <v>43634.0</v>
      </c>
      <c r="L203" s="613">
        <v>43523.0</v>
      </c>
      <c r="M203" s="648" t="s">
        <v>2170</v>
      </c>
      <c r="N203" s="646" t="s">
        <v>2285</v>
      </c>
      <c r="O203" s="647"/>
      <c r="P203" s="647"/>
      <c r="Q203" s="647"/>
      <c r="R203" s="647"/>
      <c r="S203" s="647">
        <v>21919.0</v>
      </c>
      <c r="T203" s="638"/>
      <c r="U203" s="413"/>
      <c r="V203" s="413"/>
      <c r="W203" s="342"/>
      <c r="X203" s="414"/>
      <c r="Y203" s="342"/>
      <c r="Z203" s="342" t="s">
        <v>2302</v>
      </c>
      <c r="AA203" s="342" t="s">
        <v>2303</v>
      </c>
      <c r="AB203" s="342"/>
      <c r="AC203" s="342"/>
      <c r="AD203" s="342"/>
      <c r="AE203" s="433" t="s">
        <v>284</v>
      </c>
      <c r="AF203" s="433">
        <v>31.325</v>
      </c>
      <c r="AG203" s="434"/>
      <c r="AH203" s="433"/>
      <c r="AI203" s="434"/>
      <c r="AJ203" s="434"/>
      <c r="AK203" s="433" t="s">
        <v>50</v>
      </c>
      <c r="AL203" s="371" t="s">
        <v>285</v>
      </c>
      <c r="AM203" s="433" t="s">
        <v>286</v>
      </c>
      <c r="AN203" s="433" t="s">
        <v>52</v>
      </c>
      <c r="AO203" s="374" t="s">
        <v>440</v>
      </c>
    </row>
    <row r="204" ht="15.75" customHeight="1">
      <c r="A204" s="69">
        <v>43509.0</v>
      </c>
      <c r="B204" s="144" t="s">
        <v>406</v>
      </c>
      <c r="C204" s="21">
        <v>7.000145102E9</v>
      </c>
      <c r="D204" s="139" t="s">
        <v>2312</v>
      </c>
      <c r="E204" s="23" t="s">
        <v>2313</v>
      </c>
      <c r="F204" s="24">
        <v>25.0</v>
      </c>
      <c r="G204" s="48">
        <v>775.0</v>
      </c>
      <c r="H204" s="26">
        <f t="shared" si="15"/>
        <v>19375</v>
      </c>
      <c r="I204" s="82" t="s">
        <v>43</v>
      </c>
      <c r="J204" s="82" t="s">
        <v>520</v>
      </c>
      <c r="K204" s="30">
        <v>43634.0</v>
      </c>
      <c r="L204" s="613">
        <v>43626.0</v>
      </c>
      <c r="M204" s="643" t="s">
        <v>1089</v>
      </c>
      <c r="N204" s="646" t="s">
        <v>2307</v>
      </c>
      <c r="O204" s="647"/>
      <c r="P204" s="647"/>
      <c r="Q204" s="647"/>
      <c r="R204" s="647"/>
      <c r="S204" s="647">
        <v>594064.0</v>
      </c>
      <c r="T204" s="638"/>
      <c r="U204" s="413"/>
      <c r="V204" s="413"/>
      <c r="W204" s="342"/>
      <c r="X204" s="414"/>
      <c r="Y204" s="342"/>
      <c r="Z204" s="342" t="s">
        <v>2302</v>
      </c>
      <c r="AA204" s="342" t="s">
        <v>2303</v>
      </c>
      <c r="AB204" s="342"/>
      <c r="AC204" s="342"/>
      <c r="AD204" s="342"/>
      <c r="AE204" s="433" t="s">
        <v>284</v>
      </c>
      <c r="AF204" s="433">
        <v>31.325</v>
      </c>
      <c r="AG204" s="434"/>
      <c r="AH204" s="433"/>
      <c r="AI204" s="434"/>
      <c r="AJ204" s="434"/>
      <c r="AK204" s="433" t="s">
        <v>50</v>
      </c>
      <c r="AL204" s="371" t="s">
        <v>285</v>
      </c>
      <c r="AM204" s="433" t="s">
        <v>286</v>
      </c>
      <c r="AN204" s="433" t="s">
        <v>52</v>
      </c>
      <c r="AO204" s="374" t="s">
        <v>440</v>
      </c>
    </row>
    <row r="205" ht="15.75" customHeight="1">
      <c r="A205" s="69">
        <v>43509.0</v>
      </c>
      <c r="B205" s="144" t="s">
        <v>673</v>
      </c>
      <c r="C205" s="21"/>
      <c r="D205" s="21" t="s">
        <v>674</v>
      </c>
      <c r="E205" s="23" t="s">
        <v>675</v>
      </c>
      <c r="F205" s="24">
        <v>1.0</v>
      </c>
      <c r="G205" s="48">
        <v>765.0</v>
      </c>
      <c r="H205" s="26">
        <f t="shared" si="15"/>
        <v>765</v>
      </c>
      <c r="I205" s="82" t="s">
        <v>171</v>
      </c>
      <c r="J205" s="161" t="s">
        <v>676</v>
      </c>
      <c r="K205" s="30">
        <v>43557.0</v>
      </c>
      <c r="L205" s="30">
        <v>43556.0</v>
      </c>
      <c r="M205" s="407" t="s">
        <v>1537</v>
      </c>
      <c r="N205" s="64" t="s">
        <v>2314</v>
      </c>
      <c r="O205" s="34"/>
      <c r="P205" s="34"/>
      <c r="Q205" s="34"/>
      <c r="R205" s="34"/>
      <c r="S205" s="408">
        <v>20585.0</v>
      </c>
      <c r="T205" s="649" t="s">
        <v>2148</v>
      </c>
      <c r="U205" s="52"/>
      <c r="V205" s="53"/>
      <c r="W205" s="53"/>
      <c r="X205" s="53"/>
      <c r="Y205" s="53"/>
      <c r="Z205" s="53" t="s">
        <v>2315</v>
      </c>
      <c r="AA205" s="53">
        <v>7.314483702E9</v>
      </c>
      <c r="AB205" s="53"/>
      <c r="AC205" s="53"/>
      <c r="AD205" s="53"/>
      <c r="AE205" s="54"/>
      <c r="AF205" s="54">
        <v>30.77</v>
      </c>
      <c r="AG205" s="55">
        <f>H205*AF205</f>
        <v>23539.05</v>
      </c>
      <c r="AH205" s="56">
        <v>43558.0</v>
      </c>
      <c r="AI205" s="55">
        <f>765*30.78</f>
        <v>23546.7</v>
      </c>
      <c r="AJ205" s="55">
        <v>0.0</v>
      </c>
      <c r="AK205" s="54" t="s">
        <v>50</v>
      </c>
      <c r="AL205" s="24" t="s">
        <v>285</v>
      </c>
      <c r="AM205" s="54" t="s">
        <v>286</v>
      </c>
      <c r="AN205" s="54" t="s">
        <v>52</v>
      </c>
      <c r="AO205" s="57" t="s">
        <v>398</v>
      </c>
    </row>
    <row r="206" ht="15.75" customHeight="1">
      <c r="A206" s="69">
        <v>43509.0</v>
      </c>
      <c r="B206" s="144" t="s">
        <v>378</v>
      </c>
      <c r="C206" s="21">
        <v>8818.0</v>
      </c>
      <c r="D206" s="21" t="s">
        <v>677</v>
      </c>
      <c r="E206" s="23" t="s">
        <v>380</v>
      </c>
      <c r="F206" s="435">
        <v>200.0</v>
      </c>
      <c r="G206" s="436">
        <v>62.0</v>
      </c>
      <c r="H206" s="26">
        <f t="shared" si="15"/>
        <v>12400</v>
      </c>
      <c r="I206" s="82" t="s">
        <v>171</v>
      </c>
      <c r="J206" s="58" t="s">
        <v>678</v>
      </c>
      <c r="K206" s="30">
        <v>43564.0</v>
      </c>
      <c r="L206" s="30">
        <v>43558.0</v>
      </c>
      <c r="M206" s="82" t="s">
        <v>2054</v>
      </c>
      <c r="N206" s="93" t="s">
        <v>2316</v>
      </c>
      <c r="O206" s="408"/>
      <c r="P206" s="408"/>
      <c r="Q206" s="408"/>
      <c r="R206" s="627"/>
      <c r="S206" s="627">
        <v>285180.0</v>
      </c>
      <c r="T206" s="21" t="s">
        <v>2056</v>
      </c>
      <c r="U206" s="295">
        <v>43590.0</v>
      </c>
      <c r="V206" s="302">
        <v>43558.0</v>
      </c>
      <c r="W206" s="296" t="s">
        <v>679</v>
      </c>
      <c r="X206" s="296">
        <v>285180.0</v>
      </c>
      <c r="Y206" s="302">
        <v>43592.0</v>
      </c>
      <c r="Z206" s="306" t="s">
        <v>2317</v>
      </c>
      <c r="AA206" s="306" t="s">
        <v>2318</v>
      </c>
      <c r="AB206" s="306"/>
      <c r="AC206" s="306"/>
      <c r="AD206" s="306"/>
      <c r="AE206" s="298"/>
      <c r="AF206" s="298">
        <v>30.77</v>
      </c>
      <c r="AG206" s="299">
        <f t="shared" ref="AG206:AG207" si="17">AF206*H206</f>
        <v>381548</v>
      </c>
      <c r="AH206" s="300">
        <v>43593.0</v>
      </c>
      <c r="AI206" s="299">
        <f>12383.53*30.9</f>
        <v>382651.077</v>
      </c>
      <c r="AJ206" s="299">
        <f>(10+6.47)*30.9</f>
        <v>508.923</v>
      </c>
      <c r="AK206" s="298" t="s">
        <v>50</v>
      </c>
      <c r="AL206" s="24" t="s">
        <v>285</v>
      </c>
      <c r="AM206" s="298" t="s">
        <v>286</v>
      </c>
      <c r="AN206" s="298" t="s">
        <v>52</v>
      </c>
      <c r="AO206" s="234" t="s">
        <v>305</v>
      </c>
    </row>
    <row r="207" ht="15.75" customHeight="1">
      <c r="A207" s="110">
        <v>43509.0</v>
      </c>
      <c r="B207" s="144" t="s">
        <v>378</v>
      </c>
      <c r="C207" s="21">
        <v>8818.0</v>
      </c>
      <c r="D207" s="21" t="s">
        <v>677</v>
      </c>
      <c r="E207" s="23" t="s">
        <v>383</v>
      </c>
      <c r="F207" s="435">
        <v>200.0</v>
      </c>
      <c r="G207" s="48">
        <v>0.0</v>
      </c>
      <c r="H207" s="26">
        <v>0.0</v>
      </c>
      <c r="I207" s="431" t="s">
        <v>171</v>
      </c>
      <c r="J207" s="58" t="s">
        <v>678</v>
      </c>
      <c r="K207" s="30">
        <v>43564.0</v>
      </c>
      <c r="L207" s="29">
        <v>43543.0</v>
      </c>
      <c r="M207" s="82" t="s">
        <v>1970</v>
      </c>
      <c r="N207" s="93"/>
      <c r="O207" s="408"/>
      <c r="P207" s="408"/>
      <c r="Q207" s="408"/>
      <c r="R207" s="408"/>
      <c r="S207" s="408">
        <v>0.0</v>
      </c>
      <c r="T207" s="503"/>
      <c r="U207" s="306"/>
      <c r="V207" s="305"/>
      <c r="W207" s="306"/>
      <c r="X207" s="306"/>
      <c r="Y207" s="306"/>
      <c r="Z207" s="306" t="s">
        <v>2319</v>
      </c>
      <c r="AA207" s="306" t="s">
        <v>2320</v>
      </c>
      <c r="AB207" s="306"/>
      <c r="AC207" s="306"/>
      <c r="AD207" s="306"/>
      <c r="AE207" s="298"/>
      <c r="AF207" s="298">
        <v>30.77</v>
      </c>
      <c r="AG207" s="299">
        <f t="shared" si="17"/>
        <v>0</v>
      </c>
      <c r="AH207" s="300">
        <v>43593.0</v>
      </c>
      <c r="AI207" s="299" t="s">
        <v>2321</v>
      </c>
      <c r="AJ207" s="299" t="s">
        <v>2322</v>
      </c>
      <c r="AK207" s="298" t="s">
        <v>50</v>
      </c>
      <c r="AL207" s="24" t="s">
        <v>285</v>
      </c>
      <c r="AM207" s="298" t="s">
        <v>286</v>
      </c>
      <c r="AN207" s="298" t="s">
        <v>52</v>
      </c>
      <c r="AO207" s="234" t="s">
        <v>305</v>
      </c>
    </row>
    <row r="208" ht="15.75" customHeight="1">
      <c r="A208" s="69">
        <v>43511.0</v>
      </c>
      <c r="B208" s="265" t="s">
        <v>77</v>
      </c>
      <c r="C208" s="252"/>
      <c r="D208" s="252" t="s">
        <v>680</v>
      </c>
      <c r="E208" s="23" t="s">
        <v>318</v>
      </c>
      <c r="F208" s="253">
        <v>20.0</v>
      </c>
      <c r="G208" s="254">
        <v>0.0</v>
      </c>
      <c r="H208" s="255">
        <f t="shared" ref="H208:H232" si="18">G208*F208</f>
        <v>0</v>
      </c>
      <c r="I208" s="266" t="s">
        <v>43</v>
      </c>
      <c r="J208" s="333" t="s">
        <v>479</v>
      </c>
      <c r="K208" s="258">
        <v>43522.0</v>
      </c>
      <c r="L208" s="258">
        <v>43519.0</v>
      </c>
      <c r="M208" s="369" t="s">
        <v>1998</v>
      </c>
      <c r="N208" s="422" t="s">
        <v>2323</v>
      </c>
      <c r="O208" s="310"/>
      <c r="P208" s="310"/>
      <c r="Q208" s="310">
        <v>4620.0</v>
      </c>
      <c r="R208" s="310"/>
      <c r="S208" s="310"/>
      <c r="T208" s="650" t="s">
        <v>2000</v>
      </c>
      <c r="U208" s="260">
        <v>43555.0</v>
      </c>
      <c r="V208" s="260">
        <v>43519.0</v>
      </c>
      <c r="W208" s="261" t="s">
        <v>681</v>
      </c>
      <c r="X208" s="272">
        <v>142342.0</v>
      </c>
      <c r="Y208" s="260">
        <v>43649.0</v>
      </c>
      <c r="Z208" s="331" t="s">
        <v>2132</v>
      </c>
      <c r="AA208" s="331" t="s">
        <v>2133</v>
      </c>
      <c r="AB208" s="331"/>
      <c r="AC208" s="331"/>
      <c r="AD208" s="331"/>
      <c r="AE208" s="253" t="s">
        <v>578</v>
      </c>
      <c r="AF208" s="253"/>
      <c r="AG208" s="262"/>
      <c r="AH208" s="253"/>
      <c r="AI208" s="262" t="s">
        <v>2004</v>
      </c>
      <c r="AJ208" s="262" t="s">
        <v>2005</v>
      </c>
      <c r="AK208" s="253" t="s">
        <v>50</v>
      </c>
      <c r="AL208" s="253" t="s">
        <v>285</v>
      </c>
      <c r="AM208" s="253" t="s">
        <v>51</v>
      </c>
      <c r="AN208" s="253" t="s">
        <v>52</v>
      </c>
      <c r="AO208" s="264"/>
    </row>
    <row r="209" ht="15.75" customHeight="1">
      <c r="A209" s="69">
        <v>43513.0</v>
      </c>
      <c r="B209" s="70" t="s">
        <v>406</v>
      </c>
      <c r="C209" s="292">
        <v>7.000145208E9</v>
      </c>
      <c r="D209" s="292" t="s">
        <v>682</v>
      </c>
      <c r="E209" s="23" t="s">
        <v>587</v>
      </c>
      <c r="F209" s="24">
        <v>3.0</v>
      </c>
      <c r="G209" s="48">
        <v>15.0</v>
      </c>
      <c r="H209" s="60">
        <f t="shared" si="18"/>
        <v>45</v>
      </c>
      <c r="I209" s="87" t="s">
        <v>43</v>
      </c>
      <c r="J209" s="407" t="s">
        <v>513</v>
      </c>
      <c r="K209" s="29">
        <v>43529.0</v>
      </c>
      <c r="L209" s="29">
        <v>43528.0</v>
      </c>
      <c r="M209" s="58" t="s">
        <v>2078</v>
      </c>
      <c r="N209" s="93" t="s">
        <v>2324</v>
      </c>
      <c r="O209" s="408"/>
      <c r="P209" s="408"/>
      <c r="Q209" s="408"/>
      <c r="R209" s="408"/>
      <c r="S209" s="408">
        <v>920.0</v>
      </c>
      <c r="T209" s="651" t="s">
        <v>2080</v>
      </c>
      <c r="U209" s="437">
        <v>43616.0</v>
      </c>
      <c r="V209" s="295">
        <v>43528.0</v>
      </c>
      <c r="W209" s="296" t="s">
        <v>683</v>
      </c>
      <c r="X209" s="297">
        <v>4491.0</v>
      </c>
      <c r="Y209" s="302">
        <v>43616.0</v>
      </c>
      <c r="Z209" s="306" t="s">
        <v>2155</v>
      </c>
      <c r="AA209" s="306">
        <v>7.47615708E9</v>
      </c>
      <c r="AB209" s="306"/>
      <c r="AC209" s="306"/>
      <c r="AD209" s="306"/>
      <c r="AE209" s="298"/>
      <c r="AF209" s="298">
        <v>30.74</v>
      </c>
      <c r="AG209" s="299"/>
      <c r="AH209" s="145">
        <v>43588.0</v>
      </c>
      <c r="AI209" s="299" t="s">
        <v>2156</v>
      </c>
      <c r="AJ209" s="299" t="s">
        <v>2157</v>
      </c>
      <c r="AK209" s="298" t="s">
        <v>50</v>
      </c>
      <c r="AL209" s="298" t="s">
        <v>285</v>
      </c>
      <c r="AM209" s="298" t="s">
        <v>51</v>
      </c>
      <c r="AN209" s="298" t="s">
        <v>52</v>
      </c>
      <c r="AO209" s="234" t="s">
        <v>305</v>
      </c>
    </row>
    <row r="210" ht="15.75" customHeight="1">
      <c r="A210" s="69">
        <v>43513.0</v>
      </c>
      <c r="B210" s="70" t="s">
        <v>406</v>
      </c>
      <c r="C210" s="292">
        <v>7.000145208E9</v>
      </c>
      <c r="D210" s="292" t="s">
        <v>682</v>
      </c>
      <c r="E210" s="23" t="s">
        <v>684</v>
      </c>
      <c r="F210" s="24">
        <v>1.0</v>
      </c>
      <c r="G210" s="48">
        <v>129.0</v>
      </c>
      <c r="H210" s="60">
        <f t="shared" si="18"/>
        <v>129</v>
      </c>
      <c r="I210" s="87" t="s">
        <v>43</v>
      </c>
      <c r="J210" s="407" t="s">
        <v>513</v>
      </c>
      <c r="K210" s="29">
        <v>43529.0</v>
      </c>
      <c r="L210" s="29">
        <v>43528.0</v>
      </c>
      <c r="M210" s="58" t="s">
        <v>2078</v>
      </c>
      <c r="N210" s="93" t="s">
        <v>2324</v>
      </c>
      <c r="O210" s="408"/>
      <c r="P210" s="408"/>
      <c r="Q210" s="408"/>
      <c r="R210" s="408"/>
      <c r="S210" s="408">
        <v>3571.0</v>
      </c>
      <c r="T210" s="22" t="s">
        <v>2080</v>
      </c>
      <c r="U210" s="437">
        <v>43616.0</v>
      </c>
      <c r="V210" s="295">
        <v>43528.0</v>
      </c>
      <c r="W210" s="296" t="s">
        <v>683</v>
      </c>
      <c r="X210" s="296" t="s">
        <v>2325</v>
      </c>
      <c r="Y210" s="302">
        <v>43616.0</v>
      </c>
      <c r="Z210" s="306" t="s">
        <v>2155</v>
      </c>
      <c r="AA210" s="306">
        <v>7.47615708E9</v>
      </c>
      <c r="AB210" s="306"/>
      <c r="AC210" s="306"/>
      <c r="AD210" s="306"/>
      <c r="AE210" s="298"/>
      <c r="AF210" s="298">
        <v>30.74</v>
      </c>
      <c r="AG210" s="299"/>
      <c r="AH210" s="145">
        <v>43588.0</v>
      </c>
      <c r="AI210" s="299" t="s">
        <v>2156</v>
      </c>
      <c r="AJ210" s="299" t="s">
        <v>2157</v>
      </c>
      <c r="AK210" s="298" t="s">
        <v>50</v>
      </c>
      <c r="AL210" s="298" t="s">
        <v>285</v>
      </c>
      <c r="AM210" s="298" t="s">
        <v>51</v>
      </c>
      <c r="AN210" s="298" t="s">
        <v>52</v>
      </c>
      <c r="AO210" s="234" t="s">
        <v>305</v>
      </c>
    </row>
    <row r="211" ht="15.75" customHeight="1">
      <c r="A211" s="69">
        <v>43513.0</v>
      </c>
      <c r="B211" s="70" t="s">
        <v>406</v>
      </c>
      <c r="C211" s="292">
        <v>7.000145208E9</v>
      </c>
      <c r="D211" s="292" t="s">
        <v>682</v>
      </c>
      <c r="E211" s="23" t="s">
        <v>685</v>
      </c>
      <c r="F211" s="24">
        <v>1.0</v>
      </c>
      <c r="G211" s="48">
        <v>71.0</v>
      </c>
      <c r="H211" s="60">
        <f t="shared" si="18"/>
        <v>71</v>
      </c>
      <c r="I211" s="87" t="s">
        <v>43</v>
      </c>
      <c r="J211" s="431" t="s">
        <v>520</v>
      </c>
      <c r="K211" s="29">
        <v>43546.0</v>
      </c>
      <c r="L211" s="29">
        <v>43543.0</v>
      </c>
      <c r="M211" s="58" t="s">
        <v>2078</v>
      </c>
      <c r="N211" s="93" t="s">
        <v>2324</v>
      </c>
      <c r="O211" s="408"/>
      <c r="P211" s="408"/>
      <c r="Q211" s="408"/>
      <c r="R211" s="408"/>
      <c r="S211" s="408">
        <v>1956.0</v>
      </c>
      <c r="T211" s="22" t="s">
        <v>2080</v>
      </c>
      <c r="U211" s="437">
        <v>43616.0</v>
      </c>
      <c r="V211" s="295">
        <v>43542.0</v>
      </c>
      <c r="W211" s="296" t="s">
        <v>686</v>
      </c>
      <c r="X211" s="297">
        <v>1956.0</v>
      </c>
      <c r="Y211" s="302">
        <v>43616.0</v>
      </c>
      <c r="Z211" s="306" t="s">
        <v>2240</v>
      </c>
      <c r="AA211" s="306" t="s">
        <v>2241</v>
      </c>
      <c r="AB211" s="306"/>
      <c r="AC211" s="306"/>
      <c r="AD211" s="306"/>
      <c r="AE211" s="298"/>
      <c r="AF211" s="298">
        <v>30.825</v>
      </c>
      <c r="AG211" s="299"/>
      <c r="AH211" s="145">
        <v>43588.0</v>
      </c>
      <c r="AI211" s="299" t="s">
        <v>2156</v>
      </c>
      <c r="AJ211" s="299" t="s">
        <v>2157</v>
      </c>
      <c r="AK211" s="298" t="s">
        <v>50</v>
      </c>
      <c r="AL211" s="298" t="s">
        <v>285</v>
      </c>
      <c r="AM211" s="298" t="s">
        <v>51</v>
      </c>
      <c r="AN211" s="298" t="s">
        <v>52</v>
      </c>
      <c r="AO211" s="234" t="s">
        <v>305</v>
      </c>
    </row>
    <row r="212" ht="15.75" customHeight="1">
      <c r="A212" s="69">
        <v>43514.0</v>
      </c>
      <c r="B212" s="70" t="s">
        <v>119</v>
      </c>
      <c r="C212" s="21" t="s">
        <v>687</v>
      </c>
      <c r="D212" s="21" t="s">
        <v>688</v>
      </c>
      <c r="E212" s="23" t="s">
        <v>161</v>
      </c>
      <c r="F212" s="82">
        <v>10.0</v>
      </c>
      <c r="G212" s="47">
        <v>485.0</v>
      </c>
      <c r="H212" s="165">
        <f t="shared" si="18"/>
        <v>4850</v>
      </c>
      <c r="I212" s="298" t="s">
        <v>171</v>
      </c>
      <c r="J212" s="431" t="s">
        <v>122</v>
      </c>
      <c r="K212" s="30">
        <v>43564.0</v>
      </c>
      <c r="L212" s="652">
        <v>43546.0</v>
      </c>
      <c r="M212" s="653" t="s">
        <v>90</v>
      </c>
      <c r="N212" s="615" t="s">
        <v>2326</v>
      </c>
      <c r="O212" s="475"/>
      <c r="P212" s="475"/>
      <c r="Q212" s="475">
        <v>4200.0</v>
      </c>
      <c r="R212" s="654"/>
      <c r="S212" s="654">
        <f>1090921/35390.78*4200</f>
        <v>129465.0245</v>
      </c>
      <c r="T212" s="648" t="s">
        <v>94</v>
      </c>
      <c r="U212" s="437">
        <v>43585.0</v>
      </c>
      <c r="V212" s="295">
        <v>43545.0</v>
      </c>
      <c r="W212" s="296" t="s">
        <v>689</v>
      </c>
      <c r="X212" s="297">
        <v>1090921.0</v>
      </c>
      <c r="Y212" s="302">
        <v>43586.0</v>
      </c>
      <c r="Z212" s="296" t="s">
        <v>2327</v>
      </c>
      <c r="AA212" s="296" t="s">
        <v>2328</v>
      </c>
      <c r="AB212" s="296"/>
      <c r="AC212" s="296"/>
      <c r="AD212" s="296"/>
      <c r="AE212" s="371"/>
      <c r="AF212" s="371">
        <v>30.77</v>
      </c>
      <c r="AG212" s="372">
        <f t="shared" ref="AG212:AG218" si="19">AF212*H212</f>
        <v>149234.5</v>
      </c>
      <c r="AH212" s="433" t="s">
        <v>690</v>
      </c>
      <c r="AI212" s="372" t="s">
        <v>2329</v>
      </c>
      <c r="AJ212" s="372" t="s">
        <v>2330</v>
      </c>
      <c r="AK212" s="371" t="s">
        <v>50</v>
      </c>
      <c r="AL212" s="371" t="s">
        <v>285</v>
      </c>
      <c r="AM212" s="371" t="s">
        <v>51</v>
      </c>
      <c r="AN212" s="371" t="s">
        <v>52</v>
      </c>
      <c r="AO212" s="374" t="s">
        <v>440</v>
      </c>
    </row>
    <row r="213" ht="15.75" customHeight="1">
      <c r="A213" s="69">
        <v>43514.0</v>
      </c>
      <c r="B213" s="70" t="s">
        <v>119</v>
      </c>
      <c r="C213" s="21" t="s">
        <v>687</v>
      </c>
      <c r="D213" s="21" t="s">
        <v>688</v>
      </c>
      <c r="E213" s="23" t="s">
        <v>166</v>
      </c>
      <c r="F213" s="82">
        <v>5.0</v>
      </c>
      <c r="G213" s="47">
        <v>880.0</v>
      </c>
      <c r="H213" s="165">
        <f t="shared" si="18"/>
        <v>4400</v>
      </c>
      <c r="I213" s="298" t="s">
        <v>171</v>
      </c>
      <c r="J213" s="431" t="s">
        <v>122</v>
      </c>
      <c r="K213" s="30">
        <v>43564.0</v>
      </c>
      <c r="L213" s="652">
        <v>43546.0</v>
      </c>
      <c r="M213" s="653" t="s">
        <v>90</v>
      </c>
      <c r="N213" s="615" t="s">
        <v>2326</v>
      </c>
      <c r="O213" s="475"/>
      <c r="P213" s="475"/>
      <c r="Q213" s="475">
        <v>3924.38</v>
      </c>
      <c r="R213" s="654"/>
      <c r="S213" s="654">
        <f>1090921/35390.78*3924.38</f>
        <v>120969.0364</v>
      </c>
      <c r="T213" s="648" t="s">
        <v>94</v>
      </c>
      <c r="U213" s="437">
        <v>43585.0</v>
      </c>
      <c r="V213" s="295">
        <v>43545.0</v>
      </c>
      <c r="W213" s="296" t="s">
        <v>689</v>
      </c>
      <c r="X213" s="296" t="s">
        <v>2331</v>
      </c>
      <c r="Y213" s="302">
        <v>43586.0</v>
      </c>
      <c r="Z213" s="296" t="s">
        <v>2327</v>
      </c>
      <c r="AA213" s="296" t="s">
        <v>2328</v>
      </c>
      <c r="AB213" s="296"/>
      <c r="AC213" s="296"/>
      <c r="AD213" s="296"/>
      <c r="AE213" s="371"/>
      <c r="AF213" s="371">
        <v>30.77</v>
      </c>
      <c r="AG213" s="372">
        <f t="shared" si="19"/>
        <v>135388</v>
      </c>
      <c r="AH213" s="373">
        <v>43615.0</v>
      </c>
      <c r="AI213" s="372" t="s">
        <v>2332</v>
      </c>
      <c r="AJ213" s="372" t="s">
        <v>2332</v>
      </c>
      <c r="AK213" s="371" t="s">
        <v>50</v>
      </c>
      <c r="AL213" s="371" t="s">
        <v>285</v>
      </c>
      <c r="AM213" s="371" t="s">
        <v>51</v>
      </c>
      <c r="AN213" s="371" t="s">
        <v>52</v>
      </c>
      <c r="AO213" s="374" t="s">
        <v>440</v>
      </c>
    </row>
    <row r="214" ht="15.75" customHeight="1">
      <c r="A214" s="69">
        <v>43514.0</v>
      </c>
      <c r="B214" s="70" t="s">
        <v>119</v>
      </c>
      <c r="C214" s="21" t="s">
        <v>687</v>
      </c>
      <c r="D214" s="21" t="s">
        <v>688</v>
      </c>
      <c r="E214" s="23" t="s">
        <v>152</v>
      </c>
      <c r="F214" s="82">
        <v>12.0</v>
      </c>
      <c r="G214" s="47">
        <v>1045.0</v>
      </c>
      <c r="H214" s="165">
        <f t="shared" si="18"/>
        <v>12540</v>
      </c>
      <c r="I214" s="298" t="s">
        <v>171</v>
      </c>
      <c r="J214" s="431" t="s">
        <v>122</v>
      </c>
      <c r="K214" s="30">
        <v>43564.0</v>
      </c>
      <c r="L214" s="29">
        <v>43546.0</v>
      </c>
      <c r="M214" s="63" t="s">
        <v>90</v>
      </c>
      <c r="N214" s="93" t="s">
        <v>2326</v>
      </c>
      <c r="O214" s="470"/>
      <c r="P214" s="470"/>
      <c r="Q214" s="470">
        <v>11592.0</v>
      </c>
      <c r="R214" s="655"/>
      <c r="S214" s="655">
        <f>1090921/35390.78*11592</f>
        <v>357323.4676</v>
      </c>
      <c r="T214" s="35" t="s">
        <v>94</v>
      </c>
      <c r="U214" s="437">
        <v>43585.0</v>
      </c>
      <c r="V214" s="295">
        <v>43545.0</v>
      </c>
      <c r="W214" s="296" t="s">
        <v>689</v>
      </c>
      <c r="X214" s="296" t="s">
        <v>2331</v>
      </c>
      <c r="Y214" s="302">
        <v>43586.0</v>
      </c>
      <c r="Z214" s="53" t="s">
        <v>2327</v>
      </c>
      <c r="AA214" s="53" t="s">
        <v>2328</v>
      </c>
      <c r="AB214" s="53"/>
      <c r="AC214" s="53"/>
      <c r="AD214" s="53"/>
      <c r="AE214" s="54"/>
      <c r="AF214" s="54">
        <v>30.77</v>
      </c>
      <c r="AG214" s="55">
        <f t="shared" si="19"/>
        <v>385855.8</v>
      </c>
      <c r="AH214" s="56">
        <v>43563.0</v>
      </c>
      <c r="AI214" s="55">
        <f>31736.11*30.775</f>
        <v>976678.7853</v>
      </c>
      <c r="AJ214" s="55">
        <f>(31764-31736.11)*30.775</f>
        <v>858.31475</v>
      </c>
      <c r="AK214" s="54" t="s">
        <v>50</v>
      </c>
      <c r="AL214" s="24" t="s">
        <v>285</v>
      </c>
      <c r="AM214" s="54" t="s">
        <v>51</v>
      </c>
      <c r="AN214" s="54" t="s">
        <v>52</v>
      </c>
      <c r="AO214" s="57" t="s">
        <v>398</v>
      </c>
    </row>
    <row r="215" ht="15.75" customHeight="1">
      <c r="A215" s="69">
        <v>43514.0</v>
      </c>
      <c r="B215" s="70" t="s">
        <v>119</v>
      </c>
      <c r="C215" s="21" t="s">
        <v>687</v>
      </c>
      <c r="D215" s="21" t="s">
        <v>688</v>
      </c>
      <c r="E215" s="23" t="s">
        <v>414</v>
      </c>
      <c r="F215" s="82">
        <v>8.0</v>
      </c>
      <c r="G215" s="47">
        <v>118.0</v>
      </c>
      <c r="H215" s="165">
        <f t="shared" si="18"/>
        <v>944</v>
      </c>
      <c r="I215" s="298" t="s">
        <v>171</v>
      </c>
      <c r="J215" s="431" t="s">
        <v>122</v>
      </c>
      <c r="K215" s="30">
        <v>43564.0</v>
      </c>
      <c r="L215" s="29">
        <v>43546.0</v>
      </c>
      <c r="M215" s="63" t="s">
        <v>90</v>
      </c>
      <c r="N215" s="93" t="s">
        <v>2326</v>
      </c>
      <c r="O215" s="470"/>
      <c r="P215" s="470"/>
      <c r="Q215" s="470">
        <v>873.6</v>
      </c>
      <c r="R215" s="655"/>
      <c r="S215" s="655">
        <f>1090921*873.6/35390.78</f>
        <v>26928.7251</v>
      </c>
      <c r="T215" s="656" t="s">
        <v>94</v>
      </c>
      <c r="U215" s="437">
        <v>43585.0</v>
      </c>
      <c r="V215" s="295">
        <v>43545.0</v>
      </c>
      <c r="W215" s="296" t="s">
        <v>689</v>
      </c>
      <c r="X215" s="296" t="s">
        <v>2331</v>
      </c>
      <c r="Y215" s="302">
        <v>43586.0</v>
      </c>
      <c r="Z215" s="53" t="s">
        <v>2327</v>
      </c>
      <c r="AA215" s="53" t="s">
        <v>2328</v>
      </c>
      <c r="AB215" s="53"/>
      <c r="AC215" s="53"/>
      <c r="AD215" s="53"/>
      <c r="AE215" s="54"/>
      <c r="AF215" s="54">
        <v>30.77</v>
      </c>
      <c r="AG215" s="55">
        <f t="shared" si="19"/>
        <v>29046.88</v>
      </c>
      <c r="AH215" s="56">
        <v>43563.0</v>
      </c>
      <c r="AI215" s="55" t="s">
        <v>2333</v>
      </c>
      <c r="AJ215" s="55" t="s">
        <v>2334</v>
      </c>
      <c r="AK215" s="54" t="s">
        <v>50</v>
      </c>
      <c r="AL215" s="24" t="s">
        <v>285</v>
      </c>
      <c r="AM215" s="54" t="s">
        <v>51</v>
      </c>
      <c r="AN215" s="54" t="s">
        <v>52</v>
      </c>
      <c r="AO215" s="57" t="s">
        <v>398</v>
      </c>
    </row>
    <row r="216" ht="15.75" customHeight="1">
      <c r="A216" s="69">
        <v>43514.0</v>
      </c>
      <c r="B216" s="70" t="s">
        <v>119</v>
      </c>
      <c r="C216" s="21" t="s">
        <v>687</v>
      </c>
      <c r="D216" s="21" t="s">
        <v>688</v>
      </c>
      <c r="E216" s="23" t="s">
        <v>415</v>
      </c>
      <c r="F216" s="82">
        <v>6.0</v>
      </c>
      <c r="G216" s="47">
        <v>335.0</v>
      </c>
      <c r="H216" s="165">
        <f t="shared" si="18"/>
        <v>2010</v>
      </c>
      <c r="I216" s="298" t="s">
        <v>171</v>
      </c>
      <c r="J216" s="438" t="s">
        <v>122</v>
      </c>
      <c r="K216" s="30">
        <v>43564.0</v>
      </c>
      <c r="L216" s="29">
        <v>43546.0</v>
      </c>
      <c r="M216" s="63" t="s">
        <v>90</v>
      </c>
      <c r="N216" s="93" t="s">
        <v>2326</v>
      </c>
      <c r="O216" s="470"/>
      <c r="P216" s="470"/>
      <c r="Q216" s="470">
        <v>1827.0</v>
      </c>
      <c r="R216" s="655"/>
      <c r="S216" s="655">
        <f>1827*1090921/35390.78</f>
        <v>56317.28566</v>
      </c>
      <c r="T216" s="35" t="s">
        <v>94</v>
      </c>
      <c r="U216" s="437">
        <v>43585.0</v>
      </c>
      <c r="V216" s="295">
        <v>43545.0</v>
      </c>
      <c r="W216" s="296" t="s">
        <v>689</v>
      </c>
      <c r="X216" s="296" t="s">
        <v>2331</v>
      </c>
      <c r="Y216" s="302">
        <v>43586.0</v>
      </c>
      <c r="Z216" s="53" t="s">
        <v>2327</v>
      </c>
      <c r="AA216" s="53" t="s">
        <v>2328</v>
      </c>
      <c r="AB216" s="53"/>
      <c r="AC216" s="53"/>
      <c r="AD216" s="53"/>
      <c r="AE216" s="54"/>
      <c r="AF216" s="54">
        <v>30.77</v>
      </c>
      <c r="AG216" s="55">
        <f t="shared" si="19"/>
        <v>61847.7</v>
      </c>
      <c r="AH216" s="56">
        <v>43563.0</v>
      </c>
      <c r="AI216" s="55" t="s">
        <v>2333</v>
      </c>
      <c r="AJ216" s="55" t="s">
        <v>2334</v>
      </c>
      <c r="AK216" s="54" t="s">
        <v>50</v>
      </c>
      <c r="AL216" s="24" t="s">
        <v>285</v>
      </c>
      <c r="AM216" s="54" t="s">
        <v>51</v>
      </c>
      <c r="AN216" s="54" t="s">
        <v>52</v>
      </c>
      <c r="AO216" s="57" t="s">
        <v>398</v>
      </c>
    </row>
    <row r="217" ht="15.75" customHeight="1">
      <c r="A217" s="69">
        <v>43514.0</v>
      </c>
      <c r="B217" s="70" t="s">
        <v>119</v>
      </c>
      <c r="C217" s="21" t="s">
        <v>687</v>
      </c>
      <c r="D217" s="21" t="s">
        <v>688</v>
      </c>
      <c r="E217" s="23" t="s">
        <v>325</v>
      </c>
      <c r="F217" s="82">
        <v>8.0</v>
      </c>
      <c r="G217" s="47">
        <v>577.0</v>
      </c>
      <c r="H217" s="165">
        <f t="shared" si="18"/>
        <v>4616</v>
      </c>
      <c r="I217" s="298" t="s">
        <v>171</v>
      </c>
      <c r="J217" s="82" t="s">
        <v>122</v>
      </c>
      <c r="K217" s="30">
        <v>43564.0</v>
      </c>
      <c r="L217" s="29">
        <v>43546.0</v>
      </c>
      <c r="M217" s="50" t="s">
        <v>90</v>
      </c>
      <c r="N217" s="93" t="s">
        <v>2326</v>
      </c>
      <c r="O217" s="470"/>
      <c r="P217" s="470"/>
      <c r="Q217" s="470">
        <v>4258.8</v>
      </c>
      <c r="R217" s="655"/>
      <c r="S217" s="655">
        <f>4258.8*1090921/35390.78</f>
        <v>131277.5348</v>
      </c>
      <c r="T217" s="51" t="s">
        <v>94</v>
      </c>
      <c r="U217" s="437">
        <v>43585.0</v>
      </c>
      <c r="V217" s="295">
        <v>43545.0</v>
      </c>
      <c r="W217" s="296" t="s">
        <v>689</v>
      </c>
      <c r="X217" s="296" t="s">
        <v>2331</v>
      </c>
      <c r="Y217" s="302">
        <v>43586.0</v>
      </c>
      <c r="Z217" s="306" t="s">
        <v>2327</v>
      </c>
      <c r="AA217" s="306" t="s">
        <v>2328</v>
      </c>
      <c r="AB217" s="306"/>
      <c r="AC217" s="306"/>
      <c r="AD217" s="306"/>
      <c r="AE217" s="298"/>
      <c r="AF217" s="298">
        <v>30.77</v>
      </c>
      <c r="AG217" s="299">
        <f t="shared" si="19"/>
        <v>142034.32</v>
      </c>
      <c r="AH217" s="145">
        <v>43589.0</v>
      </c>
      <c r="AI217" s="299">
        <f>16625.68*30.875</f>
        <v>513317.87</v>
      </c>
      <c r="AJ217" s="299">
        <f>(16646-16625.68)*30.875</f>
        <v>627.38</v>
      </c>
      <c r="AK217" s="298" t="s">
        <v>50</v>
      </c>
      <c r="AL217" s="298" t="s">
        <v>285</v>
      </c>
      <c r="AM217" s="298" t="s">
        <v>51</v>
      </c>
      <c r="AN217" s="298" t="s">
        <v>52</v>
      </c>
      <c r="AO217" s="234" t="s">
        <v>305</v>
      </c>
    </row>
    <row r="218" ht="15.75" customHeight="1">
      <c r="A218" s="69">
        <v>43514.0</v>
      </c>
      <c r="B218" s="70" t="s">
        <v>119</v>
      </c>
      <c r="C218" s="21" t="s">
        <v>687</v>
      </c>
      <c r="D218" s="21" t="s">
        <v>688</v>
      </c>
      <c r="E218" s="23" t="s">
        <v>121</v>
      </c>
      <c r="F218" s="82">
        <v>25.0</v>
      </c>
      <c r="G218" s="47">
        <v>359.0</v>
      </c>
      <c r="H218" s="165">
        <f t="shared" si="18"/>
        <v>8975</v>
      </c>
      <c r="I218" s="298" t="s">
        <v>171</v>
      </c>
      <c r="J218" s="82" t="s">
        <v>122</v>
      </c>
      <c r="K218" s="30">
        <v>43564.0</v>
      </c>
      <c r="L218" s="652">
        <v>43546.0</v>
      </c>
      <c r="M218" s="653" t="s">
        <v>90</v>
      </c>
      <c r="N218" s="615" t="s">
        <v>2326</v>
      </c>
      <c r="O218" s="475"/>
      <c r="P218" s="475"/>
      <c r="Q218" s="475">
        <v>8715.0</v>
      </c>
      <c r="R218" s="654"/>
      <c r="S218" s="654">
        <f>8715*1090921/35390.78</f>
        <v>268639.9259</v>
      </c>
      <c r="T218" s="648" t="s">
        <v>94</v>
      </c>
      <c r="U218" s="437">
        <v>43585.0</v>
      </c>
      <c r="V218" s="295">
        <v>43545.0</v>
      </c>
      <c r="W218" s="296" t="s">
        <v>689</v>
      </c>
      <c r="X218" s="296" t="s">
        <v>2331</v>
      </c>
      <c r="Y218" s="302">
        <v>43586.0</v>
      </c>
      <c r="Z218" s="296" t="s">
        <v>2327</v>
      </c>
      <c r="AA218" s="296" t="s">
        <v>2328</v>
      </c>
      <c r="AB218" s="296"/>
      <c r="AC218" s="296"/>
      <c r="AD218" s="296"/>
      <c r="AE218" s="371"/>
      <c r="AF218" s="371">
        <v>30.77</v>
      </c>
      <c r="AG218" s="372">
        <f t="shared" si="19"/>
        <v>276160.75</v>
      </c>
      <c r="AH218" s="373">
        <v>43615.0</v>
      </c>
      <c r="AI218" s="372" t="s">
        <v>2332</v>
      </c>
      <c r="AJ218" s="372" t="s">
        <v>2332</v>
      </c>
      <c r="AK218" s="371" t="s">
        <v>50</v>
      </c>
      <c r="AL218" s="371" t="s">
        <v>285</v>
      </c>
      <c r="AM218" s="371" t="s">
        <v>51</v>
      </c>
      <c r="AN218" s="371" t="s">
        <v>52</v>
      </c>
      <c r="AO218" s="374" t="s">
        <v>440</v>
      </c>
    </row>
    <row r="219" ht="15.75" customHeight="1">
      <c r="A219" s="69">
        <v>43515.0</v>
      </c>
      <c r="B219" s="70" t="s">
        <v>101</v>
      </c>
      <c r="C219" s="21"/>
      <c r="D219" s="21" t="s">
        <v>691</v>
      </c>
      <c r="E219" s="23" t="s">
        <v>2335</v>
      </c>
      <c r="F219" s="24">
        <v>4.0</v>
      </c>
      <c r="G219" s="48">
        <v>399.0</v>
      </c>
      <c r="H219" s="26">
        <f t="shared" si="18"/>
        <v>1596</v>
      </c>
      <c r="I219" s="87" t="s">
        <v>303</v>
      </c>
      <c r="J219" s="50" t="s">
        <v>534</v>
      </c>
      <c r="K219" s="29">
        <v>43531.0</v>
      </c>
      <c r="L219" s="205">
        <v>43521.0</v>
      </c>
      <c r="M219" s="63" t="s">
        <v>2336</v>
      </c>
      <c r="N219" s="93" t="s">
        <v>2337</v>
      </c>
      <c r="O219" s="34"/>
      <c r="P219" s="34"/>
      <c r="Q219" s="34"/>
      <c r="R219" s="627"/>
      <c r="S219" s="627">
        <v>43260.0</v>
      </c>
      <c r="T219" s="22" t="s">
        <v>2338</v>
      </c>
      <c r="U219" s="295">
        <v>43529.0</v>
      </c>
      <c r="V219" s="295">
        <v>43519.0</v>
      </c>
      <c r="W219" s="296" t="s">
        <v>693</v>
      </c>
      <c r="X219" s="297">
        <v>43260.0</v>
      </c>
      <c r="Y219" s="295">
        <v>43531.0</v>
      </c>
      <c r="Z219" s="53" t="s">
        <v>2339</v>
      </c>
      <c r="AA219" s="53">
        <v>2.203364822E9</v>
      </c>
      <c r="AB219" s="53"/>
      <c r="AC219" s="53"/>
      <c r="AD219" s="53"/>
      <c r="AE219" s="54"/>
      <c r="AF219" s="54">
        <v>30.74</v>
      </c>
      <c r="AG219" s="55"/>
      <c r="AH219" s="56">
        <v>43565.0</v>
      </c>
      <c r="AI219" s="38" t="s">
        <v>2074</v>
      </c>
      <c r="AJ219" s="38" t="s">
        <v>2075</v>
      </c>
      <c r="AK219" s="54" t="s">
        <v>50</v>
      </c>
      <c r="AL219" s="24" t="s">
        <v>285</v>
      </c>
      <c r="AM219" s="54" t="s">
        <v>51</v>
      </c>
      <c r="AN219" s="54" t="s">
        <v>52</v>
      </c>
      <c r="AO219" s="57" t="s">
        <v>398</v>
      </c>
    </row>
    <row r="220" ht="15.75" customHeight="1">
      <c r="A220" s="69">
        <v>43515.0</v>
      </c>
      <c r="B220" s="70" t="s">
        <v>101</v>
      </c>
      <c r="C220" s="21"/>
      <c r="D220" s="21" t="s">
        <v>694</v>
      </c>
      <c r="E220" s="23" t="s">
        <v>2340</v>
      </c>
      <c r="F220" s="24">
        <v>2.0</v>
      </c>
      <c r="G220" s="48">
        <v>399.0</v>
      </c>
      <c r="H220" s="26">
        <f t="shared" si="18"/>
        <v>798</v>
      </c>
      <c r="I220" s="87" t="s">
        <v>303</v>
      </c>
      <c r="J220" s="50" t="s">
        <v>534</v>
      </c>
      <c r="K220" s="29">
        <v>43531.0</v>
      </c>
      <c r="L220" s="30">
        <v>43529.0</v>
      </c>
      <c r="M220" s="63" t="s">
        <v>2336</v>
      </c>
      <c r="N220" s="93" t="s">
        <v>2337</v>
      </c>
      <c r="O220" s="34"/>
      <c r="P220" s="34"/>
      <c r="Q220" s="34"/>
      <c r="R220" s="627"/>
      <c r="S220" s="627">
        <v>21630.0</v>
      </c>
      <c r="T220" s="22" t="s">
        <v>2338</v>
      </c>
      <c r="U220" s="295">
        <v>43560.0</v>
      </c>
      <c r="V220" s="295">
        <v>43529.0</v>
      </c>
      <c r="W220" s="296" t="s">
        <v>696</v>
      </c>
      <c r="X220" s="297">
        <v>21630.0</v>
      </c>
      <c r="Y220" s="295">
        <v>43558.0</v>
      </c>
      <c r="Z220" s="53" t="s">
        <v>2339</v>
      </c>
      <c r="AA220" s="53">
        <v>2.203364822E9</v>
      </c>
      <c r="AB220" s="53"/>
      <c r="AC220" s="53"/>
      <c r="AD220" s="53"/>
      <c r="AE220" s="54"/>
      <c r="AF220" s="54">
        <v>30.74</v>
      </c>
      <c r="AG220" s="55"/>
      <c r="AH220" s="56">
        <v>43565.0</v>
      </c>
      <c r="AI220" s="38" t="s">
        <v>2074</v>
      </c>
      <c r="AJ220" s="38" t="s">
        <v>2075</v>
      </c>
      <c r="AK220" s="54" t="s">
        <v>50</v>
      </c>
      <c r="AL220" s="24" t="s">
        <v>285</v>
      </c>
      <c r="AM220" s="54" t="s">
        <v>51</v>
      </c>
      <c r="AN220" s="54" t="s">
        <v>52</v>
      </c>
      <c r="AO220" s="57" t="s">
        <v>398</v>
      </c>
    </row>
    <row r="221" ht="15.75" customHeight="1">
      <c r="A221" s="69">
        <v>43515.0</v>
      </c>
      <c r="B221" s="144" t="s">
        <v>464</v>
      </c>
      <c r="C221" s="252" t="s">
        <v>697</v>
      </c>
      <c r="D221" s="252" t="s">
        <v>698</v>
      </c>
      <c r="E221" s="23" t="s">
        <v>699</v>
      </c>
      <c r="F221" s="253">
        <v>1.0</v>
      </c>
      <c r="G221" s="254">
        <v>470.0</v>
      </c>
      <c r="H221" s="336">
        <f t="shared" si="18"/>
        <v>470</v>
      </c>
      <c r="I221" s="266" t="s">
        <v>171</v>
      </c>
      <c r="J221" s="253" t="s">
        <v>467</v>
      </c>
      <c r="K221" s="258">
        <v>43550.0</v>
      </c>
      <c r="L221" s="258">
        <v>43550.0</v>
      </c>
      <c r="M221" s="604"/>
      <c r="N221" s="602" t="s">
        <v>2341</v>
      </c>
      <c r="O221" s="600"/>
      <c r="P221" s="600"/>
      <c r="Q221" s="600"/>
      <c r="R221" s="600"/>
      <c r="S221" s="600"/>
      <c r="T221" s="330"/>
      <c r="U221" s="339"/>
      <c r="V221" s="331"/>
      <c r="W221" s="331"/>
      <c r="X221" s="331"/>
      <c r="Y221" s="331"/>
      <c r="Z221" s="331" t="s">
        <v>2270</v>
      </c>
      <c r="AA221" s="331">
        <v>2.58891835E8</v>
      </c>
      <c r="AB221" s="331"/>
      <c r="AC221" s="331"/>
      <c r="AD221" s="331"/>
      <c r="AE221" s="253"/>
      <c r="AF221" s="253">
        <v>30.825</v>
      </c>
      <c r="AG221" s="262"/>
      <c r="AH221" s="307"/>
      <c r="AI221" s="262">
        <f>495*30.76-200</f>
        <v>15026.2</v>
      </c>
      <c r="AJ221" s="262">
        <v>200.0</v>
      </c>
      <c r="AK221" s="253" t="s">
        <v>50</v>
      </c>
      <c r="AL221" s="253" t="s">
        <v>285</v>
      </c>
      <c r="AM221" s="253" t="s">
        <v>286</v>
      </c>
      <c r="AN221" s="253" t="s">
        <v>52</v>
      </c>
      <c r="AO221" s="264"/>
    </row>
    <row r="222" ht="15.75" customHeight="1">
      <c r="A222" s="69">
        <v>43515.0</v>
      </c>
      <c r="B222" s="147" t="s">
        <v>464</v>
      </c>
      <c r="C222" s="252" t="s">
        <v>697</v>
      </c>
      <c r="D222" s="252" t="s">
        <v>698</v>
      </c>
      <c r="E222" s="23" t="s">
        <v>700</v>
      </c>
      <c r="F222" s="253">
        <v>1.0</v>
      </c>
      <c r="G222" s="254">
        <f>25</f>
        <v>25</v>
      </c>
      <c r="H222" s="336">
        <f t="shared" si="18"/>
        <v>25</v>
      </c>
      <c r="I222" s="266" t="s">
        <v>171</v>
      </c>
      <c r="J222" s="395" t="s">
        <v>467</v>
      </c>
      <c r="K222" s="258">
        <v>43550.0</v>
      </c>
      <c r="L222" s="631"/>
      <c r="M222" s="369" t="s">
        <v>1089</v>
      </c>
      <c r="N222" s="602"/>
      <c r="O222" s="600"/>
      <c r="P222" s="600"/>
      <c r="Q222" s="600"/>
      <c r="R222" s="600"/>
      <c r="S222" s="600"/>
      <c r="T222" s="388"/>
      <c r="U222" s="339"/>
      <c r="V222" s="331"/>
      <c r="W222" s="331"/>
      <c r="X222" s="331"/>
      <c r="Y222" s="331"/>
      <c r="Z222" s="331" t="s">
        <v>2270</v>
      </c>
      <c r="AA222" s="331">
        <v>2.58891835E8</v>
      </c>
      <c r="AB222" s="331"/>
      <c r="AC222" s="331"/>
      <c r="AD222" s="331"/>
      <c r="AE222" s="253"/>
      <c r="AF222" s="253">
        <v>30.825</v>
      </c>
      <c r="AG222" s="262"/>
      <c r="AH222" s="253"/>
      <c r="AI222" s="262" t="s">
        <v>2342</v>
      </c>
      <c r="AJ222" s="262" t="s">
        <v>2342</v>
      </c>
      <c r="AK222" s="253" t="s">
        <v>50</v>
      </c>
      <c r="AL222" s="253" t="s">
        <v>285</v>
      </c>
      <c r="AM222" s="253" t="s">
        <v>286</v>
      </c>
      <c r="AN222" s="253" t="s">
        <v>52</v>
      </c>
      <c r="AO222" s="264"/>
    </row>
    <row r="223" ht="15.75" customHeight="1">
      <c r="A223" s="69">
        <v>43515.0</v>
      </c>
      <c r="B223" s="21" t="s">
        <v>101</v>
      </c>
      <c r="C223" s="21"/>
      <c r="D223" s="21" t="s">
        <v>701</v>
      </c>
      <c r="E223" s="23" t="s">
        <v>2343</v>
      </c>
      <c r="F223" s="24">
        <v>2.0</v>
      </c>
      <c r="G223" s="47">
        <v>994.0</v>
      </c>
      <c r="H223" s="60">
        <f t="shared" si="18"/>
        <v>1988</v>
      </c>
      <c r="I223" s="87" t="s">
        <v>703</v>
      </c>
      <c r="J223" s="439" t="s">
        <v>534</v>
      </c>
      <c r="K223" s="29">
        <v>43536.0</v>
      </c>
      <c r="L223" s="30">
        <v>43532.0</v>
      </c>
      <c r="M223" s="407" t="s">
        <v>2344</v>
      </c>
      <c r="N223" s="93" t="s">
        <v>2345</v>
      </c>
      <c r="O223" s="408"/>
      <c r="P223" s="408"/>
      <c r="Q223" s="408"/>
      <c r="R223" s="408"/>
      <c r="S223" s="408">
        <v>56603.0</v>
      </c>
      <c r="T223" s="657" t="s">
        <v>2346</v>
      </c>
      <c r="U223" s="295">
        <v>43560.0</v>
      </c>
      <c r="V223" s="295">
        <v>43531.0</v>
      </c>
      <c r="W223" s="296" t="s">
        <v>704</v>
      </c>
      <c r="X223" s="297">
        <v>56603.0</v>
      </c>
      <c r="Y223" s="295">
        <v>43564.0</v>
      </c>
      <c r="Z223" s="306" t="s">
        <v>1984</v>
      </c>
      <c r="AA223" s="306">
        <v>3.4557796E9</v>
      </c>
      <c r="AB223" s="306"/>
      <c r="AC223" s="306"/>
      <c r="AD223" s="306"/>
      <c r="AE223" s="298"/>
      <c r="AF223" s="298">
        <v>30.79</v>
      </c>
      <c r="AG223" s="299"/>
      <c r="AH223" s="300">
        <v>43587.0</v>
      </c>
      <c r="AI223" s="299" t="s">
        <v>1987</v>
      </c>
      <c r="AJ223" s="299" t="s">
        <v>1988</v>
      </c>
      <c r="AK223" s="298" t="s">
        <v>50</v>
      </c>
      <c r="AL223" s="298" t="s">
        <v>285</v>
      </c>
      <c r="AM223" s="298" t="s">
        <v>51</v>
      </c>
      <c r="AN223" s="298" t="s">
        <v>52</v>
      </c>
      <c r="AO223" s="234" t="s">
        <v>305</v>
      </c>
    </row>
    <row r="224" ht="15.75" customHeight="1">
      <c r="A224" s="69">
        <v>43516.0</v>
      </c>
      <c r="B224" s="147" t="s">
        <v>167</v>
      </c>
      <c r="C224" s="429"/>
      <c r="D224" s="429" t="s">
        <v>705</v>
      </c>
      <c r="E224" s="23" t="s">
        <v>501</v>
      </c>
      <c r="F224" s="440">
        <v>2.0</v>
      </c>
      <c r="G224" s="441">
        <v>132.0</v>
      </c>
      <c r="H224" s="442">
        <f t="shared" si="18"/>
        <v>264</v>
      </c>
      <c r="I224" s="443" t="s">
        <v>105</v>
      </c>
      <c r="J224" s="444" t="s">
        <v>172</v>
      </c>
      <c r="K224" s="445">
        <v>43538.0</v>
      </c>
      <c r="L224" s="445">
        <v>43523.0</v>
      </c>
      <c r="M224" s="658" t="s">
        <v>178</v>
      </c>
      <c r="N224" s="429" t="s">
        <v>2347</v>
      </c>
      <c r="O224" s="659"/>
      <c r="P224" s="659"/>
      <c r="Q224" s="659"/>
      <c r="R224" s="660"/>
      <c r="S224" s="661">
        <v>5953.5</v>
      </c>
      <c r="T224" s="662" t="s">
        <v>1983</v>
      </c>
      <c r="U224" s="446">
        <v>43590.0</v>
      </c>
      <c r="V224" s="447" t="s">
        <v>706</v>
      </c>
      <c r="W224" s="447" t="s">
        <v>706</v>
      </c>
      <c r="X224" s="447" t="s">
        <v>706</v>
      </c>
      <c r="Y224" s="446">
        <v>43592.0</v>
      </c>
      <c r="Z224" s="663" t="s">
        <v>2348</v>
      </c>
      <c r="AA224" s="663">
        <v>4.604850272E9</v>
      </c>
      <c r="AB224" s="663"/>
      <c r="AC224" s="663"/>
      <c r="AD224" s="663"/>
      <c r="AE224" s="440"/>
      <c r="AF224" s="440"/>
      <c r="AG224" s="448"/>
      <c r="AH224" s="440"/>
      <c r="AI224" s="448" t="s">
        <v>2349</v>
      </c>
      <c r="AJ224" s="262" t="s">
        <v>2350</v>
      </c>
      <c r="AK224" s="253" t="s">
        <v>50</v>
      </c>
      <c r="AL224" s="253" t="s">
        <v>285</v>
      </c>
      <c r="AM224" s="440" t="s">
        <v>286</v>
      </c>
      <c r="AN224" s="440" t="s">
        <v>52</v>
      </c>
      <c r="AO224" s="449"/>
    </row>
    <row r="225" ht="15.75" customHeight="1">
      <c r="A225" s="69">
        <v>43516.0</v>
      </c>
      <c r="B225" s="147" t="s">
        <v>167</v>
      </c>
      <c r="C225" s="252"/>
      <c r="D225" s="252" t="s">
        <v>705</v>
      </c>
      <c r="E225" s="23" t="s">
        <v>2351</v>
      </c>
      <c r="F225" s="253">
        <v>2.0</v>
      </c>
      <c r="G225" s="254">
        <v>1155.0</v>
      </c>
      <c r="H225" s="336">
        <f t="shared" si="18"/>
        <v>2310</v>
      </c>
      <c r="I225" s="266" t="s">
        <v>105</v>
      </c>
      <c r="J225" s="257" t="s">
        <v>172</v>
      </c>
      <c r="K225" s="258">
        <v>43538.0</v>
      </c>
      <c r="L225" s="258">
        <v>43538.0</v>
      </c>
      <c r="M225" s="604"/>
      <c r="N225" s="252" t="s">
        <v>2352</v>
      </c>
      <c r="O225" s="600"/>
      <c r="P225" s="600"/>
      <c r="Q225" s="600"/>
      <c r="R225" s="600"/>
      <c r="S225" s="600"/>
      <c r="T225" s="388"/>
      <c r="U225" s="339"/>
      <c r="V225" s="331"/>
      <c r="W225" s="331"/>
      <c r="X225" s="331"/>
      <c r="Y225" s="331"/>
      <c r="Z225" s="331" t="s">
        <v>2348</v>
      </c>
      <c r="AA225" s="331">
        <v>4.604850272E9</v>
      </c>
      <c r="AB225" s="331"/>
      <c r="AC225" s="331"/>
      <c r="AD225" s="331"/>
      <c r="AE225" s="253"/>
      <c r="AF225" s="253"/>
      <c r="AG225" s="262"/>
      <c r="AH225" s="253"/>
      <c r="AI225" s="262">
        <f>(2590-6.5)*30.76</f>
        <v>79468.46</v>
      </c>
      <c r="AJ225" s="262">
        <f>(40+6.5)*30.76</f>
        <v>1430.34</v>
      </c>
      <c r="AK225" s="253" t="s">
        <v>50</v>
      </c>
      <c r="AL225" s="253" t="s">
        <v>285</v>
      </c>
      <c r="AM225" s="253" t="s">
        <v>286</v>
      </c>
      <c r="AN225" s="253" t="s">
        <v>52</v>
      </c>
      <c r="AO225" s="264"/>
    </row>
    <row r="226" ht="15.75" customHeight="1">
      <c r="A226" s="69">
        <v>43516.0</v>
      </c>
      <c r="B226" s="147" t="s">
        <v>167</v>
      </c>
      <c r="C226" s="252"/>
      <c r="D226" s="252" t="s">
        <v>705</v>
      </c>
      <c r="E226" s="23" t="s">
        <v>498</v>
      </c>
      <c r="F226" s="253">
        <v>2.0</v>
      </c>
      <c r="G226" s="254">
        <v>28.0</v>
      </c>
      <c r="H226" s="336">
        <f t="shared" si="18"/>
        <v>56</v>
      </c>
      <c r="I226" s="266" t="s">
        <v>105</v>
      </c>
      <c r="J226" s="257" t="s">
        <v>172</v>
      </c>
      <c r="K226" s="258">
        <v>43538.0</v>
      </c>
      <c r="L226" s="601"/>
      <c r="M226" s="604"/>
      <c r="N226" s="252" t="s">
        <v>2352</v>
      </c>
      <c r="O226" s="600"/>
      <c r="P226" s="600"/>
      <c r="Q226" s="600"/>
      <c r="R226" s="600"/>
      <c r="S226" s="600"/>
      <c r="T226" s="388"/>
      <c r="U226" s="339"/>
      <c r="V226" s="331"/>
      <c r="W226" s="331"/>
      <c r="X226" s="331"/>
      <c r="Y226" s="331"/>
      <c r="Z226" s="331" t="s">
        <v>2348</v>
      </c>
      <c r="AA226" s="331">
        <v>4.604850272E9</v>
      </c>
      <c r="AB226" s="331"/>
      <c r="AC226" s="331"/>
      <c r="AD226" s="331"/>
      <c r="AE226" s="253"/>
      <c r="AF226" s="253"/>
      <c r="AG226" s="262"/>
      <c r="AH226" s="253"/>
      <c r="AI226" s="262" t="s">
        <v>2349</v>
      </c>
      <c r="AJ226" s="262" t="s">
        <v>2350</v>
      </c>
      <c r="AK226" s="253" t="s">
        <v>50</v>
      </c>
      <c r="AL226" s="253" t="s">
        <v>285</v>
      </c>
      <c r="AM226" s="253" t="s">
        <v>286</v>
      </c>
      <c r="AN226" s="253" t="s">
        <v>52</v>
      </c>
      <c r="AO226" s="264"/>
    </row>
    <row r="227" ht="15.75" customHeight="1">
      <c r="A227" s="19">
        <v>43517.0</v>
      </c>
      <c r="B227" s="22" t="s">
        <v>326</v>
      </c>
      <c r="C227" s="21">
        <v>2027687.0</v>
      </c>
      <c r="D227" s="22" t="s">
        <v>708</v>
      </c>
      <c r="E227" s="23" t="s">
        <v>328</v>
      </c>
      <c r="F227" s="24">
        <v>5.0</v>
      </c>
      <c r="G227" s="48">
        <v>607.0</v>
      </c>
      <c r="H227" s="26">
        <f t="shared" si="18"/>
        <v>3035</v>
      </c>
      <c r="I227" s="49" t="s">
        <v>43</v>
      </c>
      <c r="J227" s="450" t="s">
        <v>329</v>
      </c>
      <c r="K227" s="29">
        <v>43552.0</v>
      </c>
      <c r="L227" s="30">
        <v>43545.0</v>
      </c>
      <c r="M227" s="58" t="s">
        <v>54</v>
      </c>
      <c r="N227" s="32" t="s">
        <v>2353</v>
      </c>
      <c r="O227" s="41"/>
      <c r="P227" s="41"/>
      <c r="Q227" s="41">
        <v>2966.25</v>
      </c>
      <c r="R227" s="41"/>
      <c r="S227" s="41">
        <v>91642.0</v>
      </c>
      <c r="T227" s="23" t="s">
        <v>56</v>
      </c>
      <c r="U227" s="437">
        <v>43585.0</v>
      </c>
      <c r="V227" s="413">
        <v>43544.0</v>
      </c>
      <c r="W227" s="342" t="s">
        <v>709</v>
      </c>
      <c r="X227" s="414">
        <v>259063.0</v>
      </c>
      <c r="Y227" s="451">
        <v>43588.0</v>
      </c>
      <c r="Z227" s="37" t="s">
        <v>2354</v>
      </c>
      <c r="AA227" s="37">
        <v>625630.0</v>
      </c>
      <c r="AB227" s="37"/>
      <c r="AC227" s="37"/>
      <c r="AD227" s="37"/>
      <c r="AE227" s="24"/>
      <c r="AF227" s="24"/>
      <c r="AG227" s="38"/>
      <c r="AH227" s="24"/>
      <c r="AI227" s="38"/>
      <c r="AJ227" s="38"/>
      <c r="AK227" s="24" t="s">
        <v>50</v>
      </c>
      <c r="AL227" s="24" t="s">
        <v>285</v>
      </c>
      <c r="AM227" s="24" t="s">
        <v>51</v>
      </c>
      <c r="AN227" s="24" t="s">
        <v>52</v>
      </c>
      <c r="AO227" s="40" t="s">
        <v>398</v>
      </c>
    </row>
    <row r="228" ht="15.75" customHeight="1">
      <c r="A228" s="19">
        <v>43517.0</v>
      </c>
      <c r="B228" s="22" t="s">
        <v>326</v>
      </c>
      <c r="C228" s="21">
        <v>2027687.0</v>
      </c>
      <c r="D228" s="22" t="s">
        <v>708</v>
      </c>
      <c r="E228" s="23" t="s">
        <v>2355</v>
      </c>
      <c r="F228" s="24">
        <v>5.0</v>
      </c>
      <c r="G228" s="48">
        <v>27.0</v>
      </c>
      <c r="H228" s="26">
        <f t="shared" si="18"/>
        <v>135</v>
      </c>
      <c r="I228" s="49" t="s">
        <v>43</v>
      </c>
      <c r="J228" s="450" t="s">
        <v>329</v>
      </c>
      <c r="K228" s="29">
        <v>43552.0</v>
      </c>
      <c r="L228" s="30">
        <v>43545.0</v>
      </c>
      <c r="M228" s="58" t="s">
        <v>54</v>
      </c>
      <c r="N228" s="32" t="s">
        <v>2353</v>
      </c>
      <c r="O228" s="41"/>
      <c r="P228" s="41"/>
      <c r="Q228" s="41">
        <v>131.25</v>
      </c>
      <c r="R228" s="41"/>
      <c r="S228" s="41">
        <v>4055.0</v>
      </c>
      <c r="T228" s="23" t="s">
        <v>56</v>
      </c>
      <c r="U228" s="437">
        <v>43585.0</v>
      </c>
      <c r="V228" s="413">
        <v>43544.0</v>
      </c>
      <c r="W228" s="342" t="s">
        <v>709</v>
      </c>
      <c r="X228" s="342" t="s">
        <v>2356</v>
      </c>
      <c r="Y228" s="451">
        <v>43588.0</v>
      </c>
      <c r="Z228" s="37" t="s">
        <v>2354</v>
      </c>
      <c r="AA228" s="37">
        <v>625630.0</v>
      </c>
      <c r="AB228" s="37"/>
      <c r="AC228" s="37"/>
      <c r="AD228" s="37"/>
      <c r="AE228" s="24"/>
      <c r="AF228" s="24"/>
      <c r="AG228" s="38"/>
      <c r="AH228" s="24"/>
      <c r="AI228" s="38"/>
      <c r="AJ228" s="38"/>
      <c r="AK228" s="24" t="s">
        <v>50</v>
      </c>
      <c r="AL228" s="24" t="s">
        <v>285</v>
      </c>
      <c r="AM228" s="24" t="s">
        <v>51</v>
      </c>
      <c r="AN228" s="24" t="s">
        <v>52</v>
      </c>
      <c r="AO228" s="40" t="s">
        <v>398</v>
      </c>
    </row>
    <row r="229" ht="15.75" customHeight="1">
      <c r="A229" s="19">
        <v>43517.0</v>
      </c>
      <c r="B229" s="20" t="s">
        <v>326</v>
      </c>
      <c r="C229" s="21">
        <v>2027687.0</v>
      </c>
      <c r="D229" s="22" t="s">
        <v>708</v>
      </c>
      <c r="E229" s="23" t="s">
        <v>53</v>
      </c>
      <c r="F229" s="24">
        <v>10.0</v>
      </c>
      <c r="G229" s="48">
        <v>31.0</v>
      </c>
      <c r="H229" s="26">
        <f t="shared" si="18"/>
        <v>310</v>
      </c>
      <c r="I229" s="49" t="s">
        <v>43</v>
      </c>
      <c r="J229" s="161" t="s">
        <v>329</v>
      </c>
      <c r="K229" s="29">
        <v>43552.0</v>
      </c>
      <c r="L229" s="30">
        <v>43545.0</v>
      </c>
      <c r="M229" s="58" t="s">
        <v>54</v>
      </c>
      <c r="N229" s="32" t="s">
        <v>2353</v>
      </c>
      <c r="O229" s="41"/>
      <c r="P229" s="41"/>
      <c r="Q229" s="41">
        <v>226.8</v>
      </c>
      <c r="R229" s="41"/>
      <c r="S229" s="41">
        <v>7007.0</v>
      </c>
      <c r="T229" s="32" t="s">
        <v>56</v>
      </c>
      <c r="U229" s="437">
        <v>43585.0</v>
      </c>
      <c r="V229" s="413">
        <v>43544.0</v>
      </c>
      <c r="W229" s="342" t="s">
        <v>709</v>
      </c>
      <c r="X229" s="342" t="s">
        <v>2356</v>
      </c>
      <c r="Y229" s="451">
        <v>43588.0</v>
      </c>
      <c r="Z229" s="37" t="s">
        <v>2354</v>
      </c>
      <c r="AA229" s="37">
        <v>625630.0</v>
      </c>
      <c r="AB229" s="37"/>
      <c r="AC229" s="37"/>
      <c r="AD229" s="37"/>
      <c r="AE229" s="24"/>
      <c r="AF229" s="24"/>
      <c r="AG229" s="38"/>
      <c r="AH229" s="24"/>
      <c r="AI229" s="38"/>
      <c r="AJ229" s="38"/>
      <c r="AK229" s="24" t="s">
        <v>50</v>
      </c>
      <c r="AL229" s="24" t="s">
        <v>285</v>
      </c>
      <c r="AM229" s="24" t="s">
        <v>51</v>
      </c>
      <c r="AN229" s="24" t="s">
        <v>52</v>
      </c>
      <c r="AO229" s="40" t="s">
        <v>398</v>
      </c>
    </row>
    <row r="230" ht="15.75" customHeight="1">
      <c r="A230" s="19">
        <v>43517.0</v>
      </c>
      <c r="B230" s="20" t="s">
        <v>326</v>
      </c>
      <c r="C230" s="21">
        <v>2027687.0</v>
      </c>
      <c r="D230" s="22" t="s">
        <v>708</v>
      </c>
      <c r="E230" s="23" t="s">
        <v>59</v>
      </c>
      <c r="F230" s="24">
        <v>10.0</v>
      </c>
      <c r="G230" s="48">
        <v>4.0</v>
      </c>
      <c r="H230" s="26">
        <f t="shared" si="18"/>
        <v>40</v>
      </c>
      <c r="I230" s="49" t="s">
        <v>43</v>
      </c>
      <c r="J230" s="161" t="s">
        <v>329</v>
      </c>
      <c r="K230" s="29">
        <v>43552.0</v>
      </c>
      <c r="L230" s="30">
        <v>43545.0</v>
      </c>
      <c r="M230" s="58" t="s">
        <v>54</v>
      </c>
      <c r="N230" s="32" t="s">
        <v>2353</v>
      </c>
      <c r="O230" s="41"/>
      <c r="P230" s="41"/>
      <c r="Q230" s="41">
        <v>21.0</v>
      </c>
      <c r="R230" s="41"/>
      <c r="S230" s="41">
        <v>649.0</v>
      </c>
      <c r="T230" s="32" t="s">
        <v>56</v>
      </c>
      <c r="U230" s="437">
        <v>43585.0</v>
      </c>
      <c r="V230" s="413">
        <v>43544.0</v>
      </c>
      <c r="W230" s="342" t="s">
        <v>709</v>
      </c>
      <c r="X230" s="342" t="s">
        <v>2356</v>
      </c>
      <c r="Y230" s="451">
        <v>43588.0</v>
      </c>
      <c r="Z230" s="37" t="s">
        <v>2354</v>
      </c>
      <c r="AA230" s="37">
        <v>625630.0</v>
      </c>
      <c r="AB230" s="37"/>
      <c r="AC230" s="37"/>
      <c r="AD230" s="37"/>
      <c r="AE230" s="24"/>
      <c r="AF230" s="24"/>
      <c r="AG230" s="38"/>
      <c r="AH230" s="24"/>
      <c r="AI230" s="38"/>
      <c r="AJ230" s="38"/>
      <c r="AK230" s="24" t="s">
        <v>50</v>
      </c>
      <c r="AL230" s="24" t="s">
        <v>285</v>
      </c>
      <c r="AM230" s="24" t="s">
        <v>51</v>
      </c>
      <c r="AN230" s="24" t="s">
        <v>52</v>
      </c>
      <c r="AO230" s="40" t="s">
        <v>398</v>
      </c>
    </row>
    <row r="231" ht="15.75" customHeight="1">
      <c r="A231" s="19">
        <v>43517.0</v>
      </c>
      <c r="B231" s="20" t="s">
        <v>326</v>
      </c>
      <c r="C231" s="21">
        <v>2027687.0</v>
      </c>
      <c r="D231" s="22" t="s">
        <v>708</v>
      </c>
      <c r="E231" s="23" t="s">
        <v>711</v>
      </c>
      <c r="F231" s="24">
        <v>10.0</v>
      </c>
      <c r="G231" s="48">
        <v>273.0</v>
      </c>
      <c r="H231" s="26">
        <f t="shared" si="18"/>
        <v>2730</v>
      </c>
      <c r="I231" s="49" t="s">
        <v>43</v>
      </c>
      <c r="J231" s="161" t="s">
        <v>329</v>
      </c>
      <c r="K231" s="29">
        <v>43552.0</v>
      </c>
      <c r="L231" s="30">
        <v>43539.0</v>
      </c>
      <c r="M231" s="58" t="s">
        <v>45</v>
      </c>
      <c r="N231" s="32" t="s">
        <v>2357</v>
      </c>
      <c r="O231" s="47"/>
      <c r="P231" s="47"/>
      <c r="Q231" s="47">
        <v>2184.0</v>
      </c>
      <c r="R231" s="627"/>
      <c r="S231" s="627">
        <v>67508.0</v>
      </c>
      <c r="T231" s="35" t="s">
        <v>47</v>
      </c>
      <c r="U231" s="437">
        <v>43568.0</v>
      </c>
      <c r="V231" s="413">
        <v>43538.0</v>
      </c>
      <c r="W231" s="342" t="s">
        <v>712</v>
      </c>
      <c r="X231" s="414">
        <v>67508.0</v>
      </c>
      <c r="Y231" s="413">
        <v>43568.0</v>
      </c>
      <c r="Z231" s="37" t="s">
        <v>2354</v>
      </c>
      <c r="AA231" s="37">
        <v>625630.0</v>
      </c>
      <c r="AB231" s="37"/>
      <c r="AC231" s="37"/>
      <c r="AD231" s="37"/>
      <c r="AE231" s="24"/>
      <c r="AF231" s="24"/>
      <c r="AG231" s="38"/>
      <c r="AH231" s="24"/>
      <c r="AI231" s="38"/>
      <c r="AJ231" s="38"/>
      <c r="AK231" s="24" t="s">
        <v>50</v>
      </c>
      <c r="AL231" s="24" t="s">
        <v>285</v>
      </c>
      <c r="AM231" s="24" t="s">
        <v>51</v>
      </c>
      <c r="AN231" s="24" t="s">
        <v>52</v>
      </c>
      <c r="AO231" s="40" t="s">
        <v>398</v>
      </c>
    </row>
    <row r="232" ht="15.75" customHeight="1">
      <c r="A232" s="19">
        <v>43517.0</v>
      </c>
      <c r="B232" s="20" t="s">
        <v>326</v>
      </c>
      <c r="C232" s="21">
        <v>2027687.0</v>
      </c>
      <c r="D232" s="41" t="s">
        <v>2358</v>
      </c>
      <c r="E232" s="23" t="s">
        <v>61</v>
      </c>
      <c r="F232" s="24">
        <v>10.0</v>
      </c>
      <c r="G232" s="48">
        <v>542.0</v>
      </c>
      <c r="H232" s="26">
        <f t="shared" si="18"/>
        <v>5420</v>
      </c>
      <c r="I232" s="49" t="s">
        <v>43</v>
      </c>
      <c r="J232" s="349" t="s">
        <v>329</v>
      </c>
      <c r="K232" s="29">
        <v>43552.0</v>
      </c>
      <c r="L232" s="30">
        <v>43545.0</v>
      </c>
      <c r="M232" s="58" t="s">
        <v>54</v>
      </c>
      <c r="N232" s="32" t="s">
        <v>2353</v>
      </c>
      <c r="O232" s="41"/>
      <c r="P232" s="41"/>
      <c r="Q232" s="41">
        <v>5040.0</v>
      </c>
      <c r="R232" s="41"/>
      <c r="S232" s="41">
        <v>155710.0</v>
      </c>
      <c r="T232" s="32" t="s">
        <v>56</v>
      </c>
      <c r="U232" s="437">
        <v>43585.0</v>
      </c>
      <c r="V232" s="413">
        <v>43544.0</v>
      </c>
      <c r="W232" s="342" t="s">
        <v>709</v>
      </c>
      <c r="X232" s="342" t="s">
        <v>2356</v>
      </c>
      <c r="Y232" s="451">
        <v>43588.0</v>
      </c>
      <c r="Z232" s="37" t="s">
        <v>2354</v>
      </c>
      <c r="AA232" s="37">
        <v>625630.0</v>
      </c>
      <c r="AB232" s="37"/>
      <c r="AC232" s="37"/>
      <c r="AD232" s="37"/>
      <c r="AE232" s="24"/>
      <c r="AF232" s="24"/>
      <c r="AG232" s="38"/>
      <c r="AH232" s="24"/>
      <c r="AI232" s="38"/>
      <c r="AJ232" s="38"/>
      <c r="AK232" s="24" t="s">
        <v>50</v>
      </c>
      <c r="AL232" s="24" t="s">
        <v>285</v>
      </c>
      <c r="AM232" s="24" t="s">
        <v>51</v>
      </c>
      <c r="AN232" s="24" t="s">
        <v>52</v>
      </c>
      <c r="AO232" s="40" t="s">
        <v>398</v>
      </c>
    </row>
    <row r="233" ht="15.75" customHeight="1">
      <c r="A233" s="69">
        <v>43517.0</v>
      </c>
      <c r="B233" s="265" t="s">
        <v>130</v>
      </c>
      <c r="C233" s="252" t="s">
        <v>714</v>
      </c>
      <c r="D233" s="252" t="s">
        <v>715</v>
      </c>
      <c r="E233" s="23" t="s">
        <v>716</v>
      </c>
      <c r="F233" s="253">
        <v>10.0</v>
      </c>
      <c r="G233" s="254">
        <v>90.0</v>
      </c>
      <c r="H233" s="336">
        <v>900.0</v>
      </c>
      <c r="I233" s="266" t="s">
        <v>248</v>
      </c>
      <c r="J233" s="333" t="s">
        <v>134</v>
      </c>
      <c r="K233" s="258">
        <v>43538.0</v>
      </c>
      <c r="L233" s="258">
        <v>43529.0</v>
      </c>
      <c r="M233" s="369" t="s">
        <v>90</v>
      </c>
      <c r="N233" s="422" t="s">
        <v>2359</v>
      </c>
      <c r="O233" s="310"/>
      <c r="P233" s="310"/>
      <c r="Q233" s="310">
        <v>892.5</v>
      </c>
      <c r="R233" s="664"/>
      <c r="S233" s="665"/>
      <c r="T233" s="578" t="s">
        <v>94</v>
      </c>
      <c r="U233" s="260">
        <v>43585.0</v>
      </c>
      <c r="V233" s="260">
        <v>43529.0</v>
      </c>
      <c r="W233" s="261" t="s">
        <v>717</v>
      </c>
      <c r="X233" s="272">
        <v>34859.0</v>
      </c>
      <c r="Y233" s="370">
        <v>43586.0</v>
      </c>
      <c r="Z233" s="331" t="s">
        <v>2360</v>
      </c>
      <c r="AA233" s="331">
        <v>3.349760256E9</v>
      </c>
      <c r="AB233" s="331"/>
      <c r="AC233" s="331"/>
      <c r="AD233" s="331"/>
      <c r="AE233" s="253" t="s">
        <v>284</v>
      </c>
      <c r="AF233" s="253">
        <v>30.79</v>
      </c>
      <c r="AG233" s="262"/>
      <c r="AH233" s="253"/>
      <c r="AI233" s="262"/>
      <c r="AJ233" s="262"/>
      <c r="AK233" s="253" t="s">
        <v>50</v>
      </c>
      <c r="AL233" s="253" t="s">
        <v>285</v>
      </c>
      <c r="AM233" s="253" t="s">
        <v>51</v>
      </c>
      <c r="AN233" s="253" t="s">
        <v>52</v>
      </c>
      <c r="AO233" s="264"/>
    </row>
    <row r="234" ht="15.75" customHeight="1">
      <c r="A234" s="69">
        <v>43517.0</v>
      </c>
      <c r="B234" s="265" t="s">
        <v>130</v>
      </c>
      <c r="C234" s="252" t="s">
        <v>714</v>
      </c>
      <c r="D234" s="252" t="s">
        <v>715</v>
      </c>
      <c r="E234" s="23" t="s">
        <v>718</v>
      </c>
      <c r="F234" s="253">
        <v>5.0</v>
      </c>
      <c r="G234" s="254">
        <v>50.0</v>
      </c>
      <c r="H234" s="336">
        <v>250.0</v>
      </c>
      <c r="I234" s="266" t="s">
        <v>248</v>
      </c>
      <c r="J234" s="333" t="s">
        <v>134</v>
      </c>
      <c r="K234" s="258">
        <v>43538.0</v>
      </c>
      <c r="L234" s="258">
        <v>43529.0</v>
      </c>
      <c r="M234" s="369" t="s">
        <v>90</v>
      </c>
      <c r="N234" s="422" t="s">
        <v>2359</v>
      </c>
      <c r="O234" s="310"/>
      <c r="P234" s="310"/>
      <c r="Q234" s="310">
        <v>241.5</v>
      </c>
      <c r="R234" s="600"/>
      <c r="S234" s="600"/>
      <c r="T234" s="578" t="s">
        <v>94</v>
      </c>
      <c r="U234" s="260">
        <v>43585.0</v>
      </c>
      <c r="V234" s="260">
        <v>43529.0</v>
      </c>
      <c r="W234" s="261" t="s">
        <v>717</v>
      </c>
      <c r="X234" s="261" t="s">
        <v>2361</v>
      </c>
      <c r="Y234" s="370">
        <v>43586.0</v>
      </c>
      <c r="Z234" s="331" t="s">
        <v>2360</v>
      </c>
      <c r="AA234" s="331">
        <v>3.349760256E9</v>
      </c>
      <c r="AB234" s="331"/>
      <c r="AC234" s="331"/>
      <c r="AD234" s="331"/>
      <c r="AE234" s="253" t="s">
        <v>284</v>
      </c>
      <c r="AF234" s="253">
        <v>30.79</v>
      </c>
      <c r="AG234" s="262"/>
      <c r="AH234" s="253"/>
      <c r="AI234" s="262"/>
      <c r="AJ234" s="262"/>
      <c r="AK234" s="253" t="s">
        <v>50</v>
      </c>
      <c r="AL234" s="253" t="s">
        <v>285</v>
      </c>
      <c r="AM234" s="253" t="s">
        <v>51</v>
      </c>
      <c r="AN234" s="253" t="s">
        <v>52</v>
      </c>
      <c r="AO234" s="264"/>
    </row>
    <row r="235" ht="15.75" customHeight="1">
      <c r="A235" s="19">
        <v>43518.0</v>
      </c>
      <c r="B235" s="51" t="s">
        <v>77</v>
      </c>
      <c r="C235" s="21">
        <v>138.0</v>
      </c>
      <c r="D235" s="22" t="s">
        <v>719</v>
      </c>
      <c r="E235" s="23" t="s">
        <v>720</v>
      </c>
      <c r="F235" s="82">
        <v>50.0</v>
      </c>
      <c r="G235" s="47">
        <v>1.9</v>
      </c>
      <c r="H235" s="26">
        <f t="shared" ref="H235:H239" si="20">G235*F235</f>
        <v>95</v>
      </c>
      <c r="I235" s="27" t="s">
        <v>43</v>
      </c>
      <c r="J235" s="31" t="s">
        <v>316</v>
      </c>
      <c r="K235" s="29">
        <v>43531.0</v>
      </c>
      <c r="L235" s="146">
        <v>43522.0</v>
      </c>
      <c r="M235" s="79" t="s">
        <v>179</v>
      </c>
      <c r="N235" s="64"/>
      <c r="O235" s="34"/>
      <c r="P235" s="34"/>
      <c r="Q235" s="34"/>
      <c r="R235" s="34"/>
      <c r="S235" s="408">
        <v>2783.0</v>
      </c>
      <c r="T235" s="76"/>
      <c r="U235" s="52"/>
      <c r="V235" s="53"/>
      <c r="W235" s="53"/>
      <c r="X235" s="53"/>
      <c r="Y235" s="53"/>
      <c r="Z235" s="53" t="s">
        <v>2095</v>
      </c>
      <c r="AA235" s="53">
        <v>6.45361205E8</v>
      </c>
      <c r="AB235" s="53"/>
      <c r="AC235" s="53"/>
      <c r="AD235" s="53"/>
      <c r="AE235" s="54"/>
      <c r="AF235" s="54"/>
      <c r="AG235" s="55"/>
      <c r="AH235" s="54"/>
      <c r="AI235" s="55"/>
      <c r="AJ235" s="55"/>
      <c r="AK235" s="54" t="s">
        <v>50</v>
      </c>
      <c r="AL235" s="24" t="s">
        <v>285</v>
      </c>
      <c r="AM235" s="54" t="s">
        <v>51</v>
      </c>
      <c r="AN235" s="54" t="s">
        <v>52</v>
      </c>
      <c r="AO235" s="57" t="s">
        <v>398</v>
      </c>
    </row>
    <row r="236" ht="15.75" customHeight="1">
      <c r="A236" s="69">
        <v>43519.0</v>
      </c>
      <c r="B236" s="265" t="s">
        <v>721</v>
      </c>
      <c r="C236" s="252"/>
      <c r="D236" s="252" t="s">
        <v>722</v>
      </c>
      <c r="E236" s="23" t="s">
        <v>723</v>
      </c>
      <c r="F236" s="253">
        <v>15.0</v>
      </c>
      <c r="G236" s="254">
        <v>95.0</v>
      </c>
      <c r="H236" s="336">
        <f t="shared" si="20"/>
        <v>1425</v>
      </c>
      <c r="I236" s="256" t="s">
        <v>248</v>
      </c>
      <c r="J236" s="452" t="s">
        <v>724</v>
      </c>
      <c r="K236" s="258">
        <v>43538.0</v>
      </c>
      <c r="L236" s="258">
        <v>43532.0</v>
      </c>
      <c r="M236" s="269" t="s">
        <v>90</v>
      </c>
      <c r="N236" s="422" t="s">
        <v>2362</v>
      </c>
      <c r="O236" s="310"/>
      <c r="P236" s="310"/>
      <c r="Q236" s="310">
        <v>1323.0</v>
      </c>
      <c r="R236" s="600"/>
      <c r="S236" s="600"/>
      <c r="T236" s="578" t="s">
        <v>94</v>
      </c>
      <c r="U236" s="260">
        <v>43585.0</v>
      </c>
      <c r="V236" s="260">
        <v>43530.0</v>
      </c>
      <c r="W236" s="261" t="s">
        <v>725</v>
      </c>
      <c r="X236" s="272">
        <v>171139.0</v>
      </c>
      <c r="Y236" s="370">
        <v>43586.0</v>
      </c>
      <c r="Z236" s="331" t="s">
        <v>2363</v>
      </c>
      <c r="AA236" s="331" t="s">
        <v>2364</v>
      </c>
      <c r="AB236" s="331"/>
      <c r="AC236" s="331"/>
      <c r="AD236" s="331"/>
      <c r="AE236" s="253" t="s">
        <v>284</v>
      </c>
      <c r="AF236" s="253">
        <v>30.79</v>
      </c>
      <c r="AG236" s="262"/>
      <c r="AH236" s="253"/>
      <c r="AI236" s="262">
        <f>6453.49*30.736</f>
        <v>198354.4686</v>
      </c>
      <c r="AJ236" s="262">
        <f>(6.51+11)*30.736</f>
        <v>538.18736</v>
      </c>
      <c r="AK236" s="253" t="s">
        <v>50</v>
      </c>
      <c r="AL236" s="253" t="s">
        <v>285</v>
      </c>
      <c r="AM236" s="253" t="s">
        <v>51</v>
      </c>
      <c r="AN236" s="253" t="s">
        <v>52</v>
      </c>
      <c r="AO236" s="264"/>
    </row>
    <row r="237" ht="15.75" customHeight="1">
      <c r="A237" s="69">
        <v>43519.0</v>
      </c>
      <c r="B237" s="265" t="s">
        <v>721</v>
      </c>
      <c r="C237" s="252"/>
      <c r="D237" s="252" t="s">
        <v>722</v>
      </c>
      <c r="E237" s="23" t="s">
        <v>726</v>
      </c>
      <c r="F237" s="253">
        <v>15.0</v>
      </c>
      <c r="G237" s="325">
        <v>320.0</v>
      </c>
      <c r="H237" s="336">
        <f t="shared" si="20"/>
        <v>4800</v>
      </c>
      <c r="I237" s="256" t="s">
        <v>248</v>
      </c>
      <c r="J237" s="452" t="s">
        <v>724</v>
      </c>
      <c r="K237" s="258">
        <v>43538.0</v>
      </c>
      <c r="L237" s="258">
        <v>43532.0</v>
      </c>
      <c r="M237" s="269" t="s">
        <v>90</v>
      </c>
      <c r="N237" s="422" t="s">
        <v>2362</v>
      </c>
      <c r="O237" s="310"/>
      <c r="P237" s="310"/>
      <c r="Q237" s="310">
        <v>4047.75</v>
      </c>
      <c r="R237" s="600"/>
      <c r="S237" s="600"/>
      <c r="T237" s="578" t="s">
        <v>94</v>
      </c>
      <c r="U237" s="260">
        <v>43585.0</v>
      </c>
      <c r="V237" s="260">
        <v>43530.0</v>
      </c>
      <c r="W237" s="261" t="s">
        <v>725</v>
      </c>
      <c r="X237" s="261" t="s">
        <v>2365</v>
      </c>
      <c r="Y237" s="370">
        <v>43586.0</v>
      </c>
      <c r="Z237" s="331" t="s">
        <v>2363</v>
      </c>
      <c r="AA237" s="331" t="s">
        <v>2364</v>
      </c>
      <c r="AB237" s="331"/>
      <c r="AC237" s="331"/>
      <c r="AD237" s="331"/>
      <c r="AE237" s="253" t="s">
        <v>284</v>
      </c>
      <c r="AF237" s="253">
        <v>30.79</v>
      </c>
      <c r="AG237" s="262"/>
      <c r="AH237" s="253"/>
      <c r="AI237" s="262" t="s">
        <v>2366</v>
      </c>
      <c r="AJ237" s="262" t="s">
        <v>2367</v>
      </c>
      <c r="AK237" s="253" t="s">
        <v>50</v>
      </c>
      <c r="AL237" s="253" t="s">
        <v>285</v>
      </c>
      <c r="AM237" s="253" t="s">
        <v>51</v>
      </c>
      <c r="AN237" s="253" t="s">
        <v>52</v>
      </c>
      <c r="AO237" s="264"/>
    </row>
    <row r="238" ht="15.75" customHeight="1">
      <c r="A238" s="69">
        <v>43519.0</v>
      </c>
      <c r="B238" s="265" t="s">
        <v>721</v>
      </c>
      <c r="C238" s="252"/>
      <c r="D238" s="252" t="s">
        <v>722</v>
      </c>
      <c r="E238" s="23" t="s">
        <v>727</v>
      </c>
      <c r="F238" s="253">
        <v>2.0</v>
      </c>
      <c r="G238" s="325">
        <v>123.0</v>
      </c>
      <c r="H238" s="336">
        <f t="shared" si="20"/>
        <v>246</v>
      </c>
      <c r="I238" s="256" t="s">
        <v>248</v>
      </c>
      <c r="J238" s="452" t="s">
        <v>724</v>
      </c>
      <c r="K238" s="258">
        <v>43538.0</v>
      </c>
      <c r="L238" s="258">
        <v>43532.0</v>
      </c>
      <c r="M238" s="269" t="s">
        <v>90</v>
      </c>
      <c r="N238" s="422" t="s">
        <v>2362</v>
      </c>
      <c r="O238" s="310"/>
      <c r="P238" s="310"/>
      <c r="Q238" s="310">
        <v>196.56</v>
      </c>
      <c r="R238" s="600"/>
      <c r="S238" s="600"/>
      <c r="T238" s="340" t="s">
        <v>94</v>
      </c>
      <c r="U238" s="260">
        <v>43585.0</v>
      </c>
      <c r="V238" s="260">
        <v>43530.0</v>
      </c>
      <c r="W238" s="261" t="s">
        <v>725</v>
      </c>
      <c r="X238" s="261" t="s">
        <v>2365</v>
      </c>
      <c r="Y238" s="370">
        <v>43586.0</v>
      </c>
      <c r="Z238" s="331" t="s">
        <v>2363</v>
      </c>
      <c r="AA238" s="331" t="s">
        <v>2364</v>
      </c>
      <c r="AB238" s="331"/>
      <c r="AC238" s="331"/>
      <c r="AD238" s="331"/>
      <c r="AE238" s="253" t="s">
        <v>284</v>
      </c>
      <c r="AF238" s="253">
        <v>30.79</v>
      </c>
      <c r="AG238" s="262"/>
      <c r="AH238" s="253"/>
      <c r="AI238" s="262" t="s">
        <v>2366</v>
      </c>
      <c r="AJ238" s="262" t="s">
        <v>2367</v>
      </c>
      <c r="AK238" s="253" t="s">
        <v>50</v>
      </c>
      <c r="AL238" s="253" t="s">
        <v>285</v>
      </c>
      <c r="AM238" s="253" t="s">
        <v>51</v>
      </c>
      <c r="AN238" s="253" t="s">
        <v>52</v>
      </c>
      <c r="AO238" s="264"/>
    </row>
    <row r="239" ht="15.75" customHeight="1">
      <c r="A239" s="19">
        <v>43522.0</v>
      </c>
      <c r="B239" s="51" t="s">
        <v>101</v>
      </c>
      <c r="C239" s="22"/>
      <c r="D239" s="409" t="s">
        <v>728</v>
      </c>
      <c r="E239" s="23" t="s">
        <v>347</v>
      </c>
      <c r="F239" s="82">
        <v>1.0</v>
      </c>
      <c r="G239" s="143">
        <v>326.0</v>
      </c>
      <c r="H239" s="26">
        <f t="shared" si="20"/>
        <v>326</v>
      </c>
      <c r="I239" s="27" t="s">
        <v>303</v>
      </c>
      <c r="J239" s="349" t="s">
        <v>290</v>
      </c>
      <c r="K239" s="30">
        <v>43522.0</v>
      </c>
      <c r="L239" s="30">
        <v>43522.0</v>
      </c>
      <c r="M239" s="31" t="s">
        <v>2032</v>
      </c>
      <c r="N239" s="93" t="s">
        <v>2368</v>
      </c>
      <c r="O239" s="34"/>
      <c r="P239" s="34"/>
      <c r="Q239" s="34"/>
      <c r="R239" s="408"/>
      <c r="S239" s="408">
        <v>929.0</v>
      </c>
      <c r="T239" s="22" t="s">
        <v>2033</v>
      </c>
      <c r="U239" s="295">
        <v>43554.0</v>
      </c>
      <c r="V239" s="413">
        <v>43524.0</v>
      </c>
      <c r="W239" s="342" t="s">
        <v>535</v>
      </c>
      <c r="X239" s="296" t="s">
        <v>2369</v>
      </c>
      <c r="Y239" s="413">
        <v>43557.0</v>
      </c>
      <c r="Z239" s="53" t="s">
        <v>2067</v>
      </c>
      <c r="AA239" s="53">
        <v>1.836940674E9</v>
      </c>
      <c r="AB239" s="37"/>
      <c r="AC239" s="37"/>
      <c r="AD239" s="37"/>
      <c r="AE239" s="24"/>
      <c r="AF239" s="24"/>
      <c r="AG239" s="38"/>
      <c r="AH239" s="39">
        <v>43565.0</v>
      </c>
      <c r="AI239" s="38" t="s">
        <v>2074</v>
      </c>
      <c r="AJ239" s="38" t="s">
        <v>2075</v>
      </c>
      <c r="AK239" s="24" t="s">
        <v>50</v>
      </c>
      <c r="AL239" s="24" t="s">
        <v>285</v>
      </c>
      <c r="AM239" s="24" t="s">
        <v>51</v>
      </c>
      <c r="AN239" s="54" t="s">
        <v>52</v>
      </c>
      <c r="AO239" s="57" t="s">
        <v>398</v>
      </c>
    </row>
    <row r="240" ht="15.75" customHeight="1">
      <c r="A240" s="69">
        <v>43522.0</v>
      </c>
      <c r="B240" s="453" t="s">
        <v>101</v>
      </c>
      <c r="C240" s="292"/>
      <c r="D240" s="292" t="s">
        <v>729</v>
      </c>
      <c r="E240" s="23" t="s">
        <v>347</v>
      </c>
      <c r="F240" s="50">
        <v>1.0</v>
      </c>
      <c r="G240" s="454">
        <v>34.0</v>
      </c>
      <c r="H240" s="455">
        <v>34.0</v>
      </c>
      <c r="I240" s="61" t="s">
        <v>105</v>
      </c>
      <c r="J240" s="407" t="s">
        <v>290</v>
      </c>
      <c r="K240" s="29">
        <v>43522.0</v>
      </c>
      <c r="L240" s="29">
        <v>43522.0</v>
      </c>
      <c r="M240" s="137" t="s">
        <v>2032</v>
      </c>
      <c r="N240" s="93" t="s">
        <v>2368</v>
      </c>
      <c r="O240" s="65"/>
      <c r="P240" s="65"/>
      <c r="Q240" s="65"/>
      <c r="R240" s="408"/>
      <c r="S240" s="408">
        <v>929.0</v>
      </c>
      <c r="T240" s="408" t="s">
        <v>2033</v>
      </c>
      <c r="U240" s="295">
        <v>43554.0</v>
      </c>
      <c r="V240" s="295">
        <v>43524.0</v>
      </c>
      <c r="W240" s="296" t="s">
        <v>535</v>
      </c>
      <c r="X240" s="296" t="s">
        <v>2369</v>
      </c>
      <c r="Y240" s="413">
        <v>43557.0</v>
      </c>
      <c r="Z240" s="53"/>
      <c r="AA240" s="53">
        <v>1.836940674E9</v>
      </c>
      <c r="AB240" s="53"/>
      <c r="AC240" s="53"/>
      <c r="AD240" s="53"/>
      <c r="AE240" s="54"/>
      <c r="AF240" s="54"/>
      <c r="AG240" s="55"/>
      <c r="AH240" s="56">
        <v>43565.0</v>
      </c>
      <c r="AI240" s="38" t="s">
        <v>2074</v>
      </c>
      <c r="AJ240" s="38" t="s">
        <v>2075</v>
      </c>
      <c r="AK240" s="54" t="s">
        <v>50</v>
      </c>
      <c r="AL240" s="24" t="s">
        <v>285</v>
      </c>
      <c r="AM240" s="54" t="s">
        <v>51</v>
      </c>
      <c r="AN240" s="54" t="s">
        <v>52</v>
      </c>
      <c r="AO240" s="57" t="s">
        <v>398</v>
      </c>
    </row>
    <row r="241" ht="15.75" customHeight="1">
      <c r="A241" s="69">
        <v>43522.0</v>
      </c>
      <c r="B241" s="70" t="s">
        <v>373</v>
      </c>
      <c r="C241" s="21">
        <v>2.01902260013E11</v>
      </c>
      <c r="D241" s="21" t="s">
        <v>730</v>
      </c>
      <c r="E241" s="23" t="s">
        <v>731</v>
      </c>
      <c r="F241" s="435">
        <v>60.0</v>
      </c>
      <c r="G241" s="48">
        <v>63.0</v>
      </c>
      <c r="H241" s="60">
        <f>G241*F241</f>
        <v>3780</v>
      </c>
      <c r="I241" s="298" t="s">
        <v>43</v>
      </c>
      <c r="J241" s="50" t="s">
        <v>90</v>
      </c>
      <c r="K241" s="29">
        <v>43535.0</v>
      </c>
      <c r="L241" s="30">
        <v>43532.0</v>
      </c>
      <c r="M241" s="50" t="s">
        <v>90</v>
      </c>
      <c r="N241" s="93" t="s">
        <v>2370</v>
      </c>
      <c r="O241" s="408"/>
      <c r="P241" s="408"/>
      <c r="Q241" s="408">
        <v>3528.0</v>
      </c>
      <c r="R241" s="408"/>
      <c r="S241" s="408">
        <v>108451.0</v>
      </c>
      <c r="T241" s="51" t="s">
        <v>94</v>
      </c>
      <c r="U241" s="295">
        <v>43585.0</v>
      </c>
      <c r="V241" s="295">
        <v>43532.0</v>
      </c>
      <c r="W241" s="296" t="s">
        <v>732</v>
      </c>
      <c r="X241" s="297">
        <v>108451.0</v>
      </c>
      <c r="Y241" s="302">
        <v>43586.0</v>
      </c>
      <c r="Z241" s="306" t="s">
        <v>2371</v>
      </c>
      <c r="AA241" s="306" t="s">
        <v>2372</v>
      </c>
      <c r="AB241" s="306">
        <v>30.9</v>
      </c>
      <c r="AC241" s="306">
        <v>116802.0</v>
      </c>
      <c r="AD241" s="462">
        <v>43535.0</v>
      </c>
      <c r="AE241" s="298"/>
      <c r="AF241" s="298"/>
      <c r="AG241" s="299"/>
      <c r="AH241" s="300">
        <v>43587.0</v>
      </c>
      <c r="AI241" s="299">
        <f>3773.52*30.849</f>
        <v>116409.3185</v>
      </c>
      <c r="AJ241" s="299">
        <f>(3780-3773.52)*30.849</f>
        <v>199.90152</v>
      </c>
      <c r="AK241" s="298" t="s">
        <v>50</v>
      </c>
      <c r="AL241" s="298" t="s">
        <v>285</v>
      </c>
      <c r="AM241" s="298" t="s">
        <v>51</v>
      </c>
      <c r="AN241" s="298" t="s">
        <v>377</v>
      </c>
      <c r="AO241" s="234" t="s">
        <v>305</v>
      </c>
    </row>
    <row r="242" ht="15.75" customHeight="1">
      <c r="A242" s="69">
        <v>43522.0</v>
      </c>
      <c r="B242" s="70" t="s">
        <v>229</v>
      </c>
      <c r="C242" s="21" t="s">
        <v>733</v>
      </c>
      <c r="D242" s="21" t="s">
        <v>734</v>
      </c>
      <c r="E242" s="23" t="s">
        <v>232</v>
      </c>
      <c r="F242" s="24">
        <v>10.0</v>
      </c>
      <c r="G242" s="48">
        <v>407.4</v>
      </c>
      <c r="H242" s="26">
        <f t="shared" ref="H242:H244" si="21">F242*G242</f>
        <v>4074</v>
      </c>
      <c r="I242" s="298" t="s">
        <v>171</v>
      </c>
      <c r="J242" s="54" t="s">
        <v>90</v>
      </c>
      <c r="K242" s="30">
        <v>43538.0</v>
      </c>
      <c r="L242" s="30">
        <v>43536.0</v>
      </c>
      <c r="M242" s="58" t="s">
        <v>90</v>
      </c>
      <c r="N242" s="32" t="s">
        <v>2373</v>
      </c>
      <c r="O242" s="22"/>
      <c r="P242" s="22"/>
      <c r="Q242" s="22">
        <v>3727.5</v>
      </c>
      <c r="R242" s="22"/>
      <c r="S242" s="22">
        <v>114770.0</v>
      </c>
      <c r="T242" s="51" t="s">
        <v>94</v>
      </c>
      <c r="U242" s="295">
        <v>43585.0</v>
      </c>
      <c r="V242" s="295">
        <v>43536.0</v>
      </c>
      <c r="W242" s="296" t="s">
        <v>735</v>
      </c>
      <c r="X242" s="297">
        <v>131387.0</v>
      </c>
      <c r="Y242" s="302">
        <v>43586.0</v>
      </c>
      <c r="Z242" s="53" t="s">
        <v>2374</v>
      </c>
      <c r="AA242" s="53"/>
      <c r="AB242" s="53">
        <v>30.89</v>
      </c>
      <c r="AC242" s="53">
        <v>146604.0</v>
      </c>
      <c r="AD242" s="53" t="s">
        <v>2375</v>
      </c>
      <c r="AE242" s="54"/>
      <c r="AF242" s="54"/>
      <c r="AG242" s="55"/>
      <c r="AH242" s="54"/>
      <c r="AI242" s="55"/>
      <c r="AJ242" s="55"/>
      <c r="AK242" s="54" t="s">
        <v>50</v>
      </c>
      <c r="AL242" s="24" t="s">
        <v>285</v>
      </c>
      <c r="AM242" s="54" t="s">
        <v>51</v>
      </c>
      <c r="AN242" s="54" t="s">
        <v>377</v>
      </c>
      <c r="AO242" s="57" t="s">
        <v>398</v>
      </c>
    </row>
    <row r="243" ht="15.75" customHeight="1">
      <c r="A243" s="69">
        <v>43522.0</v>
      </c>
      <c r="B243" s="70" t="s">
        <v>229</v>
      </c>
      <c r="C243" s="21" t="s">
        <v>733</v>
      </c>
      <c r="D243" s="21" t="s">
        <v>734</v>
      </c>
      <c r="E243" s="23" t="s">
        <v>736</v>
      </c>
      <c r="F243" s="24">
        <v>2.0</v>
      </c>
      <c r="G243" s="436">
        <v>336.0</v>
      </c>
      <c r="H243" s="26">
        <f t="shared" si="21"/>
        <v>672</v>
      </c>
      <c r="I243" s="298" t="s">
        <v>171</v>
      </c>
      <c r="J243" s="54" t="s">
        <v>90</v>
      </c>
      <c r="K243" s="30">
        <v>43538.0</v>
      </c>
      <c r="L243" s="30">
        <v>43536.0</v>
      </c>
      <c r="M243" s="58" t="s">
        <v>90</v>
      </c>
      <c r="N243" s="32" t="s">
        <v>2373</v>
      </c>
      <c r="O243" s="22"/>
      <c r="P243" s="22"/>
      <c r="Q243" s="22">
        <v>539.7</v>
      </c>
      <c r="R243" s="22"/>
      <c r="S243" s="22">
        <v>16617.0</v>
      </c>
      <c r="T243" s="51" t="s">
        <v>94</v>
      </c>
      <c r="U243" s="295">
        <v>43585.0</v>
      </c>
      <c r="V243" s="295">
        <v>43536.0</v>
      </c>
      <c r="W243" s="296" t="s">
        <v>735</v>
      </c>
      <c r="X243" s="296" t="s">
        <v>2376</v>
      </c>
      <c r="Y243" s="302">
        <v>43586.0</v>
      </c>
      <c r="Z243" s="53" t="s">
        <v>2374</v>
      </c>
      <c r="AA243" s="53"/>
      <c r="AB243" s="53">
        <v>30.89</v>
      </c>
      <c r="AC243" s="53">
        <v>146604.0</v>
      </c>
      <c r="AD243" s="53" t="s">
        <v>2375</v>
      </c>
      <c r="AE243" s="54"/>
      <c r="AF243" s="54"/>
      <c r="AG243" s="55"/>
      <c r="AH243" s="54"/>
      <c r="AI243" s="55"/>
      <c r="AJ243" s="55"/>
      <c r="AK243" s="54" t="s">
        <v>50</v>
      </c>
      <c r="AL243" s="24" t="s">
        <v>285</v>
      </c>
      <c r="AM243" s="54" t="s">
        <v>51</v>
      </c>
      <c r="AN243" s="54" t="s">
        <v>377</v>
      </c>
      <c r="AO243" s="57" t="s">
        <v>398</v>
      </c>
    </row>
    <row r="244" ht="15.75" customHeight="1">
      <c r="A244" s="69">
        <v>43522.0</v>
      </c>
      <c r="B244" s="70" t="s">
        <v>229</v>
      </c>
      <c r="C244" s="21" t="s">
        <v>733</v>
      </c>
      <c r="D244" s="21" t="s">
        <v>734</v>
      </c>
      <c r="E244" s="23" t="s">
        <v>737</v>
      </c>
      <c r="F244" s="24">
        <v>1.0</v>
      </c>
      <c r="G244" s="48">
        <v>21.0</v>
      </c>
      <c r="H244" s="26">
        <f t="shared" si="21"/>
        <v>21</v>
      </c>
      <c r="I244" s="298" t="s">
        <v>171</v>
      </c>
      <c r="J244" s="54" t="s">
        <v>90</v>
      </c>
      <c r="K244" s="30">
        <v>43546.0</v>
      </c>
      <c r="L244" s="30">
        <v>43546.0</v>
      </c>
      <c r="M244" s="58" t="s">
        <v>90</v>
      </c>
      <c r="N244" s="32" t="s">
        <v>2373</v>
      </c>
      <c r="O244" s="22"/>
      <c r="P244" s="22"/>
      <c r="Q244" s="22">
        <v>17.75</v>
      </c>
      <c r="R244" s="22"/>
      <c r="S244" s="22">
        <v>547.0</v>
      </c>
      <c r="T244" s="51" t="s">
        <v>94</v>
      </c>
      <c r="U244" s="295">
        <v>43585.0</v>
      </c>
      <c r="V244" s="295">
        <v>43546.0</v>
      </c>
      <c r="W244" s="296" t="s">
        <v>738</v>
      </c>
      <c r="X244" s="296">
        <v>547.0</v>
      </c>
      <c r="Y244" s="302">
        <v>43586.0</v>
      </c>
      <c r="Z244" s="53" t="s">
        <v>2377</v>
      </c>
      <c r="AA244" s="53" t="s">
        <v>2378</v>
      </c>
      <c r="AB244" s="53">
        <v>30.81</v>
      </c>
      <c r="AC244" s="53">
        <v>647.0</v>
      </c>
      <c r="AD244" s="53"/>
      <c r="AE244" s="54"/>
      <c r="AF244" s="54"/>
      <c r="AG244" s="55"/>
      <c r="AH244" s="54"/>
      <c r="AI244" s="55"/>
      <c r="AJ244" s="55"/>
      <c r="AK244" s="54" t="s">
        <v>50</v>
      </c>
      <c r="AL244" s="24" t="s">
        <v>285</v>
      </c>
      <c r="AM244" s="54" t="s">
        <v>51</v>
      </c>
      <c r="AN244" s="54" t="s">
        <v>377</v>
      </c>
      <c r="AO244" s="57" t="s">
        <v>398</v>
      </c>
    </row>
    <row r="245" ht="15.75" customHeight="1">
      <c r="A245" s="19">
        <v>43523.0</v>
      </c>
      <c r="B245" s="20" t="s">
        <v>326</v>
      </c>
      <c r="C245" s="21">
        <v>2027739.0</v>
      </c>
      <c r="D245" s="22" t="s">
        <v>739</v>
      </c>
      <c r="E245" s="23" t="s">
        <v>53</v>
      </c>
      <c r="F245" s="24">
        <v>15.0</v>
      </c>
      <c r="G245" s="48">
        <v>31.0</v>
      </c>
      <c r="H245" s="26">
        <f t="shared" ref="H245:H249" si="22">G245*F245</f>
        <v>465</v>
      </c>
      <c r="I245" s="27" t="s">
        <v>43</v>
      </c>
      <c r="J245" s="431" t="s">
        <v>740</v>
      </c>
      <c r="K245" s="29">
        <v>43585.0</v>
      </c>
      <c r="L245" s="30">
        <v>43577.0</v>
      </c>
      <c r="M245" s="58" t="s">
        <v>54</v>
      </c>
      <c r="N245" s="32" t="s">
        <v>2379</v>
      </c>
      <c r="O245" s="22"/>
      <c r="P245" s="22"/>
      <c r="Q245" s="22">
        <v>340.2</v>
      </c>
      <c r="R245" s="22"/>
      <c r="S245" s="22">
        <v>10492.0</v>
      </c>
      <c r="T245" s="32" t="s">
        <v>56</v>
      </c>
      <c r="U245" s="351">
        <v>43646.0</v>
      </c>
      <c r="V245" s="351">
        <v>43581.0</v>
      </c>
      <c r="W245" s="352" t="s">
        <v>741</v>
      </c>
      <c r="X245" s="352">
        <v>244613.0</v>
      </c>
      <c r="Y245" s="351">
        <v>43647.0</v>
      </c>
      <c r="Z245" s="352" t="s">
        <v>2380</v>
      </c>
      <c r="AA245" s="352">
        <v>1.026410191E9</v>
      </c>
      <c r="AB245" s="352"/>
      <c r="AC245" s="352"/>
      <c r="AD245" s="352"/>
      <c r="AE245" s="82"/>
      <c r="AF245" s="82">
        <v>30.845</v>
      </c>
      <c r="AG245" s="432">
        <v>0.0</v>
      </c>
      <c r="AH245" s="145">
        <v>43606.0</v>
      </c>
      <c r="AI245" s="432">
        <v>0.0</v>
      </c>
      <c r="AJ245" s="432">
        <v>0.0</v>
      </c>
      <c r="AK245" s="82" t="s">
        <v>50</v>
      </c>
      <c r="AL245" s="298" t="s">
        <v>285</v>
      </c>
      <c r="AM245" s="82" t="s">
        <v>51</v>
      </c>
      <c r="AN245" s="82" t="s">
        <v>52</v>
      </c>
      <c r="AO245" s="234" t="s">
        <v>305</v>
      </c>
    </row>
    <row r="246" ht="15.75" customHeight="1">
      <c r="A246" s="19">
        <v>43523.0</v>
      </c>
      <c r="B246" s="20" t="s">
        <v>326</v>
      </c>
      <c r="C246" s="21">
        <v>2027739.0</v>
      </c>
      <c r="D246" s="22" t="s">
        <v>739</v>
      </c>
      <c r="E246" s="23" t="s">
        <v>59</v>
      </c>
      <c r="F246" s="24">
        <v>15.0</v>
      </c>
      <c r="G246" s="48">
        <v>4.0</v>
      </c>
      <c r="H246" s="26">
        <f t="shared" si="22"/>
        <v>60</v>
      </c>
      <c r="I246" s="49" t="s">
        <v>43</v>
      </c>
      <c r="J246" s="82" t="s">
        <v>740</v>
      </c>
      <c r="K246" s="29">
        <v>43585.0</v>
      </c>
      <c r="L246" s="30">
        <v>43577.0</v>
      </c>
      <c r="M246" s="58" t="s">
        <v>54</v>
      </c>
      <c r="N246" s="32" t="s">
        <v>2379</v>
      </c>
      <c r="O246" s="22"/>
      <c r="P246" s="22"/>
      <c r="Q246" s="22">
        <v>31.5</v>
      </c>
      <c r="R246" s="22"/>
      <c r="S246" s="22">
        <v>971.0</v>
      </c>
      <c r="T246" s="23" t="s">
        <v>56</v>
      </c>
      <c r="U246" s="351">
        <v>43646.0</v>
      </c>
      <c r="V246" s="351">
        <v>43581.0</v>
      </c>
      <c r="W246" s="352" t="s">
        <v>741</v>
      </c>
      <c r="X246" s="352" t="s">
        <v>2381</v>
      </c>
      <c r="Y246" s="351">
        <v>43647.0</v>
      </c>
      <c r="Z246" s="352" t="s">
        <v>2380</v>
      </c>
      <c r="AA246" s="352">
        <v>1.026410191E9</v>
      </c>
      <c r="AB246" s="352"/>
      <c r="AC246" s="352"/>
      <c r="AD246" s="352"/>
      <c r="AE246" s="82"/>
      <c r="AF246" s="82">
        <v>30.845</v>
      </c>
      <c r="AG246" s="432">
        <v>0.0</v>
      </c>
      <c r="AH246" s="145">
        <v>43606.0</v>
      </c>
      <c r="AI246" s="432">
        <v>0.0</v>
      </c>
      <c r="AJ246" s="432">
        <v>0.0</v>
      </c>
      <c r="AK246" s="82" t="s">
        <v>50</v>
      </c>
      <c r="AL246" s="298" t="s">
        <v>285</v>
      </c>
      <c r="AM246" s="82" t="s">
        <v>51</v>
      </c>
      <c r="AN246" s="82" t="s">
        <v>52</v>
      </c>
      <c r="AO246" s="234" t="s">
        <v>305</v>
      </c>
    </row>
    <row r="247" ht="15.75" customHeight="1">
      <c r="A247" s="19">
        <v>43523.0</v>
      </c>
      <c r="B247" s="20" t="s">
        <v>326</v>
      </c>
      <c r="C247" s="21">
        <v>2027739.0</v>
      </c>
      <c r="D247" s="22" t="s">
        <v>739</v>
      </c>
      <c r="E247" s="23" t="s">
        <v>42</v>
      </c>
      <c r="F247" s="24">
        <v>15.0</v>
      </c>
      <c r="G247" s="48">
        <v>273.0</v>
      </c>
      <c r="H247" s="26">
        <f t="shared" si="22"/>
        <v>4095</v>
      </c>
      <c r="I247" s="49" t="s">
        <v>43</v>
      </c>
      <c r="J247" s="82" t="s">
        <v>740</v>
      </c>
      <c r="K247" s="29">
        <v>43585.0</v>
      </c>
      <c r="L247" s="30">
        <v>43571.0</v>
      </c>
      <c r="M247" s="58" t="s">
        <v>45</v>
      </c>
      <c r="N247" s="32" t="s">
        <v>2382</v>
      </c>
      <c r="O247" s="666"/>
      <c r="P247" s="666"/>
      <c r="Q247" s="666">
        <v>3150.0</v>
      </c>
      <c r="R247" s="408"/>
      <c r="S247" s="408">
        <v>97272.0</v>
      </c>
      <c r="T247" s="51" t="s">
        <v>47</v>
      </c>
      <c r="U247" s="451">
        <v>43600.0</v>
      </c>
      <c r="V247" s="451">
        <v>43570.0</v>
      </c>
      <c r="W247" s="342" t="s">
        <v>742</v>
      </c>
      <c r="X247" s="342">
        <v>97272.0</v>
      </c>
      <c r="Y247" s="451">
        <v>43600.0</v>
      </c>
      <c r="Z247" s="352" t="s">
        <v>2380</v>
      </c>
      <c r="AA247" s="352">
        <v>1.026410191E9</v>
      </c>
      <c r="AB247" s="352"/>
      <c r="AC247" s="352"/>
      <c r="AD247" s="352"/>
      <c r="AE247" s="82"/>
      <c r="AF247" s="82">
        <v>30.845</v>
      </c>
      <c r="AG247" s="432">
        <f>12750*30.845</f>
        <v>393273.75</v>
      </c>
      <c r="AH247" s="145">
        <v>43606.0</v>
      </c>
      <c r="AI247" s="432">
        <f>12743.63*31.38</f>
        <v>399895.1094</v>
      </c>
      <c r="AJ247" s="432">
        <f>(12750-12743.63)*31.38</f>
        <v>199.8906</v>
      </c>
      <c r="AK247" s="82" t="s">
        <v>50</v>
      </c>
      <c r="AL247" s="298" t="s">
        <v>285</v>
      </c>
      <c r="AM247" s="82" t="s">
        <v>51</v>
      </c>
      <c r="AN247" s="82" t="s">
        <v>52</v>
      </c>
      <c r="AO247" s="234" t="s">
        <v>305</v>
      </c>
    </row>
    <row r="248" ht="15.75" customHeight="1">
      <c r="A248" s="19">
        <v>43523.0</v>
      </c>
      <c r="B248" s="20" t="s">
        <v>326</v>
      </c>
      <c r="C248" s="21">
        <v>2027739.0</v>
      </c>
      <c r="D248" s="22" t="s">
        <v>2383</v>
      </c>
      <c r="E248" s="23" t="s">
        <v>61</v>
      </c>
      <c r="F248" s="24">
        <v>15.0</v>
      </c>
      <c r="G248" s="25">
        <v>542.0</v>
      </c>
      <c r="H248" s="26">
        <f t="shared" si="22"/>
        <v>8130</v>
      </c>
      <c r="I248" s="49" t="s">
        <v>43</v>
      </c>
      <c r="J248" s="82" t="s">
        <v>740</v>
      </c>
      <c r="K248" s="29">
        <v>43585.0</v>
      </c>
      <c r="L248" s="30">
        <v>43577.0</v>
      </c>
      <c r="M248" s="58" t="s">
        <v>54</v>
      </c>
      <c r="N248" s="32" t="s">
        <v>2379</v>
      </c>
      <c r="O248" s="22"/>
      <c r="P248" s="22"/>
      <c r="Q248" s="22">
        <v>7560.0</v>
      </c>
      <c r="R248" s="22"/>
      <c r="S248" s="22">
        <v>233150.0</v>
      </c>
      <c r="T248" s="51" t="s">
        <v>56</v>
      </c>
      <c r="U248" s="351">
        <v>43646.0</v>
      </c>
      <c r="V248" s="351">
        <v>43581.0</v>
      </c>
      <c r="W248" s="352" t="s">
        <v>741</v>
      </c>
      <c r="X248" s="352" t="s">
        <v>2381</v>
      </c>
      <c r="Y248" s="351">
        <v>43647.0</v>
      </c>
      <c r="Z248" s="352" t="s">
        <v>2380</v>
      </c>
      <c r="AA248" s="352">
        <v>1.026410191E9</v>
      </c>
      <c r="AB248" s="352"/>
      <c r="AC248" s="352"/>
      <c r="AD248" s="352"/>
      <c r="AE248" s="82"/>
      <c r="AF248" s="82">
        <v>30.845</v>
      </c>
      <c r="AG248" s="432">
        <v>0.0</v>
      </c>
      <c r="AH248" s="145">
        <v>43606.0</v>
      </c>
      <c r="AI248" s="432">
        <v>0.0</v>
      </c>
      <c r="AJ248" s="432">
        <v>0.0</v>
      </c>
      <c r="AK248" s="82" t="s">
        <v>50</v>
      </c>
      <c r="AL248" s="298" t="s">
        <v>285</v>
      </c>
      <c r="AM248" s="82" t="s">
        <v>51</v>
      </c>
      <c r="AN248" s="82" t="s">
        <v>52</v>
      </c>
      <c r="AO248" s="234" t="s">
        <v>305</v>
      </c>
    </row>
    <row r="249" ht="15.75" customHeight="1">
      <c r="A249" s="19">
        <v>43523.0</v>
      </c>
      <c r="B249" s="20" t="s">
        <v>326</v>
      </c>
      <c r="C249" s="21">
        <v>2027739.0</v>
      </c>
      <c r="D249" s="456" t="s">
        <v>744</v>
      </c>
      <c r="E249" s="23" t="s">
        <v>53</v>
      </c>
      <c r="F249" s="24">
        <v>10.0</v>
      </c>
      <c r="G249" s="25">
        <v>31.0</v>
      </c>
      <c r="H249" s="26">
        <f t="shared" si="22"/>
        <v>310</v>
      </c>
      <c r="I249" s="49" t="s">
        <v>43</v>
      </c>
      <c r="J249" s="82" t="s">
        <v>740</v>
      </c>
      <c r="K249" s="29">
        <v>43619.0</v>
      </c>
      <c r="L249" s="613">
        <v>43612.0</v>
      </c>
      <c r="M249" s="614" t="s">
        <v>54</v>
      </c>
      <c r="N249" s="646" t="s">
        <v>2384</v>
      </c>
      <c r="O249" s="647"/>
      <c r="P249" s="647"/>
      <c r="Q249" s="647">
        <v>226.8</v>
      </c>
      <c r="R249" s="647"/>
      <c r="S249" s="647">
        <v>7118.0</v>
      </c>
      <c r="T249" s="667" t="s">
        <v>56</v>
      </c>
      <c r="U249" s="451">
        <v>43677.0</v>
      </c>
      <c r="V249" s="451">
        <v>43612.0</v>
      </c>
      <c r="W249" s="342" t="s">
        <v>745</v>
      </c>
      <c r="X249" s="342">
        <v>165958.0</v>
      </c>
      <c r="Y249" s="451">
        <v>43678.0</v>
      </c>
      <c r="Z249" s="342" t="s">
        <v>2385</v>
      </c>
      <c r="AA249" s="342">
        <v>1.026956481E9</v>
      </c>
      <c r="AB249" s="342"/>
      <c r="AC249" s="342"/>
      <c r="AD249" s="342"/>
      <c r="AE249" s="433"/>
      <c r="AF249" s="433">
        <v>31.455</v>
      </c>
      <c r="AG249" s="434"/>
      <c r="AH249" s="457">
        <v>43633.0</v>
      </c>
      <c r="AI249" s="434" t="s">
        <v>2386</v>
      </c>
      <c r="AJ249" s="434" t="s">
        <v>2387</v>
      </c>
      <c r="AK249" s="433" t="s">
        <v>50</v>
      </c>
      <c r="AL249" s="371" t="s">
        <v>285</v>
      </c>
      <c r="AM249" s="433" t="s">
        <v>51</v>
      </c>
      <c r="AN249" s="433" t="s">
        <v>52</v>
      </c>
      <c r="AO249" s="374" t="s">
        <v>440</v>
      </c>
    </row>
    <row r="250" ht="15.75" customHeight="1">
      <c r="A250" s="19">
        <v>43523.0</v>
      </c>
      <c r="B250" s="20" t="s">
        <v>326</v>
      </c>
      <c r="C250" s="21">
        <v>2027739.0</v>
      </c>
      <c r="D250" s="22" t="s">
        <v>744</v>
      </c>
      <c r="E250" s="23" t="s">
        <v>59</v>
      </c>
      <c r="F250" s="24">
        <v>10.0</v>
      </c>
      <c r="G250" s="25">
        <v>4.0</v>
      </c>
      <c r="H250" s="26">
        <f>G251*F251</f>
        <v>2730</v>
      </c>
      <c r="I250" s="49" t="s">
        <v>43</v>
      </c>
      <c r="J250" s="82" t="s">
        <v>740</v>
      </c>
      <c r="K250" s="29">
        <v>43619.0</v>
      </c>
      <c r="L250" s="613">
        <v>43612.0</v>
      </c>
      <c r="M250" s="614" t="s">
        <v>54</v>
      </c>
      <c r="N250" s="646" t="s">
        <v>2384</v>
      </c>
      <c r="O250" s="647"/>
      <c r="P250" s="647"/>
      <c r="Q250" s="647">
        <v>21.0</v>
      </c>
      <c r="R250" s="647"/>
      <c r="S250" s="647">
        <v>660.0</v>
      </c>
      <c r="T250" s="667" t="s">
        <v>56</v>
      </c>
      <c r="U250" s="451">
        <v>43677.0</v>
      </c>
      <c r="V250" s="451">
        <v>43612.0</v>
      </c>
      <c r="W250" s="342" t="s">
        <v>745</v>
      </c>
      <c r="X250" s="342" t="s">
        <v>2388</v>
      </c>
      <c r="Y250" s="451">
        <v>43678.0</v>
      </c>
      <c r="Z250" s="342" t="s">
        <v>2385</v>
      </c>
      <c r="AA250" s="342">
        <v>1.026956481E9</v>
      </c>
      <c r="AB250" s="342"/>
      <c r="AC250" s="342"/>
      <c r="AD250" s="342"/>
      <c r="AE250" s="433"/>
      <c r="AF250" s="433">
        <v>31.455</v>
      </c>
      <c r="AG250" s="434"/>
      <c r="AH250" s="457">
        <v>43633.0</v>
      </c>
      <c r="AI250" s="434" t="s">
        <v>2386</v>
      </c>
      <c r="AJ250" s="434" t="s">
        <v>2387</v>
      </c>
      <c r="AK250" s="433" t="s">
        <v>50</v>
      </c>
      <c r="AL250" s="371" t="s">
        <v>285</v>
      </c>
      <c r="AM250" s="433" t="s">
        <v>51</v>
      </c>
      <c r="AN250" s="433" t="s">
        <v>52</v>
      </c>
      <c r="AO250" s="374" t="s">
        <v>440</v>
      </c>
    </row>
    <row r="251" ht="15.75" customHeight="1">
      <c r="A251" s="19">
        <v>43523.0</v>
      </c>
      <c r="B251" s="20" t="s">
        <v>326</v>
      </c>
      <c r="C251" s="21">
        <v>2027739.0</v>
      </c>
      <c r="D251" s="22" t="s">
        <v>744</v>
      </c>
      <c r="E251" s="23" t="s">
        <v>42</v>
      </c>
      <c r="F251" s="24">
        <v>10.0</v>
      </c>
      <c r="G251" s="25">
        <v>273.0</v>
      </c>
      <c r="H251" s="26">
        <f>G251*F251</f>
        <v>2730</v>
      </c>
      <c r="I251" s="27" t="s">
        <v>43</v>
      </c>
      <c r="J251" s="82" t="s">
        <v>740</v>
      </c>
      <c r="K251" s="29">
        <v>43619.0</v>
      </c>
      <c r="L251" s="613">
        <v>43608.0</v>
      </c>
      <c r="M251" s="643" t="s">
        <v>45</v>
      </c>
      <c r="N251" s="646" t="s">
        <v>2389</v>
      </c>
      <c r="O251" s="668"/>
      <c r="P251" s="668"/>
      <c r="Q251" s="668">
        <v>2100.0</v>
      </c>
      <c r="R251" s="619"/>
      <c r="S251" s="619">
        <v>65447.0</v>
      </c>
      <c r="T251" s="648" t="s">
        <v>47</v>
      </c>
      <c r="U251" s="451">
        <v>43646.0</v>
      </c>
      <c r="V251" s="451">
        <v>43602.0</v>
      </c>
      <c r="W251" s="342" t="s">
        <v>746</v>
      </c>
      <c r="X251" s="342">
        <v>65447.0</v>
      </c>
      <c r="Y251" s="413">
        <v>43631.0</v>
      </c>
      <c r="Z251" s="342" t="s">
        <v>2385</v>
      </c>
      <c r="AA251" s="342">
        <v>1.026956481E9</v>
      </c>
      <c r="AB251" s="342"/>
      <c r="AC251" s="342"/>
      <c r="AD251" s="342"/>
      <c r="AE251" s="433"/>
      <c r="AF251" s="433">
        <v>31.455</v>
      </c>
      <c r="AG251" s="434"/>
      <c r="AH251" s="457">
        <v>43633.0</v>
      </c>
      <c r="AI251" s="434">
        <f>16099.96*31.46</f>
        <v>506504.7416</v>
      </c>
      <c r="AJ251" s="434">
        <f>(16108-16099.96)*31.46</f>
        <v>252.9384</v>
      </c>
      <c r="AK251" s="433" t="s">
        <v>50</v>
      </c>
      <c r="AL251" s="371" t="s">
        <v>285</v>
      </c>
      <c r="AM251" s="433" t="s">
        <v>51</v>
      </c>
      <c r="AN251" s="433" t="s">
        <v>52</v>
      </c>
      <c r="AO251" s="374" t="s">
        <v>440</v>
      </c>
    </row>
    <row r="252" ht="15.75" customHeight="1">
      <c r="A252" s="19">
        <v>43523.0</v>
      </c>
      <c r="B252" s="20" t="s">
        <v>326</v>
      </c>
      <c r="C252" s="21">
        <v>2027739.0</v>
      </c>
      <c r="D252" s="22" t="s">
        <v>2390</v>
      </c>
      <c r="E252" s="23" t="s">
        <v>61</v>
      </c>
      <c r="F252" s="24">
        <v>10.0</v>
      </c>
      <c r="G252" s="25">
        <v>542.0</v>
      </c>
      <c r="H252" s="458"/>
      <c r="I252" s="27" t="s">
        <v>43</v>
      </c>
      <c r="J252" s="82" t="s">
        <v>740</v>
      </c>
      <c r="K252" s="29">
        <v>43619.0</v>
      </c>
      <c r="L252" s="613">
        <v>43612.0</v>
      </c>
      <c r="M252" s="643" t="s">
        <v>54</v>
      </c>
      <c r="N252" s="646" t="s">
        <v>2384</v>
      </c>
      <c r="O252" s="647"/>
      <c r="P252" s="647"/>
      <c r="Q252" s="647">
        <v>5040.0</v>
      </c>
      <c r="R252" s="647"/>
      <c r="S252" s="647">
        <v>158180.0</v>
      </c>
      <c r="T252" s="617" t="s">
        <v>56</v>
      </c>
      <c r="U252" s="451">
        <v>43677.0</v>
      </c>
      <c r="V252" s="451">
        <v>43612.0</v>
      </c>
      <c r="W252" s="342" t="s">
        <v>745</v>
      </c>
      <c r="X252" s="342" t="s">
        <v>2388</v>
      </c>
      <c r="Y252" s="451">
        <v>43678.0</v>
      </c>
      <c r="Z252" s="342" t="s">
        <v>2385</v>
      </c>
      <c r="AA252" s="342">
        <v>1.026956481E9</v>
      </c>
      <c r="AB252" s="342"/>
      <c r="AC252" s="342"/>
      <c r="AD252" s="342"/>
      <c r="AE252" s="433"/>
      <c r="AF252" s="433">
        <v>31.455</v>
      </c>
      <c r="AG252" s="434"/>
      <c r="AH252" s="457">
        <v>43633.0</v>
      </c>
      <c r="AI252" s="434" t="s">
        <v>2386</v>
      </c>
      <c r="AJ252" s="434" t="s">
        <v>2387</v>
      </c>
      <c r="AK252" s="433" t="s">
        <v>50</v>
      </c>
      <c r="AL252" s="371" t="s">
        <v>285</v>
      </c>
      <c r="AM252" s="433" t="s">
        <v>51</v>
      </c>
      <c r="AN252" s="433" t="s">
        <v>52</v>
      </c>
      <c r="AO252" s="374" t="s">
        <v>440</v>
      </c>
    </row>
    <row r="253" ht="15.75" customHeight="1">
      <c r="A253" s="19">
        <v>43523.0</v>
      </c>
      <c r="B253" s="20" t="s">
        <v>40</v>
      </c>
      <c r="C253" s="21">
        <v>2027739.0</v>
      </c>
      <c r="D253" s="22" t="s">
        <v>748</v>
      </c>
      <c r="E253" s="23" t="s">
        <v>53</v>
      </c>
      <c r="F253" s="24">
        <v>10.0</v>
      </c>
      <c r="G253" s="25">
        <v>31.0</v>
      </c>
      <c r="H253" s="26">
        <f t="shared" ref="H253:H286" si="23">G253*F253</f>
        <v>310</v>
      </c>
      <c r="I253" s="27" t="s">
        <v>43</v>
      </c>
      <c r="J253" s="82" t="s">
        <v>740</v>
      </c>
      <c r="K253" s="29">
        <v>43648.0</v>
      </c>
      <c r="L253" s="30">
        <v>43636.0</v>
      </c>
      <c r="M253" s="31" t="s">
        <v>54</v>
      </c>
      <c r="N253" s="32" t="s">
        <v>2391</v>
      </c>
      <c r="O253" s="22"/>
      <c r="P253" s="22"/>
      <c r="Q253" s="22">
        <v>226.8</v>
      </c>
      <c r="R253" s="22"/>
      <c r="S253" s="22">
        <v>7128.0</v>
      </c>
      <c r="T253" s="32" t="s">
        <v>56</v>
      </c>
      <c r="U253" s="351">
        <v>43677.0</v>
      </c>
      <c r="V253" s="351">
        <v>43635.0</v>
      </c>
      <c r="W253" s="352" t="s">
        <v>749</v>
      </c>
      <c r="X253" s="352">
        <v>166195.0</v>
      </c>
      <c r="Y253" s="351">
        <v>43678.0</v>
      </c>
      <c r="Z253" s="352" t="s">
        <v>2392</v>
      </c>
      <c r="AA253" s="352">
        <v>1.027528274E9</v>
      </c>
      <c r="AB253" s="352"/>
      <c r="AC253" s="352"/>
      <c r="AD253" s="352"/>
      <c r="AE253" s="82"/>
      <c r="AF253" s="82"/>
      <c r="AG253" s="432"/>
      <c r="AH253" s="145">
        <v>43668.0</v>
      </c>
      <c r="AI253" s="432" t="s">
        <v>2393</v>
      </c>
      <c r="AJ253" s="432" t="s">
        <v>2394</v>
      </c>
      <c r="AK253" s="82" t="s">
        <v>50</v>
      </c>
      <c r="AL253" s="82" t="s">
        <v>285</v>
      </c>
      <c r="AM253" s="82" t="s">
        <v>51</v>
      </c>
      <c r="AN253" s="82" t="s">
        <v>52</v>
      </c>
      <c r="AO253" s="459" t="s">
        <v>750</v>
      </c>
    </row>
    <row r="254" ht="15.75" customHeight="1">
      <c r="A254" s="19">
        <v>43523.0</v>
      </c>
      <c r="B254" s="20" t="s">
        <v>40</v>
      </c>
      <c r="C254" s="21">
        <v>2027739.0</v>
      </c>
      <c r="D254" s="22" t="s">
        <v>748</v>
      </c>
      <c r="E254" s="23" t="s">
        <v>59</v>
      </c>
      <c r="F254" s="24">
        <v>10.0</v>
      </c>
      <c r="G254" s="25">
        <v>4.0</v>
      </c>
      <c r="H254" s="26">
        <f t="shared" si="23"/>
        <v>40</v>
      </c>
      <c r="I254" s="27" t="s">
        <v>43</v>
      </c>
      <c r="J254" s="82" t="s">
        <v>740</v>
      </c>
      <c r="K254" s="29">
        <v>43648.0</v>
      </c>
      <c r="L254" s="30">
        <v>43636.0</v>
      </c>
      <c r="M254" s="31" t="s">
        <v>54</v>
      </c>
      <c r="N254" s="32" t="s">
        <v>2391</v>
      </c>
      <c r="O254" s="22"/>
      <c r="P254" s="22"/>
      <c r="Q254" s="22">
        <v>21.0</v>
      </c>
      <c r="R254" s="22"/>
      <c r="S254" s="22">
        <v>660.0</v>
      </c>
      <c r="T254" s="32" t="s">
        <v>56</v>
      </c>
      <c r="U254" s="351">
        <v>43677.0</v>
      </c>
      <c r="V254" s="351">
        <v>43635.0</v>
      </c>
      <c r="W254" s="352" t="s">
        <v>749</v>
      </c>
      <c r="X254" s="352" t="s">
        <v>2395</v>
      </c>
      <c r="Y254" s="351">
        <v>43678.0</v>
      </c>
      <c r="Z254" s="352" t="s">
        <v>2392</v>
      </c>
      <c r="AA254" s="352">
        <v>1.027528274E9</v>
      </c>
      <c r="AB254" s="352"/>
      <c r="AC254" s="352"/>
      <c r="AD254" s="352"/>
      <c r="AE254" s="82"/>
      <c r="AF254" s="82"/>
      <c r="AG254" s="432"/>
      <c r="AH254" s="145">
        <v>43668.0</v>
      </c>
      <c r="AI254" s="432" t="s">
        <v>2393</v>
      </c>
      <c r="AJ254" s="432" t="s">
        <v>2394</v>
      </c>
      <c r="AK254" s="82" t="s">
        <v>50</v>
      </c>
      <c r="AL254" s="82" t="s">
        <v>285</v>
      </c>
      <c r="AM254" s="82" t="s">
        <v>51</v>
      </c>
      <c r="AN254" s="82" t="s">
        <v>52</v>
      </c>
      <c r="AO254" s="459" t="s">
        <v>750</v>
      </c>
    </row>
    <row r="255" ht="15.75" customHeight="1">
      <c r="A255" s="19">
        <v>43523.0</v>
      </c>
      <c r="B255" s="20" t="s">
        <v>40</v>
      </c>
      <c r="C255" s="21">
        <v>2027739.0</v>
      </c>
      <c r="D255" s="22" t="s">
        <v>748</v>
      </c>
      <c r="E255" s="460" t="s">
        <v>42</v>
      </c>
      <c r="F255" s="24">
        <v>10.0</v>
      </c>
      <c r="G255" s="25">
        <v>273.0</v>
      </c>
      <c r="H255" s="26">
        <f t="shared" si="23"/>
        <v>2730</v>
      </c>
      <c r="I255" s="27" t="s">
        <v>43</v>
      </c>
      <c r="J255" s="82" t="s">
        <v>740</v>
      </c>
      <c r="K255" s="29">
        <v>43648.0</v>
      </c>
      <c r="L255" s="30">
        <v>43636.0</v>
      </c>
      <c r="M255" s="31" t="s">
        <v>45</v>
      </c>
      <c r="N255" s="32" t="s">
        <v>2396</v>
      </c>
      <c r="O255" s="47"/>
      <c r="P255" s="47"/>
      <c r="Q255" s="47">
        <v>2100.0</v>
      </c>
      <c r="R255" s="408"/>
      <c r="S255" s="408">
        <v>66175.0</v>
      </c>
      <c r="T255" s="35" t="s">
        <v>47</v>
      </c>
      <c r="U255" s="351">
        <v>43661.0</v>
      </c>
      <c r="V255" s="351">
        <v>43630.0</v>
      </c>
      <c r="W255" s="352" t="s">
        <v>751</v>
      </c>
      <c r="X255" s="352">
        <v>66175.0</v>
      </c>
      <c r="Y255" s="461">
        <v>43661.0</v>
      </c>
      <c r="Z255" s="352" t="s">
        <v>2392</v>
      </c>
      <c r="AA255" s="352">
        <v>1.027528274E9</v>
      </c>
      <c r="AB255" s="352"/>
      <c r="AC255" s="352"/>
      <c r="AD255" s="352"/>
      <c r="AE255" s="82"/>
      <c r="AF255" s="82"/>
      <c r="AG255" s="432"/>
      <c r="AH255" s="145">
        <v>43668.0</v>
      </c>
      <c r="AI255" s="432">
        <f>8493.55*31.03</f>
        <v>263554.8565</v>
      </c>
      <c r="AJ255" s="432">
        <v>200.0</v>
      </c>
      <c r="AK255" s="82" t="s">
        <v>50</v>
      </c>
      <c r="AL255" s="82" t="s">
        <v>285</v>
      </c>
      <c r="AM255" s="82" t="s">
        <v>51</v>
      </c>
      <c r="AN255" s="82" t="s">
        <v>52</v>
      </c>
      <c r="AO255" s="459" t="s">
        <v>750</v>
      </c>
    </row>
    <row r="256" ht="15.75" customHeight="1">
      <c r="A256" s="19">
        <v>43523.0</v>
      </c>
      <c r="B256" s="20" t="s">
        <v>40</v>
      </c>
      <c r="C256" s="21">
        <v>2027739.0</v>
      </c>
      <c r="D256" s="22" t="s">
        <v>2397</v>
      </c>
      <c r="E256" s="23" t="s">
        <v>61</v>
      </c>
      <c r="F256" s="24">
        <v>10.0</v>
      </c>
      <c r="G256" s="25">
        <v>542.0</v>
      </c>
      <c r="H256" s="26">
        <f t="shared" si="23"/>
        <v>5420</v>
      </c>
      <c r="I256" s="27" t="s">
        <v>43</v>
      </c>
      <c r="J256" s="82" t="s">
        <v>740</v>
      </c>
      <c r="K256" s="29">
        <v>43648.0</v>
      </c>
      <c r="L256" s="30">
        <v>43636.0</v>
      </c>
      <c r="M256" s="31" t="s">
        <v>54</v>
      </c>
      <c r="N256" s="32" t="s">
        <v>2391</v>
      </c>
      <c r="O256" s="22"/>
      <c r="P256" s="22"/>
      <c r="Q256" s="22">
        <v>5040.0</v>
      </c>
      <c r="R256" s="22"/>
      <c r="S256" s="22">
        <v>158407.0</v>
      </c>
      <c r="T256" s="51" t="s">
        <v>56</v>
      </c>
      <c r="U256" s="351">
        <v>43677.0</v>
      </c>
      <c r="V256" s="351">
        <v>43635.0</v>
      </c>
      <c r="W256" s="352" t="s">
        <v>749</v>
      </c>
      <c r="X256" s="352" t="s">
        <v>2395</v>
      </c>
      <c r="Y256" s="351">
        <v>43678.0</v>
      </c>
      <c r="Z256" s="352" t="s">
        <v>2392</v>
      </c>
      <c r="AA256" s="352">
        <v>1.027528274E9</v>
      </c>
      <c r="AB256" s="352"/>
      <c r="AC256" s="352"/>
      <c r="AD256" s="352"/>
      <c r="AE256" s="82"/>
      <c r="AF256" s="82"/>
      <c r="AG256" s="432"/>
      <c r="AH256" s="145">
        <v>43668.0</v>
      </c>
      <c r="AI256" s="432" t="s">
        <v>2393</v>
      </c>
      <c r="AJ256" s="432" t="s">
        <v>2394</v>
      </c>
      <c r="AK256" s="82" t="s">
        <v>50</v>
      </c>
      <c r="AL256" s="82" t="s">
        <v>285</v>
      </c>
      <c r="AM256" s="82" t="s">
        <v>51</v>
      </c>
      <c r="AN256" s="82" t="s">
        <v>52</v>
      </c>
      <c r="AO256" s="459" t="s">
        <v>750</v>
      </c>
    </row>
    <row r="257" ht="15.75" customHeight="1">
      <c r="A257" s="19">
        <v>43523.0</v>
      </c>
      <c r="B257" s="20" t="s">
        <v>40</v>
      </c>
      <c r="C257" s="21">
        <v>2027739.0</v>
      </c>
      <c r="D257" s="22" t="s">
        <v>753</v>
      </c>
      <c r="E257" s="23" t="s">
        <v>53</v>
      </c>
      <c r="F257" s="24">
        <v>10.0</v>
      </c>
      <c r="G257" s="25">
        <v>31.0</v>
      </c>
      <c r="H257" s="26">
        <f t="shared" si="23"/>
        <v>310</v>
      </c>
      <c r="I257" s="27" t="s">
        <v>43</v>
      </c>
      <c r="J257" s="82" t="s">
        <v>740</v>
      </c>
      <c r="K257" s="146">
        <v>43682.0</v>
      </c>
      <c r="L257" s="30">
        <v>43675.0</v>
      </c>
      <c r="M257" s="31" t="s">
        <v>54</v>
      </c>
      <c r="N257" s="32" t="s">
        <v>2398</v>
      </c>
      <c r="O257" s="22"/>
      <c r="P257" s="22"/>
      <c r="Q257" s="22">
        <v>226.8</v>
      </c>
      <c r="R257" s="22"/>
      <c r="S257" s="22">
        <v>7040.0</v>
      </c>
      <c r="T257" s="32" t="s">
        <v>56</v>
      </c>
      <c r="U257" s="351">
        <v>43738.0</v>
      </c>
      <c r="V257" s="351">
        <v>43672.0</v>
      </c>
      <c r="W257" s="352" t="s">
        <v>754</v>
      </c>
      <c r="X257" s="352">
        <v>164133.0</v>
      </c>
      <c r="Y257" s="351">
        <v>43738.0</v>
      </c>
      <c r="Z257" s="352" t="s">
        <v>2399</v>
      </c>
      <c r="AA257" s="352">
        <v>1.028163312E9</v>
      </c>
      <c r="AB257" s="352"/>
      <c r="AC257" s="352"/>
      <c r="AD257" s="352"/>
      <c r="AE257" s="82"/>
      <c r="AF257" s="82"/>
      <c r="AG257" s="432"/>
      <c r="AH257" s="145">
        <v>43696.0</v>
      </c>
      <c r="AI257" s="432" t="s">
        <v>2400</v>
      </c>
      <c r="AJ257" s="432" t="s">
        <v>2401</v>
      </c>
      <c r="AK257" s="82" t="s">
        <v>50</v>
      </c>
      <c r="AL257" s="298" t="s">
        <v>285</v>
      </c>
      <c r="AM257" s="82" t="s">
        <v>51</v>
      </c>
      <c r="AN257" s="82" t="s">
        <v>52</v>
      </c>
      <c r="AO257" s="234" t="s">
        <v>507</v>
      </c>
    </row>
    <row r="258" ht="15.75" customHeight="1">
      <c r="A258" s="19">
        <v>43523.0</v>
      </c>
      <c r="B258" s="20" t="s">
        <v>40</v>
      </c>
      <c r="C258" s="21">
        <v>2027739.0</v>
      </c>
      <c r="D258" s="22" t="s">
        <v>753</v>
      </c>
      <c r="E258" s="23" t="s">
        <v>59</v>
      </c>
      <c r="F258" s="24">
        <v>10.0</v>
      </c>
      <c r="G258" s="25">
        <v>4.0</v>
      </c>
      <c r="H258" s="26">
        <f t="shared" si="23"/>
        <v>40</v>
      </c>
      <c r="I258" s="27" t="s">
        <v>43</v>
      </c>
      <c r="J258" s="82" t="s">
        <v>740</v>
      </c>
      <c r="K258" s="146">
        <v>43682.0</v>
      </c>
      <c r="L258" s="30">
        <v>43675.0</v>
      </c>
      <c r="M258" s="31" t="s">
        <v>54</v>
      </c>
      <c r="N258" s="32" t="s">
        <v>2398</v>
      </c>
      <c r="O258" s="22"/>
      <c r="P258" s="22"/>
      <c r="Q258" s="22">
        <v>21.0</v>
      </c>
      <c r="R258" s="22"/>
      <c r="S258" s="22">
        <v>651.0</v>
      </c>
      <c r="T258" s="32" t="s">
        <v>56</v>
      </c>
      <c r="U258" s="351">
        <v>43738.0</v>
      </c>
      <c r="V258" s="351">
        <v>43672.0</v>
      </c>
      <c r="W258" s="352" t="s">
        <v>754</v>
      </c>
      <c r="X258" s="352" t="s">
        <v>2402</v>
      </c>
      <c r="Y258" s="351">
        <v>43738.0</v>
      </c>
      <c r="Z258" s="352" t="s">
        <v>2399</v>
      </c>
      <c r="AA258" s="352">
        <v>1.028163312E9</v>
      </c>
      <c r="AB258" s="352"/>
      <c r="AC258" s="352"/>
      <c r="AD258" s="352"/>
      <c r="AE258" s="82"/>
      <c r="AF258" s="82"/>
      <c r="AG258" s="432"/>
      <c r="AH258" s="145">
        <v>43696.0</v>
      </c>
      <c r="AI258" s="432" t="s">
        <v>2400</v>
      </c>
      <c r="AJ258" s="432" t="s">
        <v>2401</v>
      </c>
      <c r="AK258" s="82" t="s">
        <v>50</v>
      </c>
      <c r="AL258" s="298" t="s">
        <v>285</v>
      </c>
      <c r="AM258" s="82" t="s">
        <v>51</v>
      </c>
      <c r="AN258" s="82" t="s">
        <v>52</v>
      </c>
      <c r="AO258" s="234" t="s">
        <v>507</v>
      </c>
    </row>
    <row r="259" ht="15.75" customHeight="1">
      <c r="A259" s="19">
        <v>43523.0</v>
      </c>
      <c r="B259" s="20" t="s">
        <v>40</v>
      </c>
      <c r="C259" s="21">
        <v>2027739.0</v>
      </c>
      <c r="D259" s="22" t="s">
        <v>753</v>
      </c>
      <c r="E259" s="23" t="s">
        <v>42</v>
      </c>
      <c r="F259" s="24">
        <v>10.0</v>
      </c>
      <c r="G259" s="25">
        <v>273.0</v>
      </c>
      <c r="H259" s="26">
        <f t="shared" si="23"/>
        <v>2730</v>
      </c>
      <c r="I259" s="27" t="s">
        <v>43</v>
      </c>
      <c r="J259" s="82" t="s">
        <v>740</v>
      </c>
      <c r="K259" s="146">
        <v>43682.0</v>
      </c>
      <c r="L259" s="30">
        <v>43665.0</v>
      </c>
      <c r="M259" s="31" t="s">
        <v>45</v>
      </c>
      <c r="N259" s="32" t="s">
        <v>2403</v>
      </c>
      <c r="O259" s="47"/>
      <c r="P259" s="47"/>
      <c r="Q259" s="47">
        <v>2100.0</v>
      </c>
      <c r="R259" s="408"/>
      <c r="S259" s="408">
        <v>65262.0</v>
      </c>
      <c r="T259" s="35" t="s">
        <v>47</v>
      </c>
      <c r="U259" s="351">
        <v>43695.0</v>
      </c>
      <c r="V259" s="351">
        <v>43665.0</v>
      </c>
      <c r="W259" s="352" t="s">
        <v>755</v>
      </c>
      <c r="X259" s="352">
        <v>65262.0</v>
      </c>
      <c r="Y259" s="351">
        <v>43696.0</v>
      </c>
      <c r="Z259" s="352" t="s">
        <v>2399</v>
      </c>
      <c r="AA259" s="352">
        <v>1.028163312E9</v>
      </c>
      <c r="AB259" s="352"/>
      <c r="AC259" s="352"/>
      <c r="AD259" s="352"/>
      <c r="AE259" s="82"/>
      <c r="AF259" s="82"/>
      <c r="AG259" s="432"/>
      <c r="AH259" s="145">
        <v>43696.0</v>
      </c>
      <c r="AI259" s="432">
        <f>8493.61*31.31</f>
        <v>265934.9291</v>
      </c>
      <c r="AJ259" s="432">
        <f>(8500-8493.61)*31.31</f>
        <v>200.0709</v>
      </c>
      <c r="AK259" s="82" t="s">
        <v>50</v>
      </c>
      <c r="AL259" s="298" t="s">
        <v>285</v>
      </c>
      <c r="AM259" s="82" t="s">
        <v>51</v>
      </c>
      <c r="AN259" s="82" t="s">
        <v>52</v>
      </c>
      <c r="AO259" s="234" t="s">
        <v>507</v>
      </c>
    </row>
    <row r="260" ht="15.75" customHeight="1">
      <c r="A260" s="19">
        <v>43523.0</v>
      </c>
      <c r="B260" s="20" t="s">
        <v>40</v>
      </c>
      <c r="C260" s="21">
        <v>2027739.0</v>
      </c>
      <c r="D260" s="22" t="s">
        <v>2404</v>
      </c>
      <c r="E260" s="23" t="s">
        <v>61</v>
      </c>
      <c r="F260" s="24">
        <v>10.0</v>
      </c>
      <c r="G260" s="25">
        <v>542.0</v>
      </c>
      <c r="H260" s="26">
        <f t="shared" si="23"/>
        <v>5420</v>
      </c>
      <c r="I260" s="27" t="s">
        <v>43</v>
      </c>
      <c r="J260" s="82" t="s">
        <v>740</v>
      </c>
      <c r="K260" s="146">
        <v>43682.0</v>
      </c>
      <c r="L260" s="30">
        <v>43675.0</v>
      </c>
      <c r="M260" s="31" t="s">
        <v>54</v>
      </c>
      <c r="N260" s="32" t="s">
        <v>2398</v>
      </c>
      <c r="O260" s="22"/>
      <c r="P260" s="22"/>
      <c r="Q260" s="22">
        <v>5040.0</v>
      </c>
      <c r="R260" s="22"/>
      <c r="S260" s="22">
        <v>156442.0</v>
      </c>
      <c r="T260" s="51" t="s">
        <v>56</v>
      </c>
      <c r="U260" s="351">
        <v>43738.0</v>
      </c>
      <c r="V260" s="351">
        <v>43672.0</v>
      </c>
      <c r="W260" s="352" t="s">
        <v>754</v>
      </c>
      <c r="X260" s="352" t="s">
        <v>2402</v>
      </c>
      <c r="Y260" s="351">
        <v>43738.0</v>
      </c>
      <c r="Z260" s="352" t="s">
        <v>2399</v>
      </c>
      <c r="AA260" s="352">
        <v>1.028163312E9</v>
      </c>
      <c r="AB260" s="352"/>
      <c r="AC260" s="352"/>
      <c r="AD260" s="352"/>
      <c r="AE260" s="82"/>
      <c r="AF260" s="82"/>
      <c r="AG260" s="432"/>
      <c r="AH260" s="145">
        <v>43696.0</v>
      </c>
      <c r="AI260" s="432" t="s">
        <v>2400</v>
      </c>
      <c r="AJ260" s="432" t="s">
        <v>2401</v>
      </c>
      <c r="AK260" s="82" t="s">
        <v>50</v>
      </c>
      <c r="AL260" s="298" t="s">
        <v>285</v>
      </c>
      <c r="AM260" s="82" t="s">
        <v>51</v>
      </c>
      <c r="AN260" s="82" t="s">
        <v>52</v>
      </c>
      <c r="AO260" s="234" t="s">
        <v>507</v>
      </c>
    </row>
    <row r="261" ht="15.75" customHeight="1">
      <c r="A261" s="19">
        <v>43523.0</v>
      </c>
      <c r="B261" s="20" t="s">
        <v>40</v>
      </c>
      <c r="C261" s="21">
        <v>2027739.0</v>
      </c>
      <c r="D261" s="22" t="s">
        <v>757</v>
      </c>
      <c r="E261" s="23" t="s">
        <v>42</v>
      </c>
      <c r="F261" s="24">
        <v>5.0</v>
      </c>
      <c r="G261" s="25">
        <v>273.0</v>
      </c>
      <c r="H261" s="26">
        <f t="shared" si="23"/>
        <v>1365</v>
      </c>
      <c r="I261" s="27" t="s">
        <v>43</v>
      </c>
      <c r="J261" s="82" t="s">
        <v>740</v>
      </c>
      <c r="K261" s="29">
        <v>43706.0</v>
      </c>
      <c r="L261" s="30">
        <v>43699.0</v>
      </c>
      <c r="M261" s="31" t="s">
        <v>45</v>
      </c>
      <c r="N261" s="32" t="s">
        <v>2405</v>
      </c>
      <c r="O261" s="47"/>
      <c r="P261" s="47"/>
      <c r="Q261" s="47">
        <v>1050.0</v>
      </c>
      <c r="R261" s="408"/>
      <c r="S261" s="408">
        <v>32975.0</v>
      </c>
      <c r="T261" s="35" t="s">
        <v>47</v>
      </c>
      <c r="U261" s="351">
        <v>43728.0</v>
      </c>
      <c r="V261" s="351">
        <v>43698.0</v>
      </c>
      <c r="W261" s="352" t="s">
        <v>758</v>
      </c>
      <c r="X261" s="352">
        <v>32975.0</v>
      </c>
      <c r="Y261" s="351">
        <v>43728.0</v>
      </c>
      <c r="Z261" s="352" t="s">
        <v>2406</v>
      </c>
      <c r="AA261" s="352">
        <v>1.028617853E9</v>
      </c>
      <c r="AB261" s="352">
        <v>31.315</v>
      </c>
      <c r="AC261" s="352"/>
      <c r="AD261" s="352"/>
      <c r="AE261" s="82"/>
      <c r="AF261" s="82"/>
      <c r="AG261" s="432"/>
      <c r="AH261" s="145">
        <v>43724.0</v>
      </c>
      <c r="AI261" s="432">
        <f>4243.53*30.92</f>
        <v>131209.9476</v>
      </c>
      <c r="AJ261" s="432">
        <f>(4250-4243.53)*30.92</f>
        <v>200.0524</v>
      </c>
      <c r="AK261" s="82" t="s">
        <v>50</v>
      </c>
      <c r="AL261" s="298" t="s">
        <v>285</v>
      </c>
      <c r="AM261" s="82" t="s">
        <v>51</v>
      </c>
      <c r="AN261" s="82" t="s">
        <v>52</v>
      </c>
      <c r="AO261" s="234" t="s">
        <v>507</v>
      </c>
    </row>
    <row r="262" ht="15.75" customHeight="1">
      <c r="A262" s="19">
        <v>43523.0</v>
      </c>
      <c r="B262" s="20" t="s">
        <v>40</v>
      </c>
      <c r="C262" s="21">
        <v>2027739.0</v>
      </c>
      <c r="D262" s="22" t="s">
        <v>757</v>
      </c>
      <c r="E262" s="23" t="s">
        <v>53</v>
      </c>
      <c r="F262" s="24">
        <v>5.0</v>
      </c>
      <c r="G262" s="25">
        <v>31.0</v>
      </c>
      <c r="H262" s="26">
        <f t="shared" si="23"/>
        <v>155</v>
      </c>
      <c r="I262" s="27" t="s">
        <v>43</v>
      </c>
      <c r="J262" s="82" t="s">
        <v>740</v>
      </c>
      <c r="K262" s="29">
        <v>43706.0</v>
      </c>
      <c r="L262" s="30">
        <v>43703.0</v>
      </c>
      <c r="M262" s="31" t="s">
        <v>54</v>
      </c>
      <c r="N262" s="32" t="s">
        <v>2407</v>
      </c>
      <c r="O262" s="22"/>
      <c r="P262" s="22"/>
      <c r="Q262" s="22">
        <v>113.4</v>
      </c>
      <c r="R262" s="22"/>
      <c r="S262" s="22">
        <v>3560.0</v>
      </c>
      <c r="T262" s="32" t="s">
        <v>56</v>
      </c>
      <c r="U262" s="461">
        <v>43769.0</v>
      </c>
      <c r="V262" s="351">
        <v>43711.0</v>
      </c>
      <c r="W262" s="352" t="s">
        <v>759</v>
      </c>
      <c r="X262" s="352">
        <v>82992.0</v>
      </c>
      <c r="Y262" s="352"/>
      <c r="Z262" s="352" t="s">
        <v>2406</v>
      </c>
      <c r="AA262" s="352">
        <v>1.028617853E9</v>
      </c>
      <c r="AB262" s="352">
        <v>31.315</v>
      </c>
      <c r="AC262" s="352"/>
      <c r="AD262" s="352"/>
      <c r="AE262" s="82"/>
      <c r="AF262" s="82"/>
      <c r="AG262" s="432"/>
      <c r="AH262" s="145">
        <v>43724.0</v>
      </c>
      <c r="AI262" s="432" t="s">
        <v>2408</v>
      </c>
      <c r="AJ262" s="432" t="s">
        <v>2409</v>
      </c>
      <c r="AK262" s="82" t="s">
        <v>50</v>
      </c>
      <c r="AL262" s="298" t="s">
        <v>285</v>
      </c>
      <c r="AM262" s="82" t="s">
        <v>51</v>
      </c>
      <c r="AN262" s="82" t="s">
        <v>52</v>
      </c>
      <c r="AO262" s="234" t="s">
        <v>507</v>
      </c>
    </row>
    <row r="263" ht="15.75" customHeight="1">
      <c r="A263" s="19">
        <v>43523.0</v>
      </c>
      <c r="B263" s="20" t="s">
        <v>40</v>
      </c>
      <c r="C263" s="21">
        <v>2027739.0</v>
      </c>
      <c r="D263" s="22" t="s">
        <v>757</v>
      </c>
      <c r="E263" s="23" t="s">
        <v>59</v>
      </c>
      <c r="F263" s="24">
        <v>5.0</v>
      </c>
      <c r="G263" s="25">
        <v>4.0</v>
      </c>
      <c r="H263" s="26">
        <f t="shared" si="23"/>
        <v>20</v>
      </c>
      <c r="I263" s="27" t="s">
        <v>43</v>
      </c>
      <c r="J263" s="82" t="s">
        <v>740</v>
      </c>
      <c r="K263" s="29">
        <v>43706.0</v>
      </c>
      <c r="L263" s="30">
        <v>43703.0</v>
      </c>
      <c r="M263" s="31" t="s">
        <v>54</v>
      </c>
      <c r="N263" s="32" t="s">
        <v>2407</v>
      </c>
      <c r="O263" s="22"/>
      <c r="P263" s="22"/>
      <c r="Q263" s="22">
        <v>10.5</v>
      </c>
      <c r="R263" s="22"/>
      <c r="S263" s="22">
        <v>330.0</v>
      </c>
      <c r="T263" s="32" t="s">
        <v>56</v>
      </c>
      <c r="U263" s="461">
        <v>43769.0</v>
      </c>
      <c r="V263" s="351">
        <v>43711.0</v>
      </c>
      <c r="W263" s="352" t="s">
        <v>759</v>
      </c>
      <c r="X263" s="352" t="s">
        <v>2410</v>
      </c>
      <c r="Y263" s="352"/>
      <c r="Z263" s="352" t="s">
        <v>2406</v>
      </c>
      <c r="AA263" s="352">
        <v>1.028617853E9</v>
      </c>
      <c r="AB263" s="352">
        <v>31.315</v>
      </c>
      <c r="AC263" s="352"/>
      <c r="AD263" s="352"/>
      <c r="AE263" s="82"/>
      <c r="AF263" s="82"/>
      <c r="AG263" s="432"/>
      <c r="AH263" s="145">
        <v>43724.0</v>
      </c>
      <c r="AI263" s="432" t="s">
        <v>2408</v>
      </c>
      <c r="AJ263" s="432" t="s">
        <v>2409</v>
      </c>
      <c r="AK263" s="82" t="s">
        <v>50</v>
      </c>
      <c r="AL263" s="298" t="s">
        <v>285</v>
      </c>
      <c r="AM263" s="82" t="s">
        <v>51</v>
      </c>
      <c r="AN263" s="82" t="s">
        <v>52</v>
      </c>
      <c r="AO263" s="234" t="s">
        <v>507</v>
      </c>
    </row>
    <row r="264" ht="15.75" customHeight="1">
      <c r="A264" s="19">
        <v>43523.0</v>
      </c>
      <c r="B264" s="20" t="s">
        <v>40</v>
      </c>
      <c r="C264" s="21">
        <v>2027739.0</v>
      </c>
      <c r="D264" s="22" t="s">
        <v>2411</v>
      </c>
      <c r="E264" s="23" t="s">
        <v>61</v>
      </c>
      <c r="F264" s="24">
        <v>5.0</v>
      </c>
      <c r="G264" s="25">
        <v>542.0</v>
      </c>
      <c r="H264" s="26">
        <f t="shared" si="23"/>
        <v>2710</v>
      </c>
      <c r="I264" s="27" t="s">
        <v>43</v>
      </c>
      <c r="J264" s="82" t="s">
        <v>740</v>
      </c>
      <c r="K264" s="29">
        <v>43706.0</v>
      </c>
      <c r="L264" s="30">
        <v>43703.0</v>
      </c>
      <c r="M264" s="31" t="s">
        <v>54</v>
      </c>
      <c r="N264" s="32" t="s">
        <v>2407</v>
      </c>
      <c r="O264" s="20"/>
      <c r="P264" s="22"/>
      <c r="Q264" s="22">
        <v>2520.0</v>
      </c>
      <c r="R264" s="22"/>
      <c r="S264" s="22">
        <v>79102.0</v>
      </c>
      <c r="T264" s="51" t="s">
        <v>56</v>
      </c>
      <c r="U264" s="461">
        <v>43769.0</v>
      </c>
      <c r="V264" s="351">
        <v>43711.0</v>
      </c>
      <c r="W264" s="352" t="s">
        <v>759</v>
      </c>
      <c r="X264" s="352" t="s">
        <v>2410</v>
      </c>
      <c r="Y264" s="352"/>
      <c r="Z264" s="352" t="s">
        <v>2406</v>
      </c>
      <c r="AA264" s="352">
        <v>1.028617853E9</v>
      </c>
      <c r="AB264" s="352">
        <v>31.315</v>
      </c>
      <c r="AC264" s="352"/>
      <c r="AD264" s="352"/>
      <c r="AE264" s="82"/>
      <c r="AF264" s="82"/>
      <c r="AG264" s="432"/>
      <c r="AH264" s="145">
        <v>43724.0</v>
      </c>
      <c r="AI264" s="432" t="s">
        <v>2408</v>
      </c>
      <c r="AJ264" s="432" t="s">
        <v>2409</v>
      </c>
      <c r="AK264" s="82" t="s">
        <v>50</v>
      </c>
      <c r="AL264" s="298" t="s">
        <v>285</v>
      </c>
      <c r="AM264" s="82" t="s">
        <v>51</v>
      </c>
      <c r="AN264" s="82" t="s">
        <v>52</v>
      </c>
      <c r="AO264" s="234" t="s">
        <v>507</v>
      </c>
    </row>
    <row r="265" ht="15.75" customHeight="1">
      <c r="A265" s="19">
        <v>43523.0</v>
      </c>
      <c r="B265" s="20" t="s">
        <v>40</v>
      </c>
      <c r="C265" s="21">
        <v>2027739.0</v>
      </c>
      <c r="D265" s="22" t="s">
        <v>761</v>
      </c>
      <c r="E265" s="23" t="s">
        <v>53</v>
      </c>
      <c r="F265" s="24">
        <v>5.0</v>
      </c>
      <c r="G265" s="25">
        <v>31.0</v>
      </c>
      <c r="H265" s="26">
        <f t="shared" si="23"/>
        <v>155</v>
      </c>
      <c r="I265" s="27" t="s">
        <v>43</v>
      </c>
      <c r="J265" s="82" t="s">
        <v>740</v>
      </c>
      <c r="K265" s="29">
        <v>43740.0</v>
      </c>
      <c r="L265" s="30">
        <v>43733.0</v>
      </c>
      <c r="M265" s="31" t="s">
        <v>54</v>
      </c>
      <c r="N265" s="32" t="s">
        <v>2412</v>
      </c>
      <c r="O265" s="669" t="s">
        <v>2413</v>
      </c>
      <c r="P265" s="22"/>
      <c r="Q265" s="22">
        <v>113.4</v>
      </c>
      <c r="R265" s="22"/>
      <c r="S265" s="22">
        <v>3511.0</v>
      </c>
      <c r="T265" s="32" t="s">
        <v>56</v>
      </c>
      <c r="U265" s="461">
        <v>43769.0</v>
      </c>
      <c r="V265" s="351">
        <v>43732.0</v>
      </c>
      <c r="W265" s="352" t="s">
        <v>762</v>
      </c>
      <c r="X265" s="352">
        <v>81855.0</v>
      </c>
      <c r="Y265" s="352"/>
      <c r="Z265" s="352" t="s">
        <v>2414</v>
      </c>
      <c r="AA265" s="352">
        <v>1.029248674E9</v>
      </c>
      <c r="AB265" s="352">
        <v>30.97</v>
      </c>
      <c r="AC265" s="352"/>
      <c r="AD265" s="352"/>
      <c r="AE265" s="82"/>
      <c r="AF265" s="82"/>
      <c r="AG265" s="432"/>
      <c r="AH265" s="30">
        <v>43759.0</v>
      </c>
      <c r="AI265" s="432" t="s">
        <v>2415</v>
      </c>
      <c r="AJ265" s="432" t="s">
        <v>2416</v>
      </c>
      <c r="AK265" s="82" t="s">
        <v>50</v>
      </c>
      <c r="AL265" s="298" t="s">
        <v>285</v>
      </c>
      <c r="AM265" s="82" t="s">
        <v>51</v>
      </c>
      <c r="AN265" s="82" t="s">
        <v>52</v>
      </c>
      <c r="AO265" s="459" t="s">
        <v>763</v>
      </c>
    </row>
    <row r="266" ht="15.75" customHeight="1">
      <c r="A266" s="19">
        <v>43523.0</v>
      </c>
      <c r="B266" s="20" t="s">
        <v>40</v>
      </c>
      <c r="C266" s="21">
        <v>2027739.0</v>
      </c>
      <c r="D266" s="22" t="s">
        <v>761</v>
      </c>
      <c r="E266" s="23" t="s">
        <v>42</v>
      </c>
      <c r="F266" s="24">
        <v>5.0</v>
      </c>
      <c r="G266" s="25">
        <v>273.0</v>
      </c>
      <c r="H266" s="26">
        <f t="shared" si="23"/>
        <v>1365</v>
      </c>
      <c r="I266" s="27" t="s">
        <v>43</v>
      </c>
      <c r="J266" s="82" t="s">
        <v>740</v>
      </c>
      <c r="K266" s="29">
        <v>43740.0</v>
      </c>
      <c r="L266" s="30">
        <v>43725.0</v>
      </c>
      <c r="M266" s="31" t="s">
        <v>45</v>
      </c>
      <c r="N266" s="32" t="s">
        <v>2417</v>
      </c>
      <c r="O266" s="669" t="s">
        <v>2413</v>
      </c>
      <c r="P266" s="47"/>
      <c r="Q266" s="47">
        <v>1050.0</v>
      </c>
      <c r="R266" s="408"/>
      <c r="S266" s="408">
        <v>32608.0</v>
      </c>
      <c r="T266" s="35" t="s">
        <v>47</v>
      </c>
      <c r="U266" s="461">
        <v>43753.0</v>
      </c>
      <c r="V266" s="351">
        <v>43724.0</v>
      </c>
      <c r="W266" s="352" t="s">
        <v>764</v>
      </c>
      <c r="X266" s="352">
        <v>32608.0</v>
      </c>
      <c r="Y266" s="351">
        <v>43743.0</v>
      </c>
      <c r="Z266" s="352" t="s">
        <v>2414</v>
      </c>
      <c r="AA266" s="352">
        <v>1.029248674E9</v>
      </c>
      <c r="AB266" s="352">
        <v>30.97</v>
      </c>
      <c r="AC266" s="352"/>
      <c r="AD266" s="352"/>
      <c r="AE266" s="82"/>
      <c r="AF266" s="82"/>
      <c r="AG266" s="432"/>
      <c r="AH266" s="30">
        <v>43759.0</v>
      </c>
      <c r="AI266" s="432">
        <f>4243.44*30.51</f>
        <v>129467.3544</v>
      </c>
      <c r="AJ266" s="432">
        <f>(4250-4243.44)*30.51</f>
        <v>200.1456</v>
      </c>
      <c r="AK266" s="82" t="s">
        <v>50</v>
      </c>
      <c r="AL266" s="298" t="s">
        <v>285</v>
      </c>
      <c r="AM266" s="82" t="s">
        <v>51</v>
      </c>
      <c r="AN266" s="82" t="s">
        <v>52</v>
      </c>
      <c r="AO266" s="459" t="s">
        <v>763</v>
      </c>
    </row>
    <row r="267" ht="15.75" customHeight="1">
      <c r="A267" s="19">
        <v>43523.0</v>
      </c>
      <c r="B267" s="20" t="s">
        <v>40</v>
      </c>
      <c r="C267" s="21">
        <v>2027739.0</v>
      </c>
      <c r="D267" s="22" t="s">
        <v>761</v>
      </c>
      <c r="E267" s="23" t="s">
        <v>59</v>
      </c>
      <c r="F267" s="24">
        <v>5.0</v>
      </c>
      <c r="G267" s="25">
        <v>4.0</v>
      </c>
      <c r="H267" s="26">
        <f t="shared" si="23"/>
        <v>20</v>
      </c>
      <c r="I267" s="27" t="s">
        <v>43</v>
      </c>
      <c r="J267" s="82" t="s">
        <v>740</v>
      </c>
      <c r="K267" s="29">
        <v>43740.0</v>
      </c>
      <c r="L267" s="30">
        <v>43733.0</v>
      </c>
      <c r="M267" s="31" t="s">
        <v>54</v>
      </c>
      <c r="N267" s="32" t="s">
        <v>2412</v>
      </c>
      <c r="O267" s="669" t="s">
        <v>2413</v>
      </c>
      <c r="P267" s="22"/>
      <c r="Q267" s="22">
        <v>10.5</v>
      </c>
      <c r="R267" s="22"/>
      <c r="S267" s="22">
        <v>325.0</v>
      </c>
      <c r="T267" s="32" t="s">
        <v>56</v>
      </c>
      <c r="U267" s="461">
        <v>43769.0</v>
      </c>
      <c r="V267" s="351">
        <v>43732.0</v>
      </c>
      <c r="W267" s="352" t="s">
        <v>762</v>
      </c>
      <c r="X267" s="352" t="s">
        <v>2418</v>
      </c>
      <c r="Y267" s="352"/>
      <c r="Z267" s="352" t="s">
        <v>2414</v>
      </c>
      <c r="AA267" s="352">
        <v>1.029248674E9</v>
      </c>
      <c r="AB267" s="352">
        <v>30.97</v>
      </c>
      <c r="AC267" s="352"/>
      <c r="AD267" s="352"/>
      <c r="AE267" s="82"/>
      <c r="AF267" s="82"/>
      <c r="AG267" s="432"/>
      <c r="AH267" s="30">
        <v>43759.0</v>
      </c>
      <c r="AI267" s="432" t="s">
        <v>2415</v>
      </c>
      <c r="AJ267" s="432" t="s">
        <v>2416</v>
      </c>
      <c r="AK267" s="82" t="s">
        <v>50</v>
      </c>
      <c r="AL267" s="298" t="s">
        <v>285</v>
      </c>
      <c r="AM267" s="82" t="s">
        <v>51</v>
      </c>
      <c r="AN267" s="82" t="s">
        <v>52</v>
      </c>
      <c r="AO267" s="459" t="s">
        <v>763</v>
      </c>
    </row>
    <row r="268" ht="15.75" customHeight="1">
      <c r="A268" s="19">
        <v>43523.0</v>
      </c>
      <c r="B268" s="20" t="s">
        <v>40</v>
      </c>
      <c r="C268" s="21">
        <v>2027739.0</v>
      </c>
      <c r="D268" s="22" t="s">
        <v>2419</v>
      </c>
      <c r="E268" s="23" t="s">
        <v>61</v>
      </c>
      <c r="F268" s="24">
        <v>5.0</v>
      </c>
      <c r="G268" s="25">
        <v>542.0</v>
      </c>
      <c r="H268" s="26">
        <f t="shared" si="23"/>
        <v>2710</v>
      </c>
      <c r="I268" s="27" t="s">
        <v>43</v>
      </c>
      <c r="J268" s="82" t="s">
        <v>740</v>
      </c>
      <c r="K268" s="29">
        <v>43740.0</v>
      </c>
      <c r="L268" s="30">
        <v>43733.0</v>
      </c>
      <c r="M268" s="31" t="s">
        <v>54</v>
      </c>
      <c r="N268" s="32" t="s">
        <v>2412</v>
      </c>
      <c r="O268" s="669" t="s">
        <v>2413</v>
      </c>
      <c r="P268" s="22"/>
      <c r="Q268" s="22">
        <v>2520.0</v>
      </c>
      <c r="R268" s="22"/>
      <c r="S268" s="22">
        <v>78019.0</v>
      </c>
      <c r="T268" s="51" t="s">
        <v>56</v>
      </c>
      <c r="U268" s="461">
        <v>43769.0</v>
      </c>
      <c r="V268" s="351">
        <v>43732.0</v>
      </c>
      <c r="W268" s="352" t="s">
        <v>762</v>
      </c>
      <c r="X268" s="352" t="s">
        <v>2418</v>
      </c>
      <c r="Y268" s="352"/>
      <c r="Z268" s="352" t="s">
        <v>2414</v>
      </c>
      <c r="AA268" s="670">
        <v>1.029248674E9</v>
      </c>
      <c r="AB268" s="352">
        <v>30.97</v>
      </c>
      <c r="AC268" s="352"/>
      <c r="AD268" s="352"/>
      <c r="AE268" s="82"/>
      <c r="AF268" s="82"/>
      <c r="AG268" s="432"/>
      <c r="AH268" s="30">
        <v>43759.0</v>
      </c>
      <c r="AI268" s="432" t="s">
        <v>2415</v>
      </c>
      <c r="AJ268" s="432" t="s">
        <v>2416</v>
      </c>
      <c r="AK268" s="82" t="s">
        <v>50</v>
      </c>
      <c r="AL268" s="298" t="s">
        <v>285</v>
      </c>
      <c r="AM268" s="82" t="s">
        <v>51</v>
      </c>
      <c r="AN268" s="82" t="s">
        <v>52</v>
      </c>
      <c r="AO268" s="459" t="s">
        <v>763</v>
      </c>
    </row>
    <row r="269" ht="15.75" customHeight="1">
      <c r="A269" s="19">
        <v>43523.0</v>
      </c>
      <c r="B269" s="20" t="s">
        <v>40</v>
      </c>
      <c r="C269" s="21">
        <v>2027739.0</v>
      </c>
      <c r="D269" s="22" t="s">
        <v>766</v>
      </c>
      <c r="E269" s="23" t="s">
        <v>42</v>
      </c>
      <c r="F269" s="24">
        <v>5.0</v>
      </c>
      <c r="G269" s="25">
        <v>273.0</v>
      </c>
      <c r="H269" s="26">
        <f t="shared" si="23"/>
        <v>1365</v>
      </c>
      <c r="I269" s="27" t="s">
        <v>43</v>
      </c>
      <c r="J269" s="82" t="s">
        <v>740</v>
      </c>
      <c r="K269" s="29">
        <v>43773.0</v>
      </c>
      <c r="L269" s="30">
        <v>43759.0</v>
      </c>
      <c r="M269" s="31" t="s">
        <v>45</v>
      </c>
      <c r="N269" s="32" t="s">
        <v>2420</v>
      </c>
      <c r="O269" s="47"/>
      <c r="P269" s="47"/>
      <c r="Q269" s="47">
        <v>1050.0</v>
      </c>
      <c r="R269" s="408"/>
      <c r="S269" s="408"/>
      <c r="T269" s="35" t="s">
        <v>47</v>
      </c>
      <c r="U269" s="352"/>
      <c r="V269" s="352"/>
      <c r="W269" s="352"/>
      <c r="X269" s="352"/>
      <c r="Y269" s="352"/>
      <c r="Z269" s="352" t="s">
        <v>2421</v>
      </c>
      <c r="AA269" s="229">
        <v>1.029844326E9</v>
      </c>
      <c r="AB269" s="352">
        <v>30.52</v>
      </c>
      <c r="AC269" s="352"/>
      <c r="AD269" s="352"/>
      <c r="AE269" s="82"/>
      <c r="AF269" s="82"/>
      <c r="AG269" s="432"/>
      <c r="AH269" s="30">
        <v>43791.0</v>
      </c>
      <c r="AI269" s="432">
        <f>8493.43*30.457</f>
        <v>258684.3975</v>
      </c>
      <c r="AJ269" s="432">
        <f>(8500-8493.43)*30.457</f>
        <v>200.10249</v>
      </c>
      <c r="AK269" s="82" t="s">
        <v>50</v>
      </c>
      <c r="AL269" s="298" t="s">
        <v>285</v>
      </c>
      <c r="AM269" s="82" t="s">
        <v>51</v>
      </c>
      <c r="AN269" s="82" t="s">
        <v>52</v>
      </c>
      <c r="AO269" s="459" t="s">
        <v>763</v>
      </c>
    </row>
    <row r="270" ht="15.75" customHeight="1">
      <c r="A270" s="19">
        <v>43523.0</v>
      </c>
      <c r="B270" s="20" t="s">
        <v>40</v>
      </c>
      <c r="C270" s="21">
        <v>2027739.0</v>
      </c>
      <c r="D270" s="22" t="s">
        <v>766</v>
      </c>
      <c r="E270" s="23" t="s">
        <v>53</v>
      </c>
      <c r="F270" s="24">
        <v>5.0</v>
      </c>
      <c r="G270" s="25">
        <v>31.0</v>
      </c>
      <c r="H270" s="26">
        <f t="shared" si="23"/>
        <v>155</v>
      </c>
      <c r="I270" s="27" t="s">
        <v>43</v>
      </c>
      <c r="J270" s="82" t="s">
        <v>740</v>
      </c>
      <c r="K270" s="29">
        <v>43773.0</v>
      </c>
      <c r="L270" s="30">
        <v>43766.0</v>
      </c>
      <c r="M270" s="31" t="s">
        <v>54</v>
      </c>
      <c r="N270" s="32" t="s">
        <v>2422</v>
      </c>
      <c r="O270" s="22"/>
      <c r="P270" s="22"/>
      <c r="Q270" s="22">
        <v>113.4</v>
      </c>
      <c r="R270" s="22"/>
      <c r="S270" s="22">
        <v>80916.0</v>
      </c>
      <c r="T270" s="35" t="s">
        <v>56</v>
      </c>
      <c r="U270" s="461">
        <v>43830.0</v>
      </c>
      <c r="V270" s="461">
        <v>43766.0</v>
      </c>
      <c r="W270" s="352" t="s">
        <v>767</v>
      </c>
      <c r="X270" s="352" t="s">
        <v>2423</v>
      </c>
      <c r="Y270" s="352"/>
      <c r="Z270" s="352" t="s">
        <v>2421</v>
      </c>
      <c r="AA270" s="229">
        <v>1.029844326E9</v>
      </c>
      <c r="AB270" s="352">
        <v>30.52</v>
      </c>
      <c r="AC270" s="352"/>
      <c r="AD270" s="352"/>
      <c r="AE270" s="82"/>
      <c r="AF270" s="82"/>
      <c r="AG270" s="432"/>
      <c r="AH270" s="30">
        <v>43791.0</v>
      </c>
      <c r="AI270" s="432" t="s">
        <v>2424</v>
      </c>
      <c r="AJ270" s="432" t="s">
        <v>2425</v>
      </c>
      <c r="AK270" s="82" t="s">
        <v>50</v>
      </c>
      <c r="AL270" s="298" t="s">
        <v>285</v>
      </c>
      <c r="AM270" s="82" t="s">
        <v>51</v>
      </c>
      <c r="AN270" s="82" t="s">
        <v>52</v>
      </c>
      <c r="AO270" s="459" t="s">
        <v>763</v>
      </c>
    </row>
    <row r="271" ht="15.75" customHeight="1">
      <c r="A271" s="19">
        <v>43523.0</v>
      </c>
      <c r="B271" s="20" t="s">
        <v>40</v>
      </c>
      <c r="C271" s="21">
        <v>2027739.0</v>
      </c>
      <c r="D271" s="22" t="s">
        <v>766</v>
      </c>
      <c r="E271" s="23" t="s">
        <v>59</v>
      </c>
      <c r="F271" s="24">
        <v>5.0</v>
      </c>
      <c r="G271" s="25">
        <v>4.0</v>
      </c>
      <c r="H271" s="26">
        <f t="shared" si="23"/>
        <v>20</v>
      </c>
      <c r="I271" s="27" t="s">
        <v>43</v>
      </c>
      <c r="J271" s="82" t="s">
        <v>740</v>
      </c>
      <c r="K271" s="29">
        <v>43773.0</v>
      </c>
      <c r="L271" s="30">
        <v>43766.0</v>
      </c>
      <c r="M271" s="31" t="s">
        <v>54</v>
      </c>
      <c r="N271" s="32" t="s">
        <v>2422</v>
      </c>
      <c r="O271" s="22"/>
      <c r="P271" s="22"/>
      <c r="Q271" s="22">
        <v>10.5</v>
      </c>
      <c r="R271" s="22"/>
      <c r="S271" s="22" t="s">
        <v>2426</v>
      </c>
      <c r="T271" s="35" t="s">
        <v>56</v>
      </c>
      <c r="U271" s="461">
        <v>43830.0</v>
      </c>
      <c r="V271" s="461">
        <v>43766.0</v>
      </c>
      <c r="W271" s="352" t="s">
        <v>767</v>
      </c>
      <c r="X271" s="352" t="s">
        <v>2423</v>
      </c>
      <c r="Y271" s="352"/>
      <c r="Z271" s="352" t="s">
        <v>2421</v>
      </c>
      <c r="AA271" s="229">
        <v>1.029844326E9</v>
      </c>
      <c r="AB271" s="352">
        <v>30.52</v>
      </c>
      <c r="AC271" s="352"/>
      <c r="AD271" s="352"/>
      <c r="AE271" s="82"/>
      <c r="AF271" s="82"/>
      <c r="AG271" s="432"/>
      <c r="AH271" s="30">
        <v>43791.0</v>
      </c>
      <c r="AI271" s="432" t="s">
        <v>2424</v>
      </c>
      <c r="AJ271" s="432" t="s">
        <v>2425</v>
      </c>
      <c r="AK271" s="82" t="s">
        <v>50</v>
      </c>
      <c r="AL271" s="298" t="s">
        <v>285</v>
      </c>
      <c r="AM271" s="82" t="s">
        <v>51</v>
      </c>
      <c r="AN271" s="82" t="s">
        <v>52</v>
      </c>
      <c r="AO271" s="459" t="s">
        <v>763</v>
      </c>
    </row>
    <row r="272" ht="15.75" customHeight="1">
      <c r="A272" s="19">
        <v>43523.0</v>
      </c>
      <c r="B272" s="20" t="s">
        <v>40</v>
      </c>
      <c r="C272" s="21">
        <v>2027739.0</v>
      </c>
      <c r="D272" s="22" t="s">
        <v>2427</v>
      </c>
      <c r="E272" s="23" t="s">
        <v>61</v>
      </c>
      <c r="F272" s="24">
        <v>5.0</v>
      </c>
      <c r="G272" s="25">
        <v>542.0</v>
      </c>
      <c r="H272" s="26">
        <f t="shared" si="23"/>
        <v>2710</v>
      </c>
      <c r="I272" s="27" t="s">
        <v>43</v>
      </c>
      <c r="J272" s="82" t="s">
        <v>740</v>
      </c>
      <c r="K272" s="29">
        <v>43773.0</v>
      </c>
      <c r="L272" s="30">
        <v>43766.0</v>
      </c>
      <c r="M272" s="31" t="s">
        <v>54</v>
      </c>
      <c r="N272" s="32" t="s">
        <v>2422</v>
      </c>
      <c r="O272" s="22"/>
      <c r="P272" s="22"/>
      <c r="Q272" s="22">
        <v>2520.0</v>
      </c>
      <c r="R272" s="22"/>
      <c r="S272" s="22" t="s">
        <v>2426</v>
      </c>
      <c r="T272" s="51" t="s">
        <v>56</v>
      </c>
      <c r="U272" s="461">
        <v>43830.0</v>
      </c>
      <c r="V272" s="461">
        <v>43766.0</v>
      </c>
      <c r="W272" s="352" t="s">
        <v>767</v>
      </c>
      <c r="X272" s="352" t="s">
        <v>2423</v>
      </c>
      <c r="Y272" s="352"/>
      <c r="Z272" s="352" t="s">
        <v>2421</v>
      </c>
      <c r="AA272" s="352">
        <v>1.029844326E9</v>
      </c>
      <c r="AB272" s="352">
        <v>30.52</v>
      </c>
      <c r="AC272" s="352"/>
      <c r="AD272" s="352"/>
      <c r="AE272" s="82"/>
      <c r="AF272" s="82"/>
      <c r="AG272" s="432"/>
      <c r="AH272" s="30">
        <v>43791.0</v>
      </c>
      <c r="AI272" s="432" t="s">
        <v>2424</v>
      </c>
      <c r="AJ272" s="432" t="s">
        <v>2425</v>
      </c>
      <c r="AK272" s="82" t="s">
        <v>50</v>
      </c>
      <c r="AL272" s="298" t="s">
        <v>285</v>
      </c>
      <c r="AM272" s="82" t="s">
        <v>51</v>
      </c>
      <c r="AN272" s="82" t="s">
        <v>52</v>
      </c>
      <c r="AO272" s="459" t="s">
        <v>763</v>
      </c>
    </row>
    <row r="273" ht="15.75" customHeight="1">
      <c r="A273" s="19">
        <v>43523.0</v>
      </c>
      <c r="B273" s="20" t="s">
        <v>40</v>
      </c>
      <c r="C273" s="21">
        <v>2027739.0</v>
      </c>
      <c r="D273" s="22" t="s">
        <v>769</v>
      </c>
      <c r="E273" s="23" t="s">
        <v>42</v>
      </c>
      <c r="F273" s="24">
        <v>5.0</v>
      </c>
      <c r="G273" s="25">
        <v>273.0</v>
      </c>
      <c r="H273" s="26">
        <f t="shared" si="23"/>
        <v>1365</v>
      </c>
      <c r="I273" s="27" t="s">
        <v>43</v>
      </c>
      <c r="J273" s="82" t="s">
        <v>740</v>
      </c>
      <c r="K273" s="29">
        <v>43773.0</v>
      </c>
      <c r="L273" s="30">
        <v>43759.0</v>
      </c>
      <c r="M273" s="31" t="s">
        <v>45</v>
      </c>
      <c r="N273" s="32" t="s">
        <v>2428</v>
      </c>
      <c r="O273" s="352"/>
      <c r="P273" s="47"/>
      <c r="Q273" s="47">
        <v>1050.0</v>
      </c>
      <c r="R273" s="408"/>
      <c r="S273" s="408">
        <v>32215.0</v>
      </c>
      <c r="T273" s="35" t="s">
        <v>47</v>
      </c>
      <c r="U273" s="461">
        <v>43786.0</v>
      </c>
      <c r="V273" s="461">
        <v>43756.0</v>
      </c>
      <c r="W273" s="352" t="s">
        <v>64</v>
      </c>
      <c r="X273" s="352">
        <v>64430.0</v>
      </c>
      <c r="Y273" s="352"/>
      <c r="Z273" s="352" t="s">
        <v>2421</v>
      </c>
      <c r="AA273" s="537">
        <v>1.029844326E9</v>
      </c>
      <c r="AB273" s="352">
        <v>30.52</v>
      </c>
      <c r="AC273" s="352"/>
      <c r="AD273" s="352"/>
      <c r="AE273" s="82"/>
      <c r="AF273" s="82"/>
      <c r="AG273" s="432"/>
      <c r="AH273" s="30">
        <v>43791.0</v>
      </c>
      <c r="AI273" s="432" t="s">
        <v>2424</v>
      </c>
      <c r="AJ273" s="432" t="s">
        <v>2425</v>
      </c>
      <c r="AK273" s="82" t="s">
        <v>50</v>
      </c>
      <c r="AL273" s="298" t="s">
        <v>285</v>
      </c>
      <c r="AM273" s="82" t="s">
        <v>51</v>
      </c>
      <c r="AN273" s="82" t="s">
        <v>52</v>
      </c>
      <c r="AO273" s="459" t="s">
        <v>763</v>
      </c>
    </row>
    <row r="274" ht="15.75" customHeight="1">
      <c r="A274" s="19">
        <v>43523.0</v>
      </c>
      <c r="B274" s="20" t="s">
        <v>40</v>
      </c>
      <c r="C274" s="21">
        <v>2027739.0</v>
      </c>
      <c r="D274" s="22" t="s">
        <v>769</v>
      </c>
      <c r="E274" s="23" t="s">
        <v>53</v>
      </c>
      <c r="F274" s="24">
        <v>5.0</v>
      </c>
      <c r="G274" s="25">
        <v>31.0</v>
      </c>
      <c r="H274" s="26">
        <f t="shared" si="23"/>
        <v>155</v>
      </c>
      <c r="I274" s="27" t="s">
        <v>43</v>
      </c>
      <c r="J274" s="82" t="s">
        <v>740</v>
      </c>
      <c r="K274" s="29">
        <v>43773.0</v>
      </c>
      <c r="L274" s="30">
        <v>43766.0</v>
      </c>
      <c r="M274" s="31" t="s">
        <v>54</v>
      </c>
      <c r="N274" s="32" t="s">
        <v>2429</v>
      </c>
      <c r="O274" s="22"/>
      <c r="P274" s="22"/>
      <c r="Q274" s="22">
        <v>113.4</v>
      </c>
      <c r="R274" s="22"/>
      <c r="S274" s="22">
        <v>80917.0</v>
      </c>
      <c r="T274" s="32" t="s">
        <v>56</v>
      </c>
      <c r="U274" s="461">
        <v>43830.0</v>
      </c>
      <c r="V274" s="461">
        <v>43766.0</v>
      </c>
      <c r="W274" s="352" t="s">
        <v>767</v>
      </c>
      <c r="X274" s="352">
        <v>161833.0</v>
      </c>
      <c r="Y274" s="352"/>
      <c r="Z274" s="352" t="s">
        <v>2421</v>
      </c>
      <c r="AA274" s="537">
        <v>1.029844326E9</v>
      </c>
      <c r="AB274" s="352">
        <v>30.52</v>
      </c>
      <c r="AC274" s="352"/>
      <c r="AD274" s="352"/>
      <c r="AE274" s="82"/>
      <c r="AF274" s="82"/>
      <c r="AG274" s="432"/>
      <c r="AH274" s="30">
        <v>43791.0</v>
      </c>
      <c r="AI274" s="432" t="s">
        <v>2424</v>
      </c>
      <c r="AJ274" s="432" t="s">
        <v>2425</v>
      </c>
      <c r="AK274" s="82" t="s">
        <v>50</v>
      </c>
      <c r="AL274" s="298" t="s">
        <v>285</v>
      </c>
      <c r="AM274" s="82" t="s">
        <v>51</v>
      </c>
      <c r="AN274" s="82" t="s">
        <v>52</v>
      </c>
      <c r="AO274" s="459" t="s">
        <v>763</v>
      </c>
    </row>
    <row r="275" ht="15.75" customHeight="1">
      <c r="A275" s="19">
        <v>43523.0</v>
      </c>
      <c r="B275" s="20" t="s">
        <v>40</v>
      </c>
      <c r="C275" s="21">
        <v>2027739.0</v>
      </c>
      <c r="D275" s="22" t="s">
        <v>769</v>
      </c>
      <c r="E275" s="23" t="s">
        <v>59</v>
      </c>
      <c r="F275" s="24">
        <v>5.0</v>
      </c>
      <c r="G275" s="25">
        <v>4.0</v>
      </c>
      <c r="H275" s="26">
        <f t="shared" si="23"/>
        <v>20</v>
      </c>
      <c r="I275" s="27" t="s">
        <v>43</v>
      </c>
      <c r="J275" s="82" t="s">
        <v>740</v>
      </c>
      <c r="K275" s="29">
        <v>43773.0</v>
      </c>
      <c r="L275" s="30">
        <v>43766.0</v>
      </c>
      <c r="M275" s="31" t="s">
        <v>54</v>
      </c>
      <c r="N275" s="32" t="s">
        <v>2429</v>
      </c>
      <c r="O275" s="22"/>
      <c r="P275" s="22"/>
      <c r="Q275" s="22">
        <v>10.5</v>
      </c>
      <c r="R275" s="22"/>
      <c r="S275" s="22" t="s">
        <v>2426</v>
      </c>
      <c r="T275" s="32" t="s">
        <v>56</v>
      </c>
      <c r="U275" s="461">
        <v>43830.0</v>
      </c>
      <c r="V275" s="461">
        <v>43766.0</v>
      </c>
      <c r="W275" s="352" t="s">
        <v>767</v>
      </c>
      <c r="X275" s="352" t="s">
        <v>2423</v>
      </c>
      <c r="Y275" s="352"/>
      <c r="Z275" s="352" t="s">
        <v>2421</v>
      </c>
      <c r="AA275" s="537">
        <v>1.029844326E9</v>
      </c>
      <c r="AB275" s="352">
        <v>30.52</v>
      </c>
      <c r="AC275" s="352"/>
      <c r="AD275" s="352"/>
      <c r="AE275" s="82"/>
      <c r="AF275" s="82"/>
      <c r="AG275" s="432"/>
      <c r="AH275" s="30">
        <v>43791.0</v>
      </c>
      <c r="AI275" s="432" t="s">
        <v>2424</v>
      </c>
      <c r="AJ275" s="432" t="s">
        <v>2425</v>
      </c>
      <c r="AK275" s="82" t="s">
        <v>50</v>
      </c>
      <c r="AL275" s="298" t="s">
        <v>285</v>
      </c>
      <c r="AM275" s="82" t="s">
        <v>51</v>
      </c>
      <c r="AN275" s="82" t="s">
        <v>52</v>
      </c>
      <c r="AO275" s="459" t="s">
        <v>763</v>
      </c>
    </row>
    <row r="276" ht="15.75" customHeight="1">
      <c r="A276" s="19">
        <v>43523.0</v>
      </c>
      <c r="B276" s="20" t="s">
        <v>40</v>
      </c>
      <c r="C276" s="21">
        <v>2027739.0</v>
      </c>
      <c r="D276" s="22" t="s">
        <v>2430</v>
      </c>
      <c r="E276" s="23" t="s">
        <v>61</v>
      </c>
      <c r="F276" s="24">
        <v>5.0</v>
      </c>
      <c r="G276" s="25">
        <v>542.0</v>
      </c>
      <c r="H276" s="26">
        <f t="shared" si="23"/>
        <v>2710</v>
      </c>
      <c r="I276" s="27" t="s">
        <v>43</v>
      </c>
      <c r="J276" s="82" t="s">
        <v>740</v>
      </c>
      <c r="K276" s="29">
        <v>43773.0</v>
      </c>
      <c r="L276" s="30">
        <v>43766.0</v>
      </c>
      <c r="M276" s="31" t="s">
        <v>54</v>
      </c>
      <c r="N276" s="32" t="s">
        <v>2429</v>
      </c>
      <c r="O276" s="22"/>
      <c r="P276" s="22"/>
      <c r="Q276" s="22">
        <v>2520.0</v>
      </c>
      <c r="R276" s="22"/>
      <c r="S276" s="22" t="s">
        <v>2426</v>
      </c>
      <c r="T276" s="51" t="s">
        <v>56</v>
      </c>
      <c r="U276" s="461">
        <v>43830.0</v>
      </c>
      <c r="V276" s="461">
        <v>43766.0</v>
      </c>
      <c r="W276" s="352" t="s">
        <v>767</v>
      </c>
      <c r="X276" s="352" t="s">
        <v>2423</v>
      </c>
      <c r="Y276" s="352"/>
      <c r="Z276" s="352" t="s">
        <v>2421</v>
      </c>
      <c r="AA276" s="537">
        <v>1.029844326E9</v>
      </c>
      <c r="AB276" s="352">
        <v>30.52</v>
      </c>
      <c r="AC276" s="352"/>
      <c r="AD276" s="352"/>
      <c r="AE276" s="82"/>
      <c r="AF276" s="82"/>
      <c r="AG276" s="432"/>
      <c r="AH276" s="30">
        <v>43791.0</v>
      </c>
      <c r="AI276" s="432" t="s">
        <v>2424</v>
      </c>
      <c r="AJ276" s="432" t="s">
        <v>2425</v>
      </c>
      <c r="AK276" s="82" t="s">
        <v>50</v>
      </c>
      <c r="AL276" s="298" t="s">
        <v>285</v>
      </c>
      <c r="AM276" s="82" t="s">
        <v>51</v>
      </c>
      <c r="AN276" s="82" t="s">
        <v>52</v>
      </c>
      <c r="AO276" s="459" t="s">
        <v>763</v>
      </c>
    </row>
    <row r="277" ht="15.75" customHeight="1">
      <c r="A277" s="19">
        <v>43524.0</v>
      </c>
      <c r="B277" s="70" t="s">
        <v>579</v>
      </c>
      <c r="C277" s="21">
        <v>2.0190227001E10</v>
      </c>
      <c r="D277" s="22" t="s">
        <v>771</v>
      </c>
      <c r="E277" s="23" t="s">
        <v>772</v>
      </c>
      <c r="F277" s="82">
        <v>1.0</v>
      </c>
      <c r="G277" s="143">
        <v>96.6</v>
      </c>
      <c r="H277" s="26">
        <f t="shared" si="23"/>
        <v>96.6</v>
      </c>
      <c r="I277" s="431" t="s">
        <v>171</v>
      </c>
      <c r="J277" s="161" t="s">
        <v>582</v>
      </c>
      <c r="K277" s="30">
        <v>43532.0</v>
      </c>
      <c r="L277" s="30">
        <v>43531.0</v>
      </c>
      <c r="M277" s="349" t="s">
        <v>1439</v>
      </c>
      <c r="N277" s="32" t="s">
        <v>2431</v>
      </c>
      <c r="O277" s="41"/>
      <c r="P277" s="41"/>
      <c r="Q277" s="22">
        <v>84.0</v>
      </c>
      <c r="R277" s="41"/>
      <c r="S277" s="22">
        <v>2589.0</v>
      </c>
      <c r="T277" s="150" t="s">
        <v>2212</v>
      </c>
      <c r="U277" s="354">
        <v>43585.0</v>
      </c>
      <c r="V277" s="413">
        <v>43530.0</v>
      </c>
      <c r="W277" s="342" t="s">
        <v>773</v>
      </c>
      <c r="X277" s="414">
        <v>2589.0</v>
      </c>
      <c r="Y277" s="451">
        <v>43586.0</v>
      </c>
      <c r="Z277" s="37" t="s">
        <v>2432</v>
      </c>
      <c r="AA277" s="37" t="s">
        <v>2433</v>
      </c>
      <c r="AB277" s="37">
        <v>30.0</v>
      </c>
      <c r="AC277" s="37">
        <v>2898.0</v>
      </c>
      <c r="AD277" s="610">
        <v>43530.0</v>
      </c>
      <c r="AE277" s="24"/>
      <c r="AF277" s="24"/>
      <c r="AG277" s="38"/>
      <c r="AH277" s="39">
        <v>43546.0</v>
      </c>
      <c r="AI277" s="38"/>
      <c r="AJ277" s="38"/>
      <c r="AK277" s="24" t="s">
        <v>50</v>
      </c>
      <c r="AL277" s="24" t="s">
        <v>285</v>
      </c>
      <c r="AM277" s="24" t="s">
        <v>51</v>
      </c>
      <c r="AN277" s="24" t="s">
        <v>377</v>
      </c>
      <c r="AO277" s="40"/>
    </row>
    <row r="278" ht="15.75" customHeight="1">
      <c r="A278" s="19">
        <v>43526.0</v>
      </c>
      <c r="B278" s="70" t="s">
        <v>119</v>
      </c>
      <c r="C278" s="21" t="s">
        <v>774</v>
      </c>
      <c r="D278" s="21" t="s">
        <v>775</v>
      </c>
      <c r="E278" s="23" t="s">
        <v>325</v>
      </c>
      <c r="F278" s="24">
        <v>10.0</v>
      </c>
      <c r="G278" s="143">
        <v>577.0</v>
      </c>
      <c r="H278" s="165">
        <f t="shared" si="23"/>
        <v>5770</v>
      </c>
      <c r="I278" s="348" t="s">
        <v>171</v>
      </c>
      <c r="J278" s="82" t="s">
        <v>122</v>
      </c>
      <c r="K278" s="30">
        <v>43564.0</v>
      </c>
      <c r="L278" s="29">
        <v>43546.0</v>
      </c>
      <c r="M278" s="79" t="s">
        <v>90</v>
      </c>
      <c r="N278" s="93" t="s">
        <v>2434</v>
      </c>
      <c r="O278" s="408"/>
      <c r="P278" s="408"/>
      <c r="Q278" s="408">
        <v>5323.5</v>
      </c>
      <c r="R278" s="408"/>
      <c r="S278" s="408">
        <v>164097.0</v>
      </c>
      <c r="T278" s="35" t="s">
        <v>94</v>
      </c>
      <c r="U278" s="294">
        <v>43585.0</v>
      </c>
      <c r="V278" s="410">
        <v>43545.0</v>
      </c>
      <c r="W278" s="296" t="s">
        <v>776</v>
      </c>
      <c r="X278" s="297">
        <v>429500.0</v>
      </c>
      <c r="Y278" s="302">
        <v>43586.0</v>
      </c>
      <c r="Z278" s="53" t="s">
        <v>2327</v>
      </c>
      <c r="AA278" s="53" t="s">
        <v>2328</v>
      </c>
      <c r="AB278" s="53"/>
      <c r="AC278" s="53"/>
      <c r="AD278" s="53"/>
      <c r="AE278" s="54"/>
      <c r="AF278" s="54">
        <v>30.77</v>
      </c>
      <c r="AG278" s="55">
        <f t="shared" ref="AG278:AG280" si="24">AF278*H278</f>
        <v>177542.9</v>
      </c>
      <c r="AH278" s="56">
        <v>43563.0</v>
      </c>
      <c r="AI278" s="55" t="s">
        <v>2333</v>
      </c>
      <c r="AJ278" s="55" t="s">
        <v>2334</v>
      </c>
      <c r="AK278" s="54" t="s">
        <v>50</v>
      </c>
      <c r="AL278" s="24" t="s">
        <v>285</v>
      </c>
      <c r="AM278" s="54" t="s">
        <v>51</v>
      </c>
      <c r="AN278" s="54" t="s">
        <v>52</v>
      </c>
      <c r="AO278" s="57" t="s">
        <v>398</v>
      </c>
    </row>
    <row r="279" ht="15.75" customHeight="1">
      <c r="A279" s="19">
        <v>43526.0</v>
      </c>
      <c r="B279" s="70" t="s">
        <v>119</v>
      </c>
      <c r="C279" s="21" t="s">
        <v>774</v>
      </c>
      <c r="D279" s="21" t="s">
        <v>775</v>
      </c>
      <c r="E279" s="23" t="s">
        <v>566</v>
      </c>
      <c r="F279" s="24">
        <v>100.0</v>
      </c>
      <c r="G279" s="25">
        <v>105.0</v>
      </c>
      <c r="H279" s="60">
        <f t="shared" si="23"/>
        <v>10500</v>
      </c>
      <c r="I279" s="348" t="s">
        <v>171</v>
      </c>
      <c r="J279" s="82" t="s">
        <v>122</v>
      </c>
      <c r="K279" s="30">
        <v>43564.0</v>
      </c>
      <c r="L279" s="29">
        <v>43546.0</v>
      </c>
      <c r="M279" s="79" t="s">
        <v>90</v>
      </c>
      <c r="N279" s="93" t="s">
        <v>2434</v>
      </c>
      <c r="O279" s="408"/>
      <c r="P279" s="408"/>
      <c r="Q279" s="408">
        <v>8610.0</v>
      </c>
      <c r="R279" s="408"/>
      <c r="S279" s="408">
        <v>265403.0</v>
      </c>
      <c r="T279" s="35" t="s">
        <v>94</v>
      </c>
      <c r="U279" s="294">
        <v>43585.0</v>
      </c>
      <c r="V279" s="410">
        <v>43545.0</v>
      </c>
      <c r="W279" s="296" t="s">
        <v>776</v>
      </c>
      <c r="X279" s="296" t="s">
        <v>2435</v>
      </c>
      <c r="Y279" s="302">
        <v>43586.0</v>
      </c>
      <c r="Z279" s="53" t="s">
        <v>2327</v>
      </c>
      <c r="AA279" s="53" t="s">
        <v>2328</v>
      </c>
      <c r="AB279" s="53"/>
      <c r="AC279" s="53"/>
      <c r="AD279" s="53"/>
      <c r="AE279" s="54"/>
      <c r="AF279" s="54">
        <v>30.77</v>
      </c>
      <c r="AG279" s="55">
        <f t="shared" si="24"/>
        <v>323085</v>
      </c>
      <c r="AH279" s="56">
        <v>43563.0</v>
      </c>
      <c r="AI279" s="55" t="s">
        <v>2333</v>
      </c>
      <c r="AJ279" s="55" t="s">
        <v>2334</v>
      </c>
      <c r="AK279" s="54" t="s">
        <v>50</v>
      </c>
      <c r="AL279" s="24" t="s">
        <v>285</v>
      </c>
      <c r="AM279" s="54" t="s">
        <v>51</v>
      </c>
      <c r="AN279" s="54" t="s">
        <v>52</v>
      </c>
      <c r="AO279" s="57" t="s">
        <v>398</v>
      </c>
    </row>
    <row r="280" ht="15.75" customHeight="1">
      <c r="A280" s="19">
        <v>43526.0</v>
      </c>
      <c r="B280" s="70" t="s">
        <v>119</v>
      </c>
      <c r="C280" s="21" t="s">
        <v>774</v>
      </c>
      <c r="D280" s="21" t="s">
        <v>775</v>
      </c>
      <c r="E280" s="23" t="s">
        <v>152</v>
      </c>
      <c r="F280" s="82">
        <v>10.0</v>
      </c>
      <c r="G280" s="143">
        <v>1045.0</v>
      </c>
      <c r="H280" s="60">
        <f t="shared" si="23"/>
        <v>10450</v>
      </c>
      <c r="I280" s="348" t="s">
        <v>171</v>
      </c>
      <c r="J280" s="82" t="s">
        <v>122</v>
      </c>
      <c r="K280" s="30">
        <v>43564.0</v>
      </c>
      <c r="L280" s="29">
        <v>43558.0</v>
      </c>
      <c r="M280" s="407" t="s">
        <v>90</v>
      </c>
      <c r="N280" s="93" t="s">
        <v>2434</v>
      </c>
      <c r="O280" s="408"/>
      <c r="P280" s="408"/>
      <c r="Q280" s="408">
        <v>9660.0</v>
      </c>
      <c r="R280" s="408"/>
      <c r="S280" s="408">
        <v>297238.0</v>
      </c>
      <c r="T280" s="51" t="s">
        <v>94</v>
      </c>
      <c r="U280" s="354">
        <v>43616.0</v>
      </c>
      <c r="V280" s="451">
        <v>43558.0</v>
      </c>
      <c r="W280" s="342" t="s">
        <v>777</v>
      </c>
      <c r="X280" s="342">
        <v>297238.0</v>
      </c>
      <c r="Y280" s="451">
        <v>43616.0</v>
      </c>
      <c r="Z280" s="352" t="s">
        <v>2327</v>
      </c>
      <c r="AA280" s="352" t="s">
        <v>2328</v>
      </c>
      <c r="AB280" s="352"/>
      <c r="AC280" s="352"/>
      <c r="AD280" s="352"/>
      <c r="AE280" s="82"/>
      <c r="AF280" s="298">
        <v>30.77</v>
      </c>
      <c r="AG280" s="299">
        <f t="shared" si="24"/>
        <v>321546.5</v>
      </c>
      <c r="AH280" s="145">
        <v>43589.0</v>
      </c>
      <c r="AI280" s="432" t="s">
        <v>2436</v>
      </c>
      <c r="AJ280" s="432" t="s">
        <v>2437</v>
      </c>
      <c r="AK280" s="82" t="s">
        <v>50</v>
      </c>
      <c r="AL280" s="298" t="s">
        <v>285</v>
      </c>
      <c r="AM280" s="82" t="s">
        <v>51</v>
      </c>
      <c r="AN280" s="82" t="s">
        <v>52</v>
      </c>
      <c r="AO280" s="234" t="s">
        <v>305</v>
      </c>
    </row>
    <row r="281" ht="15.75" customHeight="1">
      <c r="A281" s="69">
        <v>43527.0</v>
      </c>
      <c r="B281" s="265" t="s">
        <v>621</v>
      </c>
      <c r="C281" s="252"/>
      <c r="D281" s="252" t="s">
        <v>778</v>
      </c>
      <c r="E281" s="23" t="s">
        <v>779</v>
      </c>
      <c r="F281" s="253">
        <v>2.0</v>
      </c>
      <c r="G281" s="325">
        <v>1002.75</v>
      </c>
      <c r="H281" s="336">
        <f t="shared" si="23"/>
        <v>2005.5</v>
      </c>
      <c r="I281" s="256" t="s">
        <v>43</v>
      </c>
      <c r="J281" s="369" t="s">
        <v>90</v>
      </c>
      <c r="K281" s="258">
        <v>43538.0</v>
      </c>
      <c r="L281" s="258">
        <v>43538.0</v>
      </c>
      <c r="M281" s="269" t="s">
        <v>90</v>
      </c>
      <c r="N281" s="422" t="s">
        <v>2438</v>
      </c>
      <c r="O281" s="578"/>
      <c r="P281" s="578"/>
      <c r="Q281" s="578">
        <v>1843.8</v>
      </c>
      <c r="R281" s="310"/>
      <c r="S281" s="310"/>
      <c r="T281" s="578" t="s">
        <v>94</v>
      </c>
      <c r="U281" s="260">
        <v>43585.0</v>
      </c>
      <c r="V281" s="260">
        <v>43537.0</v>
      </c>
      <c r="W281" s="261" t="s">
        <v>780</v>
      </c>
      <c r="X281" s="272">
        <v>132874.0</v>
      </c>
      <c r="Y281" s="370">
        <v>43586.0</v>
      </c>
      <c r="Z281" s="331" t="s">
        <v>2439</v>
      </c>
      <c r="AA281" s="331" t="s">
        <v>2440</v>
      </c>
      <c r="AB281" s="331">
        <v>30.9</v>
      </c>
      <c r="AC281" s="331">
        <v>145224.0</v>
      </c>
      <c r="AD281" s="331" t="s">
        <v>2441</v>
      </c>
      <c r="AE281" s="253"/>
      <c r="AF281" s="253"/>
      <c r="AG281" s="262"/>
      <c r="AH281" s="263">
        <v>43546.0</v>
      </c>
      <c r="AI281" s="262"/>
      <c r="AJ281" s="262"/>
      <c r="AK281" s="253" t="s">
        <v>50</v>
      </c>
      <c r="AL281" s="253" t="s">
        <v>285</v>
      </c>
      <c r="AM281" s="253" t="s">
        <v>51</v>
      </c>
      <c r="AN281" s="253" t="s">
        <v>377</v>
      </c>
      <c r="AO281" s="264"/>
    </row>
    <row r="282" ht="15.75" customHeight="1">
      <c r="A282" s="69">
        <v>43527.0</v>
      </c>
      <c r="B282" s="265" t="s">
        <v>621</v>
      </c>
      <c r="C282" s="252"/>
      <c r="D282" s="252" t="s">
        <v>778</v>
      </c>
      <c r="E282" s="23" t="s">
        <v>781</v>
      </c>
      <c r="F282" s="253">
        <v>2.0</v>
      </c>
      <c r="G282" s="325">
        <v>59.85</v>
      </c>
      <c r="H282" s="336">
        <f t="shared" si="23"/>
        <v>119.7</v>
      </c>
      <c r="I282" s="256" t="s">
        <v>43</v>
      </c>
      <c r="J282" s="369" t="s">
        <v>90</v>
      </c>
      <c r="K282" s="258">
        <v>43538.0</v>
      </c>
      <c r="L282" s="258">
        <v>43538.0</v>
      </c>
      <c r="M282" s="269" t="s">
        <v>90</v>
      </c>
      <c r="N282" s="422" t="s">
        <v>2438</v>
      </c>
      <c r="O282" s="578"/>
      <c r="P282" s="578"/>
      <c r="Q282" s="578">
        <v>109.2</v>
      </c>
      <c r="R282" s="310"/>
      <c r="S282" s="310"/>
      <c r="T282" s="578" t="s">
        <v>94</v>
      </c>
      <c r="U282" s="260">
        <v>43585.0</v>
      </c>
      <c r="V282" s="260">
        <v>43537.0</v>
      </c>
      <c r="W282" s="261" t="s">
        <v>780</v>
      </c>
      <c r="X282" s="261" t="s">
        <v>2442</v>
      </c>
      <c r="Y282" s="370">
        <v>43586.0</v>
      </c>
      <c r="Z282" s="331" t="s">
        <v>2439</v>
      </c>
      <c r="AA282" s="331" t="s">
        <v>2440</v>
      </c>
      <c r="AB282" s="331">
        <v>30.9</v>
      </c>
      <c r="AC282" s="331">
        <v>145224.0</v>
      </c>
      <c r="AD282" s="331" t="s">
        <v>2441</v>
      </c>
      <c r="AE282" s="253"/>
      <c r="AF282" s="253"/>
      <c r="AG282" s="262"/>
      <c r="AH282" s="263">
        <v>43546.0</v>
      </c>
      <c r="AI282" s="262"/>
      <c r="AJ282" s="262"/>
      <c r="AK282" s="253" t="s">
        <v>50</v>
      </c>
      <c r="AL282" s="253" t="s">
        <v>285</v>
      </c>
      <c r="AM282" s="253" t="s">
        <v>51</v>
      </c>
      <c r="AN282" s="253" t="s">
        <v>377</v>
      </c>
      <c r="AO282" s="264"/>
    </row>
    <row r="283" ht="15.75" customHeight="1">
      <c r="A283" s="69">
        <v>43527.0</v>
      </c>
      <c r="B283" s="265" t="s">
        <v>621</v>
      </c>
      <c r="C283" s="252"/>
      <c r="D283" s="252" t="s">
        <v>778</v>
      </c>
      <c r="E283" s="23" t="s">
        <v>782</v>
      </c>
      <c r="F283" s="253">
        <v>4.0</v>
      </c>
      <c r="G283" s="254">
        <v>95.55</v>
      </c>
      <c r="H283" s="336">
        <f t="shared" si="23"/>
        <v>382.2</v>
      </c>
      <c r="I283" s="266" t="s">
        <v>43</v>
      </c>
      <c r="J283" s="369" t="s">
        <v>90</v>
      </c>
      <c r="K283" s="258">
        <v>43538.0</v>
      </c>
      <c r="L283" s="258">
        <v>43538.0</v>
      </c>
      <c r="M283" s="269" t="s">
        <v>90</v>
      </c>
      <c r="N283" s="422" t="s">
        <v>2438</v>
      </c>
      <c r="O283" s="578"/>
      <c r="P283" s="578"/>
      <c r="Q283" s="578">
        <v>348.6</v>
      </c>
      <c r="R283" s="310"/>
      <c r="S283" s="310"/>
      <c r="T283" s="578" t="s">
        <v>94</v>
      </c>
      <c r="U283" s="260">
        <v>43585.0</v>
      </c>
      <c r="V283" s="260">
        <v>43537.0</v>
      </c>
      <c r="W283" s="261" t="s">
        <v>780</v>
      </c>
      <c r="X283" s="261" t="s">
        <v>2442</v>
      </c>
      <c r="Y283" s="370">
        <v>43586.0</v>
      </c>
      <c r="Z283" s="331" t="s">
        <v>2439</v>
      </c>
      <c r="AA283" s="331" t="s">
        <v>2440</v>
      </c>
      <c r="AB283" s="331">
        <v>30.9</v>
      </c>
      <c r="AC283" s="331">
        <v>145224.0</v>
      </c>
      <c r="AD283" s="331" t="s">
        <v>2441</v>
      </c>
      <c r="AE283" s="253"/>
      <c r="AF283" s="253"/>
      <c r="AG283" s="262"/>
      <c r="AH283" s="263">
        <v>43546.0</v>
      </c>
      <c r="AI283" s="262"/>
      <c r="AJ283" s="262"/>
      <c r="AK283" s="253" t="s">
        <v>50</v>
      </c>
      <c r="AL283" s="253" t="s">
        <v>285</v>
      </c>
      <c r="AM283" s="253" t="s">
        <v>51</v>
      </c>
      <c r="AN283" s="253" t="s">
        <v>377</v>
      </c>
      <c r="AO283" s="264"/>
    </row>
    <row r="284" ht="15.75" customHeight="1">
      <c r="A284" s="69">
        <v>43527.0</v>
      </c>
      <c r="B284" s="265" t="s">
        <v>621</v>
      </c>
      <c r="C284" s="252"/>
      <c r="D284" s="252" t="s">
        <v>778</v>
      </c>
      <c r="E284" s="23" t="s">
        <v>783</v>
      </c>
      <c r="F284" s="253">
        <v>8.0</v>
      </c>
      <c r="G284" s="254">
        <v>245.7</v>
      </c>
      <c r="H284" s="336">
        <f t="shared" si="23"/>
        <v>1965.6</v>
      </c>
      <c r="I284" s="266" t="s">
        <v>43</v>
      </c>
      <c r="J284" s="321" t="s">
        <v>90</v>
      </c>
      <c r="K284" s="258">
        <v>43538.0</v>
      </c>
      <c r="L284" s="258">
        <v>43538.0</v>
      </c>
      <c r="M284" s="369" t="s">
        <v>90</v>
      </c>
      <c r="N284" s="422" t="s">
        <v>2438</v>
      </c>
      <c r="O284" s="578"/>
      <c r="P284" s="578"/>
      <c r="Q284" s="578">
        <v>1806.0</v>
      </c>
      <c r="R284" s="310"/>
      <c r="S284" s="310"/>
      <c r="T284" s="340" t="s">
        <v>94</v>
      </c>
      <c r="U284" s="260">
        <v>43585.0</v>
      </c>
      <c r="V284" s="260">
        <v>43537.0</v>
      </c>
      <c r="W284" s="261" t="s">
        <v>780</v>
      </c>
      <c r="X284" s="261" t="s">
        <v>2442</v>
      </c>
      <c r="Y284" s="370">
        <v>43586.0</v>
      </c>
      <c r="Z284" s="331" t="s">
        <v>2439</v>
      </c>
      <c r="AA284" s="331" t="s">
        <v>2440</v>
      </c>
      <c r="AB284" s="331">
        <v>30.9</v>
      </c>
      <c r="AC284" s="331">
        <v>145224.0</v>
      </c>
      <c r="AD284" s="331" t="s">
        <v>2441</v>
      </c>
      <c r="AE284" s="253"/>
      <c r="AF284" s="253"/>
      <c r="AG284" s="262"/>
      <c r="AH284" s="263">
        <v>43546.0</v>
      </c>
      <c r="AI284" s="262"/>
      <c r="AJ284" s="262"/>
      <c r="AK284" s="253" t="s">
        <v>50</v>
      </c>
      <c r="AL284" s="253" t="s">
        <v>285</v>
      </c>
      <c r="AM284" s="253" t="s">
        <v>51</v>
      </c>
      <c r="AN284" s="253" t="s">
        <v>377</v>
      </c>
      <c r="AO284" s="264"/>
    </row>
    <row r="285" ht="15.75" customHeight="1">
      <c r="A285" s="69">
        <v>43527.0</v>
      </c>
      <c r="B285" s="265" t="s">
        <v>621</v>
      </c>
      <c r="C285" s="252"/>
      <c r="D285" s="252" t="s">
        <v>778</v>
      </c>
      <c r="E285" s="23" t="s">
        <v>784</v>
      </c>
      <c r="F285" s="253">
        <v>2.0</v>
      </c>
      <c r="G285" s="254">
        <v>113.4</v>
      </c>
      <c r="H285" s="336">
        <f t="shared" si="23"/>
        <v>226.8</v>
      </c>
      <c r="I285" s="266" t="s">
        <v>43</v>
      </c>
      <c r="J285" s="321" t="s">
        <v>90</v>
      </c>
      <c r="K285" s="258">
        <v>43538.0</v>
      </c>
      <c r="L285" s="258">
        <v>43538.0</v>
      </c>
      <c r="M285" s="369" t="s">
        <v>90</v>
      </c>
      <c r="N285" s="422" t="s">
        <v>2438</v>
      </c>
      <c r="O285" s="578"/>
      <c r="P285" s="578"/>
      <c r="Q285" s="578">
        <v>207.9</v>
      </c>
      <c r="R285" s="310"/>
      <c r="S285" s="310"/>
      <c r="T285" s="340" t="s">
        <v>94</v>
      </c>
      <c r="U285" s="260">
        <v>43585.0</v>
      </c>
      <c r="V285" s="260">
        <v>43537.0</v>
      </c>
      <c r="W285" s="261" t="s">
        <v>780</v>
      </c>
      <c r="X285" s="261" t="s">
        <v>2442</v>
      </c>
      <c r="Y285" s="370">
        <v>43586.0</v>
      </c>
      <c r="Z285" s="331" t="s">
        <v>2439</v>
      </c>
      <c r="AA285" s="331" t="s">
        <v>2440</v>
      </c>
      <c r="AB285" s="331">
        <v>30.9</v>
      </c>
      <c r="AC285" s="331">
        <v>145224.0</v>
      </c>
      <c r="AD285" s="331" t="s">
        <v>2441</v>
      </c>
      <c r="AE285" s="253"/>
      <c r="AF285" s="253"/>
      <c r="AG285" s="262"/>
      <c r="AH285" s="263">
        <v>43546.0</v>
      </c>
      <c r="AI285" s="262"/>
      <c r="AJ285" s="262"/>
      <c r="AK285" s="253" t="s">
        <v>50</v>
      </c>
      <c r="AL285" s="253" t="s">
        <v>285</v>
      </c>
      <c r="AM285" s="253" t="s">
        <v>51</v>
      </c>
      <c r="AN285" s="253" t="s">
        <v>377</v>
      </c>
      <c r="AO285" s="264"/>
    </row>
    <row r="286" ht="15.75" customHeight="1">
      <c r="A286" s="69">
        <v>43528.0</v>
      </c>
      <c r="B286" s="70" t="s">
        <v>101</v>
      </c>
      <c r="C286" s="21" t="s">
        <v>785</v>
      </c>
      <c r="D286" s="21" t="s">
        <v>2443</v>
      </c>
      <c r="E286" s="23" t="s">
        <v>2444</v>
      </c>
      <c r="F286" s="24">
        <v>5.0</v>
      </c>
      <c r="G286" s="25">
        <v>399.0</v>
      </c>
      <c r="H286" s="60">
        <f t="shared" si="23"/>
        <v>1995</v>
      </c>
      <c r="I286" s="87" t="s">
        <v>703</v>
      </c>
      <c r="J286" s="439" t="s">
        <v>534</v>
      </c>
      <c r="K286" s="29">
        <v>43552.0</v>
      </c>
      <c r="L286" s="30">
        <v>43544.0</v>
      </c>
      <c r="M286" s="50" t="s">
        <v>2336</v>
      </c>
      <c r="N286" s="93" t="s">
        <v>2445</v>
      </c>
      <c r="O286" s="408"/>
      <c r="P286" s="408"/>
      <c r="Q286" s="408"/>
      <c r="R286" s="627"/>
      <c r="S286" s="627">
        <v>54075.0</v>
      </c>
      <c r="T286" s="503" t="s">
        <v>2338</v>
      </c>
      <c r="U286" s="295">
        <v>43560.0</v>
      </c>
      <c r="V286" s="295">
        <v>43544.0</v>
      </c>
      <c r="W286" s="296" t="s">
        <v>788</v>
      </c>
      <c r="X286" s="297">
        <v>54075.0</v>
      </c>
      <c r="Y286" s="295">
        <v>43558.0</v>
      </c>
      <c r="Z286" s="306" t="s">
        <v>2446</v>
      </c>
      <c r="AA286" s="306">
        <v>2.953225354E9</v>
      </c>
      <c r="AB286" s="306"/>
      <c r="AC286" s="306"/>
      <c r="AD286" s="306"/>
      <c r="AE286" s="298"/>
      <c r="AF286" s="298">
        <v>30.825</v>
      </c>
      <c r="AG286" s="299"/>
      <c r="AH286" s="300">
        <v>43602.0</v>
      </c>
      <c r="AI286" s="299" t="s">
        <v>1993</v>
      </c>
      <c r="AJ286" s="299" t="s">
        <v>1994</v>
      </c>
      <c r="AK286" s="298" t="s">
        <v>50</v>
      </c>
      <c r="AL286" s="298" t="s">
        <v>285</v>
      </c>
      <c r="AM286" s="298" t="s">
        <v>51</v>
      </c>
      <c r="AN286" s="298" t="s">
        <v>52</v>
      </c>
      <c r="AO286" s="234" t="s">
        <v>305</v>
      </c>
    </row>
    <row r="287" ht="15.75" customHeight="1">
      <c r="A287" s="69">
        <v>43528.0</v>
      </c>
      <c r="B287" s="70" t="s">
        <v>101</v>
      </c>
      <c r="C287" s="21" t="s">
        <v>785</v>
      </c>
      <c r="D287" s="21" t="s">
        <v>789</v>
      </c>
      <c r="E287" s="23" t="s">
        <v>342</v>
      </c>
      <c r="F287" s="24">
        <v>4.0</v>
      </c>
      <c r="G287" s="25">
        <v>45.0</v>
      </c>
      <c r="H287" s="60">
        <f t="shared" ref="H287:H291" si="25">F287*G287</f>
        <v>180</v>
      </c>
      <c r="I287" s="61" t="s">
        <v>703</v>
      </c>
      <c r="J287" s="50" t="s">
        <v>534</v>
      </c>
      <c r="K287" s="30">
        <v>43557.0</v>
      </c>
      <c r="L287" s="30">
        <v>43553.0</v>
      </c>
      <c r="M287" s="407" t="s">
        <v>2028</v>
      </c>
      <c r="N287" s="93" t="s">
        <v>2447</v>
      </c>
      <c r="O287" s="408"/>
      <c r="P287" s="408"/>
      <c r="Q287" s="408"/>
      <c r="R287" s="588"/>
      <c r="S287" s="588">
        <v>5183.0</v>
      </c>
      <c r="T287" s="35" t="s">
        <v>2030</v>
      </c>
      <c r="U287" s="462">
        <v>43616.0</v>
      </c>
      <c r="V287" s="462">
        <v>43552.0</v>
      </c>
      <c r="W287" s="306" t="s">
        <v>790</v>
      </c>
      <c r="X287" s="306" t="s">
        <v>2448</v>
      </c>
      <c r="Y287" s="462">
        <v>43616.0</v>
      </c>
      <c r="Z287" s="306" t="s">
        <v>2449</v>
      </c>
      <c r="AA287" s="306">
        <v>1.195185003E9</v>
      </c>
      <c r="AB287" s="462">
        <v>43616.0</v>
      </c>
      <c r="AC287" s="306"/>
      <c r="AD287" s="306"/>
      <c r="AE287" s="298"/>
      <c r="AF287" s="298">
        <v>30.77</v>
      </c>
      <c r="AG287" s="299">
        <f t="shared" ref="AG287:AG291" si="26">H287*AF287</f>
        <v>5538.6</v>
      </c>
      <c r="AH287" s="300">
        <v>43602.0</v>
      </c>
      <c r="AI287" s="299" t="s">
        <v>1993</v>
      </c>
      <c r="AJ287" s="299" t="s">
        <v>1994</v>
      </c>
      <c r="AK287" s="298" t="s">
        <v>50</v>
      </c>
      <c r="AL287" s="298" t="s">
        <v>285</v>
      </c>
      <c r="AM287" s="298" t="s">
        <v>51</v>
      </c>
      <c r="AN287" s="298" t="s">
        <v>52</v>
      </c>
      <c r="AO287" s="234" t="s">
        <v>305</v>
      </c>
    </row>
    <row r="288" ht="15.75" customHeight="1">
      <c r="A288" s="69">
        <v>43528.0</v>
      </c>
      <c r="B288" s="70" t="s">
        <v>101</v>
      </c>
      <c r="C288" s="21" t="s">
        <v>785</v>
      </c>
      <c r="D288" s="21" t="s">
        <v>789</v>
      </c>
      <c r="E288" s="23" t="s">
        <v>791</v>
      </c>
      <c r="F288" s="24">
        <v>4.0</v>
      </c>
      <c r="G288" s="25">
        <v>12.0</v>
      </c>
      <c r="H288" s="60">
        <f t="shared" si="25"/>
        <v>48</v>
      </c>
      <c r="I288" s="61" t="s">
        <v>703</v>
      </c>
      <c r="J288" s="50" t="s">
        <v>534</v>
      </c>
      <c r="K288" s="30">
        <v>43557.0</v>
      </c>
      <c r="L288" s="29">
        <v>43535.0</v>
      </c>
      <c r="M288" s="407" t="s">
        <v>2450</v>
      </c>
      <c r="N288" s="93" t="s">
        <v>2451</v>
      </c>
      <c r="O288" s="408"/>
      <c r="P288" s="408"/>
      <c r="Q288" s="408"/>
      <c r="R288" s="408"/>
      <c r="S288" s="671">
        <v>840.0</v>
      </c>
      <c r="T288" s="70" t="s">
        <v>2148</v>
      </c>
      <c r="U288" s="296"/>
      <c r="V288" s="410">
        <v>43531.0</v>
      </c>
      <c r="W288" s="296" t="s">
        <v>792</v>
      </c>
      <c r="X288" s="397" t="s">
        <v>2452</v>
      </c>
      <c r="Y288" s="295">
        <v>43564.0</v>
      </c>
      <c r="Z288" s="306" t="s">
        <v>2449</v>
      </c>
      <c r="AA288" s="306">
        <v>1.195185003E9</v>
      </c>
      <c r="AB288" s="306"/>
      <c r="AC288" s="306"/>
      <c r="AD288" s="306"/>
      <c r="AE288" s="298"/>
      <c r="AF288" s="298">
        <v>30.77</v>
      </c>
      <c r="AG288" s="299">
        <f t="shared" si="26"/>
        <v>1476.96</v>
      </c>
      <c r="AH288" s="300">
        <v>43602.0</v>
      </c>
      <c r="AI288" s="299" t="s">
        <v>1993</v>
      </c>
      <c r="AJ288" s="299" t="s">
        <v>1994</v>
      </c>
      <c r="AK288" s="298" t="s">
        <v>50</v>
      </c>
      <c r="AL288" s="298" t="s">
        <v>285</v>
      </c>
      <c r="AM288" s="298" t="s">
        <v>51</v>
      </c>
      <c r="AN288" s="298" t="s">
        <v>52</v>
      </c>
      <c r="AO288" s="234" t="s">
        <v>305</v>
      </c>
    </row>
    <row r="289" ht="15.75" customHeight="1">
      <c r="A289" s="69">
        <v>43528.0</v>
      </c>
      <c r="B289" s="70" t="s">
        <v>101</v>
      </c>
      <c r="C289" s="21" t="s">
        <v>785</v>
      </c>
      <c r="D289" s="32" t="s">
        <v>2453</v>
      </c>
      <c r="E289" s="23" t="s">
        <v>2454</v>
      </c>
      <c r="F289" s="24">
        <v>4.0</v>
      </c>
      <c r="G289" s="25">
        <v>550.0</v>
      </c>
      <c r="H289" s="60">
        <f t="shared" si="25"/>
        <v>2200</v>
      </c>
      <c r="I289" s="61" t="s">
        <v>703</v>
      </c>
      <c r="J289" s="50" t="s">
        <v>534</v>
      </c>
      <c r="K289" s="30">
        <v>43557.0</v>
      </c>
      <c r="L289" s="30">
        <v>43553.0</v>
      </c>
      <c r="M289" s="407" t="s">
        <v>2028</v>
      </c>
      <c r="N289" s="93" t="s">
        <v>2447</v>
      </c>
      <c r="O289" s="408"/>
      <c r="P289" s="408"/>
      <c r="Q289" s="408" t="s">
        <v>0</v>
      </c>
      <c r="R289" s="588"/>
      <c r="S289" s="588">
        <v>64125.0</v>
      </c>
      <c r="T289" s="51" t="s">
        <v>2030</v>
      </c>
      <c r="U289" s="462">
        <v>43616.0</v>
      </c>
      <c r="V289" s="462">
        <v>43552.0</v>
      </c>
      <c r="W289" s="306" t="s">
        <v>790</v>
      </c>
      <c r="X289" s="306">
        <v>69308.0</v>
      </c>
      <c r="Y289" s="462">
        <v>43616.0</v>
      </c>
      <c r="Z289" s="306" t="s">
        <v>2449</v>
      </c>
      <c r="AA289" s="306">
        <v>1.195185003E9</v>
      </c>
      <c r="AB289" s="462">
        <v>43616.0</v>
      </c>
      <c r="AC289" s="306"/>
      <c r="AD289" s="306"/>
      <c r="AE289" s="298"/>
      <c r="AF289" s="298">
        <v>30.77</v>
      </c>
      <c r="AG289" s="299">
        <f t="shared" si="26"/>
        <v>67694</v>
      </c>
      <c r="AH289" s="300">
        <v>43602.0</v>
      </c>
      <c r="AI289" s="299" t="s">
        <v>1993</v>
      </c>
      <c r="AJ289" s="299" t="s">
        <v>1994</v>
      </c>
      <c r="AK289" s="298" t="s">
        <v>50</v>
      </c>
      <c r="AL289" s="298" t="s">
        <v>285</v>
      </c>
      <c r="AM289" s="298" t="s">
        <v>51</v>
      </c>
      <c r="AN289" s="298" t="s">
        <v>52</v>
      </c>
      <c r="AO289" s="234" t="s">
        <v>305</v>
      </c>
    </row>
    <row r="290" ht="15.75" customHeight="1">
      <c r="A290" s="69">
        <v>43528.0</v>
      </c>
      <c r="B290" s="70" t="s">
        <v>101</v>
      </c>
      <c r="C290" s="21" t="s">
        <v>785</v>
      </c>
      <c r="D290" s="21" t="s">
        <v>795</v>
      </c>
      <c r="E290" s="23" t="s">
        <v>796</v>
      </c>
      <c r="F290" s="24">
        <v>4.0</v>
      </c>
      <c r="G290" s="25">
        <v>352.0</v>
      </c>
      <c r="H290" s="60">
        <f t="shared" si="25"/>
        <v>1408</v>
      </c>
      <c r="I290" s="61" t="s">
        <v>703</v>
      </c>
      <c r="J290" s="50" t="s">
        <v>534</v>
      </c>
      <c r="K290" s="30">
        <v>43557.0</v>
      </c>
      <c r="L290" s="30">
        <v>43539.0</v>
      </c>
      <c r="M290" s="407" t="s">
        <v>2272</v>
      </c>
      <c r="N290" s="93" t="s">
        <v>2455</v>
      </c>
      <c r="O290" s="408"/>
      <c r="P290" s="408"/>
      <c r="Q290" s="408">
        <v>1218.0</v>
      </c>
      <c r="R290" s="408"/>
      <c r="S290" s="408">
        <v>37648.0</v>
      </c>
      <c r="T290" s="503" t="s">
        <v>47</v>
      </c>
      <c r="U290" s="295">
        <v>43568.0</v>
      </c>
      <c r="V290" s="295">
        <v>43538.0</v>
      </c>
      <c r="W290" s="296" t="s">
        <v>640</v>
      </c>
      <c r="X290" s="297" t="s">
        <v>2195</v>
      </c>
      <c r="Y290" s="413">
        <v>43568.0</v>
      </c>
      <c r="Z290" s="306" t="s">
        <v>2449</v>
      </c>
      <c r="AA290" s="306">
        <v>1.195185003E9</v>
      </c>
      <c r="AB290" s="306"/>
      <c r="AC290" s="306"/>
      <c r="AD290" s="306"/>
      <c r="AE290" s="298"/>
      <c r="AF290" s="298">
        <v>30.77</v>
      </c>
      <c r="AG290" s="299">
        <f t="shared" si="26"/>
        <v>43324.16</v>
      </c>
      <c r="AH290" s="300">
        <v>43602.0</v>
      </c>
      <c r="AI290" s="299" t="s">
        <v>1993</v>
      </c>
      <c r="AJ290" s="299" t="s">
        <v>1994</v>
      </c>
      <c r="AK290" s="298" t="s">
        <v>50</v>
      </c>
      <c r="AL290" s="298" t="s">
        <v>285</v>
      </c>
      <c r="AM290" s="298" t="s">
        <v>51</v>
      </c>
      <c r="AN290" s="298" t="s">
        <v>52</v>
      </c>
      <c r="AO290" s="234" t="s">
        <v>305</v>
      </c>
    </row>
    <row r="291" ht="15.75" customHeight="1">
      <c r="A291" s="69">
        <v>43528.0</v>
      </c>
      <c r="B291" s="70" t="s">
        <v>101</v>
      </c>
      <c r="C291" s="21" t="s">
        <v>785</v>
      </c>
      <c r="D291" s="32" t="s">
        <v>2456</v>
      </c>
      <c r="E291" s="23" t="s">
        <v>798</v>
      </c>
      <c r="F291" s="24">
        <v>4.0</v>
      </c>
      <c r="G291" s="48">
        <v>79.0</v>
      </c>
      <c r="H291" s="60">
        <f t="shared" si="25"/>
        <v>316</v>
      </c>
      <c r="I291" s="61" t="s">
        <v>703</v>
      </c>
      <c r="J291" s="50" t="s">
        <v>534</v>
      </c>
      <c r="K291" s="30">
        <v>43557.0</v>
      </c>
      <c r="L291" s="672">
        <v>43530.0</v>
      </c>
      <c r="M291" s="50" t="s">
        <v>2457</v>
      </c>
      <c r="N291" s="93" t="s">
        <v>2458</v>
      </c>
      <c r="O291" s="306"/>
      <c r="P291" s="306"/>
      <c r="Q291" s="306"/>
      <c r="R291" s="406"/>
      <c r="S291" s="406">
        <v>7517.0</v>
      </c>
      <c r="T291" s="35" t="s">
        <v>1983</v>
      </c>
      <c r="U291" s="302">
        <v>43590.0</v>
      </c>
      <c r="V291" s="295">
        <v>43578.0</v>
      </c>
      <c r="W291" s="296" t="s">
        <v>799</v>
      </c>
      <c r="X291" s="297">
        <v>7517.0</v>
      </c>
      <c r="Y291" s="302">
        <v>43592.0</v>
      </c>
      <c r="Z291" s="306" t="s">
        <v>2449</v>
      </c>
      <c r="AA291" s="306">
        <v>1.195185003E9</v>
      </c>
      <c r="AB291" s="306"/>
      <c r="AC291" s="306"/>
      <c r="AD291" s="306"/>
      <c r="AE291" s="298"/>
      <c r="AF291" s="298">
        <v>30.77</v>
      </c>
      <c r="AG291" s="299">
        <f t="shared" si="26"/>
        <v>9723.32</v>
      </c>
      <c r="AH291" s="300">
        <v>43602.0</v>
      </c>
      <c r="AI291" s="299" t="s">
        <v>1993</v>
      </c>
      <c r="AJ291" s="299" t="s">
        <v>1994</v>
      </c>
      <c r="AK291" s="298" t="s">
        <v>50</v>
      </c>
      <c r="AL291" s="298" t="s">
        <v>285</v>
      </c>
      <c r="AM291" s="298" t="s">
        <v>51</v>
      </c>
      <c r="AN291" s="298" t="s">
        <v>52</v>
      </c>
      <c r="AO291" s="234" t="s">
        <v>305</v>
      </c>
    </row>
    <row r="292" ht="15.75" customHeight="1">
      <c r="A292" s="69">
        <v>43529.0</v>
      </c>
      <c r="B292" s="265" t="s">
        <v>130</v>
      </c>
      <c r="C292" s="252" t="s">
        <v>714</v>
      </c>
      <c r="D292" s="252" t="s">
        <v>715</v>
      </c>
      <c r="E292" s="23" t="s">
        <v>800</v>
      </c>
      <c r="F292" s="253">
        <v>7.0</v>
      </c>
      <c r="G292" s="325">
        <v>35.0</v>
      </c>
      <c r="H292" s="336">
        <f t="shared" ref="H292:H294" si="27">G292*F292</f>
        <v>245</v>
      </c>
      <c r="I292" s="256" t="s">
        <v>248</v>
      </c>
      <c r="J292" s="403" t="s">
        <v>134</v>
      </c>
      <c r="K292" s="258">
        <v>43538.0</v>
      </c>
      <c r="L292" s="258">
        <v>43537.0</v>
      </c>
      <c r="M292" s="269" t="s">
        <v>90</v>
      </c>
      <c r="N292" s="422" t="s">
        <v>2459</v>
      </c>
      <c r="O292" s="310"/>
      <c r="P292" s="310"/>
      <c r="Q292" s="310">
        <v>229.32</v>
      </c>
      <c r="R292" s="310"/>
      <c r="S292" s="310"/>
      <c r="T292" s="340" t="s">
        <v>94</v>
      </c>
      <c r="U292" s="260">
        <v>43585.0</v>
      </c>
      <c r="V292" s="260">
        <v>43536.0</v>
      </c>
      <c r="W292" s="261" t="s">
        <v>801</v>
      </c>
      <c r="X292" s="272">
        <v>26458.0</v>
      </c>
      <c r="Y292" s="370">
        <v>43586.0</v>
      </c>
      <c r="Z292" s="331" t="s">
        <v>2360</v>
      </c>
      <c r="AA292" s="331">
        <v>3.349760256E9</v>
      </c>
      <c r="AB292" s="331"/>
      <c r="AC292" s="331"/>
      <c r="AD292" s="331"/>
      <c r="AE292" s="253" t="s">
        <v>284</v>
      </c>
      <c r="AF292" s="253">
        <v>30.79</v>
      </c>
      <c r="AG292" s="262"/>
      <c r="AH292" s="263">
        <v>43536.0</v>
      </c>
      <c r="AI292" s="262"/>
      <c r="AJ292" s="262"/>
      <c r="AK292" s="253" t="s">
        <v>50</v>
      </c>
      <c r="AL292" s="253" t="s">
        <v>285</v>
      </c>
      <c r="AM292" s="253" t="s">
        <v>51</v>
      </c>
      <c r="AN292" s="253" t="s">
        <v>52</v>
      </c>
      <c r="AO292" s="264"/>
    </row>
    <row r="293" ht="15.75" customHeight="1">
      <c r="A293" s="69">
        <v>43529.0</v>
      </c>
      <c r="B293" s="252" t="s">
        <v>130</v>
      </c>
      <c r="C293" s="252" t="s">
        <v>714</v>
      </c>
      <c r="D293" s="252" t="s">
        <v>715</v>
      </c>
      <c r="E293" s="23" t="s">
        <v>802</v>
      </c>
      <c r="F293" s="253">
        <v>10.0</v>
      </c>
      <c r="G293" s="325">
        <v>66.0</v>
      </c>
      <c r="H293" s="336">
        <f t="shared" si="27"/>
        <v>660</v>
      </c>
      <c r="I293" s="256" t="s">
        <v>248</v>
      </c>
      <c r="J293" s="403" t="s">
        <v>134</v>
      </c>
      <c r="K293" s="258">
        <v>43538.0</v>
      </c>
      <c r="L293" s="258">
        <v>43537.0</v>
      </c>
      <c r="M293" s="269" t="s">
        <v>90</v>
      </c>
      <c r="N293" s="422" t="s">
        <v>2459</v>
      </c>
      <c r="O293" s="310"/>
      <c r="P293" s="310"/>
      <c r="Q293" s="310">
        <v>630.0</v>
      </c>
      <c r="R293" s="310"/>
      <c r="S293" s="310"/>
      <c r="T293" s="578" t="s">
        <v>94</v>
      </c>
      <c r="U293" s="260">
        <v>43585.0</v>
      </c>
      <c r="V293" s="260">
        <v>43536.0</v>
      </c>
      <c r="W293" s="261" t="s">
        <v>801</v>
      </c>
      <c r="X293" s="261" t="s">
        <v>2460</v>
      </c>
      <c r="Y293" s="370">
        <v>43586.0</v>
      </c>
      <c r="Z293" s="331" t="s">
        <v>2360</v>
      </c>
      <c r="AA293" s="331">
        <v>3.349760256E9</v>
      </c>
      <c r="AB293" s="331"/>
      <c r="AC293" s="331"/>
      <c r="AD293" s="331"/>
      <c r="AE293" s="253" t="s">
        <v>284</v>
      </c>
      <c r="AF293" s="253">
        <v>30.79</v>
      </c>
      <c r="AG293" s="262"/>
      <c r="AH293" s="253"/>
      <c r="AI293" s="262"/>
      <c r="AJ293" s="262"/>
      <c r="AK293" s="253" t="s">
        <v>50</v>
      </c>
      <c r="AL293" s="253" t="s">
        <v>285</v>
      </c>
      <c r="AM293" s="253" t="s">
        <v>51</v>
      </c>
      <c r="AN293" s="253" t="s">
        <v>52</v>
      </c>
      <c r="AO293" s="264"/>
    </row>
    <row r="294" ht="15.75" customHeight="1">
      <c r="A294" s="19">
        <v>43529.0</v>
      </c>
      <c r="B294" s="35" t="s">
        <v>54</v>
      </c>
      <c r="C294" s="21" t="s">
        <v>803</v>
      </c>
      <c r="D294" s="22" t="s">
        <v>804</v>
      </c>
      <c r="E294" s="23" t="s">
        <v>386</v>
      </c>
      <c r="F294" s="24">
        <v>10.0</v>
      </c>
      <c r="G294" s="25">
        <v>150.15</v>
      </c>
      <c r="H294" s="26">
        <f t="shared" si="27"/>
        <v>1501.5</v>
      </c>
      <c r="I294" s="431" t="s">
        <v>43</v>
      </c>
      <c r="J294" s="161" t="s">
        <v>90</v>
      </c>
      <c r="K294" s="30">
        <v>43553.0</v>
      </c>
      <c r="L294" s="613">
        <v>43552.0</v>
      </c>
      <c r="M294" s="643" t="s">
        <v>90</v>
      </c>
      <c r="N294" s="398" t="s">
        <v>2461</v>
      </c>
      <c r="O294" s="647"/>
      <c r="P294" s="647"/>
      <c r="Q294" s="647">
        <v>1344.0</v>
      </c>
      <c r="R294" s="647"/>
      <c r="S294" s="647">
        <v>41429.0</v>
      </c>
      <c r="T294" s="617" t="s">
        <v>94</v>
      </c>
      <c r="U294" s="413">
        <v>43616.0</v>
      </c>
      <c r="V294" s="437">
        <v>43552.0</v>
      </c>
      <c r="W294" s="342" t="s">
        <v>805</v>
      </c>
      <c r="X294" s="414">
        <v>41429.0</v>
      </c>
      <c r="Y294" s="451">
        <v>43616.0</v>
      </c>
      <c r="Z294" s="342" t="s">
        <v>2462</v>
      </c>
      <c r="AA294" s="342" t="s">
        <v>2463</v>
      </c>
      <c r="AB294" s="342">
        <v>30.856</v>
      </c>
      <c r="AC294" s="342">
        <v>46330.0</v>
      </c>
      <c r="AD294" s="451">
        <v>43553.0</v>
      </c>
      <c r="AE294" s="433"/>
      <c r="AF294" s="433"/>
      <c r="AG294" s="434">
        <v>46330.0</v>
      </c>
      <c r="AH294" s="457">
        <v>43612.0</v>
      </c>
      <c r="AI294" s="434">
        <v>46315.0</v>
      </c>
      <c r="AJ294" s="434">
        <v>15.0</v>
      </c>
      <c r="AK294" s="433" t="s">
        <v>50</v>
      </c>
      <c r="AL294" s="371" t="s">
        <v>285</v>
      </c>
      <c r="AM294" s="433" t="s">
        <v>51</v>
      </c>
      <c r="AN294" s="433" t="s">
        <v>377</v>
      </c>
      <c r="AO294" s="374" t="s">
        <v>440</v>
      </c>
    </row>
    <row r="295" ht="15.75" customHeight="1">
      <c r="A295" s="69">
        <v>43530.0</v>
      </c>
      <c r="B295" s="32" t="s">
        <v>406</v>
      </c>
      <c r="C295" s="21">
        <v>7.00014567E9</v>
      </c>
      <c r="D295" s="21" t="s">
        <v>806</v>
      </c>
      <c r="E295" s="23" t="s">
        <v>807</v>
      </c>
      <c r="F295" s="24">
        <v>1.0</v>
      </c>
      <c r="G295" s="25">
        <v>565.0</v>
      </c>
      <c r="H295" s="60">
        <f t="shared" ref="H295:H299" si="28">F295*G295</f>
        <v>565</v>
      </c>
      <c r="I295" s="61" t="s">
        <v>43</v>
      </c>
      <c r="J295" s="82" t="s">
        <v>520</v>
      </c>
      <c r="K295" s="29">
        <v>43546.0</v>
      </c>
      <c r="L295" s="30">
        <v>43543.0</v>
      </c>
      <c r="M295" s="31" t="s">
        <v>2078</v>
      </c>
      <c r="N295" s="21" t="s">
        <v>2464</v>
      </c>
      <c r="O295" s="408"/>
      <c r="P295" s="408"/>
      <c r="Q295" s="408"/>
      <c r="R295" s="408"/>
      <c r="S295" s="408">
        <v>15825.0</v>
      </c>
      <c r="T295" s="22" t="s">
        <v>2080</v>
      </c>
      <c r="U295" s="295">
        <v>43616.0</v>
      </c>
      <c r="V295" s="295">
        <v>43542.0</v>
      </c>
      <c r="W295" s="296" t="s">
        <v>808</v>
      </c>
      <c r="X295" s="297">
        <v>15825.0</v>
      </c>
      <c r="Y295" s="302">
        <v>43616.0</v>
      </c>
      <c r="Z295" s="306" t="s">
        <v>2240</v>
      </c>
      <c r="AA295" s="306" t="s">
        <v>2241</v>
      </c>
      <c r="AB295" s="306"/>
      <c r="AC295" s="306"/>
      <c r="AD295" s="306"/>
      <c r="AE295" s="298"/>
      <c r="AF295" s="298">
        <v>30.825</v>
      </c>
      <c r="AG295" s="299"/>
      <c r="AH295" s="145">
        <v>43588.0</v>
      </c>
      <c r="AI295" s="299" t="s">
        <v>2156</v>
      </c>
      <c r="AJ295" s="299" t="s">
        <v>2157</v>
      </c>
      <c r="AK295" s="298" t="s">
        <v>50</v>
      </c>
      <c r="AL295" s="298" t="s">
        <v>285</v>
      </c>
      <c r="AM295" s="298" t="s">
        <v>51</v>
      </c>
      <c r="AN295" s="298" t="s">
        <v>52</v>
      </c>
      <c r="AO295" s="234" t="s">
        <v>305</v>
      </c>
    </row>
    <row r="296" ht="15.75" customHeight="1">
      <c r="A296" s="69">
        <v>43530.0</v>
      </c>
      <c r="B296" s="21" t="s">
        <v>406</v>
      </c>
      <c r="C296" s="21">
        <v>7.00014567E9</v>
      </c>
      <c r="D296" s="21" t="s">
        <v>806</v>
      </c>
      <c r="E296" s="23" t="s">
        <v>809</v>
      </c>
      <c r="F296" s="24">
        <v>1.0</v>
      </c>
      <c r="G296" s="25">
        <v>67.0</v>
      </c>
      <c r="H296" s="60">
        <f t="shared" si="28"/>
        <v>67</v>
      </c>
      <c r="I296" s="61" t="s">
        <v>43</v>
      </c>
      <c r="J296" s="82" t="s">
        <v>520</v>
      </c>
      <c r="K296" s="29">
        <v>43546.0</v>
      </c>
      <c r="L296" s="30">
        <v>43543.0</v>
      </c>
      <c r="M296" s="31" t="s">
        <v>2078</v>
      </c>
      <c r="N296" s="21" t="s">
        <v>2465</v>
      </c>
      <c r="O296" s="408"/>
      <c r="P296" s="408"/>
      <c r="Q296" s="408"/>
      <c r="R296" s="408"/>
      <c r="S296" s="408">
        <v>1895.0</v>
      </c>
      <c r="T296" s="22" t="s">
        <v>2080</v>
      </c>
      <c r="U296" s="437">
        <v>43616.0</v>
      </c>
      <c r="V296" s="295">
        <v>43542.0</v>
      </c>
      <c r="W296" s="296" t="s">
        <v>810</v>
      </c>
      <c r="X296" s="297">
        <v>11319.0</v>
      </c>
      <c r="Y296" s="302">
        <v>43616.0</v>
      </c>
      <c r="Z296" s="306" t="s">
        <v>2240</v>
      </c>
      <c r="AA296" s="306" t="s">
        <v>2241</v>
      </c>
      <c r="AB296" s="306"/>
      <c r="AC296" s="306"/>
      <c r="AD296" s="306"/>
      <c r="AE296" s="298"/>
      <c r="AF296" s="298">
        <v>30.825</v>
      </c>
      <c r="AG296" s="299"/>
      <c r="AH296" s="145">
        <v>43588.0</v>
      </c>
      <c r="AI296" s="299" t="s">
        <v>2156</v>
      </c>
      <c r="AJ296" s="299" t="s">
        <v>2157</v>
      </c>
      <c r="AK296" s="298" t="s">
        <v>50</v>
      </c>
      <c r="AL296" s="298" t="s">
        <v>285</v>
      </c>
      <c r="AM296" s="298" t="s">
        <v>51</v>
      </c>
      <c r="AN296" s="298" t="s">
        <v>52</v>
      </c>
      <c r="AO296" s="234" t="s">
        <v>305</v>
      </c>
    </row>
    <row r="297" ht="15.75" customHeight="1">
      <c r="A297" s="69">
        <v>43530.0</v>
      </c>
      <c r="B297" s="21" t="s">
        <v>406</v>
      </c>
      <c r="C297" s="21">
        <v>7.00014567E9</v>
      </c>
      <c r="D297" s="21" t="s">
        <v>806</v>
      </c>
      <c r="E297" s="23" t="s">
        <v>811</v>
      </c>
      <c r="F297" s="24">
        <v>1.0</v>
      </c>
      <c r="G297" s="25">
        <v>291.0</v>
      </c>
      <c r="H297" s="60">
        <f t="shared" si="28"/>
        <v>291</v>
      </c>
      <c r="I297" s="61" t="s">
        <v>43</v>
      </c>
      <c r="J297" s="82" t="s">
        <v>520</v>
      </c>
      <c r="K297" s="29">
        <v>43546.0</v>
      </c>
      <c r="L297" s="30">
        <v>43543.0</v>
      </c>
      <c r="M297" s="31" t="s">
        <v>2078</v>
      </c>
      <c r="N297" s="21" t="s">
        <v>2465</v>
      </c>
      <c r="O297" s="408"/>
      <c r="P297" s="408"/>
      <c r="Q297" s="408"/>
      <c r="R297" s="408"/>
      <c r="S297" s="408">
        <v>8065.0</v>
      </c>
      <c r="T297" s="22" t="s">
        <v>2080</v>
      </c>
      <c r="U297" s="437">
        <v>43616.0</v>
      </c>
      <c r="V297" s="295">
        <v>43542.0</v>
      </c>
      <c r="W297" s="296" t="s">
        <v>810</v>
      </c>
      <c r="X297" s="296" t="s">
        <v>2466</v>
      </c>
      <c r="Y297" s="302">
        <v>43616.0</v>
      </c>
      <c r="Z297" s="306" t="s">
        <v>2240</v>
      </c>
      <c r="AA297" s="306" t="s">
        <v>2241</v>
      </c>
      <c r="AB297" s="306"/>
      <c r="AC297" s="306"/>
      <c r="AD297" s="306"/>
      <c r="AE297" s="298"/>
      <c r="AF297" s="298">
        <v>30.825</v>
      </c>
      <c r="AG297" s="299"/>
      <c r="AH297" s="145">
        <v>43588.0</v>
      </c>
      <c r="AI297" s="299" t="s">
        <v>2156</v>
      </c>
      <c r="AJ297" s="299" t="s">
        <v>2157</v>
      </c>
      <c r="AK297" s="298" t="s">
        <v>50</v>
      </c>
      <c r="AL297" s="298" t="s">
        <v>285</v>
      </c>
      <c r="AM297" s="298" t="s">
        <v>51</v>
      </c>
      <c r="AN297" s="298" t="s">
        <v>52</v>
      </c>
      <c r="AO297" s="234" t="s">
        <v>305</v>
      </c>
    </row>
    <row r="298" ht="15.75" customHeight="1">
      <c r="A298" s="69">
        <v>43530.0</v>
      </c>
      <c r="B298" s="21" t="s">
        <v>406</v>
      </c>
      <c r="C298" s="21">
        <v>7.00014567E9</v>
      </c>
      <c r="D298" s="21" t="s">
        <v>806</v>
      </c>
      <c r="E298" s="23" t="s">
        <v>812</v>
      </c>
      <c r="F298" s="24">
        <v>1.0</v>
      </c>
      <c r="G298" s="25">
        <v>39.0</v>
      </c>
      <c r="H298" s="60">
        <f t="shared" si="28"/>
        <v>39</v>
      </c>
      <c r="I298" s="61" t="s">
        <v>43</v>
      </c>
      <c r="J298" s="82" t="s">
        <v>520</v>
      </c>
      <c r="K298" s="29">
        <v>43546.0</v>
      </c>
      <c r="L298" s="30">
        <v>43543.0</v>
      </c>
      <c r="M298" s="31" t="s">
        <v>2078</v>
      </c>
      <c r="N298" s="21" t="s">
        <v>2465</v>
      </c>
      <c r="O298" s="408"/>
      <c r="P298" s="408"/>
      <c r="Q298" s="408"/>
      <c r="R298" s="408"/>
      <c r="S298" s="408">
        <v>1148.0</v>
      </c>
      <c r="T298" s="22" t="s">
        <v>2080</v>
      </c>
      <c r="U298" s="437">
        <v>43616.0</v>
      </c>
      <c r="V298" s="295">
        <v>43542.0</v>
      </c>
      <c r="W298" s="296" t="s">
        <v>810</v>
      </c>
      <c r="X298" s="296" t="s">
        <v>2466</v>
      </c>
      <c r="Y298" s="302">
        <v>43616.0</v>
      </c>
      <c r="Z298" s="306" t="s">
        <v>2240</v>
      </c>
      <c r="AA298" s="306" t="s">
        <v>2241</v>
      </c>
      <c r="AB298" s="306"/>
      <c r="AC298" s="306"/>
      <c r="AD298" s="306"/>
      <c r="AE298" s="298"/>
      <c r="AF298" s="298">
        <v>30.825</v>
      </c>
      <c r="AG298" s="299"/>
      <c r="AH298" s="145">
        <v>43588.0</v>
      </c>
      <c r="AI298" s="299" t="s">
        <v>2156</v>
      </c>
      <c r="AJ298" s="299" t="s">
        <v>2157</v>
      </c>
      <c r="AK298" s="298" t="s">
        <v>50</v>
      </c>
      <c r="AL298" s="298" t="s">
        <v>285</v>
      </c>
      <c r="AM298" s="298" t="s">
        <v>51</v>
      </c>
      <c r="AN298" s="298" t="s">
        <v>52</v>
      </c>
      <c r="AO298" s="234" t="s">
        <v>305</v>
      </c>
    </row>
    <row r="299" ht="15.75" customHeight="1">
      <c r="A299" s="69">
        <v>43530.0</v>
      </c>
      <c r="B299" s="21" t="s">
        <v>406</v>
      </c>
      <c r="C299" s="21">
        <v>7.00014567E9</v>
      </c>
      <c r="D299" s="21" t="s">
        <v>806</v>
      </c>
      <c r="E299" s="23" t="s">
        <v>813</v>
      </c>
      <c r="F299" s="24">
        <v>1.0</v>
      </c>
      <c r="G299" s="25">
        <v>8.5</v>
      </c>
      <c r="H299" s="60">
        <f t="shared" si="28"/>
        <v>8.5</v>
      </c>
      <c r="I299" s="61" t="s">
        <v>43</v>
      </c>
      <c r="J299" s="82" t="s">
        <v>520</v>
      </c>
      <c r="K299" s="29">
        <v>43546.0</v>
      </c>
      <c r="L299" s="30">
        <v>43543.0</v>
      </c>
      <c r="M299" s="31" t="s">
        <v>2078</v>
      </c>
      <c r="N299" s="21" t="s">
        <v>2465</v>
      </c>
      <c r="O299" s="408"/>
      <c r="P299" s="408"/>
      <c r="Q299" s="408"/>
      <c r="R299" s="408"/>
      <c r="S299" s="408">
        <v>211.0</v>
      </c>
      <c r="T299" s="22" t="s">
        <v>2080</v>
      </c>
      <c r="U299" s="437">
        <v>43616.0</v>
      </c>
      <c r="V299" s="295">
        <v>43542.0</v>
      </c>
      <c r="W299" s="463" t="s">
        <v>810</v>
      </c>
      <c r="X299" s="463" t="s">
        <v>2466</v>
      </c>
      <c r="Y299" s="302">
        <v>43616.0</v>
      </c>
      <c r="Z299" s="306" t="s">
        <v>2240</v>
      </c>
      <c r="AA299" s="306" t="s">
        <v>2241</v>
      </c>
      <c r="AB299" s="306"/>
      <c r="AC299" s="306"/>
      <c r="AD299" s="306"/>
      <c r="AE299" s="298"/>
      <c r="AF299" s="298">
        <v>30.825</v>
      </c>
      <c r="AG299" s="299"/>
      <c r="AH299" s="145">
        <v>43588.0</v>
      </c>
      <c r="AI299" s="299" t="s">
        <v>2156</v>
      </c>
      <c r="AJ299" s="299" t="s">
        <v>2157</v>
      </c>
      <c r="AK299" s="298" t="s">
        <v>50</v>
      </c>
      <c r="AL299" s="298" t="s">
        <v>285</v>
      </c>
      <c r="AM299" s="298" t="s">
        <v>51</v>
      </c>
      <c r="AN299" s="298" t="s">
        <v>52</v>
      </c>
      <c r="AO299" s="234" t="s">
        <v>305</v>
      </c>
    </row>
    <row r="300" ht="15.75" customHeight="1">
      <c r="A300" s="19">
        <v>43531.0</v>
      </c>
      <c r="B300" s="21" t="s">
        <v>101</v>
      </c>
      <c r="C300" s="21"/>
      <c r="D300" s="21" t="s">
        <v>814</v>
      </c>
      <c r="E300" s="23" t="s">
        <v>347</v>
      </c>
      <c r="F300" s="24">
        <v>1.0</v>
      </c>
      <c r="G300" s="25">
        <v>229.0</v>
      </c>
      <c r="H300" s="26">
        <v>229.0</v>
      </c>
      <c r="I300" s="49" t="s">
        <v>303</v>
      </c>
      <c r="J300" s="50" t="s">
        <v>534</v>
      </c>
      <c r="K300" s="29">
        <v>43531.0</v>
      </c>
      <c r="L300" s="30"/>
      <c r="M300" s="130" t="s">
        <v>2032</v>
      </c>
      <c r="N300" s="32"/>
      <c r="O300" s="85"/>
      <c r="P300" s="85"/>
      <c r="Q300" s="85"/>
      <c r="R300" s="36"/>
      <c r="S300" s="36">
        <v>8950.0</v>
      </c>
      <c r="T300" s="20" t="s">
        <v>2033</v>
      </c>
      <c r="U300" s="295">
        <v>43585.0</v>
      </c>
      <c r="V300" s="295">
        <v>43539.0</v>
      </c>
      <c r="W300" s="296" t="s">
        <v>815</v>
      </c>
      <c r="X300" s="297" t="s">
        <v>2467</v>
      </c>
      <c r="Y300" s="302">
        <v>43586.0</v>
      </c>
      <c r="Z300" s="53"/>
      <c r="AA300" s="53">
        <v>2.203364822E9</v>
      </c>
      <c r="AB300" s="53"/>
      <c r="AC300" s="53"/>
      <c r="AD300" s="53"/>
      <c r="AE300" s="54"/>
      <c r="AF300" s="54"/>
      <c r="AG300" s="55"/>
      <c r="AH300" s="56">
        <v>43565.0</v>
      </c>
      <c r="AI300" s="38" t="s">
        <v>2074</v>
      </c>
      <c r="AJ300" s="38" t="s">
        <v>2075</v>
      </c>
      <c r="AK300" s="54" t="s">
        <v>50</v>
      </c>
      <c r="AL300" s="24" t="s">
        <v>285</v>
      </c>
      <c r="AM300" s="54" t="s">
        <v>51</v>
      </c>
      <c r="AN300" s="54" t="s">
        <v>52</v>
      </c>
      <c r="AO300" s="57" t="s">
        <v>398</v>
      </c>
    </row>
    <row r="301" ht="15.75" customHeight="1">
      <c r="A301" s="69">
        <v>43536.0</v>
      </c>
      <c r="B301" s="70" t="s">
        <v>101</v>
      </c>
      <c r="C301" s="292" t="s">
        <v>0</v>
      </c>
      <c r="D301" s="21" t="s">
        <v>816</v>
      </c>
      <c r="E301" s="23" t="s">
        <v>347</v>
      </c>
      <c r="F301" s="54">
        <v>1.0</v>
      </c>
      <c r="G301" s="48">
        <v>742.0</v>
      </c>
      <c r="H301" s="26">
        <v>742.0</v>
      </c>
      <c r="I301" s="87" t="s">
        <v>303</v>
      </c>
      <c r="J301" s="82" t="s">
        <v>534</v>
      </c>
      <c r="K301" s="30">
        <v>43536.0</v>
      </c>
      <c r="L301" s="30"/>
      <c r="M301" s="82" t="s">
        <v>2032</v>
      </c>
      <c r="N301" s="32"/>
      <c r="O301" s="588"/>
      <c r="P301" s="588"/>
      <c r="Q301" s="588"/>
      <c r="R301" s="22"/>
      <c r="S301" s="22">
        <v>22037.0</v>
      </c>
      <c r="T301" s="20" t="s">
        <v>2033</v>
      </c>
      <c r="U301" s="295">
        <v>43585.0</v>
      </c>
      <c r="V301" s="295">
        <v>43539.0</v>
      </c>
      <c r="W301" s="296" t="s">
        <v>815</v>
      </c>
      <c r="X301" s="297">
        <v>32085.0</v>
      </c>
      <c r="Y301" s="302">
        <v>43586.0</v>
      </c>
      <c r="Z301" s="306"/>
      <c r="AA301" s="306" t="s">
        <v>0</v>
      </c>
      <c r="AB301" s="306"/>
      <c r="AC301" s="306"/>
      <c r="AD301" s="306"/>
      <c r="AE301" s="298"/>
      <c r="AF301" s="298"/>
      <c r="AG301" s="299"/>
      <c r="AH301" s="300">
        <v>43587.0</v>
      </c>
      <c r="AI301" s="299" t="s">
        <v>1987</v>
      </c>
      <c r="AJ301" s="299" t="s">
        <v>1988</v>
      </c>
      <c r="AK301" s="298" t="s">
        <v>50</v>
      </c>
      <c r="AL301" s="298" t="s">
        <v>285</v>
      </c>
      <c r="AM301" s="298" t="s">
        <v>51</v>
      </c>
      <c r="AN301" s="298" t="s">
        <v>52</v>
      </c>
      <c r="AO301" s="234" t="s">
        <v>305</v>
      </c>
    </row>
    <row r="302" ht="15.75" customHeight="1">
      <c r="A302" s="69">
        <v>43536.0</v>
      </c>
      <c r="B302" s="70" t="s">
        <v>817</v>
      </c>
      <c r="C302" s="21"/>
      <c r="D302" s="21" t="s">
        <v>818</v>
      </c>
      <c r="E302" s="23" t="s">
        <v>237</v>
      </c>
      <c r="F302" s="24">
        <v>2.0</v>
      </c>
      <c r="G302" s="48">
        <v>66.0</v>
      </c>
      <c r="H302" s="216">
        <f t="shared" ref="H302:H303" si="29">G302*F302</f>
        <v>132</v>
      </c>
      <c r="I302" s="298" t="s">
        <v>248</v>
      </c>
      <c r="J302" s="50" t="s">
        <v>534</v>
      </c>
      <c r="K302" s="30">
        <v>43552.0</v>
      </c>
      <c r="L302" s="30">
        <v>43546.0</v>
      </c>
      <c r="M302" s="58" t="s">
        <v>90</v>
      </c>
      <c r="N302" s="93" t="s">
        <v>2468</v>
      </c>
      <c r="O302" s="408"/>
      <c r="P302" s="408"/>
      <c r="Q302" s="408">
        <v>121.8</v>
      </c>
      <c r="R302" s="408"/>
      <c r="S302" s="408">
        <v>3754.0</v>
      </c>
      <c r="T302" s="51" t="s">
        <v>94</v>
      </c>
      <c r="U302" s="295">
        <v>43585.0</v>
      </c>
      <c r="V302" s="295">
        <v>43545.0</v>
      </c>
      <c r="W302" s="296" t="s">
        <v>819</v>
      </c>
      <c r="X302" s="297">
        <v>3754.0</v>
      </c>
      <c r="Y302" s="302">
        <v>43586.0</v>
      </c>
      <c r="Z302" s="53" t="s">
        <v>2469</v>
      </c>
      <c r="AA302" s="53">
        <v>1.521825421E9</v>
      </c>
      <c r="AB302" s="53"/>
      <c r="AC302" s="53"/>
      <c r="AD302" s="53"/>
      <c r="AE302" s="54" t="s">
        <v>284</v>
      </c>
      <c r="AF302" s="54">
        <v>30.825</v>
      </c>
      <c r="AG302" s="55"/>
      <c r="AH302" s="56">
        <v>43536.0</v>
      </c>
      <c r="AI302" s="55"/>
      <c r="AJ302" s="55"/>
      <c r="AK302" s="54" t="s">
        <v>50</v>
      </c>
      <c r="AL302" s="24" t="s">
        <v>285</v>
      </c>
      <c r="AM302" s="54" t="s">
        <v>51</v>
      </c>
      <c r="AN302" s="54" t="s">
        <v>52</v>
      </c>
      <c r="AO302" s="57" t="s">
        <v>398</v>
      </c>
    </row>
    <row r="303" ht="15.75" customHeight="1">
      <c r="A303" s="69">
        <v>43536.0</v>
      </c>
      <c r="B303" s="70" t="s">
        <v>817</v>
      </c>
      <c r="C303" s="21"/>
      <c r="D303" s="21" t="s">
        <v>818</v>
      </c>
      <c r="E303" s="23" t="s">
        <v>700</v>
      </c>
      <c r="F303" s="24">
        <v>1.0</v>
      </c>
      <c r="G303" s="48">
        <v>40.0</v>
      </c>
      <c r="H303" s="464">
        <f t="shared" si="29"/>
        <v>40</v>
      </c>
      <c r="I303" s="87" t="s">
        <v>248</v>
      </c>
      <c r="J303" s="407" t="s">
        <v>534</v>
      </c>
      <c r="K303" s="30">
        <v>43552.0</v>
      </c>
      <c r="L303" s="673"/>
      <c r="M303" s="161" t="s">
        <v>1089</v>
      </c>
      <c r="N303" s="64"/>
      <c r="O303" s="34"/>
      <c r="P303" s="34"/>
      <c r="Q303" s="34"/>
      <c r="R303" s="34"/>
      <c r="S303" s="34">
        <v>0.0</v>
      </c>
      <c r="T303" s="66"/>
      <c r="U303" s="52"/>
      <c r="V303" s="53"/>
      <c r="W303" s="53"/>
      <c r="X303" s="53"/>
      <c r="Y303" s="53"/>
      <c r="Z303" s="53" t="s">
        <v>2469</v>
      </c>
      <c r="AA303" s="53">
        <v>1.521825421E9</v>
      </c>
      <c r="AB303" s="53"/>
      <c r="AC303" s="53"/>
      <c r="AD303" s="53"/>
      <c r="AE303" s="54" t="s">
        <v>284</v>
      </c>
      <c r="AF303" s="54">
        <v>30.825</v>
      </c>
      <c r="AG303" s="55"/>
      <c r="AH303" s="56">
        <v>43536.0</v>
      </c>
      <c r="AI303" s="55"/>
      <c r="AJ303" s="55"/>
      <c r="AK303" s="54" t="s">
        <v>50</v>
      </c>
      <c r="AL303" s="24" t="s">
        <v>285</v>
      </c>
      <c r="AM303" s="54" t="s">
        <v>51</v>
      </c>
      <c r="AN303" s="54" t="s">
        <v>52</v>
      </c>
      <c r="AO303" s="57" t="s">
        <v>398</v>
      </c>
    </row>
    <row r="304" ht="15.75" customHeight="1">
      <c r="A304" s="69">
        <v>43536.0</v>
      </c>
      <c r="B304" s="70" t="s">
        <v>817</v>
      </c>
      <c r="C304" s="21"/>
      <c r="D304" s="21" t="s">
        <v>820</v>
      </c>
      <c r="E304" s="23" t="s">
        <v>347</v>
      </c>
      <c r="F304" s="24">
        <v>1.0</v>
      </c>
      <c r="G304" s="143">
        <v>28.0</v>
      </c>
      <c r="H304" s="60">
        <v>28.0</v>
      </c>
      <c r="I304" s="61" t="s">
        <v>248</v>
      </c>
      <c r="J304" s="50" t="s">
        <v>534</v>
      </c>
      <c r="K304" s="30">
        <v>43552.0</v>
      </c>
      <c r="L304" s="673"/>
      <c r="M304" s="24" t="s">
        <v>2032</v>
      </c>
      <c r="N304" s="32"/>
      <c r="O304" s="85"/>
      <c r="P304" s="85"/>
      <c r="Q304" s="85"/>
      <c r="R304" s="36"/>
      <c r="S304" s="36">
        <v>860.0</v>
      </c>
      <c r="T304" s="22" t="s">
        <v>2033</v>
      </c>
      <c r="U304" s="295">
        <v>43585.0</v>
      </c>
      <c r="V304" s="295">
        <v>43555.0</v>
      </c>
      <c r="W304" s="296" t="s">
        <v>821</v>
      </c>
      <c r="X304" s="296">
        <v>860.0</v>
      </c>
      <c r="Y304" s="302">
        <v>43586.0</v>
      </c>
      <c r="Z304" s="53" t="s">
        <v>2469</v>
      </c>
      <c r="AA304" s="53">
        <v>1.521825421E9</v>
      </c>
      <c r="AB304" s="53"/>
      <c r="AC304" s="53"/>
      <c r="AD304" s="53"/>
      <c r="AE304" s="54" t="s">
        <v>284</v>
      </c>
      <c r="AF304" s="54">
        <v>30.825</v>
      </c>
      <c r="AG304" s="55"/>
      <c r="AH304" s="56">
        <v>43552.0</v>
      </c>
      <c r="AI304" s="55">
        <f>28*30.801</f>
        <v>862.428</v>
      </c>
      <c r="AJ304" s="55">
        <v>0.0</v>
      </c>
      <c r="AK304" s="54" t="s">
        <v>50</v>
      </c>
      <c r="AL304" s="24" t="s">
        <v>285</v>
      </c>
      <c r="AM304" s="54" t="s">
        <v>51</v>
      </c>
      <c r="AN304" s="54" t="s">
        <v>52</v>
      </c>
      <c r="AO304" s="57" t="s">
        <v>398</v>
      </c>
    </row>
    <row r="305" ht="15.75" customHeight="1">
      <c r="A305" s="69">
        <v>43537.0</v>
      </c>
      <c r="B305" s="23" t="s">
        <v>406</v>
      </c>
      <c r="C305" s="21">
        <v>7.000145844E9</v>
      </c>
      <c r="D305" s="21" t="s">
        <v>822</v>
      </c>
      <c r="E305" s="23" t="s">
        <v>408</v>
      </c>
      <c r="F305" s="24">
        <v>1.0</v>
      </c>
      <c r="G305" s="25">
        <v>54.0</v>
      </c>
      <c r="H305" s="60">
        <f t="shared" ref="H305:H307" si="30">G305*F305</f>
        <v>54</v>
      </c>
      <c r="I305" s="61" t="s">
        <v>43</v>
      </c>
      <c r="J305" s="82" t="s">
        <v>520</v>
      </c>
      <c r="K305" s="29">
        <v>43546.0</v>
      </c>
      <c r="L305" s="30">
        <v>43543.0</v>
      </c>
      <c r="M305" s="31" t="s">
        <v>2078</v>
      </c>
      <c r="N305" s="93" t="s">
        <v>2470</v>
      </c>
      <c r="O305" s="408"/>
      <c r="P305" s="408"/>
      <c r="Q305" s="408"/>
      <c r="R305" s="408"/>
      <c r="S305" s="408">
        <v>1491.0</v>
      </c>
      <c r="T305" s="22" t="s">
        <v>2080</v>
      </c>
      <c r="U305" s="295">
        <v>43616.0</v>
      </c>
      <c r="V305" s="295">
        <v>43542.0</v>
      </c>
      <c r="W305" s="296" t="s">
        <v>823</v>
      </c>
      <c r="X305" s="297">
        <v>78548.0</v>
      </c>
      <c r="Y305" s="302">
        <v>43616.0</v>
      </c>
      <c r="Z305" s="306" t="s">
        <v>2240</v>
      </c>
      <c r="AA305" s="306" t="s">
        <v>2241</v>
      </c>
      <c r="AB305" s="306"/>
      <c r="AC305" s="306"/>
      <c r="AD305" s="306"/>
      <c r="AE305" s="298"/>
      <c r="AF305" s="298">
        <v>30.825</v>
      </c>
      <c r="AG305" s="299"/>
      <c r="AH305" s="145">
        <v>43588.0</v>
      </c>
      <c r="AI305" s="299" t="s">
        <v>2156</v>
      </c>
      <c r="AJ305" s="299" t="s">
        <v>2157</v>
      </c>
      <c r="AK305" s="298" t="s">
        <v>50</v>
      </c>
      <c r="AL305" s="298" t="s">
        <v>285</v>
      </c>
      <c r="AM305" s="298" t="s">
        <v>51</v>
      </c>
      <c r="AN305" s="298" t="s">
        <v>52</v>
      </c>
      <c r="AO305" s="234" t="s">
        <v>305</v>
      </c>
    </row>
    <row r="306" ht="15.75" customHeight="1">
      <c r="A306" s="69">
        <v>43537.0</v>
      </c>
      <c r="B306" s="23" t="s">
        <v>406</v>
      </c>
      <c r="C306" s="21">
        <v>7.000145844E9</v>
      </c>
      <c r="D306" s="21" t="s">
        <v>822</v>
      </c>
      <c r="E306" s="23" t="s">
        <v>824</v>
      </c>
      <c r="F306" s="24">
        <v>3.0</v>
      </c>
      <c r="G306" s="25">
        <v>866.0</v>
      </c>
      <c r="H306" s="60">
        <f t="shared" si="30"/>
        <v>2598</v>
      </c>
      <c r="I306" s="61" t="s">
        <v>43</v>
      </c>
      <c r="J306" s="82" t="s">
        <v>520</v>
      </c>
      <c r="K306" s="29">
        <v>43546.0</v>
      </c>
      <c r="L306" s="30">
        <v>43543.0</v>
      </c>
      <c r="M306" s="58" t="s">
        <v>2078</v>
      </c>
      <c r="N306" s="93" t="s">
        <v>2470</v>
      </c>
      <c r="O306" s="408"/>
      <c r="P306" s="408"/>
      <c r="Q306" s="408"/>
      <c r="R306" s="408"/>
      <c r="S306" s="408">
        <v>72135.0</v>
      </c>
      <c r="T306" s="22" t="s">
        <v>2080</v>
      </c>
      <c r="U306" s="295">
        <v>43616.0</v>
      </c>
      <c r="V306" s="295">
        <v>43542.0</v>
      </c>
      <c r="W306" s="296" t="s">
        <v>823</v>
      </c>
      <c r="X306" s="296" t="s">
        <v>2471</v>
      </c>
      <c r="Y306" s="302">
        <v>43616.0</v>
      </c>
      <c r="Z306" s="306" t="s">
        <v>2240</v>
      </c>
      <c r="AA306" s="306" t="s">
        <v>2241</v>
      </c>
      <c r="AB306" s="306"/>
      <c r="AC306" s="306"/>
      <c r="AD306" s="306"/>
      <c r="AE306" s="298"/>
      <c r="AF306" s="298">
        <v>30.825</v>
      </c>
      <c r="AG306" s="299"/>
      <c r="AH306" s="145">
        <v>43588.0</v>
      </c>
      <c r="AI306" s="299" t="s">
        <v>2156</v>
      </c>
      <c r="AJ306" s="299" t="s">
        <v>2157</v>
      </c>
      <c r="AK306" s="298" t="s">
        <v>50</v>
      </c>
      <c r="AL306" s="298" t="s">
        <v>285</v>
      </c>
      <c r="AM306" s="298" t="s">
        <v>51</v>
      </c>
      <c r="AN306" s="298" t="s">
        <v>52</v>
      </c>
      <c r="AO306" s="234" t="s">
        <v>305</v>
      </c>
    </row>
    <row r="307" ht="15.75" customHeight="1">
      <c r="A307" s="69">
        <v>43537.0</v>
      </c>
      <c r="B307" s="23" t="s">
        <v>406</v>
      </c>
      <c r="C307" s="21">
        <v>7.000145844E9</v>
      </c>
      <c r="D307" s="21" t="s">
        <v>822</v>
      </c>
      <c r="E307" s="23" t="s">
        <v>485</v>
      </c>
      <c r="F307" s="24">
        <v>1.0</v>
      </c>
      <c r="G307" s="25">
        <v>178.0</v>
      </c>
      <c r="H307" s="60">
        <f t="shared" si="30"/>
        <v>178</v>
      </c>
      <c r="I307" s="61" t="s">
        <v>43</v>
      </c>
      <c r="J307" s="82" t="s">
        <v>520</v>
      </c>
      <c r="K307" s="29">
        <v>43546.0</v>
      </c>
      <c r="L307" s="30">
        <v>43543.0</v>
      </c>
      <c r="M307" s="58" t="s">
        <v>2078</v>
      </c>
      <c r="N307" s="93" t="s">
        <v>2470</v>
      </c>
      <c r="O307" s="408"/>
      <c r="P307" s="408"/>
      <c r="Q307" s="408"/>
      <c r="R307" s="408"/>
      <c r="S307" s="408">
        <v>4922.0</v>
      </c>
      <c r="T307" s="22" t="s">
        <v>2080</v>
      </c>
      <c r="U307" s="295">
        <v>43616.0</v>
      </c>
      <c r="V307" s="295">
        <v>43542.0</v>
      </c>
      <c r="W307" s="296" t="s">
        <v>823</v>
      </c>
      <c r="X307" s="296" t="s">
        <v>2471</v>
      </c>
      <c r="Y307" s="302">
        <v>43616.0</v>
      </c>
      <c r="Z307" s="306" t="s">
        <v>2240</v>
      </c>
      <c r="AA307" s="306" t="s">
        <v>2241</v>
      </c>
      <c r="AB307" s="306"/>
      <c r="AC307" s="306"/>
      <c r="AD307" s="306"/>
      <c r="AE307" s="298"/>
      <c r="AF307" s="298">
        <v>30.825</v>
      </c>
      <c r="AG307" s="299"/>
      <c r="AH307" s="145">
        <v>43588.0</v>
      </c>
      <c r="AI307" s="299" t="s">
        <v>2156</v>
      </c>
      <c r="AJ307" s="299" t="s">
        <v>2157</v>
      </c>
      <c r="AK307" s="298" t="s">
        <v>50</v>
      </c>
      <c r="AL307" s="298" t="s">
        <v>285</v>
      </c>
      <c r="AM307" s="298" t="s">
        <v>51</v>
      </c>
      <c r="AN307" s="298" t="s">
        <v>52</v>
      </c>
      <c r="AO307" s="234" t="s">
        <v>305</v>
      </c>
    </row>
    <row r="308" ht="15.75" customHeight="1">
      <c r="A308" s="19">
        <v>43539.0</v>
      </c>
      <c r="B308" s="144" t="s">
        <v>101</v>
      </c>
      <c r="C308" s="21"/>
      <c r="D308" s="21" t="s">
        <v>825</v>
      </c>
      <c r="E308" s="23" t="s">
        <v>347</v>
      </c>
      <c r="F308" s="298">
        <v>1.0</v>
      </c>
      <c r="G308" s="47">
        <v>90.5</v>
      </c>
      <c r="H308" s="26">
        <v>90.5</v>
      </c>
      <c r="I308" s="27" t="s">
        <v>303</v>
      </c>
      <c r="J308" s="58" t="s">
        <v>438</v>
      </c>
      <c r="K308" s="30">
        <v>43539.0</v>
      </c>
      <c r="L308" s="304"/>
      <c r="M308" s="58" t="s">
        <v>2032</v>
      </c>
      <c r="N308" s="235" t="s">
        <v>2472</v>
      </c>
      <c r="O308" s="236"/>
      <c r="P308" s="236"/>
      <c r="Q308" s="408"/>
      <c r="R308" s="627"/>
      <c r="S308" s="627">
        <v>2696.0</v>
      </c>
      <c r="T308" s="22" t="s">
        <v>2033</v>
      </c>
      <c r="U308" s="295">
        <v>43585.0</v>
      </c>
      <c r="V308" s="295">
        <v>43555.0</v>
      </c>
      <c r="W308" s="296" t="s">
        <v>821</v>
      </c>
      <c r="X308" s="297">
        <v>2696.0</v>
      </c>
      <c r="Y308" s="302">
        <v>43586.0</v>
      </c>
      <c r="Z308" s="306" t="s">
        <v>2102</v>
      </c>
      <c r="AA308" s="306">
        <v>5.41087925E9</v>
      </c>
      <c r="AB308" s="306"/>
      <c r="AC308" s="306"/>
      <c r="AD308" s="306"/>
      <c r="AE308" s="298"/>
      <c r="AF308" s="298"/>
      <c r="AG308" s="299"/>
      <c r="AH308" s="300">
        <v>43587.0</v>
      </c>
      <c r="AI308" s="299" t="s">
        <v>1987</v>
      </c>
      <c r="AJ308" s="299" t="s">
        <v>1988</v>
      </c>
      <c r="AK308" s="298" t="s">
        <v>50</v>
      </c>
      <c r="AL308" s="298" t="s">
        <v>285</v>
      </c>
      <c r="AM308" s="298" t="s">
        <v>286</v>
      </c>
      <c r="AN308" s="298" t="s">
        <v>52</v>
      </c>
      <c r="AO308" s="234" t="s">
        <v>305</v>
      </c>
    </row>
    <row r="309" ht="15.75" customHeight="1">
      <c r="A309" s="69">
        <v>43542.0</v>
      </c>
      <c r="B309" s="23" t="s">
        <v>77</v>
      </c>
      <c r="C309" s="21">
        <v>205.0</v>
      </c>
      <c r="D309" s="21" t="s">
        <v>826</v>
      </c>
      <c r="E309" s="23" t="s">
        <v>827</v>
      </c>
      <c r="F309" s="24">
        <v>25.0</v>
      </c>
      <c r="G309" s="25">
        <v>14.0</v>
      </c>
      <c r="H309" s="26">
        <f t="shared" ref="H309:H310" si="31">G309*F309</f>
        <v>350</v>
      </c>
      <c r="I309" s="61" t="s">
        <v>43</v>
      </c>
      <c r="J309" s="58" t="s">
        <v>316</v>
      </c>
      <c r="K309" s="29">
        <v>43550.0</v>
      </c>
      <c r="L309" s="30">
        <v>43546.0</v>
      </c>
      <c r="M309" s="58" t="s">
        <v>2041</v>
      </c>
      <c r="N309" s="32" t="s">
        <v>2473</v>
      </c>
      <c r="O309" s="22"/>
      <c r="P309" s="22"/>
      <c r="Q309" s="22">
        <v>315.0</v>
      </c>
      <c r="R309" s="22"/>
      <c r="S309" s="22">
        <v>9708.0</v>
      </c>
      <c r="T309" s="20" t="s">
        <v>2043</v>
      </c>
      <c r="U309" s="295">
        <v>43560.0</v>
      </c>
      <c r="V309" s="295">
        <v>43559.0</v>
      </c>
      <c r="W309" s="342" t="s">
        <v>828</v>
      </c>
      <c r="X309" s="414">
        <v>9708.0</v>
      </c>
      <c r="Y309" s="413">
        <v>43564.0</v>
      </c>
      <c r="Z309" s="306" t="s">
        <v>2196</v>
      </c>
      <c r="AA309" s="352">
        <v>2.5826325E8</v>
      </c>
      <c r="AB309" s="352"/>
      <c r="AC309" s="352"/>
      <c r="AD309" s="352"/>
      <c r="AE309" s="82"/>
      <c r="AF309" s="298">
        <v>30.825</v>
      </c>
      <c r="AG309" s="299"/>
      <c r="AH309" s="300">
        <v>43580.0</v>
      </c>
      <c r="AI309" s="299" t="s">
        <v>2277</v>
      </c>
      <c r="AJ309" s="299" t="s">
        <v>2278</v>
      </c>
      <c r="AK309" s="82" t="s">
        <v>50</v>
      </c>
      <c r="AL309" s="298" t="s">
        <v>285</v>
      </c>
      <c r="AM309" s="298" t="s">
        <v>51</v>
      </c>
      <c r="AN309" s="82" t="s">
        <v>52</v>
      </c>
      <c r="AO309" s="234" t="s">
        <v>305</v>
      </c>
    </row>
    <row r="310" ht="15.75" customHeight="1">
      <c r="A310" s="69">
        <v>43542.0</v>
      </c>
      <c r="B310" s="70" t="s">
        <v>101</v>
      </c>
      <c r="C310" s="21" t="s">
        <v>829</v>
      </c>
      <c r="D310" s="21" t="s">
        <v>830</v>
      </c>
      <c r="E310" s="23" t="s">
        <v>831</v>
      </c>
      <c r="F310" s="24">
        <v>1.0</v>
      </c>
      <c r="G310" s="25">
        <v>915.0</v>
      </c>
      <c r="H310" s="26">
        <f t="shared" si="31"/>
        <v>915</v>
      </c>
      <c r="I310" s="61" t="s">
        <v>703</v>
      </c>
      <c r="J310" s="63" t="s">
        <v>263</v>
      </c>
      <c r="K310" s="29">
        <v>43580.0</v>
      </c>
      <c r="L310" s="613">
        <v>43578.0</v>
      </c>
      <c r="M310" s="433" t="s">
        <v>1439</v>
      </c>
      <c r="N310" s="398" t="s">
        <v>2474</v>
      </c>
      <c r="O310" s="619"/>
      <c r="P310" s="619"/>
      <c r="Q310" s="619">
        <v>845.25</v>
      </c>
      <c r="R310" s="654"/>
      <c r="S310" s="654">
        <f>845.245*30.82</f>
        <v>26050.4509</v>
      </c>
      <c r="T310" s="618"/>
      <c r="U310" s="302">
        <v>43616.0</v>
      </c>
      <c r="V310" s="302">
        <v>43577.0</v>
      </c>
      <c r="W310" s="296" t="s">
        <v>832</v>
      </c>
      <c r="X310" s="296">
        <v>27183.0</v>
      </c>
      <c r="Y310" s="295">
        <v>43616.0</v>
      </c>
      <c r="Z310" s="296" t="s">
        <v>2475</v>
      </c>
      <c r="AA310" s="342">
        <v>4.328912582E9</v>
      </c>
      <c r="AB310" s="302">
        <v>43616.0</v>
      </c>
      <c r="AC310" s="296"/>
      <c r="AD310" s="296"/>
      <c r="AE310" s="371"/>
      <c r="AF310" s="371">
        <v>30.81</v>
      </c>
      <c r="AG310" s="372">
        <f t="shared" ref="AG310:AG312" si="32">AF310*H310</f>
        <v>28191.15</v>
      </c>
      <c r="AH310" s="373">
        <v>43636.0</v>
      </c>
      <c r="AI310" s="372" t="s">
        <v>2103</v>
      </c>
      <c r="AJ310" s="372" t="s">
        <v>2104</v>
      </c>
      <c r="AK310" s="371" t="s">
        <v>50</v>
      </c>
      <c r="AL310" s="371" t="s">
        <v>285</v>
      </c>
      <c r="AM310" s="371" t="s">
        <v>51</v>
      </c>
      <c r="AN310" s="371" t="s">
        <v>52</v>
      </c>
      <c r="AO310" s="374" t="s">
        <v>440</v>
      </c>
    </row>
    <row r="311" ht="15.75" customHeight="1">
      <c r="A311" s="69">
        <v>43542.0</v>
      </c>
      <c r="B311" s="70" t="s">
        <v>101</v>
      </c>
      <c r="C311" s="21" t="s">
        <v>829</v>
      </c>
      <c r="D311" s="32" t="s">
        <v>2476</v>
      </c>
      <c r="E311" s="23" t="s">
        <v>834</v>
      </c>
      <c r="F311" s="24">
        <v>1.0</v>
      </c>
      <c r="G311" s="25">
        <v>42.0</v>
      </c>
      <c r="H311" s="26">
        <v>42.0</v>
      </c>
      <c r="I311" s="61" t="s">
        <v>703</v>
      </c>
      <c r="J311" s="63" t="s">
        <v>835</v>
      </c>
      <c r="K311" s="29">
        <v>43580.0</v>
      </c>
      <c r="L311" s="613">
        <v>43578.0</v>
      </c>
      <c r="M311" s="674" t="s">
        <v>1439</v>
      </c>
      <c r="N311" s="398" t="s">
        <v>2474</v>
      </c>
      <c r="O311" s="619"/>
      <c r="P311" s="619"/>
      <c r="Q311" s="619">
        <v>36.75</v>
      </c>
      <c r="R311" s="654"/>
      <c r="S311" s="654">
        <f>36.75*30.82</f>
        <v>1132.635</v>
      </c>
      <c r="T311" s="618"/>
      <c r="U311" s="302">
        <v>43616.0</v>
      </c>
      <c r="V311" s="302">
        <v>43577.0</v>
      </c>
      <c r="W311" s="296" t="s">
        <v>832</v>
      </c>
      <c r="X311" s="296" t="s">
        <v>2477</v>
      </c>
      <c r="Y311" s="295">
        <v>43616.0</v>
      </c>
      <c r="Z311" s="296" t="s">
        <v>2475</v>
      </c>
      <c r="AA311" s="342">
        <v>4.328912582E9</v>
      </c>
      <c r="AB311" s="302">
        <v>43616.0</v>
      </c>
      <c r="AC311" s="296"/>
      <c r="AD311" s="296"/>
      <c r="AE311" s="371"/>
      <c r="AF311" s="371">
        <v>30.81</v>
      </c>
      <c r="AG311" s="372">
        <f t="shared" si="32"/>
        <v>1294.02</v>
      </c>
      <c r="AH311" s="373">
        <v>43636.0</v>
      </c>
      <c r="AI311" s="372" t="s">
        <v>2103</v>
      </c>
      <c r="AJ311" s="372" t="s">
        <v>2104</v>
      </c>
      <c r="AK311" s="371" t="s">
        <v>50</v>
      </c>
      <c r="AL311" s="371" t="s">
        <v>285</v>
      </c>
      <c r="AM311" s="371" t="s">
        <v>51</v>
      </c>
      <c r="AN311" s="371" t="s">
        <v>52</v>
      </c>
      <c r="AO311" s="374" t="s">
        <v>440</v>
      </c>
    </row>
    <row r="312" ht="15.75" customHeight="1">
      <c r="A312" s="69">
        <v>43542.0</v>
      </c>
      <c r="B312" s="70" t="s">
        <v>101</v>
      </c>
      <c r="C312" s="21" t="s">
        <v>829</v>
      </c>
      <c r="D312" s="32" t="s">
        <v>2478</v>
      </c>
      <c r="E312" s="23" t="s">
        <v>798</v>
      </c>
      <c r="F312" s="24">
        <v>1.0</v>
      </c>
      <c r="G312" s="25">
        <v>79.0</v>
      </c>
      <c r="H312" s="26">
        <f>G312*F312</f>
        <v>79</v>
      </c>
      <c r="I312" s="61" t="s">
        <v>703</v>
      </c>
      <c r="J312" s="63" t="s">
        <v>263</v>
      </c>
      <c r="K312" s="29">
        <v>43580.0</v>
      </c>
      <c r="L312" s="613">
        <v>43551.0</v>
      </c>
      <c r="M312" s="653" t="s">
        <v>179</v>
      </c>
      <c r="N312" s="398" t="s">
        <v>0</v>
      </c>
      <c r="O312" s="619"/>
      <c r="P312" s="619"/>
      <c r="Q312" s="619"/>
      <c r="R312" s="654"/>
      <c r="S312" s="654">
        <v>2465.0</v>
      </c>
      <c r="T312" s="619"/>
      <c r="U312" s="296"/>
      <c r="V312" s="296"/>
      <c r="W312" s="296"/>
      <c r="X312" s="296"/>
      <c r="Y312" s="296"/>
      <c r="Z312" s="296" t="s">
        <v>2475</v>
      </c>
      <c r="AA312" s="296" t="s">
        <v>2479</v>
      </c>
      <c r="AB312" s="296"/>
      <c r="AC312" s="296"/>
      <c r="AD312" s="296"/>
      <c r="AE312" s="371"/>
      <c r="AF312" s="371">
        <v>30.81</v>
      </c>
      <c r="AG312" s="372">
        <f t="shared" si="32"/>
        <v>2433.99</v>
      </c>
      <c r="AH312" s="373">
        <v>43636.0</v>
      </c>
      <c r="AI312" s="372" t="s">
        <v>2103</v>
      </c>
      <c r="AJ312" s="372" t="s">
        <v>2104</v>
      </c>
      <c r="AK312" s="371" t="s">
        <v>50</v>
      </c>
      <c r="AL312" s="371" t="s">
        <v>285</v>
      </c>
      <c r="AM312" s="371" t="s">
        <v>51</v>
      </c>
      <c r="AN312" s="371" t="s">
        <v>52</v>
      </c>
      <c r="AO312" s="374" t="s">
        <v>440</v>
      </c>
    </row>
    <row r="313" ht="15.75" customHeight="1">
      <c r="A313" s="465">
        <v>43544.0</v>
      </c>
      <c r="B313" s="265" t="s">
        <v>416</v>
      </c>
      <c r="C313" s="252" t="s">
        <v>837</v>
      </c>
      <c r="D313" s="310" t="s">
        <v>838</v>
      </c>
      <c r="E313" s="23" t="s">
        <v>839</v>
      </c>
      <c r="F313" s="253">
        <v>3.0</v>
      </c>
      <c r="G313" s="466">
        <v>118.0</v>
      </c>
      <c r="H313" s="336">
        <v>354.0</v>
      </c>
      <c r="I313" s="256" t="s">
        <v>248</v>
      </c>
      <c r="J313" s="369" t="s">
        <v>840</v>
      </c>
      <c r="K313" s="258">
        <v>43549.0</v>
      </c>
      <c r="L313" s="258">
        <v>43546.0</v>
      </c>
      <c r="M313" s="403" t="s">
        <v>90</v>
      </c>
      <c r="N313" s="422" t="s">
        <v>2480</v>
      </c>
      <c r="O313" s="310"/>
      <c r="P313" s="310"/>
      <c r="Q313" s="310">
        <v>327.6</v>
      </c>
      <c r="R313" s="310"/>
      <c r="S313" s="310">
        <v>10098.0</v>
      </c>
      <c r="T313" s="578" t="s">
        <v>94</v>
      </c>
      <c r="U313" s="260">
        <v>43585.0</v>
      </c>
      <c r="V313" s="260">
        <v>43546.0</v>
      </c>
      <c r="W313" s="261" t="s">
        <v>841</v>
      </c>
      <c r="X313" s="272">
        <v>10098.0</v>
      </c>
      <c r="Y313" s="370">
        <v>43586.0</v>
      </c>
      <c r="Z313" s="331" t="s">
        <v>2481</v>
      </c>
      <c r="AA313" s="331" t="s">
        <v>2482</v>
      </c>
      <c r="AB313" s="331"/>
      <c r="AC313" s="331"/>
      <c r="AD313" s="331"/>
      <c r="AE313" s="253" t="s">
        <v>284</v>
      </c>
      <c r="AF313" s="253"/>
      <c r="AG313" s="262"/>
      <c r="AH313" s="253"/>
      <c r="AI313" s="262"/>
      <c r="AJ313" s="262"/>
      <c r="AK313" s="253" t="s">
        <v>50</v>
      </c>
      <c r="AL313" s="253" t="s">
        <v>285</v>
      </c>
      <c r="AM313" s="253" t="s">
        <v>51</v>
      </c>
      <c r="AN313" s="253" t="s">
        <v>52</v>
      </c>
      <c r="AO313" s="264"/>
    </row>
    <row r="314" ht="15.75" customHeight="1">
      <c r="A314" s="465">
        <v>43544.0</v>
      </c>
      <c r="B314" s="265" t="s">
        <v>416</v>
      </c>
      <c r="C314" s="252" t="s">
        <v>837</v>
      </c>
      <c r="D314" s="310" t="s">
        <v>838</v>
      </c>
      <c r="E314" s="23" t="s">
        <v>842</v>
      </c>
      <c r="F314" s="253">
        <v>1.0</v>
      </c>
      <c r="G314" s="466">
        <v>40.0</v>
      </c>
      <c r="H314" s="336">
        <v>40.0</v>
      </c>
      <c r="I314" s="256" t="s">
        <v>248</v>
      </c>
      <c r="J314" s="369" t="s">
        <v>840</v>
      </c>
      <c r="K314" s="258">
        <v>43549.0</v>
      </c>
      <c r="L314" s="630" t="s">
        <v>0</v>
      </c>
      <c r="M314" s="369" t="s">
        <v>1089</v>
      </c>
      <c r="N314" s="602"/>
      <c r="O314" s="600"/>
      <c r="P314" s="600"/>
      <c r="Q314" s="600"/>
      <c r="R314" s="600"/>
      <c r="S314" s="600"/>
      <c r="T314" s="388"/>
      <c r="U314" s="339"/>
      <c r="V314" s="331"/>
      <c r="W314" s="331"/>
      <c r="X314" s="331"/>
      <c r="Y314" s="331"/>
      <c r="Z314" s="331" t="s">
        <v>2481</v>
      </c>
      <c r="AA314" s="331" t="s">
        <v>2482</v>
      </c>
      <c r="AB314" s="331"/>
      <c r="AC314" s="331"/>
      <c r="AD314" s="331"/>
      <c r="AE314" s="253" t="s">
        <v>284</v>
      </c>
      <c r="AF314" s="253"/>
      <c r="AG314" s="262"/>
      <c r="AH314" s="253"/>
      <c r="AI314" s="262"/>
      <c r="AJ314" s="262"/>
      <c r="AK314" s="253" t="s">
        <v>50</v>
      </c>
      <c r="AL314" s="253" t="s">
        <v>285</v>
      </c>
      <c r="AM314" s="253" t="s">
        <v>51</v>
      </c>
      <c r="AN314" s="253" t="s">
        <v>52</v>
      </c>
      <c r="AO314" s="264"/>
    </row>
    <row r="315" ht="15.75" customHeight="1">
      <c r="A315" s="465">
        <v>43544.0</v>
      </c>
      <c r="B315" s="23" t="s">
        <v>406</v>
      </c>
      <c r="C315" s="21">
        <v>7.000146024E9</v>
      </c>
      <c r="D315" s="408" t="s">
        <v>843</v>
      </c>
      <c r="E315" s="23" t="s">
        <v>684</v>
      </c>
      <c r="F315" s="24">
        <v>10.0</v>
      </c>
      <c r="G315" s="25">
        <v>127.0</v>
      </c>
      <c r="H315" s="60">
        <f t="shared" ref="H315:H325" si="33">G315*F315</f>
        <v>1270</v>
      </c>
      <c r="I315" s="61" t="s">
        <v>43</v>
      </c>
      <c r="J315" s="50" t="s">
        <v>513</v>
      </c>
      <c r="K315" s="29">
        <v>43557.0</v>
      </c>
      <c r="L315" s="30">
        <v>43551.0</v>
      </c>
      <c r="M315" s="58" t="s">
        <v>2078</v>
      </c>
      <c r="N315" s="93" t="s">
        <v>2483</v>
      </c>
      <c r="O315" s="408"/>
      <c r="P315" s="408"/>
      <c r="Q315" s="408"/>
      <c r="R315" s="408"/>
      <c r="S315" s="408">
        <v>35711.0</v>
      </c>
      <c r="T315" s="22" t="s">
        <v>2080</v>
      </c>
      <c r="U315" s="462">
        <v>43646.0</v>
      </c>
      <c r="V315" s="467">
        <v>43550.0</v>
      </c>
      <c r="W315" s="306" t="s">
        <v>844</v>
      </c>
      <c r="X315" s="406">
        <v>35711.0</v>
      </c>
      <c r="Y315" s="462">
        <v>43647.0</v>
      </c>
      <c r="Z315" s="306" t="s">
        <v>2484</v>
      </c>
      <c r="AA315" s="306">
        <v>6.617987342E9</v>
      </c>
      <c r="AB315" s="306"/>
      <c r="AC315" s="306"/>
      <c r="AD315" s="306"/>
      <c r="AE315" s="298"/>
      <c r="AF315" s="298">
        <v>30.77</v>
      </c>
      <c r="AG315" s="299">
        <f>H315*AF315</f>
        <v>39077.9</v>
      </c>
      <c r="AH315" s="300">
        <v>43598.0</v>
      </c>
      <c r="AI315" s="299">
        <f>3724.54*30.94</f>
        <v>115237.2676</v>
      </c>
      <c r="AJ315" s="299">
        <f>(20+6.46)*30.94</f>
        <v>818.6724</v>
      </c>
      <c r="AK315" s="298" t="s">
        <v>50</v>
      </c>
      <c r="AL315" s="298" t="s">
        <v>285</v>
      </c>
      <c r="AM315" s="298" t="s">
        <v>51</v>
      </c>
      <c r="AN315" s="298" t="s">
        <v>52</v>
      </c>
      <c r="AO315" s="234" t="s">
        <v>305</v>
      </c>
    </row>
    <row r="316" ht="15.75" customHeight="1">
      <c r="A316" s="465">
        <v>43544.0</v>
      </c>
      <c r="B316" s="23" t="s">
        <v>406</v>
      </c>
      <c r="C316" s="21">
        <v>7.000146024E9</v>
      </c>
      <c r="D316" s="408" t="s">
        <v>843</v>
      </c>
      <c r="E316" s="23" t="s">
        <v>845</v>
      </c>
      <c r="F316" s="24">
        <v>1.0</v>
      </c>
      <c r="G316" s="48">
        <v>175.0</v>
      </c>
      <c r="H316" s="468">
        <f t="shared" si="33"/>
        <v>175</v>
      </c>
      <c r="I316" s="61" t="s">
        <v>43</v>
      </c>
      <c r="J316" s="407" t="s">
        <v>513</v>
      </c>
      <c r="K316" s="29">
        <v>43566.0</v>
      </c>
      <c r="L316" s="30">
        <v>43565.0</v>
      </c>
      <c r="M316" s="31" t="s">
        <v>2078</v>
      </c>
      <c r="N316" s="93" t="s">
        <v>2483</v>
      </c>
      <c r="O316" s="408"/>
      <c r="P316" s="408"/>
      <c r="Q316" s="408"/>
      <c r="R316" s="408"/>
      <c r="S316" s="408">
        <v>4883.0</v>
      </c>
      <c r="T316" s="22" t="s">
        <v>2080</v>
      </c>
      <c r="U316" s="462">
        <v>43646.0</v>
      </c>
      <c r="V316" s="462">
        <v>43564.0</v>
      </c>
      <c r="W316" s="306" t="s">
        <v>846</v>
      </c>
      <c r="X316" s="306">
        <v>4883.0</v>
      </c>
      <c r="Y316" s="462">
        <v>43647.0</v>
      </c>
      <c r="Z316" s="306" t="s">
        <v>2288</v>
      </c>
      <c r="AA316" s="306">
        <v>4.076131905E9</v>
      </c>
      <c r="AB316" s="306"/>
      <c r="AC316" s="306"/>
      <c r="AD316" s="306"/>
      <c r="AE316" s="298"/>
      <c r="AF316" s="298">
        <v>30.76</v>
      </c>
      <c r="AG316" s="432">
        <f>AF316*H316</f>
        <v>5383</v>
      </c>
      <c r="AH316" s="300">
        <v>43602.0</v>
      </c>
      <c r="AI316" s="299" t="s">
        <v>2289</v>
      </c>
      <c r="AJ316" s="299" t="s">
        <v>2290</v>
      </c>
      <c r="AK316" s="298" t="s">
        <v>50</v>
      </c>
      <c r="AL316" s="298" t="s">
        <v>285</v>
      </c>
      <c r="AM316" s="298" t="s">
        <v>51</v>
      </c>
      <c r="AN316" s="298" t="s">
        <v>52</v>
      </c>
      <c r="AO316" s="234" t="s">
        <v>305</v>
      </c>
    </row>
    <row r="317" ht="15.75" customHeight="1">
      <c r="A317" s="465">
        <v>43545.0</v>
      </c>
      <c r="B317" s="21" t="s">
        <v>621</v>
      </c>
      <c r="C317" s="21"/>
      <c r="D317" s="21" t="s">
        <v>847</v>
      </c>
      <c r="E317" s="23" t="s">
        <v>848</v>
      </c>
      <c r="F317" s="24">
        <v>2.0</v>
      </c>
      <c r="G317" s="25">
        <v>304.5</v>
      </c>
      <c r="H317" s="60">
        <f t="shared" si="33"/>
        <v>609</v>
      </c>
      <c r="I317" s="348" t="s">
        <v>43</v>
      </c>
      <c r="J317" s="63" t="s">
        <v>90</v>
      </c>
      <c r="K317" s="29">
        <v>43552.0</v>
      </c>
      <c r="L317" s="613">
        <v>43552.0</v>
      </c>
      <c r="M317" s="653" t="s">
        <v>90</v>
      </c>
      <c r="N317" s="615" t="s">
        <v>2485</v>
      </c>
      <c r="O317" s="619"/>
      <c r="P317" s="619"/>
      <c r="Q317" s="619">
        <v>558.6</v>
      </c>
      <c r="R317" s="619"/>
      <c r="S317" s="619">
        <v>17219.0</v>
      </c>
      <c r="T317" s="617" t="s">
        <v>94</v>
      </c>
      <c r="U317" s="413">
        <v>43616.0</v>
      </c>
      <c r="V317" s="295">
        <v>43551.0</v>
      </c>
      <c r="W317" s="296" t="s">
        <v>849</v>
      </c>
      <c r="X317" s="297">
        <v>17219.0</v>
      </c>
      <c r="Y317" s="451">
        <v>43616.0</v>
      </c>
      <c r="Z317" s="296" t="s">
        <v>2486</v>
      </c>
      <c r="AA317" s="675" t="s">
        <v>2487</v>
      </c>
      <c r="AB317" s="296">
        <v>30.85</v>
      </c>
      <c r="AC317" s="296">
        <v>18788.0</v>
      </c>
      <c r="AD317" s="296" t="s">
        <v>2488</v>
      </c>
      <c r="AE317" s="371"/>
      <c r="AF317" s="371"/>
      <c r="AG317" s="372"/>
      <c r="AH317" s="373">
        <v>43626.0</v>
      </c>
      <c r="AI317" s="372">
        <v>18788.0</v>
      </c>
      <c r="AJ317" s="372">
        <v>0.0</v>
      </c>
      <c r="AK317" s="371" t="s">
        <v>50</v>
      </c>
      <c r="AL317" s="371" t="s">
        <v>285</v>
      </c>
      <c r="AM317" s="371" t="s">
        <v>51</v>
      </c>
      <c r="AN317" s="371" t="s">
        <v>377</v>
      </c>
      <c r="AO317" s="374" t="s">
        <v>440</v>
      </c>
    </row>
    <row r="318" ht="15.75" customHeight="1">
      <c r="A318" s="69">
        <v>43546.0</v>
      </c>
      <c r="B318" s="32" t="s">
        <v>406</v>
      </c>
      <c r="C318" s="21">
        <v>7.000146048E9</v>
      </c>
      <c r="D318" s="21" t="s">
        <v>850</v>
      </c>
      <c r="E318" s="23" t="s">
        <v>851</v>
      </c>
      <c r="F318" s="24">
        <v>1.0</v>
      </c>
      <c r="G318" s="25">
        <v>1451.0</v>
      </c>
      <c r="H318" s="60">
        <f t="shared" si="33"/>
        <v>1451</v>
      </c>
      <c r="I318" s="61" t="s">
        <v>43</v>
      </c>
      <c r="J318" s="50" t="s">
        <v>513</v>
      </c>
      <c r="K318" s="29">
        <v>43557.0</v>
      </c>
      <c r="L318" s="30">
        <v>43556.0</v>
      </c>
      <c r="M318" s="58" t="s">
        <v>2078</v>
      </c>
      <c r="N318" s="93" t="s">
        <v>2489</v>
      </c>
      <c r="O318" s="408"/>
      <c r="P318" s="408"/>
      <c r="Q318" s="408"/>
      <c r="R318" s="408"/>
      <c r="S318" s="408">
        <v>41421.0</v>
      </c>
      <c r="T318" s="20" t="s">
        <v>2080</v>
      </c>
      <c r="U318" s="305">
        <v>43646.0</v>
      </c>
      <c r="V318" s="462">
        <v>43556.0</v>
      </c>
      <c r="W318" s="306" t="s">
        <v>852</v>
      </c>
      <c r="X318" s="306">
        <v>69616.0</v>
      </c>
      <c r="Y318" s="462">
        <v>43647.0</v>
      </c>
      <c r="Z318" s="306" t="s">
        <v>2484</v>
      </c>
      <c r="AA318" s="306">
        <v>6.617987342E9</v>
      </c>
      <c r="AB318" s="306"/>
      <c r="AC318" s="306"/>
      <c r="AD318" s="306"/>
      <c r="AE318" s="298"/>
      <c r="AF318" s="298">
        <v>30.77</v>
      </c>
      <c r="AG318" s="299">
        <f t="shared" ref="AG318:AG324" si="34">H318*AF318</f>
        <v>44647.27</v>
      </c>
      <c r="AH318" s="300">
        <v>43598.0</v>
      </c>
      <c r="AI318" s="299" t="s">
        <v>2490</v>
      </c>
      <c r="AJ318" s="299" t="s">
        <v>2490</v>
      </c>
      <c r="AK318" s="298" t="s">
        <v>50</v>
      </c>
      <c r="AL318" s="298" t="s">
        <v>285</v>
      </c>
      <c r="AM318" s="298" t="s">
        <v>51</v>
      </c>
      <c r="AN318" s="298" t="s">
        <v>52</v>
      </c>
      <c r="AO318" s="234" t="s">
        <v>305</v>
      </c>
    </row>
    <row r="319" ht="15.75" customHeight="1">
      <c r="A319" s="69">
        <v>43546.0</v>
      </c>
      <c r="B319" s="32" t="s">
        <v>406</v>
      </c>
      <c r="C319" s="21">
        <v>7.000146048E9</v>
      </c>
      <c r="D319" s="21" t="s">
        <v>850</v>
      </c>
      <c r="E319" s="23" t="s">
        <v>853</v>
      </c>
      <c r="F319" s="24">
        <v>2.0</v>
      </c>
      <c r="G319" s="25">
        <v>186.0</v>
      </c>
      <c r="H319" s="60">
        <f t="shared" si="33"/>
        <v>372</v>
      </c>
      <c r="I319" s="61" t="s">
        <v>43</v>
      </c>
      <c r="J319" s="50" t="s">
        <v>513</v>
      </c>
      <c r="K319" s="29">
        <v>43557.0</v>
      </c>
      <c r="L319" s="30">
        <v>43556.0</v>
      </c>
      <c r="M319" s="58" t="s">
        <v>2078</v>
      </c>
      <c r="N319" s="93" t="s">
        <v>2489</v>
      </c>
      <c r="O319" s="408"/>
      <c r="P319" s="408"/>
      <c r="Q319" s="408"/>
      <c r="R319" s="408"/>
      <c r="S319" s="408">
        <v>10284.0</v>
      </c>
      <c r="T319" s="22" t="s">
        <v>2080</v>
      </c>
      <c r="U319" s="305">
        <v>43646.0</v>
      </c>
      <c r="V319" s="462">
        <v>43556.0</v>
      </c>
      <c r="W319" s="306" t="s">
        <v>852</v>
      </c>
      <c r="X319" s="306" t="s">
        <v>2491</v>
      </c>
      <c r="Y319" s="462">
        <v>43647.0</v>
      </c>
      <c r="Z319" s="306" t="s">
        <v>2484</v>
      </c>
      <c r="AA319" s="237">
        <v>6.617987342E9</v>
      </c>
      <c r="AB319" s="306"/>
      <c r="AC319" s="306"/>
      <c r="AD319" s="306"/>
      <c r="AE319" s="298"/>
      <c r="AF319" s="298">
        <v>30.77</v>
      </c>
      <c r="AG319" s="299">
        <f t="shared" si="34"/>
        <v>11446.44</v>
      </c>
      <c r="AH319" s="300">
        <v>43598.0</v>
      </c>
      <c r="AI319" s="299" t="s">
        <v>2490</v>
      </c>
      <c r="AJ319" s="299" t="s">
        <v>2490</v>
      </c>
      <c r="AK319" s="298" t="s">
        <v>50</v>
      </c>
      <c r="AL319" s="298" t="s">
        <v>285</v>
      </c>
      <c r="AM319" s="298" t="s">
        <v>51</v>
      </c>
      <c r="AN319" s="298" t="s">
        <v>52</v>
      </c>
      <c r="AO319" s="234" t="s">
        <v>305</v>
      </c>
    </row>
    <row r="320" ht="39.0" customHeight="1">
      <c r="A320" s="69">
        <v>43546.0</v>
      </c>
      <c r="B320" s="32" t="s">
        <v>406</v>
      </c>
      <c r="C320" s="21">
        <v>7.000146048E9</v>
      </c>
      <c r="D320" s="21" t="s">
        <v>850</v>
      </c>
      <c r="E320" s="23" t="s">
        <v>809</v>
      </c>
      <c r="F320" s="24">
        <v>2.0</v>
      </c>
      <c r="G320" s="25">
        <v>67.0</v>
      </c>
      <c r="H320" s="60">
        <f t="shared" si="33"/>
        <v>134</v>
      </c>
      <c r="I320" s="61" t="s">
        <v>43</v>
      </c>
      <c r="J320" s="50" t="s">
        <v>513</v>
      </c>
      <c r="K320" s="29">
        <v>43557.0</v>
      </c>
      <c r="L320" s="30">
        <v>43556.0</v>
      </c>
      <c r="M320" s="58" t="s">
        <v>2078</v>
      </c>
      <c r="N320" s="93" t="s">
        <v>2489</v>
      </c>
      <c r="O320" s="408"/>
      <c r="P320" s="408"/>
      <c r="Q320" s="408"/>
      <c r="R320" s="408"/>
      <c r="S320" s="408">
        <v>3791.0</v>
      </c>
      <c r="T320" s="20" t="s">
        <v>2080</v>
      </c>
      <c r="U320" s="305">
        <v>43646.0</v>
      </c>
      <c r="V320" s="462">
        <v>43556.0</v>
      </c>
      <c r="W320" s="306" t="s">
        <v>852</v>
      </c>
      <c r="X320" s="306" t="s">
        <v>2491</v>
      </c>
      <c r="Y320" s="462">
        <v>43647.0</v>
      </c>
      <c r="Z320" s="306" t="s">
        <v>2484</v>
      </c>
      <c r="AA320" s="237">
        <v>6.617987342E9</v>
      </c>
      <c r="AB320" s="306"/>
      <c r="AC320" s="306"/>
      <c r="AD320" s="306"/>
      <c r="AE320" s="298"/>
      <c r="AF320" s="298">
        <v>30.77</v>
      </c>
      <c r="AG320" s="299">
        <f t="shared" si="34"/>
        <v>4123.18</v>
      </c>
      <c r="AH320" s="300">
        <v>43598.0</v>
      </c>
      <c r="AI320" s="299" t="s">
        <v>2490</v>
      </c>
      <c r="AJ320" s="299" t="s">
        <v>2490</v>
      </c>
      <c r="AK320" s="298" t="s">
        <v>50</v>
      </c>
      <c r="AL320" s="298" t="s">
        <v>285</v>
      </c>
      <c r="AM320" s="298" t="s">
        <v>51</v>
      </c>
      <c r="AN320" s="298" t="s">
        <v>52</v>
      </c>
      <c r="AO320" s="234" t="s">
        <v>305</v>
      </c>
    </row>
    <row r="321" ht="39.0" customHeight="1">
      <c r="A321" s="69">
        <v>43546.0</v>
      </c>
      <c r="B321" s="32" t="s">
        <v>406</v>
      </c>
      <c r="C321" s="21">
        <v>7.000146048E9</v>
      </c>
      <c r="D321" s="21" t="s">
        <v>850</v>
      </c>
      <c r="E321" s="23" t="s">
        <v>854</v>
      </c>
      <c r="F321" s="24">
        <v>2.0</v>
      </c>
      <c r="G321" s="25">
        <v>225.0</v>
      </c>
      <c r="H321" s="60">
        <f t="shared" si="33"/>
        <v>450</v>
      </c>
      <c r="I321" s="61" t="s">
        <v>43</v>
      </c>
      <c r="J321" s="50" t="s">
        <v>513</v>
      </c>
      <c r="K321" s="29">
        <v>43557.0</v>
      </c>
      <c r="L321" s="30">
        <v>43556.0</v>
      </c>
      <c r="M321" s="58" t="s">
        <v>2078</v>
      </c>
      <c r="N321" s="93" t="s">
        <v>2489</v>
      </c>
      <c r="O321" s="408"/>
      <c r="P321" s="408"/>
      <c r="Q321" s="408"/>
      <c r="R321" s="408"/>
      <c r="S321" s="408">
        <v>12447.0</v>
      </c>
      <c r="T321" s="20" t="s">
        <v>2080</v>
      </c>
      <c r="U321" s="305">
        <v>43646.0</v>
      </c>
      <c r="V321" s="462">
        <v>43556.0</v>
      </c>
      <c r="W321" s="306" t="s">
        <v>852</v>
      </c>
      <c r="X321" s="306" t="s">
        <v>2491</v>
      </c>
      <c r="Y321" s="462">
        <v>43647.0</v>
      </c>
      <c r="Z321" s="306" t="s">
        <v>2484</v>
      </c>
      <c r="AA321" s="306">
        <v>6.617987342E9</v>
      </c>
      <c r="AB321" s="306"/>
      <c r="AC321" s="306"/>
      <c r="AD321" s="306"/>
      <c r="AE321" s="298"/>
      <c r="AF321" s="298">
        <v>30.77</v>
      </c>
      <c r="AG321" s="299">
        <f t="shared" si="34"/>
        <v>13846.5</v>
      </c>
      <c r="AH321" s="300">
        <v>43598.0</v>
      </c>
      <c r="AI321" s="299" t="s">
        <v>2490</v>
      </c>
      <c r="AJ321" s="299" t="s">
        <v>2490</v>
      </c>
      <c r="AK321" s="298" t="s">
        <v>50</v>
      </c>
      <c r="AL321" s="298" t="s">
        <v>285</v>
      </c>
      <c r="AM321" s="298" t="s">
        <v>51</v>
      </c>
      <c r="AN321" s="298" t="s">
        <v>52</v>
      </c>
      <c r="AO321" s="234" t="s">
        <v>305</v>
      </c>
    </row>
    <row r="322" ht="15.75" customHeight="1">
      <c r="A322" s="69">
        <v>43546.0</v>
      </c>
      <c r="B322" s="32" t="s">
        <v>406</v>
      </c>
      <c r="C322" s="21">
        <v>7.000146048E9</v>
      </c>
      <c r="D322" s="21" t="s">
        <v>850</v>
      </c>
      <c r="E322" s="23" t="s">
        <v>855</v>
      </c>
      <c r="F322" s="24">
        <v>2.0</v>
      </c>
      <c r="G322" s="25">
        <v>26.0</v>
      </c>
      <c r="H322" s="60">
        <f t="shared" si="33"/>
        <v>52</v>
      </c>
      <c r="I322" s="61" t="s">
        <v>43</v>
      </c>
      <c r="J322" s="50" t="s">
        <v>513</v>
      </c>
      <c r="K322" s="29">
        <v>43557.0</v>
      </c>
      <c r="L322" s="30">
        <v>43556.0</v>
      </c>
      <c r="M322" s="58" t="s">
        <v>2078</v>
      </c>
      <c r="N322" s="93" t="s">
        <v>2489</v>
      </c>
      <c r="O322" s="408"/>
      <c r="P322" s="408"/>
      <c r="Q322" s="408"/>
      <c r="R322" s="408"/>
      <c r="S322" s="408">
        <v>1212.0</v>
      </c>
      <c r="T322" s="22" t="s">
        <v>2080</v>
      </c>
      <c r="U322" s="305">
        <v>43646.0</v>
      </c>
      <c r="V322" s="462">
        <v>43556.0</v>
      </c>
      <c r="W322" s="306" t="s">
        <v>852</v>
      </c>
      <c r="X322" s="306" t="s">
        <v>2491</v>
      </c>
      <c r="Y322" s="462">
        <v>43647.0</v>
      </c>
      <c r="Z322" s="306" t="s">
        <v>2484</v>
      </c>
      <c r="AA322" s="306">
        <v>6.617987342E9</v>
      </c>
      <c r="AB322" s="306"/>
      <c r="AC322" s="306"/>
      <c r="AD322" s="306"/>
      <c r="AE322" s="298"/>
      <c r="AF322" s="298">
        <v>30.77</v>
      </c>
      <c r="AG322" s="299">
        <f t="shared" si="34"/>
        <v>1600.04</v>
      </c>
      <c r="AH322" s="300">
        <v>43598.0</v>
      </c>
      <c r="AI322" s="299" t="s">
        <v>2490</v>
      </c>
      <c r="AJ322" s="299" t="s">
        <v>2490</v>
      </c>
      <c r="AK322" s="298" t="s">
        <v>50</v>
      </c>
      <c r="AL322" s="298" t="s">
        <v>285</v>
      </c>
      <c r="AM322" s="298" t="s">
        <v>51</v>
      </c>
      <c r="AN322" s="298" t="s">
        <v>52</v>
      </c>
      <c r="AO322" s="234" t="s">
        <v>305</v>
      </c>
    </row>
    <row r="323" ht="15.75" customHeight="1">
      <c r="A323" s="69">
        <v>43546.0</v>
      </c>
      <c r="B323" s="23" t="s">
        <v>406</v>
      </c>
      <c r="C323" s="21">
        <v>7.000146048E9</v>
      </c>
      <c r="D323" s="21" t="s">
        <v>850</v>
      </c>
      <c r="E323" s="23" t="s">
        <v>856</v>
      </c>
      <c r="F323" s="24">
        <v>2.0</v>
      </c>
      <c r="G323" s="25">
        <v>5.0</v>
      </c>
      <c r="H323" s="60">
        <f t="shared" si="33"/>
        <v>10</v>
      </c>
      <c r="I323" s="61" t="s">
        <v>43</v>
      </c>
      <c r="J323" s="50" t="s">
        <v>513</v>
      </c>
      <c r="K323" s="29">
        <v>43557.0</v>
      </c>
      <c r="L323" s="30">
        <v>43556.0</v>
      </c>
      <c r="M323" s="58" t="s">
        <v>2078</v>
      </c>
      <c r="N323" s="93" t="s">
        <v>2489</v>
      </c>
      <c r="O323" s="408"/>
      <c r="P323" s="408"/>
      <c r="Q323" s="408"/>
      <c r="R323" s="408"/>
      <c r="S323" s="408">
        <v>210.0</v>
      </c>
      <c r="T323" s="22" t="s">
        <v>2080</v>
      </c>
      <c r="U323" s="305">
        <v>43646.0</v>
      </c>
      <c r="V323" s="462">
        <v>43556.0</v>
      </c>
      <c r="W323" s="306" t="s">
        <v>852</v>
      </c>
      <c r="X323" s="306" t="s">
        <v>2491</v>
      </c>
      <c r="Y323" s="462">
        <v>43647.0</v>
      </c>
      <c r="Z323" s="306" t="s">
        <v>2484</v>
      </c>
      <c r="AA323" s="306">
        <v>6.617987342E9</v>
      </c>
      <c r="AB323" s="306"/>
      <c r="AC323" s="306"/>
      <c r="AD323" s="306"/>
      <c r="AE323" s="298"/>
      <c r="AF323" s="298">
        <v>30.77</v>
      </c>
      <c r="AG323" s="299">
        <f t="shared" si="34"/>
        <v>307.7</v>
      </c>
      <c r="AH323" s="300">
        <v>43598.0</v>
      </c>
      <c r="AI323" s="299" t="s">
        <v>2490</v>
      </c>
      <c r="AJ323" s="299" t="s">
        <v>2490</v>
      </c>
      <c r="AK323" s="298" t="s">
        <v>50</v>
      </c>
      <c r="AL323" s="298" t="s">
        <v>285</v>
      </c>
      <c r="AM323" s="298" t="s">
        <v>51</v>
      </c>
      <c r="AN323" s="298" t="s">
        <v>52</v>
      </c>
      <c r="AO323" s="234" t="s">
        <v>305</v>
      </c>
    </row>
    <row r="324" ht="15.75" customHeight="1">
      <c r="A324" s="69">
        <v>43546.0</v>
      </c>
      <c r="B324" s="23" t="s">
        <v>406</v>
      </c>
      <c r="C324" s="21">
        <v>7.000146048E9</v>
      </c>
      <c r="D324" s="21" t="s">
        <v>850</v>
      </c>
      <c r="E324" s="23" t="s">
        <v>857</v>
      </c>
      <c r="F324" s="24">
        <v>2.0</v>
      </c>
      <c r="G324" s="25">
        <v>6.0</v>
      </c>
      <c r="H324" s="60">
        <f t="shared" si="33"/>
        <v>12</v>
      </c>
      <c r="I324" s="61" t="s">
        <v>43</v>
      </c>
      <c r="J324" s="50" t="s">
        <v>513</v>
      </c>
      <c r="K324" s="29">
        <v>43557.0</v>
      </c>
      <c r="L324" s="30">
        <v>43556.0</v>
      </c>
      <c r="M324" s="58" t="s">
        <v>2078</v>
      </c>
      <c r="N324" s="93" t="s">
        <v>2489</v>
      </c>
      <c r="O324" s="408"/>
      <c r="P324" s="408"/>
      <c r="Q324" s="408"/>
      <c r="R324" s="408"/>
      <c r="S324" s="408">
        <v>251.0</v>
      </c>
      <c r="T324" s="22" t="s">
        <v>2080</v>
      </c>
      <c r="U324" s="305">
        <v>43646.0</v>
      </c>
      <c r="V324" s="462">
        <v>43556.0</v>
      </c>
      <c r="W324" s="306" t="s">
        <v>852</v>
      </c>
      <c r="X324" s="306" t="s">
        <v>2491</v>
      </c>
      <c r="Y324" s="462">
        <v>43647.0</v>
      </c>
      <c r="Z324" s="306" t="s">
        <v>2484</v>
      </c>
      <c r="AA324" s="306">
        <v>6.617987342E9</v>
      </c>
      <c r="AB324" s="306"/>
      <c r="AC324" s="306"/>
      <c r="AD324" s="306"/>
      <c r="AE324" s="298"/>
      <c r="AF324" s="298">
        <v>30.77</v>
      </c>
      <c r="AG324" s="299">
        <f t="shared" si="34"/>
        <v>369.24</v>
      </c>
      <c r="AH324" s="300">
        <v>43598.0</v>
      </c>
      <c r="AI324" s="299" t="s">
        <v>2490</v>
      </c>
      <c r="AJ324" s="299" t="s">
        <v>2490</v>
      </c>
      <c r="AK324" s="298" t="s">
        <v>50</v>
      </c>
      <c r="AL324" s="298" t="s">
        <v>285</v>
      </c>
      <c r="AM324" s="298" t="s">
        <v>51</v>
      </c>
      <c r="AN324" s="298" t="s">
        <v>52</v>
      </c>
      <c r="AO324" s="234" t="s">
        <v>305</v>
      </c>
    </row>
    <row r="325" ht="15.75" customHeight="1">
      <c r="A325" s="19">
        <v>43547.0</v>
      </c>
      <c r="B325" s="51" t="s">
        <v>54</v>
      </c>
      <c r="C325" s="21" t="s">
        <v>858</v>
      </c>
      <c r="D325" s="22" t="s">
        <v>859</v>
      </c>
      <c r="E325" s="23" t="s">
        <v>386</v>
      </c>
      <c r="F325" s="24">
        <v>5.0</v>
      </c>
      <c r="G325" s="25">
        <v>150.15</v>
      </c>
      <c r="H325" s="26">
        <f t="shared" si="33"/>
        <v>750.75</v>
      </c>
      <c r="I325" s="431" t="s">
        <v>43</v>
      </c>
      <c r="J325" s="161" t="s">
        <v>90</v>
      </c>
      <c r="K325" s="30">
        <v>43571.0</v>
      </c>
      <c r="L325" s="613">
        <v>43570.0</v>
      </c>
      <c r="M325" s="653" t="s">
        <v>90</v>
      </c>
      <c r="N325" s="615" t="s">
        <v>2492</v>
      </c>
      <c r="O325" s="619"/>
      <c r="P325" s="619"/>
      <c r="Q325" s="619">
        <v>672.0</v>
      </c>
      <c r="R325" s="619"/>
      <c r="S325" s="619">
        <v>20671.0</v>
      </c>
      <c r="T325" s="617" t="s">
        <v>94</v>
      </c>
      <c r="U325" s="302">
        <v>43616.0</v>
      </c>
      <c r="V325" s="302">
        <v>43570.0</v>
      </c>
      <c r="W325" s="296" t="s">
        <v>860</v>
      </c>
      <c r="X325" s="296">
        <v>20671.0</v>
      </c>
      <c r="Y325" s="451">
        <v>43616.0</v>
      </c>
      <c r="Z325" s="296" t="s">
        <v>2493</v>
      </c>
      <c r="AA325" s="296"/>
      <c r="AB325" s="296">
        <v>30.866</v>
      </c>
      <c r="AC325" s="296">
        <v>23172.0</v>
      </c>
      <c r="AD325" s="296"/>
      <c r="AE325" s="371"/>
      <c r="AF325" s="371"/>
      <c r="AG325" s="372">
        <v>23172.0</v>
      </c>
      <c r="AH325" s="373">
        <v>43612.0</v>
      </c>
      <c r="AI325" s="372">
        <v>23172.0</v>
      </c>
      <c r="AJ325" s="372">
        <v>0.0</v>
      </c>
      <c r="AK325" s="371" t="s">
        <v>50</v>
      </c>
      <c r="AL325" s="371" t="s">
        <v>285</v>
      </c>
      <c r="AM325" s="371" t="s">
        <v>51</v>
      </c>
      <c r="AN325" s="371" t="s">
        <v>377</v>
      </c>
      <c r="AO325" s="374" t="s">
        <v>440</v>
      </c>
    </row>
    <row r="326" ht="15.75" customHeight="1">
      <c r="A326" s="69">
        <v>43550.0</v>
      </c>
      <c r="B326" s="70" t="s">
        <v>229</v>
      </c>
      <c r="C326" s="21"/>
      <c r="D326" s="21" t="s">
        <v>861</v>
      </c>
      <c r="E326" s="23" t="s">
        <v>232</v>
      </c>
      <c r="F326" s="24">
        <v>8.0</v>
      </c>
      <c r="G326" s="25">
        <v>407.4</v>
      </c>
      <c r="H326" s="60">
        <f>F326*G326</f>
        <v>3259.2</v>
      </c>
      <c r="I326" s="348" t="s">
        <v>171</v>
      </c>
      <c r="J326" s="63" t="s">
        <v>90</v>
      </c>
      <c r="K326" s="29">
        <v>43538.0</v>
      </c>
      <c r="L326" s="30">
        <v>43537.0</v>
      </c>
      <c r="M326" s="58" t="s">
        <v>90</v>
      </c>
      <c r="N326" s="93" t="s">
        <v>2494</v>
      </c>
      <c r="O326" s="408"/>
      <c r="P326" s="408"/>
      <c r="Q326" s="408">
        <v>2982.0</v>
      </c>
      <c r="R326" s="408"/>
      <c r="S326" s="408">
        <v>91816.0</v>
      </c>
      <c r="T326" s="35" t="s">
        <v>94</v>
      </c>
      <c r="U326" s="295">
        <v>43585.0</v>
      </c>
      <c r="V326" s="295">
        <v>43536.0</v>
      </c>
      <c r="W326" s="296" t="s">
        <v>862</v>
      </c>
      <c r="X326" s="297">
        <v>91816.0</v>
      </c>
      <c r="Y326" s="302">
        <v>43586.0</v>
      </c>
      <c r="Z326" s="53" t="s">
        <v>2495</v>
      </c>
      <c r="AA326" s="53"/>
      <c r="AB326" s="53">
        <v>30.89</v>
      </c>
      <c r="AC326" s="53">
        <v>100677.0</v>
      </c>
      <c r="AD326" s="53" t="s">
        <v>2375</v>
      </c>
      <c r="AE326" s="54"/>
      <c r="AF326" s="54"/>
      <c r="AG326" s="55"/>
      <c r="AH326" s="54"/>
      <c r="AI326" s="55"/>
      <c r="AJ326" s="55"/>
      <c r="AK326" s="54" t="s">
        <v>50</v>
      </c>
      <c r="AL326" s="24" t="s">
        <v>285</v>
      </c>
      <c r="AM326" s="54" t="s">
        <v>51</v>
      </c>
      <c r="AN326" s="54" t="s">
        <v>377</v>
      </c>
      <c r="AO326" s="57" t="s">
        <v>398</v>
      </c>
    </row>
    <row r="327" ht="15.75" customHeight="1">
      <c r="A327" s="19">
        <v>43552.0</v>
      </c>
      <c r="B327" s="70" t="s">
        <v>101</v>
      </c>
      <c r="C327" s="21" t="s">
        <v>785</v>
      </c>
      <c r="D327" s="21" t="s">
        <v>863</v>
      </c>
      <c r="E327" s="23" t="s">
        <v>347</v>
      </c>
      <c r="F327" s="24">
        <v>1.0</v>
      </c>
      <c r="G327" s="25">
        <v>189.0</v>
      </c>
      <c r="H327" s="26">
        <v>189.0</v>
      </c>
      <c r="I327" s="27" t="s">
        <v>303</v>
      </c>
      <c r="J327" s="50" t="s">
        <v>534</v>
      </c>
      <c r="K327" s="30">
        <v>43557.0</v>
      </c>
      <c r="L327" s="30">
        <v>43557.0</v>
      </c>
      <c r="M327" s="82" t="s">
        <v>2032</v>
      </c>
      <c r="N327" s="32"/>
      <c r="O327" s="588"/>
      <c r="P327" s="588"/>
      <c r="Q327" s="588"/>
      <c r="R327" s="473"/>
      <c r="S327" s="473">
        <v>5314.0</v>
      </c>
      <c r="T327" s="22" t="s">
        <v>2033</v>
      </c>
      <c r="U327" s="304">
        <v>43616.0</v>
      </c>
      <c r="V327" s="305">
        <v>43567.0</v>
      </c>
      <c r="W327" s="306" t="s">
        <v>864</v>
      </c>
      <c r="X327" s="406" t="s">
        <v>2448</v>
      </c>
      <c r="Y327" s="46">
        <v>43616.0</v>
      </c>
      <c r="Z327" s="306" t="s">
        <v>2449</v>
      </c>
      <c r="AA327" s="306">
        <v>1.195185003E9</v>
      </c>
      <c r="AB327" s="352"/>
      <c r="AC327" s="352"/>
      <c r="AD327" s="351"/>
      <c r="AE327" s="82"/>
      <c r="AF327" s="82">
        <v>30.77</v>
      </c>
      <c r="AG327" s="299">
        <f>H327*AF327</f>
        <v>5815.53</v>
      </c>
      <c r="AH327" s="145">
        <v>43602.0</v>
      </c>
      <c r="AI327" s="299" t="s">
        <v>1993</v>
      </c>
      <c r="AJ327" s="299" t="s">
        <v>1994</v>
      </c>
      <c r="AK327" s="298" t="s">
        <v>50</v>
      </c>
      <c r="AL327" s="298" t="s">
        <v>285</v>
      </c>
      <c r="AM327" s="82" t="s">
        <v>51</v>
      </c>
      <c r="AN327" s="82" t="s">
        <v>52</v>
      </c>
      <c r="AO327" s="234" t="s">
        <v>305</v>
      </c>
    </row>
    <row r="328" ht="15.75" customHeight="1">
      <c r="A328" s="469">
        <v>43552.0</v>
      </c>
      <c r="B328" s="70" t="s">
        <v>101</v>
      </c>
      <c r="C328" s="21" t="s">
        <v>785</v>
      </c>
      <c r="D328" s="21" t="s">
        <v>2496</v>
      </c>
      <c r="E328" s="23" t="s">
        <v>347</v>
      </c>
      <c r="F328" s="24">
        <v>1.0</v>
      </c>
      <c r="G328" s="25">
        <v>232.0</v>
      </c>
      <c r="H328" s="60">
        <v>232.0</v>
      </c>
      <c r="I328" s="61" t="s">
        <v>703</v>
      </c>
      <c r="J328" s="50" t="s">
        <v>534</v>
      </c>
      <c r="K328" s="29">
        <v>43552.0</v>
      </c>
      <c r="L328" s="30"/>
      <c r="M328" s="82" t="s">
        <v>2032</v>
      </c>
      <c r="N328" s="93"/>
      <c r="O328" s="408"/>
      <c r="P328" s="408"/>
      <c r="Q328" s="408"/>
      <c r="R328" s="588"/>
      <c r="S328" s="588">
        <v>6509.0</v>
      </c>
      <c r="T328" s="22" t="s">
        <v>2033</v>
      </c>
      <c r="U328" s="305">
        <v>43616.0</v>
      </c>
      <c r="V328" s="305">
        <v>43567.0</v>
      </c>
      <c r="W328" s="306" t="s">
        <v>864</v>
      </c>
      <c r="X328" s="406">
        <v>15656.0</v>
      </c>
      <c r="Y328" s="46">
        <v>43616.0</v>
      </c>
      <c r="Z328" s="306"/>
      <c r="AA328" s="306">
        <v>2.953225354E9</v>
      </c>
      <c r="AB328" s="306"/>
      <c r="AC328" s="306"/>
      <c r="AD328" s="306"/>
      <c r="AE328" s="298"/>
      <c r="AF328" s="298"/>
      <c r="AG328" s="299"/>
      <c r="AH328" s="145">
        <v>43602.0</v>
      </c>
      <c r="AI328" s="299" t="s">
        <v>1993</v>
      </c>
      <c r="AJ328" s="299" t="s">
        <v>1994</v>
      </c>
      <c r="AK328" s="298" t="s">
        <v>50</v>
      </c>
      <c r="AL328" s="298" t="s">
        <v>285</v>
      </c>
      <c r="AM328" s="298" t="s">
        <v>51</v>
      </c>
      <c r="AN328" s="298" t="s">
        <v>52</v>
      </c>
      <c r="AO328" s="234" t="s">
        <v>305</v>
      </c>
    </row>
    <row r="329" ht="15.75" customHeight="1">
      <c r="A329" s="69">
        <v>43553.0</v>
      </c>
      <c r="B329" s="144" t="s">
        <v>140</v>
      </c>
      <c r="C329" s="21" t="s">
        <v>866</v>
      </c>
      <c r="D329" s="21" t="s">
        <v>2497</v>
      </c>
      <c r="E329" s="23" t="s">
        <v>868</v>
      </c>
      <c r="F329" s="24">
        <v>1.0</v>
      </c>
      <c r="G329" s="25">
        <v>49.5</v>
      </c>
      <c r="H329" s="60">
        <f t="shared" ref="H329:H331" si="35">G329*F329</f>
        <v>49.5</v>
      </c>
      <c r="I329" s="61" t="s">
        <v>703</v>
      </c>
      <c r="J329" s="50" t="s">
        <v>869</v>
      </c>
      <c r="K329" s="29">
        <v>43566.0</v>
      </c>
      <c r="L329" s="30">
        <v>43563.0</v>
      </c>
      <c r="M329" s="24" t="s">
        <v>2498</v>
      </c>
      <c r="N329" s="64" t="s">
        <v>2499</v>
      </c>
      <c r="O329" s="408"/>
      <c r="P329" s="408"/>
      <c r="Q329" s="408">
        <v>62.79</v>
      </c>
      <c r="R329" s="408"/>
      <c r="S329" s="408">
        <v>1935.0</v>
      </c>
      <c r="T329" s="35" t="s">
        <v>1983</v>
      </c>
      <c r="U329" s="302">
        <v>43590.0</v>
      </c>
      <c r="V329" s="302">
        <v>43563.0</v>
      </c>
      <c r="W329" s="296" t="s">
        <v>870</v>
      </c>
      <c r="X329" s="296">
        <v>1935.0</v>
      </c>
      <c r="Y329" s="302">
        <v>43592.0</v>
      </c>
      <c r="Z329" s="53" t="s">
        <v>2500</v>
      </c>
      <c r="AA329" s="53">
        <v>1.08158525E8</v>
      </c>
      <c r="AB329" s="53"/>
      <c r="AC329" s="53"/>
      <c r="AD329" s="53"/>
      <c r="AE329" s="54"/>
      <c r="AF329" s="54">
        <v>30.76</v>
      </c>
      <c r="AG329" s="38">
        <f t="shared" ref="AG329:AG331" si="36">AF329*H329</f>
        <v>1522.62</v>
      </c>
      <c r="AH329" s="56">
        <v>43574.0</v>
      </c>
      <c r="AI329" s="55" t="s">
        <v>2501</v>
      </c>
      <c r="AJ329" s="55" t="s">
        <v>2502</v>
      </c>
      <c r="AK329" s="54" t="s">
        <v>50</v>
      </c>
      <c r="AL329" s="24" t="s">
        <v>285</v>
      </c>
      <c r="AM329" s="54" t="s">
        <v>286</v>
      </c>
      <c r="AN329" s="54" t="s">
        <v>52</v>
      </c>
      <c r="AO329" s="57" t="s">
        <v>398</v>
      </c>
    </row>
    <row r="330" ht="15.75" customHeight="1">
      <c r="A330" s="69">
        <v>43553.0</v>
      </c>
      <c r="B330" s="144" t="s">
        <v>140</v>
      </c>
      <c r="C330" s="21" t="s">
        <v>866</v>
      </c>
      <c r="D330" s="21" t="s">
        <v>2503</v>
      </c>
      <c r="E330" s="23" t="s">
        <v>872</v>
      </c>
      <c r="F330" s="24">
        <v>1.0</v>
      </c>
      <c r="G330" s="25">
        <v>33.0</v>
      </c>
      <c r="H330" s="60">
        <f t="shared" si="35"/>
        <v>33</v>
      </c>
      <c r="I330" s="61" t="s">
        <v>703</v>
      </c>
      <c r="J330" s="50" t="s">
        <v>869</v>
      </c>
      <c r="K330" s="29">
        <v>43566.0</v>
      </c>
      <c r="L330" s="30">
        <v>43563.0</v>
      </c>
      <c r="M330" s="24" t="s">
        <v>2498</v>
      </c>
      <c r="N330" s="64" t="s">
        <v>2504</v>
      </c>
      <c r="O330" s="52"/>
      <c r="P330" s="52"/>
      <c r="Q330" s="52"/>
      <c r="R330" s="52"/>
      <c r="S330" s="52">
        <v>701.0</v>
      </c>
      <c r="T330" s="555" t="s">
        <v>1983</v>
      </c>
      <c r="U330" s="295">
        <v>43621.0</v>
      </c>
      <c r="V330" s="302">
        <v>43588.0</v>
      </c>
      <c r="W330" s="296" t="s">
        <v>873</v>
      </c>
      <c r="X330" s="296">
        <v>701.0</v>
      </c>
      <c r="Y330" s="302">
        <v>43621.0</v>
      </c>
      <c r="Z330" s="53" t="s">
        <v>2500</v>
      </c>
      <c r="AA330" s="53">
        <v>1.08158525E8</v>
      </c>
      <c r="AB330" s="53"/>
      <c r="AC330" s="53"/>
      <c r="AD330" s="53"/>
      <c r="AE330" s="54"/>
      <c r="AF330" s="54">
        <v>30.76</v>
      </c>
      <c r="AG330" s="38">
        <f t="shared" si="36"/>
        <v>1015.08</v>
      </c>
      <c r="AH330" s="56">
        <v>43574.0</v>
      </c>
      <c r="AI330" s="55" t="s">
        <v>2501</v>
      </c>
      <c r="AJ330" s="55" t="s">
        <v>2502</v>
      </c>
      <c r="AK330" s="54" t="s">
        <v>50</v>
      </c>
      <c r="AL330" s="24" t="s">
        <v>285</v>
      </c>
      <c r="AM330" s="54" t="s">
        <v>286</v>
      </c>
      <c r="AN330" s="54" t="s">
        <v>52</v>
      </c>
      <c r="AO330" s="57"/>
    </row>
    <row r="331" ht="15.75" customHeight="1">
      <c r="A331" s="69">
        <v>43553.0</v>
      </c>
      <c r="B331" s="144" t="s">
        <v>140</v>
      </c>
      <c r="C331" s="21" t="s">
        <v>866</v>
      </c>
      <c r="D331" s="21" t="s">
        <v>2505</v>
      </c>
      <c r="E331" s="23" t="s">
        <v>875</v>
      </c>
      <c r="F331" s="24">
        <v>1.0</v>
      </c>
      <c r="G331" s="25">
        <v>590.0</v>
      </c>
      <c r="H331" s="60">
        <f t="shared" si="35"/>
        <v>590</v>
      </c>
      <c r="I331" s="61" t="s">
        <v>703</v>
      </c>
      <c r="J331" s="50" t="s">
        <v>869</v>
      </c>
      <c r="K331" s="29">
        <v>43566.0</v>
      </c>
      <c r="L331" s="29">
        <v>43566.0</v>
      </c>
      <c r="M331" s="63" t="s">
        <v>1324</v>
      </c>
      <c r="N331" s="64" t="s">
        <v>2504</v>
      </c>
      <c r="O331" s="34"/>
      <c r="P331" s="34"/>
      <c r="Q331" s="34"/>
      <c r="R331" s="676"/>
      <c r="S331" s="676">
        <v>11137.0</v>
      </c>
      <c r="T331" s="76"/>
      <c r="U331" s="52"/>
      <c r="V331" s="53"/>
      <c r="W331" s="53"/>
      <c r="X331" s="53"/>
      <c r="Y331" s="53"/>
      <c r="Z331" s="53" t="s">
        <v>2500</v>
      </c>
      <c r="AA331" s="53">
        <v>1.08158525E8</v>
      </c>
      <c r="AB331" s="53"/>
      <c r="AC331" s="53"/>
      <c r="AD331" s="53"/>
      <c r="AE331" s="54"/>
      <c r="AF331" s="54">
        <v>30.76</v>
      </c>
      <c r="AG331" s="38">
        <f t="shared" si="36"/>
        <v>18148.4</v>
      </c>
      <c r="AH331" s="56">
        <v>43574.0</v>
      </c>
      <c r="AI331" s="55">
        <f>695.6*30.78</f>
        <v>21410.568</v>
      </c>
      <c r="AJ331" s="55">
        <f>6.5*30.78</f>
        <v>200.07</v>
      </c>
      <c r="AK331" s="54" t="s">
        <v>50</v>
      </c>
      <c r="AL331" s="24" t="s">
        <v>285</v>
      </c>
      <c r="AM331" s="54" t="s">
        <v>286</v>
      </c>
      <c r="AN331" s="54" t="s">
        <v>52</v>
      </c>
      <c r="AO331" s="57" t="s">
        <v>398</v>
      </c>
    </row>
    <row r="332" ht="15.75" customHeight="1">
      <c r="A332" s="69">
        <v>43553.0</v>
      </c>
      <c r="B332" s="144" t="s">
        <v>140</v>
      </c>
      <c r="C332" s="21" t="s">
        <v>866</v>
      </c>
      <c r="D332" s="21" t="s">
        <v>2506</v>
      </c>
      <c r="E332" s="23" t="s">
        <v>875</v>
      </c>
      <c r="F332" s="24">
        <v>1.0</v>
      </c>
      <c r="G332" s="25">
        <v>-350.0</v>
      </c>
      <c r="H332" s="60">
        <f>F332*G332</f>
        <v>-350</v>
      </c>
      <c r="I332" s="61" t="s">
        <v>703</v>
      </c>
      <c r="J332" s="58"/>
      <c r="K332" s="30"/>
      <c r="L332" s="30"/>
      <c r="M332" s="63" t="s">
        <v>1089</v>
      </c>
      <c r="N332" s="64"/>
      <c r="O332" s="34"/>
      <c r="P332" s="34"/>
      <c r="Q332" s="34"/>
      <c r="R332" s="306"/>
      <c r="S332" s="306"/>
      <c r="T332" s="150"/>
      <c r="U332" s="52"/>
      <c r="V332" s="53"/>
      <c r="W332" s="53"/>
      <c r="X332" s="53"/>
      <c r="Y332" s="53"/>
      <c r="Z332" s="53"/>
      <c r="AA332" s="53"/>
      <c r="AB332" s="53"/>
      <c r="AC332" s="53"/>
      <c r="AD332" s="53"/>
      <c r="AE332" s="54"/>
      <c r="AF332" s="54"/>
      <c r="AG332" s="55"/>
      <c r="AH332" s="56">
        <v>43676.0</v>
      </c>
      <c r="AI332" s="55" t="s">
        <v>2151</v>
      </c>
      <c r="AJ332" s="55" t="s">
        <v>2152</v>
      </c>
      <c r="AK332" s="54" t="s">
        <v>50</v>
      </c>
      <c r="AL332" s="24" t="s">
        <v>285</v>
      </c>
      <c r="AM332" s="54" t="s">
        <v>286</v>
      </c>
      <c r="AN332" s="54" t="s">
        <v>52</v>
      </c>
      <c r="AO332" s="57"/>
    </row>
    <row r="333" ht="15.75" customHeight="1">
      <c r="A333" s="69">
        <v>43553.0</v>
      </c>
      <c r="B333" s="144" t="s">
        <v>140</v>
      </c>
      <c r="C333" s="21" t="s">
        <v>866</v>
      </c>
      <c r="D333" s="21" t="s">
        <v>2507</v>
      </c>
      <c r="E333" s="23" t="s">
        <v>878</v>
      </c>
      <c r="F333" s="24">
        <v>1.0</v>
      </c>
      <c r="G333" s="48">
        <v>26.5</v>
      </c>
      <c r="H333" s="470">
        <f t="shared" ref="H333:H341" si="37">G333*F333</f>
        <v>26.5</v>
      </c>
      <c r="I333" s="87" t="s">
        <v>703</v>
      </c>
      <c r="J333" s="407" t="s">
        <v>869</v>
      </c>
      <c r="K333" s="29">
        <v>43573.0</v>
      </c>
      <c r="L333" s="30">
        <v>43563.0</v>
      </c>
      <c r="M333" s="24" t="s">
        <v>2508</v>
      </c>
      <c r="N333" s="64" t="s">
        <v>2509</v>
      </c>
      <c r="O333" s="34"/>
      <c r="P333" s="34"/>
      <c r="Q333" s="34"/>
      <c r="R333" s="34"/>
      <c r="S333" s="34">
        <v>756.0</v>
      </c>
      <c r="T333" s="66" t="s">
        <v>2510</v>
      </c>
      <c r="U333" s="295">
        <v>43590.0</v>
      </c>
      <c r="V333" s="302">
        <v>43558.0</v>
      </c>
      <c r="W333" s="296" t="s">
        <v>879</v>
      </c>
      <c r="X333" s="296">
        <v>756.0</v>
      </c>
      <c r="Y333" s="302">
        <v>43592.0</v>
      </c>
      <c r="Z333" s="53" t="s">
        <v>2511</v>
      </c>
      <c r="AA333" s="53">
        <v>1.12682216E8</v>
      </c>
      <c r="AB333" s="53"/>
      <c r="AC333" s="53"/>
      <c r="AD333" s="53"/>
      <c r="AE333" s="54"/>
      <c r="AF333" s="54">
        <v>30.76</v>
      </c>
      <c r="AG333" s="55">
        <f t="shared" ref="AG333:AG340" si="38">AF333*H333</f>
        <v>815.14</v>
      </c>
      <c r="AH333" s="56">
        <v>43574.0</v>
      </c>
      <c r="AI333" s="55" t="s">
        <v>2501</v>
      </c>
      <c r="AJ333" s="55" t="s">
        <v>2502</v>
      </c>
      <c r="AK333" s="54" t="s">
        <v>50</v>
      </c>
      <c r="AL333" s="24" t="s">
        <v>285</v>
      </c>
      <c r="AM333" s="54" t="s">
        <v>286</v>
      </c>
      <c r="AN333" s="54" t="s">
        <v>52</v>
      </c>
      <c r="AO333" s="57" t="s">
        <v>398</v>
      </c>
    </row>
    <row r="334" ht="15.75" customHeight="1">
      <c r="A334" s="69">
        <v>43553.0</v>
      </c>
      <c r="B334" s="144" t="s">
        <v>140</v>
      </c>
      <c r="C334" s="21" t="s">
        <v>866</v>
      </c>
      <c r="D334" s="21" t="s">
        <v>2512</v>
      </c>
      <c r="E334" s="23" t="s">
        <v>881</v>
      </c>
      <c r="F334" s="24">
        <v>1.0</v>
      </c>
      <c r="G334" s="25">
        <v>3.1</v>
      </c>
      <c r="H334" s="60">
        <f t="shared" si="37"/>
        <v>3.1</v>
      </c>
      <c r="I334" s="87" t="s">
        <v>703</v>
      </c>
      <c r="J334" s="50" t="s">
        <v>869</v>
      </c>
      <c r="K334" s="29">
        <v>43573.0</v>
      </c>
      <c r="L334" s="29">
        <v>43567.0</v>
      </c>
      <c r="M334" s="79" t="s">
        <v>2039</v>
      </c>
      <c r="N334" s="64"/>
      <c r="O334" s="225"/>
      <c r="P334" s="225"/>
      <c r="Q334" s="34"/>
      <c r="R334" s="306"/>
      <c r="S334" s="306">
        <v>0.0</v>
      </c>
      <c r="T334" s="521" t="s">
        <v>2194</v>
      </c>
      <c r="U334" s="52"/>
      <c r="V334" s="53"/>
      <c r="W334" s="53"/>
      <c r="X334" s="53"/>
      <c r="Y334" s="53"/>
      <c r="Z334" s="53" t="s">
        <v>2511</v>
      </c>
      <c r="AA334" s="53">
        <v>1.12682216E8</v>
      </c>
      <c r="AB334" s="53"/>
      <c r="AC334" s="53"/>
      <c r="AD334" s="53"/>
      <c r="AE334" s="54"/>
      <c r="AF334" s="54">
        <v>30.76</v>
      </c>
      <c r="AG334" s="55">
        <f t="shared" si="38"/>
        <v>95.356</v>
      </c>
      <c r="AH334" s="56">
        <v>43574.0</v>
      </c>
      <c r="AI334" s="55" t="s">
        <v>2501</v>
      </c>
      <c r="AJ334" s="55" t="s">
        <v>2502</v>
      </c>
      <c r="AK334" s="54" t="s">
        <v>50</v>
      </c>
      <c r="AL334" s="24" t="s">
        <v>285</v>
      </c>
      <c r="AM334" s="54" t="s">
        <v>286</v>
      </c>
      <c r="AN334" s="54" t="s">
        <v>52</v>
      </c>
      <c r="AO334" s="57" t="s">
        <v>398</v>
      </c>
    </row>
    <row r="335" ht="15.75" customHeight="1">
      <c r="A335" s="69">
        <v>43556.0</v>
      </c>
      <c r="B335" s="70" t="s">
        <v>130</v>
      </c>
      <c r="C335" s="21" t="s">
        <v>882</v>
      </c>
      <c r="D335" s="21" t="s">
        <v>883</v>
      </c>
      <c r="E335" s="23" t="s">
        <v>884</v>
      </c>
      <c r="F335" s="24">
        <v>2.0</v>
      </c>
      <c r="G335" s="25">
        <v>6.0</v>
      </c>
      <c r="H335" s="60">
        <f t="shared" si="37"/>
        <v>12</v>
      </c>
      <c r="I335" s="87" t="s">
        <v>248</v>
      </c>
      <c r="J335" s="63" t="s">
        <v>134</v>
      </c>
      <c r="K335" s="29">
        <v>43571.0</v>
      </c>
      <c r="L335" s="29">
        <v>43570.0</v>
      </c>
      <c r="M335" s="63" t="s">
        <v>90</v>
      </c>
      <c r="N335" s="292" t="s">
        <v>2513</v>
      </c>
      <c r="O335" s="677"/>
      <c r="P335" s="677"/>
      <c r="Q335" s="677">
        <v>10.5</v>
      </c>
      <c r="R335" s="34"/>
      <c r="S335" s="34">
        <v>323.0</v>
      </c>
      <c r="T335" s="35" t="s">
        <v>94</v>
      </c>
      <c r="U335" s="302">
        <v>43616.0</v>
      </c>
      <c r="V335" s="302">
        <v>43567.0</v>
      </c>
      <c r="W335" s="296" t="s">
        <v>885</v>
      </c>
      <c r="X335" s="296" t="s">
        <v>2514</v>
      </c>
      <c r="Y335" s="451">
        <v>43616.0</v>
      </c>
      <c r="Z335" s="306" t="s">
        <v>2515</v>
      </c>
      <c r="AA335" s="53">
        <v>4.265710046E9</v>
      </c>
      <c r="AB335" s="53"/>
      <c r="AC335" s="53"/>
      <c r="AD335" s="53"/>
      <c r="AE335" s="54"/>
      <c r="AF335" s="54">
        <v>30.76</v>
      </c>
      <c r="AG335" s="55">
        <f t="shared" si="38"/>
        <v>369.12</v>
      </c>
      <c r="AH335" s="56">
        <v>43563.0</v>
      </c>
      <c r="AI335" s="55">
        <f>1525.5*30.784</f>
        <v>46960.992</v>
      </c>
      <c r="AJ335" s="55">
        <f>(1543-1525.5)*30.784</f>
        <v>538.72</v>
      </c>
      <c r="AK335" s="54" t="s">
        <v>50</v>
      </c>
      <c r="AL335" s="24" t="s">
        <v>285</v>
      </c>
      <c r="AM335" s="54" t="s">
        <v>51</v>
      </c>
      <c r="AN335" s="54" t="s">
        <v>52</v>
      </c>
      <c r="AO335" s="57" t="s">
        <v>398</v>
      </c>
    </row>
    <row r="336" ht="15.75" customHeight="1">
      <c r="A336" s="69">
        <v>43556.0</v>
      </c>
      <c r="B336" s="70" t="s">
        <v>130</v>
      </c>
      <c r="C336" s="21" t="s">
        <v>882</v>
      </c>
      <c r="D336" s="21" t="s">
        <v>883</v>
      </c>
      <c r="E336" s="23" t="s">
        <v>886</v>
      </c>
      <c r="F336" s="24">
        <v>10.0</v>
      </c>
      <c r="G336" s="25">
        <v>4.0</v>
      </c>
      <c r="H336" s="60">
        <f t="shared" si="37"/>
        <v>40</v>
      </c>
      <c r="I336" s="87" t="s">
        <v>248</v>
      </c>
      <c r="J336" s="63" t="s">
        <v>134</v>
      </c>
      <c r="K336" s="29">
        <v>43571.0</v>
      </c>
      <c r="L336" s="29">
        <v>43570.0</v>
      </c>
      <c r="M336" s="63" t="s">
        <v>90</v>
      </c>
      <c r="N336" s="292" t="s">
        <v>2513</v>
      </c>
      <c r="O336" s="677"/>
      <c r="P336" s="677"/>
      <c r="Q336" s="497">
        <v>31.5</v>
      </c>
      <c r="R336" s="408"/>
      <c r="S336" s="408">
        <v>969.0</v>
      </c>
      <c r="T336" s="35" t="s">
        <v>94</v>
      </c>
      <c r="U336" s="302">
        <v>43616.0</v>
      </c>
      <c r="V336" s="302">
        <v>43567.0</v>
      </c>
      <c r="W336" s="296" t="s">
        <v>885</v>
      </c>
      <c r="X336" s="296" t="s">
        <v>2514</v>
      </c>
      <c r="Y336" s="451">
        <v>43616.0</v>
      </c>
      <c r="Z336" s="53" t="s">
        <v>2515</v>
      </c>
      <c r="AA336" s="53">
        <v>4.265710046E9</v>
      </c>
      <c r="AB336" s="53"/>
      <c r="AC336" s="53"/>
      <c r="AD336" s="53"/>
      <c r="AE336" s="54"/>
      <c r="AF336" s="54">
        <v>30.76</v>
      </c>
      <c r="AG336" s="55">
        <f t="shared" si="38"/>
        <v>1230.4</v>
      </c>
      <c r="AH336" s="56">
        <v>43563.0</v>
      </c>
      <c r="AI336" s="55" t="s">
        <v>2516</v>
      </c>
      <c r="AJ336" s="55" t="s">
        <v>2517</v>
      </c>
      <c r="AK336" s="54" t="s">
        <v>50</v>
      </c>
      <c r="AL336" s="24" t="s">
        <v>285</v>
      </c>
      <c r="AM336" s="54" t="s">
        <v>51</v>
      </c>
      <c r="AN336" s="54" t="s">
        <v>52</v>
      </c>
      <c r="AO336" s="57" t="s">
        <v>398</v>
      </c>
    </row>
    <row r="337" ht="15.75" customHeight="1">
      <c r="A337" s="69">
        <v>43556.0</v>
      </c>
      <c r="B337" s="70" t="s">
        <v>130</v>
      </c>
      <c r="C337" s="21" t="s">
        <v>882</v>
      </c>
      <c r="D337" s="21" t="s">
        <v>883</v>
      </c>
      <c r="E337" s="23" t="s">
        <v>244</v>
      </c>
      <c r="F337" s="24">
        <v>5.0</v>
      </c>
      <c r="G337" s="25">
        <v>50.0</v>
      </c>
      <c r="H337" s="60">
        <f t="shared" si="37"/>
        <v>250</v>
      </c>
      <c r="I337" s="87" t="s">
        <v>248</v>
      </c>
      <c r="J337" s="63" t="s">
        <v>134</v>
      </c>
      <c r="K337" s="29">
        <v>43571.0</v>
      </c>
      <c r="L337" s="29">
        <v>43570.0</v>
      </c>
      <c r="M337" s="63" t="s">
        <v>90</v>
      </c>
      <c r="N337" s="292" t="s">
        <v>2513</v>
      </c>
      <c r="O337" s="677"/>
      <c r="P337" s="677"/>
      <c r="Q337" s="497">
        <v>241.5</v>
      </c>
      <c r="R337" s="408"/>
      <c r="S337" s="408">
        <v>7429.0</v>
      </c>
      <c r="T337" s="35" t="s">
        <v>94</v>
      </c>
      <c r="U337" s="302">
        <v>43616.0</v>
      </c>
      <c r="V337" s="302">
        <v>43567.0</v>
      </c>
      <c r="W337" s="296" t="s">
        <v>885</v>
      </c>
      <c r="X337" s="296" t="s">
        <v>2514</v>
      </c>
      <c r="Y337" s="451">
        <v>43616.0</v>
      </c>
      <c r="Z337" s="53" t="s">
        <v>2515</v>
      </c>
      <c r="AA337" s="53">
        <v>4.265710046E9</v>
      </c>
      <c r="AB337" s="53"/>
      <c r="AC337" s="53"/>
      <c r="AD337" s="53"/>
      <c r="AE337" s="54"/>
      <c r="AF337" s="54">
        <v>30.76</v>
      </c>
      <c r="AG337" s="55">
        <f t="shared" si="38"/>
        <v>7690</v>
      </c>
      <c r="AH337" s="56">
        <v>43563.0</v>
      </c>
      <c r="AI337" s="55" t="s">
        <v>2516</v>
      </c>
      <c r="AJ337" s="55" t="s">
        <v>2517</v>
      </c>
      <c r="AK337" s="54" t="s">
        <v>50</v>
      </c>
      <c r="AL337" s="24" t="s">
        <v>285</v>
      </c>
      <c r="AM337" s="54" t="s">
        <v>51</v>
      </c>
      <c r="AN337" s="54" t="s">
        <v>52</v>
      </c>
      <c r="AO337" s="57" t="s">
        <v>398</v>
      </c>
    </row>
    <row r="338" ht="15.75" customHeight="1">
      <c r="A338" s="69">
        <v>43556.0</v>
      </c>
      <c r="B338" s="70" t="s">
        <v>130</v>
      </c>
      <c r="C338" s="21" t="s">
        <v>882</v>
      </c>
      <c r="D338" s="21" t="s">
        <v>883</v>
      </c>
      <c r="E338" s="23" t="s">
        <v>887</v>
      </c>
      <c r="F338" s="24">
        <v>5.0</v>
      </c>
      <c r="G338" s="25">
        <v>85.0</v>
      </c>
      <c r="H338" s="60">
        <f t="shared" si="37"/>
        <v>425</v>
      </c>
      <c r="I338" s="87" t="s">
        <v>248</v>
      </c>
      <c r="J338" s="63" t="s">
        <v>134</v>
      </c>
      <c r="K338" s="29">
        <v>43571.0</v>
      </c>
      <c r="L338" s="29">
        <v>43570.0</v>
      </c>
      <c r="M338" s="63" t="s">
        <v>90</v>
      </c>
      <c r="N338" s="292" t="s">
        <v>2513</v>
      </c>
      <c r="O338" s="677"/>
      <c r="P338" s="677"/>
      <c r="Q338" s="497">
        <v>388.5</v>
      </c>
      <c r="R338" s="408"/>
      <c r="S338" s="408">
        <v>11950.0</v>
      </c>
      <c r="T338" s="35" t="s">
        <v>94</v>
      </c>
      <c r="U338" s="302">
        <v>43616.0</v>
      </c>
      <c r="V338" s="302">
        <v>43567.0</v>
      </c>
      <c r="W338" s="296" t="s">
        <v>885</v>
      </c>
      <c r="X338" s="296" t="s">
        <v>2514</v>
      </c>
      <c r="Y338" s="451">
        <v>43616.0</v>
      </c>
      <c r="Z338" s="53" t="s">
        <v>2515</v>
      </c>
      <c r="AA338" s="53">
        <v>4.265710046E9</v>
      </c>
      <c r="AB338" s="53"/>
      <c r="AC338" s="53"/>
      <c r="AD338" s="53"/>
      <c r="AE338" s="54"/>
      <c r="AF338" s="54">
        <v>30.76</v>
      </c>
      <c r="AG338" s="55">
        <f t="shared" si="38"/>
        <v>13073</v>
      </c>
      <c r="AH338" s="56">
        <v>43563.0</v>
      </c>
      <c r="AI338" s="55" t="s">
        <v>2516</v>
      </c>
      <c r="AJ338" s="55" t="s">
        <v>2517</v>
      </c>
      <c r="AK338" s="54" t="s">
        <v>50</v>
      </c>
      <c r="AL338" s="24" t="s">
        <v>285</v>
      </c>
      <c r="AM338" s="54" t="s">
        <v>51</v>
      </c>
      <c r="AN338" s="54" t="s">
        <v>52</v>
      </c>
      <c r="AO338" s="57" t="s">
        <v>398</v>
      </c>
    </row>
    <row r="339" ht="15.75" customHeight="1">
      <c r="A339" s="69">
        <v>43556.0</v>
      </c>
      <c r="B339" s="70" t="s">
        <v>130</v>
      </c>
      <c r="C339" s="21" t="s">
        <v>882</v>
      </c>
      <c r="D339" s="21" t="s">
        <v>883</v>
      </c>
      <c r="E339" s="23" t="s">
        <v>888</v>
      </c>
      <c r="F339" s="24">
        <v>1.0</v>
      </c>
      <c r="G339" s="25">
        <v>96.0</v>
      </c>
      <c r="H339" s="60">
        <f t="shared" si="37"/>
        <v>96</v>
      </c>
      <c r="I339" s="87" t="s">
        <v>248</v>
      </c>
      <c r="J339" s="63" t="s">
        <v>134</v>
      </c>
      <c r="K339" s="29">
        <v>43571.0</v>
      </c>
      <c r="L339" s="29">
        <v>43570.0</v>
      </c>
      <c r="M339" s="63" t="s">
        <v>90</v>
      </c>
      <c r="N339" s="292" t="s">
        <v>2513</v>
      </c>
      <c r="O339" s="677"/>
      <c r="P339" s="677"/>
      <c r="Q339" s="497">
        <v>93.45</v>
      </c>
      <c r="R339" s="408"/>
      <c r="S339" s="408">
        <v>2875.0</v>
      </c>
      <c r="T339" s="656" t="s">
        <v>94</v>
      </c>
      <c r="U339" s="302">
        <v>43616.0</v>
      </c>
      <c r="V339" s="302">
        <v>43567.0</v>
      </c>
      <c r="W339" s="296" t="s">
        <v>885</v>
      </c>
      <c r="X339" s="296">
        <v>45508.0</v>
      </c>
      <c r="Y339" s="451">
        <v>43616.0</v>
      </c>
      <c r="Z339" s="53" t="s">
        <v>2515</v>
      </c>
      <c r="AA339" s="53">
        <v>4.265710046E9</v>
      </c>
      <c r="AB339" s="53"/>
      <c r="AC339" s="53"/>
      <c r="AD339" s="53"/>
      <c r="AE339" s="54"/>
      <c r="AF339" s="54">
        <v>30.76</v>
      </c>
      <c r="AG339" s="55">
        <f t="shared" si="38"/>
        <v>2952.96</v>
      </c>
      <c r="AH339" s="56">
        <v>43563.0</v>
      </c>
      <c r="AI339" s="55" t="s">
        <v>2516</v>
      </c>
      <c r="AJ339" s="55" t="s">
        <v>2517</v>
      </c>
      <c r="AK339" s="54" t="s">
        <v>50</v>
      </c>
      <c r="AL339" s="24" t="s">
        <v>285</v>
      </c>
      <c r="AM339" s="54" t="s">
        <v>51</v>
      </c>
      <c r="AN339" s="54" t="s">
        <v>52</v>
      </c>
      <c r="AO339" s="57" t="s">
        <v>398</v>
      </c>
    </row>
    <row r="340" ht="15.75" customHeight="1">
      <c r="A340" s="69">
        <v>43558.0</v>
      </c>
      <c r="B340" s="70" t="s">
        <v>130</v>
      </c>
      <c r="C340" s="21" t="s">
        <v>882</v>
      </c>
      <c r="D340" s="21" t="s">
        <v>883</v>
      </c>
      <c r="E340" s="23" t="s">
        <v>889</v>
      </c>
      <c r="F340" s="24">
        <v>8.0</v>
      </c>
      <c r="G340" s="48">
        <v>90.0</v>
      </c>
      <c r="H340" s="60">
        <f t="shared" si="37"/>
        <v>720</v>
      </c>
      <c r="I340" s="87" t="s">
        <v>248</v>
      </c>
      <c r="J340" s="63" t="s">
        <v>134</v>
      </c>
      <c r="K340" s="29">
        <v>43571.0</v>
      </c>
      <c r="L340" s="29">
        <v>43570.0</v>
      </c>
      <c r="M340" s="63" t="s">
        <v>90</v>
      </c>
      <c r="N340" s="292" t="s">
        <v>2513</v>
      </c>
      <c r="O340" s="678"/>
      <c r="P340" s="678"/>
      <c r="Q340" s="497">
        <v>714.0</v>
      </c>
      <c r="R340" s="408"/>
      <c r="S340" s="408">
        <v>21962.0</v>
      </c>
      <c r="T340" s="51" t="s">
        <v>94</v>
      </c>
      <c r="U340" s="302">
        <v>43616.0</v>
      </c>
      <c r="V340" s="302">
        <v>43567.0</v>
      </c>
      <c r="W340" s="296" t="s">
        <v>885</v>
      </c>
      <c r="X340" s="296" t="s">
        <v>2514</v>
      </c>
      <c r="Y340" s="451">
        <v>43616.0</v>
      </c>
      <c r="Z340" s="53" t="s">
        <v>2515</v>
      </c>
      <c r="AA340" s="53">
        <v>4.265710046E9</v>
      </c>
      <c r="AB340" s="53"/>
      <c r="AC340" s="53"/>
      <c r="AD340" s="53"/>
      <c r="AE340" s="54"/>
      <c r="AF340" s="54">
        <v>30.76</v>
      </c>
      <c r="AG340" s="55">
        <f t="shared" si="38"/>
        <v>22147.2</v>
      </c>
      <c r="AH340" s="56">
        <v>43563.0</v>
      </c>
      <c r="AI340" s="55" t="s">
        <v>2516</v>
      </c>
      <c r="AJ340" s="55" t="s">
        <v>2517</v>
      </c>
      <c r="AK340" s="54" t="s">
        <v>50</v>
      </c>
      <c r="AL340" s="24" t="s">
        <v>285</v>
      </c>
      <c r="AM340" s="54" t="s">
        <v>51</v>
      </c>
      <c r="AN340" s="54" t="s">
        <v>52</v>
      </c>
      <c r="AO340" s="57" t="s">
        <v>398</v>
      </c>
    </row>
    <row r="341" ht="15.75" customHeight="1">
      <c r="A341" s="69">
        <v>43558.0</v>
      </c>
      <c r="B341" s="70" t="s">
        <v>560</v>
      </c>
      <c r="C341" s="21"/>
      <c r="D341" s="21" t="s">
        <v>890</v>
      </c>
      <c r="E341" s="23" t="s">
        <v>891</v>
      </c>
      <c r="F341" s="24">
        <v>1.0</v>
      </c>
      <c r="G341" s="48">
        <v>744.0</v>
      </c>
      <c r="H341" s="165">
        <f t="shared" si="37"/>
        <v>744</v>
      </c>
      <c r="I341" s="87" t="s">
        <v>303</v>
      </c>
      <c r="J341" s="63"/>
      <c r="K341" s="29">
        <v>43564.0</v>
      </c>
      <c r="L341" s="29">
        <v>43564.0</v>
      </c>
      <c r="M341" s="626"/>
      <c r="N341" s="64"/>
      <c r="O341" s="34"/>
      <c r="P341" s="34"/>
      <c r="Q341" s="34"/>
      <c r="R341" s="34"/>
      <c r="S341" s="34"/>
      <c r="T341" s="66"/>
      <c r="U341" s="52"/>
      <c r="V341" s="53"/>
      <c r="W341" s="53"/>
      <c r="X341" s="53"/>
      <c r="Y341" s="53"/>
      <c r="Z341" s="53" t="s">
        <v>2518</v>
      </c>
      <c r="AA341" s="53" t="s">
        <v>2519</v>
      </c>
      <c r="AB341" s="53"/>
      <c r="AC341" s="53">
        <v>23451.0</v>
      </c>
      <c r="AD341" s="610">
        <v>43564.0</v>
      </c>
      <c r="AE341" s="54"/>
      <c r="AF341" s="54"/>
      <c r="AG341" s="55">
        <v>23451.0</v>
      </c>
      <c r="AH341" s="56">
        <v>43595.0</v>
      </c>
      <c r="AI341" s="55">
        <v>23451.0</v>
      </c>
      <c r="AJ341" s="55">
        <v>0.0</v>
      </c>
      <c r="AK341" s="54" t="s">
        <v>50</v>
      </c>
      <c r="AL341" s="24" t="s">
        <v>285</v>
      </c>
      <c r="AM341" s="54" t="s">
        <v>51</v>
      </c>
      <c r="AN341" s="54" t="s">
        <v>377</v>
      </c>
      <c r="AO341" s="57"/>
    </row>
    <row r="342" ht="15.75" customHeight="1">
      <c r="A342" s="69">
        <v>43563.0</v>
      </c>
      <c r="B342" s="51" t="s">
        <v>101</v>
      </c>
      <c r="C342" s="22" t="s">
        <v>388</v>
      </c>
      <c r="D342" s="471" t="s">
        <v>892</v>
      </c>
      <c r="E342" s="23" t="s">
        <v>347</v>
      </c>
      <c r="F342" s="82">
        <v>1.0</v>
      </c>
      <c r="G342" s="150">
        <v>144.0</v>
      </c>
      <c r="H342" s="26">
        <v>144.0</v>
      </c>
      <c r="I342" s="49" t="s">
        <v>303</v>
      </c>
      <c r="J342" s="58" t="s">
        <v>290</v>
      </c>
      <c r="K342" s="30">
        <v>43563.0</v>
      </c>
      <c r="L342" s="30"/>
      <c r="M342" s="58" t="s">
        <v>2032</v>
      </c>
      <c r="N342" s="21" t="s">
        <v>2520</v>
      </c>
      <c r="O342" s="22"/>
      <c r="P342" s="22"/>
      <c r="Q342" s="22"/>
      <c r="R342" s="352"/>
      <c r="S342" s="352">
        <v>3833.0</v>
      </c>
      <c r="T342" s="20" t="s">
        <v>2033</v>
      </c>
      <c r="U342" s="304">
        <v>43616.0</v>
      </c>
      <c r="V342" s="305">
        <v>43567.0</v>
      </c>
      <c r="W342" s="306" t="s">
        <v>864</v>
      </c>
      <c r="X342" s="406" t="s">
        <v>2448</v>
      </c>
      <c r="Y342" s="46">
        <v>43616.0</v>
      </c>
      <c r="Z342" s="352" t="s">
        <v>2072</v>
      </c>
      <c r="AA342" s="22">
        <v>1.022758925E9</v>
      </c>
      <c r="AB342" s="352"/>
      <c r="AC342" s="352"/>
      <c r="AD342" s="352"/>
      <c r="AE342" s="82"/>
      <c r="AF342" s="82">
        <v>30.77</v>
      </c>
      <c r="AG342" s="299">
        <f>H342*AF342</f>
        <v>4430.88</v>
      </c>
      <c r="AH342" s="145">
        <v>43602.0</v>
      </c>
      <c r="AI342" s="299" t="s">
        <v>1993</v>
      </c>
      <c r="AJ342" s="299" t="s">
        <v>1994</v>
      </c>
      <c r="AK342" s="298" t="s">
        <v>50</v>
      </c>
      <c r="AL342" s="24" t="s">
        <v>285</v>
      </c>
      <c r="AM342" s="82" t="s">
        <v>51</v>
      </c>
      <c r="AN342" s="82" t="s">
        <v>52</v>
      </c>
      <c r="AO342" s="234" t="s">
        <v>305</v>
      </c>
    </row>
    <row r="343" ht="15.75" customHeight="1">
      <c r="A343" s="69">
        <v>43563.0</v>
      </c>
      <c r="B343" s="23" t="s">
        <v>406</v>
      </c>
      <c r="C343" s="21">
        <v>7.000146455E9</v>
      </c>
      <c r="D343" s="21" t="s">
        <v>893</v>
      </c>
      <c r="E343" s="23" t="s">
        <v>519</v>
      </c>
      <c r="F343" s="24">
        <v>5.0</v>
      </c>
      <c r="G343" s="48">
        <v>141.8</v>
      </c>
      <c r="H343" s="60">
        <f t="shared" ref="H343:H353" si="39">G343*F343</f>
        <v>709</v>
      </c>
      <c r="I343" s="87" t="s">
        <v>43</v>
      </c>
      <c r="J343" s="50" t="s">
        <v>513</v>
      </c>
      <c r="K343" s="29">
        <v>43566.0</v>
      </c>
      <c r="L343" s="30">
        <v>43566.0</v>
      </c>
      <c r="M343" s="58" t="s">
        <v>2078</v>
      </c>
      <c r="N343" s="21" t="s">
        <v>2521</v>
      </c>
      <c r="O343" s="408"/>
      <c r="P343" s="34"/>
      <c r="Q343" s="34"/>
      <c r="R343" s="34"/>
      <c r="S343" s="34">
        <v>20549.0</v>
      </c>
      <c r="T343" s="20" t="s">
        <v>2080</v>
      </c>
      <c r="U343" s="77">
        <v>43646.0</v>
      </c>
      <c r="V343" s="472">
        <v>43565.0</v>
      </c>
      <c r="W343" s="53" t="s">
        <v>894</v>
      </c>
      <c r="X343" s="53">
        <v>20549.0</v>
      </c>
      <c r="Y343" s="462">
        <v>43647.0</v>
      </c>
      <c r="Z343" s="53" t="s">
        <v>2288</v>
      </c>
      <c r="AA343" s="53">
        <v>4.076131905E9</v>
      </c>
      <c r="AB343" s="53"/>
      <c r="AC343" s="53"/>
      <c r="AD343" s="53"/>
      <c r="AE343" s="54"/>
      <c r="AF343" s="54">
        <v>30.76</v>
      </c>
      <c r="AG343" s="38">
        <f>AF343*H343</f>
        <v>21808.84</v>
      </c>
      <c r="AH343" s="300">
        <v>43602.0</v>
      </c>
      <c r="AI343" s="55" t="s">
        <v>2289</v>
      </c>
      <c r="AJ343" s="55" t="s">
        <v>2290</v>
      </c>
      <c r="AK343" s="54" t="s">
        <v>50</v>
      </c>
      <c r="AL343" s="24" t="s">
        <v>285</v>
      </c>
      <c r="AM343" s="54" t="s">
        <v>51</v>
      </c>
      <c r="AN343" s="54" t="s">
        <v>52</v>
      </c>
      <c r="AO343" s="57"/>
    </row>
    <row r="344" ht="15.75" customHeight="1">
      <c r="A344" s="19">
        <v>43564.0</v>
      </c>
      <c r="B344" s="20" t="s">
        <v>326</v>
      </c>
      <c r="C344" s="21">
        <v>2028512.0</v>
      </c>
      <c r="D344" s="22" t="s">
        <v>895</v>
      </c>
      <c r="E344" s="23" t="s">
        <v>2522</v>
      </c>
      <c r="F344" s="24">
        <v>12.0</v>
      </c>
      <c r="G344" s="48">
        <v>27.0</v>
      </c>
      <c r="H344" s="26">
        <f t="shared" si="39"/>
        <v>324</v>
      </c>
      <c r="I344" s="49" t="s">
        <v>43</v>
      </c>
      <c r="J344" s="82" t="s">
        <v>740</v>
      </c>
      <c r="K344" s="29">
        <v>43619.0</v>
      </c>
      <c r="L344" s="613">
        <v>43585.0</v>
      </c>
      <c r="M344" s="614" t="s">
        <v>54</v>
      </c>
      <c r="N344" s="398" t="s">
        <v>2523</v>
      </c>
      <c r="O344" s="619"/>
      <c r="P344" s="619"/>
      <c r="Q344" s="619">
        <v>315.0</v>
      </c>
      <c r="R344" s="619"/>
      <c r="S344" s="619">
        <v>9715.0</v>
      </c>
      <c r="T344" s="667" t="s">
        <v>56</v>
      </c>
      <c r="U344" s="302">
        <v>43646.0</v>
      </c>
      <c r="V344" s="302">
        <v>43585.0</v>
      </c>
      <c r="W344" s="296" t="s">
        <v>897</v>
      </c>
      <c r="X344" s="296">
        <v>229264.0</v>
      </c>
      <c r="Y344" s="302">
        <v>43647.0</v>
      </c>
      <c r="Z344" s="296" t="s">
        <v>2385</v>
      </c>
      <c r="AA344" s="296">
        <v>1.026956481E9</v>
      </c>
      <c r="AB344" s="296"/>
      <c r="AC344" s="296"/>
      <c r="AD344" s="296"/>
      <c r="AE344" s="371"/>
      <c r="AF344" s="371">
        <v>31.455</v>
      </c>
      <c r="AG344" s="372"/>
      <c r="AH344" s="373">
        <v>43633.0</v>
      </c>
      <c r="AI344" s="434" t="s">
        <v>2386</v>
      </c>
      <c r="AJ344" s="434" t="s">
        <v>2387</v>
      </c>
      <c r="AK344" s="371" t="s">
        <v>50</v>
      </c>
      <c r="AL344" s="371" t="s">
        <v>285</v>
      </c>
      <c r="AM344" s="371" t="s">
        <v>51</v>
      </c>
      <c r="AN344" s="371" t="s">
        <v>52</v>
      </c>
      <c r="AO344" s="374" t="s">
        <v>440</v>
      </c>
    </row>
    <row r="345" ht="15.75" customHeight="1">
      <c r="A345" s="19">
        <v>43564.0</v>
      </c>
      <c r="B345" s="20" t="s">
        <v>326</v>
      </c>
      <c r="C345" s="21">
        <v>2028512.0</v>
      </c>
      <c r="D345" s="22" t="s">
        <v>895</v>
      </c>
      <c r="E345" s="23" t="s">
        <v>328</v>
      </c>
      <c r="F345" s="24">
        <v>12.0</v>
      </c>
      <c r="G345" s="48">
        <v>607.0</v>
      </c>
      <c r="H345" s="26">
        <f t="shared" si="39"/>
        <v>7284</v>
      </c>
      <c r="I345" s="49" t="s">
        <v>43</v>
      </c>
      <c r="J345" s="82" t="s">
        <v>740</v>
      </c>
      <c r="K345" s="29">
        <v>43619.0</v>
      </c>
      <c r="L345" s="613">
        <v>43585.0</v>
      </c>
      <c r="M345" s="614" t="s">
        <v>54</v>
      </c>
      <c r="N345" s="398" t="s">
        <v>2523</v>
      </c>
      <c r="O345" s="619"/>
      <c r="P345" s="619"/>
      <c r="Q345" s="619">
        <v>7119.0</v>
      </c>
      <c r="R345" s="619"/>
      <c r="S345" s="619">
        <v>219549.0</v>
      </c>
      <c r="T345" s="667" t="s">
        <v>56</v>
      </c>
      <c r="U345" s="302">
        <v>43646.0</v>
      </c>
      <c r="V345" s="302">
        <v>43585.0</v>
      </c>
      <c r="W345" s="296" t="s">
        <v>897</v>
      </c>
      <c r="X345" s="296" t="s">
        <v>2524</v>
      </c>
      <c r="Y345" s="302">
        <v>43647.0</v>
      </c>
      <c r="Z345" s="296" t="s">
        <v>2385</v>
      </c>
      <c r="AA345" s="296">
        <v>1.026956481E9</v>
      </c>
      <c r="AB345" s="296"/>
      <c r="AC345" s="296"/>
      <c r="AD345" s="296"/>
      <c r="AE345" s="371"/>
      <c r="AF345" s="371">
        <v>31.455</v>
      </c>
      <c r="AG345" s="372"/>
      <c r="AH345" s="373">
        <v>43633.0</v>
      </c>
      <c r="AI345" s="434" t="s">
        <v>2386</v>
      </c>
      <c r="AJ345" s="434" t="s">
        <v>2387</v>
      </c>
      <c r="AK345" s="371" t="s">
        <v>50</v>
      </c>
      <c r="AL345" s="371" t="s">
        <v>285</v>
      </c>
      <c r="AM345" s="371" t="s">
        <v>51</v>
      </c>
      <c r="AN345" s="371" t="s">
        <v>52</v>
      </c>
      <c r="AO345" s="374" t="s">
        <v>440</v>
      </c>
    </row>
    <row r="346" ht="15.75" customHeight="1">
      <c r="A346" s="19">
        <v>43564.0</v>
      </c>
      <c r="B346" s="144" t="s">
        <v>77</v>
      </c>
      <c r="C346" s="21">
        <v>276.0</v>
      </c>
      <c r="D346" s="21" t="s">
        <v>898</v>
      </c>
      <c r="E346" s="23" t="s">
        <v>644</v>
      </c>
      <c r="F346" s="24">
        <v>7.0</v>
      </c>
      <c r="G346" s="48">
        <v>200.0</v>
      </c>
      <c r="H346" s="26">
        <f t="shared" si="39"/>
        <v>1400</v>
      </c>
      <c r="I346" s="49" t="s">
        <v>43</v>
      </c>
      <c r="J346" s="58" t="s">
        <v>316</v>
      </c>
      <c r="K346" s="29">
        <v>43601.0</v>
      </c>
      <c r="L346" s="652">
        <v>43595.0</v>
      </c>
      <c r="M346" s="653" t="s">
        <v>1537</v>
      </c>
      <c r="N346" s="398" t="s">
        <v>2525</v>
      </c>
      <c r="O346" s="619"/>
      <c r="P346" s="619"/>
      <c r="Q346" s="619"/>
      <c r="R346" s="616"/>
      <c r="S346" s="616">
        <v>35192.0</v>
      </c>
      <c r="T346" s="398" t="s">
        <v>2148</v>
      </c>
      <c r="U346" s="302">
        <v>43621.0</v>
      </c>
      <c r="V346" s="302">
        <v>43595.0</v>
      </c>
      <c r="W346" s="296" t="s">
        <v>899</v>
      </c>
      <c r="X346" s="296">
        <v>35192.0</v>
      </c>
      <c r="Y346" s="302">
        <v>43621.0</v>
      </c>
      <c r="Z346" s="296" t="s">
        <v>2526</v>
      </c>
      <c r="AA346" s="296">
        <v>1.03359909E8</v>
      </c>
      <c r="AB346" s="296"/>
      <c r="AC346" s="296"/>
      <c r="AD346" s="296"/>
      <c r="AE346" s="371"/>
      <c r="AF346" s="371">
        <v>30.845</v>
      </c>
      <c r="AG346" s="372">
        <v>0.0</v>
      </c>
      <c r="AH346" s="373">
        <v>43633.0</v>
      </c>
      <c r="AI346" s="372" t="s">
        <v>2527</v>
      </c>
      <c r="AJ346" s="372" t="s">
        <v>2528</v>
      </c>
      <c r="AK346" s="371" t="s">
        <v>50</v>
      </c>
      <c r="AL346" s="371" t="s">
        <v>285</v>
      </c>
      <c r="AM346" s="371" t="s">
        <v>286</v>
      </c>
      <c r="AN346" s="371" t="s">
        <v>52</v>
      </c>
      <c r="AO346" s="374" t="s">
        <v>440</v>
      </c>
    </row>
    <row r="347" ht="15.75" customHeight="1">
      <c r="A347" s="19">
        <v>43564.0</v>
      </c>
      <c r="B347" s="144" t="s">
        <v>77</v>
      </c>
      <c r="C347" s="21">
        <v>276.0</v>
      </c>
      <c r="D347" s="21" t="s">
        <v>898</v>
      </c>
      <c r="E347" s="23" t="s">
        <v>646</v>
      </c>
      <c r="F347" s="24">
        <v>7.0</v>
      </c>
      <c r="G347" s="48">
        <v>0.0</v>
      </c>
      <c r="H347" s="26">
        <f t="shared" si="39"/>
        <v>0</v>
      </c>
      <c r="I347" s="49" t="s">
        <v>43</v>
      </c>
      <c r="J347" s="58" t="s">
        <v>316</v>
      </c>
      <c r="K347" s="29">
        <v>43601.0</v>
      </c>
      <c r="L347" s="29">
        <v>43595.0</v>
      </c>
      <c r="M347" s="50" t="s">
        <v>1537</v>
      </c>
      <c r="N347" s="21" t="s">
        <v>2525</v>
      </c>
      <c r="O347" s="34"/>
      <c r="P347" s="34"/>
      <c r="Q347" s="34"/>
      <c r="R347" s="52"/>
      <c r="S347" s="52" t="s">
        <v>2529</v>
      </c>
      <c r="T347" s="518" t="s">
        <v>2148</v>
      </c>
      <c r="U347" s="302">
        <v>43621.0</v>
      </c>
      <c r="V347" s="302">
        <v>43595.0</v>
      </c>
      <c r="W347" s="296" t="s">
        <v>899</v>
      </c>
      <c r="X347" s="296" t="s">
        <v>2530</v>
      </c>
      <c r="Y347" s="302">
        <v>43621.0</v>
      </c>
      <c r="Z347" s="53" t="s">
        <v>2526</v>
      </c>
      <c r="AA347" s="53">
        <v>1.03359909E8</v>
      </c>
      <c r="AB347" s="53"/>
      <c r="AC347" s="53"/>
      <c r="AD347" s="53"/>
      <c r="AE347" s="54"/>
      <c r="AF347" s="54">
        <v>30.845</v>
      </c>
      <c r="AG347" s="55">
        <v>0.0</v>
      </c>
      <c r="AH347" s="56">
        <v>43633.0</v>
      </c>
      <c r="AI347" s="55" t="s">
        <v>2527</v>
      </c>
      <c r="AJ347" s="55" t="s">
        <v>2528</v>
      </c>
      <c r="AK347" s="54" t="s">
        <v>50</v>
      </c>
      <c r="AL347" s="54" t="s">
        <v>285</v>
      </c>
      <c r="AM347" s="54" t="s">
        <v>286</v>
      </c>
      <c r="AN347" s="54" t="s">
        <v>52</v>
      </c>
      <c r="AO347" s="57"/>
    </row>
    <row r="348" ht="15.75" customHeight="1">
      <c r="A348" s="19">
        <v>43564.0</v>
      </c>
      <c r="B348" s="144" t="s">
        <v>77</v>
      </c>
      <c r="C348" s="21">
        <v>276.0</v>
      </c>
      <c r="D348" s="21" t="s">
        <v>898</v>
      </c>
      <c r="E348" s="23" t="s">
        <v>647</v>
      </c>
      <c r="F348" s="24">
        <v>7.0</v>
      </c>
      <c r="G348" s="48">
        <v>0.0</v>
      </c>
      <c r="H348" s="26">
        <f t="shared" si="39"/>
        <v>0</v>
      </c>
      <c r="I348" s="27" t="s">
        <v>43</v>
      </c>
      <c r="J348" s="58" t="s">
        <v>316</v>
      </c>
      <c r="K348" s="29">
        <v>43601.0</v>
      </c>
      <c r="L348" s="29">
        <v>43595.0</v>
      </c>
      <c r="M348" s="407" t="s">
        <v>1537</v>
      </c>
      <c r="N348" s="21" t="s">
        <v>2525</v>
      </c>
      <c r="O348" s="34"/>
      <c r="P348" s="34"/>
      <c r="Q348" s="34"/>
      <c r="R348" s="52"/>
      <c r="S348" s="52" t="s">
        <v>2529</v>
      </c>
      <c r="T348" s="518" t="s">
        <v>2148</v>
      </c>
      <c r="U348" s="302">
        <v>43621.0</v>
      </c>
      <c r="V348" s="302">
        <v>43595.0</v>
      </c>
      <c r="W348" s="296" t="s">
        <v>899</v>
      </c>
      <c r="X348" s="296" t="s">
        <v>2530</v>
      </c>
      <c r="Y348" s="302">
        <v>43621.0</v>
      </c>
      <c r="Z348" s="53" t="s">
        <v>2526</v>
      </c>
      <c r="AA348" s="53">
        <v>1.03359909E8</v>
      </c>
      <c r="AB348" s="53"/>
      <c r="AC348" s="53"/>
      <c r="AD348" s="53"/>
      <c r="AE348" s="54"/>
      <c r="AF348" s="54">
        <v>30.845</v>
      </c>
      <c r="AG348" s="55">
        <v>0.0</v>
      </c>
      <c r="AH348" s="56">
        <v>43633.0</v>
      </c>
      <c r="AI348" s="55" t="s">
        <v>2527</v>
      </c>
      <c r="AJ348" s="55" t="s">
        <v>2528</v>
      </c>
      <c r="AK348" s="54" t="s">
        <v>50</v>
      </c>
      <c r="AL348" s="54" t="s">
        <v>285</v>
      </c>
      <c r="AM348" s="54" t="s">
        <v>286</v>
      </c>
      <c r="AN348" s="54" t="s">
        <v>52</v>
      </c>
      <c r="AO348" s="57"/>
    </row>
    <row r="349" ht="15.75" customHeight="1">
      <c r="A349" s="19">
        <v>43564.0</v>
      </c>
      <c r="B349" s="144" t="s">
        <v>77</v>
      </c>
      <c r="C349" s="21">
        <v>276.0</v>
      </c>
      <c r="D349" s="21" t="s">
        <v>898</v>
      </c>
      <c r="E349" s="23" t="s">
        <v>648</v>
      </c>
      <c r="F349" s="24">
        <v>7.0</v>
      </c>
      <c r="G349" s="48">
        <v>0.0</v>
      </c>
      <c r="H349" s="26">
        <f t="shared" si="39"/>
        <v>0</v>
      </c>
      <c r="I349" s="27" t="s">
        <v>43</v>
      </c>
      <c r="J349" s="58" t="s">
        <v>316</v>
      </c>
      <c r="K349" s="29">
        <v>43601.0</v>
      </c>
      <c r="L349" s="29">
        <v>43595.0</v>
      </c>
      <c r="M349" s="407" t="s">
        <v>1537</v>
      </c>
      <c r="N349" s="21" t="s">
        <v>2525</v>
      </c>
      <c r="O349" s="34"/>
      <c r="P349" s="34"/>
      <c r="Q349" s="34"/>
      <c r="R349" s="52"/>
      <c r="S349" s="52" t="s">
        <v>2529</v>
      </c>
      <c r="T349" s="518" t="s">
        <v>2148</v>
      </c>
      <c r="U349" s="302">
        <v>43621.0</v>
      </c>
      <c r="V349" s="302">
        <v>43595.0</v>
      </c>
      <c r="W349" s="296" t="s">
        <v>899</v>
      </c>
      <c r="X349" s="296" t="s">
        <v>2530</v>
      </c>
      <c r="Y349" s="302">
        <v>43621.0</v>
      </c>
      <c r="Z349" s="53" t="s">
        <v>2526</v>
      </c>
      <c r="AA349" s="53">
        <v>1.03359909E8</v>
      </c>
      <c r="AB349" s="53"/>
      <c r="AC349" s="53"/>
      <c r="AD349" s="53"/>
      <c r="AE349" s="54"/>
      <c r="AF349" s="54">
        <v>30.845</v>
      </c>
      <c r="AG349" s="55">
        <v>0.0</v>
      </c>
      <c r="AH349" s="56">
        <v>43633.0</v>
      </c>
      <c r="AI349" s="55" t="s">
        <v>2527</v>
      </c>
      <c r="AJ349" s="55" t="s">
        <v>2528</v>
      </c>
      <c r="AK349" s="54" t="s">
        <v>50</v>
      </c>
      <c r="AL349" s="54" t="s">
        <v>285</v>
      </c>
      <c r="AM349" s="54" t="s">
        <v>286</v>
      </c>
      <c r="AN349" s="54" t="s">
        <v>52</v>
      </c>
      <c r="AO349" s="57"/>
    </row>
    <row r="350" ht="15.75" customHeight="1">
      <c r="A350" s="19">
        <v>43564.0</v>
      </c>
      <c r="B350" s="144" t="s">
        <v>77</v>
      </c>
      <c r="C350" s="21">
        <v>276.0</v>
      </c>
      <c r="D350" s="21" t="s">
        <v>898</v>
      </c>
      <c r="E350" s="23" t="s">
        <v>649</v>
      </c>
      <c r="F350" s="24">
        <v>7.0</v>
      </c>
      <c r="G350" s="48">
        <v>0.0</v>
      </c>
      <c r="H350" s="26">
        <f t="shared" si="39"/>
        <v>0</v>
      </c>
      <c r="I350" s="27" t="s">
        <v>43</v>
      </c>
      <c r="J350" s="58" t="s">
        <v>316</v>
      </c>
      <c r="K350" s="29">
        <v>43601.0</v>
      </c>
      <c r="L350" s="29">
        <v>43595.0</v>
      </c>
      <c r="M350" s="50" t="s">
        <v>1537</v>
      </c>
      <c r="N350" s="21" t="s">
        <v>2525</v>
      </c>
      <c r="O350" s="34"/>
      <c r="P350" s="34"/>
      <c r="Q350" s="34"/>
      <c r="R350" s="52"/>
      <c r="S350" s="52" t="s">
        <v>2529</v>
      </c>
      <c r="T350" s="518" t="s">
        <v>2148</v>
      </c>
      <c r="U350" s="302">
        <v>43621.0</v>
      </c>
      <c r="V350" s="302">
        <v>43595.0</v>
      </c>
      <c r="W350" s="296" t="s">
        <v>899</v>
      </c>
      <c r="X350" s="296" t="s">
        <v>2530</v>
      </c>
      <c r="Y350" s="302">
        <v>43621.0</v>
      </c>
      <c r="Z350" s="53" t="s">
        <v>2526</v>
      </c>
      <c r="AA350" s="53">
        <v>1.03359909E8</v>
      </c>
      <c r="AB350" s="53"/>
      <c r="AC350" s="53"/>
      <c r="AD350" s="53"/>
      <c r="AE350" s="54"/>
      <c r="AF350" s="54">
        <v>30.845</v>
      </c>
      <c r="AG350" s="55">
        <v>0.0</v>
      </c>
      <c r="AH350" s="56">
        <v>43633.0</v>
      </c>
      <c r="AI350" s="55" t="s">
        <v>2527</v>
      </c>
      <c r="AJ350" s="55" t="s">
        <v>2528</v>
      </c>
      <c r="AK350" s="54" t="s">
        <v>50</v>
      </c>
      <c r="AL350" s="54" t="s">
        <v>285</v>
      </c>
      <c r="AM350" s="54" t="s">
        <v>286</v>
      </c>
      <c r="AN350" s="54" t="s">
        <v>52</v>
      </c>
      <c r="AO350" s="57"/>
    </row>
    <row r="351" ht="15.75" customHeight="1">
      <c r="A351" s="19">
        <v>43564.0</v>
      </c>
      <c r="B351" s="144" t="s">
        <v>77</v>
      </c>
      <c r="C351" s="21">
        <v>276.0</v>
      </c>
      <c r="D351" s="21" t="s">
        <v>898</v>
      </c>
      <c r="E351" s="23" t="s">
        <v>650</v>
      </c>
      <c r="F351" s="24">
        <v>7.0</v>
      </c>
      <c r="G351" s="48">
        <v>2.0</v>
      </c>
      <c r="H351" s="26">
        <f t="shared" si="39"/>
        <v>14</v>
      </c>
      <c r="I351" s="27" t="s">
        <v>43</v>
      </c>
      <c r="J351" s="58" t="s">
        <v>316</v>
      </c>
      <c r="K351" s="29">
        <v>43601.0</v>
      </c>
      <c r="L351" s="652">
        <v>43595.0</v>
      </c>
      <c r="M351" s="653" t="s">
        <v>2039</v>
      </c>
      <c r="N351" s="679" t="s">
        <v>2531</v>
      </c>
      <c r="O351" s="619"/>
      <c r="P351" s="619"/>
      <c r="Q351" s="619"/>
      <c r="R351" s="616"/>
      <c r="S351" s="616">
        <v>252.0</v>
      </c>
      <c r="T351" s="647" t="s">
        <v>2194</v>
      </c>
      <c r="U351" s="302">
        <v>43646.0</v>
      </c>
      <c r="V351" s="302">
        <v>43593.0</v>
      </c>
      <c r="W351" s="296" t="s">
        <v>900</v>
      </c>
      <c r="X351" s="296">
        <v>546.0</v>
      </c>
      <c r="Y351" s="302">
        <v>43654.0</v>
      </c>
      <c r="Z351" s="296" t="s">
        <v>2526</v>
      </c>
      <c r="AA351" s="296">
        <v>1.03359909E8</v>
      </c>
      <c r="AB351" s="296"/>
      <c r="AC351" s="296"/>
      <c r="AD351" s="296"/>
      <c r="AE351" s="371"/>
      <c r="AF351" s="371">
        <v>30.845</v>
      </c>
      <c r="AG351" s="372">
        <f>1456*30.845</f>
        <v>44910.32</v>
      </c>
      <c r="AH351" s="373">
        <v>43633.0</v>
      </c>
      <c r="AI351" s="372">
        <f>10046*31.46</f>
        <v>316047.16</v>
      </c>
      <c r="AJ351" s="372">
        <f>0</f>
        <v>0</v>
      </c>
      <c r="AK351" s="371" t="s">
        <v>50</v>
      </c>
      <c r="AL351" s="371" t="s">
        <v>285</v>
      </c>
      <c r="AM351" s="371" t="s">
        <v>286</v>
      </c>
      <c r="AN351" s="371" t="s">
        <v>52</v>
      </c>
      <c r="AO351" s="374" t="s">
        <v>440</v>
      </c>
    </row>
    <row r="352" ht="15.75" customHeight="1">
      <c r="A352" s="19">
        <v>43564.0</v>
      </c>
      <c r="B352" s="144" t="s">
        <v>77</v>
      </c>
      <c r="C352" s="21">
        <v>276.0</v>
      </c>
      <c r="D352" s="21" t="s">
        <v>898</v>
      </c>
      <c r="E352" s="23" t="s">
        <v>651</v>
      </c>
      <c r="F352" s="24">
        <v>7.0</v>
      </c>
      <c r="G352" s="48">
        <v>6.0</v>
      </c>
      <c r="H352" s="26">
        <f t="shared" si="39"/>
        <v>42</v>
      </c>
      <c r="I352" s="27" t="s">
        <v>43</v>
      </c>
      <c r="J352" s="58" t="s">
        <v>316</v>
      </c>
      <c r="K352" s="29">
        <v>43601.0</v>
      </c>
      <c r="L352" s="652">
        <v>43595.0</v>
      </c>
      <c r="M352" s="653" t="s">
        <v>2039</v>
      </c>
      <c r="N352" s="679" t="s">
        <v>2532</v>
      </c>
      <c r="O352" s="619"/>
      <c r="P352" s="619"/>
      <c r="Q352" s="619"/>
      <c r="R352" s="616"/>
      <c r="S352" s="616">
        <v>294.0</v>
      </c>
      <c r="T352" s="647" t="s">
        <v>2194</v>
      </c>
      <c r="U352" s="302">
        <v>43646.0</v>
      </c>
      <c r="V352" s="302">
        <v>43593.0</v>
      </c>
      <c r="W352" s="296" t="s">
        <v>900</v>
      </c>
      <c r="X352" s="296" t="s">
        <v>2531</v>
      </c>
      <c r="Y352" s="302">
        <v>43654.0</v>
      </c>
      <c r="Z352" s="296" t="s">
        <v>2526</v>
      </c>
      <c r="AA352" s="296">
        <v>1.03359909E8</v>
      </c>
      <c r="AB352" s="296"/>
      <c r="AC352" s="296"/>
      <c r="AD352" s="296"/>
      <c r="AE352" s="371"/>
      <c r="AF352" s="371">
        <v>30.845</v>
      </c>
      <c r="AG352" s="372">
        <v>0.0</v>
      </c>
      <c r="AH352" s="373">
        <v>43633.0</v>
      </c>
      <c r="AI352" s="372" t="s">
        <v>2527</v>
      </c>
      <c r="AJ352" s="372" t="s">
        <v>2528</v>
      </c>
      <c r="AK352" s="371" t="s">
        <v>50</v>
      </c>
      <c r="AL352" s="371" t="s">
        <v>285</v>
      </c>
      <c r="AM352" s="371" t="s">
        <v>286</v>
      </c>
      <c r="AN352" s="371" t="s">
        <v>52</v>
      </c>
      <c r="AO352" s="374" t="s">
        <v>440</v>
      </c>
    </row>
    <row r="353" ht="15.75" customHeight="1">
      <c r="A353" s="19">
        <v>43564.0</v>
      </c>
      <c r="B353" s="144" t="s">
        <v>77</v>
      </c>
      <c r="C353" s="21">
        <v>276.0</v>
      </c>
      <c r="D353" s="21" t="s">
        <v>898</v>
      </c>
      <c r="E353" s="23" t="s">
        <v>652</v>
      </c>
      <c r="F353" s="24">
        <v>7.0</v>
      </c>
      <c r="G353" s="48">
        <v>0.0</v>
      </c>
      <c r="H353" s="26">
        <f t="shared" si="39"/>
        <v>0</v>
      </c>
      <c r="I353" s="27" t="s">
        <v>43</v>
      </c>
      <c r="J353" s="58" t="s">
        <v>316</v>
      </c>
      <c r="K353" s="29">
        <v>43601.0</v>
      </c>
      <c r="L353" s="146">
        <v>43598.0</v>
      </c>
      <c r="M353" s="54" t="s">
        <v>179</v>
      </c>
      <c r="N353" s="148"/>
      <c r="O353" s="34"/>
      <c r="P353" s="34"/>
      <c r="Q353" s="34"/>
      <c r="R353" s="408">
        <v>92.0</v>
      </c>
      <c r="S353" s="408">
        <f>(R353*F353)*1.05</f>
        <v>676.2</v>
      </c>
      <c r="T353" s="76"/>
      <c r="U353" s="52"/>
      <c r="V353" s="53"/>
      <c r="W353" s="53"/>
      <c r="X353" s="53"/>
      <c r="Y353" s="53"/>
      <c r="Z353" s="53" t="s">
        <v>2526</v>
      </c>
      <c r="AA353" s="53">
        <v>1.03359909E8</v>
      </c>
      <c r="AB353" s="53"/>
      <c r="AC353" s="53"/>
      <c r="AD353" s="53"/>
      <c r="AE353" s="54"/>
      <c r="AF353" s="54">
        <v>30.845</v>
      </c>
      <c r="AG353" s="55">
        <v>0.0</v>
      </c>
      <c r="AH353" s="56">
        <v>43633.0</v>
      </c>
      <c r="AI353" s="55" t="s">
        <v>2527</v>
      </c>
      <c r="AJ353" s="55" t="s">
        <v>2528</v>
      </c>
      <c r="AK353" s="54" t="s">
        <v>50</v>
      </c>
      <c r="AL353" s="54" t="s">
        <v>285</v>
      </c>
      <c r="AM353" s="54" t="s">
        <v>286</v>
      </c>
      <c r="AN353" s="54" t="s">
        <v>52</v>
      </c>
      <c r="AO353" s="57"/>
    </row>
    <row r="354" ht="15.75" customHeight="1">
      <c r="A354" s="69">
        <v>43566.0</v>
      </c>
      <c r="B354" s="70" t="s">
        <v>101</v>
      </c>
      <c r="C354" s="21" t="s">
        <v>300</v>
      </c>
      <c r="D354" s="21" t="s">
        <v>901</v>
      </c>
      <c r="E354" s="23" t="s">
        <v>347</v>
      </c>
      <c r="F354" s="24">
        <v>1.0</v>
      </c>
      <c r="G354" s="48">
        <v>195.0</v>
      </c>
      <c r="H354" s="26">
        <v>195.0</v>
      </c>
      <c r="I354" s="27" t="s">
        <v>303</v>
      </c>
      <c r="J354" s="58" t="s">
        <v>263</v>
      </c>
      <c r="K354" s="30">
        <v>43566.0</v>
      </c>
      <c r="L354" s="30"/>
      <c r="M354" s="82" t="s">
        <v>2032</v>
      </c>
      <c r="N354" s="21"/>
      <c r="O354" s="587"/>
      <c r="P354" s="587"/>
      <c r="Q354" s="587"/>
      <c r="R354" s="588"/>
      <c r="S354" s="588">
        <v>5235.0</v>
      </c>
      <c r="T354" s="22" t="s">
        <v>2033</v>
      </c>
      <c r="U354" s="304">
        <v>43616.0</v>
      </c>
      <c r="V354" s="461">
        <v>43574.0</v>
      </c>
      <c r="W354" s="352" t="s">
        <v>902</v>
      </c>
      <c r="X354" s="473">
        <v>5235.0</v>
      </c>
      <c r="Y354" s="461">
        <v>43616.0</v>
      </c>
      <c r="Z354" s="306" t="s">
        <v>1992</v>
      </c>
      <c r="AA354" s="306">
        <v>4.16858911E9</v>
      </c>
      <c r="AB354" s="352"/>
      <c r="AC354" s="352"/>
      <c r="AD354" s="352"/>
      <c r="AE354" s="82"/>
      <c r="AF354" s="82">
        <v>30.77</v>
      </c>
      <c r="AG354" s="432">
        <f>AF354*H354</f>
        <v>6000.15</v>
      </c>
      <c r="AH354" s="300">
        <v>43636.0</v>
      </c>
      <c r="AI354" s="432">
        <f>4445.56*31.06</f>
        <v>138079.0936</v>
      </c>
      <c r="AJ354" s="432">
        <f>(4462-4445.56)*31.06</f>
        <v>510.6264</v>
      </c>
      <c r="AK354" s="82" t="s">
        <v>50</v>
      </c>
      <c r="AL354" s="82" t="s">
        <v>285</v>
      </c>
      <c r="AM354" s="82" t="s">
        <v>51</v>
      </c>
      <c r="AN354" s="82" t="s">
        <v>52</v>
      </c>
      <c r="AO354" s="459" t="s">
        <v>750</v>
      </c>
    </row>
    <row r="355" ht="15.75" customHeight="1">
      <c r="A355" s="19">
        <v>43566.0</v>
      </c>
      <c r="B355" s="51" t="s">
        <v>54</v>
      </c>
      <c r="C355" s="21" t="s">
        <v>903</v>
      </c>
      <c r="D355" s="22" t="s">
        <v>904</v>
      </c>
      <c r="E355" s="23" t="s">
        <v>386</v>
      </c>
      <c r="F355" s="24">
        <v>10.0</v>
      </c>
      <c r="G355" s="48">
        <v>150.15</v>
      </c>
      <c r="H355" s="26">
        <f>G355*F355</f>
        <v>1501.5</v>
      </c>
      <c r="I355" s="27" t="s">
        <v>43</v>
      </c>
      <c r="J355" s="161" t="s">
        <v>90</v>
      </c>
      <c r="K355" s="30">
        <v>43586.0</v>
      </c>
      <c r="L355" s="652">
        <v>43584.0</v>
      </c>
      <c r="M355" s="653" t="s">
        <v>90</v>
      </c>
      <c r="N355" s="615" t="s">
        <v>2533</v>
      </c>
      <c r="O355" s="619"/>
      <c r="P355" s="619"/>
      <c r="Q355" s="408">
        <v>1344.0</v>
      </c>
      <c r="R355" s="408"/>
      <c r="S355" s="408">
        <v>41409.0</v>
      </c>
      <c r="T355" s="35" t="s">
        <v>94</v>
      </c>
      <c r="U355" s="302">
        <v>43646.0</v>
      </c>
      <c r="V355" s="302">
        <v>43584.0</v>
      </c>
      <c r="W355" s="296" t="s">
        <v>905</v>
      </c>
      <c r="X355" s="296">
        <v>41409.0</v>
      </c>
      <c r="Y355" s="302">
        <v>43647.0</v>
      </c>
      <c r="Z355" s="296" t="s">
        <v>2534</v>
      </c>
      <c r="AA355" s="296" t="s">
        <v>2535</v>
      </c>
      <c r="AB355" s="296">
        <v>30.925</v>
      </c>
      <c r="AC355" s="296">
        <v>46434.0</v>
      </c>
      <c r="AD355" s="302">
        <v>43592.0</v>
      </c>
      <c r="AE355" s="371"/>
      <c r="AF355" s="371"/>
      <c r="AG355" s="372">
        <v>46434.0</v>
      </c>
      <c r="AH355" s="373">
        <v>43641.0</v>
      </c>
      <c r="AI355" s="372">
        <v>46419.0</v>
      </c>
      <c r="AJ355" s="372">
        <v>15.0</v>
      </c>
      <c r="AK355" s="371" t="s">
        <v>50</v>
      </c>
      <c r="AL355" s="371" t="s">
        <v>285</v>
      </c>
      <c r="AM355" s="371" t="s">
        <v>51</v>
      </c>
      <c r="AN355" s="371" t="s">
        <v>377</v>
      </c>
      <c r="AO355" s="374" t="s">
        <v>440</v>
      </c>
    </row>
    <row r="356" ht="15.75" customHeight="1">
      <c r="A356" s="69">
        <v>43566.0</v>
      </c>
      <c r="B356" s="70" t="s">
        <v>906</v>
      </c>
      <c r="C356" s="21"/>
      <c r="D356" s="22" t="s">
        <v>907</v>
      </c>
      <c r="E356" s="23" t="s">
        <v>908</v>
      </c>
      <c r="F356" s="24">
        <v>4.0</v>
      </c>
      <c r="G356" s="48">
        <v>355.0</v>
      </c>
      <c r="H356" s="26">
        <f t="shared" ref="H356:H360" si="40">F356*G356</f>
        <v>1420</v>
      </c>
      <c r="I356" s="61" t="s">
        <v>303</v>
      </c>
      <c r="J356" s="63" t="s">
        <v>909</v>
      </c>
      <c r="K356" s="29">
        <v>43580.0</v>
      </c>
      <c r="L356" s="29">
        <v>43577.0</v>
      </c>
      <c r="M356" s="63" t="s">
        <v>90</v>
      </c>
      <c r="N356" s="93" t="s">
        <v>2536</v>
      </c>
      <c r="O356" s="34"/>
      <c r="P356" s="34"/>
      <c r="Q356" s="408">
        <v>1310.4</v>
      </c>
      <c r="R356" s="408"/>
      <c r="S356" s="408">
        <v>40374.0</v>
      </c>
      <c r="T356" s="35" t="s">
        <v>94</v>
      </c>
      <c r="U356" s="302">
        <v>43616.0</v>
      </c>
      <c r="V356" s="302">
        <v>43577.0</v>
      </c>
      <c r="W356" s="296" t="s">
        <v>910</v>
      </c>
      <c r="X356" s="296">
        <v>44243.0</v>
      </c>
      <c r="Y356" s="451">
        <v>43616.0</v>
      </c>
      <c r="Z356" s="53" t="s">
        <v>2537</v>
      </c>
      <c r="AA356" s="53">
        <v>1.67874992E8</v>
      </c>
      <c r="AB356" s="53"/>
      <c r="AC356" s="53"/>
      <c r="AD356" s="53"/>
      <c r="AE356" s="54"/>
      <c r="AF356" s="54">
        <v>30.81</v>
      </c>
      <c r="AG356" s="55">
        <f t="shared" ref="AG356:AG357" si="41">AF356*H356</f>
        <v>43750.2</v>
      </c>
      <c r="AH356" s="56">
        <v>43580.0</v>
      </c>
      <c r="AI356" s="55">
        <f>1420*30.81</f>
        <v>43750.2</v>
      </c>
      <c r="AJ356" s="55">
        <v>0.0</v>
      </c>
      <c r="AK356" s="54" t="s">
        <v>50</v>
      </c>
      <c r="AL356" s="24" t="s">
        <v>285</v>
      </c>
      <c r="AM356" s="54" t="s">
        <v>51</v>
      </c>
      <c r="AN356" s="54" t="s">
        <v>52</v>
      </c>
      <c r="AO356" s="57" t="s">
        <v>398</v>
      </c>
    </row>
    <row r="357" ht="15.75" customHeight="1">
      <c r="A357" s="69">
        <v>43566.0</v>
      </c>
      <c r="B357" s="70" t="s">
        <v>906</v>
      </c>
      <c r="C357" s="21"/>
      <c r="D357" s="22" t="s">
        <v>907</v>
      </c>
      <c r="E357" s="23" t="s">
        <v>911</v>
      </c>
      <c r="F357" s="24">
        <v>4.0</v>
      </c>
      <c r="G357" s="48">
        <v>34.0</v>
      </c>
      <c r="H357" s="26">
        <f t="shared" si="40"/>
        <v>136</v>
      </c>
      <c r="I357" s="61" t="s">
        <v>303</v>
      </c>
      <c r="J357" s="63" t="s">
        <v>909</v>
      </c>
      <c r="K357" s="29">
        <v>43580.0</v>
      </c>
      <c r="L357" s="29">
        <v>43577.0</v>
      </c>
      <c r="M357" s="63" t="s">
        <v>90</v>
      </c>
      <c r="N357" s="93" t="s">
        <v>2536</v>
      </c>
      <c r="O357" s="34"/>
      <c r="P357" s="34"/>
      <c r="Q357" s="408">
        <v>125.58</v>
      </c>
      <c r="R357" s="408"/>
      <c r="S357" s="408">
        <v>3869.0</v>
      </c>
      <c r="T357" s="35" t="s">
        <v>94</v>
      </c>
      <c r="U357" s="302">
        <v>43616.0</v>
      </c>
      <c r="V357" s="302">
        <v>43577.0</v>
      </c>
      <c r="W357" s="296" t="s">
        <v>910</v>
      </c>
      <c r="X357" s="296" t="s">
        <v>2538</v>
      </c>
      <c r="Y357" s="451">
        <v>43616.0</v>
      </c>
      <c r="Z357" s="53" t="s">
        <v>2537</v>
      </c>
      <c r="AA357" s="53">
        <v>1.67874992E8</v>
      </c>
      <c r="AB357" s="53"/>
      <c r="AC357" s="53"/>
      <c r="AD357" s="53"/>
      <c r="AE357" s="54"/>
      <c r="AF357" s="54">
        <v>30.81</v>
      </c>
      <c r="AG357" s="55">
        <f t="shared" si="41"/>
        <v>4190.16</v>
      </c>
      <c r="AH357" s="56">
        <v>43580.0</v>
      </c>
      <c r="AI357" s="55">
        <f>136*30.81</f>
        <v>4190.16</v>
      </c>
      <c r="AJ357" s="55">
        <v>0.0</v>
      </c>
      <c r="AK357" s="54" t="s">
        <v>50</v>
      </c>
      <c r="AL357" s="24" t="s">
        <v>285</v>
      </c>
      <c r="AM357" s="54" t="s">
        <v>51</v>
      </c>
      <c r="AN357" s="54" t="s">
        <v>52</v>
      </c>
      <c r="AO357" s="57" t="s">
        <v>398</v>
      </c>
    </row>
    <row r="358" ht="15.75" customHeight="1">
      <c r="A358" s="19">
        <v>43566.0</v>
      </c>
      <c r="B358" s="20" t="s">
        <v>326</v>
      </c>
      <c r="C358" s="21" t="s">
        <v>912</v>
      </c>
      <c r="D358" s="22" t="s">
        <v>913</v>
      </c>
      <c r="E358" s="23" t="s">
        <v>914</v>
      </c>
      <c r="F358" s="24">
        <v>1.0</v>
      </c>
      <c r="G358" s="48">
        <v>0.0</v>
      </c>
      <c r="H358" s="47">
        <f t="shared" si="40"/>
        <v>0</v>
      </c>
      <c r="I358" s="87" t="s">
        <v>43</v>
      </c>
      <c r="J358" s="407" t="s">
        <v>915</v>
      </c>
      <c r="K358" s="29">
        <v>43592.0</v>
      </c>
      <c r="L358" s="30">
        <v>43579.0</v>
      </c>
      <c r="M358" s="50" t="s">
        <v>45</v>
      </c>
      <c r="N358" s="93" t="s">
        <v>2539</v>
      </c>
      <c r="O358" s="408"/>
      <c r="P358" s="408"/>
      <c r="Q358" s="408">
        <v>197.4</v>
      </c>
      <c r="R358" s="408"/>
      <c r="S358" s="408">
        <v>6091.0</v>
      </c>
      <c r="T358" s="51" t="s">
        <v>47</v>
      </c>
      <c r="U358" s="302">
        <v>43616.0</v>
      </c>
      <c r="V358" s="302">
        <v>43578.0</v>
      </c>
      <c r="W358" s="296" t="s">
        <v>916</v>
      </c>
      <c r="X358" s="296">
        <v>6091.0</v>
      </c>
      <c r="Y358" s="302">
        <v>43616.0</v>
      </c>
      <c r="Z358" s="306" t="s">
        <v>2540</v>
      </c>
      <c r="AA358" s="306">
        <v>7.75149247347E11</v>
      </c>
      <c r="AB358" s="306"/>
      <c r="AC358" s="306"/>
      <c r="AD358" s="306"/>
      <c r="AE358" s="298"/>
      <c r="AF358" s="298">
        <v>30.845</v>
      </c>
      <c r="AG358" s="299">
        <v>0.0</v>
      </c>
      <c r="AH358" s="300">
        <v>43606.0</v>
      </c>
      <c r="AI358" s="299">
        <v>0.0</v>
      </c>
      <c r="AJ358" s="299">
        <v>0.0</v>
      </c>
      <c r="AK358" s="298" t="s">
        <v>50</v>
      </c>
      <c r="AL358" s="298" t="s">
        <v>285</v>
      </c>
      <c r="AM358" s="298" t="s">
        <v>51</v>
      </c>
      <c r="AN358" s="298" t="s">
        <v>52</v>
      </c>
      <c r="AO358" s="234" t="s">
        <v>305</v>
      </c>
    </row>
    <row r="359" ht="15.75" customHeight="1">
      <c r="A359" s="19">
        <v>43566.0</v>
      </c>
      <c r="B359" s="20" t="s">
        <v>326</v>
      </c>
      <c r="C359" s="21" t="s">
        <v>912</v>
      </c>
      <c r="D359" s="22" t="s">
        <v>913</v>
      </c>
      <c r="E359" s="23" t="s">
        <v>917</v>
      </c>
      <c r="F359" s="24">
        <v>1.0</v>
      </c>
      <c r="G359" s="48">
        <v>0.0</v>
      </c>
      <c r="H359" s="47">
        <f t="shared" si="40"/>
        <v>0</v>
      </c>
      <c r="I359" s="87" t="s">
        <v>43</v>
      </c>
      <c r="J359" s="407" t="s">
        <v>915</v>
      </c>
      <c r="K359" s="29">
        <v>43592.0</v>
      </c>
      <c r="L359" s="30">
        <v>43591.0</v>
      </c>
      <c r="M359" s="58" t="s">
        <v>54</v>
      </c>
      <c r="N359" s="93" t="s">
        <v>2541</v>
      </c>
      <c r="O359" s="408"/>
      <c r="P359" s="408"/>
      <c r="Q359" s="408">
        <v>32.025</v>
      </c>
      <c r="R359" s="408"/>
      <c r="S359" s="408">
        <v>990.0</v>
      </c>
      <c r="T359" s="23" t="s">
        <v>56</v>
      </c>
      <c r="U359" s="462">
        <v>43646.0</v>
      </c>
      <c r="V359" s="462">
        <v>43588.0</v>
      </c>
      <c r="W359" s="306" t="s">
        <v>918</v>
      </c>
      <c r="X359" s="306">
        <v>23049.0</v>
      </c>
      <c r="Y359" s="462">
        <v>43647.0</v>
      </c>
      <c r="Z359" s="306" t="s">
        <v>2540</v>
      </c>
      <c r="AA359" s="306">
        <v>7.75149247347E11</v>
      </c>
      <c r="AB359" s="306"/>
      <c r="AC359" s="306"/>
      <c r="AD359" s="306"/>
      <c r="AE359" s="298"/>
      <c r="AF359" s="298">
        <v>30.845</v>
      </c>
      <c r="AG359" s="299">
        <v>0.0</v>
      </c>
      <c r="AH359" s="300">
        <v>43606.0</v>
      </c>
      <c r="AI359" s="299">
        <v>0.0</v>
      </c>
      <c r="AJ359" s="299">
        <v>0.0</v>
      </c>
      <c r="AK359" s="298" t="s">
        <v>50</v>
      </c>
      <c r="AL359" s="298" t="s">
        <v>285</v>
      </c>
      <c r="AM359" s="298" t="s">
        <v>51</v>
      </c>
      <c r="AN359" s="298" t="s">
        <v>52</v>
      </c>
      <c r="AO359" s="234" t="s">
        <v>305</v>
      </c>
    </row>
    <row r="360" ht="15.75" customHeight="1">
      <c r="A360" s="19">
        <v>43566.0</v>
      </c>
      <c r="B360" s="20" t="s">
        <v>326</v>
      </c>
      <c r="C360" s="21" t="s">
        <v>912</v>
      </c>
      <c r="D360" s="22" t="s">
        <v>2542</v>
      </c>
      <c r="E360" s="23" t="s">
        <v>920</v>
      </c>
      <c r="F360" s="24">
        <v>1.0</v>
      </c>
      <c r="G360" s="48">
        <v>960.0</v>
      </c>
      <c r="H360" s="47">
        <f t="shared" si="40"/>
        <v>960</v>
      </c>
      <c r="I360" s="87" t="s">
        <v>43</v>
      </c>
      <c r="J360" s="407" t="s">
        <v>915</v>
      </c>
      <c r="K360" s="29">
        <v>43592.0</v>
      </c>
      <c r="L360" s="30">
        <v>43591.0</v>
      </c>
      <c r="M360" s="58" t="s">
        <v>54</v>
      </c>
      <c r="N360" s="93" t="s">
        <v>2541</v>
      </c>
      <c r="O360" s="408"/>
      <c r="P360" s="408"/>
      <c r="Q360" s="408">
        <v>714.0</v>
      </c>
      <c r="R360" s="408"/>
      <c r="S360" s="408">
        <v>22059.0</v>
      </c>
      <c r="T360" s="23" t="s">
        <v>56</v>
      </c>
      <c r="U360" s="462">
        <v>43646.0</v>
      </c>
      <c r="V360" s="462">
        <v>43588.0</v>
      </c>
      <c r="W360" s="306" t="s">
        <v>918</v>
      </c>
      <c r="X360" s="306" t="s">
        <v>2543</v>
      </c>
      <c r="Y360" s="462">
        <v>43647.0</v>
      </c>
      <c r="Z360" s="306" t="s">
        <v>2540</v>
      </c>
      <c r="AA360" s="306">
        <v>7.75149247347E11</v>
      </c>
      <c r="AB360" s="306"/>
      <c r="AC360" s="306"/>
      <c r="AD360" s="306"/>
      <c r="AE360" s="298"/>
      <c r="AF360" s="298">
        <v>30.845</v>
      </c>
      <c r="AG360" s="299">
        <f>960*30.845</f>
        <v>29611.2</v>
      </c>
      <c r="AH360" s="300">
        <v>43606.0</v>
      </c>
      <c r="AI360" s="299">
        <f>953.65*31.51</f>
        <v>30049.5115</v>
      </c>
      <c r="AJ360" s="299">
        <f>(960-953.65)*31.51</f>
        <v>200.0885</v>
      </c>
      <c r="AK360" s="298" t="s">
        <v>50</v>
      </c>
      <c r="AL360" s="298" t="s">
        <v>285</v>
      </c>
      <c r="AM360" s="298" t="s">
        <v>51</v>
      </c>
      <c r="AN360" s="298" t="s">
        <v>52</v>
      </c>
      <c r="AO360" s="234" t="s">
        <v>305</v>
      </c>
    </row>
    <row r="361" ht="15.75" customHeight="1">
      <c r="A361" s="69">
        <v>43566.0</v>
      </c>
      <c r="B361" s="144" t="s">
        <v>140</v>
      </c>
      <c r="C361" s="21" t="s">
        <v>866</v>
      </c>
      <c r="D361" s="21" t="s">
        <v>921</v>
      </c>
      <c r="E361" s="23" t="s">
        <v>922</v>
      </c>
      <c r="F361" s="24">
        <v>1.0</v>
      </c>
      <c r="G361" s="25">
        <v>0.0</v>
      </c>
      <c r="H361" s="26">
        <f>G361*F361</f>
        <v>0</v>
      </c>
      <c r="I361" s="49" t="s">
        <v>303</v>
      </c>
      <c r="J361" s="407" t="s">
        <v>534</v>
      </c>
      <c r="K361" s="29">
        <v>43532.0</v>
      </c>
      <c r="L361" s="43"/>
      <c r="M361" s="24" t="s">
        <v>2032</v>
      </c>
      <c r="N361" s="64"/>
      <c r="O361" s="225"/>
      <c r="P361" s="225"/>
      <c r="Q361" s="34"/>
      <c r="R361" s="34"/>
      <c r="S361" s="34">
        <v>1098.0</v>
      </c>
      <c r="T361" s="20" t="s">
        <v>2033</v>
      </c>
      <c r="U361" s="295">
        <v>43569.0</v>
      </c>
      <c r="V361" s="295">
        <v>43539.0</v>
      </c>
      <c r="W361" s="296" t="s">
        <v>815</v>
      </c>
      <c r="X361" s="297" t="s">
        <v>2467</v>
      </c>
      <c r="Y361" s="302">
        <v>43586.0</v>
      </c>
      <c r="Z361" s="53" t="s">
        <v>2544</v>
      </c>
      <c r="AA361" s="53">
        <v>2.48494246E9</v>
      </c>
      <c r="AB361" s="53"/>
      <c r="AC361" s="53"/>
      <c r="AD361" s="53"/>
      <c r="AE361" s="54"/>
      <c r="AF361" s="54"/>
      <c r="AG361" s="55"/>
      <c r="AH361" s="56">
        <v>43566.0</v>
      </c>
      <c r="AI361" s="55"/>
      <c r="AJ361" s="55"/>
      <c r="AK361" s="54" t="s">
        <v>50</v>
      </c>
      <c r="AL361" s="24" t="s">
        <v>285</v>
      </c>
      <c r="AM361" s="54" t="s">
        <v>286</v>
      </c>
      <c r="AN361" s="54" t="s">
        <v>52</v>
      </c>
      <c r="AO361" s="57" t="s">
        <v>398</v>
      </c>
    </row>
    <row r="362" ht="15.75" customHeight="1">
      <c r="A362" s="69">
        <v>43567.0</v>
      </c>
      <c r="B362" s="275" t="s">
        <v>923</v>
      </c>
      <c r="C362" s="183"/>
      <c r="D362" s="183" t="s">
        <v>924</v>
      </c>
      <c r="E362" s="378" t="s">
        <v>925</v>
      </c>
      <c r="F362" s="186">
        <v>1.0</v>
      </c>
      <c r="G362" s="187">
        <v>0.0</v>
      </c>
      <c r="H362" s="401">
        <f>F362*G362</f>
        <v>0</v>
      </c>
      <c r="I362" s="87" t="s">
        <v>171</v>
      </c>
      <c r="J362" s="63" t="s">
        <v>926</v>
      </c>
      <c r="K362" s="30">
        <v>43567.0</v>
      </c>
      <c r="L362" s="30">
        <v>43567.0</v>
      </c>
      <c r="M362" s="407" t="s">
        <v>1089</v>
      </c>
      <c r="N362" s="93"/>
      <c r="O362" s="408"/>
      <c r="P362" s="408"/>
      <c r="Q362" s="470"/>
      <c r="R362" s="408"/>
      <c r="S362" s="408"/>
      <c r="T362" s="408"/>
      <c r="U362" s="306"/>
      <c r="V362" s="306"/>
      <c r="W362" s="306"/>
      <c r="X362" s="306"/>
      <c r="Y362" s="306"/>
      <c r="Z362" s="306" t="s">
        <v>2545</v>
      </c>
      <c r="AA362" s="306">
        <v>7.74953256718E11</v>
      </c>
      <c r="AB362" s="306"/>
      <c r="AC362" s="306"/>
      <c r="AD362" s="306"/>
      <c r="AE362" s="298"/>
      <c r="AF362" s="298"/>
      <c r="AG362" s="299"/>
      <c r="AH362" s="298" t="s">
        <v>1227</v>
      </c>
      <c r="AI362" s="299" t="s">
        <v>1227</v>
      </c>
      <c r="AJ362" s="299" t="s">
        <v>1227</v>
      </c>
      <c r="AK362" s="298" t="s">
        <v>50</v>
      </c>
      <c r="AL362" s="298" t="s">
        <v>285</v>
      </c>
      <c r="AM362" s="298" t="s">
        <v>51</v>
      </c>
      <c r="AN362" s="298" t="s">
        <v>52</v>
      </c>
      <c r="AO362" s="234" t="s">
        <v>507</v>
      </c>
    </row>
    <row r="363" ht="15.75" customHeight="1">
      <c r="A363" s="69">
        <v>43570.0</v>
      </c>
      <c r="B363" s="70" t="s">
        <v>130</v>
      </c>
      <c r="C363" s="21" t="s">
        <v>927</v>
      </c>
      <c r="D363" s="21" t="s">
        <v>928</v>
      </c>
      <c r="E363" s="23" t="s">
        <v>929</v>
      </c>
      <c r="F363" s="24">
        <v>1.0</v>
      </c>
      <c r="G363" s="47">
        <v>112.0</v>
      </c>
      <c r="H363" s="470">
        <f>G363*F363</f>
        <v>112</v>
      </c>
      <c r="I363" s="87" t="s">
        <v>248</v>
      </c>
      <c r="J363" s="50" t="s">
        <v>134</v>
      </c>
      <c r="K363" s="29">
        <v>43580.0</v>
      </c>
      <c r="L363" s="29">
        <v>43579.0</v>
      </c>
      <c r="M363" s="50" t="s">
        <v>90</v>
      </c>
      <c r="N363" s="93" t="s">
        <v>2546</v>
      </c>
      <c r="O363" s="408"/>
      <c r="P363" s="408"/>
      <c r="Q363" s="408">
        <v>109.2</v>
      </c>
      <c r="R363" s="408"/>
      <c r="S363" s="408">
        <v>3364.0</v>
      </c>
      <c r="T363" s="51" t="s">
        <v>94</v>
      </c>
      <c r="U363" s="302">
        <v>43616.0</v>
      </c>
      <c r="V363" s="302">
        <v>43578.0</v>
      </c>
      <c r="W363" s="296" t="s">
        <v>930</v>
      </c>
      <c r="X363" s="296">
        <v>3364.0</v>
      </c>
      <c r="Y363" s="451">
        <v>43616.0</v>
      </c>
      <c r="Z363" s="306" t="s">
        <v>2547</v>
      </c>
      <c r="AA363" s="306">
        <v>5.618128191E9</v>
      </c>
      <c r="AB363" s="306"/>
      <c r="AC363" s="306"/>
      <c r="AD363" s="306"/>
      <c r="AE363" s="298"/>
      <c r="AF363" s="298">
        <v>30.81</v>
      </c>
      <c r="AG363" s="299">
        <f>AF363*H363</f>
        <v>3450.72</v>
      </c>
      <c r="AH363" s="300">
        <v>43602.0</v>
      </c>
      <c r="AI363" s="299">
        <f>(1668-1650.61)*31.296</f>
        <v>544.23744</v>
      </c>
      <c r="AJ363" s="299" t="s">
        <v>2548</v>
      </c>
      <c r="AK363" s="298" t="s">
        <v>50</v>
      </c>
      <c r="AL363" s="298" t="s">
        <v>285</v>
      </c>
      <c r="AM363" s="298" t="s">
        <v>51</v>
      </c>
      <c r="AN363" s="298" t="s">
        <v>52</v>
      </c>
      <c r="AO363" s="234" t="s">
        <v>305</v>
      </c>
    </row>
    <row r="364" ht="15.75" customHeight="1">
      <c r="A364" s="69">
        <v>43571.0</v>
      </c>
      <c r="B364" s="70" t="s">
        <v>101</v>
      </c>
      <c r="C364" s="21" t="s">
        <v>931</v>
      </c>
      <c r="D364" s="21" t="s">
        <v>932</v>
      </c>
      <c r="E364" s="23" t="s">
        <v>933</v>
      </c>
      <c r="F364" s="24">
        <v>1.0</v>
      </c>
      <c r="G364" s="48">
        <v>0.0</v>
      </c>
      <c r="H364" s="47">
        <v>0.0</v>
      </c>
      <c r="I364" s="49" t="s">
        <v>303</v>
      </c>
      <c r="J364" s="433" t="s">
        <v>934</v>
      </c>
      <c r="K364" s="29">
        <v>43571.0</v>
      </c>
      <c r="L364" s="29"/>
      <c r="M364" s="79"/>
      <c r="N364" s="64"/>
      <c r="O364" s="34"/>
      <c r="P364" s="34"/>
      <c r="Q364" s="34"/>
      <c r="R364" s="34"/>
      <c r="S364" s="34"/>
      <c r="T364" s="76"/>
      <c r="U364" s="77"/>
      <c r="V364" s="472"/>
      <c r="W364" s="53"/>
      <c r="X364" s="53"/>
      <c r="Y364" s="53"/>
      <c r="Z364" s="53" t="s">
        <v>2549</v>
      </c>
      <c r="AA364" s="53">
        <v>1.66478947E8</v>
      </c>
      <c r="AB364" s="53"/>
      <c r="AC364" s="53"/>
      <c r="AD364" s="53"/>
      <c r="AE364" s="54"/>
      <c r="AF364" s="54"/>
      <c r="AG364" s="55"/>
      <c r="AH364" s="54" t="s">
        <v>1227</v>
      </c>
      <c r="AI364" s="55"/>
      <c r="AJ364" s="55"/>
      <c r="AK364" s="54" t="s">
        <v>50</v>
      </c>
      <c r="AL364" s="54" t="s">
        <v>285</v>
      </c>
      <c r="AM364" s="54" t="s">
        <v>51</v>
      </c>
      <c r="AN364" s="54" t="s">
        <v>52</v>
      </c>
      <c r="AO364" s="57"/>
    </row>
    <row r="365" ht="15.75" customHeight="1">
      <c r="A365" s="69">
        <v>43573.0</v>
      </c>
      <c r="B365" s="70" t="s">
        <v>77</v>
      </c>
      <c r="C365" s="21">
        <v>316.0</v>
      </c>
      <c r="D365" s="21" t="s">
        <v>935</v>
      </c>
      <c r="E365" s="23" t="s">
        <v>315</v>
      </c>
      <c r="F365" s="24">
        <v>7.0</v>
      </c>
      <c r="G365" s="48">
        <v>285.0</v>
      </c>
      <c r="H365" s="47">
        <f t="shared" ref="H365:H371" si="42">G365*F365</f>
        <v>1995</v>
      </c>
      <c r="I365" s="49" t="s">
        <v>43</v>
      </c>
      <c r="J365" s="433" t="s">
        <v>936</v>
      </c>
      <c r="K365" s="29">
        <v>43588.0</v>
      </c>
      <c r="L365" s="29">
        <v>43581.0</v>
      </c>
      <c r="M365" s="407" t="s">
        <v>1998</v>
      </c>
      <c r="N365" s="93" t="s">
        <v>2550</v>
      </c>
      <c r="O365" s="408"/>
      <c r="P365" s="408"/>
      <c r="Q365" s="408">
        <v>2310.0</v>
      </c>
      <c r="R365" s="408"/>
      <c r="S365" s="408">
        <v>56742.0</v>
      </c>
      <c r="T365" s="408" t="s">
        <v>2000</v>
      </c>
      <c r="U365" s="462">
        <v>43646.0</v>
      </c>
      <c r="V365" s="462">
        <v>43580.0</v>
      </c>
      <c r="W365" s="306" t="s">
        <v>937</v>
      </c>
      <c r="X365" s="306" t="s">
        <v>2551</v>
      </c>
      <c r="Y365" s="462">
        <v>43649.0</v>
      </c>
      <c r="Z365" s="306" t="s">
        <v>2552</v>
      </c>
      <c r="AA365" s="306" t="s">
        <v>2553</v>
      </c>
      <c r="AB365" s="306"/>
      <c r="AC365" s="306"/>
      <c r="AD365" s="306"/>
      <c r="AE365" s="298"/>
      <c r="AF365" s="298">
        <v>30.845</v>
      </c>
      <c r="AG365" s="299">
        <f>4545*30.845</f>
        <v>140190.525</v>
      </c>
      <c r="AH365" s="300">
        <v>43633.0</v>
      </c>
      <c r="AI365" s="299" t="s">
        <v>2527</v>
      </c>
      <c r="AJ365" s="299" t="s">
        <v>2528</v>
      </c>
      <c r="AK365" s="298" t="s">
        <v>50</v>
      </c>
      <c r="AL365" s="82" t="s">
        <v>285</v>
      </c>
      <c r="AM365" s="298" t="s">
        <v>51</v>
      </c>
      <c r="AN365" s="298" t="s">
        <v>52</v>
      </c>
      <c r="AO365" s="459" t="s">
        <v>750</v>
      </c>
    </row>
    <row r="366" ht="15.75" customHeight="1">
      <c r="A366" s="69">
        <v>43573.0</v>
      </c>
      <c r="B366" s="70" t="s">
        <v>77</v>
      </c>
      <c r="C366" s="21">
        <v>316.0</v>
      </c>
      <c r="D366" s="71" t="s">
        <v>935</v>
      </c>
      <c r="E366" s="32" t="s">
        <v>318</v>
      </c>
      <c r="F366" s="435">
        <v>10.0</v>
      </c>
      <c r="G366" s="48">
        <v>255.0</v>
      </c>
      <c r="H366" s="26">
        <f t="shared" si="42"/>
        <v>2550</v>
      </c>
      <c r="I366" s="27" t="s">
        <v>43</v>
      </c>
      <c r="J366" s="433" t="s">
        <v>936</v>
      </c>
      <c r="K366" s="29">
        <v>43588.0</v>
      </c>
      <c r="L366" s="29">
        <v>43581.0</v>
      </c>
      <c r="M366" s="50" t="s">
        <v>1998</v>
      </c>
      <c r="N366" s="93" t="s">
        <v>2550</v>
      </c>
      <c r="O366" s="408"/>
      <c r="P366" s="408"/>
      <c r="Q366" s="408">
        <v>1838.0</v>
      </c>
      <c r="R366" s="408"/>
      <c r="S366" s="408">
        <v>71333.0</v>
      </c>
      <c r="T366" s="408" t="s">
        <v>2000</v>
      </c>
      <c r="U366" s="462">
        <v>43646.0</v>
      </c>
      <c r="V366" s="462">
        <v>43580.0</v>
      </c>
      <c r="W366" s="306" t="s">
        <v>937</v>
      </c>
      <c r="X366" s="306">
        <v>128075.0</v>
      </c>
      <c r="Y366" s="462">
        <v>43649.0</v>
      </c>
      <c r="Z366" s="306" t="s">
        <v>2552</v>
      </c>
      <c r="AA366" s="306" t="s">
        <v>2553</v>
      </c>
      <c r="AB366" s="306"/>
      <c r="AC366" s="306"/>
      <c r="AD366" s="306"/>
      <c r="AE366" s="298"/>
      <c r="AF366" s="298">
        <v>30.845</v>
      </c>
      <c r="AG366" s="299">
        <v>0.0</v>
      </c>
      <c r="AH366" s="300">
        <v>43633.0</v>
      </c>
      <c r="AI366" s="299" t="s">
        <v>2527</v>
      </c>
      <c r="AJ366" s="299" t="s">
        <v>2528</v>
      </c>
      <c r="AK366" s="298" t="s">
        <v>50</v>
      </c>
      <c r="AL366" s="82" t="s">
        <v>285</v>
      </c>
      <c r="AM366" s="298" t="s">
        <v>51</v>
      </c>
      <c r="AN366" s="298" t="s">
        <v>52</v>
      </c>
      <c r="AO366" s="459" t="s">
        <v>750</v>
      </c>
    </row>
    <row r="367" ht="15.75" customHeight="1">
      <c r="A367" s="69">
        <v>43573.0</v>
      </c>
      <c r="B367" s="70" t="s">
        <v>130</v>
      </c>
      <c r="C367" s="21" t="s">
        <v>938</v>
      </c>
      <c r="D367" s="21" t="s">
        <v>939</v>
      </c>
      <c r="E367" s="23" t="s">
        <v>239</v>
      </c>
      <c r="F367" s="24">
        <v>15.0</v>
      </c>
      <c r="G367" s="47">
        <v>58.0</v>
      </c>
      <c r="H367" s="470">
        <f t="shared" si="42"/>
        <v>870</v>
      </c>
      <c r="I367" s="87" t="s">
        <v>248</v>
      </c>
      <c r="J367" s="50" t="s">
        <v>134</v>
      </c>
      <c r="K367" s="29">
        <v>43580.0</v>
      </c>
      <c r="L367" s="29">
        <v>43579.0</v>
      </c>
      <c r="M367" s="50" t="s">
        <v>90</v>
      </c>
      <c r="N367" s="93" t="s">
        <v>2554</v>
      </c>
      <c r="O367" s="408"/>
      <c r="P367" s="408"/>
      <c r="Q367" s="408">
        <v>819.0</v>
      </c>
      <c r="R367" s="408"/>
      <c r="S367" s="408">
        <v>25233.0</v>
      </c>
      <c r="T367" s="35" t="s">
        <v>94</v>
      </c>
      <c r="U367" s="302">
        <v>43616.0</v>
      </c>
      <c r="V367" s="302">
        <v>43578.0</v>
      </c>
      <c r="W367" s="296" t="s">
        <v>940</v>
      </c>
      <c r="X367" s="296">
        <v>25233.0</v>
      </c>
      <c r="Y367" s="451">
        <v>43616.0</v>
      </c>
      <c r="Z367" s="306" t="s">
        <v>2547</v>
      </c>
      <c r="AA367" s="352">
        <v>5.618128191E9</v>
      </c>
      <c r="AB367" s="306"/>
      <c r="AC367" s="306"/>
      <c r="AD367" s="306"/>
      <c r="AE367" s="298"/>
      <c r="AF367" s="298">
        <v>30.81</v>
      </c>
      <c r="AG367" s="299">
        <f>AF367*H367</f>
        <v>26804.7</v>
      </c>
      <c r="AH367" s="300">
        <v>43602.0</v>
      </c>
      <c r="AI367" s="299" t="s">
        <v>2555</v>
      </c>
      <c r="AJ367" s="299" t="s">
        <v>2556</v>
      </c>
      <c r="AK367" s="298" t="s">
        <v>50</v>
      </c>
      <c r="AL367" s="298" t="s">
        <v>285</v>
      </c>
      <c r="AM367" s="298" t="s">
        <v>51</v>
      </c>
      <c r="AN367" s="298" t="s">
        <v>52</v>
      </c>
      <c r="AO367" s="234" t="s">
        <v>305</v>
      </c>
    </row>
    <row r="368" ht="15.75" customHeight="1">
      <c r="A368" s="69">
        <v>43574.0</v>
      </c>
      <c r="B368" s="70" t="s">
        <v>119</v>
      </c>
      <c r="C368" s="21" t="s">
        <v>941</v>
      </c>
      <c r="D368" s="21" t="s">
        <v>942</v>
      </c>
      <c r="E368" s="23" t="s">
        <v>566</v>
      </c>
      <c r="F368" s="24">
        <v>100.0</v>
      </c>
      <c r="G368" s="47">
        <v>105.0</v>
      </c>
      <c r="H368" s="470">
        <f t="shared" si="42"/>
        <v>10500</v>
      </c>
      <c r="I368" s="87" t="s">
        <v>171</v>
      </c>
      <c r="J368" s="82" t="s">
        <v>122</v>
      </c>
      <c r="K368" s="29">
        <v>43601.0</v>
      </c>
      <c r="L368" s="29">
        <v>43595.0</v>
      </c>
      <c r="M368" s="50" t="s">
        <v>90</v>
      </c>
      <c r="N368" s="93" t="s">
        <v>2557</v>
      </c>
      <c r="O368" s="408"/>
      <c r="P368" s="408"/>
      <c r="Q368" s="408">
        <v>8610.0</v>
      </c>
      <c r="R368" s="408"/>
      <c r="S368" s="408">
        <v>265575.0</v>
      </c>
      <c r="T368" s="35" t="s">
        <v>94</v>
      </c>
      <c r="U368" s="462">
        <v>43646.0</v>
      </c>
      <c r="V368" s="462">
        <v>43594.0</v>
      </c>
      <c r="W368" s="306" t="s">
        <v>943</v>
      </c>
      <c r="X368" s="306">
        <v>415852.0</v>
      </c>
      <c r="Y368" s="472">
        <v>43647.0</v>
      </c>
      <c r="Z368" s="306" t="s">
        <v>2558</v>
      </c>
      <c r="AA368" s="306" t="s">
        <v>2559</v>
      </c>
      <c r="AB368" s="306"/>
      <c r="AC368" s="306"/>
      <c r="AD368" s="306"/>
      <c r="AE368" s="298"/>
      <c r="AF368" s="298">
        <v>30.845</v>
      </c>
      <c r="AG368" s="299">
        <f>15865*30.845</f>
        <v>489355.925</v>
      </c>
      <c r="AH368" s="300">
        <v>43600.0</v>
      </c>
      <c r="AI368" s="299">
        <f>16624.69*31.06</f>
        <v>516362.8714</v>
      </c>
      <c r="AJ368" s="299">
        <f>(16645-16624.69)*31.06</f>
        <v>630.8286</v>
      </c>
      <c r="AK368" s="298" t="s">
        <v>50</v>
      </c>
      <c r="AL368" s="298" t="s">
        <v>285</v>
      </c>
      <c r="AM368" s="298" t="s">
        <v>51</v>
      </c>
      <c r="AN368" s="298" t="s">
        <v>52</v>
      </c>
      <c r="AO368" s="234" t="s">
        <v>305</v>
      </c>
    </row>
    <row r="369" ht="15.75" customHeight="1">
      <c r="A369" s="69">
        <v>43574.0</v>
      </c>
      <c r="B369" s="70" t="s">
        <v>119</v>
      </c>
      <c r="C369" s="21" t="s">
        <v>941</v>
      </c>
      <c r="D369" s="21" t="s">
        <v>942</v>
      </c>
      <c r="E369" s="23" t="s">
        <v>415</v>
      </c>
      <c r="F369" s="82">
        <v>5.0</v>
      </c>
      <c r="G369" s="47">
        <v>335.0</v>
      </c>
      <c r="H369" s="470">
        <f t="shared" si="42"/>
        <v>1675</v>
      </c>
      <c r="I369" s="87" t="s">
        <v>171</v>
      </c>
      <c r="J369" s="82" t="s">
        <v>122</v>
      </c>
      <c r="K369" s="29">
        <v>43601.0</v>
      </c>
      <c r="L369" s="29">
        <v>43595.0</v>
      </c>
      <c r="M369" s="50" t="s">
        <v>90</v>
      </c>
      <c r="N369" s="93" t="s">
        <v>2557</v>
      </c>
      <c r="O369" s="408"/>
      <c r="P369" s="408"/>
      <c r="Q369" s="408">
        <v>1522.5</v>
      </c>
      <c r="R369" s="408"/>
      <c r="S369" s="408">
        <v>46962.0</v>
      </c>
      <c r="T369" s="35" t="s">
        <v>94</v>
      </c>
      <c r="U369" s="462">
        <v>43646.0</v>
      </c>
      <c r="V369" s="462">
        <v>43594.0</v>
      </c>
      <c r="W369" s="306" t="s">
        <v>943</v>
      </c>
      <c r="X369" s="306" t="s">
        <v>2560</v>
      </c>
      <c r="Y369" s="472">
        <v>43647.0</v>
      </c>
      <c r="Z369" s="306" t="s">
        <v>2558</v>
      </c>
      <c r="AA369" s="306" t="s">
        <v>2559</v>
      </c>
      <c r="AB369" s="306"/>
      <c r="AC369" s="306"/>
      <c r="AD369" s="306"/>
      <c r="AE369" s="298"/>
      <c r="AF369" s="298">
        <v>30.845</v>
      </c>
      <c r="AG369" s="299">
        <v>0.0</v>
      </c>
      <c r="AH369" s="300">
        <v>43600.0</v>
      </c>
      <c r="AI369" s="299" t="s">
        <v>2329</v>
      </c>
      <c r="AJ369" s="299" t="s">
        <v>2330</v>
      </c>
      <c r="AK369" s="298" t="s">
        <v>50</v>
      </c>
      <c r="AL369" s="298" t="s">
        <v>285</v>
      </c>
      <c r="AM369" s="298" t="s">
        <v>51</v>
      </c>
      <c r="AN369" s="298" t="s">
        <v>52</v>
      </c>
      <c r="AO369" s="234" t="s">
        <v>305</v>
      </c>
    </row>
    <row r="370" ht="15.75" customHeight="1">
      <c r="A370" s="69">
        <v>43574.0</v>
      </c>
      <c r="B370" s="70" t="s">
        <v>119</v>
      </c>
      <c r="C370" s="21" t="s">
        <v>941</v>
      </c>
      <c r="D370" s="21" t="s">
        <v>942</v>
      </c>
      <c r="E370" s="23" t="s">
        <v>162</v>
      </c>
      <c r="F370" s="58">
        <v>5.0</v>
      </c>
      <c r="G370" s="47">
        <v>738.0</v>
      </c>
      <c r="H370" s="470">
        <f t="shared" si="42"/>
        <v>3690</v>
      </c>
      <c r="I370" s="87" t="s">
        <v>171</v>
      </c>
      <c r="J370" s="82" t="s">
        <v>122</v>
      </c>
      <c r="K370" s="29">
        <v>43601.0</v>
      </c>
      <c r="L370" s="29">
        <v>43595.0</v>
      </c>
      <c r="M370" s="50" t="s">
        <v>90</v>
      </c>
      <c r="N370" s="93" t="s">
        <v>2557</v>
      </c>
      <c r="O370" s="408"/>
      <c r="P370" s="408"/>
      <c r="Q370" s="408">
        <v>3349.5</v>
      </c>
      <c r="R370" s="408"/>
      <c r="S370" s="408">
        <v>103315.0</v>
      </c>
      <c r="T370" s="35" t="s">
        <v>94</v>
      </c>
      <c r="U370" s="462">
        <v>43646.0</v>
      </c>
      <c r="V370" s="462">
        <v>43594.0</v>
      </c>
      <c r="W370" s="306" t="s">
        <v>943</v>
      </c>
      <c r="X370" s="306" t="s">
        <v>2560</v>
      </c>
      <c r="Y370" s="472">
        <v>43647.0</v>
      </c>
      <c r="Z370" s="306" t="s">
        <v>2558</v>
      </c>
      <c r="AA370" s="306" t="s">
        <v>2559</v>
      </c>
      <c r="AB370" s="306"/>
      <c r="AC370" s="306"/>
      <c r="AD370" s="306"/>
      <c r="AE370" s="298"/>
      <c r="AF370" s="298">
        <v>30.845</v>
      </c>
      <c r="AG370" s="299">
        <v>0.0</v>
      </c>
      <c r="AH370" s="300">
        <v>43600.0</v>
      </c>
      <c r="AI370" s="299" t="s">
        <v>2329</v>
      </c>
      <c r="AJ370" s="299" t="s">
        <v>2330</v>
      </c>
      <c r="AK370" s="298" t="s">
        <v>50</v>
      </c>
      <c r="AL370" s="298" t="s">
        <v>285</v>
      </c>
      <c r="AM370" s="298" t="s">
        <v>51</v>
      </c>
      <c r="AN370" s="298" t="s">
        <v>52</v>
      </c>
      <c r="AO370" s="234" t="s">
        <v>305</v>
      </c>
    </row>
    <row r="371" ht="15.75" customHeight="1">
      <c r="A371" s="69">
        <v>43574.0</v>
      </c>
      <c r="B371" s="144" t="s">
        <v>167</v>
      </c>
      <c r="C371" s="21" t="s">
        <v>944</v>
      </c>
      <c r="D371" s="21" t="s">
        <v>945</v>
      </c>
      <c r="E371" s="23" t="s">
        <v>497</v>
      </c>
      <c r="F371" s="58">
        <v>1.0</v>
      </c>
      <c r="G371" s="47">
        <v>132.0</v>
      </c>
      <c r="H371" s="470">
        <f t="shared" si="42"/>
        <v>132</v>
      </c>
      <c r="I371" s="82" t="s">
        <v>105</v>
      </c>
      <c r="J371" s="58" t="s">
        <v>172</v>
      </c>
      <c r="K371" s="145">
        <v>43636.0</v>
      </c>
      <c r="L371" s="652">
        <v>43575.0</v>
      </c>
      <c r="M371" s="433" t="s">
        <v>2498</v>
      </c>
      <c r="N371" s="646" t="s">
        <v>2561</v>
      </c>
      <c r="O371" s="619"/>
      <c r="P371" s="619"/>
      <c r="Q371" s="619">
        <v>89.565</v>
      </c>
      <c r="R371" s="342"/>
      <c r="S371" s="342">
        <v>2764.0</v>
      </c>
      <c r="T371" s="648" t="s">
        <v>1983</v>
      </c>
      <c r="U371" s="451">
        <v>43590.0</v>
      </c>
      <c r="V371" s="451">
        <v>43578.0</v>
      </c>
      <c r="W371" s="342" t="s">
        <v>946</v>
      </c>
      <c r="X371" s="414">
        <v>2764.0</v>
      </c>
      <c r="Y371" s="302">
        <v>43592.0</v>
      </c>
      <c r="Z371" s="342" t="s">
        <v>2562</v>
      </c>
      <c r="AA371" s="342">
        <v>6.78383447E9</v>
      </c>
      <c r="AB371" s="342"/>
      <c r="AC371" s="342"/>
      <c r="AD371" s="342"/>
      <c r="AE371" s="433" t="s">
        <v>0</v>
      </c>
      <c r="AF371" s="433">
        <v>31.325</v>
      </c>
      <c r="AG371" s="434"/>
      <c r="AH371" s="457">
        <v>43584.0</v>
      </c>
      <c r="AI371" s="434">
        <f>1530.52*30.85</f>
        <v>47216.542</v>
      </c>
      <c r="AJ371" s="434">
        <f>(40+6.48)*30.85</f>
        <v>1433.908</v>
      </c>
      <c r="AK371" s="433" t="s">
        <v>50</v>
      </c>
      <c r="AL371" s="371" t="s">
        <v>285</v>
      </c>
      <c r="AM371" s="433" t="s">
        <v>286</v>
      </c>
      <c r="AN371" s="371" t="s">
        <v>52</v>
      </c>
      <c r="AO371" s="374" t="s">
        <v>440</v>
      </c>
    </row>
    <row r="372" ht="15.75" customHeight="1">
      <c r="A372" s="69">
        <v>43574.0</v>
      </c>
      <c r="B372" s="144" t="s">
        <v>167</v>
      </c>
      <c r="C372" s="21" t="s">
        <v>944</v>
      </c>
      <c r="D372" s="21" t="s">
        <v>945</v>
      </c>
      <c r="E372" s="23" t="s">
        <v>947</v>
      </c>
      <c r="F372" s="58">
        <v>1.0</v>
      </c>
      <c r="G372" s="47">
        <v>1445.0</v>
      </c>
      <c r="H372" s="475">
        <v>1445.0</v>
      </c>
      <c r="I372" s="82" t="s">
        <v>105</v>
      </c>
      <c r="J372" s="58" t="s">
        <v>172</v>
      </c>
      <c r="K372" s="145">
        <v>43636.0</v>
      </c>
      <c r="L372" s="652">
        <v>43636.0</v>
      </c>
      <c r="M372" s="614" t="s">
        <v>2563</v>
      </c>
      <c r="N372" s="646" t="s">
        <v>2564</v>
      </c>
      <c r="O372" s="647"/>
      <c r="P372" s="647"/>
      <c r="Q372" s="647"/>
      <c r="R372" s="342"/>
      <c r="S372" s="342">
        <v>35205.0</v>
      </c>
      <c r="T372" s="638"/>
      <c r="U372" s="342"/>
      <c r="V372" s="342"/>
      <c r="W372" s="342"/>
      <c r="X372" s="414"/>
      <c r="Y372" s="342"/>
      <c r="Z372" s="342" t="s">
        <v>2565</v>
      </c>
      <c r="AA372" s="342">
        <v>6.78383447E9</v>
      </c>
      <c r="AB372" s="342"/>
      <c r="AC372" s="342"/>
      <c r="AD372" s="342"/>
      <c r="AE372" s="433" t="s">
        <v>0</v>
      </c>
      <c r="AF372" s="433">
        <v>31.325</v>
      </c>
      <c r="AG372" s="434"/>
      <c r="AH372" s="457">
        <v>43584.0</v>
      </c>
      <c r="AI372" s="434" t="s">
        <v>2566</v>
      </c>
      <c r="AJ372" s="434" t="s">
        <v>2566</v>
      </c>
      <c r="AK372" s="433" t="s">
        <v>50</v>
      </c>
      <c r="AL372" s="371" t="s">
        <v>285</v>
      </c>
      <c r="AM372" s="433" t="s">
        <v>286</v>
      </c>
      <c r="AN372" s="371" t="s">
        <v>52</v>
      </c>
      <c r="AO372" s="374" t="s">
        <v>440</v>
      </c>
    </row>
    <row r="373" ht="15.75" customHeight="1">
      <c r="A373" s="69">
        <v>43574.0</v>
      </c>
      <c r="B373" s="70" t="s">
        <v>130</v>
      </c>
      <c r="C373" s="21" t="s">
        <v>948</v>
      </c>
      <c r="D373" s="21" t="s">
        <v>949</v>
      </c>
      <c r="E373" s="23" t="s">
        <v>950</v>
      </c>
      <c r="F373" s="40">
        <v>1.0</v>
      </c>
      <c r="G373" s="47">
        <v>245.0</v>
      </c>
      <c r="H373" s="60">
        <f t="shared" ref="H373:H389" si="43">G373*F373</f>
        <v>245</v>
      </c>
      <c r="I373" s="61" t="s">
        <v>248</v>
      </c>
      <c r="J373" s="50" t="s">
        <v>134</v>
      </c>
      <c r="K373" s="29">
        <v>43580.0</v>
      </c>
      <c r="L373" s="29">
        <v>43579.0</v>
      </c>
      <c r="M373" s="50" t="s">
        <v>90</v>
      </c>
      <c r="N373" s="93" t="s">
        <v>2567</v>
      </c>
      <c r="O373" s="408"/>
      <c r="P373" s="408"/>
      <c r="Q373" s="408">
        <v>239.4</v>
      </c>
      <c r="R373" s="408"/>
      <c r="S373" s="408">
        <v>7376.0</v>
      </c>
      <c r="T373" s="35" t="s">
        <v>94</v>
      </c>
      <c r="U373" s="302">
        <v>43616.0</v>
      </c>
      <c r="V373" s="302">
        <v>43578.0</v>
      </c>
      <c r="W373" s="296" t="s">
        <v>951</v>
      </c>
      <c r="X373" s="296">
        <v>20640.0</v>
      </c>
      <c r="Y373" s="302">
        <v>43616.0</v>
      </c>
      <c r="Z373" s="306" t="s">
        <v>2547</v>
      </c>
      <c r="AA373" s="352">
        <v>5.618128191E9</v>
      </c>
      <c r="AB373" s="306"/>
      <c r="AC373" s="306"/>
      <c r="AD373" s="306"/>
      <c r="AE373" s="298"/>
      <c r="AF373" s="298">
        <v>30.81</v>
      </c>
      <c r="AG373" s="299">
        <f t="shared" ref="AG373:AG374" si="44">AF373*H373</f>
        <v>7548.45</v>
      </c>
      <c r="AH373" s="300">
        <v>43602.0</v>
      </c>
      <c r="AI373" s="299" t="s">
        <v>2555</v>
      </c>
      <c r="AJ373" s="299" t="s">
        <v>2556</v>
      </c>
      <c r="AK373" s="298" t="s">
        <v>50</v>
      </c>
      <c r="AL373" s="298" t="s">
        <v>285</v>
      </c>
      <c r="AM373" s="298" t="s">
        <v>51</v>
      </c>
      <c r="AN373" s="298" t="s">
        <v>52</v>
      </c>
      <c r="AO373" s="234" t="s">
        <v>305</v>
      </c>
    </row>
    <row r="374" ht="15.75" customHeight="1">
      <c r="A374" s="69">
        <v>43574.0</v>
      </c>
      <c r="B374" s="70" t="s">
        <v>130</v>
      </c>
      <c r="C374" s="21" t="s">
        <v>948</v>
      </c>
      <c r="D374" s="21" t="s">
        <v>949</v>
      </c>
      <c r="E374" s="23" t="s">
        <v>952</v>
      </c>
      <c r="F374" s="24">
        <v>1.0</v>
      </c>
      <c r="G374" s="47">
        <v>441.0</v>
      </c>
      <c r="H374" s="60">
        <f t="shared" si="43"/>
        <v>441</v>
      </c>
      <c r="I374" s="61" t="s">
        <v>248</v>
      </c>
      <c r="J374" s="50" t="s">
        <v>134</v>
      </c>
      <c r="K374" s="29">
        <v>43580.0</v>
      </c>
      <c r="L374" s="29">
        <v>43579.0</v>
      </c>
      <c r="M374" s="50" t="s">
        <v>90</v>
      </c>
      <c r="N374" s="93" t="s">
        <v>2567</v>
      </c>
      <c r="O374" s="408"/>
      <c r="P374" s="408"/>
      <c r="Q374" s="408">
        <v>430.5</v>
      </c>
      <c r="R374" s="408"/>
      <c r="S374" s="408">
        <v>13264.0</v>
      </c>
      <c r="T374" s="35" t="s">
        <v>94</v>
      </c>
      <c r="U374" s="302">
        <v>43616.0</v>
      </c>
      <c r="V374" s="302">
        <v>43578.0</v>
      </c>
      <c r="W374" s="296" t="s">
        <v>951</v>
      </c>
      <c r="X374" s="296" t="s">
        <v>2568</v>
      </c>
      <c r="Y374" s="302">
        <v>43616.0</v>
      </c>
      <c r="Z374" s="306" t="s">
        <v>2547</v>
      </c>
      <c r="AA374" s="352">
        <v>5.618128191E9</v>
      </c>
      <c r="AB374" s="306"/>
      <c r="AC374" s="306"/>
      <c r="AD374" s="306"/>
      <c r="AE374" s="298"/>
      <c r="AF374" s="298">
        <v>30.81</v>
      </c>
      <c r="AG374" s="299">
        <f t="shared" si="44"/>
        <v>13587.21</v>
      </c>
      <c r="AH374" s="300">
        <v>43602.0</v>
      </c>
      <c r="AI374" s="299" t="s">
        <v>2555</v>
      </c>
      <c r="AJ374" s="299" t="s">
        <v>2556</v>
      </c>
      <c r="AK374" s="298" t="s">
        <v>50</v>
      </c>
      <c r="AL374" s="298" t="s">
        <v>285</v>
      </c>
      <c r="AM374" s="298" t="s">
        <v>51</v>
      </c>
      <c r="AN374" s="298" t="s">
        <v>52</v>
      </c>
      <c r="AO374" s="234" t="s">
        <v>305</v>
      </c>
    </row>
    <row r="375" ht="15.75" customHeight="1">
      <c r="A375" s="69">
        <v>43577.0</v>
      </c>
      <c r="B375" s="70" t="s">
        <v>77</v>
      </c>
      <c r="C375" s="21">
        <v>327.0</v>
      </c>
      <c r="D375" s="21" t="s">
        <v>953</v>
      </c>
      <c r="E375" s="23" t="s">
        <v>315</v>
      </c>
      <c r="F375" s="24">
        <v>6.0</v>
      </c>
      <c r="G375" s="48">
        <v>285.0</v>
      </c>
      <c r="H375" s="26">
        <f t="shared" si="43"/>
        <v>1710</v>
      </c>
      <c r="I375" s="49" t="s">
        <v>43</v>
      </c>
      <c r="J375" s="433" t="s">
        <v>936</v>
      </c>
      <c r="K375" s="29">
        <v>43588.0</v>
      </c>
      <c r="L375" s="652">
        <v>43581.0</v>
      </c>
      <c r="M375" s="653" t="s">
        <v>1998</v>
      </c>
      <c r="N375" s="615" t="s">
        <v>2569</v>
      </c>
      <c r="O375" s="619"/>
      <c r="P375" s="619"/>
      <c r="Q375" s="619">
        <v>2079.0</v>
      </c>
      <c r="R375" s="619"/>
      <c r="S375" s="619">
        <v>48636.0</v>
      </c>
      <c r="T375" s="618" t="s">
        <v>2000</v>
      </c>
      <c r="U375" s="302">
        <v>43646.0</v>
      </c>
      <c r="V375" s="302">
        <v>43580.0</v>
      </c>
      <c r="W375" s="296" t="s">
        <v>954</v>
      </c>
      <c r="X375" s="296">
        <v>112835.0</v>
      </c>
      <c r="Y375" s="302">
        <v>43649.0</v>
      </c>
      <c r="Z375" s="296" t="s">
        <v>2552</v>
      </c>
      <c r="AA375" s="675" t="s">
        <v>2553</v>
      </c>
      <c r="AB375" s="296"/>
      <c r="AC375" s="296"/>
      <c r="AD375" s="296"/>
      <c r="AE375" s="371"/>
      <c r="AF375" s="371">
        <v>30.845</v>
      </c>
      <c r="AG375" s="372">
        <f>4005*30.845</f>
        <v>123534.225</v>
      </c>
      <c r="AH375" s="373">
        <v>43633.0</v>
      </c>
      <c r="AI375" s="372" t="s">
        <v>2527</v>
      </c>
      <c r="AJ375" s="372" t="s">
        <v>2528</v>
      </c>
      <c r="AK375" s="371" t="s">
        <v>50</v>
      </c>
      <c r="AL375" s="371" t="s">
        <v>285</v>
      </c>
      <c r="AM375" s="371" t="s">
        <v>51</v>
      </c>
      <c r="AN375" s="371" t="s">
        <v>52</v>
      </c>
      <c r="AO375" s="374" t="s">
        <v>440</v>
      </c>
    </row>
    <row r="376" ht="15.75" customHeight="1">
      <c r="A376" s="69">
        <v>43577.0</v>
      </c>
      <c r="B376" s="70" t="s">
        <v>77</v>
      </c>
      <c r="C376" s="21">
        <v>327.0</v>
      </c>
      <c r="D376" s="21" t="s">
        <v>953</v>
      </c>
      <c r="E376" s="23" t="s">
        <v>318</v>
      </c>
      <c r="F376" s="435">
        <v>9.0</v>
      </c>
      <c r="G376" s="25">
        <v>255.0</v>
      </c>
      <c r="H376" s="26">
        <f t="shared" si="43"/>
        <v>2295</v>
      </c>
      <c r="I376" s="49" t="s">
        <v>43</v>
      </c>
      <c r="J376" s="433" t="s">
        <v>936</v>
      </c>
      <c r="K376" s="29">
        <v>43588.0</v>
      </c>
      <c r="L376" s="652">
        <v>43581.0</v>
      </c>
      <c r="M376" s="653" t="s">
        <v>1998</v>
      </c>
      <c r="N376" s="615" t="s">
        <v>2569</v>
      </c>
      <c r="O376" s="619"/>
      <c r="P376" s="619"/>
      <c r="Q376" s="619">
        <v>1575.0</v>
      </c>
      <c r="R376" s="619"/>
      <c r="S376" s="619">
        <v>64199.0</v>
      </c>
      <c r="T376" s="618" t="s">
        <v>2000</v>
      </c>
      <c r="U376" s="302">
        <v>43646.0</v>
      </c>
      <c r="V376" s="302">
        <v>43580.0</v>
      </c>
      <c r="W376" s="296" t="s">
        <v>954</v>
      </c>
      <c r="X376" s="296" t="s">
        <v>2570</v>
      </c>
      <c r="Y376" s="302">
        <v>43649.0</v>
      </c>
      <c r="Z376" s="296" t="s">
        <v>2552</v>
      </c>
      <c r="AA376" s="296" t="s">
        <v>2553</v>
      </c>
      <c r="AB376" s="296"/>
      <c r="AC376" s="296"/>
      <c r="AD376" s="296"/>
      <c r="AE376" s="371"/>
      <c r="AF376" s="371">
        <v>30.845</v>
      </c>
      <c r="AG376" s="372">
        <v>0.0</v>
      </c>
      <c r="AH376" s="373">
        <v>43633.0</v>
      </c>
      <c r="AI376" s="372" t="s">
        <v>2527</v>
      </c>
      <c r="AJ376" s="372" t="s">
        <v>2528</v>
      </c>
      <c r="AK376" s="371" t="s">
        <v>50</v>
      </c>
      <c r="AL376" s="371" t="s">
        <v>285</v>
      </c>
      <c r="AM376" s="371" t="s">
        <v>51</v>
      </c>
      <c r="AN376" s="371" t="s">
        <v>52</v>
      </c>
      <c r="AO376" s="374" t="s">
        <v>440</v>
      </c>
    </row>
    <row r="377" ht="15.75" customHeight="1">
      <c r="A377" s="69">
        <v>43577.0</v>
      </c>
      <c r="B377" s="23" t="s">
        <v>406</v>
      </c>
      <c r="C377" s="21">
        <v>7.000146822E9</v>
      </c>
      <c r="D377" s="21" t="s">
        <v>955</v>
      </c>
      <c r="E377" s="23" t="s">
        <v>956</v>
      </c>
      <c r="F377" s="24">
        <v>2.0</v>
      </c>
      <c r="G377" s="48">
        <v>266.0</v>
      </c>
      <c r="H377" s="26">
        <f t="shared" si="43"/>
        <v>532</v>
      </c>
      <c r="I377" s="49" t="s">
        <v>43</v>
      </c>
      <c r="J377" s="50" t="s">
        <v>513</v>
      </c>
      <c r="K377" s="29">
        <v>43591.0</v>
      </c>
      <c r="L377" s="30">
        <v>43580.0</v>
      </c>
      <c r="M377" s="58" t="s">
        <v>2078</v>
      </c>
      <c r="N377" s="21" t="s">
        <v>2571</v>
      </c>
      <c r="O377" s="408"/>
      <c r="P377" s="408"/>
      <c r="Q377" s="408"/>
      <c r="R377" s="408"/>
      <c r="S377" s="408">
        <v>14711.0</v>
      </c>
      <c r="T377" s="20" t="s">
        <v>2080</v>
      </c>
      <c r="U377" s="462">
        <v>43646.0</v>
      </c>
      <c r="V377" s="462">
        <v>43578.0</v>
      </c>
      <c r="W377" s="306" t="s">
        <v>957</v>
      </c>
      <c r="X377" s="352">
        <v>63063.0</v>
      </c>
      <c r="Y377" s="462">
        <v>43647.0</v>
      </c>
      <c r="Z377" s="306" t="s">
        <v>2572</v>
      </c>
      <c r="AA377" s="306">
        <v>4.97993692E9</v>
      </c>
      <c r="AB377" s="306"/>
      <c r="AC377" s="306"/>
      <c r="AD377" s="306"/>
      <c r="AE377" s="298"/>
      <c r="AF377" s="298">
        <v>30.845</v>
      </c>
      <c r="AG377" s="299">
        <f>2214.4*30.845</f>
        <v>68303.168</v>
      </c>
      <c r="AH377" s="300">
        <v>43650.0</v>
      </c>
      <c r="AI377" s="299"/>
      <c r="AJ377" s="299"/>
      <c r="AK377" s="298" t="s">
        <v>50</v>
      </c>
      <c r="AL377" s="82" t="s">
        <v>285</v>
      </c>
      <c r="AM377" s="298" t="s">
        <v>51</v>
      </c>
      <c r="AN377" s="298" t="s">
        <v>52</v>
      </c>
      <c r="AO377" s="459" t="s">
        <v>750</v>
      </c>
    </row>
    <row r="378" ht="15.75" customHeight="1">
      <c r="A378" s="69">
        <v>43577.0</v>
      </c>
      <c r="B378" s="23" t="s">
        <v>406</v>
      </c>
      <c r="C378" s="21">
        <v>7.000146822E9</v>
      </c>
      <c r="D378" s="21" t="s">
        <v>955</v>
      </c>
      <c r="E378" s="23" t="s">
        <v>958</v>
      </c>
      <c r="F378" s="24">
        <v>5.0</v>
      </c>
      <c r="G378" s="48">
        <v>74.0</v>
      </c>
      <c r="H378" s="26">
        <f t="shared" si="43"/>
        <v>370</v>
      </c>
      <c r="I378" s="49" t="s">
        <v>43</v>
      </c>
      <c r="J378" s="50" t="s">
        <v>513</v>
      </c>
      <c r="K378" s="29">
        <v>43591.0</v>
      </c>
      <c r="L378" s="30">
        <v>43580.0</v>
      </c>
      <c r="M378" s="58" t="s">
        <v>2078</v>
      </c>
      <c r="N378" s="21" t="s">
        <v>2571</v>
      </c>
      <c r="O378" s="408"/>
      <c r="P378" s="408"/>
      <c r="Q378" s="408"/>
      <c r="R378" s="655"/>
      <c r="S378" s="655">
        <v>10552.5</v>
      </c>
      <c r="T378" s="20" t="s">
        <v>2080</v>
      </c>
      <c r="U378" s="462">
        <v>43646.0</v>
      </c>
      <c r="V378" s="462">
        <v>43578.0</v>
      </c>
      <c r="W378" s="306" t="s">
        <v>957</v>
      </c>
      <c r="X378" s="306" t="s">
        <v>2573</v>
      </c>
      <c r="Y378" s="462">
        <v>43647.0</v>
      </c>
      <c r="Z378" s="306" t="s">
        <v>2572</v>
      </c>
      <c r="AA378" s="306">
        <v>4.97993692E9</v>
      </c>
      <c r="AB378" s="306"/>
      <c r="AC378" s="306"/>
      <c r="AD378" s="306"/>
      <c r="AE378" s="298"/>
      <c r="AF378" s="298">
        <v>30.845</v>
      </c>
      <c r="AG378" s="299">
        <v>0.0</v>
      </c>
      <c r="AH378" s="300">
        <v>43650.0</v>
      </c>
      <c r="AI378" s="299"/>
      <c r="AJ378" s="299"/>
      <c r="AK378" s="298" t="s">
        <v>50</v>
      </c>
      <c r="AL378" s="82" t="s">
        <v>285</v>
      </c>
      <c r="AM378" s="298" t="s">
        <v>51</v>
      </c>
      <c r="AN378" s="298" t="s">
        <v>52</v>
      </c>
      <c r="AO378" s="459" t="s">
        <v>750</v>
      </c>
    </row>
    <row r="379" ht="15.75" customHeight="1">
      <c r="A379" s="69">
        <v>43577.0</v>
      </c>
      <c r="B379" s="32" t="s">
        <v>406</v>
      </c>
      <c r="C379" s="21">
        <v>7.000146822E9</v>
      </c>
      <c r="D379" s="21" t="s">
        <v>955</v>
      </c>
      <c r="E379" s="23" t="s">
        <v>519</v>
      </c>
      <c r="F379" s="24">
        <v>8.0</v>
      </c>
      <c r="G379" s="48">
        <v>141.8</v>
      </c>
      <c r="H379" s="26">
        <f t="shared" si="43"/>
        <v>1134.4</v>
      </c>
      <c r="I379" s="49" t="s">
        <v>43</v>
      </c>
      <c r="J379" s="50" t="s">
        <v>513</v>
      </c>
      <c r="K379" s="29">
        <v>43591.0</v>
      </c>
      <c r="L379" s="30">
        <v>43580.0</v>
      </c>
      <c r="M379" s="58" t="s">
        <v>2078</v>
      </c>
      <c r="N379" s="21" t="s">
        <v>2571</v>
      </c>
      <c r="O379" s="408"/>
      <c r="P379" s="408"/>
      <c r="Q379" s="408"/>
      <c r="R379" s="408"/>
      <c r="S379" s="408">
        <v>32877.0</v>
      </c>
      <c r="T379" s="22" t="s">
        <v>2080</v>
      </c>
      <c r="U379" s="462">
        <v>43646.0</v>
      </c>
      <c r="V379" s="462">
        <v>43578.0</v>
      </c>
      <c r="W379" s="306" t="s">
        <v>957</v>
      </c>
      <c r="X379" s="306" t="s">
        <v>2573</v>
      </c>
      <c r="Y379" s="462">
        <v>43647.0</v>
      </c>
      <c r="Z379" s="306" t="s">
        <v>2572</v>
      </c>
      <c r="AA379" s="306">
        <v>4.97993692E9</v>
      </c>
      <c r="AB379" s="306"/>
      <c r="AC379" s="306"/>
      <c r="AD379" s="306"/>
      <c r="AE379" s="298"/>
      <c r="AF379" s="298">
        <v>30.845</v>
      </c>
      <c r="AG379" s="299">
        <v>0.0</v>
      </c>
      <c r="AH379" s="300">
        <v>43650.0</v>
      </c>
      <c r="AI379" s="299"/>
      <c r="AJ379" s="299"/>
      <c r="AK379" s="298" t="s">
        <v>50</v>
      </c>
      <c r="AL379" s="82" t="s">
        <v>285</v>
      </c>
      <c r="AM379" s="298" t="s">
        <v>51</v>
      </c>
      <c r="AN379" s="298" t="s">
        <v>52</v>
      </c>
      <c r="AO379" s="459" t="s">
        <v>750</v>
      </c>
    </row>
    <row r="380" ht="15.75" customHeight="1">
      <c r="A380" s="69">
        <v>43577.0</v>
      </c>
      <c r="B380" s="32" t="s">
        <v>406</v>
      </c>
      <c r="C380" s="21">
        <v>7.000146822E9</v>
      </c>
      <c r="D380" s="21" t="s">
        <v>955</v>
      </c>
      <c r="E380" s="23" t="s">
        <v>485</v>
      </c>
      <c r="F380" s="24">
        <v>1.0</v>
      </c>
      <c r="G380" s="48">
        <v>178.0</v>
      </c>
      <c r="H380" s="26">
        <f t="shared" si="43"/>
        <v>178</v>
      </c>
      <c r="I380" s="49" t="s">
        <v>43</v>
      </c>
      <c r="J380" s="50" t="s">
        <v>513</v>
      </c>
      <c r="K380" s="29">
        <v>43591.0</v>
      </c>
      <c r="L380" s="30">
        <v>43580.0</v>
      </c>
      <c r="M380" s="58" t="s">
        <v>2078</v>
      </c>
      <c r="N380" s="21" t="s">
        <v>2571</v>
      </c>
      <c r="O380" s="408"/>
      <c r="P380" s="408"/>
      <c r="Q380" s="408"/>
      <c r="R380" s="408"/>
      <c r="S380" s="408">
        <v>4922.0</v>
      </c>
      <c r="T380" s="22" t="s">
        <v>2080</v>
      </c>
      <c r="U380" s="462">
        <v>43646.0</v>
      </c>
      <c r="V380" s="462">
        <v>43578.0</v>
      </c>
      <c r="W380" s="306" t="s">
        <v>957</v>
      </c>
      <c r="X380" s="306" t="s">
        <v>2573</v>
      </c>
      <c r="Y380" s="462">
        <v>43647.0</v>
      </c>
      <c r="Z380" s="306" t="s">
        <v>2572</v>
      </c>
      <c r="AA380" s="306">
        <v>4.97993692E9</v>
      </c>
      <c r="AB380" s="306"/>
      <c r="AC380" s="306"/>
      <c r="AD380" s="306"/>
      <c r="AE380" s="298"/>
      <c r="AF380" s="298">
        <v>30.845</v>
      </c>
      <c r="AG380" s="299">
        <v>0.0</v>
      </c>
      <c r="AH380" s="300">
        <v>43650.0</v>
      </c>
      <c r="AI380" s="299"/>
      <c r="AJ380" s="299"/>
      <c r="AK380" s="298" t="s">
        <v>50</v>
      </c>
      <c r="AL380" s="82" t="s">
        <v>285</v>
      </c>
      <c r="AM380" s="298" t="s">
        <v>51</v>
      </c>
      <c r="AN380" s="298" t="s">
        <v>52</v>
      </c>
      <c r="AO380" s="459" t="s">
        <v>750</v>
      </c>
    </row>
    <row r="381" ht="15.75" customHeight="1">
      <c r="A381" s="465">
        <v>43577.0</v>
      </c>
      <c r="B381" s="70" t="s">
        <v>906</v>
      </c>
      <c r="C381" s="21" t="s">
        <v>959</v>
      </c>
      <c r="D381" s="32" t="s">
        <v>960</v>
      </c>
      <c r="E381" s="23" t="s">
        <v>961</v>
      </c>
      <c r="F381" s="24">
        <v>16.0</v>
      </c>
      <c r="G381" s="48">
        <v>340.0</v>
      </c>
      <c r="H381" s="26">
        <f t="shared" si="43"/>
        <v>5440</v>
      </c>
      <c r="I381" s="49" t="s">
        <v>105</v>
      </c>
      <c r="J381" s="50">
        <v>1.0229913E8</v>
      </c>
      <c r="K381" s="30">
        <v>43598.0</v>
      </c>
      <c r="L381" s="29">
        <v>43595.0</v>
      </c>
      <c r="M381" s="50" t="s">
        <v>90</v>
      </c>
      <c r="N381" s="32" t="s">
        <v>2574</v>
      </c>
      <c r="O381" s="22"/>
      <c r="P381" s="22"/>
      <c r="Q381" s="22">
        <v>4876.7</v>
      </c>
      <c r="R381" s="22"/>
      <c r="S381" s="22">
        <v>150422.0</v>
      </c>
      <c r="T381" s="51" t="s">
        <v>94</v>
      </c>
      <c r="U381" s="461">
        <v>43646.0</v>
      </c>
      <c r="V381" s="461">
        <v>43595.0</v>
      </c>
      <c r="W381" s="352" t="s">
        <v>962</v>
      </c>
      <c r="X381" s="473">
        <v>162729.0</v>
      </c>
      <c r="Y381" s="472">
        <v>43647.0</v>
      </c>
      <c r="Z381" s="306" t="s">
        <v>2575</v>
      </c>
      <c r="AA381" s="306">
        <v>1.0229913E8</v>
      </c>
      <c r="AB381" s="352"/>
      <c r="AC381" s="352"/>
      <c r="AD381" s="352"/>
      <c r="AE381" s="82"/>
      <c r="AF381" s="82">
        <v>30.845</v>
      </c>
      <c r="AG381" s="432">
        <f>5880.8*30.845</f>
        <v>181393.276</v>
      </c>
      <c r="AH381" s="145">
        <v>43592.0</v>
      </c>
      <c r="AI381" s="432">
        <f>12495.8*30.86</f>
        <v>385620.388</v>
      </c>
      <c r="AJ381" s="432">
        <v>7.0</v>
      </c>
      <c r="AK381" s="82" t="s">
        <v>50</v>
      </c>
      <c r="AL381" s="298" t="s">
        <v>285</v>
      </c>
      <c r="AM381" s="82" t="s">
        <v>51</v>
      </c>
      <c r="AN381" s="82" t="s">
        <v>52</v>
      </c>
      <c r="AO381" s="234" t="s">
        <v>305</v>
      </c>
    </row>
    <row r="382" ht="15.75" customHeight="1">
      <c r="A382" s="465">
        <v>43577.0</v>
      </c>
      <c r="B382" s="70" t="s">
        <v>906</v>
      </c>
      <c r="C382" s="21" t="s">
        <v>959</v>
      </c>
      <c r="D382" s="32" t="s">
        <v>960</v>
      </c>
      <c r="E382" s="23" t="s">
        <v>963</v>
      </c>
      <c r="F382" s="24">
        <v>76.0</v>
      </c>
      <c r="G382" s="48">
        <v>5.8</v>
      </c>
      <c r="H382" s="26">
        <f t="shared" si="43"/>
        <v>440.8</v>
      </c>
      <c r="I382" s="49" t="s">
        <v>105</v>
      </c>
      <c r="J382" s="50">
        <v>1.0229913E8</v>
      </c>
      <c r="K382" s="30">
        <v>43598.0</v>
      </c>
      <c r="L382" s="29">
        <v>43595.0</v>
      </c>
      <c r="M382" s="50" t="s">
        <v>90</v>
      </c>
      <c r="N382" s="32" t="s">
        <v>2574</v>
      </c>
      <c r="O382" s="22"/>
      <c r="P382" s="22"/>
      <c r="Q382" s="22">
        <v>399.0</v>
      </c>
      <c r="R382" s="22"/>
      <c r="S382" s="22">
        <v>12307.0</v>
      </c>
      <c r="T382" s="51" t="s">
        <v>94</v>
      </c>
      <c r="U382" s="461">
        <v>43646.0</v>
      </c>
      <c r="V382" s="461">
        <v>43595.0</v>
      </c>
      <c r="W382" s="352" t="s">
        <v>962</v>
      </c>
      <c r="X382" s="473" t="s">
        <v>2576</v>
      </c>
      <c r="Y382" s="472">
        <v>43647.0</v>
      </c>
      <c r="Z382" s="306" t="s">
        <v>2575</v>
      </c>
      <c r="AA382" s="306">
        <v>1.0229913E8</v>
      </c>
      <c r="AB382" s="352"/>
      <c r="AC382" s="352"/>
      <c r="AD382" s="352"/>
      <c r="AE382" s="82"/>
      <c r="AF382" s="82">
        <v>30.845</v>
      </c>
      <c r="AG382" s="432">
        <v>0.0</v>
      </c>
      <c r="AH382" s="145">
        <v>43592.0</v>
      </c>
      <c r="AI382" s="432" t="s">
        <v>2577</v>
      </c>
      <c r="AJ382" s="432" t="s">
        <v>2578</v>
      </c>
      <c r="AK382" s="82" t="s">
        <v>50</v>
      </c>
      <c r="AL382" s="298" t="s">
        <v>285</v>
      </c>
      <c r="AM382" s="82" t="s">
        <v>51</v>
      </c>
      <c r="AN382" s="82" t="s">
        <v>52</v>
      </c>
      <c r="AO382" s="234" t="s">
        <v>305</v>
      </c>
    </row>
    <row r="383" ht="15.75" customHeight="1">
      <c r="A383" s="69">
        <v>43578.0</v>
      </c>
      <c r="B383" s="70" t="s">
        <v>229</v>
      </c>
      <c r="C383" s="21" t="s">
        <v>964</v>
      </c>
      <c r="D383" s="21" t="s">
        <v>965</v>
      </c>
      <c r="E383" s="23" t="s">
        <v>232</v>
      </c>
      <c r="F383" s="24">
        <v>15.0</v>
      </c>
      <c r="G383" s="48">
        <v>407.4</v>
      </c>
      <c r="H383" s="26">
        <f t="shared" si="43"/>
        <v>6111</v>
      </c>
      <c r="I383" s="61" t="s">
        <v>171</v>
      </c>
      <c r="J383" s="63" t="s">
        <v>90</v>
      </c>
      <c r="K383" s="29">
        <v>43592.0</v>
      </c>
      <c r="L383" s="652">
        <v>43591.0</v>
      </c>
      <c r="M383" s="614" t="s">
        <v>90</v>
      </c>
      <c r="N383" s="615" t="s">
        <v>2579</v>
      </c>
      <c r="O383" s="619"/>
      <c r="P383" s="619"/>
      <c r="Q383" s="619">
        <v>5591.25</v>
      </c>
      <c r="R383" s="619"/>
      <c r="S383" s="619">
        <v>172462.0</v>
      </c>
      <c r="T383" s="617" t="s">
        <v>94</v>
      </c>
      <c r="U383" s="302">
        <v>43646.0</v>
      </c>
      <c r="V383" s="302">
        <v>43588.0</v>
      </c>
      <c r="W383" s="296" t="s">
        <v>966</v>
      </c>
      <c r="X383" s="296">
        <v>172462.0</v>
      </c>
      <c r="Y383" s="302">
        <v>43647.0</v>
      </c>
      <c r="Z383" s="296" t="s">
        <v>2580</v>
      </c>
      <c r="AA383" s="296" t="s">
        <v>2581</v>
      </c>
      <c r="AB383" s="296">
        <v>30.89</v>
      </c>
      <c r="AC383" s="296">
        <v>188769.0</v>
      </c>
      <c r="AD383" s="302">
        <v>43592.0</v>
      </c>
      <c r="AE383" s="371"/>
      <c r="AF383" s="371"/>
      <c r="AG383" s="372"/>
      <c r="AH383" s="373">
        <v>43635.0</v>
      </c>
      <c r="AI383" s="372">
        <v>188769.0</v>
      </c>
      <c r="AJ383" s="372">
        <v>0.0</v>
      </c>
      <c r="AK383" s="371" t="s">
        <v>50</v>
      </c>
      <c r="AL383" s="371" t="s">
        <v>285</v>
      </c>
      <c r="AM383" s="371" t="s">
        <v>51</v>
      </c>
      <c r="AN383" s="371" t="s">
        <v>377</v>
      </c>
      <c r="AO383" s="374" t="s">
        <v>440</v>
      </c>
    </row>
    <row r="384" ht="15.75" customHeight="1">
      <c r="A384" s="69">
        <v>43579.0</v>
      </c>
      <c r="B384" s="70" t="s">
        <v>906</v>
      </c>
      <c r="C384" s="21" t="s">
        <v>959</v>
      </c>
      <c r="D384" s="21" t="s">
        <v>967</v>
      </c>
      <c r="E384" s="23" t="s">
        <v>968</v>
      </c>
      <c r="F384" s="24">
        <v>13.0</v>
      </c>
      <c r="G384" s="48">
        <v>305.0</v>
      </c>
      <c r="H384" s="26">
        <f t="shared" si="43"/>
        <v>3965</v>
      </c>
      <c r="I384" s="27" t="s">
        <v>303</v>
      </c>
      <c r="J384" s="50">
        <v>1.0229913E8</v>
      </c>
      <c r="K384" s="30">
        <v>43598.0</v>
      </c>
      <c r="L384" s="29">
        <v>43585.0</v>
      </c>
      <c r="M384" s="82" t="s">
        <v>2034</v>
      </c>
      <c r="N384" s="93" t="s">
        <v>2582</v>
      </c>
      <c r="O384" s="408"/>
      <c r="P384" s="408"/>
      <c r="Q384" s="408">
        <v>3685.5</v>
      </c>
      <c r="R384" s="408"/>
      <c r="S384" s="408">
        <v>113550.0</v>
      </c>
      <c r="T384" s="503" t="s">
        <v>2036</v>
      </c>
      <c r="U384" s="462">
        <v>43646.0</v>
      </c>
      <c r="V384" s="462">
        <v>43584.0</v>
      </c>
      <c r="W384" s="306" t="s">
        <v>969</v>
      </c>
      <c r="X384" s="306">
        <v>191191.0</v>
      </c>
      <c r="Y384" s="462">
        <v>43647.0</v>
      </c>
      <c r="Z384" s="306" t="s">
        <v>2575</v>
      </c>
      <c r="AA384" s="306">
        <v>1.0229913E8</v>
      </c>
      <c r="AB384" s="306"/>
      <c r="AC384" s="306"/>
      <c r="AD384" s="306"/>
      <c r="AE384" s="298"/>
      <c r="AF384" s="82">
        <v>30.845</v>
      </c>
      <c r="AG384" s="299">
        <f>6615*30.845</f>
        <v>204039.675</v>
      </c>
      <c r="AH384" s="145">
        <v>43592.0</v>
      </c>
      <c r="AI384" s="432" t="s">
        <v>2577</v>
      </c>
      <c r="AJ384" s="432" t="s">
        <v>2578</v>
      </c>
      <c r="AK384" s="298" t="s">
        <v>50</v>
      </c>
      <c r="AL384" s="298" t="s">
        <v>285</v>
      </c>
      <c r="AM384" s="298" t="s">
        <v>51</v>
      </c>
      <c r="AN384" s="298" t="s">
        <v>52</v>
      </c>
      <c r="AO384" s="234" t="s">
        <v>305</v>
      </c>
    </row>
    <row r="385" ht="15.75" customHeight="1">
      <c r="A385" s="69">
        <v>43579.0</v>
      </c>
      <c r="B385" s="70" t="s">
        <v>906</v>
      </c>
      <c r="C385" s="21" t="s">
        <v>959</v>
      </c>
      <c r="D385" s="21" t="s">
        <v>967</v>
      </c>
      <c r="E385" s="23" t="s">
        <v>970</v>
      </c>
      <c r="F385" s="24">
        <v>25.0</v>
      </c>
      <c r="G385" s="48">
        <v>106.0</v>
      </c>
      <c r="H385" s="26">
        <f t="shared" si="43"/>
        <v>2650</v>
      </c>
      <c r="I385" s="27" t="s">
        <v>303</v>
      </c>
      <c r="J385" s="50">
        <v>1.0229913E8</v>
      </c>
      <c r="K385" s="30">
        <v>43598.0</v>
      </c>
      <c r="L385" s="29">
        <v>43585.0</v>
      </c>
      <c r="M385" s="82" t="s">
        <v>2034</v>
      </c>
      <c r="N385" s="93" t="s">
        <v>2583</v>
      </c>
      <c r="O385" s="408"/>
      <c r="P385" s="408"/>
      <c r="Q385" s="408">
        <v>2520.0</v>
      </c>
      <c r="R385" s="408"/>
      <c r="S385" s="408">
        <v>77641.0</v>
      </c>
      <c r="T385" s="408" t="s">
        <v>2036</v>
      </c>
      <c r="U385" s="462">
        <v>43646.0</v>
      </c>
      <c r="V385" s="462">
        <v>43584.0</v>
      </c>
      <c r="W385" s="306" t="s">
        <v>969</v>
      </c>
      <c r="X385" s="306" t="s">
        <v>2584</v>
      </c>
      <c r="Y385" s="462">
        <v>43647.0</v>
      </c>
      <c r="Z385" s="306" t="s">
        <v>2575</v>
      </c>
      <c r="AA385" s="306">
        <v>1.0229913E8</v>
      </c>
      <c r="AB385" s="306"/>
      <c r="AC385" s="306"/>
      <c r="AD385" s="306"/>
      <c r="AE385" s="298"/>
      <c r="AF385" s="82">
        <v>30.845</v>
      </c>
      <c r="AG385" s="299">
        <v>0.0</v>
      </c>
      <c r="AH385" s="145">
        <v>43592.0</v>
      </c>
      <c r="AI385" s="432" t="s">
        <v>2577</v>
      </c>
      <c r="AJ385" s="432" t="s">
        <v>2578</v>
      </c>
      <c r="AK385" s="298" t="s">
        <v>50</v>
      </c>
      <c r="AL385" s="298" t="s">
        <v>285</v>
      </c>
      <c r="AM385" s="298" t="s">
        <v>51</v>
      </c>
      <c r="AN385" s="298" t="s">
        <v>52</v>
      </c>
      <c r="AO385" s="234" t="s">
        <v>305</v>
      </c>
    </row>
    <row r="386" ht="15.75" customHeight="1">
      <c r="A386" s="465">
        <v>43580.0</v>
      </c>
      <c r="B386" s="70" t="s">
        <v>101</v>
      </c>
      <c r="C386" s="21" t="s">
        <v>0</v>
      </c>
      <c r="D386" s="32" t="s">
        <v>971</v>
      </c>
      <c r="E386" s="23" t="s">
        <v>347</v>
      </c>
      <c r="F386" s="24">
        <v>1.0</v>
      </c>
      <c r="G386" s="48">
        <v>57.0</v>
      </c>
      <c r="H386" s="26">
        <f t="shared" si="43"/>
        <v>57</v>
      </c>
      <c r="I386" s="61" t="s">
        <v>703</v>
      </c>
      <c r="J386" s="50" t="s">
        <v>263</v>
      </c>
      <c r="K386" s="29">
        <v>43580.0</v>
      </c>
      <c r="L386" s="30"/>
      <c r="M386" s="58" t="s">
        <v>2032</v>
      </c>
      <c r="N386" s="21" t="s">
        <v>2474</v>
      </c>
      <c r="O386" s="22"/>
      <c r="P386" s="22"/>
      <c r="Q386" s="22"/>
      <c r="R386" s="588"/>
      <c r="S386" s="588">
        <v>1581.0</v>
      </c>
      <c r="T386" s="22" t="s">
        <v>2033</v>
      </c>
      <c r="U386" s="461">
        <v>43616.0</v>
      </c>
      <c r="V386" s="461">
        <v>43585.0</v>
      </c>
      <c r="W386" s="352" t="s">
        <v>972</v>
      </c>
      <c r="X386" s="473">
        <v>1581.0</v>
      </c>
      <c r="Y386" s="46">
        <v>43616.0</v>
      </c>
      <c r="Z386" s="306" t="s">
        <v>2475</v>
      </c>
      <c r="AA386" s="352">
        <v>4.328912582E9</v>
      </c>
      <c r="AB386" s="352"/>
      <c r="AC386" s="352"/>
      <c r="AD386" s="352"/>
      <c r="AE386" s="82"/>
      <c r="AF386" s="298">
        <v>30.81</v>
      </c>
      <c r="AG386" s="299">
        <f>AF386*H386</f>
        <v>1756.17</v>
      </c>
      <c r="AH386" s="145">
        <v>43602.0</v>
      </c>
      <c r="AI386" s="299" t="s">
        <v>1993</v>
      </c>
      <c r="AJ386" s="299" t="s">
        <v>1994</v>
      </c>
      <c r="AK386" s="298" t="s">
        <v>50</v>
      </c>
      <c r="AL386" s="298" t="s">
        <v>285</v>
      </c>
      <c r="AM386" s="82" t="s">
        <v>51</v>
      </c>
      <c r="AN386" s="82" t="s">
        <v>52</v>
      </c>
      <c r="AO386" s="234" t="s">
        <v>305</v>
      </c>
    </row>
    <row r="387" ht="15.75" customHeight="1">
      <c r="A387" s="69">
        <v>43581.0</v>
      </c>
      <c r="B387" s="70" t="s">
        <v>631</v>
      </c>
      <c r="C387" s="21" t="s">
        <v>973</v>
      </c>
      <c r="D387" s="21" t="s">
        <v>974</v>
      </c>
      <c r="E387" s="23" t="s">
        <v>975</v>
      </c>
      <c r="F387" s="24">
        <v>1.0</v>
      </c>
      <c r="G387" s="47">
        <v>87.0</v>
      </c>
      <c r="H387" s="60">
        <f t="shared" si="43"/>
        <v>87</v>
      </c>
      <c r="I387" s="348" t="s">
        <v>248</v>
      </c>
      <c r="J387" s="63" t="s">
        <v>976</v>
      </c>
      <c r="K387" s="476">
        <v>43594.0</v>
      </c>
      <c r="L387" s="652">
        <v>43593.0</v>
      </c>
      <c r="M387" s="614" t="s">
        <v>90</v>
      </c>
      <c r="N387" s="615" t="s">
        <v>2585</v>
      </c>
      <c r="O387" s="619"/>
      <c r="P387" s="619"/>
      <c r="Q387" s="619">
        <v>80.175</v>
      </c>
      <c r="R387" s="619"/>
      <c r="S387" s="619">
        <v>2473.0</v>
      </c>
      <c r="T387" s="648" t="s">
        <v>94</v>
      </c>
      <c r="U387" s="302">
        <v>43646.0</v>
      </c>
      <c r="V387" s="302">
        <v>43592.0</v>
      </c>
      <c r="W387" s="296" t="s">
        <v>977</v>
      </c>
      <c r="X387" s="296">
        <v>2473.0</v>
      </c>
      <c r="Y387" s="302">
        <v>43647.0</v>
      </c>
      <c r="Z387" s="296" t="s">
        <v>2586</v>
      </c>
      <c r="AA387" s="296"/>
      <c r="AB387" s="296">
        <v>30.92</v>
      </c>
      <c r="AC387" s="296">
        <v>3571.0</v>
      </c>
      <c r="AD387" s="302">
        <v>43594.0</v>
      </c>
      <c r="AE387" s="371"/>
      <c r="AF387" s="371"/>
      <c r="AG387" s="372"/>
      <c r="AH387" s="373">
        <v>43613.0</v>
      </c>
      <c r="AI387" s="372">
        <v>3541.0</v>
      </c>
      <c r="AJ387" s="372">
        <v>30.0</v>
      </c>
      <c r="AK387" s="371" t="s">
        <v>50</v>
      </c>
      <c r="AL387" s="371" t="s">
        <v>285</v>
      </c>
      <c r="AM387" s="371" t="s">
        <v>51</v>
      </c>
      <c r="AN387" s="371" t="s">
        <v>377</v>
      </c>
      <c r="AO387" s="374" t="s">
        <v>440</v>
      </c>
    </row>
    <row r="388" ht="15.75" customHeight="1">
      <c r="A388" s="69">
        <v>43581.0</v>
      </c>
      <c r="B388" s="70" t="s">
        <v>631</v>
      </c>
      <c r="C388" s="21" t="s">
        <v>973</v>
      </c>
      <c r="D388" s="21" t="s">
        <v>974</v>
      </c>
      <c r="E388" s="23" t="s">
        <v>978</v>
      </c>
      <c r="F388" s="24">
        <v>1.0</v>
      </c>
      <c r="G388" s="47">
        <v>23.0</v>
      </c>
      <c r="H388" s="60">
        <f t="shared" si="43"/>
        <v>23</v>
      </c>
      <c r="I388" s="348" t="s">
        <v>248</v>
      </c>
      <c r="J388" s="63" t="s">
        <v>979</v>
      </c>
      <c r="K388" s="476">
        <v>43594.0</v>
      </c>
      <c r="L388" s="652">
        <v>43581.0</v>
      </c>
      <c r="M388" s="644" t="s">
        <v>979</v>
      </c>
      <c r="N388" s="615"/>
      <c r="O388" s="619"/>
      <c r="P388" s="619"/>
      <c r="Q388" s="619"/>
      <c r="R388" s="619"/>
      <c r="S388" s="619">
        <v>236.25</v>
      </c>
      <c r="T388" s="619"/>
      <c r="U388" s="296"/>
      <c r="V388" s="296"/>
      <c r="W388" s="296"/>
      <c r="X388" s="296"/>
      <c r="Y388" s="296"/>
      <c r="Z388" s="296" t="s">
        <v>2586</v>
      </c>
      <c r="AA388" s="296"/>
      <c r="AB388" s="296">
        <v>30.92</v>
      </c>
      <c r="AC388" s="296" t="s">
        <v>2587</v>
      </c>
      <c r="AD388" s="302">
        <v>43594.0</v>
      </c>
      <c r="AE388" s="371"/>
      <c r="AF388" s="371"/>
      <c r="AG388" s="372"/>
      <c r="AH388" s="373">
        <v>43613.0</v>
      </c>
      <c r="AI388" s="372" t="s">
        <v>2588</v>
      </c>
      <c r="AJ388" s="372" t="s">
        <v>2589</v>
      </c>
      <c r="AK388" s="371" t="s">
        <v>50</v>
      </c>
      <c r="AL388" s="371" t="s">
        <v>285</v>
      </c>
      <c r="AM388" s="371" t="s">
        <v>51</v>
      </c>
      <c r="AN388" s="371" t="s">
        <v>377</v>
      </c>
      <c r="AO388" s="374" t="s">
        <v>440</v>
      </c>
    </row>
    <row r="389" ht="15.75" customHeight="1">
      <c r="A389" s="69">
        <v>43581.0</v>
      </c>
      <c r="B389" s="70" t="s">
        <v>77</v>
      </c>
      <c r="C389" s="21"/>
      <c r="D389" s="32" t="s">
        <v>980</v>
      </c>
      <c r="E389" s="23" t="s">
        <v>981</v>
      </c>
      <c r="F389" s="24">
        <v>1.0</v>
      </c>
      <c r="G389" s="48">
        <v>40.0</v>
      </c>
      <c r="H389" s="26">
        <f t="shared" si="43"/>
        <v>40</v>
      </c>
      <c r="I389" s="27" t="s">
        <v>43</v>
      </c>
      <c r="J389" s="433" t="s">
        <v>936</v>
      </c>
      <c r="K389" s="29">
        <v>43585.0</v>
      </c>
      <c r="L389" s="294"/>
      <c r="M389" s="653" t="s">
        <v>1998</v>
      </c>
      <c r="N389" s="615"/>
      <c r="O389" s="619"/>
      <c r="P389" s="619"/>
      <c r="Q389" s="619"/>
      <c r="R389" s="619"/>
      <c r="S389" s="619">
        <v>1298.0</v>
      </c>
      <c r="T389" s="619"/>
      <c r="U389" s="302">
        <v>43646.0</v>
      </c>
      <c r="V389" s="302">
        <v>43581.0</v>
      </c>
      <c r="W389" s="296" t="s">
        <v>982</v>
      </c>
      <c r="X389" s="296">
        <v>1298.0</v>
      </c>
      <c r="Y389" s="302">
        <v>43649.0</v>
      </c>
      <c r="Z389" s="296"/>
      <c r="AA389" s="296"/>
      <c r="AB389" s="296"/>
      <c r="AC389" s="296"/>
      <c r="AD389" s="296"/>
      <c r="AE389" s="371"/>
      <c r="AF389" s="371">
        <v>30.845</v>
      </c>
      <c r="AG389" s="372">
        <f>40*30.845</f>
        <v>1233.8</v>
      </c>
      <c r="AH389" s="373">
        <v>43633.0</v>
      </c>
      <c r="AI389" s="372" t="s">
        <v>2527</v>
      </c>
      <c r="AJ389" s="372" t="s">
        <v>2528</v>
      </c>
      <c r="AK389" s="371" t="s">
        <v>50</v>
      </c>
      <c r="AL389" s="371" t="s">
        <v>285</v>
      </c>
      <c r="AM389" s="371" t="s">
        <v>983</v>
      </c>
      <c r="AN389" s="371" t="s">
        <v>52</v>
      </c>
      <c r="AO389" s="374" t="s">
        <v>440</v>
      </c>
    </row>
    <row r="390" ht="15.75" customHeight="1">
      <c r="A390" s="69">
        <v>43587.0</v>
      </c>
      <c r="B390" s="70" t="s">
        <v>464</v>
      </c>
      <c r="C390" s="21">
        <v>504264.0</v>
      </c>
      <c r="D390" s="477" t="s">
        <v>984</v>
      </c>
      <c r="E390" s="23" t="s">
        <v>638</v>
      </c>
      <c r="F390" s="24">
        <v>1.0</v>
      </c>
      <c r="G390" s="47">
        <v>80.0</v>
      </c>
      <c r="H390" s="26">
        <f t="shared" ref="H390:H394" si="45">F390*G390</f>
        <v>80</v>
      </c>
      <c r="I390" s="27" t="s">
        <v>303</v>
      </c>
      <c r="J390" s="24" t="s">
        <v>467</v>
      </c>
      <c r="K390" s="300">
        <v>43614.0</v>
      </c>
      <c r="L390" s="613">
        <v>43613.0</v>
      </c>
      <c r="M390" s="653" t="s">
        <v>2125</v>
      </c>
      <c r="N390" s="615" t="s">
        <v>2590</v>
      </c>
      <c r="O390" s="619"/>
      <c r="P390" s="619"/>
      <c r="Q390" s="619"/>
      <c r="R390" s="619"/>
      <c r="S390" s="619">
        <v>1632.0</v>
      </c>
      <c r="T390" s="647" t="s">
        <v>2127</v>
      </c>
      <c r="U390" s="302">
        <v>43608.0</v>
      </c>
      <c r="V390" s="302">
        <v>43612.0</v>
      </c>
      <c r="W390" s="296" t="s">
        <v>985</v>
      </c>
      <c r="X390" s="296">
        <v>7564.0</v>
      </c>
      <c r="Y390" s="260">
        <v>43608.0</v>
      </c>
      <c r="Z390" s="296" t="s">
        <v>2591</v>
      </c>
      <c r="AA390" s="296">
        <v>1.06359576E8</v>
      </c>
      <c r="AB390" s="296"/>
      <c r="AC390" s="296"/>
      <c r="AD390" s="296"/>
      <c r="AE390" s="371"/>
      <c r="AF390" s="371">
        <v>31.05</v>
      </c>
      <c r="AG390" s="372">
        <f>4578*31.05</f>
        <v>142146.9</v>
      </c>
      <c r="AH390" s="373">
        <v>43612.0</v>
      </c>
      <c r="AI390" s="372">
        <f>4571.64*31.43</f>
        <v>143686.6452</v>
      </c>
      <c r="AJ390" s="372">
        <f>(4578-4571.64)*31.43</f>
        <v>199.8948</v>
      </c>
      <c r="AK390" s="371" t="s">
        <v>50</v>
      </c>
      <c r="AL390" s="371" t="s">
        <v>285</v>
      </c>
      <c r="AM390" s="371" t="s">
        <v>51</v>
      </c>
      <c r="AN390" s="371" t="s">
        <v>52</v>
      </c>
      <c r="AO390" s="374" t="s">
        <v>440</v>
      </c>
    </row>
    <row r="391" ht="15.75" customHeight="1">
      <c r="A391" s="69">
        <v>43587.0</v>
      </c>
      <c r="B391" s="70" t="s">
        <v>464</v>
      </c>
      <c r="C391" s="21">
        <v>504264.0</v>
      </c>
      <c r="D391" s="477" t="s">
        <v>984</v>
      </c>
      <c r="E391" s="23" t="s">
        <v>472</v>
      </c>
      <c r="F391" s="24">
        <v>1.0</v>
      </c>
      <c r="G391" s="47">
        <v>118.0</v>
      </c>
      <c r="H391" s="26">
        <f t="shared" si="45"/>
        <v>118</v>
      </c>
      <c r="I391" s="27" t="s">
        <v>303</v>
      </c>
      <c r="J391" s="24" t="s">
        <v>467</v>
      </c>
      <c r="K391" s="300">
        <v>43614.0</v>
      </c>
      <c r="L391" s="613">
        <v>43613.0</v>
      </c>
      <c r="M391" s="653" t="s">
        <v>2125</v>
      </c>
      <c r="N391" s="615" t="s">
        <v>2590</v>
      </c>
      <c r="O391" s="619"/>
      <c r="P391" s="619"/>
      <c r="Q391" s="619"/>
      <c r="R391" s="619"/>
      <c r="S391" s="619">
        <v>2144.0</v>
      </c>
      <c r="T391" s="647" t="s">
        <v>2127</v>
      </c>
      <c r="U391" s="302">
        <v>43608.0</v>
      </c>
      <c r="V391" s="302">
        <v>43612.0</v>
      </c>
      <c r="W391" s="296" t="s">
        <v>985</v>
      </c>
      <c r="X391" s="296" t="s">
        <v>2592</v>
      </c>
      <c r="Y391" s="260">
        <v>43608.0</v>
      </c>
      <c r="Z391" s="296" t="s">
        <v>2591</v>
      </c>
      <c r="AA391" s="296">
        <v>1.06359576E8</v>
      </c>
      <c r="AB391" s="296"/>
      <c r="AC391" s="296"/>
      <c r="AD391" s="296"/>
      <c r="AE391" s="371"/>
      <c r="AF391" s="371">
        <v>31.05</v>
      </c>
      <c r="AG391" s="372">
        <v>0.0</v>
      </c>
      <c r="AH391" s="373">
        <v>43612.0</v>
      </c>
      <c r="AI391" s="372" t="s">
        <v>2593</v>
      </c>
      <c r="AJ391" s="372" t="s">
        <v>2594</v>
      </c>
      <c r="AK391" s="371" t="s">
        <v>50</v>
      </c>
      <c r="AL391" s="371" t="s">
        <v>285</v>
      </c>
      <c r="AM391" s="371" t="s">
        <v>51</v>
      </c>
      <c r="AN391" s="371" t="s">
        <v>52</v>
      </c>
      <c r="AO391" s="374" t="s">
        <v>440</v>
      </c>
    </row>
    <row r="392" ht="15.75" customHeight="1">
      <c r="A392" s="69">
        <v>43587.0</v>
      </c>
      <c r="B392" s="70" t="s">
        <v>464</v>
      </c>
      <c r="C392" s="21">
        <v>504264.0</v>
      </c>
      <c r="D392" s="477" t="s">
        <v>984</v>
      </c>
      <c r="E392" s="23" t="s">
        <v>473</v>
      </c>
      <c r="F392" s="24">
        <v>1.0</v>
      </c>
      <c r="G392" s="143">
        <v>160.0</v>
      </c>
      <c r="H392" s="26">
        <f t="shared" si="45"/>
        <v>160</v>
      </c>
      <c r="I392" s="27" t="s">
        <v>303</v>
      </c>
      <c r="J392" s="24" t="s">
        <v>467</v>
      </c>
      <c r="K392" s="300">
        <v>43614.0</v>
      </c>
      <c r="L392" s="613">
        <v>43608.0</v>
      </c>
      <c r="M392" s="680" t="s">
        <v>2272</v>
      </c>
      <c r="N392" s="615" t="s">
        <v>2595</v>
      </c>
      <c r="O392" s="619"/>
      <c r="P392" s="619"/>
      <c r="Q392" s="619">
        <v>135.45</v>
      </c>
      <c r="R392" s="619"/>
      <c r="S392" s="619">
        <v>4271.0</v>
      </c>
      <c r="T392" s="618" t="s">
        <v>47</v>
      </c>
      <c r="U392" s="302">
        <v>43646.0</v>
      </c>
      <c r="V392" s="302">
        <v>43608.0</v>
      </c>
      <c r="W392" s="296" t="s">
        <v>986</v>
      </c>
      <c r="X392" s="296">
        <v>8542.0</v>
      </c>
      <c r="Y392" s="295">
        <v>43631.0</v>
      </c>
      <c r="Z392" s="296" t="s">
        <v>2591</v>
      </c>
      <c r="AA392" s="296">
        <v>1.06359576E8</v>
      </c>
      <c r="AB392" s="296"/>
      <c r="AC392" s="296"/>
      <c r="AD392" s="296"/>
      <c r="AE392" s="371"/>
      <c r="AF392" s="371">
        <v>31.05</v>
      </c>
      <c r="AG392" s="372">
        <v>0.0</v>
      </c>
      <c r="AH392" s="373">
        <v>43612.0</v>
      </c>
      <c r="AI392" s="372" t="s">
        <v>2593</v>
      </c>
      <c r="AJ392" s="372" t="s">
        <v>2594</v>
      </c>
      <c r="AK392" s="371" t="s">
        <v>50</v>
      </c>
      <c r="AL392" s="371" t="s">
        <v>285</v>
      </c>
      <c r="AM392" s="371" t="s">
        <v>51</v>
      </c>
      <c r="AN392" s="371" t="s">
        <v>52</v>
      </c>
      <c r="AO392" s="374" t="s">
        <v>440</v>
      </c>
    </row>
    <row r="393" ht="15.75" customHeight="1">
      <c r="A393" s="69">
        <v>43587.0</v>
      </c>
      <c r="B393" s="70" t="s">
        <v>464</v>
      </c>
      <c r="C393" s="21">
        <v>504264.0</v>
      </c>
      <c r="D393" s="477" t="s">
        <v>984</v>
      </c>
      <c r="E393" s="23" t="s">
        <v>987</v>
      </c>
      <c r="F393" s="24">
        <v>1.0</v>
      </c>
      <c r="G393" s="47">
        <v>4120.0</v>
      </c>
      <c r="H393" s="26">
        <f t="shared" si="45"/>
        <v>4120</v>
      </c>
      <c r="I393" s="27" t="s">
        <v>303</v>
      </c>
      <c r="J393" s="24" t="s">
        <v>467</v>
      </c>
      <c r="K393" s="300">
        <v>43614.0</v>
      </c>
      <c r="L393" s="613">
        <v>43612.0</v>
      </c>
      <c r="M393" s="614" t="s">
        <v>90</v>
      </c>
      <c r="N393" s="615" t="s">
        <v>2596</v>
      </c>
      <c r="O393" s="619"/>
      <c r="P393" s="619"/>
      <c r="Q393" s="619">
        <v>3863.16</v>
      </c>
      <c r="R393" s="619"/>
      <c r="S393" s="619">
        <v>119951.0</v>
      </c>
      <c r="T393" s="648" t="s">
        <v>94</v>
      </c>
      <c r="U393" s="302">
        <v>43677.0</v>
      </c>
      <c r="V393" s="302">
        <v>43612.0</v>
      </c>
      <c r="W393" s="296" t="s">
        <v>988</v>
      </c>
      <c r="X393" s="296">
        <v>122722.0</v>
      </c>
      <c r="Y393" s="472">
        <v>43677.0</v>
      </c>
      <c r="Z393" s="296" t="s">
        <v>2591</v>
      </c>
      <c r="AA393" s="296">
        <v>1.06359576E8</v>
      </c>
      <c r="AB393" s="296"/>
      <c r="AC393" s="296"/>
      <c r="AD393" s="296"/>
      <c r="AE393" s="371"/>
      <c r="AF393" s="371">
        <v>31.05</v>
      </c>
      <c r="AG393" s="372">
        <v>0.0</v>
      </c>
      <c r="AH393" s="373">
        <v>43612.0</v>
      </c>
      <c r="AI393" s="372" t="s">
        <v>2593</v>
      </c>
      <c r="AJ393" s="372" t="s">
        <v>2594</v>
      </c>
      <c r="AK393" s="371" t="s">
        <v>50</v>
      </c>
      <c r="AL393" s="371" t="s">
        <v>285</v>
      </c>
      <c r="AM393" s="371" t="s">
        <v>51</v>
      </c>
      <c r="AN393" s="371" t="s">
        <v>52</v>
      </c>
      <c r="AO393" s="374" t="s">
        <v>440</v>
      </c>
    </row>
    <row r="394" ht="15.75" customHeight="1">
      <c r="A394" s="69">
        <v>43587.0</v>
      </c>
      <c r="B394" s="70" t="s">
        <v>464</v>
      </c>
      <c r="C394" s="21">
        <v>504264.0</v>
      </c>
      <c r="D394" s="477" t="s">
        <v>984</v>
      </c>
      <c r="E394" s="23" t="s">
        <v>466</v>
      </c>
      <c r="F394" s="24">
        <v>1.0</v>
      </c>
      <c r="G394" s="47">
        <v>100.0</v>
      </c>
      <c r="H394" s="26">
        <f t="shared" si="45"/>
        <v>100</v>
      </c>
      <c r="I394" s="27" t="s">
        <v>303</v>
      </c>
      <c r="J394" s="24" t="s">
        <v>467</v>
      </c>
      <c r="K394" s="300">
        <v>43614.0</v>
      </c>
      <c r="L394" s="613">
        <v>43612.0</v>
      </c>
      <c r="M394" s="614" t="s">
        <v>90</v>
      </c>
      <c r="N394" s="615" t="s">
        <v>2596</v>
      </c>
      <c r="O394" s="619"/>
      <c r="P394" s="619"/>
      <c r="Q394" s="619">
        <v>89.25</v>
      </c>
      <c r="R394" s="619"/>
      <c r="S394" s="619">
        <v>2771.0</v>
      </c>
      <c r="T394" s="648" t="s">
        <v>94</v>
      </c>
      <c r="U394" s="302">
        <v>43677.0</v>
      </c>
      <c r="V394" s="302">
        <v>43612.0</v>
      </c>
      <c r="W394" s="296" t="s">
        <v>988</v>
      </c>
      <c r="X394" s="296" t="s">
        <v>2597</v>
      </c>
      <c r="Y394" s="472">
        <v>43677.0</v>
      </c>
      <c r="Z394" s="296" t="s">
        <v>2591</v>
      </c>
      <c r="AA394" s="296">
        <v>1.06359576E8</v>
      </c>
      <c r="AB394" s="296"/>
      <c r="AC394" s="296"/>
      <c r="AD394" s="296"/>
      <c r="AE394" s="371"/>
      <c r="AF394" s="371">
        <v>31.05</v>
      </c>
      <c r="AG394" s="372">
        <v>0.0</v>
      </c>
      <c r="AH394" s="373">
        <v>43612.0</v>
      </c>
      <c r="AI394" s="372" t="s">
        <v>2593</v>
      </c>
      <c r="AJ394" s="372" t="s">
        <v>2594</v>
      </c>
      <c r="AK394" s="371" t="s">
        <v>50</v>
      </c>
      <c r="AL394" s="371" t="s">
        <v>285</v>
      </c>
      <c r="AM394" s="371" t="s">
        <v>51</v>
      </c>
      <c r="AN394" s="371" t="s">
        <v>52</v>
      </c>
      <c r="AO394" s="374" t="s">
        <v>440</v>
      </c>
    </row>
    <row r="395" ht="15.75" customHeight="1">
      <c r="A395" s="399">
        <v>43587.0</v>
      </c>
      <c r="B395" s="478" t="s">
        <v>400</v>
      </c>
      <c r="C395" s="479" t="s">
        <v>989</v>
      </c>
      <c r="D395" s="480" t="s">
        <v>990</v>
      </c>
      <c r="E395" s="23" t="s">
        <v>403</v>
      </c>
      <c r="F395" s="481">
        <v>0.0</v>
      </c>
      <c r="G395" s="482">
        <v>231.0</v>
      </c>
      <c r="H395" s="381">
        <f t="shared" ref="H395:H398" si="46">G395*F395</f>
        <v>0</v>
      </c>
      <c r="I395" s="483" t="s">
        <v>303</v>
      </c>
      <c r="J395" s="383" t="s">
        <v>404</v>
      </c>
      <c r="K395" s="402" t="s">
        <v>71</v>
      </c>
      <c r="L395" s="621"/>
      <c r="M395" s="681"/>
      <c r="N395" s="623"/>
      <c r="O395" s="194"/>
      <c r="P395" s="194"/>
      <c r="Q395" s="194"/>
      <c r="R395" s="194"/>
      <c r="S395" s="194"/>
      <c r="T395" s="625"/>
      <c r="U395" s="195"/>
      <c r="V395" s="199"/>
      <c r="W395" s="199"/>
      <c r="X395" s="199"/>
      <c r="Y395" s="199"/>
      <c r="Z395" s="199"/>
      <c r="AA395" s="199"/>
      <c r="AB395" s="199"/>
      <c r="AC395" s="199"/>
      <c r="AD395" s="199"/>
      <c r="AE395" s="200"/>
      <c r="AF395" s="200"/>
      <c r="AG395" s="201"/>
      <c r="AH395" s="54" t="s">
        <v>1227</v>
      </c>
      <c r="AI395" s="201"/>
      <c r="AJ395" s="201"/>
      <c r="AK395" s="200" t="s">
        <v>50</v>
      </c>
      <c r="AL395" s="200" t="s">
        <v>296</v>
      </c>
      <c r="AM395" s="200" t="s">
        <v>51</v>
      </c>
      <c r="AN395" s="200" t="s">
        <v>52</v>
      </c>
      <c r="AO395" s="203"/>
    </row>
    <row r="396" ht="15.75" customHeight="1">
      <c r="A396" s="399">
        <v>43587.0</v>
      </c>
      <c r="B396" s="484" t="s">
        <v>400</v>
      </c>
      <c r="C396" s="485" t="s">
        <v>989</v>
      </c>
      <c r="D396" s="486" t="s">
        <v>990</v>
      </c>
      <c r="E396" s="23" t="s">
        <v>842</v>
      </c>
      <c r="F396" s="487">
        <v>0.0</v>
      </c>
      <c r="G396" s="488">
        <v>25.0</v>
      </c>
      <c r="H396" s="381">
        <f t="shared" si="46"/>
        <v>0</v>
      </c>
      <c r="I396" s="489" t="s">
        <v>303</v>
      </c>
      <c r="J396" s="490" t="s">
        <v>404</v>
      </c>
      <c r="K396" s="402" t="s">
        <v>71</v>
      </c>
      <c r="L396" s="621"/>
      <c r="M396" s="190" t="s">
        <v>1089</v>
      </c>
      <c r="N396" s="623"/>
      <c r="O396" s="194"/>
      <c r="P396" s="194"/>
      <c r="Q396" s="194"/>
      <c r="R396" s="194"/>
      <c r="S396" s="194"/>
      <c r="T396" s="625"/>
      <c r="U396" s="195"/>
      <c r="V396" s="199"/>
      <c r="W396" s="199"/>
      <c r="X396" s="199"/>
      <c r="Y396" s="199"/>
      <c r="Z396" s="199"/>
      <c r="AA396" s="199"/>
      <c r="AB396" s="199"/>
      <c r="AC396" s="199"/>
      <c r="AD396" s="199"/>
      <c r="AE396" s="200"/>
      <c r="AF396" s="200"/>
      <c r="AG396" s="201"/>
      <c r="AH396" s="54" t="s">
        <v>1227</v>
      </c>
      <c r="AI396" s="201"/>
      <c r="AJ396" s="201"/>
      <c r="AK396" s="200" t="s">
        <v>50</v>
      </c>
      <c r="AL396" s="200" t="s">
        <v>296</v>
      </c>
      <c r="AM396" s="200" t="s">
        <v>51</v>
      </c>
      <c r="AN396" s="200" t="s">
        <v>52</v>
      </c>
      <c r="AO396" s="203"/>
    </row>
    <row r="397" ht="15.75" customHeight="1">
      <c r="A397" s="69">
        <v>43587.0</v>
      </c>
      <c r="B397" s="491" t="s">
        <v>991</v>
      </c>
      <c r="C397" s="491" t="s">
        <v>992</v>
      </c>
      <c r="D397" s="491" t="s">
        <v>993</v>
      </c>
      <c r="E397" s="23" t="s">
        <v>994</v>
      </c>
      <c r="F397" s="24">
        <v>20.0</v>
      </c>
      <c r="G397" s="48">
        <v>33.6</v>
      </c>
      <c r="H397" s="165">
        <f t="shared" si="46"/>
        <v>672</v>
      </c>
      <c r="I397" s="27" t="s">
        <v>248</v>
      </c>
      <c r="J397" s="407" t="s">
        <v>976</v>
      </c>
      <c r="K397" s="29">
        <v>43595.0</v>
      </c>
      <c r="L397" s="29">
        <v>43598.0</v>
      </c>
      <c r="M397" s="58" t="s">
        <v>90</v>
      </c>
      <c r="N397" s="93" t="s">
        <v>2598</v>
      </c>
      <c r="O397" s="408"/>
      <c r="P397" s="408"/>
      <c r="Q397" s="408">
        <v>630.0</v>
      </c>
      <c r="R397" s="408"/>
      <c r="S397" s="408">
        <v>19432.0</v>
      </c>
      <c r="T397" s="35" t="s">
        <v>94</v>
      </c>
      <c r="U397" s="462">
        <v>43646.0</v>
      </c>
      <c r="V397" s="462">
        <v>43595.0</v>
      </c>
      <c r="W397" s="306" t="s">
        <v>995</v>
      </c>
      <c r="X397" s="306">
        <v>142504.0</v>
      </c>
      <c r="Y397" s="472">
        <v>43647.0</v>
      </c>
      <c r="Z397" s="306" t="s">
        <v>2599</v>
      </c>
      <c r="AA397" s="306" t="s">
        <v>2600</v>
      </c>
      <c r="AB397" s="306">
        <v>30.89</v>
      </c>
      <c r="AC397" s="306">
        <v>153740.0</v>
      </c>
      <c r="AD397" s="462">
        <v>43606.0</v>
      </c>
      <c r="AE397" s="298"/>
      <c r="AF397" s="298"/>
      <c r="AG397" s="299">
        <v>20971.0</v>
      </c>
      <c r="AH397" s="300">
        <v>43601.0</v>
      </c>
      <c r="AI397" s="299">
        <v>194325.0</v>
      </c>
      <c r="AJ397" s="299">
        <v>0.0</v>
      </c>
      <c r="AK397" s="298" t="s">
        <v>50</v>
      </c>
      <c r="AL397" s="298" t="s">
        <v>285</v>
      </c>
      <c r="AM397" s="298" t="s">
        <v>51</v>
      </c>
      <c r="AN397" s="298" t="s">
        <v>377</v>
      </c>
      <c r="AO397" s="234" t="s">
        <v>305</v>
      </c>
    </row>
    <row r="398" ht="15.75" customHeight="1">
      <c r="A398" s="69">
        <v>43587.0</v>
      </c>
      <c r="B398" s="70" t="s">
        <v>991</v>
      </c>
      <c r="C398" s="21" t="s">
        <v>992</v>
      </c>
      <c r="D398" s="21" t="s">
        <v>993</v>
      </c>
      <c r="E398" s="23" t="s">
        <v>996</v>
      </c>
      <c r="F398" s="24">
        <v>20.0</v>
      </c>
      <c r="G398" s="48">
        <v>215.25</v>
      </c>
      <c r="H398" s="60">
        <f t="shared" si="46"/>
        <v>4305</v>
      </c>
      <c r="I398" s="61" t="s">
        <v>248</v>
      </c>
      <c r="J398" s="50" t="s">
        <v>976</v>
      </c>
      <c r="K398" s="29">
        <v>43595.0</v>
      </c>
      <c r="L398" s="29">
        <v>43598.0</v>
      </c>
      <c r="M398" s="58" t="s">
        <v>90</v>
      </c>
      <c r="N398" s="93" t="s">
        <v>2598</v>
      </c>
      <c r="O398" s="408"/>
      <c r="P398" s="408"/>
      <c r="Q398" s="408">
        <v>3990.0</v>
      </c>
      <c r="R398" s="408"/>
      <c r="S398" s="408">
        <v>123072.0</v>
      </c>
      <c r="T398" s="35" t="s">
        <v>94</v>
      </c>
      <c r="U398" s="462">
        <v>43646.0</v>
      </c>
      <c r="V398" s="462">
        <v>43595.0</v>
      </c>
      <c r="W398" s="306" t="s">
        <v>995</v>
      </c>
      <c r="X398" s="306" t="s">
        <v>2601</v>
      </c>
      <c r="Y398" s="472">
        <v>43647.0</v>
      </c>
      <c r="Z398" s="306" t="s">
        <v>2599</v>
      </c>
      <c r="AA398" s="306" t="s">
        <v>2600</v>
      </c>
      <c r="AB398" s="306">
        <v>30.89</v>
      </c>
      <c r="AC398" s="306" t="s">
        <v>2602</v>
      </c>
      <c r="AD398" s="462">
        <v>43606.0</v>
      </c>
      <c r="AE398" s="298"/>
      <c r="AF398" s="298"/>
      <c r="AG398" s="299">
        <v>134345.0</v>
      </c>
      <c r="AH398" s="300">
        <v>43601.0</v>
      </c>
      <c r="AI398" s="299" t="s">
        <v>2603</v>
      </c>
      <c r="AJ398" s="299" t="s">
        <v>2604</v>
      </c>
      <c r="AK398" s="298" t="s">
        <v>50</v>
      </c>
      <c r="AL398" s="298" t="s">
        <v>285</v>
      </c>
      <c r="AM398" s="298" t="s">
        <v>51</v>
      </c>
      <c r="AN398" s="298" t="s">
        <v>377</v>
      </c>
      <c r="AO398" s="234" t="s">
        <v>305</v>
      </c>
    </row>
    <row r="399" ht="15.75" customHeight="1">
      <c r="A399" s="69">
        <v>43587.0</v>
      </c>
      <c r="B399" s="70" t="s">
        <v>101</v>
      </c>
      <c r="C399" s="21"/>
      <c r="D399" s="21" t="s">
        <v>997</v>
      </c>
      <c r="E399" s="23" t="s">
        <v>998</v>
      </c>
      <c r="F399" s="24">
        <v>1.0</v>
      </c>
      <c r="G399" s="48">
        <v>0.0</v>
      </c>
      <c r="H399" s="216">
        <v>0.0</v>
      </c>
      <c r="I399" s="61" t="s">
        <v>703</v>
      </c>
      <c r="J399" s="63" t="s">
        <v>934</v>
      </c>
      <c r="K399" s="43"/>
      <c r="L399" s="304"/>
      <c r="M399" s="50" t="s">
        <v>934</v>
      </c>
      <c r="N399" s="93"/>
      <c r="O399" s="408"/>
      <c r="P399" s="408"/>
      <c r="Q399" s="408"/>
      <c r="R399" s="408"/>
      <c r="S399" s="408">
        <v>1129.0</v>
      </c>
      <c r="T399" s="408"/>
      <c r="U399" s="462">
        <v>43646.0</v>
      </c>
      <c r="V399" s="462">
        <v>43609.0</v>
      </c>
      <c r="W399" s="306" t="s">
        <v>999</v>
      </c>
      <c r="X399" s="306">
        <v>1129.0</v>
      </c>
      <c r="Y399" s="462">
        <v>43647.0</v>
      </c>
      <c r="Z399" s="306" t="s">
        <v>2605</v>
      </c>
      <c r="AA399" s="306">
        <v>1.69853417E8</v>
      </c>
      <c r="AB399" s="306"/>
      <c r="AC399" s="306"/>
      <c r="AD399" s="306"/>
      <c r="AE399" s="298"/>
      <c r="AF399" s="298"/>
      <c r="AG399" s="299"/>
      <c r="AH399" s="298" t="s">
        <v>1227</v>
      </c>
      <c r="AI399" s="299"/>
      <c r="AJ399" s="299"/>
      <c r="AK399" s="298" t="s">
        <v>50</v>
      </c>
      <c r="AL399" s="298" t="s">
        <v>285</v>
      </c>
      <c r="AM399" s="298" t="s">
        <v>51</v>
      </c>
      <c r="AN399" s="298" t="s">
        <v>52</v>
      </c>
      <c r="AO399" s="234" t="s">
        <v>507</v>
      </c>
    </row>
    <row r="400" ht="15.75" customHeight="1">
      <c r="A400" s="69">
        <v>43587.0</v>
      </c>
      <c r="B400" s="377" t="s">
        <v>1000</v>
      </c>
      <c r="C400" s="183" t="s">
        <v>1001</v>
      </c>
      <c r="D400" s="183" t="s">
        <v>1002</v>
      </c>
      <c r="E400" s="378" t="s">
        <v>1003</v>
      </c>
      <c r="F400" s="186"/>
      <c r="G400" s="187">
        <v>379.0</v>
      </c>
      <c r="H400" s="492"/>
      <c r="I400" s="61" t="s">
        <v>105</v>
      </c>
      <c r="J400" s="63" t="s">
        <v>1004</v>
      </c>
      <c r="K400" s="44"/>
      <c r="L400" s="44"/>
      <c r="M400" s="58" t="s">
        <v>2078</v>
      </c>
      <c r="N400" s="21" t="s">
        <v>2606</v>
      </c>
      <c r="O400" s="408"/>
      <c r="P400" s="34"/>
      <c r="Q400" s="34"/>
      <c r="R400" s="34"/>
      <c r="S400" s="34"/>
      <c r="T400" s="22" t="s">
        <v>2080</v>
      </c>
      <c r="U400" s="52"/>
      <c r="V400" s="53"/>
      <c r="W400" s="53"/>
      <c r="X400" s="53"/>
      <c r="Y400" s="53"/>
      <c r="Z400" s="53"/>
      <c r="AA400" s="53"/>
      <c r="AB400" s="53"/>
      <c r="AC400" s="53"/>
      <c r="AD400" s="53"/>
      <c r="AE400" s="54"/>
      <c r="AF400" s="54"/>
      <c r="AG400" s="55"/>
      <c r="AH400" s="68"/>
      <c r="AI400" s="55"/>
      <c r="AJ400" s="55"/>
      <c r="AK400" s="54" t="s">
        <v>296</v>
      </c>
      <c r="AL400" s="54" t="s">
        <v>296</v>
      </c>
      <c r="AM400" s="54" t="s">
        <v>51</v>
      </c>
      <c r="AN400" s="54" t="s">
        <v>52</v>
      </c>
      <c r="AO400" s="57"/>
    </row>
    <row r="401" ht="15.75" customHeight="1">
      <c r="A401" s="69">
        <v>43592.0</v>
      </c>
      <c r="B401" s="70" t="s">
        <v>991</v>
      </c>
      <c r="C401" s="70"/>
      <c r="D401" s="21" t="s">
        <v>1005</v>
      </c>
      <c r="E401" s="23" t="s">
        <v>1006</v>
      </c>
      <c r="F401" s="24">
        <v>50.0</v>
      </c>
      <c r="G401" s="48">
        <v>26.25</v>
      </c>
      <c r="H401" s="60">
        <f t="shared" ref="H401:H417" si="47">F401*G401</f>
        <v>1312.5</v>
      </c>
      <c r="I401" s="87" t="s">
        <v>248</v>
      </c>
      <c r="J401" s="50" t="s">
        <v>976</v>
      </c>
      <c r="K401" s="29">
        <v>43602.0</v>
      </c>
      <c r="L401" s="29">
        <v>43602.0</v>
      </c>
      <c r="M401" s="58" t="s">
        <v>90</v>
      </c>
      <c r="N401" s="93" t="s">
        <v>2607</v>
      </c>
      <c r="O401" s="408"/>
      <c r="P401" s="408"/>
      <c r="Q401" s="408">
        <v>1233.75</v>
      </c>
      <c r="R401" s="408"/>
      <c r="S401" s="408">
        <v>38055.0</v>
      </c>
      <c r="T401" s="51" t="s">
        <v>94</v>
      </c>
      <c r="U401" s="462">
        <v>43646.0</v>
      </c>
      <c r="V401" s="462">
        <v>43595.0</v>
      </c>
      <c r="W401" s="306" t="s">
        <v>1007</v>
      </c>
      <c r="X401" s="306">
        <v>38055.0</v>
      </c>
      <c r="Y401" s="472">
        <v>43647.0</v>
      </c>
      <c r="Z401" s="306" t="s">
        <v>2608</v>
      </c>
      <c r="AA401" s="306" t="s">
        <v>2600</v>
      </c>
      <c r="AB401" s="306">
        <v>30.9216</v>
      </c>
      <c r="AC401" s="306">
        <v>40585.0</v>
      </c>
      <c r="AD401" s="462">
        <v>43606.0</v>
      </c>
      <c r="AE401" s="298"/>
      <c r="AF401" s="298"/>
      <c r="AG401" s="299">
        <v>39009.0</v>
      </c>
      <c r="AH401" s="300">
        <v>43601.0</v>
      </c>
      <c r="AI401" s="299" t="s">
        <v>2603</v>
      </c>
      <c r="AJ401" s="299" t="s">
        <v>2604</v>
      </c>
      <c r="AK401" s="298" t="s">
        <v>50</v>
      </c>
      <c r="AL401" s="298" t="s">
        <v>285</v>
      </c>
      <c r="AM401" s="298" t="s">
        <v>51</v>
      </c>
      <c r="AN401" s="298" t="s">
        <v>377</v>
      </c>
      <c r="AO401" s="234" t="s">
        <v>305</v>
      </c>
    </row>
    <row r="402" ht="15.75" customHeight="1">
      <c r="A402" s="69">
        <v>43592.0</v>
      </c>
      <c r="B402" s="23" t="s">
        <v>406</v>
      </c>
      <c r="C402" s="21">
        <v>7.000147214E9</v>
      </c>
      <c r="D402" s="21" t="s">
        <v>1008</v>
      </c>
      <c r="E402" s="23" t="s">
        <v>1009</v>
      </c>
      <c r="F402" s="24">
        <v>1.0</v>
      </c>
      <c r="G402" s="48">
        <v>468.0</v>
      </c>
      <c r="H402" s="60">
        <f t="shared" si="47"/>
        <v>468</v>
      </c>
      <c r="I402" s="87" t="s">
        <v>43</v>
      </c>
      <c r="J402" s="50" t="s">
        <v>513</v>
      </c>
      <c r="K402" s="29">
        <v>43606.0</v>
      </c>
      <c r="L402" s="29">
        <v>43602.0</v>
      </c>
      <c r="M402" s="58" t="s">
        <v>2078</v>
      </c>
      <c r="N402" s="93" t="s">
        <v>2609</v>
      </c>
      <c r="O402" s="408"/>
      <c r="P402" s="408"/>
      <c r="Q402" s="408"/>
      <c r="R402" s="22"/>
      <c r="S402" s="22">
        <v>13000.0</v>
      </c>
      <c r="T402" s="22" t="s">
        <v>2080</v>
      </c>
      <c r="U402" s="462">
        <v>43677.0</v>
      </c>
      <c r="V402" s="462">
        <v>43601.0</v>
      </c>
      <c r="W402" s="306" t="s">
        <v>1010</v>
      </c>
      <c r="X402" s="306">
        <v>49113.0</v>
      </c>
      <c r="Y402" s="462">
        <v>43677.0</v>
      </c>
      <c r="Z402" s="306" t="s">
        <v>2610</v>
      </c>
      <c r="AA402" s="306">
        <v>3.572419583E9</v>
      </c>
      <c r="AB402" s="306"/>
      <c r="AC402" s="306"/>
      <c r="AD402" s="306"/>
      <c r="AE402" s="298"/>
      <c r="AF402" s="298">
        <v>31.05</v>
      </c>
      <c r="AG402" s="299">
        <f>1771*31.05</f>
        <v>54989.55</v>
      </c>
      <c r="AH402" s="300">
        <v>43650.0</v>
      </c>
      <c r="AI402" s="299"/>
      <c r="AJ402" s="299"/>
      <c r="AK402" s="298" t="s">
        <v>50</v>
      </c>
      <c r="AL402" s="82" t="s">
        <v>285</v>
      </c>
      <c r="AM402" s="298" t="s">
        <v>51</v>
      </c>
      <c r="AN402" s="298" t="s">
        <v>52</v>
      </c>
      <c r="AO402" s="459" t="s">
        <v>750</v>
      </c>
    </row>
    <row r="403" ht="15.75" customHeight="1">
      <c r="A403" s="69">
        <v>43592.0</v>
      </c>
      <c r="B403" s="32" t="s">
        <v>406</v>
      </c>
      <c r="C403" s="21">
        <v>7.000147214E9</v>
      </c>
      <c r="D403" s="21" t="s">
        <v>1008</v>
      </c>
      <c r="E403" s="23" t="s">
        <v>1011</v>
      </c>
      <c r="F403" s="24">
        <v>7.0</v>
      </c>
      <c r="G403" s="48">
        <v>87.0</v>
      </c>
      <c r="H403" s="60">
        <f t="shared" si="47"/>
        <v>609</v>
      </c>
      <c r="I403" s="87" t="s">
        <v>43</v>
      </c>
      <c r="J403" s="50" t="s">
        <v>513</v>
      </c>
      <c r="K403" s="29">
        <v>43606.0</v>
      </c>
      <c r="L403" s="29">
        <v>43602.0</v>
      </c>
      <c r="M403" s="58" t="s">
        <v>2078</v>
      </c>
      <c r="N403" s="93" t="s">
        <v>2609</v>
      </c>
      <c r="O403" s="408"/>
      <c r="P403" s="408"/>
      <c r="Q403" s="408"/>
      <c r="R403" s="22"/>
      <c r="S403" s="22">
        <v>16677.0</v>
      </c>
      <c r="T403" s="20" t="s">
        <v>2080</v>
      </c>
      <c r="U403" s="462">
        <v>43677.0</v>
      </c>
      <c r="V403" s="462">
        <v>43601.0</v>
      </c>
      <c r="W403" s="306" t="s">
        <v>1010</v>
      </c>
      <c r="X403" s="306" t="s">
        <v>2611</v>
      </c>
      <c r="Y403" s="462">
        <v>43677.0</v>
      </c>
      <c r="Z403" s="306" t="s">
        <v>2610</v>
      </c>
      <c r="AA403" s="306">
        <v>3.572419583E9</v>
      </c>
      <c r="AB403" s="306"/>
      <c r="AC403" s="306"/>
      <c r="AD403" s="306"/>
      <c r="AE403" s="298"/>
      <c r="AF403" s="298">
        <v>31.05</v>
      </c>
      <c r="AG403" s="299">
        <v>0.0</v>
      </c>
      <c r="AH403" s="300">
        <v>43650.0</v>
      </c>
      <c r="AI403" s="299"/>
      <c r="AJ403" s="299"/>
      <c r="AK403" s="298" t="s">
        <v>50</v>
      </c>
      <c r="AL403" s="82" t="s">
        <v>285</v>
      </c>
      <c r="AM403" s="298" t="s">
        <v>51</v>
      </c>
      <c r="AN403" s="298" t="s">
        <v>52</v>
      </c>
      <c r="AO403" s="459" t="s">
        <v>750</v>
      </c>
    </row>
    <row r="404" ht="15.75" customHeight="1">
      <c r="A404" s="69">
        <v>43592.0</v>
      </c>
      <c r="B404" s="32" t="s">
        <v>406</v>
      </c>
      <c r="C404" s="21">
        <v>7.000147214E9</v>
      </c>
      <c r="D404" s="21" t="s">
        <v>1008</v>
      </c>
      <c r="E404" s="23" t="s">
        <v>807</v>
      </c>
      <c r="F404" s="24">
        <v>1.0</v>
      </c>
      <c r="G404" s="48">
        <v>565.0</v>
      </c>
      <c r="H404" s="165">
        <f t="shared" si="47"/>
        <v>565</v>
      </c>
      <c r="I404" s="87" t="s">
        <v>43</v>
      </c>
      <c r="J404" s="50" t="s">
        <v>513</v>
      </c>
      <c r="K404" s="29">
        <v>43606.0</v>
      </c>
      <c r="L404" s="29">
        <v>43602.0</v>
      </c>
      <c r="M404" s="58" t="s">
        <v>2078</v>
      </c>
      <c r="N404" s="93" t="s">
        <v>2609</v>
      </c>
      <c r="O404" s="408"/>
      <c r="P404" s="408"/>
      <c r="Q404" s="408"/>
      <c r="R404" s="22"/>
      <c r="S404" s="22">
        <v>15825.0</v>
      </c>
      <c r="T404" s="20" t="s">
        <v>2080</v>
      </c>
      <c r="U404" s="462">
        <v>43677.0</v>
      </c>
      <c r="V404" s="462">
        <v>43601.0</v>
      </c>
      <c r="W404" s="306" t="s">
        <v>1010</v>
      </c>
      <c r="X404" s="306" t="s">
        <v>2611</v>
      </c>
      <c r="Y404" s="462">
        <v>43677.0</v>
      </c>
      <c r="Z404" s="306" t="s">
        <v>2610</v>
      </c>
      <c r="AA404" s="306">
        <v>3.572419583E9</v>
      </c>
      <c r="AB404" s="306"/>
      <c r="AC404" s="306"/>
      <c r="AD404" s="306"/>
      <c r="AE404" s="298"/>
      <c r="AF404" s="298">
        <v>31.05</v>
      </c>
      <c r="AG404" s="299">
        <v>0.0</v>
      </c>
      <c r="AH404" s="300">
        <v>43650.0</v>
      </c>
      <c r="AI404" s="299"/>
      <c r="AJ404" s="299"/>
      <c r="AK404" s="298" t="s">
        <v>50</v>
      </c>
      <c r="AL404" s="82" t="s">
        <v>285</v>
      </c>
      <c r="AM404" s="298" t="s">
        <v>51</v>
      </c>
      <c r="AN404" s="298" t="s">
        <v>52</v>
      </c>
      <c r="AO404" s="459" t="s">
        <v>750</v>
      </c>
    </row>
    <row r="405" ht="15.75" customHeight="1">
      <c r="A405" s="69">
        <v>43592.0</v>
      </c>
      <c r="B405" s="32" t="s">
        <v>406</v>
      </c>
      <c r="C405" s="21">
        <v>7.000147214E9</v>
      </c>
      <c r="D405" s="21" t="s">
        <v>1008</v>
      </c>
      <c r="E405" s="23" t="s">
        <v>684</v>
      </c>
      <c r="F405" s="24">
        <v>1.0</v>
      </c>
      <c r="G405" s="48">
        <v>129.0</v>
      </c>
      <c r="H405" s="165">
        <f t="shared" si="47"/>
        <v>129</v>
      </c>
      <c r="I405" s="87" t="s">
        <v>43</v>
      </c>
      <c r="J405" s="50" t="s">
        <v>513</v>
      </c>
      <c r="K405" s="29">
        <v>43606.0</v>
      </c>
      <c r="L405" s="29">
        <v>43602.0</v>
      </c>
      <c r="M405" s="58" t="s">
        <v>2078</v>
      </c>
      <c r="N405" s="93" t="s">
        <v>2609</v>
      </c>
      <c r="O405" s="408"/>
      <c r="P405" s="408"/>
      <c r="Q405" s="408"/>
      <c r="R405" s="22"/>
      <c r="S405" s="22">
        <v>3611.0</v>
      </c>
      <c r="T405" s="20" t="s">
        <v>2080</v>
      </c>
      <c r="U405" s="462">
        <v>43677.0</v>
      </c>
      <c r="V405" s="462">
        <v>43601.0</v>
      </c>
      <c r="W405" s="306" t="s">
        <v>1010</v>
      </c>
      <c r="X405" s="306" t="s">
        <v>2611</v>
      </c>
      <c r="Y405" s="462">
        <v>43677.0</v>
      </c>
      <c r="Z405" s="306" t="s">
        <v>2610</v>
      </c>
      <c r="AA405" s="306">
        <v>3.572419583E9</v>
      </c>
      <c r="AB405" s="306"/>
      <c r="AC405" s="306"/>
      <c r="AD405" s="306"/>
      <c r="AE405" s="298"/>
      <c r="AF405" s="298">
        <v>31.05</v>
      </c>
      <c r="AG405" s="299">
        <v>0.0</v>
      </c>
      <c r="AH405" s="300">
        <v>43650.0</v>
      </c>
      <c r="AI405" s="299"/>
      <c r="AJ405" s="299"/>
      <c r="AK405" s="298" t="s">
        <v>50</v>
      </c>
      <c r="AL405" s="82" t="s">
        <v>285</v>
      </c>
      <c r="AM405" s="298" t="s">
        <v>51</v>
      </c>
      <c r="AN405" s="298" t="s">
        <v>52</v>
      </c>
      <c r="AO405" s="459" t="s">
        <v>750</v>
      </c>
    </row>
    <row r="406" ht="15.75" customHeight="1">
      <c r="A406" s="69">
        <v>43593.0</v>
      </c>
      <c r="B406" s="21" t="s">
        <v>579</v>
      </c>
      <c r="C406" s="21">
        <v>2.0190507001E10</v>
      </c>
      <c r="D406" s="22" t="s">
        <v>1012</v>
      </c>
      <c r="E406" s="23" t="s">
        <v>1013</v>
      </c>
      <c r="F406" s="82">
        <v>2.0</v>
      </c>
      <c r="G406" s="47">
        <v>96.6</v>
      </c>
      <c r="H406" s="60">
        <f t="shared" si="47"/>
        <v>193.2</v>
      </c>
      <c r="I406" s="87" t="s">
        <v>171</v>
      </c>
      <c r="J406" s="63" t="s">
        <v>582</v>
      </c>
      <c r="K406" s="29">
        <v>43601.0</v>
      </c>
      <c r="L406" s="652">
        <v>43601.0</v>
      </c>
      <c r="M406" s="653" t="s">
        <v>1439</v>
      </c>
      <c r="N406" s="398" t="s">
        <v>2612</v>
      </c>
      <c r="O406" s="619"/>
      <c r="P406" s="619"/>
      <c r="Q406" s="619">
        <v>168.0</v>
      </c>
      <c r="R406" s="619"/>
      <c r="S406" s="619">
        <v>5193.0</v>
      </c>
      <c r="T406" s="638" t="s">
        <v>1976</v>
      </c>
      <c r="U406" s="302">
        <v>43646.0</v>
      </c>
      <c r="V406" s="302">
        <v>43600.0</v>
      </c>
      <c r="W406" s="296" t="s">
        <v>1014</v>
      </c>
      <c r="X406" s="296">
        <v>5193.0</v>
      </c>
      <c r="Y406" s="302">
        <v>43647.0</v>
      </c>
      <c r="Z406" s="296" t="s">
        <v>2613</v>
      </c>
      <c r="AA406" s="296" t="s">
        <v>2614</v>
      </c>
      <c r="AB406" s="296">
        <v>30.0</v>
      </c>
      <c r="AC406" s="296">
        <v>5796.0</v>
      </c>
      <c r="AD406" s="295">
        <v>43601.0</v>
      </c>
      <c r="AE406" s="371"/>
      <c r="AF406" s="371"/>
      <c r="AG406" s="372"/>
      <c r="AH406" s="373">
        <v>43633.0</v>
      </c>
      <c r="AI406" s="372">
        <v>17810.0</v>
      </c>
      <c r="AJ406" s="372">
        <v>30.0</v>
      </c>
      <c r="AK406" s="371" t="s">
        <v>50</v>
      </c>
      <c r="AL406" s="371" t="s">
        <v>285</v>
      </c>
      <c r="AM406" s="371" t="s">
        <v>51</v>
      </c>
      <c r="AN406" s="371" t="s">
        <v>377</v>
      </c>
      <c r="AO406" s="374" t="s">
        <v>440</v>
      </c>
    </row>
    <row r="407" ht="15.75" customHeight="1">
      <c r="A407" s="69">
        <v>43593.0</v>
      </c>
      <c r="B407" s="21" t="s">
        <v>101</v>
      </c>
      <c r="C407" s="21" t="s">
        <v>1015</v>
      </c>
      <c r="D407" s="21" t="s">
        <v>1016</v>
      </c>
      <c r="E407" s="23" t="s">
        <v>1017</v>
      </c>
      <c r="F407" s="24">
        <v>2.0</v>
      </c>
      <c r="G407" s="143">
        <v>309.0</v>
      </c>
      <c r="H407" s="60">
        <f t="shared" si="47"/>
        <v>618</v>
      </c>
      <c r="I407" s="87" t="s">
        <v>303</v>
      </c>
      <c r="J407" s="63" t="s">
        <v>1018</v>
      </c>
      <c r="K407" s="29">
        <v>43606.0</v>
      </c>
      <c r="L407" s="652">
        <v>43601.0</v>
      </c>
      <c r="M407" s="433" t="s">
        <v>2137</v>
      </c>
      <c r="N407" s="615" t="s">
        <v>2615</v>
      </c>
      <c r="O407" s="682"/>
      <c r="P407" s="682"/>
      <c r="Q407" s="619"/>
      <c r="R407" s="619"/>
      <c r="S407" s="647">
        <v>18115.0</v>
      </c>
      <c r="T407" s="667" t="s">
        <v>2139</v>
      </c>
      <c r="U407" s="302">
        <v>43646.0</v>
      </c>
      <c r="V407" s="302">
        <v>43599.0</v>
      </c>
      <c r="W407" s="296" t="s">
        <v>1019</v>
      </c>
      <c r="X407" s="296">
        <v>18115.0</v>
      </c>
      <c r="Y407" s="302">
        <v>43647.0</v>
      </c>
      <c r="Z407" s="296" t="s">
        <v>2616</v>
      </c>
      <c r="AA407" s="296">
        <v>8.353152592E9</v>
      </c>
      <c r="AB407" s="296"/>
      <c r="AC407" s="296"/>
      <c r="AD407" s="296"/>
      <c r="AE407" s="371"/>
      <c r="AF407" s="371">
        <v>31.05</v>
      </c>
      <c r="AG407" s="372"/>
      <c r="AH407" s="373">
        <v>43636.0</v>
      </c>
      <c r="AI407" s="372" t="s">
        <v>2103</v>
      </c>
      <c r="AJ407" s="372" t="s">
        <v>2104</v>
      </c>
      <c r="AK407" s="371" t="s">
        <v>50</v>
      </c>
      <c r="AL407" s="371" t="s">
        <v>285</v>
      </c>
      <c r="AM407" s="371" t="s">
        <v>51</v>
      </c>
      <c r="AN407" s="371" t="s">
        <v>52</v>
      </c>
      <c r="AO407" s="374" t="s">
        <v>440</v>
      </c>
    </row>
    <row r="408" ht="15.75" customHeight="1">
      <c r="A408" s="69">
        <v>43593.0</v>
      </c>
      <c r="B408" s="70" t="s">
        <v>101</v>
      </c>
      <c r="C408" s="21" t="s">
        <v>1015</v>
      </c>
      <c r="D408" s="21" t="s">
        <v>1016</v>
      </c>
      <c r="E408" s="23" t="s">
        <v>1020</v>
      </c>
      <c r="F408" s="24">
        <v>3.0</v>
      </c>
      <c r="G408" s="143">
        <v>130.0</v>
      </c>
      <c r="H408" s="60">
        <f t="shared" si="47"/>
        <v>390</v>
      </c>
      <c r="I408" s="87" t="s">
        <v>303</v>
      </c>
      <c r="J408" s="63" t="s">
        <v>1018</v>
      </c>
      <c r="K408" s="29">
        <v>43606.0</v>
      </c>
      <c r="L408" s="652">
        <v>43605.0</v>
      </c>
      <c r="M408" s="653" t="s">
        <v>90</v>
      </c>
      <c r="N408" s="615" t="s">
        <v>2617</v>
      </c>
      <c r="O408" s="619"/>
      <c r="P408" s="619"/>
      <c r="Q408" s="619">
        <v>359.1</v>
      </c>
      <c r="R408" s="619"/>
      <c r="S408" s="619">
        <v>11076.0</v>
      </c>
      <c r="T408" s="648" t="s">
        <v>94</v>
      </c>
      <c r="U408" s="302">
        <v>43646.0</v>
      </c>
      <c r="V408" s="302">
        <v>43602.0</v>
      </c>
      <c r="W408" s="296" t="s">
        <v>1021</v>
      </c>
      <c r="X408" s="296">
        <v>11076.0</v>
      </c>
      <c r="Y408" s="302">
        <v>43647.0</v>
      </c>
      <c r="Z408" s="296" t="s">
        <v>2616</v>
      </c>
      <c r="AA408" s="296">
        <v>8.353152592E9</v>
      </c>
      <c r="AB408" s="296"/>
      <c r="AC408" s="296"/>
      <c r="AD408" s="296"/>
      <c r="AE408" s="371"/>
      <c r="AF408" s="371">
        <v>31.05</v>
      </c>
      <c r="AG408" s="372"/>
      <c r="AH408" s="373">
        <v>43636.0</v>
      </c>
      <c r="AI408" s="372" t="s">
        <v>2103</v>
      </c>
      <c r="AJ408" s="372" t="s">
        <v>2104</v>
      </c>
      <c r="AK408" s="371" t="s">
        <v>50</v>
      </c>
      <c r="AL408" s="371" t="s">
        <v>285</v>
      </c>
      <c r="AM408" s="371" t="s">
        <v>51</v>
      </c>
      <c r="AN408" s="371" t="s">
        <v>52</v>
      </c>
      <c r="AO408" s="374" t="s">
        <v>440</v>
      </c>
    </row>
    <row r="409" ht="15.75" customHeight="1">
      <c r="A409" s="69">
        <v>43593.0</v>
      </c>
      <c r="B409" s="70" t="s">
        <v>101</v>
      </c>
      <c r="C409" s="21" t="s">
        <v>1015</v>
      </c>
      <c r="D409" s="21" t="s">
        <v>1016</v>
      </c>
      <c r="E409" s="23" t="s">
        <v>1022</v>
      </c>
      <c r="F409" s="24">
        <v>1.0</v>
      </c>
      <c r="G409" s="143">
        <v>313.0</v>
      </c>
      <c r="H409" s="60">
        <f t="shared" si="47"/>
        <v>313</v>
      </c>
      <c r="I409" s="87" t="s">
        <v>303</v>
      </c>
      <c r="J409" s="63" t="s">
        <v>1018</v>
      </c>
      <c r="K409" s="29">
        <v>43606.0</v>
      </c>
      <c r="L409" s="652">
        <v>43602.0</v>
      </c>
      <c r="M409" s="653" t="s">
        <v>2618</v>
      </c>
      <c r="N409" s="615" t="s">
        <v>2619</v>
      </c>
      <c r="O409" s="619"/>
      <c r="P409" s="619"/>
      <c r="Q409" s="619"/>
      <c r="R409" s="619"/>
      <c r="S409" s="619">
        <v>8663.0</v>
      </c>
      <c r="T409" s="648" t="s">
        <v>2620</v>
      </c>
      <c r="U409" s="302">
        <v>43646.0</v>
      </c>
      <c r="V409" s="302">
        <v>43601.0</v>
      </c>
      <c r="W409" s="296" t="s">
        <v>1023</v>
      </c>
      <c r="X409" s="296">
        <v>13860.0</v>
      </c>
      <c r="Y409" s="302">
        <v>43647.0</v>
      </c>
      <c r="Z409" s="296" t="s">
        <v>2616</v>
      </c>
      <c r="AA409" s="296">
        <v>8.353152592E9</v>
      </c>
      <c r="AB409" s="296"/>
      <c r="AC409" s="296"/>
      <c r="AD409" s="296"/>
      <c r="AE409" s="371"/>
      <c r="AF409" s="371">
        <v>31.05</v>
      </c>
      <c r="AG409" s="372"/>
      <c r="AH409" s="373">
        <v>43636.0</v>
      </c>
      <c r="AI409" s="372" t="s">
        <v>2103</v>
      </c>
      <c r="AJ409" s="372" t="s">
        <v>2104</v>
      </c>
      <c r="AK409" s="371" t="s">
        <v>50</v>
      </c>
      <c r="AL409" s="371" t="s">
        <v>285</v>
      </c>
      <c r="AM409" s="371" t="s">
        <v>51</v>
      </c>
      <c r="AN409" s="371" t="s">
        <v>52</v>
      </c>
      <c r="AO409" s="374" t="s">
        <v>440</v>
      </c>
    </row>
    <row r="410" ht="15.75" customHeight="1">
      <c r="A410" s="69">
        <v>43593.0</v>
      </c>
      <c r="B410" s="70" t="s">
        <v>101</v>
      </c>
      <c r="C410" s="21" t="s">
        <v>1015</v>
      </c>
      <c r="D410" s="21" t="s">
        <v>1016</v>
      </c>
      <c r="E410" s="23" t="s">
        <v>1024</v>
      </c>
      <c r="F410" s="24">
        <v>1.0</v>
      </c>
      <c r="G410" s="143">
        <v>9.0</v>
      </c>
      <c r="H410" s="60">
        <f t="shared" si="47"/>
        <v>9</v>
      </c>
      <c r="I410" s="87" t="s">
        <v>303</v>
      </c>
      <c r="J410" s="63" t="s">
        <v>1018</v>
      </c>
      <c r="K410" s="29">
        <v>43606.0</v>
      </c>
      <c r="L410" s="652">
        <v>43602.0</v>
      </c>
      <c r="M410" s="653" t="s">
        <v>2618</v>
      </c>
      <c r="N410" s="615" t="s">
        <v>2619</v>
      </c>
      <c r="O410" s="619"/>
      <c r="P410" s="619"/>
      <c r="Q410" s="619"/>
      <c r="R410" s="619"/>
      <c r="S410" s="619">
        <v>236.0</v>
      </c>
      <c r="T410" s="648" t="s">
        <v>2620</v>
      </c>
      <c r="U410" s="302">
        <v>43646.0</v>
      </c>
      <c r="V410" s="302">
        <v>43601.0</v>
      </c>
      <c r="W410" s="296" t="s">
        <v>1023</v>
      </c>
      <c r="X410" s="296" t="s">
        <v>2621</v>
      </c>
      <c r="Y410" s="302">
        <v>43647.0</v>
      </c>
      <c r="Z410" s="296" t="s">
        <v>2616</v>
      </c>
      <c r="AA410" s="296">
        <v>8.353152592E9</v>
      </c>
      <c r="AB410" s="296"/>
      <c r="AC410" s="296"/>
      <c r="AD410" s="296"/>
      <c r="AE410" s="371"/>
      <c r="AF410" s="371">
        <v>31.05</v>
      </c>
      <c r="AG410" s="372"/>
      <c r="AH410" s="373">
        <v>43636.0</v>
      </c>
      <c r="AI410" s="372" t="s">
        <v>2103</v>
      </c>
      <c r="AJ410" s="372" t="s">
        <v>2104</v>
      </c>
      <c r="AK410" s="371" t="s">
        <v>50</v>
      </c>
      <c r="AL410" s="371" t="s">
        <v>285</v>
      </c>
      <c r="AM410" s="371" t="s">
        <v>51</v>
      </c>
      <c r="AN410" s="371" t="s">
        <v>52</v>
      </c>
      <c r="AO410" s="374" t="s">
        <v>440</v>
      </c>
    </row>
    <row r="411" ht="15.75" customHeight="1">
      <c r="A411" s="69">
        <v>43593.0</v>
      </c>
      <c r="B411" s="70" t="s">
        <v>101</v>
      </c>
      <c r="C411" s="21" t="s">
        <v>1015</v>
      </c>
      <c r="D411" s="21" t="s">
        <v>1016</v>
      </c>
      <c r="E411" s="23" t="s">
        <v>1025</v>
      </c>
      <c r="F411" s="24">
        <v>1.0</v>
      </c>
      <c r="G411" s="143">
        <v>9.0</v>
      </c>
      <c r="H411" s="60">
        <f t="shared" si="47"/>
        <v>9</v>
      </c>
      <c r="I411" s="87" t="s">
        <v>303</v>
      </c>
      <c r="J411" s="63" t="s">
        <v>1018</v>
      </c>
      <c r="K411" s="29">
        <v>43606.0</v>
      </c>
      <c r="L411" s="652">
        <v>43602.0</v>
      </c>
      <c r="M411" s="653" t="s">
        <v>2618</v>
      </c>
      <c r="N411" s="615" t="s">
        <v>2619</v>
      </c>
      <c r="O411" s="619"/>
      <c r="P411" s="619"/>
      <c r="Q411" s="619"/>
      <c r="R411" s="619"/>
      <c r="S411" s="619">
        <v>236.0</v>
      </c>
      <c r="T411" s="648" t="s">
        <v>2620</v>
      </c>
      <c r="U411" s="302">
        <v>43646.0</v>
      </c>
      <c r="V411" s="302">
        <v>43601.0</v>
      </c>
      <c r="W411" s="296" t="s">
        <v>1023</v>
      </c>
      <c r="X411" s="296" t="s">
        <v>2621</v>
      </c>
      <c r="Y411" s="302">
        <v>43647.0</v>
      </c>
      <c r="Z411" s="296" t="s">
        <v>2616</v>
      </c>
      <c r="AA411" s="296">
        <v>8.353152592E9</v>
      </c>
      <c r="AB411" s="296"/>
      <c r="AC411" s="296"/>
      <c r="AD411" s="296"/>
      <c r="AE411" s="371"/>
      <c r="AF411" s="371">
        <v>31.05</v>
      </c>
      <c r="AG411" s="372"/>
      <c r="AH411" s="373">
        <v>43636.0</v>
      </c>
      <c r="AI411" s="372" t="s">
        <v>2103</v>
      </c>
      <c r="AJ411" s="372" t="s">
        <v>2104</v>
      </c>
      <c r="AK411" s="371" t="s">
        <v>50</v>
      </c>
      <c r="AL411" s="371" t="s">
        <v>285</v>
      </c>
      <c r="AM411" s="371" t="s">
        <v>51</v>
      </c>
      <c r="AN411" s="371" t="s">
        <v>52</v>
      </c>
      <c r="AO411" s="374" t="s">
        <v>440</v>
      </c>
    </row>
    <row r="412" ht="15.75" customHeight="1">
      <c r="A412" s="69">
        <v>43593.0</v>
      </c>
      <c r="B412" s="70" t="s">
        <v>101</v>
      </c>
      <c r="C412" s="21" t="s">
        <v>1015</v>
      </c>
      <c r="D412" s="21" t="s">
        <v>1016</v>
      </c>
      <c r="E412" s="23" t="s">
        <v>1026</v>
      </c>
      <c r="F412" s="24">
        <v>1.0</v>
      </c>
      <c r="G412" s="143">
        <v>170.0</v>
      </c>
      <c r="H412" s="60">
        <f t="shared" si="47"/>
        <v>170</v>
      </c>
      <c r="I412" s="87" t="s">
        <v>303</v>
      </c>
      <c r="J412" s="63" t="s">
        <v>1018</v>
      </c>
      <c r="K412" s="29">
        <v>43606.0</v>
      </c>
      <c r="L412" s="652">
        <v>43602.0</v>
      </c>
      <c r="M412" s="653" t="s">
        <v>2618</v>
      </c>
      <c r="N412" s="615" t="s">
        <v>2619</v>
      </c>
      <c r="O412" s="619"/>
      <c r="P412" s="619"/>
      <c r="Q412" s="619"/>
      <c r="R412" s="619"/>
      <c r="S412" s="619">
        <v>4725.0</v>
      </c>
      <c r="T412" s="648" t="s">
        <v>2620</v>
      </c>
      <c r="U412" s="302">
        <v>43646.0</v>
      </c>
      <c r="V412" s="302">
        <v>43601.0</v>
      </c>
      <c r="W412" s="296" t="s">
        <v>1023</v>
      </c>
      <c r="X412" s="296" t="s">
        <v>2621</v>
      </c>
      <c r="Y412" s="302">
        <v>43647.0</v>
      </c>
      <c r="Z412" s="296" t="s">
        <v>2616</v>
      </c>
      <c r="AA412" s="296">
        <v>8.353152592E9</v>
      </c>
      <c r="AB412" s="296"/>
      <c r="AC412" s="296"/>
      <c r="AD412" s="296"/>
      <c r="AE412" s="371"/>
      <c r="AF412" s="371">
        <v>31.05</v>
      </c>
      <c r="AG412" s="372"/>
      <c r="AH412" s="373">
        <v>43636.0</v>
      </c>
      <c r="AI412" s="372" t="s">
        <v>2103</v>
      </c>
      <c r="AJ412" s="372" t="s">
        <v>2104</v>
      </c>
      <c r="AK412" s="371" t="s">
        <v>50</v>
      </c>
      <c r="AL412" s="371" t="s">
        <v>285</v>
      </c>
      <c r="AM412" s="371" t="s">
        <v>51</v>
      </c>
      <c r="AN412" s="371" t="s">
        <v>52</v>
      </c>
      <c r="AO412" s="374" t="s">
        <v>440</v>
      </c>
    </row>
    <row r="413" ht="15.75" customHeight="1">
      <c r="A413" s="469">
        <v>43593.0</v>
      </c>
      <c r="B413" s="70" t="s">
        <v>101</v>
      </c>
      <c r="C413" s="21" t="s">
        <v>1015</v>
      </c>
      <c r="D413" s="21" t="s">
        <v>1027</v>
      </c>
      <c r="E413" s="23" t="s">
        <v>1020</v>
      </c>
      <c r="F413" s="24">
        <v>1.0</v>
      </c>
      <c r="G413" s="143">
        <v>130.0</v>
      </c>
      <c r="H413" s="60">
        <f t="shared" si="47"/>
        <v>130</v>
      </c>
      <c r="I413" s="87" t="s">
        <v>303</v>
      </c>
      <c r="J413" s="50" t="s">
        <v>1028</v>
      </c>
      <c r="K413" s="300">
        <v>43620.0</v>
      </c>
      <c r="L413" s="30">
        <v>43619.0</v>
      </c>
      <c r="M413" s="407" t="s">
        <v>90</v>
      </c>
      <c r="N413" s="93" t="s">
        <v>2622</v>
      </c>
      <c r="O413" s="408"/>
      <c r="P413" s="408"/>
      <c r="Q413" s="408">
        <v>119.7</v>
      </c>
      <c r="R413" s="408"/>
      <c r="S413" s="408">
        <v>3717.0</v>
      </c>
      <c r="T413" s="51" t="s">
        <v>94</v>
      </c>
      <c r="U413" s="462">
        <v>43677.0</v>
      </c>
      <c r="V413" s="462">
        <v>43616.0</v>
      </c>
      <c r="W413" s="306" t="s">
        <v>1029</v>
      </c>
      <c r="X413" s="306">
        <v>3717.0</v>
      </c>
      <c r="Y413" s="462">
        <v>43677.0</v>
      </c>
      <c r="Z413" s="306" t="s">
        <v>2623</v>
      </c>
      <c r="AA413" s="306">
        <v>1.481437952E9</v>
      </c>
      <c r="AB413" s="306"/>
      <c r="AC413" s="306"/>
      <c r="AD413" s="306"/>
      <c r="AE413" s="298"/>
      <c r="AF413" s="298"/>
      <c r="AG413" s="299"/>
      <c r="AH413" s="300">
        <v>43663.0</v>
      </c>
      <c r="AI413" s="299" t="s">
        <v>2624</v>
      </c>
      <c r="AJ413" s="299" t="s">
        <v>2625</v>
      </c>
      <c r="AK413" s="298" t="s">
        <v>50</v>
      </c>
      <c r="AL413" s="82" t="s">
        <v>285</v>
      </c>
      <c r="AM413" s="298" t="s">
        <v>51</v>
      </c>
      <c r="AN413" s="298" t="s">
        <v>52</v>
      </c>
      <c r="AO413" s="459" t="s">
        <v>750</v>
      </c>
    </row>
    <row r="414" ht="15.75" customHeight="1">
      <c r="A414" s="69">
        <v>43593.0</v>
      </c>
      <c r="B414" s="144" t="s">
        <v>1030</v>
      </c>
      <c r="C414" s="21" t="s">
        <v>1031</v>
      </c>
      <c r="D414" s="493" t="s">
        <v>1032</v>
      </c>
      <c r="E414" s="23" t="s">
        <v>1033</v>
      </c>
      <c r="F414" s="24">
        <v>3.0</v>
      </c>
      <c r="G414" s="25">
        <v>78.0</v>
      </c>
      <c r="H414" s="60">
        <f t="shared" si="47"/>
        <v>234</v>
      </c>
      <c r="I414" s="87" t="s">
        <v>303</v>
      </c>
      <c r="J414" s="50" t="s">
        <v>1034</v>
      </c>
      <c r="K414" s="300">
        <v>43644.0</v>
      </c>
      <c r="L414" s="30">
        <v>43612.0</v>
      </c>
      <c r="M414" s="407" t="s">
        <v>2626</v>
      </c>
      <c r="N414" s="93" t="s">
        <v>2627</v>
      </c>
      <c r="O414" s="408"/>
      <c r="P414" s="408"/>
      <c r="Q414" s="408"/>
      <c r="R414" s="627"/>
      <c r="S414" s="588">
        <f>(2475*3)*1.05</f>
        <v>7796.25</v>
      </c>
      <c r="T414" s="35" t="s">
        <v>1983</v>
      </c>
      <c r="U414" s="462">
        <v>43621.0</v>
      </c>
      <c r="V414" s="462">
        <v>43609.0</v>
      </c>
      <c r="W414" s="306" t="s">
        <v>1035</v>
      </c>
      <c r="X414" s="306">
        <v>7796.0</v>
      </c>
      <c r="Y414" s="462">
        <v>43621.0</v>
      </c>
      <c r="Z414" s="306" t="s">
        <v>2628</v>
      </c>
      <c r="AA414" s="408">
        <v>5.90014509746E11</v>
      </c>
      <c r="AB414" s="306"/>
      <c r="AC414" s="306"/>
      <c r="AD414" s="306"/>
      <c r="AE414" s="298"/>
      <c r="AF414" s="298"/>
      <c r="AG414" s="299"/>
      <c r="AH414" s="300">
        <v>43643.0</v>
      </c>
      <c r="AI414" s="299" t="s">
        <v>2629</v>
      </c>
      <c r="AJ414" s="299" t="s">
        <v>2630</v>
      </c>
      <c r="AK414" s="298" t="s">
        <v>50</v>
      </c>
      <c r="AL414" s="82" t="s">
        <v>285</v>
      </c>
      <c r="AM414" s="298" t="s">
        <v>286</v>
      </c>
      <c r="AN414" s="298" t="s">
        <v>52</v>
      </c>
      <c r="AO414" s="459" t="s">
        <v>750</v>
      </c>
    </row>
    <row r="415" ht="15.75" customHeight="1">
      <c r="A415" s="69">
        <v>43593.0</v>
      </c>
      <c r="B415" s="144" t="s">
        <v>1030</v>
      </c>
      <c r="C415" s="21" t="s">
        <v>1031</v>
      </c>
      <c r="D415" s="493" t="s">
        <v>1032</v>
      </c>
      <c r="E415" s="23" t="s">
        <v>1036</v>
      </c>
      <c r="F415" s="24">
        <v>3.0</v>
      </c>
      <c r="G415" s="25">
        <v>35.0</v>
      </c>
      <c r="H415" s="60">
        <f t="shared" si="47"/>
        <v>105</v>
      </c>
      <c r="I415" s="87" t="s">
        <v>303</v>
      </c>
      <c r="J415" s="50" t="s">
        <v>1037</v>
      </c>
      <c r="K415" s="300">
        <v>43644.0</v>
      </c>
      <c r="L415" s="30">
        <v>43614.0</v>
      </c>
      <c r="M415" s="407" t="s">
        <v>2631</v>
      </c>
      <c r="N415" s="93" t="s">
        <v>2632</v>
      </c>
      <c r="O415" s="408"/>
      <c r="P415" s="408"/>
      <c r="Q415" s="408"/>
      <c r="R415" s="627"/>
      <c r="S415" s="588">
        <v>3900.0</v>
      </c>
      <c r="T415" s="21" t="s">
        <v>2633</v>
      </c>
      <c r="U415" s="462">
        <v>43614.0</v>
      </c>
      <c r="V415" s="462">
        <v>43614.0</v>
      </c>
      <c r="W415" s="306" t="s">
        <v>1038</v>
      </c>
      <c r="X415" s="306">
        <v>3900.0</v>
      </c>
      <c r="Y415" s="462">
        <v>43614.0</v>
      </c>
      <c r="Z415" s="306" t="s">
        <v>2628</v>
      </c>
      <c r="AA415" s="408">
        <v>5.90014509746E11</v>
      </c>
      <c r="AB415" s="306"/>
      <c r="AC415" s="306"/>
      <c r="AD415" s="306"/>
      <c r="AE415" s="298"/>
      <c r="AF415" s="298"/>
      <c r="AG415" s="299"/>
      <c r="AH415" s="300">
        <v>43643.0</v>
      </c>
      <c r="AI415" s="299" t="s">
        <v>2629</v>
      </c>
      <c r="AJ415" s="299" t="s">
        <v>2630</v>
      </c>
      <c r="AK415" s="298" t="s">
        <v>50</v>
      </c>
      <c r="AL415" s="82" t="s">
        <v>285</v>
      </c>
      <c r="AM415" s="298" t="s">
        <v>286</v>
      </c>
      <c r="AN415" s="298" t="s">
        <v>52</v>
      </c>
      <c r="AO415" s="459" t="s">
        <v>750</v>
      </c>
    </row>
    <row r="416" ht="15.75" customHeight="1">
      <c r="A416" s="69">
        <v>43593.0</v>
      </c>
      <c r="B416" s="144" t="s">
        <v>1030</v>
      </c>
      <c r="C416" s="21" t="s">
        <v>1031</v>
      </c>
      <c r="D416" s="493" t="s">
        <v>1032</v>
      </c>
      <c r="E416" s="23" t="s">
        <v>1039</v>
      </c>
      <c r="F416" s="24">
        <v>3.0</v>
      </c>
      <c r="G416" s="48">
        <v>2023.0</v>
      </c>
      <c r="H416" s="60">
        <f t="shared" si="47"/>
        <v>6069</v>
      </c>
      <c r="I416" s="87" t="s">
        <v>303</v>
      </c>
      <c r="J416" s="50" t="s">
        <v>1034</v>
      </c>
      <c r="K416" s="300">
        <v>43644.0</v>
      </c>
      <c r="L416" s="145">
        <v>43642.0</v>
      </c>
      <c r="M416" s="50" t="s">
        <v>1324</v>
      </c>
      <c r="N416" s="93" t="s">
        <v>2634</v>
      </c>
      <c r="O416" s="408"/>
      <c r="P416" s="408"/>
      <c r="Q416" s="408"/>
      <c r="R416" s="408"/>
      <c r="S416" s="683">
        <v>142913.0</v>
      </c>
      <c r="T416" s="22"/>
      <c r="U416" s="306"/>
      <c r="V416" s="306"/>
      <c r="W416" s="306"/>
      <c r="X416" s="306"/>
      <c r="Y416" s="306"/>
      <c r="Z416" s="306" t="s">
        <v>2635</v>
      </c>
      <c r="AA416" s="408">
        <v>5.90014509746E11</v>
      </c>
      <c r="AB416" s="306"/>
      <c r="AC416" s="306"/>
      <c r="AD416" s="306"/>
      <c r="AE416" s="298"/>
      <c r="AF416" s="298"/>
      <c r="AG416" s="299"/>
      <c r="AH416" s="300">
        <v>43643.0</v>
      </c>
      <c r="AI416" s="299">
        <f>8612.42*31</f>
        <v>266985.02</v>
      </c>
      <c r="AJ416" s="299">
        <f>(8652.87-8612.42)*31</f>
        <v>1253.95</v>
      </c>
      <c r="AK416" s="298" t="s">
        <v>50</v>
      </c>
      <c r="AL416" s="82" t="s">
        <v>285</v>
      </c>
      <c r="AM416" s="298" t="s">
        <v>286</v>
      </c>
      <c r="AN416" s="298" t="s">
        <v>52</v>
      </c>
      <c r="AO416" s="459" t="s">
        <v>750</v>
      </c>
    </row>
    <row r="417" ht="15.75" customHeight="1">
      <c r="A417" s="69">
        <v>43593.0</v>
      </c>
      <c r="B417" s="144" t="s">
        <v>1030</v>
      </c>
      <c r="C417" s="21" t="s">
        <v>1031</v>
      </c>
      <c r="D417" s="493" t="s">
        <v>1032</v>
      </c>
      <c r="E417" s="23" t="s">
        <v>1039</v>
      </c>
      <c r="F417" s="24">
        <v>3.0</v>
      </c>
      <c r="G417" s="48">
        <v>-257.0</v>
      </c>
      <c r="H417" s="60">
        <f t="shared" si="47"/>
        <v>-771</v>
      </c>
      <c r="I417" s="87" t="s">
        <v>303</v>
      </c>
      <c r="J417" s="63"/>
      <c r="K417" s="29"/>
      <c r="L417" s="29"/>
      <c r="M417" s="50" t="s">
        <v>1324</v>
      </c>
      <c r="N417" s="64" t="s">
        <v>2636</v>
      </c>
      <c r="O417" s="408"/>
      <c r="P417" s="408"/>
      <c r="Q417" s="408"/>
      <c r="R417" s="408"/>
      <c r="S417" s="683">
        <v>0.0</v>
      </c>
      <c r="T417" s="684"/>
      <c r="U417" s="462"/>
      <c r="V417" s="462"/>
      <c r="W417" s="306"/>
      <c r="X417" s="306"/>
      <c r="Y417" s="462"/>
      <c r="Z417" s="306"/>
      <c r="AA417" s="306"/>
      <c r="AB417" s="306"/>
      <c r="AC417" s="306"/>
      <c r="AD417" s="462"/>
      <c r="AE417" s="298"/>
      <c r="AF417" s="298"/>
      <c r="AG417" s="299"/>
      <c r="AH417" s="298" t="s">
        <v>1040</v>
      </c>
      <c r="AI417" s="299" t="s">
        <v>2629</v>
      </c>
      <c r="AJ417" s="299" t="s">
        <v>2630</v>
      </c>
      <c r="AK417" s="298" t="s">
        <v>50</v>
      </c>
      <c r="AL417" s="82" t="s">
        <v>285</v>
      </c>
      <c r="AM417" s="298" t="s">
        <v>286</v>
      </c>
      <c r="AN417" s="298" t="s">
        <v>52</v>
      </c>
      <c r="AO417" s="459" t="s">
        <v>750</v>
      </c>
    </row>
    <row r="418" ht="15.75" customHeight="1">
      <c r="A418" s="69">
        <v>43593.0</v>
      </c>
      <c r="B418" s="70" t="s">
        <v>223</v>
      </c>
      <c r="C418" s="21" t="s">
        <v>1041</v>
      </c>
      <c r="D418" s="21" t="s">
        <v>1042</v>
      </c>
      <c r="E418" s="23" t="s">
        <v>1043</v>
      </c>
      <c r="F418" s="24">
        <v>4.0</v>
      </c>
      <c r="G418" s="48">
        <v>131.25</v>
      </c>
      <c r="H418" s="60">
        <f>G418*F418</f>
        <v>525</v>
      </c>
      <c r="I418" s="87" t="s">
        <v>248</v>
      </c>
      <c r="J418" s="63" t="s">
        <v>90</v>
      </c>
      <c r="K418" s="29">
        <v>43605.0</v>
      </c>
      <c r="L418" s="29">
        <v>43605.0</v>
      </c>
      <c r="M418" s="50" t="s">
        <v>90</v>
      </c>
      <c r="N418" s="93" t="s">
        <v>2637</v>
      </c>
      <c r="O418" s="408"/>
      <c r="P418" s="408"/>
      <c r="Q418" s="408">
        <v>478.8</v>
      </c>
      <c r="R418" s="408"/>
      <c r="S418" s="22">
        <v>14769.0</v>
      </c>
      <c r="T418" s="35" t="s">
        <v>94</v>
      </c>
      <c r="U418" s="462">
        <v>43646.0</v>
      </c>
      <c r="V418" s="462">
        <v>43602.0</v>
      </c>
      <c r="W418" s="306" t="s">
        <v>1044</v>
      </c>
      <c r="X418" s="306">
        <v>14769.0</v>
      </c>
      <c r="Y418" s="462">
        <v>43647.0</v>
      </c>
      <c r="Z418" s="306" t="s">
        <v>2638</v>
      </c>
      <c r="AA418" s="306" t="s">
        <v>2639</v>
      </c>
      <c r="AB418" s="306">
        <v>31.285</v>
      </c>
      <c r="AC418" s="306">
        <v>16425.0</v>
      </c>
      <c r="AD418" s="462">
        <v>43605.0</v>
      </c>
      <c r="AE418" s="298"/>
      <c r="AF418" s="298"/>
      <c r="AG418" s="299"/>
      <c r="AH418" s="300">
        <v>43649.0</v>
      </c>
      <c r="AI418" s="299">
        <v>16425.0</v>
      </c>
      <c r="AJ418" s="299">
        <v>28.0</v>
      </c>
      <c r="AK418" s="298" t="s">
        <v>50</v>
      </c>
      <c r="AL418" s="82" t="s">
        <v>285</v>
      </c>
      <c r="AM418" s="298" t="s">
        <v>51</v>
      </c>
      <c r="AN418" s="298" t="s">
        <v>377</v>
      </c>
      <c r="AO418" s="459" t="s">
        <v>750</v>
      </c>
    </row>
    <row r="419" ht="15.75" customHeight="1">
      <c r="A419" s="69">
        <v>43593.0</v>
      </c>
      <c r="B419" s="70" t="s">
        <v>130</v>
      </c>
      <c r="C419" s="21"/>
      <c r="D419" s="21" t="s">
        <v>1045</v>
      </c>
      <c r="E419" s="23" t="s">
        <v>1006</v>
      </c>
      <c r="F419" s="24">
        <v>50.0</v>
      </c>
      <c r="G419" s="48">
        <v>25.0</v>
      </c>
      <c r="H419" s="60">
        <f t="shared" ref="H419:H434" si="48">F419*G419</f>
        <v>1250</v>
      </c>
      <c r="I419" s="87" t="s">
        <v>248</v>
      </c>
      <c r="J419" s="50" t="s">
        <v>134</v>
      </c>
      <c r="K419" s="30">
        <v>43741.0</v>
      </c>
      <c r="L419" s="30">
        <v>43734.0</v>
      </c>
      <c r="M419" s="58" t="s">
        <v>90</v>
      </c>
      <c r="N419" s="93" t="s">
        <v>2640</v>
      </c>
      <c r="O419" s="408"/>
      <c r="P419" s="408">
        <v>23.5</v>
      </c>
      <c r="Q419" s="408">
        <f>(P419*F419)*1.05</f>
        <v>1233.75</v>
      </c>
      <c r="R419" s="408"/>
      <c r="S419" s="408">
        <v>38228.0</v>
      </c>
      <c r="T419" s="35" t="s">
        <v>94</v>
      </c>
      <c r="U419" s="305">
        <v>43769.0</v>
      </c>
      <c r="V419" s="462">
        <v>43733.0</v>
      </c>
      <c r="W419" s="306" t="s">
        <v>1046</v>
      </c>
      <c r="X419" s="306">
        <v>162997.0</v>
      </c>
      <c r="Y419" s="306"/>
      <c r="Z419" s="306" t="s">
        <v>2641</v>
      </c>
      <c r="AA419" s="306">
        <v>4.652050782E9</v>
      </c>
      <c r="AB419" s="306">
        <v>30.97</v>
      </c>
      <c r="AC419" s="306"/>
      <c r="AD419" s="306"/>
      <c r="AE419" s="298"/>
      <c r="AF419" s="298"/>
      <c r="AG419" s="299"/>
      <c r="AH419" s="29">
        <v>43756.0</v>
      </c>
      <c r="AI419" s="299">
        <f>5809.46*30.57</f>
        <v>177595.1922</v>
      </c>
      <c r="AJ419" s="299">
        <f>(5832-5809.46)*30.57</f>
        <v>689.0478</v>
      </c>
      <c r="AK419" s="298" t="s">
        <v>50</v>
      </c>
      <c r="AL419" s="298" t="s">
        <v>285</v>
      </c>
      <c r="AM419" s="298" t="s">
        <v>51</v>
      </c>
      <c r="AN419" s="298" t="s">
        <v>377</v>
      </c>
      <c r="AO419" s="459" t="s">
        <v>763</v>
      </c>
    </row>
    <row r="420" ht="15.75" customHeight="1">
      <c r="A420" s="69">
        <v>43594.0</v>
      </c>
      <c r="B420" s="70" t="s">
        <v>464</v>
      </c>
      <c r="C420" s="21">
        <v>504301.0</v>
      </c>
      <c r="D420" s="477" t="s">
        <v>1047</v>
      </c>
      <c r="E420" s="23" t="s">
        <v>638</v>
      </c>
      <c r="F420" s="24">
        <v>1.0</v>
      </c>
      <c r="G420" s="47">
        <v>80.0</v>
      </c>
      <c r="H420" s="26">
        <f t="shared" si="48"/>
        <v>80</v>
      </c>
      <c r="I420" s="49" t="s">
        <v>303</v>
      </c>
      <c r="J420" s="24" t="s">
        <v>467</v>
      </c>
      <c r="K420" s="300">
        <v>43614.0</v>
      </c>
      <c r="L420" s="613">
        <v>43613.0</v>
      </c>
      <c r="M420" s="653" t="s">
        <v>2125</v>
      </c>
      <c r="N420" s="615" t="s">
        <v>2642</v>
      </c>
      <c r="O420" s="619"/>
      <c r="P420" s="619"/>
      <c r="Q420" s="619"/>
      <c r="R420" s="619"/>
      <c r="S420" s="619">
        <v>1637.0</v>
      </c>
      <c r="T420" s="647" t="s">
        <v>2127</v>
      </c>
      <c r="U420" s="302">
        <v>43608.0</v>
      </c>
      <c r="V420" s="302">
        <v>43612.0</v>
      </c>
      <c r="W420" s="296" t="s">
        <v>985</v>
      </c>
      <c r="X420" s="296" t="s">
        <v>2592</v>
      </c>
      <c r="Y420" s="260">
        <v>43608.0</v>
      </c>
      <c r="Z420" s="296" t="s">
        <v>2591</v>
      </c>
      <c r="AA420" s="296">
        <v>1.06359576E8</v>
      </c>
      <c r="AB420" s="296"/>
      <c r="AC420" s="296"/>
      <c r="AD420" s="296"/>
      <c r="AE420" s="371"/>
      <c r="AF420" s="371">
        <v>31.05</v>
      </c>
      <c r="AG420" s="372">
        <f>4578*31.05</f>
        <v>142146.9</v>
      </c>
      <c r="AH420" s="373">
        <v>43612.0</v>
      </c>
      <c r="AI420" s="372">
        <f>4571.64*31.43</f>
        <v>143686.6452</v>
      </c>
      <c r="AJ420" s="372">
        <f>(4578-4571.64)*31.43</f>
        <v>199.8948</v>
      </c>
      <c r="AK420" s="371" t="s">
        <v>50</v>
      </c>
      <c r="AL420" s="371" t="s">
        <v>285</v>
      </c>
      <c r="AM420" s="371" t="s">
        <v>51</v>
      </c>
      <c r="AN420" s="371" t="s">
        <v>52</v>
      </c>
      <c r="AO420" s="374" t="s">
        <v>440</v>
      </c>
    </row>
    <row r="421" ht="15.75" customHeight="1">
      <c r="A421" s="69">
        <v>43594.0</v>
      </c>
      <c r="B421" s="70" t="s">
        <v>464</v>
      </c>
      <c r="C421" s="21">
        <v>504301.0</v>
      </c>
      <c r="D421" s="477" t="s">
        <v>1047</v>
      </c>
      <c r="E421" s="23" t="s">
        <v>472</v>
      </c>
      <c r="F421" s="24">
        <v>1.0</v>
      </c>
      <c r="G421" s="47">
        <v>118.0</v>
      </c>
      <c r="H421" s="26">
        <f t="shared" si="48"/>
        <v>118</v>
      </c>
      <c r="I421" s="49" t="s">
        <v>303</v>
      </c>
      <c r="J421" s="24" t="s">
        <v>467</v>
      </c>
      <c r="K421" s="300">
        <v>43614.0</v>
      </c>
      <c r="L421" s="613">
        <v>43613.0</v>
      </c>
      <c r="M421" s="653" t="s">
        <v>2125</v>
      </c>
      <c r="N421" s="615" t="s">
        <v>2642</v>
      </c>
      <c r="O421" s="619"/>
      <c r="P421" s="619"/>
      <c r="Q421" s="619"/>
      <c r="R421" s="619"/>
      <c r="S421" s="619">
        <v>2151.0</v>
      </c>
      <c r="T421" s="647" t="s">
        <v>2127</v>
      </c>
      <c r="U421" s="302">
        <v>43608.0</v>
      </c>
      <c r="V421" s="302">
        <v>43612.0</v>
      </c>
      <c r="W421" s="296" t="s">
        <v>985</v>
      </c>
      <c r="X421" s="296" t="s">
        <v>2592</v>
      </c>
      <c r="Y421" s="260">
        <v>43608.0</v>
      </c>
      <c r="Z421" s="296" t="s">
        <v>2591</v>
      </c>
      <c r="AA421" s="296">
        <v>1.06359576E8</v>
      </c>
      <c r="AB421" s="296"/>
      <c r="AC421" s="296"/>
      <c r="AD421" s="296"/>
      <c r="AE421" s="371"/>
      <c r="AF421" s="371">
        <v>31.05</v>
      </c>
      <c r="AG421" s="372">
        <v>0.0</v>
      </c>
      <c r="AH421" s="373">
        <v>43612.0</v>
      </c>
      <c r="AI421" s="372" t="s">
        <v>2643</v>
      </c>
      <c r="AJ421" s="372" t="s">
        <v>2644</v>
      </c>
      <c r="AK421" s="371" t="s">
        <v>50</v>
      </c>
      <c r="AL421" s="371" t="s">
        <v>285</v>
      </c>
      <c r="AM421" s="371" t="s">
        <v>51</v>
      </c>
      <c r="AN421" s="371" t="s">
        <v>52</v>
      </c>
      <c r="AO421" s="374" t="s">
        <v>440</v>
      </c>
    </row>
    <row r="422" ht="15.75" customHeight="1">
      <c r="A422" s="69">
        <v>43594.0</v>
      </c>
      <c r="B422" s="70" t="s">
        <v>464</v>
      </c>
      <c r="C422" s="21">
        <v>504301.0</v>
      </c>
      <c r="D422" s="477" t="s">
        <v>1047</v>
      </c>
      <c r="E422" s="23" t="s">
        <v>473</v>
      </c>
      <c r="F422" s="24">
        <v>1.0</v>
      </c>
      <c r="G422" s="47">
        <v>160.0</v>
      </c>
      <c r="H422" s="26">
        <f t="shared" si="48"/>
        <v>160</v>
      </c>
      <c r="I422" s="27" t="s">
        <v>303</v>
      </c>
      <c r="J422" s="24" t="s">
        <v>467</v>
      </c>
      <c r="K422" s="300">
        <v>43614.0</v>
      </c>
      <c r="L422" s="613">
        <v>43608.0</v>
      </c>
      <c r="M422" s="653" t="s">
        <v>2272</v>
      </c>
      <c r="N422" s="615" t="s">
        <v>2645</v>
      </c>
      <c r="O422" s="619"/>
      <c r="P422" s="619"/>
      <c r="Q422" s="619"/>
      <c r="R422" s="619"/>
      <c r="S422" s="619">
        <v>4271.0</v>
      </c>
      <c r="T422" s="619" t="s">
        <v>47</v>
      </c>
      <c r="U422" s="302">
        <v>43646.0</v>
      </c>
      <c r="V422" s="302">
        <v>43608.0</v>
      </c>
      <c r="W422" s="296" t="s">
        <v>986</v>
      </c>
      <c r="X422" s="296" t="s">
        <v>2646</v>
      </c>
      <c r="Y422" s="295">
        <v>43631.0</v>
      </c>
      <c r="Z422" s="296" t="s">
        <v>2591</v>
      </c>
      <c r="AA422" s="296">
        <v>1.06359576E8</v>
      </c>
      <c r="AB422" s="296"/>
      <c r="AC422" s="296"/>
      <c r="AD422" s="296"/>
      <c r="AE422" s="371"/>
      <c r="AF422" s="371">
        <v>31.05</v>
      </c>
      <c r="AG422" s="372">
        <v>0.0</v>
      </c>
      <c r="AH422" s="373">
        <v>43612.0</v>
      </c>
      <c r="AI422" s="372" t="s">
        <v>2643</v>
      </c>
      <c r="AJ422" s="372" t="s">
        <v>2644</v>
      </c>
      <c r="AK422" s="371" t="s">
        <v>50</v>
      </c>
      <c r="AL422" s="371" t="s">
        <v>285</v>
      </c>
      <c r="AM422" s="371" t="s">
        <v>51</v>
      </c>
      <c r="AN422" s="371" t="s">
        <v>52</v>
      </c>
      <c r="AO422" s="374" t="s">
        <v>440</v>
      </c>
    </row>
    <row r="423" ht="15.75" customHeight="1">
      <c r="A423" s="69">
        <v>43594.0</v>
      </c>
      <c r="B423" s="70" t="s">
        <v>464</v>
      </c>
      <c r="C423" s="21">
        <v>504301.0</v>
      </c>
      <c r="D423" s="477" t="s">
        <v>1047</v>
      </c>
      <c r="E423" s="23" t="s">
        <v>987</v>
      </c>
      <c r="F423" s="24">
        <v>1.0</v>
      </c>
      <c r="G423" s="47">
        <v>4120.0</v>
      </c>
      <c r="H423" s="26">
        <f t="shared" si="48"/>
        <v>4120</v>
      </c>
      <c r="I423" s="27" t="s">
        <v>303</v>
      </c>
      <c r="J423" s="24" t="s">
        <v>467</v>
      </c>
      <c r="K423" s="300">
        <v>43614.0</v>
      </c>
      <c r="L423" s="652">
        <v>43613.0</v>
      </c>
      <c r="M423" s="614" t="s">
        <v>90</v>
      </c>
      <c r="N423" s="615" t="s">
        <v>2647</v>
      </c>
      <c r="O423" s="619"/>
      <c r="P423" s="619"/>
      <c r="Q423" s="619">
        <v>3863.16</v>
      </c>
      <c r="R423" s="619"/>
      <c r="S423" s="619">
        <v>119951.0</v>
      </c>
      <c r="T423" s="648" t="s">
        <v>94</v>
      </c>
      <c r="U423" s="302">
        <v>43677.0</v>
      </c>
      <c r="V423" s="302">
        <v>43612.0</v>
      </c>
      <c r="W423" s="296" t="s">
        <v>1048</v>
      </c>
      <c r="X423" s="296">
        <v>122722.0</v>
      </c>
      <c r="Y423" s="472">
        <v>43677.0</v>
      </c>
      <c r="Z423" s="296" t="s">
        <v>2591</v>
      </c>
      <c r="AA423" s="296">
        <v>1.06359576E8</v>
      </c>
      <c r="AB423" s="296"/>
      <c r="AC423" s="296"/>
      <c r="AD423" s="296"/>
      <c r="AE423" s="371"/>
      <c r="AF423" s="371">
        <v>31.05</v>
      </c>
      <c r="AG423" s="372">
        <v>0.0</v>
      </c>
      <c r="AH423" s="373">
        <v>43612.0</v>
      </c>
      <c r="AI423" s="372" t="s">
        <v>2643</v>
      </c>
      <c r="AJ423" s="372" t="s">
        <v>2644</v>
      </c>
      <c r="AK423" s="371" t="s">
        <v>50</v>
      </c>
      <c r="AL423" s="371" t="s">
        <v>285</v>
      </c>
      <c r="AM423" s="371" t="s">
        <v>51</v>
      </c>
      <c r="AN423" s="371" t="s">
        <v>52</v>
      </c>
      <c r="AO423" s="374" t="s">
        <v>440</v>
      </c>
    </row>
    <row r="424" ht="15.75" customHeight="1">
      <c r="A424" s="69">
        <v>43594.0</v>
      </c>
      <c r="B424" s="70" t="s">
        <v>464</v>
      </c>
      <c r="C424" s="21">
        <v>504301.0</v>
      </c>
      <c r="D424" s="477" t="s">
        <v>1047</v>
      </c>
      <c r="E424" s="23" t="s">
        <v>466</v>
      </c>
      <c r="F424" s="24">
        <v>1.0</v>
      </c>
      <c r="G424" s="47">
        <v>100.0</v>
      </c>
      <c r="H424" s="26">
        <f t="shared" si="48"/>
        <v>100</v>
      </c>
      <c r="I424" s="27" t="s">
        <v>303</v>
      </c>
      <c r="J424" s="24" t="s">
        <v>467</v>
      </c>
      <c r="K424" s="300">
        <v>43614.0</v>
      </c>
      <c r="L424" s="652">
        <v>43613.0</v>
      </c>
      <c r="M424" s="614" t="s">
        <v>90</v>
      </c>
      <c r="N424" s="615" t="s">
        <v>2647</v>
      </c>
      <c r="O424" s="619"/>
      <c r="P424" s="619"/>
      <c r="Q424" s="619">
        <v>89.25</v>
      </c>
      <c r="R424" s="619"/>
      <c r="S424" s="619">
        <v>2771.0</v>
      </c>
      <c r="T424" s="648" t="s">
        <v>94</v>
      </c>
      <c r="U424" s="302">
        <v>43677.0</v>
      </c>
      <c r="V424" s="302">
        <v>43612.0</v>
      </c>
      <c r="W424" s="296" t="s">
        <v>1048</v>
      </c>
      <c r="X424" s="296" t="s">
        <v>2648</v>
      </c>
      <c r="Y424" s="472">
        <v>43677.0</v>
      </c>
      <c r="Z424" s="296" t="s">
        <v>2591</v>
      </c>
      <c r="AA424" s="296">
        <v>1.06359576E8</v>
      </c>
      <c r="AB424" s="296"/>
      <c r="AC424" s="296"/>
      <c r="AD424" s="296"/>
      <c r="AE424" s="371"/>
      <c r="AF424" s="371">
        <v>31.05</v>
      </c>
      <c r="AG424" s="372">
        <v>0.0</v>
      </c>
      <c r="AH424" s="373">
        <v>43612.0</v>
      </c>
      <c r="AI424" s="372" t="s">
        <v>2643</v>
      </c>
      <c r="AJ424" s="372" t="s">
        <v>2644</v>
      </c>
      <c r="AK424" s="371" t="s">
        <v>50</v>
      </c>
      <c r="AL424" s="371" t="s">
        <v>285</v>
      </c>
      <c r="AM424" s="371" t="s">
        <v>51</v>
      </c>
      <c r="AN424" s="371" t="s">
        <v>52</v>
      </c>
      <c r="AO424" s="374" t="s">
        <v>440</v>
      </c>
    </row>
    <row r="425" ht="15.75" customHeight="1">
      <c r="A425" s="399">
        <v>43594.0</v>
      </c>
      <c r="B425" s="377" t="s">
        <v>101</v>
      </c>
      <c r="C425" s="183">
        <v>1.9000175E7</v>
      </c>
      <c r="D425" s="494" t="s">
        <v>1049</v>
      </c>
      <c r="E425" s="378" t="s">
        <v>1050</v>
      </c>
      <c r="F425" s="186">
        <v>0.0</v>
      </c>
      <c r="G425" s="401">
        <v>576.0</v>
      </c>
      <c r="H425" s="381">
        <f t="shared" si="48"/>
        <v>0</v>
      </c>
      <c r="I425" s="489" t="s">
        <v>303</v>
      </c>
      <c r="J425" s="495" t="s">
        <v>869</v>
      </c>
      <c r="K425" s="191">
        <v>43641.0</v>
      </c>
      <c r="L425" s="621"/>
      <c r="M425" s="626"/>
      <c r="N425" s="64"/>
      <c r="O425" s="34"/>
      <c r="P425" s="34"/>
      <c r="Q425" s="34"/>
      <c r="R425" s="34"/>
      <c r="S425" s="34"/>
      <c r="T425" s="76"/>
      <c r="U425" s="52"/>
      <c r="V425" s="53"/>
      <c r="W425" s="53"/>
      <c r="X425" s="53"/>
      <c r="Y425" s="53"/>
      <c r="Z425" s="53"/>
      <c r="AA425" s="53"/>
      <c r="AB425" s="53"/>
      <c r="AC425" s="53"/>
      <c r="AD425" s="53"/>
      <c r="AE425" s="54"/>
      <c r="AF425" s="54"/>
      <c r="AG425" s="55"/>
      <c r="AH425" s="54" t="s">
        <v>1227</v>
      </c>
      <c r="AI425" s="55"/>
      <c r="AJ425" s="55"/>
      <c r="AK425" s="54" t="s">
        <v>50</v>
      </c>
      <c r="AL425" s="54" t="s">
        <v>296</v>
      </c>
      <c r="AM425" s="54" t="s">
        <v>51</v>
      </c>
      <c r="AN425" s="54" t="s">
        <v>52</v>
      </c>
      <c r="AO425" s="57"/>
    </row>
    <row r="426" ht="15.75" customHeight="1">
      <c r="A426" s="399">
        <v>43594.0</v>
      </c>
      <c r="B426" s="377" t="s">
        <v>101</v>
      </c>
      <c r="C426" s="183">
        <v>1.9000175E7</v>
      </c>
      <c r="D426" s="494" t="s">
        <v>1049</v>
      </c>
      <c r="E426" s="378" t="s">
        <v>1051</v>
      </c>
      <c r="F426" s="496">
        <v>0.0</v>
      </c>
      <c r="G426" s="401">
        <v>219.0</v>
      </c>
      <c r="H426" s="381">
        <f t="shared" si="48"/>
        <v>0</v>
      </c>
      <c r="I426" s="489" t="s">
        <v>303</v>
      </c>
      <c r="J426" s="495" t="s">
        <v>869</v>
      </c>
      <c r="K426" s="191">
        <v>43641.0</v>
      </c>
      <c r="L426" s="621"/>
      <c r="M426" s="626"/>
      <c r="N426" s="64"/>
      <c r="O426" s="34"/>
      <c r="P426" s="34"/>
      <c r="Q426" s="34"/>
      <c r="R426" s="34"/>
      <c r="S426" s="34"/>
      <c r="T426" s="76"/>
      <c r="U426" s="52"/>
      <c r="V426" s="53"/>
      <c r="W426" s="53"/>
      <c r="X426" s="53"/>
      <c r="Y426" s="53"/>
      <c r="Z426" s="53"/>
      <c r="AA426" s="53"/>
      <c r="AB426" s="53"/>
      <c r="AC426" s="53"/>
      <c r="AD426" s="53"/>
      <c r="AE426" s="54"/>
      <c r="AF426" s="54"/>
      <c r="AG426" s="55"/>
      <c r="AH426" s="54" t="s">
        <v>1227</v>
      </c>
      <c r="AI426" s="55"/>
      <c r="AJ426" s="55"/>
      <c r="AK426" s="54" t="s">
        <v>50</v>
      </c>
      <c r="AL426" s="54" t="s">
        <v>296</v>
      </c>
      <c r="AM426" s="54" t="s">
        <v>51</v>
      </c>
      <c r="AN426" s="54" t="s">
        <v>52</v>
      </c>
      <c r="AO426" s="57"/>
    </row>
    <row r="427" ht="15.75" customHeight="1">
      <c r="A427" s="399">
        <v>43594.0</v>
      </c>
      <c r="B427" s="377" t="s">
        <v>101</v>
      </c>
      <c r="C427" s="183">
        <v>1.9000175E7</v>
      </c>
      <c r="D427" s="494" t="s">
        <v>1049</v>
      </c>
      <c r="E427" s="378" t="s">
        <v>1052</v>
      </c>
      <c r="F427" s="186">
        <v>0.0</v>
      </c>
      <c r="G427" s="401">
        <v>85.0</v>
      </c>
      <c r="H427" s="381">
        <f t="shared" si="48"/>
        <v>0</v>
      </c>
      <c r="I427" s="489" t="s">
        <v>303</v>
      </c>
      <c r="J427" s="495" t="s">
        <v>869</v>
      </c>
      <c r="K427" s="191">
        <v>43641.0</v>
      </c>
      <c r="L427" s="621"/>
      <c r="M427" s="626"/>
      <c r="N427" s="64"/>
      <c r="O427" s="34"/>
      <c r="P427" s="34"/>
      <c r="Q427" s="34"/>
      <c r="R427" s="34"/>
      <c r="S427" s="34"/>
      <c r="T427" s="76"/>
      <c r="U427" s="52"/>
      <c r="V427" s="53"/>
      <c r="W427" s="53"/>
      <c r="X427" s="53"/>
      <c r="Y427" s="53"/>
      <c r="Z427" s="53"/>
      <c r="AA427" s="53"/>
      <c r="AB427" s="53"/>
      <c r="AC427" s="53"/>
      <c r="AD427" s="53"/>
      <c r="AE427" s="54"/>
      <c r="AF427" s="54"/>
      <c r="AG427" s="55"/>
      <c r="AH427" s="54" t="s">
        <v>1227</v>
      </c>
      <c r="AI427" s="55"/>
      <c r="AJ427" s="55"/>
      <c r="AK427" s="54" t="s">
        <v>50</v>
      </c>
      <c r="AL427" s="54" t="s">
        <v>296</v>
      </c>
      <c r="AM427" s="54" t="s">
        <v>51</v>
      </c>
      <c r="AN427" s="54" t="s">
        <v>52</v>
      </c>
      <c r="AO427" s="57"/>
    </row>
    <row r="428" ht="15.75" customHeight="1">
      <c r="A428" s="69">
        <v>43594.0</v>
      </c>
      <c r="B428" s="70" t="s">
        <v>101</v>
      </c>
      <c r="C428" s="21" t="s">
        <v>1053</v>
      </c>
      <c r="D428" s="32" t="s">
        <v>1054</v>
      </c>
      <c r="E428" s="23" t="s">
        <v>1055</v>
      </c>
      <c r="F428" s="24">
        <v>10.0</v>
      </c>
      <c r="G428" s="47">
        <v>610.0</v>
      </c>
      <c r="H428" s="26">
        <f t="shared" si="48"/>
        <v>6100</v>
      </c>
      <c r="I428" s="27" t="s">
        <v>303</v>
      </c>
      <c r="J428" s="79" t="s">
        <v>1056</v>
      </c>
      <c r="K428" s="30">
        <v>43620.0</v>
      </c>
      <c r="L428" s="30">
        <v>43620.0</v>
      </c>
      <c r="M428" s="58" t="s">
        <v>1439</v>
      </c>
      <c r="N428" s="93" t="s">
        <v>2649</v>
      </c>
      <c r="O428" s="408"/>
      <c r="P428" s="408"/>
      <c r="Q428" s="408"/>
      <c r="R428" s="408"/>
      <c r="S428" s="408">
        <v>183613.0</v>
      </c>
      <c r="T428" s="22" t="s">
        <v>1976</v>
      </c>
      <c r="U428" s="462">
        <v>43677.0</v>
      </c>
      <c r="V428" s="462">
        <v>43619.0</v>
      </c>
      <c r="W428" s="306" t="s">
        <v>1057</v>
      </c>
      <c r="X428" s="306">
        <v>246981.0</v>
      </c>
      <c r="Y428" s="462">
        <v>43677.0</v>
      </c>
      <c r="Z428" s="306" t="s">
        <v>2623</v>
      </c>
      <c r="AA428" s="306">
        <v>1.481437952E9</v>
      </c>
      <c r="AB428" s="306"/>
      <c r="AC428" s="306"/>
      <c r="AD428" s="306"/>
      <c r="AE428" s="298"/>
      <c r="AF428" s="298"/>
      <c r="AG428" s="299"/>
      <c r="AH428" s="300">
        <v>43663.0</v>
      </c>
      <c r="AI428" s="299" t="s">
        <v>2624</v>
      </c>
      <c r="AJ428" s="299" t="s">
        <v>2625</v>
      </c>
      <c r="AK428" s="298" t="s">
        <v>50</v>
      </c>
      <c r="AL428" s="82" t="s">
        <v>285</v>
      </c>
      <c r="AM428" s="298" t="s">
        <v>51</v>
      </c>
      <c r="AN428" s="298" t="s">
        <v>52</v>
      </c>
      <c r="AO428" s="459" t="s">
        <v>750</v>
      </c>
    </row>
    <row r="429" ht="15.75" customHeight="1">
      <c r="A429" s="69">
        <v>43594.0</v>
      </c>
      <c r="B429" s="70" t="s">
        <v>101</v>
      </c>
      <c r="C429" s="21" t="s">
        <v>1053</v>
      </c>
      <c r="D429" s="32" t="s">
        <v>2650</v>
      </c>
      <c r="E429" s="23" t="s">
        <v>1059</v>
      </c>
      <c r="F429" s="24">
        <v>10.0</v>
      </c>
      <c r="G429" s="47">
        <v>219.0</v>
      </c>
      <c r="H429" s="26">
        <f t="shared" si="48"/>
        <v>2190</v>
      </c>
      <c r="I429" s="27" t="s">
        <v>303</v>
      </c>
      <c r="J429" s="63" t="s">
        <v>1056</v>
      </c>
      <c r="K429" s="30">
        <v>43620.0</v>
      </c>
      <c r="L429" s="30">
        <v>43620.0</v>
      </c>
      <c r="M429" s="58" t="s">
        <v>1439</v>
      </c>
      <c r="N429" s="93" t="s">
        <v>2649</v>
      </c>
      <c r="O429" s="408"/>
      <c r="P429" s="408"/>
      <c r="Q429" s="408"/>
      <c r="R429" s="408"/>
      <c r="S429" s="408">
        <v>63368.0</v>
      </c>
      <c r="T429" s="22" t="s">
        <v>1976</v>
      </c>
      <c r="U429" s="462">
        <v>43677.0</v>
      </c>
      <c r="V429" s="462">
        <v>43619.0</v>
      </c>
      <c r="W429" s="306" t="s">
        <v>1057</v>
      </c>
      <c r="X429" s="306" t="s">
        <v>2651</v>
      </c>
      <c r="Y429" s="462">
        <v>43677.0</v>
      </c>
      <c r="Z429" s="306" t="s">
        <v>2623</v>
      </c>
      <c r="AA429" s="306">
        <v>1.481437952E9</v>
      </c>
      <c r="AB429" s="306"/>
      <c r="AC429" s="306"/>
      <c r="AD429" s="306"/>
      <c r="AE429" s="298"/>
      <c r="AF429" s="298"/>
      <c r="AG429" s="299"/>
      <c r="AH429" s="300">
        <v>43663.0</v>
      </c>
      <c r="AI429" s="299" t="s">
        <v>2624</v>
      </c>
      <c r="AJ429" s="299" t="s">
        <v>2625</v>
      </c>
      <c r="AK429" s="298" t="s">
        <v>50</v>
      </c>
      <c r="AL429" s="82" t="s">
        <v>285</v>
      </c>
      <c r="AM429" s="298" t="s">
        <v>51</v>
      </c>
      <c r="AN429" s="298" t="s">
        <v>52</v>
      </c>
      <c r="AO429" s="459" t="s">
        <v>750</v>
      </c>
    </row>
    <row r="430" ht="43.5" customHeight="1">
      <c r="A430" s="69">
        <v>43594.0</v>
      </c>
      <c r="B430" s="70" t="s">
        <v>101</v>
      </c>
      <c r="C430" s="21" t="s">
        <v>1053</v>
      </c>
      <c r="D430" s="32" t="s">
        <v>2652</v>
      </c>
      <c r="E430" s="23" t="s">
        <v>1061</v>
      </c>
      <c r="F430" s="24">
        <v>10.0</v>
      </c>
      <c r="G430" s="47">
        <v>85.0</v>
      </c>
      <c r="H430" s="26">
        <f t="shared" si="48"/>
        <v>850</v>
      </c>
      <c r="I430" s="27" t="s">
        <v>303</v>
      </c>
      <c r="J430" s="63" t="s">
        <v>1056</v>
      </c>
      <c r="K430" s="29">
        <v>43620.0</v>
      </c>
      <c r="L430" s="29">
        <v>43615.0</v>
      </c>
      <c r="M430" s="58" t="s">
        <v>2653</v>
      </c>
      <c r="N430" s="93" t="s">
        <v>2654</v>
      </c>
      <c r="O430" s="408"/>
      <c r="P430" s="408"/>
      <c r="Q430" s="408"/>
      <c r="R430" s="408"/>
      <c r="S430" s="408">
        <v>24650.0</v>
      </c>
      <c r="T430" s="51" t="s">
        <v>1983</v>
      </c>
      <c r="U430" s="306"/>
      <c r="V430" s="306"/>
      <c r="W430" s="306"/>
      <c r="X430" s="306"/>
      <c r="Y430" s="306"/>
      <c r="Z430" s="306" t="s">
        <v>2623</v>
      </c>
      <c r="AA430" s="306">
        <v>1.481437952E9</v>
      </c>
      <c r="AB430" s="306"/>
      <c r="AC430" s="306"/>
      <c r="AD430" s="306"/>
      <c r="AE430" s="298"/>
      <c r="AF430" s="298"/>
      <c r="AG430" s="299"/>
      <c r="AH430" s="300">
        <v>43663.0</v>
      </c>
      <c r="AI430" s="299" t="s">
        <v>2624</v>
      </c>
      <c r="AJ430" s="299" t="s">
        <v>2625</v>
      </c>
      <c r="AK430" s="298" t="s">
        <v>50</v>
      </c>
      <c r="AL430" s="82" t="s">
        <v>285</v>
      </c>
      <c r="AM430" s="298" t="s">
        <v>51</v>
      </c>
      <c r="AN430" s="298" t="s">
        <v>52</v>
      </c>
      <c r="AO430" s="459" t="s">
        <v>750</v>
      </c>
    </row>
    <row r="431" ht="43.5" customHeight="1">
      <c r="A431" s="69">
        <v>43598.0</v>
      </c>
      <c r="B431" s="23" t="s">
        <v>406</v>
      </c>
      <c r="C431" s="21">
        <v>7.000147307E9</v>
      </c>
      <c r="D431" s="21" t="s">
        <v>1062</v>
      </c>
      <c r="E431" s="23" t="s">
        <v>1063</v>
      </c>
      <c r="F431" s="24">
        <v>1.0</v>
      </c>
      <c r="G431" s="48">
        <v>275.0</v>
      </c>
      <c r="H431" s="26">
        <f t="shared" si="48"/>
        <v>275</v>
      </c>
      <c r="I431" s="61" t="s">
        <v>43</v>
      </c>
      <c r="J431" s="50" t="s">
        <v>513</v>
      </c>
      <c r="K431" s="29">
        <v>43606.0</v>
      </c>
      <c r="L431" s="30">
        <v>43602.0</v>
      </c>
      <c r="M431" s="58" t="s">
        <v>2078</v>
      </c>
      <c r="N431" s="93" t="s">
        <v>2655</v>
      </c>
      <c r="O431" s="408"/>
      <c r="P431" s="408"/>
      <c r="Q431" s="408"/>
      <c r="R431" s="408"/>
      <c r="S431" s="408">
        <v>7562.0</v>
      </c>
      <c r="T431" s="20" t="s">
        <v>2080</v>
      </c>
      <c r="U431" s="462">
        <v>43677.0</v>
      </c>
      <c r="V431" s="462">
        <v>43601.0</v>
      </c>
      <c r="W431" s="306" t="s">
        <v>1064</v>
      </c>
      <c r="X431" s="306">
        <v>9131.0</v>
      </c>
      <c r="Y431" s="462">
        <v>43677.0</v>
      </c>
      <c r="Z431" s="306" t="s">
        <v>2610</v>
      </c>
      <c r="AA431" s="306">
        <v>3.572419583E9</v>
      </c>
      <c r="AB431" s="306"/>
      <c r="AC431" s="306"/>
      <c r="AD431" s="306"/>
      <c r="AE431" s="298"/>
      <c r="AF431" s="298">
        <v>31.05</v>
      </c>
      <c r="AG431" s="299">
        <f>331.5*31.05</f>
        <v>10293.075</v>
      </c>
      <c r="AH431" s="300">
        <v>43650.0</v>
      </c>
      <c r="AI431" s="299"/>
      <c r="AJ431" s="299"/>
      <c r="AK431" s="298" t="s">
        <v>50</v>
      </c>
      <c r="AL431" s="82" t="s">
        <v>285</v>
      </c>
      <c r="AM431" s="298" t="s">
        <v>51</v>
      </c>
      <c r="AN431" s="298" t="s">
        <v>52</v>
      </c>
      <c r="AO431" s="459" t="s">
        <v>750</v>
      </c>
    </row>
    <row r="432" ht="43.5" customHeight="1">
      <c r="A432" s="69">
        <v>43598.0</v>
      </c>
      <c r="B432" s="23" t="s">
        <v>406</v>
      </c>
      <c r="C432" s="21">
        <v>7.000147307E9</v>
      </c>
      <c r="D432" s="21" t="s">
        <v>1062</v>
      </c>
      <c r="E432" s="23" t="s">
        <v>812</v>
      </c>
      <c r="F432" s="24">
        <v>1.0</v>
      </c>
      <c r="G432" s="48">
        <v>43.0</v>
      </c>
      <c r="H432" s="26">
        <f t="shared" si="48"/>
        <v>43</v>
      </c>
      <c r="I432" s="61" t="s">
        <v>43</v>
      </c>
      <c r="J432" s="50" t="s">
        <v>513</v>
      </c>
      <c r="K432" s="29">
        <v>43606.0</v>
      </c>
      <c r="L432" s="30">
        <v>43602.0</v>
      </c>
      <c r="M432" s="608" t="s">
        <v>2078</v>
      </c>
      <c r="N432" s="93" t="s">
        <v>2655</v>
      </c>
      <c r="O432" s="408"/>
      <c r="P432" s="408"/>
      <c r="Q432" s="408"/>
      <c r="R432" s="408"/>
      <c r="S432" s="408">
        <v>1154.0</v>
      </c>
      <c r="T432" s="20" t="s">
        <v>2080</v>
      </c>
      <c r="U432" s="462">
        <v>43677.0</v>
      </c>
      <c r="V432" s="462">
        <v>43601.0</v>
      </c>
      <c r="W432" s="306" t="s">
        <v>1064</v>
      </c>
      <c r="X432" s="497" t="s">
        <v>2656</v>
      </c>
      <c r="Y432" s="462">
        <v>43677.0</v>
      </c>
      <c r="Z432" s="306" t="s">
        <v>2610</v>
      </c>
      <c r="AA432" s="306">
        <v>3.572419583E9</v>
      </c>
      <c r="AB432" s="306"/>
      <c r="AC432" s="306"/>
      <c r="AD432" s="306"/>
      <c r="AE432" s="298"/>
      <c r="AF432" s="298">
        <v>31.05</v>
      </c>
      <c r="AG432" s="299">
        <v>0.0</v>
      </c>
      <c r="AH432" s="300">
        <v>43650.0</v>
      </c>
      <c r="AI432" s="299"/>
      <c r="AJ432" s="299"/>
      <c r="AK432" s="298" t="s">
        <v>50</v>
      </c>
      <c r="AL432" s="82" t="s">
        <v>285</v>
      </c>
      <c r="AM432" s="298" t="s">
        <v>51</v>
      </c>
      <c r="AN432" s="298" t="s">
        <v>52</v>
      </c>
      <c r="AO432" s="459" t="s">
        <v>750</v>
      </c>
    </row>
    <row r="433" ht="15.75" customHeight="1">
      <c r="A433" s="69">
        <v>43598.0</v>
      </c>
      <c r="B433" s="23" t="s">
        <v>406</v>
      </c>
      <c r="C433" s="21">
        <v>7.000147307E9</v>
      </c>
      <c r="D433" s="21" t="s">
        <v>1062</v>
      </c>
      <c r="E433" s="23" t="s">
        <v>1065</v>
      </c>
      <c r="F433" s="24">
        <v>1.0</v>
      </c>
      <c r="G433" s="48">
        <v>5.0</v>
      </c>
      <c r="H433" s="26">
        <f t="shared" si="48"/>
        <v>5</v>
      </c>
      <c r="I433" s="61" t="s">
        <v>43</v>
      </c>
      <c r="J433" s="50" t="s">
        <v>513</v>
      </c>
      <c r="K433" s="29">
        <v>43606.0</v>
      </c>
      <c r="L433" s="30">
        <v>43602.0</v>
      </c>
      <c r="M433" s="58" t="s">
        <v>2078</v>
      </c>
      <c r="N433" s="93" t="s">
        <v>2655</v>
      </c>
      <c r="O433" s="408"/>
      <c r="P433" s="408"/>
      <c r="Q433" s="408"/>
      <c r="R433" s="408"/>
      <c r="S433" s="408">
        <v>205.0</v>
      </c>
      <c r="T433" s="20" t="s">
        <v>2080</v>
      </c>
      <c r="U433" s="462">
        <v>43677.0</v>
      </c>
      <c r="V433" s="462">
        <v>43601.0</v>
      </c>
      <c r="W433" s="306" t="s">
        <v>1064</v>
      </c>
      <c r="X433" s="497" t="s">
        <v>2656</v>
      </c>
      <c r="Y433" s="462">
        <v>43677.0</v>
      </c>
      <c r="Z433" s="306" t="s">
        <v>2610</v>
      </c>
      <c r="AA433" s="306">
        <v>3.572419583E9</v>
      </c>
      <c r="AB433" s="306"/>
      <c r="AC433" s="306"/>
      <c r="AD433" s="306"/>
      <c r="AE433" s="298"/>
      <c r="AF433" s="298">
        <v>31.05</v>
      </c>
      <c r="AG433" s="299">
        <v>0.0</v>
      </c>
      <c r="AH433" s="300">
        <v>43650.0</v>
      </c>
      <c r="AI433" s="299"/>
      <c r="AJ433" s="299"/>
      <c r="AK433" s="298" t="s">
        <v>50</v>
      </c>
      <c r="AL433" s="82" t="s">
        <v>285</v>
      </c>
      <c r="AM433" s="298" t="s">
        <v>51</v>
      </c>
      <c r="AN433" s="298" t="s">
        <v>52</v>
      </c>
      <c r="AO433" s="459" t="s">
        <v>750</v>
      </c>
    </row>
    <row r="434" ht="15.75" customHeight="1">
      <c r="A434" s="69">
        <v>43598.0</v>
      </c>
      <c r="B434" s="23" t="s">
        <v>406</v>
      </c>
      <c r="C434" s="21">
        <v>7.000147307E9</v>
      </c>
      <c r="D434" s="21" t="s">
        <v>1062</v>
      </c>
      <c r="E434" s="23" t="s">
        <v>813</v>
      </c>
      <c r="F434" s="24">
        <v>1.0</v>
      </c>
      <c r="G434" s="48">
        <v>8.5</v>
      </c>
      <c r="H434" s="26">
        <f t="shared" si="48"/>
        <v>8.5</v>
      </c>
      <c r="I434" s="61" t="s">
        <v>43</v>
      </c>
      <c r="J434" s="50" t="s">
        <v>513</v>
      </c>
      <c r="K434" s="29">
        <v>43606.0</v>
      </c>
      <c r="L434" s="30">
        <v>43602.0</v>
      </c>
      <c r="M434" s="58" t="s">
        <v>2078</v>
      </c>
      <c r="N434" s="93" t="s">
        <v>2655</v>
      </c>
      <c r="O434" s="408"/>
      <c r="P434" s="408"/>
      <c r="Q434" s="408"/>
      <c r="R434" s="408"/>
      <c r="S434" s="408">
        <v>210.0</v>
      </c>
      <c r="T434" s="20" t="s">
        <v>2080</v>
      </c>
      <c r="U434" s="462">
        <v>43677.0</v>
      </c>
      <c r="V434" s="462">
        <v>43601.0</v>
      </c>
      <c r="W434" s="306" t="s">
        <v>1064</v>
      </c>
      <c r="X434" s="497" t="s">
        <v>2656</v>
      </c>
      <c r="Y434" s="462">
        <v>43677.0</v>
      </c>
      <c r="Z434" s="306" t="s">
        <v>2610</v>
      </c>
      <c r="AA434" s="306">
        <v>3.572419583E9</v>
      </c>
      <c r="AB434" s="306"/>
      <c r="AC434" s="306"/>
      <c r="AD434" s="306"/>
      <c r="AE434" s="298"/>
      <c r="AF434" s="298">
        <v>31.05</v>
      </c>
      <c r="AG434" s="299">
        <v>0.0</v>
      </c>
      <c r="AH434" s="300">
        <v>43650.0</v>
      </c>
      <c r="AI434" s="299"/>
      <c r="AJ434" s="299"/>
      <c r="AK434" s="298" t="s">
        <v>50</v>
      </c>
      <c r="AL434" s="82" t="s">
        <v>285</v>
      </c>
      <c r="AM434" s="298" t="s">
        <v>51</v>
      </c>
      <c r="AN434" s="298" t="s">
        <v>52</v>
      </c>
      <c r="AO434" s="459" t="s">
        <v>750</v>
      </c>
    </row>
    <row r="435" ht="15.75" customHeight="1">
      <c r="A435" s="69">
        <v>43598.0</v>
      </c>
      <c r="B435" s="70" t="s">
        <v>373</v>
      </c>
      <c r="C435" s="21">
        <v>2.01905090033E11</v>
      </c>
      <c r="D435" s="21" t="s">
        <v>1066</v>
      </c>
      <c r="E435" s="23" t="s">
        <v>1067</v>
      </c>
      <c r="F435" s="24">
        <v>60.0</v>
      </c>
      <c r="G435" s="48">
        <v>61.95</v>
      </c>
      <c r="H435" s="60">
        <f t="shared" ref="H435:H445" si="49">G435*F435</f>
        <v>3717</v>
      </c>
      <c r="I435" s="61" t="s">
        <v>43</v>
      </c>
      <c r="J435" s="63" t="s">
        <v>90</v>
      </c>
      <c r="K435" s="29">
        <v>43606.0</v>
      </c>
      <c r="L435" s="29">
        <v>43606.0</v>
      </c>
      <c r="M435" s="58" t="s">
        <v>90</v>
      </c>
      <c r="N435" s="93" t="s">
        <v>2657</v>
      </c>
      <c r="O435" s="408"/>
      <c r="P435" s="408"/>
      <c r="Q435" s="408">
        <v>3528.0</v>
      </c>
      <c r="R435" s="408"/>
      <c r="S435" s="408">
        <v>108821.0</v>
      </c>
      <c r="T435" s="51" t="s">
        <v>94</v>
      </c>
      <c r="U435" s="462">
        <v>43646.0</v>
      </c>
      <c r="V435" s="462">
        <v>43605.0</v>
      </c>
      <c r="W435" s="306" t="s">
        <v>1068</v>
      </c>
      <c r="X435" s="306">
        <v>108821.0</v>
      </c>
      <c r="Y435" s="462">
        <v>43647.0</v>
      </c>
      <c r="Z435" s="306" t="s">
        <v>2658</v>
      </c>
      <c r="AA435" s="306" t="s">
        <v>2659</v>
      </c>
      <c r="AB435" s="306">
        <v>31.385</v>
      </c>
      <c r="AC435" s="306">
        <v>116658.0</v>
      </c>
      <c r="AD435" s="462">
        <v>43606.0</v>
      </c>
      <c r="AE435" s="298"/>
      <c r="AF435" s="298"/>
      <c r="AG435" s="299"/>
      <c r="AH435" s="300">
        <v>43647.0</v>
      </c>
      <c r="AI435" s="299" t="s">
        <v>2660</v>
      </c>
      <c r="AJ435" s="299" t="s">
        <v>2660</v>
      </c>
      <c r="AK435" s="298" t="s">
        <v>50</v>
      </c>
      <c r="AL435" s="82" t="s">
        <v>285</v>
      </c>
      <c r="AM435" s="298" t="s">
        <v>51</v>
      </c>
      <c r="AN435" s="298" t="s">
        <v>377</v>
      </c>
      <c r="AO435" s="459" t="s">
        <v>750</v>
      </c>
    </row>
    <row r="436" ht="15.75" customHeight="1">
      <c r="A436" s="69">
        <v>43598.0</v>
      </c>
      <c r="B436" s="70" t="s">
        <v>373</v>
      </c>
      <c r="C436" s="21">
        <v>2.01905090033E11</v>
      </c>
      <c r="D436" s="21" t="s">
        <v>1069</v>
      </c>
      <c r="E436" s="23" t="s">
        <v>1067</v>
      </c>
      <c r="F436" s="24">
        <v>60.0</v>
      </c>
      <c r="G436" s="48">
        <v>61.95</v>
      </c>
      <c r="H436" s="60">
        <f t="shared" si="49"/>
        <v>3717</v>
      </c>
      <c r="I436" s="61" t="s">
        <v>43</v>
      </c>
      <c r="J436" s="63" t="s">
        <v>90</v>
      </c>
      <c r="K436" s="29">
        <v>43623.0</v>
      </c>
      <c r="L436" s="29">
        <v>43622.0</v>
      </c>
      <c r="M436" s="58" t="s">
        <v>90</v>
      </c>
      <c r="N436" s="93" t="s">
        <v>2661</v>
      </c>
      <c r="O436" s="408"/>
      <c r="P436" s="408"/>
      <c r="Q436" s="408">
        <v>3528.0</v>
      </c>
      <c r="R436" s="408"/>
      <c r="S436" s="408">
        <v>110973.0</v>
      </c>
      <c r="T436" s="51" t="s">
        <v>94</v>
      </c>
      <c r="U436" s="462">
        <v>43677.0</v>
      </c>
      <c r="V436" s="462">
        <v>43622.0</v>
      </c>
      <c r="W436" s="306" t="s">
        <v>1070</v>
      </c>
      <c r="X436" s="306">
        <v>110973.0</v>
      </c>
      <c r="Y436" s="462">
        <v>43677.0</v>
      </c>
      <c r="Z436" s="306" t="s">
        <v>2662</v>
      </c>
      <c r="AA436" s="306" t="s">
        <v>2663</v>
      </c>
      <c r="AB436" s="306">
        <v>31.375</v>
      </c>
      <c r="AC436" s="306">
        <v>116621.0</v>
      </c>
      <c r="AD436" s="462">
        <v>43622.0</v>
      </c>
      <c r="AE436" s="298"/>
      <c r="AF436" s="298"/>
      <c r="AG436" s="299"/>
      <c r="AH436" s="300">
        <v>43700.0</v>
      </c>
      <c r="AI436" s="299">
        <f>3710.61*31.313</f>
        <v>116190.3309</v>
      </c>
      <c r="AJ436" s="299">
        <f>(3717-3710.61)*31.313</f>
        <v>200.09007</v>
      </c>
      <c r="AK436" s="298" t="s">
        <v>50</v>
      </c>
      <c r="AL436" s="298" t="s">
        <v>285</v>
      </c>
      <c r="AM436" s="298" t="s">
        <v>51</v>
      </c>
      <c r="AN436" s="298" t="s">
        <v>377</v>
      </c>
      <c r="AO436" s="234" t="s">
        <v>507</v>
      </c>
    </row>
    <row r="437" ht="15.75" customHeight="1">
      <c r="A437" s="69">
        <v>43600.0</v>
      </c>
      <c r="B437" s="23" t="s">
        <v>406</v>
      </c>
      <c r="C437" s="21">
        <v>7.000147355E9</v>
      </c>
      <c r="D437" s="21" t="s">
        <v>1071</v>
      </c>
      <c r="E437" s="23" t="s">
        <v>1072</v>
      </c>
      <c r="F437" s="24">
        <v>100.0</v>
      </c>
      <c r="G437" s="48">
        <v>138.0</v>
      </c>
      <c r="H437" s="60">
        <f t="shared" si="49"/>
        <v>13800</v>
      </c>
      <c r="I437" s="61" t="s">
        <v>43</v>
      </c>
      <c r="J437" s="50" t="s">
        <v>513</v>
      </c>
      <c r="K437" s="29">
        <v>43620.0</v>
      </c>
      <c r="L437" s="30">
        <v>43614.0</v>
      </c>
      <c r="M437" s="50" t="s">
        <v>2272</v>
      </c>
      <c r="N437" s="21" t="s">
        <v>2664</v>
      </c>
      <c r="O437" s="22"/>
      <c r="P437" s="22"/>
      <c r="Q437" s="22">
        <v>13440.0</v>
      </c>
      <c r="R437" s="22"/>
      <c r="S437" s="22">
        <v>423145.0</v>
      </c>
      <c r="T437" s="408" t="s">
        <v>47</v>
      </c>
      <c r="U437" s="351">
        <v>43646.0</v>
      </c>
      <c r="V437" s="351">
        <v>43614.0</v>
      </c>
      <c r="W437" s="352" t="s">
        <v>1073</v>
      </c>
      <c r="X437" s="352">
        <v>423145.0</v>
      </c>
      <c r="Y437" s="461">
        <v>43658.0</v>
      </c>
      <c r="Z437" s="352" t="s">
        <v>2665</v>
      </c>
      <c r="AA437" s="352">
        <v>5.733378895E9</v>
      </c>
      <c r="AB437" s="352"/>
      <c r="AC437" s="352"/>
      <c r="AD437" s="352"/>
      <c r="AE437" s="82"/>
      <c r="AF437" s="82">
        <v>31.455</v>
      </c>
      <c r="AG437" s="432"/>
      <c r="AH437" s="145">
        <v>43657.0</v>
      </c>
      <c r="AI437" s="432">
        <f>14030.99*30.97</f>
        <v>434539.7603</v>
      </c>
      <c r="AJ437" s="432">
        <f>(14058-14030.99)*30.97</f>
        <v>836.4997</v>
      </c>
      <c r="AK437" s="82" t="s">
        <v>50</v>
      </c>
      <c r="AL437" s="82" t="s">
        <v>285</v>
      </c>
      <c r="AM437" s="82" t="s">
        <v>51</v>
      </c>
      <c r="AN437" s="82" t="s">
        <v>52</v>
      </c>
      <c r="AO437" s="459" t="s">
        <v>750</v>
      </c>
    </row>
    <row r="438" ht="15.75" customHeight="1">
      <c r="A438" s="69">
        <v>43600.0</v>
      </c>
      <c r="B438" s="70" t="s">
        <v>673</v>
      </c>
      <c r="C438" s="21"/>
      <c r="D438" s="21" t="s">
        <v>1074</v>
      </c>
      <c r="E438" s="23" t="s">
        <v>1075</v>
      </c>
      <c r="F438" s="24">
        <v>5.0</v>
      </c>
      <c r="G438" s="48">
        <v>250.0</v>
      </c>
      <c r="H438" s="60">
        <f t="shared" si="49"/>
        <v>1250</v>
      </c>
      <c r="I438" s="61" t="s">
        <v>171</v>
      </c>
      <c r="J438" s="161" t="s">
        <v>676</v>
      </c>
      <c r="K438" s="29">
        <v>43619.0</v>
      </c>
      <c r="L438" s="613">
        <v>43615.0</v>
      </c>
      <c r="M438" s="653" t="s">
        <v>2666</v>
      </c>
      <c r="N438" s="615" t="s">
        <v>2667</v>
      </c>
      <c r="O438" s="619"/>
      <c r="P438" s="619"/>
      <c r="Q438" s="619"/>
      <c r="R438" s="616"/>
      <c r="S438" s="616">
        <f>(6842*F438)*1.05</f>
        <v>35920.5</v>
      </c>
      <c r="T438" s="685" t="s">
        <v>2668</v>
      </c>
      <c r="U438" s="302">
        <v>43602.0</v>
      </c>
      <c r="V438" s="302">
        <v>43614.0</v>
      </c>
      <c r="W438" s="296" t="s">
        <v>1076</v>
      </c>
      <c r="X438" s="296">
        <v>107901.0</v>
      </c>
      <c r="Y438" s="295">
        <v>43602.0</v>
      </c>
      <c r="Z438" s="296" t="s">
        <v>2669</v>
      </c>
      <c r="AA438" s="296">
        <v>7.602861044E9</v>
      </c>
      <c r="AB438" s="296"/>
      <c r="AC438" s="296"/>
      <c r="AD438" s="296"/>
      <c r="AE438" s="371"/>
      <c r="AF438" s="371">
        <v>31.455</v>
      </c>
      <c r="AG438" s="372"/>
      <c r="AH438" s="373">
        <v>43615.0</v>
      </c>
      <c r="AI438" s="372">
        <f>3743.66*31.57</f>
        <v>118187.3462</v>
      </c>
      <c r="AJ438" s="372">
        <f>6.34*31.57</f>
        <v>200.1538</v>
      </c>
      <c r="AK438" s="371" t="s">
        <v>50</v>
      </c>
      <c r="AL438" s="371" t="s">
        <v>285</v>
      </c>
      <c r="AM438" s="371" t="s">
        <v>51</v>
      </c>
      <c r="AN438" s="371" t="s">
        <v>52</v>
      </c>
      <c r="AO438" s="374" t="s">
        <v>440</v>
      </c>
    </row>
    <row r="439" ht="15.75" customHeight="1">
      <c r="A439" s="69">
        <v>43600.0</v>
      </c>
      <c r="B439" s="70" t="s">
        <v>1030</v>
      </c>
      <c r="C439" s="21">
        <v>1.900018E7</v>
      </c>
      <c r="D439" s="21" t="s">
        <v>1077</v>
      </c>
      <c r="E439" s="23" t="s">
        <v>1078</v>
      </c>
      <c r="F439" s="24">
        <v>1.0</v>
      </c>
      <c r="G439" s="48">
        <v>150.5</v>
      </c>
      <c r="H439" s="60">
        <f t="shared" si="49"/>
        <v>150.5</v>
      </c>
      <c r="I439" s="61" t="s">
        <v>303</v>
      </c>
      <c r="J439" s="50" t="s">
        <v>869</v>
      </c>
      <c r="K439" s="29">
        <v>43608.0</v>
      </c>
      <c r="L439" s="29">
        <v>43608.0</v>
      </c>
      <c r="M439" s="58" t="s">
        <v>90</v>
      </c>
      <c r="N439" s="93" t="s">
        <v>2670</v>
      </c>
      <c r="O439" s="408"/>
      <c r="P439" s="408"/>
      <c r="Q439" s="408">
        <v>138.6</v>
      </c>
      <c r="R439" s="408"/>
      <c r="S439" s="408">
        <v>4304.0</v>
      </c>
      <c r="T439" s="35" t="s">
        <v>94</v>
      </c>
      <c r="U439" s="462">
        <v>43646.0</v>
      </c>
      <c r="V439" s="462">
        <v>43607.0</v>
      </c>
      <c r="W439" s="306" t="s">
        <v>1079</v>
      </c>
      <c r="X439" s="306">
        <v>40694.0</v>
      </c>
      <c r="Y439" s="462">
        <v>43647.0</v>
      </c>
      <c r="Z439" s="306" t="s">
        <v>2671</v>
      </c>
      <c r="AA439" s="306">
        <v>1.05230096E8</v>
      </c>
      <c r="AB439" s="306">
        <v>31.05</v>
      </c>
      <c r="AC439" s="306"/>
      <c r="AD439" s="306"/>
      <c r="AE439" s="298"/>
      <c r="AF439" s="298">
        <v>31.05</v>
      </c>
      <c r="AG439" s="299">
        <f>1394.5*31.05</f>
        <v>43299.225</v>
      </c>
      <c r="AH439" s="300">
        <v>43643.0</v>
      </c>
      <c r="AI439" s="299" t="s">
        <v>2629</v>
      </c>
      <c r="AJ439" s="299" t="s">
        <v>2630</v>
      </c>
      <c r="AK439" s="298" t="s">
        <v>50</v>
      </c>
      <c r="AL439" s="82" t="s">
        <v>285</v>
      </c>
      <c r="AM439" s="298" t="s">
        <v>51</v>
      </c>
      <c r="AN439" s="298" t="s">
        <v>52</v>
      </c>
      <c r="AO439" s="459" t="s">
        <v>750</v>
      </c>
    </row>
    <row r="440" ht="15.75" customHeight="1">
      <c r="A440" s="69">
        <v>43600.0</v>
      </c>
      <c r="B440" s="70" t="s">
        <v>1030</v>
      </c>
      <c r="C440" s="21">
        <v>1.900018E7</v>
      </c>
      <c r="D440" s="21" t="s">
        <v>1077</v>
      </c>
      <c r="E440" s="23" t="s">
        <v>1080</v>
      </c>
      <c r="F440" s="24">
        <v>1.0</v>
      </c>
      <c r="G440" s="48">
        <v>84.0</v>
      </c>
      <c r="H440" s="60">
        <f t="shared" si="49"/>
        <v>84</v>
      </c>
      <c r="I440" s="61" t="s">
        <v>303</v>
      </c>
      <c r="J440" s="50" t="s">
        <v>869</v>
      </c>
      <c r="K440" s="29">
        <v>43608.0</v>
      </c>
      <c r="L440" s="29">
        <v>43608.0</v>
      </c>
      <c r="M440" s="58" t="s">
        <v>90</v>
      </c>
      <c r="N440" s="93" t="s">
        <v>2670</v>
      </c>
      <c r="O440" s="408"/>
      <c r="P440" s="408"/>
      <c r="Q440" s="408">
        <v>80.85</v>
      </c>
      <c r="R440" s="408"/>
      <c r="S440" s="408">
        <v>2510.0</v>
      </c>
      <c r="T440" s="51" t="s">
        <v>94</v>
      </c>
      <c r="U440" s="462">
        <v>43646.0</v>
      </c>
      <c r="V440" s="462">
        <v>43607.0</v>
      </c>
      <c r="W440" s="306" t="s">
        <v>1079</v>
      </c>
      <c r="X440" s="306" t="s">
        <v>2672</v>
      </c>
      <c r="Y440" s="462">
        <v>43647.0</v>
      </c>
      <c r="Z440" s="352" t="s">
        <v>2671</v>
      </c>
      <c r="AA440" s="306">
        <v>1.05230096E8</v>
      </c>
      <c r="AB440" s="306">
        <v>31.05</v>
      </c>
      <c r="AC440" s="306"/>
      <c r="AD440" s="306"/>
      <c r="AE440" s="298"/>
      <c r="AF440" s="298">
        <v>31.05</v>
      </c>
      <c r="AG440" s="299">
        <v>0.0</v>
      </c>
      <c r="AH440" s="300">
        <v>43643.0</v>
      </c>
      <c r="AI440" s="299" t="s">
        <v>2629</v>
      </c>
      <c r="AJ440" s="299" t="s">
        <v>2630</v>
      </c>
      <c r="AK440" s="298" t="s">
        <v>50</v>
      </c>
      <c r="AL440" s="82" t="s">
        <v>285</v>
      </c>
      <c r="AM440" s="298" t="s">
        <v>51</v>
      </c>
      <c r="AN440" s="298" t="s">
        <v>52</v>
      </c>
      <c r="AO440" s="459" t="s">
        <v>750</v>
      </c>
    </row>
    <row r="441" ht="15.75" customHeight="1">
      <c r="A441" s="69">
        <v>43600.0</v>
      </c>
      <c r="B441" s="70" t="s">
        <v>1030</v>
      </c>
      <c r="C441" s="21">
        <v>1.900018E7</v>
      </c>
      <c r="D441" s="21" t="s">
        <v>1077</v>
      </c>
      <c r="E441" s="23" t="s">
        <v>1081</v>
      </c>
      <c r="F441" s="24">
        <v>2.0</v>
      </c>
      <c r="G441" s="48">
        <v>113.0</v>
      </c>
      <c r="H441" s="60">
        <f t="shared" si="49"/>
        <v>226</v>
      </c>
      <c r="I441" s="61" t="s">
        <v>303</v>
      </c>
      <c r="J441" s="50" t="s">
        <v>869</v>
      </c>
      <c r="K441" s="29">
        <v>43608.0</v>
      </c>
      <c r="L441" s="29">
        <v>43608.0</v>
      </c>
      <c r="M441" s="58" t="s">
        <v>90</v>
      </c>
      <c r="N441" s="93" t="s">
        <v>2670</v>
      </c>
      <c r="O441" s="408"/>
      <c r="P441" s="408"/>
      <c r="Q441" s="408">
        <v>196.56</v>
      </c>
      <c r="R441" s="408"/>
      <c r="S441" s="408">
        <v>6103.0</v>
      </c>
      <c r="T441" s="684" t="s">
        <v>94</v>
      </c>
      <c r="U441" s="462">
        <v>43646.0</v>
      </c>
      <c r="V441" s="462">
        <v>43607.0</v>
      </c>
      <c r="W441" s="306" t="s">
        <v>1079</v>
      </c>
      <c r="X441" s="306" t="s">
        <v>2672</v>
      </c>
      <c r="Y441" s="462">
        <v>43647.0</v>
      </c>
      <c r="Z441" s="352" t="s">
        <v>2671</v>
      </c>
      <c r="AA441" s="306">
        <v>1.05230096E8</v>
      </c>
      <c r="AB441" s="306">
        <v>31.05</v>
      </c>
      <c r="AC441" s="306"/>
      <c r="AD441" s="306"/>
      <c r="AE441" s="298"/>
      <c r="AF441" s="298">
        <v>31.05</v>
      </c>
      <c r="AG441" s="299">
        <v>0.0</v>
      </c>
      <c r="AH441" s="300">
        <v>43643.0</v>
      </c>
      <c r="AI441" s="299" t="s">
        <v>2629</v>
      </c>
      <c r="AJ441" s="299" t="s">
        <v>2630</v>
      </c>
      <c r="AK441" s="298" t="s">
        <v>50</v>
      </c>
      <c r="AL441" s="82" t="s">
        <v>285</v>
      </c>
      <c r="AM441" s="298" t="s">
        <v>51</v>
      </c>
      <c r="AN441" s="298" t="s">
        <v>52</v>
      </c>
      <c r="AO441" s="459" t="s">
        <v>750</v>
      </c>
    </row>
    <row r="442" ht="15.75" customHeight="1">
      <c r="A442" s="69">
        <v>43600.0</v>
      </c>
      <c r="B442" s="70" t="s">
        <v>1030</v>
      </c>
      <c r="C442" s="21">
        <v>1.900018E7</v>
      </c>
      <c r="D442" s="21" t="s">
        <v>1077</v>
      </c>
      <c r="E442" s="23" t="s">
        <v>1082</v>
      </c>
      <c r="F442" s="24">
        <v>2.0</v>
      </c>
      <c r="G442" s="48">
        <v>409.0</v>
      </c>
      <c r="H442" s="60">
        <f t="shared" si="49"/>
        <v>818</v>
      </c>
      <c r="I442" s="61" t="s">
        <v>303</v>
      </c>
      <c r="J442" s="50" t="s">
        <v>869</v>
      </c>
      <c r="K442" s="29">
        <v>43608.0</v>
      </c>
      <c r="L442" s="29">
        <v>43608.0</v>
      </c>
      <c r="M442" s="58" t="s">
        <v>90</v>
      </c>
      <c r="N442" s="93" t="s">
        <v>2670</v>
      </c>
      <c r="O442" s="408"/>
      <c r="P442" s="408"/>
      <c r="Q442" s="408">
        <v>781.2</v>
      </c>
      <c r="R442" s="408"/>
      <c r="S442" s="408">
        <v>24256.0</v>
      </c>
      <c r="T442" s="35" t="s">
        <v>94</v>
      </c>
      <c r="U442" s="462">
        <v>43646.0</v>
      </c>
      <c r="V442" s="462">
        <v>43607.0</v>
      </c>
      <c r="W442" s="306" t="s">
        <v>1079</v>
      </c>
      <c r="X442" s="306" t="s">
        <v>2672</v>
      </c>
      <c r="Y442" s="462">
        <v>43647.0</v>
      </c>
      <c r="Z442" s="352" t="s">
        <v>2671</v>
      </c>
      <c r="AA442" s="306">
        <v>1.05230096E8</v>
      </c>
      <c r="AB442" s="306">
        <v>31.05</v>
      </c>
      <c r="AC442" s="306"/>
      <c r="AD442" s="306"/>
      <c r="AE442" s="298"/>
      <c r="AF442" s="298">
        <v>31.05</v>
      </c>
      <c r="AG442" s="299">
        <v>0.0</v>
      </c>
      <c r="AH442" s="300">
        <v>43643.0</v>
      </c>
      <c r="AI442" s="299" t="s">
        <v>2629</v>
      </c>
      <c r="AJ442" s="299" t="s">
        <v>2630</v>
      </c>
      <c r="AK442" s="298" t="s">
        <v>50</v>
      </c>
      <c r="AL442" s="82" t="s">
        <v>285</v>
      </c>
      <c r="AM442" s="298" t="s">
        <v>51</v>
      </c>
      <c r="AN442" s="298" t="s">
        <v>52</v>
      </c>
      <c r="AO442" s="459" t="s">
        <v>750</v>
      </c>
    </row>
    <row r="443" ht="15.75" customHeight="1">
      <c r="A443" s="69">
        <v>43600.0</v>
      </c>
      <c r="B443" s="70" t="s">
        <v>1030</v>
      </c>
      <c r="C443" s="21">
        <v>1.900018E7</v>
      </c>
      <c r="D443" s="21" t="s">
        <v>1077</v>
      </c>
      <c r="E443" s="23" t="s">
        <v>1083</v>
      </c>
      <c r="F443" s="24">
        <v>4.0</v>
      </c>
      <c r="G443" s="48">
        <v>29.0</v>
      </c>
      <c r="H443" s="60">
        <f t="shared" si="49"/>
        <v>116</v>
      </c>
      <c r="I443" s="61" t="s">
        <v>303</v>
      </c>
      <c r="J443" s="50" t="s">
        <v>869</v>
      </c>
      <c r="K443" s="29">
        <v>43608.0</v>
      </c>
      <c r="L443" s="29">
        <v>43608.0</v>
      </c>
      <c r="M443" s="58" t="s">
        <v>90</v>
      </c>
      <c r="N443" s="93" t="s">
        <v>2670</v>
      </c>
      <c r="O443" s="408"/>
      <c r="P443" s="408"/>
      <c r="Q443" s="408">
        <v>113.4</v>
      </c>
      <c r="R443" s="408"/>
      <c r="S443" s="408">
        <v>3521.0</v>
      </c>
      <c r="T443" s="35" t="s">
        <v>94</v>
      </c>
      <c r="U443" s="462">
        <v>43646.0</v>
      </c>
      <c r="V443" s="462">
        <v>43607.0</v>
      </c>
      <c r="W443" s="306" t="s">
        <v>1079</v>
      </c>
      <c r="X443" s="306" t="s">
        <v>2672</v>
      </c>
      <c r="Y443" s="462">
        <v>43647.0</v>
      </c>
      <c r="Z443" s="352" t="s">
        <v>2671</v>
      </c>
      <c r="AA443" s="306">
        <v>1.05230096E8</v>
      </c>
      <c r="AB443" s="306">
        <v>31.05</v>
      </c>
      <c r="AC443" s="306"/>
      <c r="AD443" s="306"/>
      <c r="AE443" s="298"/>
      <c r="AF443" s="298">
        <v>31.05</v>
      </c>
      <c r="AG443" s="299">
        <v>0.0</v>
      </c>
      <c r="AH443" s="300">
        <v>43643.0</v>
      </c>
      <c r="AI443" s="299" t="s">
        <v>2629</v>
      </c>
      <c r="AJ443" s="299" t="s">
        <v>2630</v>
      </c>
      <c r="AK443" s="298" t="s">
        <v>50</v>
      </c>
      <c r="AL443" s="82" t="s">
        <v>285</v>
      </c>
      <c r="AM443" s="298" t="s">
        <v>51</v>
      </c>
      <c r="AN443" s="298" t="s">
        <v>52</v>
      </c>
      <c r="AO443" s="459" t="s">
        <v>750</v>
      </c>
    </row>
    <row r="444" ht="15.75" customHeight="1">
      <c r="A444" s="69">
        <v>43602.0</v>
      </c>
      <c r="B444" s="70" t="s">
        <v>673</v>
      </c>
      <c r="C444" s="21"/>
      <c r="D444" s="21" t="s">
        <v>1084</v>
      </c>
      <c r="E444" s="23" t="s">
        <v>1075</v>
      </c>
      <c r="F444" s="24">
        <v>10.0</v>
      </c>
      <c r="G444" s="48">
        <v>250.0</v>
      </c>
      <c r="H444" s="60">
        <f t="shared" si="49"/>
        <v>2500</v>
      </c>
      <c r="I444" s="61" t="s">
        <v>171</v>
      </c>
      <c r="J444" s="161" t="s">
        <v>676</v>
      </c>
      <c r="K444" s="29">
        <v>43619.0</v>
      </c>
      <c r="L444" s="613">
        <v>43615.0</v>
      </c>
      <c r="M444" s="653" t="s">
        <v>2666</v>
      </c>
      <c r="N444" s="398" t="s">
        <v>2673</v>
      </c>
      <c r="O444" s="619"/>
      <c r="P444" s="619"/>
      <c r="Q444" s="619"/>
      <c r="R444" s="616"/>
      <c r="S444" s="616">
        <v>71980.0</v>
      </c>
      <c r="T444" s="685" t="s">
        <v>2668</v>
      </c>
      <c r="U444" s="302">
        <v>43602.0</v>
      </c>
      <c r="V444" s="302">
        <v>43614.0</v>
      </c>
      <c r="W444" s="296" t="s">
        <v>1076</v>
      </c>
      <c r="X444" s="296">
        <v>107901.0</v>
      </c>
      <c r="Y444" s="295">
        <v>43608.0</v>
      </c>
      <c r="Z444" s="296" t="s">
        <v>2669</v>
      </c>
      <c r="AA444" s="296">
        <v>7.602861044E9</v>
      </c>
      <c r="AB444" s="296"/>
      <c r="AC444" s="296"/>
      <c r="AD444" s="296"/>
      <c r="AE444" s="371"/>
      <c r="AF444" s="371">
        <v>31.455</v>
      </c>
      <c r="AG444" s="372"/>
      <c r="AH444" s="373">
        <v>43615.0</v>
      </c>
      <c r="AI444" s="372" t="s">
        <v>2674</v>
      </c>
      <c r="AJ444" s="372">
        <v>0.0</v>
      </c>
      <c r="AK444" s="371" t="s">
        <v>50</v>
      </c>
      <c r="AL444" s="371" t="s">
        <v>285</v>
      </c>
      <c r="AM444" s="371" t="s">
        <v>51</v>
      </c>
      <c r="AN444" s="371" t="s">
        <v>52</v>
      </c>
      <c r="AO444" s="374" t="s">
        <v>440</v>
      </c>
    </row>
    <row r="445" ht="15.75" customHeight="1">
      <c r="A445" s="69">
        <v>43602.0</v>
      </c>
      <c r="B445" s="70" t="s">
        <v>1085</v>
      </c>
      <c r="C445" s="21" t="s">
        <v>1086</v>
      </c>
      <c r="D445" s="21" t="s">
        <v>1087</v>
      </c>
      <c r="E445" s="23" t="s">
        <v>1088</v>
      </c>
      <c r="F445" s="24">
        <v>1.0</v>
      </c>
      <c r="G445" s="48">
        <v>155.4</v>
      </c>
      <c r="H445" s="60">
        <f t="shared" si="49"/>
        <v>155.4</v>
      </c>
      <c r="I445" s="61" t="s">
        <v>248</v>
      </c>
      <c r="J445" s="161" t="s">
        <v>1089</v>
      </c>
      <c r="K445" s="29">
        <v>43608.0</v>
      </c>
      <c r="L445" s="613">
        <v>43606.0</v>
      </c>
      <c r="M445" s="653" t="s">
        <v>179</v>
      </c>
      <c r="N445" s="398"/>
      <c r="O445" s="619"/>
      <c r="P445" s="619">
        <v>135.0</v>
      </c>
      <c r="Q445" s="619">
        <f>P445*F445*1.05</f>
        <v>141.75</v>
      </c>
      <c r="R445" s="475"/>
      <c r="S445" s="475">
        <v>4096.0</v>
      </c>
      <c r="T445" s="685"/>
      <c r="U445" s="296"/>
      <c r="V445" s="296"/>
      <c r="W445" s="296"/>
      <c r="X445" s="296"/>
      <c r="Y445" s="296"/>
      <c r="Z445" s="296"/>
      <c r="AA445" s="296" t="s">
        <v>2675</v>
      </c>
      <c r="AB445" s="296">
        <v>31.535</v>
      </c>
      <c r="AC445" s="296">
        <v>4900.0</v>
      </c>
      <c r="AD445" s="302">
        <v>43608.0</v>
      </c>
      <c r="AE445" s="371"/>
      <c r="AF445" s="371"/>
      <c r="AG445" s="372"/>
      <c r="AH445" s="373">
        <v>43621.0</v>
      </c>
      <c r="AI445" s="372">
        <v>4900.0</v>
      </c>
      <c r="AJ445" s="372">
        <v>0.0</v>
      </c>
      <c r="AK445" s="371" t="s">
        <v>50</v>
      </c>
      <c r="AL445" s="371" t="s">
        <v>285</v>
      </c>
      <c r="AM445" s="371" t="s">
        <v>51</v>
      </c>
      <c r="AN445" s="371" t="s">
        <v>377</v>
      </c>
      <c r="AO445" s="374" t="s">
        <v>440</v>
      </c>
    </row>
    <row r="446" ht="15.75" customHeight="1">
      <c r="A446" s="69">
        <v>43605.0</v>
      </c>
      <c r="B446" s="70" t="s">
        <v>223</v>
      </c>
      <c r="C446" s="21" t="s">
        <v>1090</v>
      </c>
      <c r="D446" s="21" t="s">
        <v>1091</v>
      </c>
      <c r="E446" s="23" t="s">
        <v>2676</v>
      </c>
      <c r="F446" s="24">
        <v>3.0</v>
      </c>
      <c r="G446" s="48">
        <v>22.35333333</v>
      </c>
      <c r="H446" s="60">
        <v>67.06</v>
      </c>
      <c r="I446" s="61" t="s">
        <v>248</v>
      </c>
      <c r="J446" s="63" t="s">
        <v>90</v>
      </c>
      <c r="K446" s="29">
        <v>43609.0</v>
      </c>
      <c r="L446" s="29">
        <v>43609.0</v>
      </c>
      <c r="M446" s="50" t="s">
        <v>90</v>
      </c>
      <c r="N446" s="93" t="s">
        <v>2677</v>
      </c>
      <c r="O446" s="408"/>
      <c r="P446" s="408"/>
      <c r="Q446" s="408"/>
      <c r="R446" s="408"/>
      <c r="S446" s="408">
        <v>1909.0</v>
      </c>
      <c r="T446" s="35" t="s">
        <v>94</v>
      </c>
      <c r="U446" s="462">
        <v>43677.0</v>
      </c>
      <c r="V446" s="462">
        <v>43634.0</v>
      </c>
      <c r="W446" s="306" t="s">
        <v>1093</v>
      </c>
      <c r="X446" s="306">
        <v>1909.0</v>
      </c>
      <c r="Y446" s="462">
        <v>43677.0</v>
      </c>
      <c r="Z446" s="306" t="s">
        <v>2678</v>
      </c>
      <c r="AA446" s="306" t="s">
        <v>2679</v>
      </c>
      <c r="AB446" s="306"/>
      <c r="AC446" s="306">
        <v>2114.0</v>
      </c>
      <c r="AD446" s="462">
        <v>43643.0</v>
      </c>
      <c r="AE446" s="298"/>
      <c r="AF446" s="298"/>
      <c r="AG446" s="299"/>
      <c r="AH446" s="300">
        <v>43649.0</v>
      </c>
      <c r="AI446" s="299">
        <v>2114.0</v>
      </c>
      <c r="AJ446" s="299">
        <v>0.0</v>
      </c>
      <c r="AK446" s="298" t="s">
        <v>50</v>
      </c>
      <c r="AL446" s="82" t="s">
        <v>285</v>
      </c>
      <c r="AM446" s="298" t="s">
        <v>51</v>
      </c>
      <c r="AN446" s="298" t="s">
        <v>377</v>
      </c>
      <c r="AO446" s="459" t="s">
        <v>750</v>
      </c>
    </row>
    <row r="447" ht="15.75" customHeight="1">
      <c r="A447" s="69">
        <v>43606.0</v>
      </c>
      <c r="B447" s="70" t="s">
        <v>101</v>
      </c>
      <c r="C447" s="21" t="s">
        <v>1015</v>
      </c>
      <c r="D447" s="21" t="s">
        <v>1094</v>
      </c>
      <c r="E447" s="23" t="s">
        <v>347</v>
      </c>
      <c r="F447" s="24">
        <v>1.0</v>
      </c>
      <c r="G447" s="47">
        <v>92.0</v>
      </c>
      <c r="H447" s="60">
        <v>92.0</v>
      </c>
      <c r="I447" s="61" t="s">
        <v>303</v>
      </c>
      <c r="J447" s="50" t="s">
        <v>1018</v>
      </c>
      <c r="K447" s="300">
        <v>43606.0</v>
      </c>
      <c r="L447" s="30"/>
      <c r="M447" s="50" t="s">
        <v>263</v>
      </c>
      <c r="N447" s="93"/>
      <c r="O447" s="408"/>
      <c r="P447" s="408"/>
      <c r="Q447" s="408"/>
      <c r="R447" s="408"/>
      <c r="S447" s="408">
        <v>2412.0</v>
      </c>
      <c r="T447" s="686" t="s">
        <v>2680</v>
      </c>
      <c r="U447" s="462">
        <v>43646.0</v>
      </c>
      <c r="V447" s="462">
        <v>43609.0</v>
      </c>
      <c r="W447" s="306" t="s">
        <v>1095</v>
      </c>
      <c r="X447" s="306">
        <v>2412.0</v>
      </c>
      <c r="Y447" s="462">
        <v>43665.0</v>
      </c>
      <c r="Z447" s="306" t="s">
        <v>2616</v>
      </c>
      <c r="AA447" s="306">
        <v>8.353152592E9</v>
      </c>
      <c r="AB447" s="306"/>
      <c r="AC447" s="306"/>
      <c r="AD447" s="306"/>
      <c r="AE447" s="298"/>
      <c r="AF447" s="298"/>
      <c r="AG447" s="299"/>
      <c r="AH447" s="300">
        <v>43663.0</v>
      </c>
      <c r="AI447" s="299">
        <f>9335.55*31.02</f>
        <v>289588.761</v>
      </c>
      <c r="AJ447" s="299">
        <f>26.45*31.02</f>
        <v>820.479</v>
      </c>
      <c r="AK447" s="298" t="s">
        <v>50</v>
      </c>
      <c r="AL447" s="82" t="s">
        <v>285</v>
      </c>
      <c r="AM447" s="298" t="s">
        <v>51</v>
      </c>
      <c r="AN447" s="298" t="s">
        <v>52</v>
      </c>
      <c r="AO447" s="459" t="s">
        <v>750</v>
      </c>
    </row>
    <row r="448" ht="15.75" customHeight="1">
      <c r="A448" s="69">
        <v>43606.0</v>
      </c>
      <c r="B448" s="70" t="s">
        <v>77</v>
      </c>
      <c r="C448" s="21">
        <v>385.0</v>
      </c>
      <c r="D448" s="21" t="s">
        <v>1096</v>
      </c>
      <c r="E448" s="23" t="s">
        <v>1097</v>
      </c>
      <c r="F448" s="24">
        <v>50.0</v>
      </c>
      <c r="G448" s="48">
        <v>2.7</v>
      </c>
      <c r="H448" s="60">
        <f t="shared" ref="H448:H467" si="50">G448*F448</f>
        <v>135</v>
      </c>
      <c r="I448" s="87" t="s">
        <v>43</v>
      </c>
      <c r="J448" s="58" t="s">
        <v>1098</v>
      </c>
      <c r="K448" s="29">
        <v>43622.0</v>
      </c>
      <c r="L448" s="29">
        <v>43621.0</v>
      </c>
      <c r="M448" s="50" t="s">
        <v>2681</v>
      </c>
      <c r="N448" s="93" t="s">
        <v>2682</v>
      </c>
      <c r="O448" s="408"/>
      <c r="P448" s="408"/>
      <c r="Q448" s="408"/>
      <c r="R448" s="408"/>
      <c r="S448" s="408">
        <f>(60*50)*1.05</f>
        <v>3150</v>
      </c>
      <c r="T448" s="453" t="s">
        <v>2683</v>
      </c>
      <c r="U448" s="462">
        <v>43651.0</v>
      </c>
      <c r="V448" s="462">
        <v>43620.0</v>
      </c>
      <c r="W448" s="306" t="s">
        <v>1099</v>
      </c>
      <c r="X448" s="306">
        <v>3150.0</v>
      </c>
      <c r="Y448" s="462">
        <v>43654.0</v>
      </c>
      <c r="Z448" s="306" t="s">
        <v>2684</v>
      </c>
      <c r="AA448" s="306">
        <v>1.08732415E8</v>
      </c>
      <c r="AB448" s="306"/>
      <c r="AC448" s="306"/>
      <c r="AD448" s="306"/>
      <c r="AE448" s="298"/>
      <c r="AF448" s="298"/>
      <c r="AG448" s="299"/>
      <c r="AH448" s="300">
        <v>43649.0</v>
      </c>
      <c r="AI448" s="299">
        <f>135*31.04</f>
        <v>4190.4</v>
      </c>
      <c r="AJ448" s="299">
        <v>0.0</v>
      </c>
      <c r="AK448" s="298" t="s">
        <v>50</v>
      </c>
      <c r="AL448" s="82" t="s">
        <v>285</v>
      </c>
      <c r="AM448" s="298" t="s">
        <v>51</v>
      </c>
      <c r="AN448" s="298" t="s">
        <v>52</v>
      </c>
      <c r="AO448" s="459" t="s">
        <v>750</v>
      </c>
    </row>
    <row r="449" ht="15.75" customHeight="1">
      <c r="A449" s="69">
        <v>43608.0</v>
      </c>
      <c r="B449" s="23" t="s">
        <v>406</v>
      </c>
      <c r="C449" s="21">
        <v>7.000147355E9</v>
      </c>
      <c r="D449" s="21" t="s">
        <v>1071</v>
      </c>
      <c r="E449" s="23" t="s">
        <v>684</v>
      </c>
      <c r="F449" s="24">
        <v>2.0</v>
      </c>
      <c r="G449" s="48">
        <v>129.0</v>
      </c>
      <c r="H449" s="60">
        <f t="shared" si="50"/>
        <v>258</v>
      </c>
      <c r="I449" s="87" t="s">
        <v>43</v>
      </c>
      <c r="J449" s="50" t="s">
        <v>513</v>
      </c>
      <c r="K449" s="29">
        <v>43620.0</v>
      </c>
      <c r="L449" s="30">
        <v>43615.0</v>
      </c>
      <c r="M449" s="58" t="s">
        <v>2078</v>
      </c>
      <c r="N449" s="21" t="s">
        <v>2667</v>
      </c>
      <c r="O449" s="408"/>
      <c r="P449" s="408"/>
      <c r="Q449" s="408"/>
      <c r="R449" s="687"/>
      <c r="S449" s="627">
        <v>7222.0</v>
      </c>
      <c r="T449" s="22" t="s">
        <v>2080</v>
      </c>
      <c r="U449" s="462">
        <v>43708.0</v>
      </c>
      <c r="V449" s="462">
        <v>43614.0</v>
      </c>
      <c r="W449" s="306" t="s">
        <v>1100</v>
      </c>
      <c r="X449" s="306">
        <v>7222.0</v>
      </c>
      <c r="Y449" s="462">
        <v>43710.0</v>
      </c>
      <c r="Z449" s="352" t="s">
        <v>2665</v>
      </c>
      <c r="AA449" s="352">
        <v>5.733378895E9</v>
      </c>
      <c r="AB449" s="306"/>
      <c r="AC449" s="306"/>
      <c r="AD449" s="306"/>
      <c r="AE449" s="298"/>
      <c r="AF449" s="298">
        <v>31.455</v>
      </c>
      <c r="AG449" s="299"/>
      <c r="AH449" s="300">
        <v>43657.0</v>
      </c>
      <c r="AI449" s="299" t="s">
        <v>2685</v>
      </c>
      <c r="AJ449" s="299" t="s">
        <v>2686</v>
      </c>
      <c r="AK449" s="298" t="s">
        <v>50</v>
      </c>
      <c r="AL449" s="82" t="s">
        <v>285</v>
      </c>
      <c r="AM449" s="298" t="s">
        <v>51</v>
      </c>
      <c r="AN449" s="298" t="s">
        <v>52</v>
      </c>
      <c r="AO449" s="459" t="s">
        <v>750</v>
      </c>
    </row>
    <row r="450" ht="15.75" customHeight="1">
      <c r="A450" s="69">
        <v>43608.0</v>
      </c>
      <c r="B450" s="70" t="s">
        <v>229</v>
      </c>
      <c r="C450" s="21" t="s">
        <v>1101</v>
      </c>
      <c r="D450" s="21" t="s">
        <v>1102</v>
      </c>
      <c r="E450" s="23" t="s">
        <v>232</v>
      </c>
      <c r="F450" s="24">
        <v>15.0</v>
      </c>
      <c r="G450" s="48">
        <v>407.4</v>
      </c>
      <c r="H450" s="60">
        <f t="shared" si="50"/>
        <v>6111</v>
      </c>
      <c r="I450" s="61" t="s">
        <v>171</v>
      </c>
      <c r="J450" s="63" t="s">
        <v>233</v>
      </c>
      <c r="K450" s="29">
        <v>43629.0</v>
      </c>
      <c r="L450" s="29">
        <v>43629.0</v>
      </c>
      <c r="M450" s="50" t="s">
        <v>90</v>
      </c>
      <c r="N450" s="93" t="s">
        <v>2687</v>
      </c>
      <c r="O450" s="408"/>
      <c r="P450" s="408"/>
      <c r="Q450" s="408">
        <v>5591.25</v>
      </c>
      <c r="R450" s="408"/>
      <c r="S450" s="408">
        <v>175146.0</v>
      </c>
      <c r="T450" s="684" t="s">
        <v>94</v>
      </c>
      <c r="U450" s="462">
        <v>43677.0</v>
      </c>
      <c r="V450" s="462">
        <v>43628.0</v>
      </c>
      <c r="W450" s="306" t="s">
        <v>1103</v>
      </c>
      <c r="X450" s="306">
        <v>183599.0</v>
      </c>
      <c r="Y450" s="462">
        <v>43677.0</v>
      </c>
      <c r="Z450" s="306" t="s">
        <v>2688</v>
      </c>
      <c r="AA450" s="306" t="s">
        <v>2689</v>
      </c>
      <c r="AB450" s="306">
        <v>31.42</v>
      </c>
      <c r="AC450" s="306">
        <v>202565.0</v>
      </c>
      <c r="AD450" s="462">
        <v>43629.0</v>
      </c>
      <c r="AE450" s="298"/>
      <c r="AF450" s="298"/>
      <c r="AG450" s="299"/>
      <c r="AH450" s="298" t="s">
        <v>1104</v>
      </c>
      <c r="AI450" s="299">
        <f>170334+32231</f>
        <v>202565</v>
      </c>
      <c r="AJ450" s="299">
        <v>0.0</v>
      </c>
      <c r="AK450" s="298" t="s">
        <v>50</v>
      </c>
      <c r="AL450" s="298" t="s">
        <v>285</v>
      </c>
      <c r="AM450" s="298" t="s">
        <v>51</v>
      </c>
      <c r="AN450" s="298" t="s">
        <v>377</v>
      </c>
      <c r="AO450" s="234" t="s">
        <v>507</v>
      </c>
    </row>
    <row r="451" ht="15.75" customHeight="1">
      <c r="A451" s="69">
        <v>43608.0</v>
      </c>
      <c r="B451" s="70" t="s">
        <v>229</v>
      </c>
      <c r="C451" s="21" t="s">
        <v>1101</v>
      </c>
      <c r="D451" s="21" t="s">
        <v>1102</v>
      </c>
      <c r="E451" s="23" t="s">
        <v>736</v>
      </c>
      <c r="F451" s="24">
        <v>1.0</v>
      </c>
      <c r="G451" s="436">
        <v>336.0</v>
      </c>
      <c r="H451" s="60">
        <f t="shared" si="50"/>
        <v>336</v>
      </c>
      <c r="I451" s="61" t="s">
        <v>171</v>
      </c>
      <c r="J451" s="63" t="s">
        <v>233</v>
      </c>
      <c r="K451" s="29">
        <v>43629.0</v>
      </c>
      <c r="L451" s="29">
        <v>43629.0</v>
      </c>
      <c r="M451" s="50" t="s">
        <v>90</v>
      </c>
      <c r="N451" s="93" t="s">
        <v>2687</v>
      </c>
      <c r="O451" s="408"/>
      <c r="P451" s="408"/>
      <c r="Q451" s="408">
        <v>269.85</v>
      </c>
      <c r="R451" s="408"/>
      <c r="S451" s="408">
        <v>8453.0</v>
      </c>
      <c r="T451" s="35" t="s">
        <v>94</v>
      </c>
      <c r="U451" s="462">
        <v>43677.0</v>
      </c>
      <c r="V451" s="462">
        <v>43628.0</v>
      </c>
      <c r="W451" s="306" t="s">
        <v>1103</v>
      </c>
      <c r="X451" s="306" t="s">
        <v>2690</v>
      </c>
      <c r="Y451" s="462">
        <v>43677.0</v>
      </c>
      <c r="Z451" s="306" t="s">
        <v>2688</v>
      </c>
      <c r="AA451" s="306" t="s">
        <v>2689</v>
      </c>
      <c r="AB451" s="306">
        <v>31.42</v>
      </c>
      <c r="AC451" s="306" t="s">
        <v>2691</v>
      </c>
      <c r="AD451" s="462">
        <v>43629.0</v>
      </c>
      <c r="AE451" s="298"/>
      <c r="AF451" s="298"/>
      <c r="AG451" s="299"/>
      <c r="AH451" s="300">
        <v>43683.0</v>
      </c>
      <c r="AI451" s="299" t="s">
        <v>2692</v>
      </c>
      <c r="AJ451" s="299">
        <v>0.0</v>
      </c>
      <c r="AK451" s="298" t="s">
        <v>50</v>
      </c>
      <c r="AL451" s="298" t="s">
        <v>285</v>
      </c>
      <c r="AM451" s="298" t="s">
        <v>51</v>
      </c>
      <c r="AN451" s="298" t="s">
        <v>377</v>
      </c>
      <c r="AO451" s="234" t="s">
        <v>507</v>
      </c>
    </row>
    <row r="452" ht="15.75" customHeight="1">
      <c r="A452" s="69">
        <v>43608.0</v>
      </c>
      <c r="B452" s="70" t="s">
        <v>591</v>
      </c>
      <c r="C452" s="21">
        <v>64505.0</v>
      </c>
      <c r="D452" s="21" t="s">
        <v>1105</v>
      </c>
      <c r="E452" s="23" t="s">
        <v>1106</v>
      </c>
      <c r="F452" s="24">
        <v>2.0</v>
      </c>
      <c r="G452" s="436">
        <v>515.0</v>
      </c>
      <c r="H452" s="498">
        <f t="shared" si="50"/>
        <v>1030</v>
      </c>
      <c r="I452" s="61" t="s">
        <v>303</v>
      </c>
      <c r="J452" s="63" t="s">
        <v>594</v>
      </c>
      <c r="K452" s="30">
        <v>43634.0</v>
      </c>
      <c r="L452" s="613">
        <v>43629.0</v>
      </c>
      <c r="M452" s="614" t="s">
        <v>2041</v>
      </c>
      <c r="N452" s="615" t="s">
        <v>2693</v>
      </c>
      <c r="O452" s="619"/>
      <c r="P452" s="619">
        <v>462.0</v>
      </c>
      <c r="Q452" s="619">
        <f t="shared" ref="Q452:Q455" si="51">P452*F452*1.05</f>
        <v>970.2</v>
      </c>
      <c r="R452" s="619"/>
      <c r="S452" s="619">
        <v>30484.0</v>
      </c>
      <c r="T452" s="647" t="s">
        <v>2043</v>
      </c>
      <c r="U452" s="302">
        <v>43646.0</v>
      </c>
      <c r="V452" s="302">
        <v>43628.0</v>
      </c>
      <c r="W452" s="296" t="s">
        <v>1107</v>
      </c>
      <c r="X452" s="296">
        <v>36291.0</v>
      </c>
      <c r="Y452" s="302">
        <v>43647.0</v>
      </c>
      <c r="Z452" s="296" t="s">
        <v>2694</v>
      </c>
      <c r="AA452" s="296" t="s">
        <v>2695</v>
      </c>
      <c r="AB452" s="296"/>
      <c r="AC452" s="296"/>
      <c r="AD452" s="296"/>
      <c r="AE452" s="371"/>
      <c r="AF452" s="371">
        <v>31.325</v>
      </c>
      <c r="AG452" s="372"/>
      <c r="AH452" s="373">
        <v>43630.0</v>
      </c>
      <c r="AI452" s="372" t="s">
        <v>2696</v>
      </c>
      <c r="AJ452" s="372" t="s">
        <v>2697</v>
      </c>
      <c r="AK452" s="371" t="s">
        <v>50</v>
      </c>
      <c r="AL452" s="371" t="s">
        <v>285</v>
      </c>
      <c r="AM452" s="371" t="s">
        <v>51</v>
      </c>
      <c r="AN452" s="371" t="s">
        <v>52</v>
      </c>
      <c r="AO452" s="374" t="s">
        <v>440</v>
      </c>
    </row>
    <row r="453" ht="15.75" customHeight="1">
      <c r="A453" s="69">
        <v>43608.0</v>
      </c>
      <c r="B453" s="70" t="s">
        <v>591</v>
      </c>
      <c r="C453" s="21">
        <v>64505.0</v>
      </c>
      <c r="D453" s="21" t="s">
        <v>1105</v>
      </c>
      <c r="E453" s="23" t="s">
        <v>1108</v>
      </c>
      <c r="F453" s="24">
        <v>2.0</v>
      </c>
      <c r="G453" s="436">
        <v>21.0</v>
      </c>
      <c r="H453" s="498">
        <f t="shared" si="50"/>
        <v>42</v>
      </c>
      <c r="I453" s="61" t="s">
        <v>303</v>
      </c>
      <c r="J453" s="63" t="s">
        <v>594</v>
      </c>
      <c r="K453" s="30">
        <v>43634.0</v>
      </c>
      <c r="L453" s="613">
        <v>43629.0</v>
      </c>
      <c r="M453" s="614" t="s">
        <v>2041</v>
      </c>
      <c r="N453" s="615" t="s">
        <v>2693</v>
      </c>
      <c r="O453" s="619"/>
      <c r="P453" s="619">
        <v>18.0</v>
      </c>
      <c r="Q453" s="619">
        <f t="shared" si="51"/>
        <v>37.8</v>
      </c>
      <c r="R453" s="619"/>
      <c r="S453" s="619">
        <v>1188.0</v>
      </c>
      <c r="T453" s="647" t="s">
        <v>2043</v>
      </c>
      <c r="U453" s="302">
        <v>43646.0</v>
      </c>
      <c r="V453" s="302">
        <v>43628.0</v>
      </c>
      <c r="W453" s="296" t="s">
        <v>1107</v>
      </c>
      <c r="X453" s="296" t="s">
        <v>2698</v>
      </c>
      <c r="Y453" s="302">
        <v>43647.0</v>
      </c>
      <c r="Z453" s="296" t="s">
        <v>2694</v>
      </c>
      <c r="AA453" s="296" t="s">
        <v>2695</v>
      </c>
      <c r="AB453" s="296"/>
      <c r="AC453" s="296"/>
      <c r="AD453" s="296"/>
      <c r="AE453" s="371"/>
      <c r="AF453" s="371">
        <v>31.325</v>
      </c>
      <c r="AG453" s="372"/>
      <c r="AH453" s="373">
        <v>43630.0</v>
      </c>
      <c r="AI453" s="372" t="s">
        <v>2696</v>
      </c>
      <c r="AJ453" s="372" t="s">
        <v>2697</v>
      </c>
      <c r="AK453" s="371" t="s">
        <v>50</v>
      </c>
      <c r="AL453" s="371" t="s">
        <v>285</v>
      </c>
      <c r="AM453" s="371" t="s">
        <v>51</v>
      </c>
      <c r="AN453" s="371" t="s">
        <v>52</v>
      </c>
      <c r="AO453" s="374" t="s">
        <v>440</v>
      </c>
    </row>
    <row r="454" ht="15.75" customHeight="1">
      <c r="A454" s="69">
        <v>43608.0</v>
      </c>
      <c r="B454" s="70" t="s">
        <v>591</v>
      </c>
      <c r="C454" s="21">
        <v>64505.0</v>
      </c>
      <c r="D454" s="21" t="s">
        <v>1105</v>
      </c>
      <c r="E454" s="23" t="s">
        <v>1109</v>
      </c>
      <c r="F454" s="24">
        <v>2.0</v>
      </c>
      <c r="G454" s="436">
        <v>55.0</v>
      </c>
      <c r="H454" s="498">
        <f t="shared" si="50"/>
        <v>110</v>
      </c>
      <c r="I454" s="61" t="s">
        <v>303</v>
      </c>
      <c r="J454" s="63" t="s">
        <v>594</v>
      </c>
      <c r="K454" s="30">
        <v>43634.0</v>
      </c>
      <c r="L454" s="613">
        <v>43629.0</v>
      </c>
      <c r="M454" s="614" t="s">
        <v>2041</v>
      </c>
      <c r="N454" s="615" t="s">
        <v>2693</v>
      </c>
      <c r="O454" s="619"/>
      <c r="P454" s="619">
        <v>46.0</v>
      </c>
      <c r="Q454" s="619">
        <f t="shared" si="51"/>
        <v>96.6</v>
      </c>
      <c r="R454" s="619"/>
      <c r="S454" s="619">
        <v>3035.0</v>
      </c>
      <c r="T454" s="647" t="s">
        <v>2043</v>
      </c>
      <c r="U454" s="302">
        <v>43646.0</v>
      </c>
      <c r="V454" s="302">
        <v>43628.0</v>
      </c>
      <c r="W454" s="296" t="s">
        <v>1107</v>
      </c>
      <c r="X454" s="296" t="s">
        <v>2698</v>
      </c>
      <c r="Y454" s="302">
        <v>43647.0</v>
      </c>
      <c r="Z454" s="296" t="s">
        <v>2694</v>
      </c>
      <c r="AA454" s="296" t="s">
        <v>2695</v>
      </c>
      <c r="AB454" s="296"/>
      <c r="AC454" s="296"/>
      <c r="AD454" s="296"/>
      <c r="AE454" s="371"/>
      <c r="AF454" s="371">
        <v>31.325</v>
      </c>
      <c r="AG454" s="372"/>
      <c r="AH454" s="373">
        <v>43630.0</v>
      </c>
      <c r="AI454" s="372" t="s">
        <v>2696</v>
      </c>
      <c r="AJ454" s="372" t="s">
        <v>2697</v>
      </c>
      <c r="AK454" s="371" t="s">
        <v>50</v>
      </c>
      <c r="AL454" s="371" t="s">
        <v>285</v>
      </c>
      <c r="AM454" s="371" t="s">
        <v>51</v>
      </c>
      <c r="AN454" s="371" t="s">
        <v>52</v>
      </c>
      <c r="AO454" s="57"/>
    </row>
    <row r="455" ht="15.75" customHeight="1">
      <c r="A455" s="69">
        <v>43608.0</v>
      </c>
      <c r="B455" s="70" t="s">
        <v>591</v>
      </c>
      <c r="C455" s="21">
        <v>64505.0</v>
      </c>
      <c r="D455" s="21" t="s">
        <v>1105</v>
      </c>
      <c r="E455" s="23" t="s">
        <v>1110</v>
      </c>
      <c r="F455" s="24">
        <v>2.0</v>
      </c>
      <c r="G455" s="436">
        <v>32.0</v>
      </c>
      <c r="H455" s="498">
        <f t="shared" si="50"/>
        <v>64</v>
      </c>
      <c r="I455" s="61" t="s">
        <v>303</v>
      </c>
      <c r="J455" s="63" t="s">
        <v>594</v>
      </c>
      <c r="K455" s="30">
        <v>43634.0</v>
      </c>
      <c r="L455" s="613">
        <v>43629.0</v>
      </c>
      <c r="M455" s="614" t="s">
        <v>2041</v>
      </c>
      <c r="N455" s="615" t="s">
        <v>2693</v>
      </c>
      <c r="O455" s="619"/>
      <c r="P455" s="619">
        <v>24.0</v>
      </c>
      <c r="Q455" s="619">
        <f t="shared" si="51"/>
        <v>50.4</v>
      </c>
      <c r="R455" s="619"/>
      <c r="S455" s="619">
        <v>1584.0</v>
      </c>
      <c r="T455" s="647" t="s">
        <v>2043</v>
      </c>
      <c r="U455" s="302">
        <v>43646.0</v>
      </c>
      <c r="V455" s="302">
        <v>43628.0</v>
      </c>
      <c r="W455" s="296" t="s">
        <v>1107</v>
      </c>
      <c r="X455" s="296" t="s">
        <v>2698</v>
      </c>
      <c r="Y455" s="302">
        <v>43647.0</v>
      </c>
      <c r="Z455" s="296" t="s">
        <v>2694</v>
      </c>
      <c r="AA455" s="296" t="s">
        <v>2695</v>
      </c>
      <c r="AB455" s="296"/>
      <c r="AC455" s="296"/>
      <c r="AD455" s="296"/>
      <c r="AE455" s="371"/>
      <c r="AF455" s="371">
        <v>31.325</v>
      </c>
      <c r="AG455" s="372"/>
      <c r="AH455" s="373">
        <v>43630.0</v>
      </c>
      <c r="AI455" s="372" t="s">
        <v>2696</v>
      </c>
      <c r="AJ455" s="372" t="s">
        <v>2697</v>
      </c>
      <c r="AK455" s="371" t="s">
        <v>50</v>
      </c>
      <c r="AL455" s="371" t="s">
        <v>285</v>
      </c>
      <c r="AM455" s="371" t="s">
        <v>51</v>
      </c>
      <c r="AN455" s="371" t="s">
        <v>52</v>
      </c>
      <c r="AO455" s="374" t="s">
        <v>440</v>
      </c>
    </row>
    <row r="456" ht="15.75" customHeight="1">
      <c r="A456" s="69">
        <v>43608.0</v>
      </c>
      <c r="B456" s="70" t="s">
        <v>591</v>
      </c>
      <c r="C456" s="21">
        <v>64505.0</v>
      </c>
      <c r="D456" s="21" t="s">
        <v>1105</v>
      </c>
      <c r="E456" s="23" t="s">
        <v>1111</v>
      </c>
      <c r="F456" s="24">
        <v>1.0</v>
      </c>
      <c r="G456" s="436">
        <v>40.0</v>
      </c>
      <c r="H456" s="498">
        <f t="shared" si="50"/>
        <v>40</v>
      </c>
      <c r="I456" s="61" t="s">
        <v>303</v>
      </c>
      <c r="J456" s="63" t="s">
        <v>594</v>
      </c>
      <c r="K456" s="30">
        <v>43634.0</v>
      </c>
      <c r="L456" s="30">
        <v>43633.0</v>
      </c>
      <c r="M456" s="58" t="s">
        <v>1089</v>
      </c>
      <c r="N456" s="64"/>
      <c r="O456" s="34"/>
      <c r="P456" s="34">
        <v>0.0</v>
      </c>
      <c r="Q456" s="34">
        <v>0.0</v>
      </c>
      <c r="R456" s="34"/>
      <c r="S456" s="34"/>
      <c r="T456" s="76"/>
      <c r="U456" s="52"/>
      <c r="V456" s="53"/>
      <c r="W456" s="53"/>
      <c r="X456" s="53"/>
      <c r="Y456" s="53"/>
      <c r="Z456" s="53"/>
      <c r="AA456" s="53"/>
      <c r="AB456" s="53"/>
      <c r="AC456" s="53"/>
      <c r="AD456" s="53"/>
      <c r="AE456" s="54"/>
      <c r="AF456" s="54">
        <v>31.325</v>
      </c>
      <c r="AG456" s="55"/>
      <c r="AH456" s="56">
        <v>43630.0</v>
      </c>
      <c r="AI456" s="55" t="s">
        <v>2696</v>
      </c>
      <c r="AJ456" s="55" t="s">
        <v>2697</v>
      </c>
      <c r="AK456" s="54" t="s">
        <v>50</v>
      </c>
      <c r="AL456" s="54" t="s">
        <v>285</v>
      </c>
      <c r="AM456" s="54" t="s">
        <v>51</v>
      </c>
      <c r="AN456" s="54" t="s">
        <v>52</v>
      </c>
      <c r="AO456" s="57"/>
    </row>
    <row r="457" ht="15.75" customHeight="1">
      <c r="A457" s="69">
        <v>43609.0</v>
      </c>
      <c r="B457" s="70" t="s">
        <v>1112</v>
      </c>
      <c r="C457" s="21"/>
      <c r="D457" s="21" t="s">
        <v>1113</v>
      </c>
      <c r="E457" s="499" t="s">
        <v>1114</v>
      </c>
      <c r="F457" s="24">
        <v>4.0</v>
      </c>
      <c r="G457" s="48">
        <v>42.0</v>
      </c>
      <c r="H457" s="60">
        <f t="shared" si="50"/>
        <v>168</v>
      </c>
      <c r="I457" s="61" t="s">
        <v>248</v>
      </c>
      <c r="J457" s="63" t="s">
        <v>263</v>
      </c>
      <c r="K457" s="30">
        <v>43630.0</v>
      </c>
      <c r="L457" s="652">
        <v>43615.0</v>
      </c>
      <c r="M457" s="614" t="s">
        <v>2078</v>
      </c>
      <c r="N457" s="615" t="s">
        <v>2699</v>
      </c>
      <c r="O457" s="408"/>
      <c r="P457" s="619"/>
      <c r="Q457" s="619"/>
      <c r="R457" s="619"/>
      <c r="S457" s="619">
        <v>4616.0</v>
      </c>
      <c r="T457" s="638" t="s">
        <v>2080</v>
      </c>
      <c r="U457" s="302">
        <v>43708.0</v>
      </c>
      <c r="V457" s="302">
        <v>43614.0</v>
      </c>
      <c r="W457" s="296" t="s">
        <v>1115</v>
      </c>
      <c r="X457" s="296">
        <v>25326.0</v>
      </c>
      <c r="Y457" s="302">
        <v>43710.0</v>
      </c>
      <c r="Z457" s="296" t="s">
        <v>2700</v>
      </c>
      <c r="AA457" s="296">
        <v>9.802364946E9</v>
      </c>
      <c r="AB457" s="296"/>
      <c r="AC457" s="296"/>
      <c r="AD457" s="296"/>
      <c r="AE457" s="371"/>
      <c r="AF457" s="371">
        <v>31.325</v>
      </c>
      <c r="AG457" s="372"/>
      <c r="AH457" s="373">
        <v>43613.0</v>
      </c>
      <c r="AI457" s="372">
        <f>898.64*31.467</f>
        <v>28277.50488</v>
      </c>
      <c r="AJ457" s="372">
        <f>(916-898.64)*31.467</f>
        <v>546.26712</v>
      </c>
      <c r="AK457" s="371" t="s">
        <v>50</v>
      </c>
      <c r="AL457" s="371" t="s">
        <v>285</v>
      </c>
      <c r="AM457" s="371" t="s">
        <v>51</v>
      </c>
      <c r="AN457" s="371" t="s">
        <v>52</v>
      </c>
      <c r="AO457" s="374" t="s">
        <v>440</v>
      </c>
    </row>
    <row r="458" ht="15.75" customHeight="1">
      <c r="A458" s="69">
        <v>43609.0</v>
      </c>
      <c r="B458" s="76" t="s">
        <v>1112</v>
      </c>
      <c r="C458" s="21"/>
      <c r="D458" s="21" t="s">
        <v>1113</v>
      </c>
      <c r="E458" s="500" t="s">
        <v>1116</v>
      </c>
      <c r="F458" s="24">
        <v>1.0</v>
      </c>
      <c r="G458" s="48">
        <v>133.0</v>
      </c>
      <c r="H458" s="60">
        <f t="shared" si="50"/>
        <v>133</v>
      </c>
      <c r="I458" s="61" t="s">
        <v>248</v>
      </c>
      <c r="J458" s="63" t="s">
        <v>263</v>
      </c>
      <c r="K458" s="30">
        <v>43630.0</v>
      </c>
      <c r="L458" s="652">
        <v>43615.0</v>
      </c>
      <c r="M458" s="614" t="s">
        <v>2078</v>
      </c>
      <c r="N458" s="615" t="s">
        <v>2699</v>
      </c>
      <c r="O458" s="408"/>
      <c r="P458" s="619"/>
      <c r="Q458" s="619"/>
      <c r="R458" s="619"/>
      <c r="S458" s="619">
        <v>3679.0</v>
      </c>
      <c r="T458" s="638" t="s">
        <v>2080</v>
      </c>
      <c r="U458" s="302">
        <v>43708.0</v>
      </c>
      <c r="V458" s="302">
        <v>43614.0</v>
      </c>
      <c r="W458" s="296" t="s">
        <v>1115</v>
      </c>
      <c r="X458" s="296" t="s">
        <v>2701</v>
      </c>
      <c r="Y458" s="302">
        <v>43710.0</v>
      </c>
      <c r="Z458" s="296" t="s">
        <v>2700</v>
      </c>
      <c r="AA458" s="296">
        <v>9.802364946E9</v>
      </c>
      <c r="AB458" s="296"/>
      <c r="AC458" s="296"/>
      <c r="AD458" s="296"/>
      <c r="AE458" s="371"/>
      <c r="AF458" s="371">
        <v>31.325</v>
      </c>
      <c r="AG458" s="372"/>
      <c r="AH458" s="373">
        <v>43613.0</v>
      </c>
      <c r="AI458" s="372" t="s">
        <v>2702</v>
      </c>
      <c r="AJ458" s="372" t="s">
        <v>2703</v>
      </c>
      <c r="AK458" s="371" t="s">
        <v>50</v>
      </c>
      <c r="AL458" s="371" t="s">
        <v>285</v>
      </c>
      <c r="AM458" s="371" t="s">
        <v>51</v>
      </c>
      <c r="AN458" s="371" t="s">
        <v>52</v>
      </c>
      <c r="AO458" s="374" t="s">
        <v>440</v>
      </c>
    </row>
    <row r="459" ht="15.75" customHeight="1">
      <c r="A459" s="69">
        <v>43609.0</v>
      </c>
      <c r="B459" s="21" t="s">
        <v>1112</v>
      </c>
      <c r="C459" s="21"/>
      <c r="D459" s="21" t="s">
        <v>1113</v>
      </c>
      <c r="E459" s="500" t="s">
        <v>1117</v>
      </c>
      <c r="F459" s="24">
        <v>5.0</v>
      </c>
      <c r="G459" s="48">
        <v>123.0</v>
      </c>
      <c r="H459" s="60">
        <f t="shared" si="50"/>
        <v>615</v>
      </c>
      <c r="I459" s="61" t="s">
        <v>248</v>
      </c>
      <c r="J459" s="63" t="s">
        <v>263</v>
      </c>
      <c r="K459" s="30">
        <v>43630.0</v>
      </c>
      <c r="L459" s="652">
        <v>43615.0</v>
      </c>
      <c r="M459" s="614" t="s">
        <v>2078</v>
      </c>
      <c r="N459" s="615" t="s">
        <v>2699</v>
      </c>
      <c r="O459" s="408"/>
      <c r="P459" s="619"/>
      <c r="Q459" s="619"/>
      <c r="R459" s="619"/>
      <c r="S459" s="619">
        <f>16220*1.05</f>
        <v>17031</v>
      </c>
      <c r="T459" s="638" t="s">
        <v>2080</v>
      </c>
      <c r="U459" s="302">
        <v>43708.0</v>
      </c>
      <c r="V459" s="302">
        <v>43614.0</v>
      </c>
      <c r="W459" s="296" t="s">
        <v>1115</v>
      </c>
      <c r="X459" s="296" t="s">
        <v>2701</v>
      </c>
      <c r="Y459" s="302">
        <v>43710.0</v>
      </c>
      <c r="Z459" s="296" t="s">
        <v>2700</v>
      </c>
      <c r="AA459" s="296">
        <v>9.802364946E9</v>
      </c>
      <c r="AB459" s="296"/>
      <c r="AC459" s="296"/>
      <c r="AD459" s="296"/>
      <c r="AE459" s="371"/>
      <c r="AF459" s="371">
        <v>31.325</v>
      </c>
      <c r="AG459" s="372"/>
      <c r="AH459" s="373">
        <v>43613.0</v>
      </c>
      <c r="AI459" s="372" t="s">
        <v>2702</v>
      </c>
      <c r="AJ459" s="372" t="s">
        <v>2703</v>
      </c>
      <c r="AK459" s="371" t="s">
        <v>50</v>
      </c>
      <c r="AL459" s="371" t="s">
        <v>285</v>
      </c>
      <c r="AM459" s="371" t="s">
        <v>51</v>
      </c>
      <c r="AN459" s="371" t="s">
        <v>52</v>
      </c>
      <c r="AO459" s="374" t="s">
        <v>440</v>
      </c>
    </row>
    <row r="460" ht="15.75" customHeight="1">
      <c r="A460" s="69">
        <v>43609.0</v>
      </c>
      <c r="B460" s="147" t="s">
        <v>378</v>
      </c>
      <c r="C460" s="21" t="s">
        <v>1118</v>
      </c>
      <c r="D460" s="21" t="s">
        <v>1119</v>
      </c>
      <c r="E460" s="32" t="s">
        <v>1120</v>
      </c>
      <c r="F460" s="24">
        <v>1.0</v>
      </c>
      <c r="G460" s="48">
        <v>2000.0</v>
      </c>
      <c r="H460" s="60">
        <f t="shared" si="50"/>
        <v>2000</v>
      </c>
      <c r="I460" s="61" t="s">
        <v>1121</v>
      </c>
      <c r="J460" s="161" t="s">
        <v>1122</v>
      </c>
      <c r="K460" s="300">
        <v>43654.0</v>
      </c>
      <c r="L460" s="30">
        <v>43620.0</v>
      </c>
      <c r="M460" s="50" t="s">
        <v>2704</v>
      </c>
      <c r="N460" s="21" t="s">
        <v>2705</v>
      </c>
      <c r="O460" s="470"/>
      <c r="P460" s="470">
        <v>1000.0</v>
      </c>
      <c r="Q460" s="470">
        <f t="shared" ref="Q460:Q462" si="52">(P460*F460)*1.05</f>
        <v>1050</v>
      </c>
      <c r="R460" s="627">
        <f t="shared" ref="R460:R462" si="53">P460*31.555</f>
        <v>31555</v>
      </c>
      <c r="S460" s="627">
        <f t="shared" ref="S460:S463" si="54">(R460*F460)*1.05</f>
        <v>33132.75</v>
      </c>
      <c r="T460" s="70" t="s">
        <v>2706</v>
      </c>
      <c r="U460" s="462">
        <v>43621.0</v>
      </c>
      <c r="V460" s="462">
        <v>43665.0</v>
      </c>
      <c r="W460" s="306" t="s">
        <v>1123</v>
      </c>
      <c r="X460" s="306">
        <v>33133.0</v>
      </c>
      <c r="Y460" s="305">
        <v>43621.0</v>
      </c>
      <c r="Z460" s="306"/>
      <c r="AA460" s="306"/>
      <c r="AB460" s="306"/>
      <c r="AC460" s="306"/>
      <c r="AD460" s="306"/>
      <c r="AE460" s="298"/>
      <c r="AF460" s="298"/>
      <c r="AG460" s="299"/>
      <c r="AH460" s="300">
        <v>43672.0</v>
      </c>
      <c r="AI460" s="299">
        <f>9737.56*31.05</f>
        <v>302351.238</v>
      </c>
      <c r="AJ460" s="299">
        <f>(9754-9737.56)*31.05</f>
        <v>510.462</v>
      </c>
      <c r="AK460" s="298" t="s">
        <v>50</v>
      </c>
      <c r="AL460" s="298" t="s">
        <v>285</v>
      </c>
      <c r="AM460" s="298" t="s">
        <v>286</v>
      </c>
      <c r="AN460" s="298" t="s">
        <v>52</v>
      </c>
      <c r="AO460" s="234" t="s">
        <v>507</v>
      </c>
    </row>
    <row r="461" ht="15.75" customHeight="1">
      <c r="A461" s="69">
        <v>43609.0</v>
      </c>
      <c r="B461" s="144" t="s">
        <v>378</v>
      </c>
      <c r="C461" s="21" t="s">
        <v>1118</v>
      </c>
      <c r="D461" s="21" t="s">
        <v>1119</v>
      </c>
      <c r="E461" s="23" t="s">
        <v>1124</v>
      </c>
      <c r="F461" s="24">
        <v>1.0</v>
      </c>
      <c r="G461" s="48">
        <v>350.0</v>
      </c>
      <c r="H461" s="60">
        <f t="shared" si="50"/>
        <v>350</v>
      </c>
      <c r="I461" s="61" t="s">
        <v>1121</v>
      </c>
      <c r="J461" s="161" t="s">
        <v>1122</v>
      </c>
      <c r="K461" s="300">
        <v>43654.0</v>
      </c>
      <c r="L461" s="30">
        <v>43620.0</v>
      </c>
      <c r="M461" s="50" t="s">
        <v>2704</v>
      </c>
      <c r="N461" s="235" t="s">
        <v>2705</v>
      </c>
      <c r="O461" s="688"/>
      <c r="P461" s="470">
        <v>500.0</v>
      </c>
      <c r="Q461" s="470">
        <f t="shared" si="52"/>
        <v>525</v>
      </c>
      <c r="R461" s="627">
        <f t="shared" si="53"/>
        <v>15777.5</v>
      </c>
      <c r="S461" s="627">
        <f t="shared" si="54"/>
        <v>16566.375</v>
      </c>
      <c r="T461" s="419" t="s">
        <v>2706</v>
      </c>
      <c r="U461" s="462">
        <v>43621.0</v>
      </c>
      <c r="V461" s="462">
        <v>43665.0</v>
      </c>
      <c r="W461" s="306" t="s">
        <v>1123</v>
      </c>
      <c r="X461" s="306">
        <v>16566.0</v>
      </c>
      <c r="Y461" s="305">
        <v>43621.0</v>
      </c>
      <c r="Z461" s="306"/>
      <c r="AA461" s="306"/>
      <c r="AB461" s="306"/>
      <c r="AC461" s="306"/>
      <c r="AD461" s="306"/>
      <c r="AE461" s="298"/>
      <c r="AF461" s="298"/>
      <c r="AG461" s="299"/>
      <c r="AH461" s="300">
        <v>43672.0</v>
      </c>
      <c r="AI461" s="299" t="s">
        <v>2702</v>
      </c>
      <c r="AJ461" s="299" t="s">
        <v>2703</v>
      </c>
      <c r="AK461" s="298" t="s">
        <v>50</v>
      </c>
      <c r="AL461" s="298" t="s">
        <v>285</v>
      </c>
      <c r="AM461" s="298" t="s">
        <v>286</v>
      </c>
      <c r="AN461" s="298" t="s">
        <v>52</v>
      </c>
      <c r="AO461" s="234" t="s">
        <v>507</v>
      </c>
    </row>
    <row r="462" ht="15.75" customHeight="1">
      <c r="A462" s="69">
        <v>43609.0</v>
      </c>
      <c r="B462" s="144" t="s">
        <v>378</v>
      </c>
      <c r="C462" s="21" t="s">
        <v>1118</v>
      </c>
      <c r="D462" s="21" t="s">
        <v>1125</v>
      </c>
      <c r="E462" s="151" t="s">
        <v>2707</v>
      </c>
      <c r="F462" s="24">
        <v>10.0</v>
      </c>
      <c r="G462" s="48">
        <v>301.0</v>
      </c>
      <c r="H462" s="60">
        <f t="shared" si="50"/>
        <v>3010</v>
      </c>
      <c r="I462" s="61" t="s">
        <v>1121</v>
      </c>
      <c r="J462" s="161" t="s">
        <v>1122</v>
      </c>
      <c r="K462" s="300">
        <v>43689.0</v>
      </c>
      <c r="L462" s="29">
        <v>43668.0</v>
      </c>
      <c r="M462" s="50" t="s">
        <v>2704</v>
      </c>
      <c r="N462" s="93" t="s">
        <v>2705</v>
      </c>
      <c r="O462" s="470"/>
      <c r="P462" s="470">
        <v>165.0</v>
      </c>
      <c r="Q462" s="470">
        <f t="shared" si="52"/>
        <v>1732.5</v>
      </c>
      <c r="R462" s="627">
        <f t="shared" si="53"/>
        <v>5206.575</v>
      </c>
      <c r="S462" s="627">
        <f t="shared" si="54"/>
        <v>54669.0375</v>
      </c>
      <c r="T462" s="419" t="s">
        <v>2706</v>
      </c>
      <c r="U462" s="462">
        <v>43664.0</v>
      </c>
      <c r="V462" s="462">
        <v>43665.0</v>
      </c>
      <c r="W462" s="306" t="s">
        <v>1127</v>
      </c>
      <c r="X462" s="306">
        <v>109338.0</v>
      </c>
      <c r="Y462" s="305">
        <v>43664.0</v>
      </c>
      <c r="Z462" s="306" t="s">
        <v>2708</v>
      </c>
      <c r="AA462" s="306" t="s">
        <v>2709</v>
      </c>
      <c r="AB462" s="306"/>
      <c r="AC462" s="306"/>
      <c r="AD462" s="306"/>
      <c r="AE462" s="298"/>
      <c r="AF462" s="298"/>
      <c r="AG462" s="299"/>
      <c r="AH462" s="300">
        <v>43672.0</v>
      </c>
      <c r="AI462" s="299" t="s">
        <v>2702</v>
      </c>
      <c r="AJ462" s="299" t="s">
        <v>2703</v>
      </c>
      <c r="AK462" s="298" t="s">
        <v>50</v>
      </c>
      <c r="AL462" s="298" t="s">
        <v>285</v>
      </c>
      <c r="AM462" s="298" t="s">
        <v>286</v>
      </c>
      <c r="AN462" s="298" t="s">
        <v>52</v>
      </c>
      <c r="AO462" s="234" t="s">
        <v>507</v>
      </c>
    </row>
    <row r="463" ht="15.75" customHeight="1">
      <c r="A463" s="69">
        <v>43609.0</v>
      </c>
      <c r="B463" s="144" t="s">
        <v>378</v>
      </c>
      <c r="C463" s="21" t="s">
        <v>1118</v>
      </c>
      <c r="D463" s="21" t="s">
        <v>1125</v>
      </c>
      <c r="E463" s="246" t="s">
        <v>1128</v>
      </c>
      <c r="F463" s="24">
        <v>10.0</v>
      </c>
      <c r="G463" s="48">
        <v>0.0</v>
      </c>
      <c r="H463" s="60">
        <f t="shared" si="50"/>
        <v>0</v>
      </c>
      <c r="I463" s="61" t="s">
        <v>1121</v>
      </c>
      <c r="J463" s="161" t="s">
        <v>1122</v>
      </c>
      <c r="K463" s="300">
        <v>43689.0</v>
      </c>
      <c r="L463" s="30">
        <v>43684.0</v>
      </c>
      <c r="M463" s="82" t="s">
        <v>2054</v>
      </c>
      <c r="N463" s="93" t="s">
        <v>2710</v>
      </c>
      <c r="O463" s="408"/>
      <c r="P463" s="408"/>
      <c r="Q463" s="408"/>
      <c r="R463" s="408">
        <v>2600.0</v>
      </c>
      <c r="S463" s="627">
        <f t="shared" si="54"/>
        <v>27300</v>
      </c>
      <c r="T463" s="419" t="s">
        <v>2056</v>
      </c>
      <c r="U463" s="462">
        <v>43713.0</v>
      </c>
      <c r="V463" s="462">
        <v>43684.0</v>
      </c>
      <c r="W463" s="306" t="s">
        <v>1129</v>
      </c>
      <c r="X463" s="306">
        <v>27300.0</v>
      </c>
      <c r="Y463" s="462">
        <v>43713.0</v>
      </c>
      <c r="Z463" s="306" t="s">
        <v>2708</v>
      </c>
      <c r="AA463" s="306" t="s">
        <v>2709</v>
      </c>
      <c r="AB463" s="306"/>
      <c r="AC463" s="306"/>
      <c r="AD463" s="306"/>
      <c r="AE463" s="298"/>
      <c r="AF463" s="298"/>
      <c r="AG463" s="299"/>
      <c r="AH463" s="298" t="s">
        <v>1227</v>
      </c>
      <c r="AI463" s="299"/>
      <c r="AJ463" s="299"/>
      <c r="AK463" s="298" t="s">
        <v>50</v>
      </c>
      <c r="AL463" s="298" t="s">
        <v>285</v>
      </c>
      <c r="AM463" s="298" t="s">
        <v>286</v>
      </c>
      <c r="AN463" s="298" t="s">
        <v>52</v>
      </c>
      <c r="AO463" s="234" t="s">
        <v>507</v>
      </c>
    </row>
    <row r="464" ht="15.75" customHeight="1">
      <c r="A464" s="69">
        <v>43609.0</v>
      </c>
      <c r="B464" s="144" t="s">
        <v>378</v>
      </c>
      <c r="C464" s="21" t="s">
        <v>1118</v>
      </c>
      <c r="D464" s="21" t="s">
        <v>1125</v>
      </c>
      <c r="E464" s="246" t="s">
        <v>1130</v>
      </c>
      <c r="F464" s="24">
        <v>10.0</v>
      </c>
      <c r="G464" s="48">
        <v>0.0</v>
      </c>
      <c r="H464" s="60">
        <f t="shared" si="50"/>
        <v>0</v>
      </c>
      <c r="I464" s="61" t="s">
        <v>1121</v>
      </c>
      <c r="J464" s="161" t="s">
        <v>1122</v>
      </c>
      <c r="K464" s="30">
        <v>43693.0</v>
      </c>
      <c r="L464" s="145">
        <v>43641.0</v>
      </c>
      <c r="M464" s="50" t="s">
        <v>1970</v>
      </c>
      <c r="N464" s="93"/>
      <c r="O464" s="408"/>
      <c r="P464" s="408"/>
      <c r="Q464" s="408"/>
      <c r="R464" s="408">
        <v>0.0</v>
      </c>
      <c r="S464" s="408">
        <v>0.0</v>
      </c>
      <c r="T464" s="417"/>
      <c r="U464" s="306"/>
      <c r="V464" s="306"/>
      <c r="W464" s="306"/>
      <c r="X464" s="306"/>
      <c r="Y464" s="306"/>
      <c r="Z464" s="306" t="s">
        <v>2708</v>
      </c>
      <c r="AA464" s="306" t="s">
        <v>2709</v>
      </c>
      <c r="AB464" s="306"/>
      <c r="AC464" s="306"/>
      <c r="AD464" s="306"/>
      <c r="AE464" s="298"/>
      <c r="AF464" s="298"/>
      <c r="AG464" s="299"/>
      <c r="AH464" s="298" t="s">
        <v>1227</v>
      </c>
      <c r="AI464" s="299"/>
      <c r="AJ464" s="299"/>
      <c r="AK464" s="298" t="s">
        <v>50</v>
      </c>
      <c r="AL464" s="298" t="s">
        <v>285</v>
      </c>
      <c r="AM464" s="298" t="s">
        <v>286</v>
      </c>
      <c r="AN464" s="298" t="s">
        <v>52</v>
      </c>
      <c r="AO464" s="234" t="s">
        <v>507</v>
      </c>
    </row>
    <row r="465" ht="15.75" customHeight="1">
      <c r="A465" s="69">
        <v>43609.0</v>
      </c>
      <c r="B465" s="144" t="s">
        <v>378</v>
      </c>
      <c r="C465" s="21" t="s">
        <v>1118</v>
      </c>
      <c r="D465" s="21" t="s">
        <v>1131</v>
      </c>
      <c r="E465" s="246" t="s">
        <v>2711</v>
      </c>
      <c r="F465" s="24">
        <v>10.0</v>
      </c>
      <c r="G465" s="48">
        <v>301.0</v>
      </c>
      <c r="H465" s="60">
        <f t="shared" si="50"/>
        <v>3010</v>
      </c>
      <c r="I465" s="61" t="s">
        <v>1121</v>
      </c>
      <c r="J465" s="161" t="s">
        <v>1122</v>
      </c>
      <c r="K465" s="30">
        <v>43727.0</v>
      </c>
      <c r="L465" s="29">
        <v>43668.0</v>
      </c>
      <c r="M465" s="58" t="s">
        <v>2704</v>
      </c>
      <c r="N465" s="32" t="s">
        <v>2705</v>
      </c>
      <c r="O465" s="470"/>
      <c r="P465" s="470">
        <v>165.0</v>
      </c>
      <c r="Q465" s="470">
        <f>(P465*F465)*1.05</f>
        <v>1732.5</v>
      </c>
      <c r="R465" s="627">
        <f>P465*31.555</f>
        <v>5206.575</v>
      </c>
      <c r="S465" s="627">
        <f t="shared" ref="S465:S466" si="55">(R465*F465)*1.05</f>
        <v>54669.0375</v>
      </c>
      <c r="T465" s="70" t="s">
        <v>2706</v>
      </c>
      <c r="U465" s="462">
        <v>43664.0</v>
      </c>
      <c r="V465" s="462">
        <v>43665.0</v>
      </c>
      <c r="W465" s="306" t="s">
        <v>1127</v>
      </c>
      <c r="X465" s="306" t="s">
        <v>2712</v>
      </c>
      <c r="Y465" s="305">
        <v>43664.0</v>
      </c>
      <c r="Z465" s="306" t="s">
        <v>2713</v>
      </c>
      <c r="AA465" s="306" t="s">
        <v>2714</v>
      </c>
      <c r="AB465" s="306">
        <v>31.22</v>
      </c>
      <c r="AC465" s="306"/>
      <c r="AD465" s="306"/>
      <c r="AE465" s="298"/>
      <c r="AF465" s="298"/>
      <c r="AG465" s="299"/>
      <c r="AH465" s="300">
        <v>43707.0</v>
      </c>
      <c r="AI465" s="299">
        <f>3447.61*31.31</f>
        <v>107944.6691</v>
      </c>
      <c r="AJ465" s="299">
        <f>16.39*31.31</f>
        <v>513.1709</v>
      </c>
      <c r="AK465" s="298" t="s">
        <v>50</v>
      </c>
      <c r="AL465" s="298" t="s">
        <v>285</v>
      </c>
      <c r="AM465" s="298" t="s">
        <v>286</v>
      </c>
      <c r="AN465" s="298" t="s">
        <v>52</v>
      </c>
      <c r="AO465" s="234" t="s">
        <v>1133</v>
      </c>
    </row>
    <row r="466" ht="15.75" customHeight="1">
      <c r="A466" s="69">
        <v>43609.0</v>
      </c>
      <c r="B466" s="144" t="s">
        <v>378</v>
      </c>
      <c r="C466" s="21" t="s">
        <v>1118</v>
      </c>
      <c r="D466" s="21" t="s">
        <v>1131</v>
      </c>
      <c r="E466" s="246" t="s">
        <v>2715</v>
      </c>
      <c r="F466" s="24">
        <v>10.0</v>
      </c>
      <c r="G466" s="48">
        <v>0.0</v>
      </c>
      <c r="H466" s="60">
        <f t="shared" si="50"/>
        <v>0</v>
      </c>
      <c r="I466" s="61" t="s">
        <v>1121</v>
      </c>
      <c r="J466" s="161" t="s">
        <v>1122</v>
      </c>
      <c r="K466" s="30">
        <v>43727.0</v>
      </c>
      <c r="L466" s="30">
        <v>43718.0</v>
      </c>
      <c r="M466" s="82" t="s">
        <v>2054</v>
      </c>
      <c r="N466" s="93" t="s">
        <v>2710</v>
      </c>
      <c r="O466" s="408"/>
      <c r="P466" s="408"/>
      <c r="Q466" s="408"/>
      <c r="R466" s="408">
        <v>2600.0</v>
      </c>
      <c r="S466" s="627">
        <f t="shared" si="55"/>
        <v>27300</v>
      </c>
      <c r="T466" s="70" t="s">
        <v>2056</v>
      </c>
      <c r="U466" s="462">
        <v>43743.0</v>
      </c>
      <c r="V466" s="462">
        <v>43718.0</v>
      </c>
      <c r="W466" s="306" t="s">
        <v>1135</v>
      </c>
      <c r="X466" s="306">
        <v>27300.0</v>
      </c>
      <c r="Y466" s="462">
        <v>43743.0</v>
      </c>
      <c r="Z466" s="306" t="s">
        <v>2713</v>
      </c>
      <c r="AA466" s="306" t="s">
        <v>2714</v>
      </c>
      <c r="AB466" s="306">
        <v>31.22</v>
      </c>
      <c r="AC466" s="306"/>
      <c r="AD466" s="306"/>
      <c r="AE466" s="298"/>
      <c r="AF466" s="298"/>
      <c r="AG466" s="299"/>
      <c r="AH466" s="298" t="s">
        <v>1227</v>
      </c>
      <c r="AI466" s="299"/>
      <c r="AJ466" s="299"/>
      <c r="AK466" s="298" t="s">
        <v>50</v>
      </c>
      <c r="AL466" s="298" t="s">
        <v>285</v>
      </c>
      <c r="AM466" s="298" t="s">
        <v>286</v>
      </c>
      <c r="AN466" s="298" t="s">
        <v>52</v>
      </c>
      <c r="AO466" s="234" t="s">
        <v>1133</v>
      </c>
    </row>
    <row r="467" ht="41.25" customHeight="1">
      <c r="A467" s="69">
        <v>43609.0</v>
      </c>
      <c r="B467" s="144" t="s">
        <v>378</v>
      </c>
      <c r="C467" s="21" t="s">
        <v>1118</v>
      </c>
      <c r="D467" s="21" t="s">
        <v>1131</v>
      </c>
      <c r="E467" s="246" t="s">
        <v>1130</v>
      </c>
      <c r="F467" s="24">
        <v>10.0</v>
      </c>
      <c r="G467" s="48">
        <v>0.0</v>
      </c>
      <c r="H467" s="60">
        <f t="shared" si="50"/>
        <v>0</v>
      </c>
      <c r="I467" s="61" t="s">
        <v>1121</v>
      </c>
      <c r="J467" s="161" t="s">
        <v>1122</v>
      </c>
      <c r="K467" s="30">
        <v>43727.0</v>
      </c>
      <c r="L467" s="30">
        <v>43693.0</v>
      </c>
      <c r="M467" s="63" t="s">
        <v>1970</v>
      </c>
      <c r="N467" s="64"/>
      <c r="O467" s="34"/>
      <c r="P467" s="34"/>
      <c r="Q467" s="34"/>
      <c r="R467" s="408">
        <v>0.0</v>
      </c>
      <c r="S467" s="408">
        <v>0.0</v>
      </c>
      <c r="T467" s="66"/>
      <c r="U467" s="306"/>
      <c r="V467" s="53"/>
      <c r="W467" s="53"/>
      <c r="X467" s="53"/>
      <c r="Y467" s="53"/>
      <c r="Z467" s="53" t="s">
        <v>2713</v>
      </c>
      <c r="AA467" s="53" t="s">
        <v>2714</v>
      </c>
      <c r="AB467" s="53">
        <v>31.22</v>
      </c>
      <c r="AC467" s="53"/>
      <c r="AD467" s="53"/>
      <c r="AE467" s="54"/>
      <c r="AF467" s="54"/>
      <c r="AG467" s="55"/>
      <c r="AH467" s="56">
        <v>43707.0</v>
      </c>
      <c r="AI467" s="55" t="s">
        <v>2702</v>
      </c>
      <c r="AJ467" s="55" t="s">
        <v>2703</v>
      </c>
      <c r="AK467" s="54" t="s">
        <v>50</v>
      </c>
      <c r="AL467" s="54" t="s">
        <v>285</v>
      </c>
      <c r="AM467" s="54" t="s">
        <v>286</v>
      </c>
      <c r="AN467" s="54" t="s">
        <v>52</v>
      </c>
      <c r="AO467" s="57"/>
    </row>
    <row r="468" ht="33.75" customHeight="1">
      <c r="A468" s="69">
        <v>43614.0</v>
      </c>
      <c r="B468" s="70" t="s">
        <v>721</v>
      </c>
      <c r="C468" s="21"/>
      <c r="D468" s="21" t="s">
        <v>1136</v>
      </c>
      <c r="E468" s="32" t="s">
        <v>1137</v>
      </c>
      <c r="F468" s="24">
        <v>1.0</v>
      </c>
      <c r="G468" s="48">
        <v>517.0</v>
      </c>
      <c r="H468" s="60">
        <v>517.0</v>
      </c>
      <c r="I468" s="348" t="s">
        <v>248</v>
      </c>
      <c r="J468" s="58" t="s">
        <v>1138</v>
      </c>
      <c r="K468" s="30">
        <v>43626.0</v>
      </c>
      <c r="L468" s="613">
        <v>43622.0</v>
      </c>
      <c r="M468" s="614" t="s">
        <v>90</v>
      </c>
      <c r="N468" s="615" t="s">
        <v>2716</v>
      </c>
      <c r="O468" s="619"/>
      <c r="P468" s="619"/>
      <c r="Q468" s="619">
        <v>477.75</v>
      </c>
      <c r="R468" s="619"/>
      <c r="S468" s="619">
        <v>15028.0</v>
      </c>
      <c r="T468" s="617" t="s">
        <v>94</v>
      </c>
      <c r="U468" s="302">
        <v>43677.0</v>
      </c>
      <c r="V468" s="302">
        <v>43621.0</v>
      </c>
      <c r="W468" s="296" t="s">
        <v>1139</v>
      </c>
      <c r="X468" s="296">
        <v>15028.0</v>
      </c>
      <c r="Y468" s="472">
        <v>43677.0</v>
      </c>
      <c r="Z468" s="296" t="s">
        <v>2717</v>
      </c>
      <c r="AA468" s="296">
        <v>6.480616936E9</v>
      </c>
      <c r="AB468" s="296"/>
      <c r="AC468" s="296"/>
      <c r="AD468" s="296"/>
      <c r="AE468" s="371"/>
      <c r="AF468" s="371"/>
      <c r="AG468" s="372"/>
      <c r="AH468" s="373">
        <v>43616.0</v>
      </c>
      <c r="AI468" s="372">
        <f>524.66*31.545</f>
        <v>16550.3997</v>
      </c>
      <c r="AJ468" s="372">
        <f>(542-524.66)*31.545</f>
        <v>546.9903</v>
      </c>
      <c r="AK468" s="371" t="s">
        <v>50</v>
      </c>
      <c r="AL468" s="371" t="s">
        <v>285</v>
      </c>
      <c r="AM468" s="371" t="s">
        <v>51</v>
      </c>
      <c r="AN468" s="371" t="s">
        <v>52</v>
      </c>
      <c r="AO468" s="374" t="s">
        <v>440</v>
      </c>
    </row>
    <row r="469" ht="42.75" customHeight="1">
      <c r="A469" s="69">
        <v>43614.0</v>
      </c>
      <c r="B469" s="70" t="s">
        <v>721</v>
      </c>
      <c r="C469" s="21"/>
      <c r="D469" s="21" t="s">
        <v>1136</v>
      </c>
      <c r="E469" s="23" t="s">
        <v>842</v>
      </c>
      <c r="F469" s="24">
        <v>1.0</v>
      </c>
      <c r="G469" s="48">
        <v>25.0</v>
      </c>
      <c r="H469" s="60">
        <v>25.0</v>
      </c>
      <c r="I469" s="348" t="s">
        <v>248</v>
      </c>
      <c r="J469" s="31" t="s">
        <v>1138</v>
      </c>
      <c r="K469" s="30">
        <v>43626.0</v>
      </c>
      <c r="L469" s="44"/>
      <c r="M469" s="63" t="s">
        <v>1089</v>
      </c>
      <c r="N469" s="64"/>
      <c r="O469" s="34"/>
      <c r="P469" s="34"/>
      <c r="Q469" s="34"/>
      <c r="R469" s="34"/>
      <c r="S469" s="34"/>
      <c r="T469" s="66"/>
      <c r="U469" s="52"/>
      <c r="V469" s="53"/>
      <c r="W469" s="53"/>
      <c r="X469" s="53"/>
      <c r="Y469" s="53"/>
      <c r="Z469" s="53" t="s">
        <v>2717</v>
      </c>
      <c r="AA469" s="53">
        <v>6.480616936E9</v>
      </c>
      <c r="AB469" s="53"/>
      <c r="AC469" s="53"/>
      <c r="AD469" s="53"/>
      <c r="AE469" s="54"/>
      <c r="AF469" s="54"/>
      <c r="AG469" s="55"/>
      <c r="AH469" s="56">
        <v>43616.0</v>
      </c>
      <c r="AI469" s="55" t="s">
        <v>2718</v>
      </c>
      <c r="AJ469" s="55" t="s">
        <v>2719</v>
      </c>
      <c r="AK469" s="54" t="s">
        <v>50</v>
      </c>
      <c r="AL469" s="54" t="s">
        <v>285</v>
      </c>
      <c r="AM469" s="54" t="s">
        <v>51</v>
      </c>
      <c r="AN469" s="54" t="s">
        <v>52</v>
      </c>
      <c r="AO469" s="57"/>
    </row>
    <row r="470" ht="42.75" customHeight="1">
      <c r="A470" s="69">
        <v>43615.0</v>
      </c>
      <c r="B470" s="70" t="s">
        <v>1112</v>
      </c>
      <c r="C470" s="21"/>
      <c r="D470" s="21" t="s">
        <v>1140</v>
      </c>
      <c r="E470" s="23" t="s">
        <v>1141</v>
      </c>
      <c r="F470" s="24">
        <v>3.0</v>
      </c>
      <c r="G470" s="48">
        <v>265.0</v>
      </c>
      <c r="H470" s="60">
        <f t="shared" ref="H470:H514" si="56">G470*F470</f>
        <v>795</v>
      </c>
      <c r="I470" s="61" t="s">
        <v>248</v>
      </c>
      <c r="J470" s="79" t="s">
        <v>263</v>
      </c>
      <c r="K470" s="30">
        <v>43630.0</v>
      </c>
      <c r="L470" s="613">
        <v>43621.0</v>
      </c>
      <c r="M470" s="653" t="s">
        <v>2508</v>
      </c>
      <c r="N470" s="398" t="s">
        <v>2720</v>
      </c>
      <c r="O470" s="619"/>
      <c r="P470" s="619"/>
      <c r="Q470" s="619"/>
      <c r="R470" s="619">
        <v>5400.0</v>
      </c>
      <c r="S470" s="619">
        <v>17010.0</v>
      </c>
      <c r="T470" s="619" t="s">
        <v>2510</v>
      </c>
      <c r="U470" s="302">
        <v>43651.0</v>
      </c>
      <c r="V470" s="302">
        <v>43620.0</v>
      </c>
      <c r="W470" s="296" t="s">
        <v>1142</v>
      </c>
      <c r="X470" s="296">
        <v>22050.0</v>
      </c>
      <c r="Y470" s="302">
        <v>43654.0</v>
      </c>
      <c r="Z470" s="296" t="s">
        <v>2700</v>
      </c>
      <c r="AA470" s="296">
        <v>9.802364946E9</v>
      </c>
      <c r="AB470" s="296"/>
      <c r="AC470" s="296"/>
      <c r="AD470" s="296"/>
      <c r="AE470" s="371"/>
      <c r="AF470" s="371">
        <v>31.325</v>
      </c>
      <c r="AG470" s="372"/>
      <c r="AH470" s="373">
        <v>43620.0</v>
      </c>
      <c r="AI470" s="372">
        <f>777.63*31.386</f>
        <v>24406.69518</v>
      </c>
      <c r="AJ470" s="372">
        <f>(795-777.63)*31.386</f>
        <v>545.17482</v>
      </c>
      <c r="AK470" s="371" t="s">
        <v>50</v>
      </c>
      <c r="AL470" s="371" t="s">
        <v>285</v>
      </c>
      <c r="AM470" s="371" t="s">
        <v>51</v>
      </c>
      <c r="AN470" s="371" t="s">
        <v>52</v>
      </c>
      <c r="AO470" s="374" t="s">
        <v>440</v>
      </c>
    </row>
    <row r="471" ht="42.75" customHeight="1">
      <c r="A471" s="69">
        <v>43616.0</v>
      </c>
      <c r="B471" s="70" t="s">
        <v>223</v>
      </c>
      <c r="C471" s="21" t="s">
        <v>1143</v>
      </c>
      <c r="D471" s="21" t="s">
        <v>1144</v>
      </c>
      <c r="E471" s="23" t="s">
        <v>1145</v>
      </c>
      <c r="F471" s="24">
        <v>1.0</v>
      </c>
      <c r="G471" s="48">
        <v>805.35</v>
      </c>
      <c r="H471" s="60">
        <f t="shared" si="56"/>
        <v>805.35</v>
      </c>
      <c r="I471" s="61" t="s">
        <v>248</v>
      </c>
      <c r="J471" s="79" t="s">
        <v>976</v>
      </c>
      <c r="K471" s="30">
        <v>43622.0</v>
      </c>
      <c r="L471" s="30">
        <v>43622.0</v>
      </c>
      <c r="M471" s="58" t="s">
        <v>90</v>
      </c>
      <c r="N471" s="93" t="s">
        <v>2721</v>
      </c>
      <c r="O471" s="408"/>
      <c r="P471" s="408"/>
      <c r="Q471" s="408">
        <v>732.9</v>
      </c>
      <c r="R471" s="408"/>
      <c r="S471" s="408">
        <v>23053.0</v>
      </c>
      <c r="T471" s="51" t="s">
        <v>94</v>
      </c>
      <c r="U471" s="462">
        <v>43677.0</v>
      </c>
      <c r="V471" s="462">
        <v>43621.0</v>
      </c>
      <c r="W471" s="306" t="s">
        <v>1146</v>
      </c>
      <c r="X471" s="306">
        <v>23053.0</v>
      </c>
      <c r="Y471" s="462">
        <v>43677.0</v>
      </c>
      <c r="Z471" s="306" t="s">
        <v>2722</v>
      </c>
      <c r="AA471" s="306" t="s">
        <v>2723</v>
      </c>
      <c r="AB471" s="306">
        <v>31.375</v>
      </c>
      <c r="AC471" s="306">
        <v>25268.0</v>
      </c>
      <c r="AD471" s="305">
        <v>43622.0</v>
      </c>
      <c r="AE471" s="298"/>
      <c r="AF471" s="298"/>
      <c r="AG471" s="299"/>
      <c r="AH471" s="300">
        <v>43682.0</v>
      </c>
      <c r="AI471" s="299">
        <v>38044.0</v>
      </c>
      <c r="AJ471" s="299">
        <v>28.0</v>
      </c>
      <c r="AK471" s="298" t="s">
        <v>50</v>
      </c>
      <c r="AL471" s="298" t="s">
        <v>285</v>
      </c>
      <c r="AM471" s="298" t="s">
        <v>51</v>
      </c>
      <c r="AN471" s="298" t="s">
        <v>377</v>
      </c>
      <c r="AO471" s="234" t="s">
        <v>507</v>
      </c>
    </row>
    <row r="472" ht="42.75" customHeight="1">
      <c r="A472" s="69">
        <v>43619.0</v>
      </c>
      <c r="B472" s="21" t="s">
        <v>119</v>
      </c>
      <c r="C472" s="21" t="s">
        <v>1147</v>
      </c>
      <c r="D472" s="21" t="s">
        <v>1148</v>
      </c>
      <c r="E472" s="499" t="s">
        <v>1149</v>
      </c>
      <c r="F472" s="24">
        <v>10.0</v>
      </c>
      <c r="G472" s="48">
        <v>485.0</v>
      </c>
      <c r="H472" s="60">
        <f t="shared" si="56"/>
        <v>4850</v>
      </c>
      <c r="I472" s="61" t="s">
        <v>248</v>
      </c>
      <c r="J472" s="82" t="s">
        <v>122</v>
      </c>
      <c r="K472" s="30">
        <v>43669.0</v>
      </c>
      <c r="L472" s="29">
        <v>43634.0</v>
      </c>
      <c r="M472" s="50" t="s">
        <v>90</v>
      </c>
      <c r="N472" s="93" t="s">
        <v>2724</v>
      </c>
      <c r="O472" s="408"/>
      <c r="P472" s="408">
        <v>400.0</v>
      </c>
      <c r="Q472" s="408">
        <f t="shared" ref="Q472:Q494" si="57">(P472*F472)*1.05</f>
        <v>4200</v>
      </c>
      <c r="R472" s="408"/>
      <c r="S472" s="408">
        <v>131565.0</v>
      </c>
      <c r="T472" s="51" t="s">
        <v>94</v>
      </c>
      <c r="U472" s="462">
        <v>43677.0</v>
      </c>
      <c r="V472" s="462">
        <v>43634.0</v>
      </c>
      <c r="W472" s="306" t="s">
        <v>1150</v>
      </c>
      <c r="X472" s="306">
        <v>994237.0</v>
      </c>
      <c r="Y472" s="462">
        <v>43677.0</v>
      </c>
      <c r="Z472" s="306" t="s">
        <v>2725</v>
      </c>
      <c r="AA472" s="306">
        <v>2.3244885886E10</v>
      </c>
      <c r="AB472" s="306"/>
      <c r="AC472" s="306"/>
      <c r="AD472" s="306"/>
      <c r="AE472" s="298"/>
      <c r="AF472" s="298"/>
      <c r="AG472" s="299"/>
      <c r="AH472" s="298" t="s">
        <v>1151</v>
      </c>
      <c r="AI472" s="299" t="s">
        <v>2726</v>
      </c>
      <c r="AJ472" s="299" t="s">
        <v>2727</v>
      </c>
      <c r="AK472" s="298" t="s">
        <v>50</v>
      </c>
      <c r="AL472" s="298" t="s">
        <v>285</v>
      </c>
      <c r="AM472" s="298" t="s">
        <v>51</v>
      </c>
      <c r="AN472" s="298" t="s">
        <v>52</v>
      </c>
      <c r="AO472" s="234" t="s">
        <v>507</v>
      </c>
    </row>
    <row r="473" ht="42.75" customHeight="1">
      <c r="A473" s="69">
        <v>43619.0</v>
      </c>
      <c r="B473" s="70" t="s">
        <v>119</v>
      </c>
      <c r="C473" s="21" t="s">
        <v>1147</v>
      </c>
      <c r="D473" s="21" t="s">
        <v>1148</v>
      </c>
      <c r="E473" s="499" t="s">
        <v>1152</v>
      </c>
      <c r="F473" s="24">
        <v>8.0</v>
      </c>
      <c r="G473" s="48">
        <v>880.0</v>
      </c>
      <c r="H473" s="60">
        <f t="shared" si="56"/>
        <v>7040</v>
      </c>
      <c r="I473" s="61" t="s">
        <v>248</v>
      </c>
      <c r="J473" s="82" t="s">
        <v>122</v>
      </c>
      <c r="K473" s="30">
        <v>43669.0</v>
      </c>
      <c r="L473" s="29">
        <v>43634.0</v>
      </c>
      <c r="M473" s="50" t="s">
        <v>90</v>
      </c>
      <c r="N473" s="93" t="s">
        <v>2724</v>
      </c>
      <c r="O473" s="408"/>
      <c r="P473" s="408">
        <v>678.5</v>
      </c>
      <c r="Q473" s="408">
        <f t="shared" si="57"/>
        <v>5699.4</v>
      </c>
      <c r="R473" s="408"/>
      <c r="S473" s="408">
        <v>178534.0</v>
      </c>
      <c r="T473" s="35" t="s">
        <v>94</v>
      </c>
      <c r="U473" s="462">
        <v>43677.0</v>
      </c>
      <c r="V473" s="462">
        <v>43634.0</v>
      </c>
      <c r="W473" s="306" t="s">
        <v>1150</v>
      </c>
      <c r="X473" s="306" t="s">
        <v>2728</v>
      </c>
      <c r="Y473" s="462">
        <v>43677.0</v>
      </c>
      <c r="Z473" s="306" t="s">
        <v>2725</v>
      </c>
      <c r="AA473" s="306">
        <v>2.3244885886E10</v>
      </c>
      <c r="AB473" s="306"/>
      <c r="AC473" s="306"/>
      <c r="AD473" s="306"/>
      <c r="AE473" s="298"/>
      <c r="AF473" s="298"/>
      <c r="AG473" s="299"/>
      <c r="AH473" s="298" t="s">
        <v>1153</v>
      </c>
      <c r="AI473" s="299" t="s">
        <v>2726</v>
      </c>
      <c r="AJ473" s="299" t="s">
        <v>2727</v>
      </c>
      <c r="AK473" s="298" t="s">
        <v>50</v>
      </c>
      <c r="AL473" s="298" t="s">
        <v>285</v>
      </c>
      <c r="AM473" s="298" t="s">
        <v>51</v>
      </c>
      <c r="AN473" s="298" t="s">
        <v>52</v>
      </c>
      <c r="AO473" s="234" t="s">
        <v>507</v>
      </c>
    </row>
    <row r="474" ht="42.75" customHeight="1">
      <c r="A474" s="69">
        <v>43619.0</v>
      </c>
      <c r="B474" s="70" t="s">
        <v>119</v>
      </c>
      <c r="C474" s="21" t="s">
        <v>1147</v>
      </c>
      <c r="D474" s="21" t="s">
        <v>1148</v>
      </c>
      <c r="E474" s="501" t="s">
        <v>152</v>
      </c>
      <c r="F474" s="24">
        <v>10.0</v>
      </c>
      <c r="G474" s="48">
        <v>1045.0</v>
      </c>
      <c r="H474" s="60">
        <f t="shared" si="56"/>
        <v>10450</v>
      </c>
      <c r="I474" s="61" t="s">
        <v>248</v>
      </c>
      <c r="J474" s="82" t="s">
        <v>122</v>
      </c>
      <c r="K474" s="30">
        <v>43669.0</v>
      </c>
      <c r="L474" s="29">
        <v>43634.0</v>
      </c>
      <c r="M474" s="50" t="s">
        <v>90</v>
      </c>
      <c r="N474" s="93" t="s">
        <v>2724</v>
      </c>
      <c r="O474" s="408"/>
      <c r="P474" s="408">
        <v>920.0</v>
      </c>
      <c r="Q474" s="408">
        <f t="shared" si="57"/>
        <v>9660</v>
      </c>
      <c r="R474" s="408"/>
      <c r="S474" s="408">
        <v>302600.0</v>
      </c>
      <c r="T474" s="51" t="s">
        <v>94</v>
      </c>
      <c r="U474" s="462">
        <v>43677.0</v>
      </c>
      <c r="V474" s="462">
        <v>43634.0</v>
      </c>
      <c r="W474" s="306" t="s">
        <v>1150</v>
      </c>
      <c r="X474" s="306" t="s">
        <v>2728</v>
      </c>
      <c r="Y474" s="472">
        <v>43677.0</v>
      </c>
      <c r="Z474" s="306" t="s">
        <v>2725</v>
      </c>
      <c r="AA474" s="306">
        <v>2.3244885886E10</v>
      </c>
      <c r="AB474" s="306"/>
      <c r="AC474" s="306"/>
      <c r="AD474" s="306"/>
      <c r="AE474" s="298"/>
      <c r="AF474" s="298"/>
      <c r="AG474" s="299"/>
      <c r="AH474" s="300">
        <v>43665.0</v>
      </c>
      <c r="AI474" s="299" t="s">
        <v>2660</v>
      </c>
      <c r="AJ474" s="299" t="s">
        <v>2660</v>
      </c>
      <c r="AK474" s="298" t="s">
        <v>50</v>
      </c>
      <c r="AL474" s="82" t="s">
        <v>285</v>
      </c>
      <c r="AM474" s="298" t="s">
        <v>51</v>
      </c>
      <c r="AN474" s="298" t="s">
        <v>52</v>
      </c>
      <c r="AO474" s="459" t="s">
        <v>750</v>
      </c>
    </row>
    <row r="475" ht="42.75" customHeight="1">
      <c r="A475" s="69">
        <v>43619.0</v>
      </c>
      <c r="B475" s="70" t="s">
        <v>119</v>
      </c>
      <c r="C475" s="21" t="s">
        <v>1147</v>
      </c>
      <c r="D475" s="21" t="s">
        <v>1148</v>
      </c>
      <c r="E475" s="500" t="s">
        <v>325</v>
      </c>
      <c r="F475" s="24">
        <v>4.0</v>
      </c>
      <c r="G475" s="48">
        <v>577.0</v>
      </c>
      <c r="H475" s="60">
        <f t="shared" si="56"/>
        <v>2308</v>
      </c>
      <c r="I475" s="61" t="s">
        <v>248</v>
      </c>
      <c r="J475" s="82" t="s">
        <v>122</v>
      </c>
      <c r="K475" s="30">
        <v>43669.0</v>
      </c>
      <c r="L475" s="29">
        <v>43634.0</v>
      </c>
      <c r="M475" s="50" t="s">
        <v>90</v>
      </c>
      <c r="N475" s="93" t="s">
        <v>2724</v>
      </c>
      <c r="O475" s="408"/>
      <c r="P475" s="408">
        <v>460.0</v>
      </c>
      <c r="Q475" s="408">
        <f t="shared" si="57"/>
        <v>1932</v>
      </c>
      <c r="R475" s="408"/>
      <c r="S475" s="408">
        <v>60520.0</v>
      </c>
      <c r="T475" s="51" t="s">
        <v>94</v>
      </c>
      <c r="U475" s="462">
        <v>43677.0</v>
      </c>
      <c r="V475" s="462">
        <v>43634.0</v>
      </c>
      <c r="W475" s="306" t="s">
        <v>1150</v>
      </c>
      <c r="X475" s="306" t="s">
        <v>2728</v>
      </c>
      <c r="Y475" s="472">
        <v>43677.0</v>
      </c>
      <c r="Z475" s="306" t="s">
        <v>2725</v>
      </c>
      <c r="AA475" s="306">
        <v>2.3244885886E10</v>
      </c>
      <c r="AB475" s="306"/>
      <c r="AC475" s="306"/>
      <c r="AD475" s="306"/>
      <c r="AE475" s="298"/>
      <c r="AF475" s="298"/>
      <c r="AG475" s="299"/>
      <c r="AH475" s="300">
        <v>43665.0</v>
      </c>
      <c r="AI475" s="299" t="s">
        <v>2660</v>
      </c>
      <c r="AJ475" s="299" t="s">
        <v>2660</v>
      </c>
      <c r="AK475" s="298" t="s">
        <v>50</v>
      </c>
      <c r="AL475" s="82" t="s">
        <v>285</v>
      </c>
      <c r="AM475" s="298" t="s">
        <v>51</v>
      </c>
      <c r="AN475" s="298" t="s">
        <v>52</v>
      </c>
      <c r="AO475" s="459" t="s">
        <v>750</v>
      </c>
    </row>
    <row r="476" ht="42.75" customHeight="1">
      <c r="A476" s="69">
        <v>43619.0</v>
      </c>
      <c r="B476" s="70" t="s">
        <v>119</v>
      </c>
      <c r="C476" s="21" t="s">
        <v>1147</v>
      </c>
      <c r="D476" s="21" t="s">
        <v>1148</v>
      </c>
      <c r="E476" s="500" t="s">
        <v>157</v>
      </c>
      <c r="F476" s="24">
        <v>2.0</v>
      </c>
      <c r="G476" s="48">
        <v>118.0</v>
      </c>
      <c r="H476" s="60">
        <f t="shared" si="56"/>
        <v>236</v>
      </c>
      <c r="I476" s="61" t="s">
        <v>248</v>
      </c>
      <c r="J476" s="82" t="s">
        <v>122</v>
      </c>
      <c r="K476" s="30">
        <v>43669.0</v>
      </c>
      <c r="L476" s="29">
        <v>43634.0</v>
      </c>
      <c r="M476" s="50" t="s">
        <v>90</v>
      </c>
      <c r="N476" s="93" t="s">
        <v>2724</v>
      </c>
      <c r="O476" s="408"/>
      <c r="P476" s="408">
        <v>95.0</v>
      </c>
      <c r="Q476" s="408">
        <f t="shared" si="57"/>
        <v>199.5</v>
      </c>
      <c r="R476" s="408"/>
      <c r="S476" s="408">
        <v>6249.0</v>
      </c>
      <c r="T476" s="51" t="s">
        <v>94</v>
      </c>
      <c r="U476" s="462">
        <v>43677.0</v>
      </c>
      <c r="V476" s="462">
        <v>43634.0</v>
      </c>
      <c r="W476" s="306" t="s">
        <v>1150</v>
      </c>
      <c r="X476" s="306" t="s">
        <v>2728</v>
      </c>
      <c r="Y476" s="472">
        <v>43677.0</v>
      </c>
      <c r="Z476" s="306" t="s">
        <v>2725</v>
      </c>
      <c r="AA476" s="306">
        <v>2.3244885886E10</v>
      </c>
      <c r="AB476" s="306"/>
      <c r="AC476" s="306"/>
      <c r="AD476" s="306"/>
      <c r="AE476" s="298"/>
      <c r="AF476" s="298"/>
      <c r="AG476" s="299"/>
      <c r="AH476" s="300">
        <v>43665.0</v>
      </c>
      <c r="AI476" s="299" t="s">
        <v>2660</v>
      </c>
      <c r="AJ476" s="299" t="s">
        <v>2660</v>
      </c>
      <c r="AK476" s="298" t="s">
        <v>50</v>
      </c>
      <c r="AL476" s="82" t="s">
        <v>285</v>
      </c>
      <c r="AM476" s="298" t="s">
        <v>51</v>
      </c>
      <c r="AN476" s="298" t="s">
        <v>52</v>
      </c>
      <c r="AO476" s="459" t="s">
        <v>750</v>
      </c>
    </row>
    <row r="477" ht="42.75" customHeight="1">
      <c r="A477" s="69">
        <v>43619.0</v>
      </c>
      <c r="B477" s="70" t="s">
        <v>119</v>
      </c>
      <c r="C477" s="21" t="s">
        <v>1147</v>
      </c>
      <c r="D477" s="21" t="s">
        <v>1148</v>
      </c>
      <c r="E477" s="500" t="s">
        <v>162</v>
      </c>
      <c r="F477" s="24">
        <v>15.0</v>
      </c>
      <c r="G477" s="48">
        <v>738.0</v>
      </c>
      <c r="H477" s="60">
        <f t="shared" si="56"/>
        <v>11070</v>
      </c>
      <c r="I477" s="61" t="s">
        <v>248</v>
      </c>
      <c r="J477" s="82" t="s">
        <v>122</v>
      </c>
      <c r="K477" s="30">
        <v>43669.0</v>
      </c>
      <c r="L477" s="29">
        <v>43634.0</v>
      </c>
      <c r="M477" s="50" t="s">
        <v>90</v>
      </c>
      <c r="N477" s="93" t="s">
        <v>2724</v>
      </c>
      <c r="O477" s="408"/>
      <c r="P477" s="408">
        <v>638.0</v>
      </c>
      <c r="Q477" s="408">
        <f t="shared" si="57"/>
        <v>10048.5</v>
      </c>
      <c r="R477" s="408"/>
      <c r="S477" s="408">
        <v>314769.0</v>
      </c>
      <c r="T477" s="51" t="s">
        <v>94</v>
      </c>
      <c r="U477" s="462">
        <v>43677.0</v>
      </c>
      <c r="V477" s="462">
        <v>43634.0</v>
      </c>
      <c r="W477" s="306" t="s">
        <v>1150</v>
      </c>
      <c r="X477" s="306" t="s">
        <v>2728</v>
      </c>
      <c r="Y477" s="462">
        <v>43677.0</v>
      </c>
      <c r="Z477" s="306" t="s">
        <v>2725</v>
      </c>
      <c r="AA477" s="306">
        <v>2.3244885886E10</v>
      </c>
      <c r="AB477" s="306"/>
      <c r="AC477" s="306"/>
      <c r="AD477" s="306"/>
      <c r="AE477" s="298"/>
      <c r="AF477" s="298"/>
      <c r="AG477" s="299"/>
      <c r="AH477" s="300">
        <v>43724.0</v>
      </c>
      <c r="AI477" s="299">
        <f>14436.79*30.92</f>
        <v>446385.5468</v>
      </c>
      <c r="AJ477" s="299">
        <f>(14454-14436.79)*30.92</f>
        <v>532.1332</v>
      </c>
      <c r="AK477" s="298" t="s">
        <v>50</v>
      </c>
      <c r="AL477" s="298" t="s">
        <v>285</v>
      </c>
      <c r="AM477" s="298" t="s">
        <v>51</v>
      </c>
      <c r="AN477" s="298" t="s">
        <v>52</v>
      </c>
      <c r="AO477" s="234" t="s">
        <v>507</v>
      </c>
    </row>
    <row r="478" ht="15.75" customHeight="1">
      <c r="A478" s="69">
        <v>43620.0</v>
      </c>
      <c r="B478" s="309" t="s">
        <v>101</v>
      </c>
      <c r="C478" s="22" t="s">
        <v>1154</v>
      </c>
      <c r="D478" s="59" t="s">
        <v>1155</v>
      </c>
      <c r="E478" s="22" t="s">
        <v>1156</v>
      </c>
      <c r="F478" s="24">
        <v>8.0</v>
      </c>
      <c r="G478" s="48">
        <v>621.0</v>
      </c>
      <c r="H478" s="60">
        <f t="shared" si="56"/>
        <v>4968</v>
      </c>
      <c r="I478" s="61" t="s">
        <v>105</v>
      </c>
      <c r="J478" s="63" t="s">
        <v>1018</v>
      </c>
      <c r="K478" s="29">
        <v>43651.0</v>
      </c>
      <c r="L478" s="30">
        <v>43648.0</v>
      </c>
      <c r="M478" s="50" t="s">
        <v>1089</v>
      </c>
      <c r="N478" s="93" t="s">
        <v>2729</v>
      </c>
      <c r="O478" s="408"/>
      <c r="P478" s="408"/>
      <c r="Q478" s="408">
        <f t="shared" si="57"/>
        <v>0</v>
      </c>
      <c r="R478" s="408">
        <v>15673.0</v>
      </c>
      <c r="S478" s="408">
        <f t="shared" ref="S478:S484" si="58">(R478*F478)*1.05</f>
        <v>131653.2</v>
      </c>
      <c r="T478" s="408"/>
      <c r="U478" s="306"/>
      <c r="V478" s="306"/>
      <c r="W478" s="306"/>
      <c r="X478" s="306"/>
      <c r="Y478" s="306"/>
      <c r="Z478" s="306" t="s">
        <v>2730</v>
      </c>
      <c r="AA478" s="306">
        <v>2.006144276E9</v>
      </c>
      <c r="AB478" s="306">
        <v>31.025</v>
      </c>
      <c r="AC478" s="306"/>
      <c r="AD478" s="306"/>
      <c r="AE478" s="298"/>
      <c r="AF478" s="298"/>
      <c r="AG478" s="299"/>
      <c r="AH478" s="300">
        <v>43704.0</v>
      </c>
      <c r="AI478" s="299">
        <f>9416.62*31.34</f>
        <v>295116.8708</v>
      </c>
      <c r="AJ478" s="299">
        <f>(9443-9416.62)*31.34</f>
        <v>826.7492</v>
      </c>
      <c r="AK478" s="298" t="s">
        <v>50</v>
      </c>
      <c r="AL478" s="298" t="s">
        <v>285</v>
      </c>
      <c r="AM478" s="298" t="s">
        <v>286</v>
      </c>
      <c r="AN478" s="298" t="s">
        <v>52</v>
      </c>
      <c r="AO478" s="234" t="s">
        <v>507</v>
      </c>
    </row>
    <row r="479" ht="42.75" customHeight="1">
      <c r="A479" s="69">
        <v>43620.0</v>
      </c>
      <c r="B479" s="309" t="s">
        <v>101</v>
      </c>
      <c r="C479" s="22" t="s">
        <v>1154</v>
      </c>
      <c r="D479" s="22" t="s">
        <v>1155</v>
      </c>
      <c r="E479" s="35" t="s">
        <v>1157</v>
      </c>
      <c r="F479" s="24">
        <v>8.0</v>
      </c>
      <c r="G479" s="48">
        <v>71.0</v>
      </c>
      <c r="H479" s="60">
        <f t="shared" si="56"/>
        <v>568</v>
      </c>
      <c r="I479" s="61" t="s">
        <v>105</v>
      </c>
      <c r="J479" s="63" t="s">
        <v>1018</v>
      </c>
      <c r="K479" s="29">
        <v>43651.0</v>
      </c>
      <c r="L479" s="50" t="s">
        <v>179</v>
      </c>
      <c r="M479" s="50" t="s">
        <v>1089</v>
      </c>
      <c r="N479" s="93" t="s">
        <v>2731</v>
      </c>
      <c r="O479" s="408"/>
      <c r="P479" s="408"/>
      <c r="Q479" s="408">
        <f t="shared" si="57"/>
        <v>0</v>
      </c>
      <c r="R479" s="408">
        <v>1059.0</v>
      </c>
      <c r="S479" s="408">
        <f t="shared" si="58"/>
        <v>8895.6</v>
      </c>
      <c r="T479" s="503"/>
      <c r="U479" s="306"/>
      <c r="V479" s="306"/>
      <c r="W479" s="306"/>
      <c r="X479" s="306"/>
      <c r="Y479" s="306"/>
      <c r="Z479" s="306" t="s">
        <v>2730</v>
      </c>
      <c r="AA479" s="306">
        <v>2.006144276E9</v>
      </c>
      <c r="AB479" s="306">
        <v>31.025</v>
      </c>
      <c r="AC479" s="306"/>
      <c r="AD479" s="306"/>
      <c r="AE479" s="298"/>
      <c r="AF479" s="298"/>
      <c r="AG479" s="299"/>
      <c r="AH479" s="300">
        <v>43704.0</v>
      </c>
      <c r="AI479" s="299" t="s">
        <v>2732</v>
      </c>
      <c r="AJ479" s="299" t="s">
        <v>2733</v>
      </c>
      <c r="AK479" s="298" t="s">
        <v>50</v>
      </c>
      <c r="AL479" s="298" t="s">
        <v>285</v>
      </c>
      <c r="AM479" s="298" t="s">
        <v>286</v>
      </c>
      <c r="AN479" s="298" t="s">
        <v>52</v>
      </c>
      <c r="AO479" s="234" t="s">
        <v>507</v>
      </c>
    </row>
    <row r="480" ht="42.75" customHeight="1">
      <c r="A480" s="69">
        <v>43620.0</v>
      </c>
      <c r="B480" s="309" t="s">
        <v>101</v>
      </c>
      <c r="C480" s="22" t="s">
        <v>1154</v>
      </c>
      <c r="D480" s="22" t="s">
        <v>1155</v>
      </c>
      <c r="E480" s="35" t="s">
        <v>1158</v>
      </c>
      <c r="F480" s="24">
        <v>8.0</v>
      </c>
      <c r="G480" s="48">
        <v>60.0</v>
      </c>
      <c r="H480" s="60">
        <f t="shared" si="56"/>
        <v>480</v>
      </c>
      <c r="I480" s="61" t="s">
        <v>105</v>
      </c>
      <c r="J480" s="63" t="s">
        <v>1018</v>
      </c>
      <c r="K480" s="29">
        <v>43651.0</v>
      </c>
      <c r="L480" s="50" t="s">
        <v>179</v>
      </c>
      <c r="M480" s="50" t="s">
        <v>1089</v>
      </c>
      <c r="N480" s="93" t="s">
        <v>2734</v>
      </c>
      <c r="O480" s="408"/>
      <c r="P480" s="408"/>
      <c r="Q480" s="408">
        <f t="shared" si="57"/>
        <v>0</v>
      </c>
      <c r="R480" s="408">
        <v>1235.0</v>
      </c>
      <c r="S480" s="408">
        <f t="shared" si="58"/>
        <v>10374</v>
      </c>
      <c r="T480" s="503"/>
      <c r="U480" s="306"/>
      <c r="V480" s="306"/>
      <c r="W480" s="306"/>
      <c r="X480" s="306"/>
      <c r="Y480" s="306"/>
      <c r="Z480" s="306" t="s">
        <v>2730</v>
      </c>
      <c r="AA480" s="306">
        <v>2.006144276E9</v>
      </c>
      <c r="AB480" s="306">
        <v>31.025</v>
      </c>
      <c r="AC480" s="306"/>
      <c r="AD480" s="306"/>
      <c r="AE480" s="298"/>
      <c r="AF480" s="298"/>
      <c r="AG480" s="299"/>
      <c r="AH480" s="300">
        <v>43704.0</v>
      </c>
      <c r="AI480" s="299" t="s">
        <v>2732</v>
      </c>
      <c r="AJ480" s="299" t="s">
        <v>2733</v>
      </c>
      <c r="AK480" s="298" t="s">
        <v>50</v>
      </c>
      <c r="AL480" s="298" t="s">
        <v>285</v>
      </c>
      <c r="AM480" s="298" t="s">
        <v>286</v>
      </c>
      <c r="AN480" s="298" t="s">
        <v>52</v>
      </c>
      <c r="AO480" s="234" t="s">
        <v>507</v>
      </c>
    </row>
    <row r="481" ht="42.75" customHeight="1">
      <c r="A481" s="110">
        <v>43620.0</v>
      </c>
      <c r="B481" s="502" t="s">
        <v>101</v>
      </c>
      <c r="C481" s="59" t="s">
        <v>1154</v>
      </c>
      <c r="D481" s="59" t="s">
        <v>1155</v>
      </c>
      <c r="E481" s="59" t="s">
        <v>1159</v>
      </c>
      <c r="F481" s="24">
        <v>8.0</v>
      </c>
      <c r="G481" s="48">
        <v>38.0</v>
      </c>
      <c r="H481" s="60">
        <f t="shared" si="56"/>
        <v>304</v>
      </c>
      <c r="I481" s="61" t="s">
        <v>105</v>
      </c>
      <c r="J481" s="63" t="s">
        <v>1018</v>
      </c>
      <c r="K481" s="29">
        <v>43651.0</v>
      </c>
      <c r="L481" s="50" t="s">
        <v>179</v>
      </c>
      <c r="M481" s="50" t="s">
        <v>1089</v>
      </c>
      <c r="N481" s="93"/>
      <c r="O481" s="408"/>
      <c r="P481" s="408"/>
      <c r="Q481" s="408">
        <f t="shared" si="57"/>
        <v>0</v>
      </c>
      <c r="R481" s="408">
        <v>825.0</v>
      </c>
      <c r="S481" s="408">
        <f t="shared" si="58"/>
        <v>6930</v>
      </c>
      <c r="T481" s="503"/>
      <c r="U481" s="306"/>
      <c r="V481" s="306"/>
      <c r="W481" s="306"/>
      <c r="X481" s="306"/>
      <c r="Y481" s="306"/>
      <c r="Z481" s="306" t="s">
        <v>2730</v>
      </c>
      <c r="AA481" s="306">
        <v>2.006144276E9</v>
      </c>
      <c r="AB481" s="306">
        <v>31.025</v>
      </c>
      <c r="AC481" s="306"/>
      <c r="AD481" s="306"/>
      <c r="AE481" s="298"/>
      <c r="AF481" s="298"/>
      <c r="AG481" s="299"/>
      <c r="AH481" s="300">
        <v>43704.0</v>
      </c>
      <c r="AI481" s="299" t="s">
        <v>2732</v>
      </c>
      <c r="AJ481" s="299" t="s">
        <v>2733</v>
      </c>
      <c r="AK481" s="298" t="s">
        <v>50</v>
      </c>
      <c r="AL481" s="298" t="s">
        <v>285</v>
      </c>
      <c r="AM481" s="298" t="s">
        <v>286</v>
      </c>
      <c r="AN481" s="298" t="s">
        <v>52</v>
      </c>
      <c r="AO481" s="234" t="s">
        <v>507</v>
      </c>
    </row>
    <row r="482" ht="42.75" customHeight="1">
      <c r="A482" s="69">
        <v>43620.0</v>
      </c>
      <c r="B482" s="309" t="s">
        <v>101</v>
      </c>
      <c r="C482" s="20" t="s">
        <v>1154</v>
      </c>
      <c r="D482" s="20" t="s">
        <v>1155</v>
      </c>
      <c r="E482" s="20" t="s">
        <v>1160</v>
      </c>
      <c r="F482" s="24">
        <v>8.0</v>
      </c>
      <c r="G482" s="48">
        <v>10.0</v>
      </c>
      <c r="H482" s="60">
        <f t="shared" si="56"/>
        <v>80</v>
      </c>
      <c r="I482" s="61" t="s">
        <v>105</v>
      </c>
      <c r="J482" s="63" t="s">
        <v>1018</v>
      </c>
      <c r="K482" s="29">
        <v>43651.0</v>
      </c>
      <c r="L482" s="50" t="s">
        <v>179</v>
      </c>
      <c r="M482" s="50" t="s">
        <v>1089</v>
      </c>
      <c r="N482" s="93"/>
      <c r="O482" s="408"/>
      <c r="P482" s="408"/>
      <c r="Q482" s="408">
        <f t="shared" si="57"/>
        <v>0</v>
      </c>
      <c r="R482" s="408">
        <v>76.0</v>
      </c>
      <c r="S482" s="408">
        <f t="shared" si="58"/>
        <v>638.4</v>
      </c>
      <c r="T482" s="503"/>
      <c r="U482" s="306"/>
      <c r="V482" s="306"/>
      <c r="W482" s="306"/>
      <c r="X482" s="306"/>
      <c r="Y482" s="306"/>
      <c r="Z482" s="306" t="s">
        <v>2730</v>
      </c>
      <c r="AA482" s="306">
        <v>2.006144276E9</v>
      </c>
      <c r="AB482" s="306">
        <v>31.025</v>
      </c>
      <c r="AC482" s="306"/>
      <c r="AD482" s="306"/>
      <c r="AE482" s="298"/>
      <c r="AF482" s="298"/>
      <c r="AG482" s="299"/>
      <c r="AH482" s="300">
        <v>43704.0</v>
      </c>
      <c r="AI482" s="299" t="s">
        <v>2732</v>
      </c>
      <c r="AJ482" s="299" t="s">
        <v>2733</v>
      </c>
      <c r="AK482" s="298" t="s">
        <v>50</v>
      </c>
      <c r="AL482" s="298" t="s">
        <v>285</v>
      </c>
      <c r="AM482" s="298" t="s">
        <v>286</v>
      </c>
      <c r="AN482" s="298" t="s">
        <v>52</v>
      </c>
      <c r="AO482" s="234" t="s">
        <v>507</v>
      </c>
    </row>
    <row r="483" ht="42.75" customHeight="1">
      <c r="A483" s="69">
        <v>43620.0</v>
      </c>
      <c r="B483" s="309" t="s">
        <v>101</v>
      </c>
      <c r="C483" s="20" t="s">
        <v>1154</v>
      </c>
      <c r="D483" s="20" t="s">
        <v>1155</v>
      </c>
      <c r="E483" s="20" t="s">
        <v>1161</v>
      </c>
      <c r="F483" s="24">
        <v>8.0</v>
      </c>
      <c r="G483" s="48">
        <v>47.0</v>
      </c>
      <c r="H483" s="60">
        <f t="shared" si="56"/>
        <v>376</v>
      </c>
      <c r="I483" s="61" t="s">
        <v>105</v>
      </c>
      <c r="J483" s="63" t="s">
        <v>1018</v>
      </c>
      <c r="K483" s="29">
        <v>43651.0</v>
      </c>
      <c r="L483" s="50" t="s">
        <v>179</v>
      </c>
      <c r="M483" s="50" t="s">
        <v>1089</v>
      </c>
      <c r="N483" s="93" t="s">
        <v>2735</v>
      </c>
      <c r="O483" s="408"/>
      <c r="P483" s="408"/>
      <c r="Q483" s="408">
        <f t="shared" si="57"/>
        <v>0</v>
      </c>
      <c r="R483" s="408">
        <v>1103.48</v>
      </c>
      <c r="S483" s="408">
        <f t="shared" si="58"/>
        <v>9269.232</v>
      </c>
      <c r="T483" s="503"/>
      <c r="U483" s="306"/>
      <c r="V483" s="306"/>
      <c r="W483" s="306"/>
      <c r="X483" s="306"/>
      <c r="Y483" s="306"/>
      <c r="Z483" s="306" t="s">
        <v>2730</v>
      </c>
      <c r="AA483" s="306">
        <v>2.006144276E9</v>
      </c>
      <c r="AB483" s="306">
        <v>31.025</v>
      </c>
      <c r="AC483" s="306"/>
      <c r="AD483" s="306"/>
      <c r="AE483" s="298"/>
      <c r="AF483" s="298"/>
      <c r="AG483" s="299"/>
      <c r="AH483" s="300">
        <v>43704.0</v>
      </c>
      <c r="AI483" s="299" t="s">
        <v>2732</v>
      </c>
      <c r="AJ483" s="299" t="s">
        <v>2733</v>
      </c>
      <c r="AK483" s="298" t="s">
        <v>50</v>
      </c>
      <c r="AL483" s="298" t="s">
        <v>285</v>
      </c>
      <c r="AM483" s="298" t="s">
        <v>286</v>
      </c>
      <c r="AN483" s="298" t="s">
        <v>52</v>
      </c>
      <c r="AO483" s="234" t="s">
        <v>507</v>
      </c>
    </row>
    <row r="484" ht="42.75" customHeight="1">
      <c r="A484" s="69">
        <v>43620.0</v>
      </c>
      <c r="B484" s="70" t="s">
        <v>1085</v>
      </c>
      <c r="C484" s="70" t="s">
        <v>1162</v>
      </c>
      <c r="D484" s="70" t="s">
        <v>1163</v>
      </c>
      <c r="E484" s="23" t="s">
        <v>1088</v>
      </c>
      <c r="F484" s="24">
        <v>6.0</v>
      </c>
      <c r="G484" s="48">
        <v>155.4</v>
      </c>
      <c r="H484" s="442">
        <f t="shared" si="56"/>
        <v>932.4</v>
      </c>
      <c r="I484" s="61" t="s">
        <v>248</v>
      </c>
      <c r="J484" s="161" t="s">
        <v>1164</v>
      </c>
      <c r="K484" s="29">
        <v>43622.0</v>
      </c>
      <c r="L484" s="29">
        <v>43620.0</v>
      </c>
      <c r="M484" s="50" t="s">
        <v>179</v>
      </c>
      <c r="N484" s="93"/>
      <c r="O484" s="408"/>
      <c r="P484" s="408"/>
      <c r="Q484" s="408">
        <f t="shared" si="57"/>
        <v>0</v>
      </c>
      <c r="R484" s="408">
        <v>3901.02</v>
      </c>
      <c r="S484" s="408">
        <f t="shared" si="58"/>
        <v>24576.426</v>
      </c>
      <c r="T484" s="503"/>
      <c r="U484" s="306"/>
      <c r="V484" s="306"/>
      <c r="W484" s="306"/>
      <c r="X484" s="306"/>
      <c r="Y484" s="306"/>
      <c r="Z484" s="306" t="s">
        <v>2736</v>
      </c>
      <c r="AA484" s="306" t="s">
        <v>2737</v>
      </c>
      <c r="AB484" s="306">
        <v>31.375</v>
      </c>
      <c r="AC484" s="306">
        <v>29254.0</v>
      </c>
      <c r="AD484" s="462">
        <v>43622.0</v>
      </c>
      <c r="AE484" s="298"/>
      <c r="AF484" s="298"/>
      <c r="AG484" s="299"/>
      <c r="AH484" s="300">
        <v>43651.0</v>
      </c>
      <c r="AI484" s="299">
        <v>0.0</v>
      </c>
      <c r="AJ484" s="299">
        <v>0.0</v>
      </c>
      <c r="AK484" s="298" t="s">
        <v>50</v>
      </c>
      <c r="AL484" s="298" t="s">
        <v>285</v>
      </c>
      <c r="AM484" s="298" t="s">
        <v>286</v>
      </c>
      <c r="AN484" s="298" t="s">
        <v>377</v>
      </c>
      <c r="AO484" s="234" t="s">
        <v>507</v>
      </c>
    </row>
    <row r="485" ht="42.75" customHeight="1">
      <c r="A485" s="69">
        <v>43620.0</v>
      </c>
      <c r="B485" s="70" t="s">
        <v>579</v>
      </c>
      <c r="C485" s="503"/>
      <c r="D485" s="70" t="s">
        <v>1165</v>
      </c>
      <c r="E485" s="499" t="s">
        <v>1166</v>
      </c>
      <c r="F485" s="24">
        <v>2.0</v>
      </c>
      <c r="G485" s="48">
        <v>194.25</v>
      </c>
      <c r="H485" s="60">
        <f t="shared" si="56"/>
        <v>388.5</v>
      </c>
      <c r="I485" s="61" t="s">
        <v>248</v>
      </c>
      <c r="J485" s="63" t="s">
        <v>582</v>
      </c>
      <c r="K485" s="29">
        <v>43628.0</v>
      </c>
      <c r="L485" s="613">
        <v>43628.0</v>
      </c>
      <c r="M485" s="433" t="s">
        <v>1439</v>
      </c>
      <c r="N485" s="615" t="s">
        <v>2738</v>
      </c>
      <c r="O485" s="619"/>
      <c r="P485" s="619"/>
      <c r="Q485" s="619">
        <f t="shared" si="57"/>
        <v>0</v>
      </c>
      <c r="R485" s="619">
        <v>5034.0</v>
      </c>
      <c r="S485" s="619">
        <v>10570.0</v>
      </c>
      <c r="T485" s="618" t="s">
        <v>1976</v>
      </c>
      <c r="U485" s="302">
        <v>43677.0</v>
      </c>
      <c r="V485" s="302">
        <v>43626.0</v>
      </c>
      <c r="W485" s="296" t="s">
        <v>1167</v>
      </c>
      <c r="X485" s="296">
        <v>10570.0</v>
      </c>
      <c r="Y485" s="302">
        <v>43677.0</v>
      </c>
      <c r="Z485" s="296" t="s">
        <v>2739</v>
      </c>
      <c r="AA485" s="296" t="s">
        <v>2740</v>
      </c>
      <c r="AB485" s="296">
        <v>31.0</v>
      </c>
      <c r="AC485" s="296">
        <v>12044.0</v>
      </c>
      <c r="AD485" s="689">
        <v>43629.0</v>
      </c>
      <c r="AE485" s="371"/>
      <c r="AF485" s="371"/>
      <c r="AG485" s="372"/>
      <c r="AH485" s="373">
        <v>43633.0</v>
      </c>
      <c r="AI485" s="372" t="s">
        <v>2741</v>
      </c>
      <c r="AJ485" s="372" t="s">
        <v>2742</v>
      </c>
      <c r="AK485" s="371" t="s">
        <v>50</v>
      </c>
      <c r="AL485" s="371" t="s">
        <v>285</v>
      </c>
      <c r="AM485" s="371" t="s">
        <v>51</v>
      </c>
      <c r="AN485" s="371" t="s">
        <v>377</v>
      </c>
      <c r="AO485" s="374" t="s">
        <v>440</v>
      </c>
    </row>
    <row r="486" ht="42.75" customHeight="1">
      <c r="A486" s="69">
        <v>43620.0</v>
      </c>
      <c r="B486" s="70" t="s">
        <v>130</v>
      </c>
      <c r="C486" s="70" t="s">
        <v>1168</v>
      </c>
      <c r="D486" s="70" t="s">
        <v>1169</v>
      </c>
      <c r="E486" s="499" t="s">
        <v>950</v>
      </c>
      <c r="F486" s="24">
        <v>1.0</v>
      </c>
      <c r="G486" s="48">
        <v>245.0</v>
      </c>
      <c r="H486" s="60">
        <f t="shared" si="56"/>
        <v>245</v>
      </c>
      <c r="I486" s="61" t="s">
        <v>248</v>
      </c>
      <c r="J486" s="63" t="s">
        <v>134</v>
      </c>
      <c r="K486" s="29">
        <v>43636.0</v>
      </c>
      <c r="L486" s="29">
        <v>43630.0</v>
      </c>
      <c r="M486" s="50" t="s">
        <v>90</v>
      </c>
      <c r="N486" s="93" t="s">
        <v>2743</v>
      </c>
      <c r="O486" s="408"/>
      <c r="P486" s="408">
        <v>228.0</v>
      </c>
      <c r="Q486" s="408">
        <f t="shared" si="57"/>
        <v>239.4</v>
      </c>
      <c r="R486" s="408"/>
      <c r="S486" s="408">
        <v>7499.0</v>
      </c>
      <c r="T486" s="51" t="s">
        <v>94</v>
      </c>
      <c r="U486" s="462">
        <v>43677.0</v>
      </c>
      <c r="V486" s="462">
        <v>43630.0</v>
      </c>
      <c r="W486" s="306" t="s">
        <v>1170</v>
      </c>
      <c r="X486" s="306">
        <v>63710.0</v>
      </c>
      <c r="Y486" s="462">
        <v>43677.0</v>
      </c>
      <c r="Z486" s="306" t="s">
        <v>2744</v>
      </c>
      <c r="AA486" s="306">
        <v>6.783765446E9</v>
      </c>
      <c r="AB486" s="306"/>
      <c r="AC486" s="306"/>
      <c r="AD486" s="306"/>
      <c r="AE486" s="298"/>
      <c r="AF486" s="298">
        <v>31.325</v>
      </c>
      <c r="AG486" s="299"/>
      <c r="AH486" s="300">
        <v>43654.0</v>
      </c>
      <c r="AI486" s="299">
        <f>2282.58*31.13</f>
        <v>71056.7154</v>
      </c>
      <c r="AJ486" s="299">
        <f>17.42*31.13</f>
        <v>542.2846</v>
      </c>
      <c r="AK486" s="298" t="s">
        <v>50</v>
      </c>
      <c r="AL486" s="82" t="s">
        <v>285</v>
      </c>
      <c r="AM486" s="298" t="s">
        <v>51</v>
      </c>
      <c r="AN486" s="298" t="s">
        <v>52</v>
      </c>
      <c r="AO486" s="459" t="s">
        <v>750</v>
      </c>
    </row>
    <row r="487" ht="42.75" customHeight="1">
      <c r="A487" s="69">
        <v>43620.0</v>
      </c>
      <c r="B487" s="70" t="s">
        <v>130</v>
      </c>
      <c r="C487" s="70" t="s">
        <v>1168</v>
      </c>
      <c r="D487" s="70" t="s">
        <v>1169</v>
      </c>
      <c r="E487" s="23" t="s">
        <v>889</v>
      </c>
      <c r="F487" s="24">
        <v>5.0</v>
      </c>
      <c r="G487" s="48">
        <v>90.0</v>
      </c>
      <c r="H487" s="60">
        <f t="shared" si="56"/>
        <v>450</v>
      </c>
      <c r="I487" s="61" t="s">
        <v>248</v>
      </c>
      <c r="J487" s="63" t="s">
        <v>134</v>
      </c>
      <c r="K487" s="29">
        <v>43636.0</v>
      </c>
      <c r="L487" s="29">
        <v>43630.0</v>
      </c>
      <c r="M487" s="50" t="s">
        <v>90</v>
      </c>
      <c r="N487" s="93" t="s">
        <v>2743</v>
      </c>
      <c r="O487" s="408"/>
      <c r="P487" s="408">
        <v>77.0</v>
      </c>
      <c r="Q487" s="408">
        <f t="shared" si="57"/>
        <v>404.25</v>
      </c>
      <c r="R487" s="408"/>
      <c r="S487" s="408">
        <v>12663.0</v>
      </c>
      <c r="T487" s="51" t="s">
        <v>94</v>
      </c>
      <c r="U487" s="462">
        <v>43677.0</v>
      </c>
      <c r="V487" s="462">
        <v>43630.0</v>
      </c>
      <c r="W487" s="306" t="s">
        <v>1170</v>
      </c>
      <c r="X487" s="306" t="s">
        <v>2745</v>
      </c>
      <c r="Y487" s="462">
        <v>43677.0</v>
      </c>
      <c r="Z487" s="306" t="s">
        <v>2744</v>
      </c>
      <c r="AA487" s="306">
        <v>6.783765446E9</v>
      </c>
      <c r="AB487" s="306"/>
      <c r="AC487" s="306"/>
      <c r="AD487" s="306"/>
      <c r="AE487" s="298"/>
      <c r="AF487" s="298">
        <v>31.325</v>
      </c>
      <c r="AG487" s="299"/>
      <c r="AH487" s="300">
        <v>43654.0</v>
      </c>
      <c r="AI487" s="299" t="s">
        <v>2746</v>
      </c>
      <c r="AJ487" s="299" t="s">
        <v>2747</v>
      </c>
      <c r="AK487" s="298" t="s">
        <v>50</v>
      </c>
      <c r="AL487" s="82" t="s">
        <v>285</v>
      </c>
      <c r="AM487" s="298" t="s">
        <v>51</v>
      </c>
      <c r="AN487" s="298" t="s">
        <v>52</v>
      </c>
      <c r="AO487" s="459" t="s">
        <v>750</v>
      </c>
    </row>
    <row r="488" ht="42.75" customHeight="1">
      <c r="A488" s="69">
        <v>43620.0</v>
      </c>
      <c r="B488" s="70" t="s">
        <v>130</v>
      </c>
      <c r="C488" s="21" t="s">
        <v>1168</v>
      </c>
      <c r="D488" s="21" t="s">
        <v>1169</v>
      </c>
      <c r="E488" s="23" t="s">
        <v>886</v>
      </c>
      <c r="F488" s="24">
        <v>8.0</v>
      </c>
      <c r="G488" s="48">
        <v>4.0</v>
      </c>
      <c r="H488" s="60">
        <f t="shared" si="56"/>
        <v>32</v>
      </c>
      <c r="I488" s="87" t="s">
        <v>248</v>
      </c>
      <c r="J488" s="63" t="s">
        <v>134</v>
      </c>
      <c r="K488" s="29">
        <v>43636.0</v>
      </c>
      <c r="L488" s="29">
        <v>43630.0</v>
      </c>
      <c r="M488" s="50" t="s">
        <v>90</v>
      </c>
      <c r="N488" s="93" t="s">
        <v>2743</v>
      </c>
      <c r="O488" s="408"/>
      <c r="P488" s="408">
        <v>3.0</v>
      </c>
      <c r="Q488" s="408">
        <f t="shared" si="57"/>
        <v>25.2</v>
      </c>
      <c r="R488" s="408"/>
      <c r="S488" s="408">
        <v>789.0</v>
      </c>
      <c r="T488" s="51" t="s">
        <v>94</v>
      </c>
      <c r="U488" s="462">
        <v>43677.0</v>
      </c>
      <c r="V488" s="462">
        <v>43630.0</v>
      </c>
      <c r="W488" s="306" t="s">
        <v>1170</v>
      </c>
      <c r="X488" s="306" t="s">
        <v>2745</v>
      </c>
      <c r="Y488" s="462">
        <v>43677.0</v>
      </c>
      <c r="Z488" s="306" t="s">
        <v>2744</v>
      </c>
      <c r="AA488" s="306">
        <v>6.783765446E9</v>
      </c>
      <c r="AB488" s="306"/>
      <c r="AC488" s="306"/>
      <c r="AD488" s="306"/>
      <c r="AE488" s="298"/>
      <c r="AF488" s="298">
        <v>31.325</v>
      </c>
      <c r="AG488" s="299"/>
      <c r="AH488" s="300">
        <v>43654.0</v>
      </c>
      <c r="AI488" s="299" t="s">
        <v>2746</v>
      </c>
      <c r="AJ488" s="299" t="s">
        <v>2747</v>
      </c>
      <c r="AK488" s="298" t="s">
        <v>50</v>
      </c>
      <c r="AL488" s="82" t="s">
        <v>285</v>
      </c>
      <c r="AM488" s="298" t="s">
        <v>51</v>
      </c>
      <c r="AN488" s="298" t="s">
        <v>52</v>
      </c>
      <c r="AO488" s="459" t="s">
        <v>750</v>
      </c>
    </row>
    <row r="489" ht="42.75" customHeight="1">
      <c r="A489" s="69">
        <v>43620.0</v>
      </c>
      <c r="B489" s="21" t="s">
        <v>130</v>
      </c>
      <c r="C489" s="240" t="s">
        <v>1168</v>
      </c>
      <c r="D489" s="21" t="s">
        <v>1169</v>
      </c>
      <c r="E489" s="32" t="s">
        <v>239</v>
      </c>
      <c r="F489" s="24">
        <v>25.0</v>
      </c>
      <c r="G489" s="48">
        <v>58.0</v>
      </c>
      <c r="H489" s="60">
        <f t="shared" si="56"/>
        <v>1450</v>
      </c>
      <c r="I489" s="87" t="s">
        <v>248</v>
      </c>
      <c r="J489" s="63" t="s">
        <v>134</v>
      </c>
      <c r="K489" s="29">
        <v>43636.0</v>
      </c>
      <c r="L489" s="29">
        <v>43630.0</v>
      </c>
      <c r="M489" s="50" t="s">
        <v>90</v>
      </c>
      <c r="N489" s="93" t="s">
        <v>2743</v>
      </c>
      <c r="O489" s="408"/>
      <c r="P489" s="408">
        <v>52.0</v>
      </c>
      <c r="Q489" s="408">
        <f t="shared" si="57"/>
        <v>1365</v>
      </c>
      <c r="R489" s="408"/>
      <c r="S489" s="408">
        <v>42759.0</v>
      </c>
      <c r="T489" s="51" t="s">
        <v>94</v>
      </c>
      <c r="U489" s="462">
        <v>43677.0</v>
      </c>
      <c r="V489" s="462">
        <v>43630.0</v>
      </c>
      <c r="W489" s="306" t="s">
        <v>1170</v>
      </c>
      <c r="X489" s="306" t="s">
        <v>2745</v>
      </c>
      <c r="Y489" s="462">
        <v>43677.0</v>
      </c>
      <c r="Z489" s="306" t="s">
        <v>2744</v>
      </c>
      <c r="AA489" s="306">
        <v>6.783765446E9</v>
      </c>
      <c r="AB489" s="306"/>
      <c r="AC489" s="306"/>
      <c r="AD489" s="306"/>
      <c r="AE489" s="298"/>
      <c r="AF489" s="298">
        <v>31.325</v>
      </c>
      <c r="AG489" s="299"/>
      <c r="AH489" s="300">
        <v>43654.0</v>
      </c>
      <c r="AI489" s="299" t="s">
        <v>2746</v>
      </c>
      <c r="AJ489" s="299" t="s">
        <v>2747</v>
      </c>
      <c r="AK489" s="298" t="s">
        <v>50</v>
      </c>
      <c r="AL489" s="82" t="s">
        <v>285</v>
      </c>
      <c r="AM489" s="298" t="s">
        <v>51</v>
      </c>
      <c r="AN489" s="298" t="s">
        <v>52</v>
      </c>
      <c r="AO489" s="459" t="s">
        <v>750</v>
      </c>
    </row>
    <row r="490" ht="42.75" customHeight="1">
      <c r="A490" s="69">
        <v>43621.0</v>
      </c>
      <c r="B490" s="70" t="s">
        <v>1112</v>
      </c>
      <c r="C490" s="21"/>
      <c r="D490" s="21" t="s">
        <v>1171</v>
      </c>
      <c r="E490" s="32" t="s">
        <v>1172</v>
      </c>
      <c r="F490" s="24">
        <v>6.0</v>
      </c>
      <c r="G490" s="48">
        <v>3.0</v>
      </c>
      <c r="H490" s="60">
        <f t="shared" si="56"/>
        <v>18</v>
      </c>
      <c r="I490" s="87" t="s">
        <v>248</v>
      </c>
      <c r="J490" s="63" t="s">
        <v>263</v>
      </c>
      <c r="K490" s="30">
        <v>43630.0</v>
      </c>
      <c r="L490" s="613">
        <v>43622.0</v>
      </c>
      <c r="M490" s="653" t="s">
        <v>2748</v>
      </c>
      <c r="N490" s="615" t="s">
        <v>2749</v>
      </c>
      <c r="O490" s="619"/>
      <c r="P490" s="619"/>
      <c r="Q490" s="619">
        <f t="shared" si="57"/>
        <v>0</v>
      </c>
      <c r="R490" s="619">
        <v>50.0</v>
      </c>
      <c r="S490" s="619">
        <f>(R490*F490)*1.05</f>
        <v>315</v>
      </c>
      <c r="T490" s="690" t="s">
        <v>2750</v>
      </c>
      <c r="U490" s="302">
        <v>43622.0</v>
      </c>
      <c r="V490" s="302">
        <v>43621.0</v>
      </c>
      <c r="W490" s="296" t="s">
        <v>1173</v>
      </c>
      <c r="X490" s="296">
        <v>315.0</v>
      </c>
      <c r="Y490" s="302">
        <v>43622.0</v>
      </c>
      <c r="Z490" s="296" t="s">
        <v>2700</v>
      </c>
      <c r="AA490" s="296">
        <v>9.802364946E9</v>
      </c>
      <c r="AB490" s="296"/>
      <c r="AC490" s="296"/>
      <c r="AD490" s="296"/>
      <c r="AE490" s="371"/>
      <c r="AF490" s="371">
        <v>31.325</v>
      </c>
      <c r="AG490" s="372"/>
      <c r="AH490" s="373">
        <v>43626.0</v>
      </c>
      <c r="AI490" s="372" t="s">
        <v>2751</v>
      </c>
      <c r="AJ490" s="372" t="s">
        <v>2752</v>
      </c>
      <c r="AK490" s="371" t="s">
        <v>50</v>
      </c>
      <c r="AL490" s="371" t="s">
        <v>285</v>
      </c>
      <c r="AM490" s="371" t="s">
        <v>51</v>
      </c>
      <c r="AN490" s="371" t="s">
        <v>52</v>
      </c>
      <c r="AO490" s="374" t="s">
        <v>440</v>
      </c>
    </row>
    <row r="491" ht="42.75" customHeight="1">
      <c r="A491" s="69">
        <v>43621.0</v>
      </c>
      <c r="B491" s="70" t="s">
        <v>1112</v>
      </c>
      <c r="C491" s="21"/>
      <c r="D491" s="21" t="s">
        <v>1171</v>
      </c>
      <c r="E491" s="23" t="s">
        <v>1174</v>
      </c>
      <c r="F491" s="24">
        <v>3.0</v>
      </c>
      <c r="G491" s="48">
        <v>152.0</v>
      </c>
      <c r="H491" s="60">
        <f t="shared" si="56"/>
        <v>456</v>
      </c>
      <c r="I491" s="87" t="s">
        <v>248</v>
      </c>
      <c r="J491" s="79" t="s">
        <v>263</v>
      </c>
      <c r="K491" s="30">
        <v>43630.0</v>
      </c>
      <c r="L491" s="613">
        <v>43628.0</v>
      </c>
      <c r="M491" s="614" t="s">
        <v>2078</v>
      </c>
      <c r="N491" s="615" t="s">
        <v>2753</v>
      </c>
      <c r="O491" s="408"/>
      <c r="P491" s="619"/>
      <c r="Q491" s="619">
        <f t="shared" si="57"/>
        <v>0</v>
      </c>
      <c r="R491" s="619">
        <v>4456.0</v>
      </c>
      <c r="S491" s="619">
        <v>14036.0</v>
      </c>
      <c r="T491" s="638" t="s">
        <v>2080</v>
      </c>
      <c r="U491" s="302">
        <v>43708.0</v>
      </c>
      <c r="V491" s="302">
        <v>43627.0</v>
      </c>
      <c r="W491" s="296" t="s">
        <v>1175</v>
      </c>
      <c r="X491" s="296">
        <v>22646.0</v>
      </c>
      <c r="Y491" s="302">
        <v>43710.0</v>
      </c>
      <c r="Z491" s="296" t="s">
        <v>2700</v>
      </c>
      <c r="AA491" s="296">
        <v>9.802364946E9</v>
      </c>
      <c r="AB491" s="296"/>
      <c r="AC491" s="296"/>
      <c r="AD491" s="296"/>
      <c r="AE491" s="371"/>
      <c r="AF491" s="371">
        <v>31.325</v>
      </c>
      <c r="AG491" s="372"/>
      <c r="AH491" s="373">
        <v>43626.0</v>
      </c>
      <c r="AI491" s="372">
        <f>736.63*31.373</f>
        <v>23110.29299</v>
      </c>
      <c r="AJ491" s="372">
        <f>(754-736.63)*31.373</f>
        <v>544.94901</v>
      </c>
      <c r="AK491" s="371" t="s">
        <v>50</v>
      </c>
      <c r="AL491" s="371" t="s">
        <v>285</v>
      </c>
      <c r="AM491" s="371" t="s">
        <v>51</v>
      </c>
      <c r="AN491" s="371" t="s">
        <v>52</v>
      </c>
      <c r="AO491" s="374" t="s">
        <v>440</v>
      </c>
    </row>
    <row r="492" ht="42.75" customHeight="1">
      <c r="A492" s="69">
        <v>43621.0</v>
      </c>
      <c r="B492" s="70" t="s">
        <v>1112</v>
      </c>
      <c r="C492" s="21"/>
      <c r="D492" s="21" t="s">
        <v>1171</v>
      </c>
      <c r="E492" s="23" t="s">
        <v>1176</v>
      </c>
      <c r="F492" s="24">
        <v>1.0</v>
      </c>
      <c r="G492" s="48">
        <v>280.0</v>
      </c>
      <c r="H492" s="60">
        <f t="shared" si="56"/>
        <v>280</v>
      </c>
      <c r="I492" s="87" t="s">
        <v>248</v>
      </c>
      <c r="J492" s="79" t="s">
        <v>263</v>
      </c>
      <c r="K492" s="30">
        <v>43630.0</v>
      </c>
      <c r="L492" s="613">
        <v>43628.0</v>
      </c>
      <c r="M492" s="614" t="s">
        <v>2078</v>
      </c>
      <c r="N492" s="615" t="s">
        <v>2753</v>
      </c>
      <c r="O492" s="408"/>
      <c r="P492" s="619"/>
      <c r="Q492" s="619">
        <f t="shared" si="57"/>
        <v>0</v>
      </c>
      <c r="R492" s="619">
        <v>8200.0</v>
      </c>
      <c r="S492" s="619">
        <f t="shared" ref="S492:S493" si="59">(R492*F492)*1.05</f>
        <v>8610</v>
      </c>
      <c r="T492" s="638" t="s">
        <v>2080</v>
      </c>
      <c r="U492" s="302">
        <v>43708.0</v>
      </c>
      <c r="V492" s="302">
        <v>43627.0</v>
      </c>
      <c r="W492" s="296" t="s">
        <v>1175</v>
      </c>
      <c r="X492" s="296" t="s">
        <v>2754</v>
      </c>
      <c r="Y492" s="302">
        <v>43710.0</v>
      </c>
      <c r="Z492" s="296" t="s">
        <v>2700</v>
      </c>
      <c r="AA492" s="296">
        <v>9.802364946E9</v>
      </c>
      <c r="AB492" s="296"/>
      <c r="AC492" s="296"/>
      <c r="AD492" s="296"/>
      <c r="AE492" s="371"/>
      <c r="AF492" s="371">
        <v>31.325</v>
      </c>
      <c r="AG492" s="372"/>
      <c r="AH492" s="373">
        <v>43626.0</v>
      </c>
      <c r="AI492" s="372" t="s">
        <v>2751</v>
      </c>
      <c r="AJ492" s="372" t="s">
        <v>2752</v>
      </c>
      <c r="AK492" s="371" t="s">
        <v>50</v>
      </c>
      <c r="AL492" s="371" t="s">
        <v>285</v>
      </c>
      <c r="AM492" s="371" t="s">
        <v>51</v>
      </c>
      <c r="AN492" s="371" t="s">
        <v>52</v>
      </c>
      <c r="AO492" s="374" t="s">
        <v>440</v>
      </c>
    </row>
    <row r="493" ht="42.75" customHeight="1">
      <c r="A493" s="69">
        <v>43622.0</v>
      </c>
      <c r="B493" s="70" t="s">
        <v>631</v>
      </c>
      <c r="C493" s="21" t="s">
        <v>1177</v>
      </c>
      <c r="D493" s="21" t="s">
        <v>1178</v>
      </c>
      <c r="E493" s="23" t="s">
        <v>634</v>
      </c>
      <c r="F493" s="24">
        <v>10.0</v>
      </c>
      <c r="G493" s="48">
        <v>173.25</v>
      </c>
      <c r="H493" s="165">
        <f t="shared" si="56"/>
        <v>1732.5</v>
      </c>
      <c r="I493" s="87" t="s">
        <v>248</v>
      </c>
      <c r="J493" s="79" t="s">
        <v>1179</v>
      </c>
      <c r="K493" s="30">
        <v>43627.0</v>
      </c>
      <c r="L493" s="30">
        <v>43626.0</v>
      </c>
      <c r="M493" s="58" t="s">
        <v>2263</v>
      </c>
      <c r="N493" s="93" t="s">
        <v>2755</v>
      </c>
      <c r="O493" s="408"/>
      <c r="P493" s="408"/>
      <c r="Q493" s="408">
        <f t="shared" si="57"/>
        <v>0</v>
      </c>
      <c r="R493" s="408">
        <v>4850.0</v>
      </c>
      <c r="S493" s="408">
        <f t="shared" si="59"/>
        <v>50925</v>
      </c>
      <c r="T493" s="20" t="s">
        <v>2265</v>
      </c>
      <c r="U493" s="462">
        <v>43651.0</v>
      </c>
      <c r="V493" s="462">
        <v>43626.0</v>
      </c>
      <c r="W493" s="306" t="s">
        <v>1180</v>
      </c>
      <c r="X493" s="306">
        <v>50925.0</v>
      </c>
      <c r="Y493" s="462">
        <v>43654.0</v>
      </c>
      <c r="Z493" s="306" t="s">
        <v>2756</v>
      </c>
      <c r="AA493" s="306" t="s">
        <v>2757</v>
      </c>
      <c r="AB493" s="306">
        <v>31.43</v>
      </c>
      <c r="AC493" s="306">
        <v>54452.0</v>
      </c>
      <c r="AD493" s="462">
        <v>43627.0</v>
      </c>
      <c r="AE493" s="298"/>
      <c r="AF493" s="298"/>
      <c r="AG493" s="299"/>
      <c r="AH493" s="300">
        <v>43664.0</v>
      </c>
      <c r="AI493" s="299">
        <v>54452.0</v>
      </c>
      <c r="AJ493" s="299">
        <v>0.0</v>
      </c>
      <c r="AK493" s="298" t="s">
        <v>50</v>
      </c>
      <c r="AL493" s="82" t="s">
        <v>285</v>
      </c>
      <c r="AM493" s="298" t="s">
        <v>51</v>
      </c>
      <c r="AN493" s="298" t="s">
        <v>377</v>
      </c>
      <c r="AO493" s="459" t="s">
        <v>750</v>
      </c>
    </row>
    <row r="494" ht="42.75" customHeight="1">
      <c r="A494" s="69">
        <v>43622.0</v>
      </c>
      <c r="B494" s="21" t="s">
        <v>1181</v>
      </c>
      <c r="C494" s="21"/>
      <c r="D494" s="21" t="s">
        <v>1182</v>
      </c>
      <c r="E494" s="23" t="s">
        <v>1183</v>
      </c>
      <c r="F494" s="24">
        <v>6.0</v>
      </c>
      <c r="G494" s="48">
        <v>101.0</v>
      </c>
      <c r="H494" s="60">
        <f t="shared" si="56"/>
        <v>606</v>
      </c>
      <c r="I494" s="87" t="s">
        <v>248</v>
      </c>
      <c r="J494" s="50" t="s">
        <v>1184</v>
      </c>
      <c r="K494" s="30">
        <v>43658.0</v>
      </c>
      <c r="L494" s="300">
        <v>43649.0</v>
      </c>
      <c r="M494" s="50" t="s">
        <v>90</v>
      </c>
      <c r="N494" s="32" t="s">
        <v>2758</v>
      </c>
      <c r="O494" s="408"/>
      <c r="P494" s="408">
        <v>89.0</v>
      </c>
      <c r="Q494" s="408">
        <f t="shared" si="57"/>
        <v>560.7</v>
      </c>
      <c r="R494" s="408"/>
      <c r="S494" s="408">
        <v>0.0</v>
      </c>
      <c r="T494" s="51" t="s">
        <v>94</v>
      </c>
      <c r="U494" s="462">
        <v>43708.0</v>
      </c>
      <c r="V494" s="462">
        <v>43648.0</v>
      </c>
      <c r="W494" s="306" t="s">
        <v>1185</v>
      </c>
      <c r="X494" s="306">
        <v>17396.0</v>
      </c>
      <c r="Y494" s="462">
        <v>43706.0</v>
      </c>
      <c r="Z494" s="306" t="s">
        <v>2759</v>
      </c>
      <c r="AA494" s="306">
        <v>5.0080012925E10</v>
      </c>
      <c r="AB494" s="306"/>
      <c r="AC494" s="306"/>
      <c r="AD494" s="306"/>
      <c r="AE494" s="298"/>
      <c r="AF494" s="298"/>
      <c r="AG494" s="299"/>
      <c r="AH494" s="300">
        <v>43656.0</v>
      </c>
      <c r="AI494" s="299">
        <f>617.56*31.08</f>
        <v>19193.7648</v>
      </c>
      <c r="AJ494" s="299">
        <f>28.44*31.08</f>
        <v>883.9152</v>
      </c>
      <c r="AK494" s="298" t="s">
        <v>50</v>
      </c>
      <c r="AL494" s="82" t="s">
        <v>285</v>
      </c>
      <c r="AM494" s="298" t="s">
        <v>51</v>
      </c>
      <c r="AN494" s="298" t="s">
        <v>52</v>
      </c>
      <c r="AO494" s="459" t="s">
        <v>750</v>
      </c>
    </row>
    <row r="495" ht="42.75" customHeight="1">
      <c r="A495" s="69">
        <v>43622.0</v>
      </c>
      <c r="B495" s="21" t="s">
        <v>1181</v>
      </c>
      <c r="C495" s="21"/>
      <c r="D495" s="21" t="s">
        <v>1182</v>
      </c>
      <c r="E495" s="32" t="s">
        <v>842</v>
      </c>
      <c r="F495" s="24">
        <v>1.0</v>
      </c>
      <c r="G495" s="48">
        <v>40.0</v>
      </c>
      <c r="H495" s="60">
        <f t="shared" si="56"/>
        <v>40</v>
      </c>
      <c r="I495" s="87" t="s">
        <v>248</v>
      </c>
      <c r="J495" s="50" t="s">
        <v>1184</v>
      </c>
      <c r="K495" s="30">
        <v>43658.0</v>
      </c>
      <c r="L495" s="43"/>
      <c r="M495" s="63" t="s">
        <v>220</v>
      </c>
      <c r="N495" s="93"/>
      <c r="O495" s="34"/>
      <c r="P495" s="34"/>
      <c r="Q495" s="34"/>
      <c r="R495" s="34">
        <v>0.0</v>
      </c>
      <c r="S495" s="34">
        <v>0.0</v>
      </c>
      <c r="T495" s="51"/>
      <c r="U495" s="52"/>
      <c r="V495" s="53"/>
      <c r="W495" s="53"/>
      <c r="X495" s="53"/>
      <c r="Y495" s="53"/>
      <c r="Z495" s="53" t="s">
        <v>2759</v>
      </c>
      <c r="AA495" s="53">
        <v>5.0080012925E10</v>
      </c>
      <c r="AB495" s="53"/>
      <c r="AC495" s="53"/>
      <c r="AD495" s="53"/>
      <c r="AE495" s="54"/>
      <c r="AF495" s="54"/>
      <c r="AG495" s="55"/>
      <c r="AH495" s="56">
        <v>43656.0</v>
      </c>
      <c r="AI495" s="55" t="s">
        <v>2760</v>
      </c>
      <c r="AJ495" s="55" t="s">
        <v>2761</v>
      </c>
      <c r="AK495" s="54" t="s">
        <v>50</v>
      </c>
      <c r="AL495" s="24" t="s">
        <v>285</v>
      </c>
      <c r="AM495" s="54" t="s">
        <v>51</v>
      </c>
      <c r="AN495" s="54" t="s">
        <v>52</v>
      </c>
      <c r="AO495" s="57"/>
    </row>
    <row r="496" ht="42.75" customHeight="1">
      <c r="A496" s="69">
        <v>43622.0</v>
      </c>
      <c r="B496" s="70" t="s">
        <v>119</v>
      </c>
      <c r="C496" s="21" t="s">
        <v>1186</v>
      </c>
      <c r="D496" s="21" t="s">
        <v>1187</v>
      </c>
      <c r="E496" s="32" t="s">
        <v>165</v>
      </c>
      <c r="F496" s="24">
        <v>100.0</v>
      </c>
      <c r="G496" s="48">
        <v>105.0</v>
      </c>
      <c r="H496" s="60">
        <f t="shared" si="56"/>
        <v>10500</v>
      </c>
      <c r="I496" s="87" t="s">
        <v>248</v>
      </c>
      <c r="J496" s="82" t="s">
        <v>122</v>
      </c>
      <c r="K496" s="30">
        <v>43669.0</v>
      </c>
      <c r="L496" s="29">
        <v>43634.0</v>
      </c>
      <c r="M496" s="50" t="s">
        <v>90</v>
      </c>
      <c r="N496" s="93" t="s">
        <v>2762</v>
      </c>
      <c r="O496" s="408"/>
      <c r="P496" s="408">
        <v>82.0</v>
      </c>
      <c r="Q496" s="408">
        <f t="shared" ref="Q496:Q543" si="60">(P496*F496)*1.05</f>
        <v>8610</v>
      </c>
      <c r="R496" s="408"/>
      <c r="S496" s="408">
        <v>269708.0</v>
      </c>
      <c r="T496" s="35" t="s">
        <v>94</v>
      </c>
      <c r="U496" s="462">
        <v>43677.0</v>
      </c>
      <c r="V496" s="462">
        <v>43634.0</v>
      </c>
      <c r="W496" s="306" t="s">
        <v>1188</v>
      </c>
      <c r="X496" s="306">
        <v>269708.0</v>
      </c>
      <c r="Y496" s="462">
        <v>43677.0</v>
      </c>
      <c r="Z496" s="306" t="s">
        <v>2725</v>
      </c>
      <c r="AA496" s="306">
        <v>2.3244885886E10</v>
      </c>
      <c r="AB496" s="306"/>
      <c r="AC496" s="306"/>
      <c r="AD496" s="306"/>
      <c r="AE496" s="298"/>
      <c r="AF496" s="298"/>
      <c r="AG496" s="299"/>
      <c r="AH496" s="300">
        <v>43770.0</v>
      </c>
      <c r="AI496" s="299">
        <f>10483.43*30.44</f>
        <v>319115.6092</v>
      </c>
      <c r="AJ496" s="299">
        <f>(10500-10483.43)*30.44</f>
        <v>504.3908</v>
      </c>
      <c r="AK496" s="298" t="s">
        <v>50</v>
      </c>
      <c r="AL496" s="298" t="s">
        <v>285</v>
      </c>
      <c r="AM496" s="298" t="s">
        <v>51</v>
      </c>
      <c r="AN496" s="298" t="s">
        <v>52</v>
      </c>
      <c r="AO496" s="234" t="s">
        <v>507</v>
      </c>
    </row>
    <row r="497" ht="42.75" customHeight="1">
      <c r="A497" s="69">
        <v>43622.0</v>
      </c>
      <c r="B497" s="144" t="s">
        <v>77</v>
      </c>
      <c r="C497" s="21">
        <v>425.0</v>
      </c>
      <c r="D497" s="21" t="s">
        <v>1189</v>
      </c>
      <c r="E497" s="32" t="s">
        <v>644</v>
      </c>
      <c r="F497" s="24">
        <v>2.0</v>
      </c>
      <c r="G497" s="48">
        <v>200.0</v>
      </c>
      <c r="H497" s="26">
        <f t="shared" si="56"/>
        <v>400</v>
      </c>
      <c r="I497" s="87" t="s">
        <v>43</v>
      </c>
      <c r="J497" s="58" t="s">
        <v>316</v>
      </c>
      <c r="K497" s="29">
        <v>43643.0</v>
      </c>
      <c r="L497" s="29">
        <v>43640.0</v>
      </c>
      <c r="M497" s="50" t="s">
        <v>1537</v>
      </c>
      <c r="N497" s="93" t="s">
        <v>2763</v>
      </c>
      <c r="O497" s="408"/>
      <c r="P497" s="408"/>
      <c r="Q497" s="408">
        <f t="shared" si="60"/>
        <v>0</v>
      </c>
      <c r="R497" s="408">
        <v>4788.0</v>
      </c>
      <c r="S497" s="655">
        <f t="shared" ref="S497:S498" si="61">(R497*F497)*1.05</f>
        <v>10054.8</v>
      </c>
      <c r="T497" s="70" t="s">
        <v>2148</v>
      </c>
      <c r="U497" s="462">
        <v>43651.0</v>
      </c>
      <c r="V497" s="462">
        <v>43636.0</v>
      </c>
      <c r="W497" s="306" t="s">
        <v>1190</v>
      </c>
      <c r="X497" s="306">
        <v>10055.0</v>
      </c>
      <c r="Y497" s="462">
        <v>43656.0</v>
      </c>
      <c r="Z497" s="306" t="s">
        <v>2764</v>
      </c>
      <c r="AA497" s="306">
        <v>1.14576745E8</v>
      </c>
      <c r="AB497" s="306"/>
      <c r="AC497" s="306"/>
      <c r="AD497" s="306"/>
      <c r="AE497" s="298"/>
      <c r="AF497" s="298"/>
      <c r="AG497" s="299"/>
      <c r="AH497" s="300">
        <v>43679.0</v>
      </c>
      <c r="AI497" s="299" t="s">
        <v>2765</v>
      </c>
      <c r="AJ497" s="299" t="s">
        <v>2766</v>
      </c>
      <c r="AK497" s="298" t="s">
        <v>50</v>
      </c>
      <c r="AL497" s="298" t="s">
        <v>285</v>
      </c>
      <c r="AM497" s="298" t="s">
        <v>286</v>
      </c>
      <c r="AN497" s="298" t="s">
        <v>52</v>
      </c>
      <c r="AO497" s="234" t="s">
        <v>507</v>
      </c>
    </row>
    <row r="498" ht="42.75" customHeight="1">
      <c r="A498" s="69">
        <v>43622.0</v>
      </c>
      <c r="B498" s="147" t="s">
        <v>77</v>
      </c>
      <c r="C498" s="21">
        <v>425.0</v>
      </c>
      <c r="D498" s="21" t="s">
        <v>1189</v>
      </c>
      <c r="E498" s="32" t="s">
        <v>650</v>
      </c>
      <c r="F498" s="24">
        <v>2.0</v>
      </c>
      <c r="G498" s="48">
        <v>2.0</v>
      </c>
      <c r="H498" s="26">
        <f t="shared" si="56"/>
        <v>4</v>
      </c>
      <c r="I498" s="87" t="s">
        <v>43</v>
      </c>
      <c r="J498" s="58" t="s">
        <v>316</v>
      </c>
      <c r="K498" s="29">
        <v>43643.0</v>
      </c>
      <c r="L498" s="691">
        <v>43640.0</v>
      </c>
      <c r="M498" s="50" t="s">
        <v>179</v>
      </c>
      <c r="N498" s="93"/>
      <c r="O498" s="408"/>
      <c r="P498" s="408"/>
      <c r="Q498" s="408">
        <f t="shared" si="60"/>
        <v>0</v>
      </c>
      <c r="R498" s="408">
        <v>24.0</v>
      </c>
      <c r="S498" s="408">
        <f t="shared" si="61"/>
        <v>50.4</v>
      </c>
      <c r="T498" s="417"/>
      <c r="U498" s="306"/>
      <c r="V498" s="306"/>
      <c r="W498" s="306"/>
      <c r="X498" s="306"/>
      <c r="Y498" s="306"/>
      <c r="Z498" s="306" t="s">
        <v>2764</v>
      </c>
      <c r="AA498" s="306">
        <v>1.14576745E8</v>
      </c>
      <c r="AB498" s="306"/>
      <c r="AC498" s="306"/>
      <c r="AD498" s="306"/>
      <c r="AE498" s="298"/>
      <c r="AF498" s="298"/>
      <c r="AG498" s="299"/>
      <c r="AH498" s="300">
        <v>43679.0</v>
      </c>
      <c r="AI498" s="299">
        <f>541*31.29</f>
        <v>16927.89</v>
      </c>
      <c r="AJ498" s="299">
        <v>0.0</v>
      </c>
      <c r="AK498" s="298" t="s">
        <v>50</v>
      </c>
      <c r="AL498" s="298" t="s">
        <v>285</v>
      </c>
      <c r="AM498" s="298" t="s">
        <v>286</v>
      </c>
      <c r="AN498" s="298" t="s">
        <v>52</v>
      </c>
      <c r="AO498" s="234" t="s">
        <v>507</v>
      </c>
    </row>
    <row r="499" ht="42.75" customHeight="1">
      <c r="A499" s="69">
        <v>43622.0</v>
      </c>
      <c r="B499" s="144" t="s">
        <v>77</v>
      </c>
      <c r="C499" s="21">
        <v>425.0</v>
      </c>
      <c r="D499" s="21" t="s">
        <v>1189</v>
      </c>
      <c r="E499" s="32" t="s">
        <v>651</v>
      </c>
      <c r="F499" s="24">
        <v>2.0</v>
      </c>
      <c r="G499" s="48">
        <v>6.0</v>
      </c>
      <c r="H499" s="26">
        <f t="shared" si="56"/>
        <v>12</v>
      </c>
      <c r="I499" s="87" t="s">
        <v>43</v>
      </c>
      <c r="J499" s="58" t="s">
        <v>316</v>
      </c>
      <c r="K499" s="29">
        <v>43643.0</v>
      </c>
      <c r="L499" s="691">
        <v>43640.0</v>
      </c>
      <c r="M499" s="50" t="s">
        <v>179</v>
      </c>
      <c r="N499" s="93"/>
      <c r="O499" s="408"/>
      <c r="P499" s="408"/>
      <c r="Q499" s="408">
        <f t="shared" si="60"/>
        <v>0</v>
      </c>
      <c r="R499" s="513">
        <v>28.0</v>
      </c>
      <c r="S499" s="645">
        <v>58.8</v>
      </c>
      <c r="T499" s="503"/>
      <c r="U499" s="306"/>
      <c r="V499" s="306"/>
      <c r="W499" s="306"/>
      <c r="X499" s="306"/>
      <c r="Y499" s="306"/>
      <c r="Z499" s="306" t="s">
        <v>2764</v>
      </c>
      <c r="AA499" s="306">
        <v>1.14576745E8</v>
      </c>
      <c r="AB499" s="306"/>
      <c r="AC499" s="306"/>
      <c r="AD499" s="306"/>
      <c r="AE499" s="298"/>
      <c r="AF499" s="298"/>
      <c r="AG499" s="299"/>
      <c r="AH499" s="300">
        <v>43679.0</v>
      </c>
      <c r="AI499" s="299" t="s">
        <v>2765</v>
      </c>
      <c r="AJ499" s="299" t="s">
        <v>2766</v>
      </c>
      <c r="AK499" s="298" t="s">
        <v>50</v>
      </c>
      <c r="AL499" s="298" t="s">
        <v>285</v>
      </c>
      <c r="AM499" s="298" t="s">
        <v>286</v>
      </c>
      <c r="AN499" s="298" t="s">
        <v>52</v>
      </c>
      <c r="AO499" s="234" t="s">
        <v>507</v>
      </c>
    </row>
    <row r="500" ht="42.75" customHeight="1">
      <c r="A500" s="69">
        <v>43622.0</v>
      </c>
      <c r="B500" s="144" t="s">
        <v>77</v>
      </c>
      <c r="C500" s="21">
        <v>425.0</v>
      </c>
      <c r="D500" s="21" t="s">
        <v>1189</v>
      </c>
      <c r="E500" s="32" t="s">
        <v>646</v>
      </c>
      <c r="F500" s="24">
        <v>2.0</v>
      </c>
      <c r="G500" s="48">
        <v>0.0</v>
      </c>
      <c r="H500" s="26">
        <f t="shared" si="56"/>
        <v>0</v>
      </c>
      <c r="I500" s="87" t="s">
        <v>43</v>
      </c>
      <c r="J500" s="58" t="s">
        <v>316</v>
      </c>
      <c r="K500" s="29">
        <v>43643.0</v>
      </c>
      <c r="L500" s="29">
        <v>43640.0</v>
      </c>
      <c r="M500" s="50" t="s">
        <v>1537</v>
      </c>
      <c r="N500" s="93" t="s">
        <v>2763</v>
      </c>
      <c r="O500" s="408"/>
      <c r="P500" s="408"/>
      <c r="Q500" s="408">
        <f t="shared" si="60"/>
        <v>0</v>
      </c>
      <c r="R500" s="408" t="s">
        <v>2767</v>
      </c>
      <c r="S500" s="408" t="str">
        <f t="shared" ref="S500:S504" si="62">(R500*F500)*1.05</f>
        <v>#VALUE!</v>
      </c>
      <c r="T500" s="70" t="s">
        <v>2148</v>
      </c>
      <c r="U500" s="306"/>
      <c r="V500" s="306"/>
      <c r="W500" s="306"/>
      <c r="X500" s="306"/>
      <c r="Y500" s="306"/>
      <c r="Z500" s="306" t="s">
        <v>2764</v>
      </c>
      <c r="AA500" s="306">
        <v>1.14576745E8</v>
      </c>
      <c r="AB500" s="306"/>
      <c r="AC500" s="306"/>
      <c r="AD500" s="306"/>
      <c r="AE500" s="298"/>
      <c r="AF500" s="298"/>
      <c r="AG500" s="299"/>
      <c r="AH500" s="300">
        <v>43679.0</v>
      </c>
      <c r="AI500" s="299" t="s">
        <v>2765</v>
      </c>
      <c r="AJ500" s="299" t="s">
        <v>2766</v>
      </c>
      <c r="AK500" s="298" t="s">
        <v>50</v>
      </c>
      <c r="AL500" s="298" t="s">
        <v>285</v>
      </c>
      <c r="AM500" s="298" t="s">
        <v>286</v>
      </c>
      <c r="AN500" s="298" t="s">
        <v>52</v>
      </c>
      <c r="AO500" s="234" t="s">
        <v>507</v>
      </c>
    </row>
    <row r="501" ht="42.75" customHeight="1">
      <c r="A501" s="69">
        <v>43622.0</v>
      </c>
      <c r="B501" s="144" t="s">
        <v>77</v>
      </c>
      <c r="C501" s="21">
        <v>425.0</v>
      </c>
      <c r="D501" s="21" t="s">
        <v>1189</v>
      </c>
      <c r="E501" s="23" t="s">
        <v>647</v>
      </c>
      <c r="F501" s="24">
        <v>2.0</v>
      </c>
      <c r="G501" s="48">
        <v>0.0</v>
      </c>
      <c r="H501" s="26">
        <f t="shared" si="56"/>
        <v>0</v>
      </c>
      <c r="I501" s="61" t="s">
        <v>43</v>
      </c>
      <c r="J501" s="58" t="s">
        <v>316</v>
      </c>
      <c r="K501" s="29">
        <v>43643.0</v>
      </c>
      <c r="L501" s="29">
        <v>43640.0</v>
      </c>
      <c r="M501" s="50" t="s">
        <v>1537</v>
      </c>
      <c r="N501" s="93" t="s">
        <v>2763</v>
      </c>
      <c r="O501" s="408"/>
      <c r="P501" s="408"/>
      <c r="Q501" s="408">
        <f t="shared" si="60"/>
        <v>0</v>
      </c>
      <c r="R501" s="408" t="s">
        <v>2767</v>
      </c>
      <c r="S501" s="408" t="str">
        <f t="shared" si="62"/>
        <v>#VALUE!</v>
      </c>
      <c r="T501" s="21" t="s">
        <v>2148</v>
      </c>
      <c r="U501" s="306"/>
      <c r="V501" s="306"/>
      <c r="W501" s="306"/>
      <c r="X501" s="306"/>
      <c r="Y501" s="306"/>
      <c r="Z501" s="306" t="s">
        <v>2764</v>
      </c>
      <c r="AA501" s="306">
        <v>1.14576745E8</v>
      </c>
      <c r="AB501" s="306"/>
      <c r="AC501" s="306"/>
      <c r="AD501" s="306"/>
      <c r="AE501" s="298"/>
      <c r="AF501" s="298"/>
      <c r="AG501" s="299"/>
      <c r="AH501" s="300">
        <v>43679.0</v>
      </c>
      <c r="AI501" s="299" t="s">
        <v>2765</v>
      </c>
      <c r="AJ501" s="299" t="s">
        <v>2766</v>
      </c>
      <c r="AK501" s="298" t="s">
        <v>50</v>
      </c>
      <c r="AL501" s="298" t="s">
        <v>285</v>
      </c>
      <c r="AM501" s="298" t="s">
        <v>286</v>
      </c>
      <c r="AN501" s="298" t="s">
        <v>52</v>
      </c>
      <c r="AO501" s="234" t="s">
        <v>507</v>
      </c>
    </row>
    <row r="502" ht="42.75" customHeight="1">
      <c r="A502" s="69">
        <v>43622.0</v>
      </c>
      <c r="B502" s="144" t="s">
        <v>77</v>
      </c>
      <c r="C502" s="21">
        <v>425.0</v>
      </c>
      <c r="D502" s="21" t="s">
        <v>1189</v>
      </c>
      <c r="E502" s="23" t="s">
        <v>648</v>
      </c>
      <c r="F502" s="24">
        <v>2.0</v>
      </c>
      <c r="G502" s="48">
        <v>0.0</v>
      </c>
      <c r="H502" s="26">
        <f t="shared" si="56"/>
        <v>0</v>
      </c>
      <c r="I502" s="61" t="s">
        <v>43</v>
      </c>
      <c r="J502" s="58" t="s">
        <v>316</v>
      </c>
      <c r="K502" s="29">
        <v>43643.0</v>
      </c>
      <c r="L502" s="29">
        <v>43640.0</v>
      </c>
      <c r="M502" s="50" t="s">
        <v>1537</v>
      </c>
      <c r="N502" s="93" t="s">
        <v>2763</v>
      </c>
      <c r="O502" s="408"/>
      <c r="P502" s="408"/>
      <c r="Q502" s="408">
        <f t="shared" si="60"/>
        <v>0</v>
      </c>
      <c r="R502" s="408" t="s">
        <v>2767</v>
      </c>
      <c r="S502" s="408" t="str">
        <f t="shared" si="62"/>
        <v>#VALUE!</v>
      </c>
      <c r="T502" s="21" t="s">
        <v>2148</v>
      </c>
      <c r="U502" s="306"/>
      <c r="V502" s="306"/>
      <c r="W502" s="306"/>
      <c r="X502" s="306"/>
      <c r="Y502" s="306"/>
      <c r="Z502" s="306" t="s">
        <v>2764</v>
      </c>
      <c r="AA502" s="306">
        <v>1.14576745E8</v>
      </c>
      <c r="AB502" s="306"/>
      <c r="AC502" s="306"/>
      <c r="AD502" s="306"/>
      <c r="AE502" s="298"/>
      <c r="AF502" s="298"/>
      <c r="AG502" s="299"/>
      <c r="AH502" s="300">
        <v>43679.0</v>
      </c>
      <c r="AI502" s="299" t="s">
        <v>2765</v>
      </c>
      <c r="AJ502" s="299" t="s">
        <v>2766</v>
      </c>
      <c r="AK502" s="298" t="s">
        <v>50</v>
      </c>
      <c r="AL502" s="298" t="s">
        <v>285</v>
      </c>
      <c r="AM502" s="298" t="s">
        <v>286</v>
      </c>
      <c r="AN502" s="298" t="s">
        <v>52</v>
      </c>
      <c r="AO502" s="234" t="s">
        <v>507</v>
      </c>
    </row>
    <row r="503" ht="42.75" customHeight="1">
      <c r="A503" s="69">
        <v>43622.0</v>
      </c>
      <c r="B503" s="144" t="s">
        <v>77</v>
      </c>
      <c r="C503" s="21">
        <v>425.0</v>
      </c>
      <c r="D503" s="21" t="s">
        <v>1189</v>
      </c>
      <c r="E503" s="23" t="s">
        <v>649</v>
      </c>
      <c r="F503" s="24">
        <v>2.0</v>
      </c>
      <c r="G503" s="48">
        <v>0.0</v>
      </c>
      <c r="H503" s="26">
        <f t="shared" si="56"/>
        <v>0</v>
      </c>
      <c r="I503" s="61" t="s">
        <v>43</v>
      </c>
      <c r="J503" s="58" t="s">
        <v>316</v>
      </c>
      <c r="K503" s="29">
        <v>43643.0</v>
      </c>
      <c r="L503" s="29">
        <v>43640.0</v>
      </c>
      <c r="M503" s="50" t="s">
        <v>1537</v>
      </c>
      <c r="N503" s="93" t="s">
        <v>2763</v>
      </c>
      <c r="O503" s="408"/>
      <c r="P503" s="408"/>
      <c r="Q503" s="408">
        <f t="shared" si="60"/>
        <v>0</v>
      </c>
      <c r="R503" s="408" t="s">
        <v>2767</v>
      </c>
      <c r="S503" s="408" t="str">
        <f t="shared" si="62"/>
        <v>#VALUE!</v>
      </c>
      <c r="T503" s="21" t="s">
        <v>2148</v>
      </c>
      <c r="U503" s="306"/>
      <c r="V503" s="306"/>
      <c r="W503" s="306"/>
      <c r="X503" s="306"/>
      <c r="Y503" s="306"/>
      <c r="Z503" s="306" t="s">
        <v>2764</v>
      </c>
      <c r="AA503" s="306">
        <v>1.14576745E8</v>
      </c>
      <c r="AB503" s="306"/>
      <c r="AC503" s="306"/>
      <c r="AD503" s="306"/>
      <c r="AE503" s="298"/>
      <c r="AF503" s="298"/>
      <c r="AG503" s="299"/>
      <c r="AH503" s="300">
        <v>43679.0</v>
      </c>
      <c r="AI503" s="299" t="s">
        <v>2765</v>
      </c>
      <c r="AJ503" s="299" t="s">
        <v>2766</v>
      </c>
      <c r="AK503" s="298" t="s">
        <v>50</v>
      </c>
      <c r="AL503" s="298" t="s">
        <v>285</v>
      </c>
      <c r="AM503" s="298" t="s">
        <v>286</v>
      </c>
      <c r="AN503" s="298" t="s">
        <v>52</v>
      </c>
      <c r="AO503" s="234" t="s">
        <v>507</v>
      </c>
    </row>
    <row r="504" ht="42.75" customHeight="1">
      <c r="A504" s="69">
        <v>43622.0</v>
      </c>
      <c r="B504" s="144" t="s">
        <v>77</v>
      </c>
      <c r="C504" s="21">
        <v>425.0</v>
      </c>
      <c r="D504" s="21" t="s">
        <v>1189</v>
      </c>
      <c r="E504" s="23" t="s">
        <v>652</v>
      </c>
      <c r="F504" s="24">
        <v>2.0</v>
      </c>
      <c r="G504" s="48">
        <v>0.0</v>
      </c>
      <c r="H504" s="26">
        <f t="shared" si="56"/>
        <v>0</v>
      </c>
      <c r="I504" s="61" t="s">
        <v>43</v>
      </c>
      <c r="J504" s="58" t="s">
        <v>316</v>
      </c>
      <c r="K504" s="29">
        <v>43643.0</v>
      </c>
      <c r="L504" s="691">
        <v>43640.0</v>
      </c>
      <c r="M504" s="50" t="s">
        <v>179</v>
      </c>
      <c r="N504" s="93"/>
      <c r="O504" s="408"/>
      <c r="P504" s="408"/>
      <c r="Q504" s="408">
        <f t="shared" si="60"/>
        <v>0</v>
      </c>
      <c r="R504" s="408">
        <v>92.0</v>
      </c>
      <c r="S504" s="408">
        <f t="shared" si="62"/>
        <v>193.2</v>
      </c>
      <c r="T504" s="408"/>
      <c r="U504" s="306"/>
      <c r="V504" s="306"/>
      <c r="W504" s="306"/>
      <c r="X504" s="306"/>
      <c r="Y504" s="306"/>
      <c r="Z504" s="306" t="s">
        <v>2764</v>
      </c>
      <c r="AA504" s="306">
        <v>1.14576745E8</v>
      </c>
      <c r="AB504" s="306"/>
      <c r="AC504" s="306"/>
      <c r="AD504" s="306"/>
      <c r="AE504" s="298"/>
      <c r="AF504" s="298"/>
      <c r="AG504" s="299"/>
      <c r="AH504" s="300">
        <v>43679.0</v>
      </c>
      <c r="AI504" s="299" t="s">
        <v>2765</v>
      </c>
      <c r="AJ504" s="299" t="s">
        <v>2766</v>
      </c>
      <c r="AK504" s="298" t="s">
        <v>50</v>
      </c>
      <c r="AL504" s="298" t="s">
        <v>285</v>
      </c>
      <c r="AM504" s="298" t="s">
        <v>286</v>
      </c>
      <c r="AN504" s="298" t="s">
        <v>52</v>
      </c>
      <c r="AO504" s="234" t="s">
        <v>507</v>
      </c>
    </row>
    <row r="505" ht="42.75" customHeight="1">
      <c r="A505" s="69">
        <v>43623.0</v>
      </c>
      <c r="B505" s="23" t="s">
        <v>406</v>
      </c>
      <c r="C505" s="21">
        <v>7.000147891E9</v>
      </c>
      <c r="D505" s="21" t="s">
        <v>1191</v>
      </c>
      <c r="E505" s="23" t="s">
        <v>558</v>
      </c>
      <c r="F505" s="24">
        <v>3.0</v>
      </c>
      <c r="G505" s="48">
        <v>148.0</v>
      </c>
      <c r="H505" s="26">
        <f t="shared" si="56"/>
        <v>444</v>
      </c>
      <c r="I505" s="61" t="s">
        <v>43</v>
      </c>
      <c r="J505" s="50" t="s">
        <v>513</v>
      </c>
      <c r="K505" s="29">
        <v>43629.0</v>
      </c>
      <c r="L505" s="29">
        <v>43628.0</v>
      </c>
      <c r="M505" s="58" t="s">
        <v>2078</v>
      </c>
      <c r="N505" s="93" t="s">
        <v>2768</v>
      </c>
      <c r="O505" s="408"/>
      <c r="P505" s="408"/>
      <c r="Q505" s="408">
        <f t="shared" si="60"/>
        <v>0</v>
      </c>
      <c r="R505" s="408">
        <v>4385.0</v>
      </c>
      <c r="S505" s="408">
        <v>13813.0</v>
      </c>
      <c r="T505" s="22" t="s">
        <v>2080</v>
      </c>
      <c r="U505" s="462">
        <v>43708.0</v>
      </c>
      <c r="V505" s="462">
        <v>43627.0</v>
      </c>
      <c r="W505" s="306" t="s">
        <v>1192</v>
      </c>
      <c r="X505" s="306">
        <v>13813.0</v>
      </c>
      <c r="Y505" s="462">
        <v>43710.0</v>
      </c>
      <c r="Z505" s="306" t="s">
        <v>2769</v>
      </c>
      <c r="AA505" s="306">
        <v>3.21702542E9</v>
      </c>
      <c r="AB505" s="306"/>
      <c r="AC505" s="306"/>
      <c r="AD505" s="306"/>
      <c r="AE505" s="298"/>
      <c r="AF505" s="298">
        <v>31.325</v>
      </c>
      <c r="AG505" s="299"/>
      <c r="AH505" s="300">
        <v>43677.0</v>
      </c>
      <c r="AI505" s="299"/>
      <c r="AJ505" s="299"/>
      <c r="AK505" s="298" t="s">
        <v>50</v>
      </c>
      <c r="AL505" s="298" t="s">
        <v>285</v>
      </c>
      <c r="AM505" s="298" t="s">
        <v>51</v>
      </c>
      <c r="AN505" s="298" t="s">
        <v>52</v>
      </c>
      <c r="AO505" s="234" t="s">
        <v>507</v>
      </c>
    </row>
    <row r="506" ht="42.75" customHeight="1">
      <c r="A506" s="69">
        <v>43625.0</v>
      </c>
      <c r="B506" s="23" t="s">
        <v>406</v>
      </c>
      <c r="C506" s="21">
        <v>7.000147924E9</v>
      </c>
      <c r="D506" s="21" t="s">
        <v>1193</v>
      </c>
      <c r="E506" s="23" t="s">
        <v>807</v>
      </c>
      <c r="F506" s="24">
        <v>1.0</v>
      </c>
      <c r="G506" s="48">
        <v>565.0</v>
      </c>
      <c r="H506" s="60">
        <f t="shared" si="56"/>
        <v>565</v>
      </c>
      <c r="I506" s="61" t="s">
        <v>43</v>
      </c>
      <c r="J506" s="50" t="s">
        <v>513</v>
      </c>
      <c r="K506" s="29">
        <v>43636.0</v>
      </c>
      <c r="L506" s="30">
        <v>43634.0</v>
      </c>
      <c r="M506" s="58" t="s">
        <v>2078</v>
      </c>
      <c r="N506" s="93" t="s">
        <v>2770</v>
      </c>
      <c r="O506" s="408"/>
      <c r="P506" s="408"/>
      <c r="Q506" s="408">
        <f t="shared" si="60"/>
        <v>0</v>
      </c>
      <c r="R506" s="408">
        <v>15071.0</v>
      </c>
      <c r="S506" s="408">
        <v>15825.0</v>
      </c>
      <c r="T506" s="22" t="s">
        <v>2080</v>
      </c>
      <c r="U506" s="462">
        <v>43708.0</v>
      </c>
      <c r="V506" s="462">
        <v>43630.0</v>
      </c>
      <c r="W506" s="306" t="s">
        <v>1194</v>
      </c>
      <c r="X506" s="306">
        <v>15825.0</v>
      </c>
      <c r="Y506" s="462">
        <v>43710.0</v>
      </c>
      <c r="Z506" s="306" t="s">
        <v>2771</v>
      </c>
      <c r="AA506" s="306">
        <v>7.760071314E9</v>
      </c>
      <c r="AB506" s="306"/>
      <c r="AC506" s="306"/>
      <c r="AD506" s="306"/>
      <c r="AE506" s="298"/>
      <c r="AF506" s="298">
        <v>31.325</v>
      </c>
      <c r="AG506" s="299"/>
      <c r="AH506" s="300">
        <v>43677.0</v>
      </c>
      <c r="AI506" s="299"/>
      <c r="AJ506" s="299"/>
      <c r="AK506" s="298" t="s">
        <v>50</v>
      </c>
      <c r="AL506" s="298" t="s">
        <v>285</v>
      </c>
      <c r="AM506" s="298" t="s">
        <v>51</v>
      </c>
      <c r="AN506" s="298" t="s">
        <v>52</v>
      </c>
      <c r="AO506" s="234" t="s">
        <v>507</v>
      </c>
    </row>
    <row r="507" ht="42.75" customHeight="1">
      <c r="A507" s="69">
        <v>43626.0</v>
      </c>
      <c r="B507" s="144" t="s">
        <v>167</v>
      </c>
      <c r="C507" s="504" t="s">
        <v>1195</v>
      </c>
      <c r="D507" s="493" t="s">
        <v>1196</v>
      </c>
      <c r="E507" s="23" t="s">
        <v>1197</v>
      </c>
      <c r="F507" s="24">
        <v>1.0</v>
      </c>
      <c r="G507" s="48">
        <v>132.0</v>
      </c>
      <c r="H507" s="60">
        <f t="shared" si="56"/>
        <v>132</v>
      </c>
      <c r="I507" s="348" t="s">
        <v>105</v>
      </c>
      <c r="J507" s="58" t="s">
        <v>172</v>
      </c>
      <c r="K507" s="29">
        <v>43664.0</v>
      </c>
      <c r="L507" s="29">
        <v>43649.0</v>
      </c>
      <c r="M507" s="58" t="s">
        <v>2772</v>
      </c>
      <c r="N507" s="93" t="s">
        <v>2773</v>
      </c>
      <c r="O507" s="408"/>
      <c r="P507" s="408">
        <v>42.9</v>
      </c>
      <c r="Q507" s="408">
        <f t="shared" si="60"/>
        <v>45.045</v>
      </c>
      <c r="R507" s="408">
        <v>1352.0</v>
      </c>
      <c r="S507" s="22">
        <v>1419.0</v>
      </c>
      <c r="T507" s="35" t="s">
        <v>1983</v>
      </c>
      <c r="U507" s="462">
        <v>43682.0</v>
      </c>
      <c r="V507" s="462">
        <v>43649.0</v>
      </c>
      <c r="W507" s="306" t="s">
        <v>1198</v>
      </c>
      <c r="X507" s="306" t="s">
        <v>2774</v>
      </c>
      <c r="Y507" s="462">
        <v>43682.0</v>
      </c>
      <c r="Z507" s="306" t="s">
        <v>2775</v>
      </c>
      <c r="AA507" s="306">
        <v>8.191455473E9</v>
      </c>
      <c r="AB507" s="306">
        <v>31.045</v>
      </c>
      <c r="AC507" s="306"/>
      <c r="AD507" s="306"/>
      <c r="AE507" s="298"/>
      <c r="AF507" s="298"/>
      <c r="AG507" s="299"/>
      <c r="AH507" s="300">
        <v>43629.0</v>
      </c>
      <c r="AI507" s="299" t="s">
        <v>2776</v>
      </c>
      <c r="AJ507" s="299" t="s">
        <v>2777</v>
      </c>
      <c r="AK507" s="298" t="s">
        <v>50</v>
      </c>
      <c r="AL507" s="82" t="s">
        <v>285</v>
      </c>
      <c r="AM507" s="298" t="s">
        <v>286</v>
      </c>
      <c r="AN507" s="298" t="s">
        <v>52</v>
      </c>
      <c r="AO507" s="459" t="s">
        <v>750</v>
      </c>
    </row>
    <row r="508" ht="42.75" customHeight="1">
      <c r="A508" s="69">
        <v>43626.0</v>
      </c>
      <c r="B508" s="144" t="s">
        <v>167</v>
      </c>
      <c r="C508" s="504" t="s">
        <v>1195</v>
      </c>
      <c r="D508" s="505" t="s">
        <v>1196</v>
      </c>
      <c r="E508" s="23" t="s">
        <v>1199</v>
      </c>
      <c r="F508" s="24">
        <v>1.0</v>
      </c>
      <c r="G508" s="48">
        <v>1608.0</v>
      </c>
      <c r="H508" s="60">
        <f t="shared" si="56"/>
        <v>1608</v>
      </c>
      <c r="I508" s="348" t="s">
        <v>105</v>
      </c>
      <c r="J508" s="58" t="s">
        <v>172</v>
      </c>
      <c r="K508" s="29">
        <v>43664.0</v>
      </c>
      <c r="L508" s="29">
        <v>43664.0</v>
      </c>
      <c r="M508" s="50" t="s">
        <v>1089</v>
      </c>
      <c r="N508" s="93" t="s">
        <v>2778</v>
      </c>
      <c r="O508" s="408"/>
      <c r="P508" s="408"/>
      <c r="Q508" s="408">
        <f t="shared" si="60"/>
        <v>0</v>
      </c>
      <c r="R508" s="408"/>
      <c r="S508" s="352">
        <v>36722.7</v>
      </c>
      <c r="T508" s="408"/>
      <c r="U508" s="306"/>
      <c r="V508" s="306"/>
      <c r="W508" s="306"/>
      <c r="X508" s="306"/>
      <c r="Y508" s="306"/>
      <c r="Z508" s="306" t="s">
        <v>2775</v>
      </c>
      <c r="AA508" s="306">
        <v>8.191455473E9</v>
      </c>
      <c r="AB508" s="306">
        <v>31.045</v>
      </c>
      <c r="AC508" s="306"/>
      <c r="AD508" s="306"/>
      <c r="AE508" s="298"/>
      <c r="AF508" s="298"/>
      <c r="AG508" s="299"/>
      <c r="AH508" s="300">
        <v>43629.0</v>
      </c>
      <c r="AI508" s="299" t="s">
        <v>2776</v>
      </c>
      <c r="AJ508" s="299" t="s">
        <v>2777</v>
      </c>
      <c r="AK508" s="298" t="s">
        <v>50</v>
      </c>
      <c r="AL508" s="82" t="s">
        <v>285</v>
      </c>
      <c r="AM508" s="298" t="s">
        <v>286</v>
      </c>
      <c r="AN508" s="298" t="s">
        <v>52</v>
      </c>
      <c r="AO508" s="459" t="s">
        <v>750</v>
      </c>
    </row>
    <row r="509" ht="42.75" customHeight="1">
      <c r="A509" s="69">
        <v>43626.0</v>
      </c>
      <c r="B509" s="144" t="s">
        <v>167</v>
      </c>
      <c r="C509" s="504" t="s">
        <v>1195</v>
      </c>
      <c r="D509" s="505" t="s">
        <v>1200</v>
      </c>
      <c r="E509" s="32" t="s">
        <v>1197</v>
      </c>
      <c r="F509" s="24">
        <v>1.0</v>
      </c>
      <c r="G509" s="48">
        <v>132.0</v>
      </c>
      <c r="H509" s="60">
        <f t="shared" si="56"/>
        <v>132</v>
      </c>
      <c r="I509" s="348" t="s">
        <v>105</v>
      </c>
      <c r="J509" s="58" t="s">
        <v>172</v>
      </c>
      <c r="K509" s="145">
        <v>43710.0</v>
      </c>
      <c r="L509" s="29">
        <v>43649.0</v>
      </c>
      <c r="M509" s="58" t="s">
        <v>2772</v>
      </c>
      <c r="N509" s="93" t="s">
        <v>2773</v>
      </c>
      <c r="O509" s="408"/>
      <c r="P509" s="408">
        <v>42.9</v>
      </c>
      <c r="Q509" s="408">
        <f t="shared" si="60"/>
        <v>45.045</v>
      </c>
      <c r="R509" s="408">
        <v>1352.0</v>
      </c>
      <c r="S509" s="408">
        <v>1420.0</v>
      </c>
      <c r="T509" s="51" t="s">
        <v>1983</v>
      </c>
      <c r="U509" s="462">
        <v>43682.0</v>
      </c>
      <c r="V509" s="462">
        <v>43649.0</v>
      </c>
      <c r="W509" s="306" t="s">
        <v>1198</v>
      </c>
      <c r="X509" s="306">
        <v>9837.0</v>
      </c>
      <c r="Y509" s="462">
        <v>43682.0</v>
      </c>
      <c r="Z509" s="306" t="s">
        <v>2779</v>
      </c>
      <c r="AA509" s="408">
        <v>8.523017403E9</v>
      </c>
      <c r="AB509" s="306">
        <v>31.325</v>
      </c>
      <c r="AC509" s="306"/>
      <c r="AD509" s="306"/>
      <c r="AE509" s="298"/>
      <c r="AF509" s="298"/>
      <c r="AG509" s="299"/>
      <c r="AH509" s="300">
        <v>43629.0</v>
      </c>
      <c r="AI509" s="299" t="s">
        <v>2776</v>
      </c>
      <c r="AJ509" s="299" t="s">
        <v>2777</v>
      </c>
      <c r="AK509" s="298" t="s">
        <v>50</v>
      </c>
      <c r="AL509" s="82" t="s">
        <v>285</v>
      </c>
      <c r="AM509" s="298" t="s">
        <v>286</v>
      </c>
      <c r="AN509" s="298" t="s">
        <v>52</v>
      </c>
      <c r="AO509" s="459" t="s">
        <v>750</v>
      </c>
    </row>
    <row r="510" ht="42.75" customHeight="1">
      <c r="A510" s="69">
        <v>43626.0</v>
      </c>
      <c r="B510" s="144" t="s">
        <v>167</v>
      </c>
      <c r="C510" s="504" t="s">
        <v>1195</v>
      </c>
      <c r="D510" s="505" t="s">
        <v>1200</v>
      </c>
      <c r="E510" s="23" t="s">
        <v>1201</v>
      </c>
      <c r="F510" s="24">
        <v>1.0</v>
      </c>
      <c r="G510" s="48">
        <v>1667.0</v>
      </c>
      <c r="H510" s="60">
        <f t="shared" si="56"/>
        <v>1667</v>
      </c>
      <c r="I510" s="348" t="s">
        <v>105</v>
      </c>
      <c r="J510" s="58" t="s">
        <v>172</v>
      </c>
      <c r="K510" s="145">
        <v>43711.0</v>
      </c>
      <c r="L510" s="300">
        <v>43710.0</v>
      </c>
      <c r="M510" s="50" t="s">
        <v>1089</v>
      </c>
      <c r="N510" s="93" t="s">
        <v>2780</v>
      </c>
      <c r="O510" s="408"/>
      <c r="P510" s="408"/>
      <c r="Q510" s="408">
        <f t="shared" si="60"/>
        <v>0</v>
      </c>
      <c r="R510" s="408"/>
      <c r="S510" s="408">
        <f>(R510*F510)*1.05</f>
        <v>0</v>
      </c>
      <c r="T510" s="503"/>
      <c r="U510" s="306"/>
      <c r="V510" s="306"/>
      <c r="W510" s="306"/>
      <c r="X510" s="306"/>
      <c r="Y510" s="306"/>
      <c r="Z510" s="306" t="s">
        <v>2779</v>
      </c>
      <c r="AA510" s="408">
        <v>8.523017403E9</v>
      </c>
      <c r="AB510" s="306">
        <v>31.325</v>
      </c>
      <c r="AC510" s="306"/>
      <c r="AD510" s="306"/>
      <c r="AE510" s="298"/>
      <c r="AF510" s="298"/>
      <c r="AG510" s="299"/>
      <c r="AH510" s="300">
        <v>43629.0</v>
      </c>
      <c r="AI510" s="299">
        <f>3492.64*31.47</f>
        <v>109913.3808</v>
      </c>
      <c r="AJ510" s="299">
        <f>46.36*31.47</f>
        <v>1458.9492</v>
      </c>
      <c r="AK510" s="298" t="s">
        <v>50</v>
      </c>
      <c r="AL510" s="82" t="s">
        <v>285</v>
      </c>
      <c r="AM510" s="298" t="s">
        <v>286</v>
      </c>
      <c r="AN510" s="298" t="s">
        <v>52</v>
      </c>
      <c r="AO510" s="459" t="s">
        <v>750</v>
      </c>
    </row>
    <row r="511" ht="42.75" customHeight="1">
      <c r="A511" s="69">
        <v>43627.0</v>
      </c>
      <c r="B511" s="70" t="s">
        <v>130</v>
      </c>
      <c r="C511" s="21" t="s">
        <v>1202</v>
      </c>
      <c r="D511" s="506" t="s">
        <v>170</v>
      </c>
      <c r="E511" s="23" t="s">
        <v>1043</v>
      </c>
      <c r="F511" s="24">
        <v>1.0</v>
      </c>
      <c r="G511" s="48">
        <v>123.0</v>
      </c>
      <c r="H511" s="60">
        <f t="shared" si="56"/>
        <v>123</v>
      </c>
      <c r="I511" s="61" t="s">
        <v>248</v>
      </c>
      <c r="J511" s="63" t="s">
        <v>134</v>
      </c>
      <c r="K511" s="29">
        <v>43636.0</v>
      </c>
      <c r="L511" s="29">
        <v>43635.0</v>
      </c>
      <c r="M511" s="50" t="s">
        <v>90</v>
      </c>
      <c r="N511" s="93" t="s">
        <v>2781</v>
      </c>
      <c r="O511" s="408"/>
      <c r="P511" s="408">
        <v>114.0</v>
      </c>
      <c r="Q511" s="408">
        <f t="shared" si="60"/>
        <v>119.7</v>
      </c>
      <c r="R511" s="408"/>
      <c r="S511" s="408">
        <v>3750.0</v>
      </c>
      <c r="T511" s="35" t="s">
        <v>94</v>
      </c>
      <c r="U511" s="462">
        <v>43677.0</v>
      </c>
      <c r="V511" s="462">
        <v>43634.0</v>
      </c>
      <c r="W511" s="306" t="s">
        <v>1203</v>
      </c>
      <c r="X511" s="306">
        <v>3750.0</v>
      </c>
      <c r="Y511" s="462">
        <v>43677.0</v>
      </c>
      <c r="Z511" s="306" t="s">
        <v>2744</v>
      </c>
      <c r="AA511" s="306">
        <v>6.783765446E9</v>
      </c>
      <c r="AB511" s="306"/>
      <c r="AC511" s="306"/>
      <c r="AD511" s="306"/>
      <c r="AE511" s="298"/>
      <c r="AF511" s="298">
        <v>31.325</v>
      </c>
      <c r="AG511" s="299"/>
      <c r="AH511" s="300">
        <v>43654.0</v>
      </c>
      <c r="AI511" s="299" t="s">
        <v>2746</v>
      </c>
      <c r="AJ511" s="299" t="s">
        <v>2747</v>
      </c>
      <c r="AK511" s="298" t="s">
        <v>50</v>
      </c>
      <c r="AL511" s="82" t="s">
        <v>285</v>
      </c>
      <c r="AM511" s="298" t="s">
        <v>51</v>
      </c>
      <c r="AN511" s="298" t="s">
        <v>52</v>
      </c>
      <c r="AO511" s="459" t="s">
        <v>750</v>
      </c>
    </row>
    <row r="512" ht="42.75" customHeight="1">
      <c r="A512" s="69">
        <v>43628.0</v>
      </c>
      <c r="B512" s="70" t="s">
        <v>1204</v>
      </c>
      <c r="C512" s="21" t="s">
        <v>1205</v>
      </c>
      <c r="D512" s="21" t="s">
        <v>1206</v>
      </c>
      <c r="E512" s="23" t="s">
        <v>1207</v>
      </c>
      <c r="F512" s="24">
        <v>2.0</v>
      </c>
      <c r="G512" s="48">
        <v>120.0</v>
      </c>
      <c r="H512" s="60">
        <f t="shared" si="56"/>
        <v>240</v>
      </c>
      <c r="I512" s="61" t="s">
        <v>43</v>
      </c>
      <c r="J512" s="50" t="s">
        <v>1208</v>
      </c>
      <c r="K512" s="29">
        <v>43643.0</v>
      </c>
      <c r="L512" s="29">
        <v>43635.0</v>
      </c>
      <c r="M512" s="608" t="s">
        <v>2078</v>
      </c>
      <c r="N512" s="93" t="s">
        <v>2782</v>
      </c>
      <c r="O512" s="408"/>
      <c r="P512" s="408"/>
      <c r="Q512" s="408">
        <f t="shared" si="60"/>
        <v>0</v>
      </c>
      <c r="R512" s="408">
        <v>3162.0</v>
      </c>
      <c r="S512" s="408">
        <v>6640.0</v>
      </c>
      <c r="T512" s="22" t="s">
        <v>2080</v>
      </c>
      <c r="U512" s="462">
        <v>43708.0</v>
      </c>
      <c r="V512" s="462">
        <v>43634.0</v>
      </c>
      <c r="W512" s="306" t="s">
        <v>1209</v>
      </c>
      <c r="X512" s="306">
        <v>6640.0</v>
      </c>
      <c r="Y512" s="462">
        <v>43710.0</v>
      </c>
      <c r="Z512" s="306" t="s">
        <v>2783</v>
      </c>
      <c r="AA512" s="306">
        <v>1.1450331E8</v>
      </c>
      <c r="AB512" s="306"/>
      <c r="AC512" s="306"/>
      <c r="AD512" s="306"/>
      <c r="AE512" s="298"/>
      <c r="AF512" s="298"/>
      <c r="AG512" s="299"/>
      <c r="AH512" s="300">
        <v>43636.0</v>
      </c>
      <c r="AI512" s="299" t="s">
        <v>2784</v>
      </c>
      <c r="AJ512" s="299" t="s">
        <v>2785</v>
      </c>
      <c r="AK512" s="298" t="s">
        <v>50</v>
      </c>
      <c r="AL512" s="82" t="s">
        <v>285</v>
      </c>
      <c r="AM512" s="298" t="s">
        <v>51</v>
      </c>
      <c r="AN512" s="298" t="s">
        <v>52</v>
      </c>
      <c r="AO512" s="459" t="s">
        <v>750</v>
      </c>
    </row>
    <row r="513" ht="42.75" customHeight="1">
      <c r="A513" s="69">
        <v>43628.0</v>
      </c>
      <c r="B513" s="23" t="s">
        <v>406</v>
      </c>
      <c r="C513" s="21">
        <v>7.000148034E9</v>
      </c>
      <c r="D513" s="21" t="s">
        <v>1210</v>
      </c>
      <c r="E513" s="23" t="s">
        <v>684</v>
      </c>
      <c r="F513" s="24">
        <v>2.0</v>
      </c>
      <c r="G513" s="48">
        <v>129.0</v>
      </c>
      <c r="H513" s="60">
        <f t="shared" si="56"/>
        <v>258</v>
      </c>
      <c r="I513" s="61" t="s">
        <v>43</v>
      </c>
      <c r="J513" s="50" t="s">
        <v>513</v>
      </c>
      <c r="K513" s="29">
        <v>43636.0</v>
      </c>
      <c r="L513" s="29">
        <v>43634.0</v>
      </c>
      <c r="M513" s="58" t="s">
        <v>2078</v>
      </c>
      <c r="N513" s="93" t="s">
        <v>2786</v>
      </c>
      <c r="O513" s="408"/>
      <c r="P513" s="408"/>
      <c r="Q513" s="408">
        <f t="shared" si="60"/>
        <v>0</v>
      </c>
      <c r="R513" s="408">
        <v>3450.0</v>
      </c>
      <c r="S513" s="408">
        <f>(R513*F513)*1.05</f>
        <v>7245</v>
      </c>
      <c r="T513" s="22" t="s">
        <v>2080</v>
      </c>
      <c r="U513" s="462">
        <v>43708.0</v>
      </c>
      <c r="V513" s="462">
        <v>43633.0</v>
      </c>
      <c r="W513" s="306" t="s">
        <v>1211</v>
      </c>
      <c r="X513" s="306">
        <v>7245.0</v>
      </c>
      <c r="Y513" s="462">
        <v>43710.0</v>
      </c>
      <c r="Z513" s="306" t="s">
        <v>2771</v>
      </c>
      <c r="AA513" s="306">
        <v>7.760071314E9</v>
      </c>
      <c r="AB513" s="306"/>
      <c r="AC513" s="306"/>
      <c r="AD513" s="306"/>
      <c r="AE513" s="298"/>
      <c r="AF513" s="298">
        <v>31.325</v>
      </c>
      <c r="AG513" s="299"/>
      <c r="AH513" s="300">
        <v>43677.0</v>
      </c>
      <c r="AI513" s="299"/>
      <c r="AJ513" s="299"/>
      <c r="AK513" s="298" t="s">
        <v>50</v>
      </c>
      <c r="AL513" s="298" t="s">
        <v>285</v>
      </c>
      <c r="AM513" s="298" t="s">
        <v>51</v>
      </c>
      <c r="AN513" s="298" t="s">
        <v>52</v>
      </c>
      <c r="AO513" s="234" t="s">
        <v>507</v>
      </c>
    </row>
    <row r="514" ht="42.75" customHeight="1">
      <c r="A514" s="69">
        <v>43628.0</v>
      </c>
      <c r="B514" s="70" t="s">
        <v>1204</v>
      </c>
      <c r="C514" s="21" t="s">
        <v>1205</v>
      </c>
      <c r="D514" s="21" t="s">
        <v>1212</v>
      </c>
      <c r="E514" s="23" t="s">
        <v>975</v>
      </c>
      <c r="F514" s="24">
        <v>1.0</v>
      </c>
      <c r="G514" s="48">
        <v>88.0</v>
      </c>
      <c r="H514" s="60">
        <f t="shared" si="56"/>
        <v>88</v>
      </c>
      <c r="I514" s="61" t="s">
        <v>43</v>
      </c>
      <c r="J514" s="50" t="s">
        <v>1208</v>
      </c>
      <c r="K514" s="29">
        <v>43643.0</v>
      </c>
      <c r="L514" s="29">
        <v>43637.0</v>
      </c>
      <c r="M514" s="544" t="s">
        <v>90</v>
      </c>
      <c r="N514" s="93" t="s">
        <v>2787</v>
      </c>
      <c r="O514" s="408"/>
      <c r="P514" s="408">
        <v>76.35</v>
      </c>
      <c r="Q514" s="408">
        <f t="shared" si="60"/>
        <v>80.1675</v>
      </c>
      <c r="R514" s="408"/>
      <c r="S514" s="408">
        <v>2511.0</v>
      </c>
      <c r="T514" s="35" t="s">
        <v>94</v>
      </c>
      <c r="U514" s="462">
        <v>43677.0</v>
      </c>
      <c r="V514" s="462">
        <v>43636.0</v>
      </c>
      <c r="W514" s="306" t="s">
        <v>1213</v>
      </c>
      <c r="X514" s="306">
        <v>2511.0</v>
      </c>
      <c r="Y514" s="462">
        <v>43677.0</v>
      </c>
      <c r="Z514" s="306" t="s">
        <v>2783</v>
      </c>
      <c r="AA514" s="306">
        <v>1.1450331E8</v>
      </c>
      <c r="AB514" s="306"/>
      <c r="AC514" s="306"/>
      <c r="AD514" s="306"/>
      <c r="AE514" s="298"/>
      <c r="AF514" s="298"/>
      <c r="AG514" s="299"/>
      <c r="AH514" s="300">
        <v>43636.0</v>
      </c>
      <c r="AI514" s="299">
        <f>291.55*31</f>
        <v>9038.05</v>
      </c>
      <c r="AJ514" s="299">
        <f>(328-291.55)*31</f>
        <v>1129.95</v>
      </c>
      <c r="AK514" s="298" t="s">
        <v>50</v>
      </c>
      <c r="AL514" s="82" t="s">
        <v>285</v>
      </c>
      <c r="AM514" s="298" t="s">
        <v>51</v>
      </c>
      <c r="AN514" s="298" t="s">
        <v>52</v>
      </c>
      <c r="AO514" s="459" t="s">
        <v>750</v>
      </c>
    </row>
    <row r="515" ht="42.75" customHeight="1">
      <c r="A515" s="69">
        <v>43629.0</v>
      </c>
      <c r="B515" s="70" t="s">
        <v>223</v>
      </c>
      <c r="C515" s="21" t="s">
        <v>1214</v>
      </c>
      <c r="D515" s="21" t="s">
        <v>1215</v>
      </c>
      <c r="E515" s="32" t="s">
        <v>1216</v>
      </c>
      <c r="F515" s="24">
        <v>3.0</v>
      </c>
      <c r="G515" s="48">
        <v>135.45</v>
      </c>
      <c r="H515" s="60">
        <f>G515*F515*1.05</f>
        <v>426.6675</v>
      </c>
      <c r="I515" s="61" t="s">
        <v>248</v>
      </c>
      <c r="J515" s="63" t="s">
        <v>90</v>
      </c>
      <c r="K515" s="29">
        <v>43634.0</v>
      </c>
      <c r="L515" s="29">
        <v>43633.0</v>
      </c>
      <c r="M515" s="50" t="s">
        <v>90</v>
      </c>
      <c r="N515" s="93" t="s">
        <v>2788</v>
      </c>
      <c r="O515" s="408"/>
      <c r="P515" s="408">
        <v>121.0</v>
      </c>
      <c r="Q515" s="408">
        <f t="shared" si="60"/>
        <v>381.15</v>
      </c>
      <c r="R515" s="408"/>
      <c r="S515" s="408">
        <v>11940.0</v>
      </c>
      <c r="T515" s="51" t="s">
        <v>94</v>
      </c>
      <c r="U515" s="462">
        <v>43677.0</v>
      </c>
      <c r="V515" s="462">
        <v>43633.0</v>
      </c>
      <c r="W515" s="306" t="s">
        <v>1217</v>
      </c>
      <c r="X515" s="306">
        <v>11940.0</v>
      </c>
      <c r="Y515" s="462">
        <v>43677.0</v>
      </c>
      <c r="Z515" s="306" t="s">
        <v>2789</v>
      </c>
      <c r="AA515" s="306" t="s">
        <v>2790</v>
      </c>
      <c r="AB515" s="306">
        <v>31.51</v>
      </c>
      <c r="AC515" s="306">
        <v>12804.0</v>
      </c>
      <c r="AD515" s="305">
        <v>43634.0</v>
      </c>
      <c r="AE515" s="298"/>
      <c r="AF515" s="298"/>
      <c r="AG515" s="299"/>
      <c r="AH515" s="300">
        <v>43682.0</v>
      </c>
      <c r="AI515" s="299" t="s">
        <v>2791</v>
      </c>
      <c r="AJ515" s="299" t="s">
        <v>2792</v>
      </c>
      <c r="AK515" s="298" t="s">
        <v>50</v>
      </c>
      <c r="AL515" s="298" t="s">
        <v>285</v>
      </c>
      <c r="AM515" s="298" t="s">
        <v>51</v>
      </c>
      <c r="AN515" s="298" t="s">
        <v>377</v>
      </c>
      <c r="AO515" s="234" t="s">
        <v>507</v>
      </c>
    </row>
    <row r="516" ht="42.75" customHeight="1">
      <c r="A516" s="69">
        <v>43633.0</v>
      </c>
      <c r="B516" s="70" t="s">
        <v>77</v>
      </c>
      <c r="C516" s="21">
        <v>450.0</v>
      </c>
      <c r="D516" s="21" t="s">
        <v>1218</v>
      </c>
      <c r="E516" s="32" t="s">
        <v>1219</v>
      </c>
      <c r="F516" s="24">
        <v>50.0</v>
      </c>
      <c r="G516" s="48">
        <v>2.5</v>
      </c>
      <c r="H516" s="60">
        <f t="shared" ref="H516:H532" si="63">G516*F516</f>
        <v>125</v>
      </c>
      <c r="I516" s="61" t="s">
        <v>43</v>
      </c>
      <c r="J516" s="58" t="s">
        <v>316</v>
      </c>
      <c r="K516" s="29">
        <v>43643.0</v>
      </c>
      <c r="L516" s="30">
        <v>43637.0</v>
      </c>
      <c r="M516" s="50" t="s">
        <v>2681</v>
      </c>
      <c r="N516" s="93" t="s">
        <v>2793</v>
      </c>
      <c r="O516" s="408"/>
      <c r="P516" s="408"/>
      <c r="Q516" s="408">
        <f t="shared" si="60"/>
        <v>0</v>
      </c>
      <c r="R516" s="408">
        <v>36.0</v>
      </c>
      <c r="S516" s="408">
        <f>(R516*F516)*1.05</f>
        <v>1890</v>
      </c>
      <c r="T516" s="453" t="s">
        <v>2683</v>
      </c>
      <c r="U516" s="462">
        <v>43651.0</v>
      </c>
      <c r="V516" s="462">
        <v>43635.0</v>
      </c>
      <c r="W516" s="306" t="s">
        <v>1220</v>
      </c>
      <c r="X516" s="306">
        <v>1890.0</v>
      </c>
      <c r="Y516" s="462">
        <v>43654.0</v>
      </c>
      <c r="Z516" s="306" t="s">
        <v>2764</v>
      </c>
      <c r="AA516" s="306">
        <v>1.14576745E8</v>
      </c>
      <c r="AB516" s="306"/>
      <c r="AC516" s="306"/>
      <c r="AD516" s="306"/>
      <c r="AE516" s="298"/>
      <c r="AF516" s="298"/>
      <c r="AG516" s="299"/>
      <c r="AH516" s="300">
        <v>43679.0</v>
      </c>
      <c r="AI516" s="299" t="s">
        <v>2765</v>
      </c>
      <c r="AJ516" s="299" t="s">
        <v>2766</v>
      </c>
      <c r="AK516" s="298" t="s">
        <v>50</v>
      </c>
      <c r="AL516" s="298" t="s">
        <v>285</v>
      </c>
      <c r="AM516" s="298" t="s">
        <v>51</v>
      </c>
      <c r="AN516" s="298" t="s">
        <v>52</v>
      </c>
      <c r="AO516" s="234" t="s">
        <v>507</v>
      </c>
    </row>
    <row r="517" ht="42.75" customHeight="1">
      <c r="A517" s="69">
        <v>43635.0</v>
      </c>
      <c r="B517" s="70" t="s">
        <v>1030</v>
      </c>
      <c r="C517" s="21" t="s">
        <v>1221</v>
      </c>
      <c r="D517" s="21" t="s">
        <v>1222</v>
      </c>
      <c r="E517" s="21" t="s">
        <v>1223</v>
      </c>
      <c r="F517" s="24">
        <v>6.0</v>
      </c>
      <c r="G517" s="48">
        <v>134.0</v>
      </c>
      <c r="H517" s="60">
        <f t="shared" si="63"/>
        <v>804</v>
      </c>
      <c r="I517" s="61" t="s">
        <v>105</v>
      </c>
      <c r="J517" s="63" t="s">
        <v>1037</v>
      </c>
      <c r="K517" s="29">
        <v>43644.0</v>
      </c>
      <c r="L517" s="29">
        <v>43640.0</v>
      </c>
      <c r="M517" s="50" t="s">
        <v>90</v>
      </c>
      <c r="N517" s="93" t="s">
        <v>2794</v>
      </c>
      <c r="O517" s="408"/>
      <c r="P517" s="408">
        <v>120.0</v>
      </c>
      <c r="Q517" s="408">
        <f t="shared" si="60"/>
        <v>756</v>
      </c>
      <c r="R517" s="408"/>
      <c r="S517" s="408">
        <v>23788.0</v>
      </c>
      <c r="T517" s="51" t="s">
        <v>94</v>
      </c>
      <c r="U517" s="462">
        <v>43677.0</v>
      </c>
      <c r="V517" s="462">
        <v>43640.0</v>
      </c>
      <c r="W517" s="306" t="s">
        <v>1224</v>
      </c>
      <c r="X517" s="306">
        <v>23788.0</v>
      </c>
      <c r="Y517" s="462">
        <v>43677.0</v>
      </c>
      <c r="Z517" s="306" t="s">
        <v>2628</v>
      </c>
      <c r="AA517" s="306">
        <v>5.90014509746E11</v>
      </c>
      <c r="AB517" s="306"/>
      <c r="AC517" s="306"/>
      <c r="AD517" s="306"/>
      <c r="AE517" s="298"/>
      <c r="AF517" s="298"/>
      <c r="AG517" s="299"/>
      <c r="AH517" s="300">
        <v>43643.0</v>
      </c>
      <c r="AI517" s="299" t="s">
        <v>2629</v>
      </c>
      <c r="AJ517" s="299" t="s">
        <v>2630</v>
      </c>
      <c r="AK517" s="298" t="s">
        <v>50</v>
      </c>
      <c r="AL517" s="82" t="s">
        <v>285</v>
      </c>
      <c r="AM517" s="298" t="s">
        <v>51</v>
      </c>
      <c r="AN517" s="298" t="s">
        <v>52</v>
      </c>
      <c r="AO517" s="459" t="s">
        <v>750</v>
      </c>
    </row>
    <row r="518" ht="42.75" customHeight="1">
      <c r="A518" s="69">
        <v>43636.0</v>
      </c>
      <c r="B518" s="144" t="s">
        <v>378</v>
      </c>
      <c r="C518" s="21">
        <v>8998.0</v>
      </c>
      <c r="D518" s="21" t="s">
        <v>1225</v>
      </c>
      <c r="E518" s="32" t="s">
        <v>380</v>
      </c>
      <c r="F518" s="435">
        <v>90.0</v>
      </c>
      <c r="G518" s="436">
        <v>62.0</v>
      </c>
      <c r="H518" s="60">
        <f t="shared" si="63"/>
        <v>5580</v>
      </c>
      <c r="I518" s="61" t="s">
        <v>1121</v>
      </c>
      <c r="J518" s="161" t="s">
        <v>1122</v>
      </c>
      <c r="K518" s="476">
        <v>43676.0</v>
      </c>
      <c r="L518" s="692">
        <v>43670.0</v>
      </c>
      <c r="M518" s="82" t="s">
        <v>2054</v>
      </c>
      <c r="N518" s="93" t="s">
        <v>2795</v>
      </c>
      <c r="O518" s="408"/>
      <c r="P518" s="408"/>
      <c r="Q518" s="470">
        <f t="shared" si="60"/>
        <v>0</v>
      </c>
      <c r="R518" s="408">
        <v>1358.0</v>
      </c>
      <c r="S518" s="408">
        <f t="shared" ref="S518:S523" si="64">(R518*F518)*1.05</f>
        <v>128331</v>
      </c>
      <c r="T518" s="70" t="s">
        <v>2056</v>
      </c>
      <c r="U518" s="462">
        <v>43682.0</v>
      </c>
      <c r="V518" s="462">
        <v>43668.0</v>
      </c>
      <c r="W518" s="306" t="s">
        <v>1226</v>
      </c>
      <c r="X518" s="306">
        <v>128331.0</v>
      </c>
      <c r="Y518" s="462">
        <v>43682.0</v>
      </c>
      <c r="Z518" s="306" t="s">
        <v>2796</v>
      </c>
      <c r="AA518" s="237" t="s">
        <v>2797</v>
      </c>
      <c r="AB518" s="306"/>
      <c r="AC518" s="306"/>
      <c r="AD518" s="306"/>
      <c r="AE518" s="298"/>
      <c r="AF518" s="298"/>
      <c r="AG518" s="299"/>
      <c r="AH518" s="300">
        <v>43711.0</v>
      </c>
      <c r="AI518" s="299">
        <f>5563.6*31.24</f>
        <v>173806.864</v>
      </c>
      <c r="AJ518" s="299">
        <f>(5580-5563.6)*31.24</f>
        <v>512.336</v>
      </c>
      <c r="AK518" s="298" t="s">
        <v>50</v>
      </c>
      <c r="AL518" s="298" t="s">
        <v>285</v>
      </c>
      <c r="AM518" s="298" t="s">
        <v>286</v>
      </c>
      <c r="AN518" s="298" t="s">
        <v>52</v>
      </c>
      <c r="AO518" s="234" t="s">
        <v>507</v>
      </c>
    </row>
    <row r="519" ht="42.75" customHeight="1">
      <c r="A519" s="69">
        <v>43636.0</v>
      </c>
      <c r="B519" s="144" t="s">
        <v>378</v>
      </c>
      <c r="C519" s="21">
        <v>8998.0</v>
      </c>
      <c r="D519" s="21" t="s">
        <v>1225</v>
      </c>
      <c r="E519" s="32" t="s">
        <v>383</v>
      </c>
      <c r="F519" s="435">
        <v>90.0</v>
      </c>
      <c r="G519" s="48">
        <v>0.0</v>
      </c>
      <c r="H519" s="60">
        <f t="shared" si="63"/>
        <v>0</v>
      </c>
      <c r="I519" s="61" t="s">
        <v>1121</v>
      </c>
      <c r="J519" s="161" t="s">
        <v>1122</v>
      </c>
      <c r="K519" s="476">
        <v>43676.0</v>
      </c>
      <c r="L519" s="300">
        <v>43641.0</v>
      </c>
      <c r="M519" s="82" t="s">
        <v>2798</v>
      </c>
      <c r="N519" s="93"/>
      <c r="O519" s="408"/>
      <c r="P519" s="408"/>
      <c r="Q519" s="408">
        <f t="shared" si="60"/>
        <v>0</v>
      </c>
      <c r="R519" s="408"/>
      <c r="S519" s="408">
        <f t="shared" si="64"/>
        <v>0</v>
      </c>
      <c r="T519" s="503"/>
      <c r="U519" s="306"/>
      <c r="V519" s="306"/>
      <c r="W519" s="306"/>
      <c r="X519" s="306"/>
      <c r="Y519" s="306"/>
      <c r="Z519" s="306"/>
      <c r="AA519" s="306"/>
      <c r="AB519" s="306"/>
      <c r="AC519" s="306"/>
      <c r="AD519" s="306"/>
      <c r="AE519" s="298"/>
      <c r="AF519" s="298"/>
      <c r="AG519" s="299"/>
      <c r="AH519" s="298" t="s">
        <v>1227</v>
      </c>
      <c r="AI519" s="299"/>
      <c r="AJ519" s="299"/>
      <c r="AK519" s="298" t="s">
        <v>1227</v>
      </c>
      <c r="AL519" s="298" t="s">
        <v>285</v>
      </c>
      <c r="AM519" s="298" t="s">
        <v>286</v>
      </c>
      <c r="AN519" s="298" t="s">
        <v>52</v>
      </c>
      <c r="AO519" s="234" t="s">
        <v>507</v>
      </c>
    </row>
    <row r="520" ht="42.75" customHeight="1">
      <c r="A520" s="69">
        <v>43636.0</v>
      </c>
      <c r="B520" s="144" t="s">
        <v>378</v>
      </c>
      <c r="C520" s="21">
        <v>8998.0</v>
      </c>
      <c r="D520" s="21" t="s">
        <v>2799</v>
      </c>
      <c r="E520" s="23" t="s">
        <v>380</v>
      </c>
      <c r="F520" s="24">
        <v>200.0</v>
      </c>
      <c r="G520" s="436">
        <v>62.0</v>
      </c>
      <c r="H520" s="60">
        <f t="shared" si="63"/>
        <v>12400</v>
      </c>
      <c r="I520" s="61" t="s">
        <v>144</v>
      </c>
      <c r="J520" s="58" t="s">
        <v>1122</v>
      </c>
      <c r="K520" s="30">
        <v>43781.0</v>
      </c>
      <c r="L520" s="84">
        <v>43770.0</v>
      </c>
      <c r="M520" s="82" t="s">
        <v>2054</v>
      </c>
      <c r="N520" s="93" t="s">
        <v>2800</v>
      </c>
      <c r="O520" s="408">
        <v>2.019110100001E12</v>
      </c>
      <c r="P520" s="408"/>
      <c r="Q520" s="22">
        <f t="shared" si="60"/>
        <v>0</v>
      </c>
      <c r="R520" s="22">
        <v>1358.0</v>
      </c>
      <c r="S520" s="588">
        <f t="shared" si="64"/>
        <v>285180</v>
      </c>
      <c r="T520" s="419" t="s">
        <v>2056</v>
      </c>
      <c r="U520" s="462">
        <v>43804.0</v>
      </c>
      <c r="V520" s="462">
        <v>43770.0</v>
      </c>
      <c r="W520" s="306" t="s">
        <v>1229</v>
      </c>
      <c r="X520" s="306" t="s">
        <v>2801</v>
      </c>
      <c r="Y520" s="306"/>
      <c r="Z520" s="306" t="s">
        <v>2802</v>
      </c>
      <c r="AA520" s="306"/>
      <c r="AB520" s="306"/>
      <c r="AC520" s="306"/>
      <c r="AD520" s="306"/>
      <c r="AE520" s="298"/>
      <c r="AF520" s="298"/>
      <c r="AG520" s="299"/>
      <c r="AH520" s="300">
        <v>43775.0</v>
      </c>
      <c r="AI520" s="299" t="s">
        <v>2803</v>
      </c>
      <c r="AJ520" s="299" t="s">
        <v>2804</v>
      </c>
      <c r="AK520" s="298" t="s">
        <v>50</v>
      </c>
      <c r="AL520" s="298" t="s">
        <v>285</v>
      </c>
      <c r="AM520" s="298" t="s">
        <v>286</v>
      </c>
      <c r="AN520" s="298" t="s">
        <v>52</v>
      </c>
      <c r="AO520" s="459" t="s">
        <v>763</v>
      </c>
    </row>
    <row r="521" ht="42.75" customHeight="1">
      <c r="A521" s="69">
        <v>43636.0</v>
      </c>
      <c r="B521" s="144" t="s">
        <v>378</v>
      </c>
      <c r="C521" s="21">
        <v>8998.0</v>
      </c>
      <c r="D521" s="21" t="s">
        <v>2805</v>
      </c>
      <c r="E521" s="23" t="s">
        <v>383</v>
      </c>
      <c r="F521" s="24">
        <v>200.0</v>
      </c>
      <c r="G521" s="48">
        <v>0.0</v>
      </c>
      <c r="H521" s="60">
        <f t="shared" si="63"/>
        <v>0</v>
      </c>
      <c r="I521" s="61" t="s">
        <v>144</v>
      </c>
      <c r="J521" s="58" t="s">
        <v>1122</v>
      </c>
      <c r="K521" s="30">
        <v>43781.0</v>
      </c>
      <c r="L521" s="30">
        <v>43746.0</v>
      </c>
      <c r="M521" s="82" t="s">
        <v>2798</v>
      </c>
      <c r="N521" s="93"/>
      <c r="O521" s="408"/>
      <c r="P521" s="408"/>
      <c r="Q521" s="22">
        <f t="shared" si="60"/>
        <v>0</v>
      </c>
      <c r="R521" s="22"/>
      <c r="S521" s="588">
        <f t="shared" si="64"/>
        <v>0</v>
      </c>
      <c r="T521" s="503"/>
      <c r="U521" s="306"/>
      <c r="V521" s="306"/>
      <c r="W521" s="306"/>
      <c r="X521" s="306"/>
      <c r="Y521" s="306"/>
      <c r="Z521" s="237" t="s">
        <v>2802</v>
      </c>
      <c r="AA521" s="306"/>
      <c r="AB521" s="306"/>
      <c r="AC521" s="306"/>
      <c r="AD521" s="306"/>
      <c r="AE521" s="298"/>
      <c r="AF521" s="298"/>
      <c r="AG521" s="299"/>
      <c r="AH521" s="298" t="s">
        <v>1227</v>
      </c>
      <c r="AI521" s="299"/>
      <c r="AJ521" s="299"/>
      <c r="AK521" s="298" t="s">
        <v>1227</v>
      </c>
      <c r="AL521" s="298" t="s">
        <v>285</v>
      </c>
      <c r="AM521" s="298" t="s">
        <v>286</v>
      </c>
      <c r="AN521" s="298" t="s">
        <v>52</v>
      </c>
      <c r="AO521" s="459" t="s">
        <v>763</v>
      </c>
    </row>
    <row r="522" ht="42.75" customHeight="1">
      <c r="A522" s="69">
        <v>43636.0</v>
      </c>
      <c r="B522" s="144" t="s">
        <v>378</v>
      </c>
      <c r="C522" s="21">
        <v>8998.0</v>
      </c>
      <c r="D522" s="21" t="s">
        <v>1231</v>
      </c>
      <c r="E522" s="23" t="s">
        <v>383</v>
      </c>
      <c r="F522" s="24">
        <v>120.0</v>
      </c>
      <c r="G522" s="48">
        <v>0.0</v>
      </c>
      <c r="H522" s="60">
        <f t="shared" si="63"/>
        <v>0</v>
      </c>
      <c r="I522" s="61" t="s">
        <v>144</v>
      </c>
      <c r="J522" s="58" t="s">
        <v>1122</v>
      </c>
      <c r="K522" s="30">
        <v>43781.0</v>
      </c>
      <c r="L522" s="30">
        <v>43746.0</v>
      </c>
      <c r="M522" s="82" t="s">
        <v>2798</v>
      </c>
      <c r="N522" s="93"/>
      <c r="O522" s="408"/>
      <c r="P522" s="408"/>
      <c r="Q522" s="22">
        <f t="shared" si="60"/>
        <v>0</v>
      </c>
      <c r="R522" s="22"/>
      <c r="S522" s="22">
        <f t="shared" si="64"/>
        <v>0</v>
      </c>
      <c r="T522" s="408"/>
      <c r="U522" s="306"/>
      <c r="V522" s="306"/>
      <c r="W522" s="306"/>
      <c r="X522" s="306"/>
      <c r="Y522" s="306"/>
      <c r="Z522" s="306" t="s">
        <v>2802</v>
      </c>
      <c r="AA522" s="306"/>
      <c r="AB522" s="306"/>
      <c r="AC522" s="306"/>
      <c r="AD522" s="306"/>
      <c r="AE522" s="298"/>
      <c r="AF522" s="298"/>
      <c r="AG522" s="299"/>
      <c r="AH522" s="298" t="s">
        <v>1227</v>
      </c>
      <c r="AI522" s="299"/>
      <c r="AJ522" s="299"/>
      <c r="AK522" s="298" t="s">
        <v>1227</v>
      </c>
      <c r="AL522" s="298" t="s">
        <v>285</v>
      </c>
      <c r="AM522" s="298" t="s">
        <v>286</v>
      </c>
      <c r="AN522" s="298" t="s">
        <v>52</v>
      </c>
      <c r="AO522" s="459" t="s">
        <v>763</v>
      </c>
    </row>
    <row r="523" ht="42.75" customHeight="1">
      <c r="A523" s="69">
        <v>43636.0</v>
      </c>
      <c r="B523" s="144" t="s">
        <v>378</v>
      </c>
      <c r="C523" s="21">
        <v>8998.0</v>
      </c>
      <c r="D523" s="21" t="s">
        <v>2806</v>
      </c>
      <c r="E523" s="23" t="s">
        <v>380</v>
      </c>
      <c r="F523" s="24">
        <v>120.0</v>
      </c>
      <c r="G523" s="436">
        <v>62.0</v>
      </c>
      <c r="H523" s="60">
        <f t="shared" si="63"/>
        <v>7440</v>
      </c>
      <c r="I523" s="61" t="s">
        <v>144</v>
      </c>
      <c r="J523" s="58" t="s">
        <v>1122</v>
      </c>
      <c r="K523" s="30">
        <v>43781.0</v>
      </c>
      <c r="L523" s="84">
        <v>43770.0</v>
      </c>
      <c r="M523" s="82" t="s">
        <v>2054</v>
      </c>
      <c r="N523" s="93" t="s">
        <v>2807</v>
      </c>
      <c r="O523" s="408">
        <v>2.019110100001E12</v>
      </c>
      <c r="P523" s="408"/>
      <c r="Q523" s="22">
        <f t="shared" si="60"/>
        <v>0</v>
      </c>
      <c r="R523" s="22">
        <v>1358.0</v>
      </c>
      <c r="S523" s="588">
        <f t="shared" si="64"/>
        <v>171108</v>
      </c>
      <c r="T523" s="21" t="s">
        <v>2056</v>
      </c>
      <c r="U523" s="462">
        <v>43804.0</v>
      </c>
      <c r="V523" s="462">
        <v>43770.0</v>
      </c>
      <c r="W523" s="306" t="s">
        <v>1229</v>
      </c>
      <c r="X523" s="306">
        <v>456288.0</v>
      </c>
      <c r="Y523" s="306"/>
      <c r="Z523" s="306" t="s">
        <v>2802</v>
      </c>
      <c r="AA523" s="306"/>
      <c r="AB523" s="306"/>
      <c r="AC523" s="306"/>
      <c r="AD523" s="306"/>
      <c r="AE523" s="298"/>
      <c r="AF523" s="298"/>
      <c r="AG523" s="299"/>
      <c r="AH523" s="300">
        <v>43775.0</v>
      </c>
      <c r="AI523" s="299">
        <f>19820.08*30.35</f>
        <v>601539.428</v>
      </c>
      <c r="AJ523" s="299">
        <f>(19840-19820.08)*30.35</f>
        <v>604.572</v>
      </c>
      <c r="AK523" s="298" t="s">
        <v>50</v>
      </c>
      <c r="AL523" s="298" t="s">
        <v>285</v>
      </c>
      <c r="AM523" s="298" t="s">
        <v>286</v>
      </c>
      <c r="AN523" s="298" t="s">
        <v>52</v>
      </c>
      <c r="AO523" s="459" t="s">
        <v>763</v>
      </c>
    </row>
    <row r="524" ht="42.75" customHeight="1">
      <c r="A524" s="69">
        <v>43641.0</v>
      </c>
      <c r="B524" s="70" t="s">
        <v>77</v>
      </c>
      <c r="C524" s="21">
        <v>471.0</v>
      </c>
      <c r="D524" s="21" t="s">
        <v>1233</v>
      </c>
      <c r="E524" s="151" t="s">
        <v>315</v>
      </c>
      <c r="F524" s="24">
        <v>20.0</v>
      </c>
      <c r="G524" s="48">
        <v>285.0</v>
      </c>
      <c r="H524" s="26">
        <f t="shared" si="63"/>
        <v>5700</v>
      </c>
      <c r="I524" s="27" t="s">
        <v>43</v>
      </c>
      <c r="J524" s="433" t="s">
        <v>936</v>
      </c>
      <c r="K524" s="29">
        <v>43707.0</v>
      </c>
      <c r="L524" s="29">
        <v>43705.0</v>
      </c>
      <c r="M524" s="50" t="s">
        <v>1998</v>
      </c>
      <c r="N524" s="21" t="s">
        <v>2808</v>
      </c>
      <c r="O524" s="587"/>
      <c r="P524" s="587">
        <v>250.0</v>
      </c>
      <c r="Q524" s="408">
        <f t="shared" si="60"/>
        <v>5250</v>
      </c>
      <c r="R524" s="22"/>
      <c r="S524" s="22">
        <v>164850.0</v>
      </c>
      <c r="T524" s="408" t="s">
        <v>2000</v>
      </c>
      <c r="U524" s="461">
        <v>43769.0</v>
      </c>
      <c r="V524" s="461">
        <v>43705.0</v>
      </c>
      <c r="W524" s="352" t="s">
        <v>1234</v>
      </c>
      <c r="X524" s="473">
        <v>346185.0</v>
      </c>
      <c r="Y524" s="461"/>
      <c r="Z524" s="352" t="s">
        <v>2809</v>
      </c>
      <c r="AA524" s="352" t="s">
        <v>2810</v>
      </c>
      <c r="AB524" s="352">
        <v>31.315</v>
      </c>
      <c r="AC524" s="352"/>
      <c r="AD524" s="352"/>
      <c r="AE524" s="82"/>
      <c r="AF524" s="82"/>
      <c r="AG524" s="432"/>
      <c r="AH524" s="145">
        <v>43739.0</v>
      </c>
      <c r="AI524" s="432">
        <f>12075*30.98</f>
        <v>374083.5</v>
      </c>
      <c r="AJ524" s="432">
        <v>0.0</v>
      </c>
      <c r="AK524" s="82" t="s">
        <v>50</v>
      </c>
      <c r="AL524" s="298" t="s">
        <v>285</v>
      </c>
      <c r="AM524" s="298" t="s">
        <v>51</v>
      </c>
      <c r="AN524" s="298" t="s">
        <v>52</v>
      </c>
      <c r="AO524" s="234" t="s">
        <v>507</v>
      </c>
    </row>
    <row r="525" ht="42.75" customHeight="1">
      <c r="A525" s="69">
        <v>43641.0</v>
      </c>
      <c r="B525" s="70" t="s">
        <v>77</v>
      </c>
      <c r="C525" s="21">
        <v>471.0</v>
      </c>
      <c r="D525" s="21" t="s">
        <v>1233</v>
      </c>
      <c r="E525" s="151" t="s">
        <v>318</v>
      </c>
      <c r="F525" s="435">
        <v>25.0</v>
      </c>
      <c r="G525" s="48">
        <v>255.0</v>
      </c>
      <c r="H525" s="26">
        <f t="shared" si="63"/>
        <v>6375</v>
      </c>
      <c r="I525" s="27" t="s">
        <v>43</v>
      </c>
      <c r="J525" s="433" t="s">
        <v>936</v>
      </c>
      <c r="K525" s="29">
        <v>43707.0</v>
      </c>
      <c r="L525" s="29">
        <v>43705.0</v>
      </c>
      <c r="M525" s="50" t="s">
        <v>1998</v>
      </c>
      <c r="N525" s="21" t="s">
        <v>2808</v>
      </c>
      <c r="O525" s="587"/>
      <c r="P525" s="587">
        <v>220.0</v>
      </c>
      <c r="Q525" s="408">
        <f t="shared" si="60"/>
        <v>5775</v>
      </c>
      <c r="R525" s="588"/>
      <c r="S525" s="588">
        <v>181335.0</v>
      </c>
      <c r="T525" s="408" t="s">
        <v>2000</v>
      </c>
      <c r="U525" s="461">
        <v>43769.0</v>
      </c>
      <c r="V525" s="461">
        <v>43705.0</v>
      </c>
      <c r="W525" s="352" t="s">
        <v>1234</v>
      </c>
      <c r="X525" s="352" t="s">
        <v>2811</v>
      </c>
      <c r="Y525" s="461"/>
      <c r="Z525" s="352" t="s">
        <v>2809</v>
      </c>
      <c r="AA525" s="352" t="s">
        <v>2810</v>
      </c>
      <c r="AB525" s="352">
        <v>31.315</v>
      </c>
      <c r="AC525" s="352"/>
      <c r="AD525" s="352"/>
      <c r="AE525" s="82"/>
      <c r="AF525" s="82"/>
      <c r="AG525" s="432"/>
      <c r="AH525" s="145">
        <v>43739.0</v>
      </c>
      <c r="AI525" s="432" t="s">
        <v>2812</v>
      </c>
      <c r="AJ525" s="432">
        <v>0.0</v>
      </c>
      <c r="AK525" s="82" t="s">
        <v>50</v>
      </c>
      <c r="AL525" s="298" t="s">
        <v>285</v>
      </c>
      <c r="AM525" s="298" t="s">
        <v>51</v>
      </c>
      <c r="AN525" s="298" t="s">
        <v>52</v>
      </c>
      <c r="AO525" s="234" t="s">
        <v>507</v>
      </c>
    </row>
    <row r="526" ht="42.75" customHeight="1">
      <c r="A526" s="110">
        <v>43641.0</v>
      </c>
      <c r="B526" s="147" t="s">
        <v>167</v>
      </c>
      <c r="C526" s="504" t="s">
        <v>1235</v>
      </c>
      <c r="D526" s="21" t="s">
        <v>1236</v>
      </c>
      <c r="E526" s="23" t="s">
        <v>177</v>
      </c>
      <c r="F526" s="58">
        <v>4.0</v>
      </c>
      <c r="G526" s="47">
        <v>105.0</v>
      </c>
      <c r="H526" s="26">
        <f t="shared" si="63"/>
        <v>420</v>
      </c>
      <c r="I526" s="82" t="s">
        <v>105</v>
      </c>
      <c r="J526" s="58" t="s">
        <v>172</v>
      </c>
      <c r="K526" s="39">
        <v>43682.0</v>
      </c>
      <c r="L526" s="29">
        <v>43649.0</v>
      </c>
      <c r="M526" s="58" t="s">
        <v>2772</v>
      </c>
      <c r="N526" s="93" t="s">
        <v>2813</v>
      </c>
      <c r="O526" s="408"/>
      <c r="P526" s="408"/>
      <c r="Q526" s="408">
        <f t="shared" si="60"/>
        <v>0</v>
      </c>
      <c r="R526" s="408">
        <v>1333.0</v>
      </c>
      <c r="S526" s="655">
        <f>(R526*F526)*1.05</f>
        <v>5598.6</v>
      </c>
      <c r="T526" s="51" t="s">
        <v>1983</v>
      </c>
      <c r="U526" s="462">
        <v>43682.0</v>
      </c>
      <c r="V526" s="462">
        <v>43649.0</v>
      </c>
      <c r="W526" s="306" t="s">
        <v>1198</v>
      </c>
      <c r="X526" s="306" t="s">
        <v>2774</v>
      </c>
      <c r="Y526" s="462">
        <v>43682.0</v>
      </c>
      <c r="Z526" s="306" t="s">
        <v>2814</v>
      </c>
      <c r="AA526" s="306">
        <v>5.034703516E9</v>
      </c>
      <c r="AB526" s="306">
        <v>31.02</v>
      </c>
      <c r="AC526" s="306"/>
      <c r="AD526" s="306"/>
      <c r="AE526" s="298"/>
      <c r="AF526" s="298"/>
      <c r="AG526" s="299"/>
      <c r="AH526" s="300">
        <v>43644.0</v>
      </c>
      <c r="AI526" s="299"/>
      <c r="AJ526" s="299"/>
      <c r="AK526" s="298" t="s">
        <v>50</v>
      </c>
      <c r="AL526" s="298" t="s">
        <v>285</v>
      </c>
      <c r="AM526" s="298" t="s">
        <v>286</v>
      </c>
      <c r="AN526" s="298" t="s">
        <v>52</v>
      </c>
      <c r="AO526" s="234" t="s">
        <v>507</v>
      </c>
    </row>
    <row r="527" ht="42.75" customHeight="1">
      <c r="A527" s="69">
        <v>43641.0</v>
      </c>
      <c r="B527" s="144" t="s">
        <v>167</v>
      </c>
      <c r="C527" s="504" t="s">
        <v>1235</v>
      </c>
      <c r="D527" s="21" t="s">
        <v>1236</v>
      </c>
      <c r="E527" s="23" t="s">
        <v>1237</v>
      </c>
      <c r="F527" s="58">
        <v>4.0</v>
      </c>
      <c r="G527" s="47">
        <v>1429.0</v>
      </c>
      <c r="H527" s="26">
        <f t="shared" si="63"/>
        <v>5716</v>
      </c>
      <c r="I527" s="431" t="s">
        <v>105</v>
      </c>
      <c r="J527" s="58" t="s">
        <v>172</v>
      </c>
      <c r="K527" s="39">
        <v>43682.0</v>
      </c>
      <c r="L527" s="29">
        <v>43682.0</v>
      </c>
      <c r="M527" s="50" t="s">
        <v>1089</v>
      </c>
      <c r="N527" s="93" t="s">
        <v>2815</v>
      </c>
      <c r="O527" s="408"/>
      <c r="P527" s="408"/>
      <c r="Q527" s="408">
        <f t="shared" si="60"/>
        <v>0</v>
      </c>
      <c r="R527" s="513">
        <v>34015.0</v>
      </c>
      <c r="S527" s="645">
        <v>142863.0</v>
      </c>
      <c r="T527" s="408"/>
      <c r="U527" s="306"/>
      <c r="V527" s="306"/>
      <c r="W527" s="306"/>
      <c r="X527" s="306"/>
      <c r="Y527" s="306"/>
      <c r="Z527" s="306" t="s">
        <v>2814</v>
      </c>
      <c r="AA527" s="306">
        <v>5.034703516E9</v>
      </c>
      <c r="AB527" s="306">
        <v>31.02</v>
      </c>
      <c r="AC527" s="306"/>
      <c r="AD527" s="306"/>
      <c r="AE527" s="298"/>
      <c r="AF527" s="298"/>
      <c r="AG527" s="299"/>
      <c r="AH527" s="300">
        <v>43644.0</v>
      </c>
      <c r="AI527" s="299"/>
      <c r="AJ527" s="299"/>
      <c r="AK527" s="298" t="s">
        <v>50</v>
      </c>
      <c r="AL527" s="298" t="s">
        <v>285</v>
      </c>
      <c r="AM527" s="298" t="s">
        <v>286</v>
      </c>
      <c r="AN527" s="298" t="s">
        <v>52</v>
      </c>
      <c r="AO527" s="234" t="s">
        <v>507</v>
      </c>
    </row>
    <row r="528" ht="42.75" customHeight="1">
      <c r="A528" s="69">
        <v>43641.0</v>
      </c>
      <c r="B528" s="144" t="s">
        <v>167</v>
      </c>
      <c r="C528" s="504" t="s">
        <v>1235</v>
      </c>
      <c r="D528" s="21" t="s">
        <v>1238</v>
      </c>
      <c r="E528" s="23" t="s">
        <v>177</v>
      </c>
      <c r="F528" s="58">
        <v>1.0</v>
      </c>
      <c r="G528" s="47">
        <v>105.0</v>
      </c>
      <c r="H528" s="26">
        <f t="shared" si="63"/>
        <v>105</v>
      </c>
      <c r="I528" s="431" t="s">
        <v>105</v>
      </c>
      <c r="J528" s="58" t="s">
        <v>172</v>
      </c>
      <c r="K528" s="145">
        <v>43703.0</v>
      </c>
      <c r="L528" s="29">
        <v>43649.0</v>
      </c>
      <c r="M528" s="58" t="s">
        <v>2772</v>
      </c>
      <c r="N528" s="93" t="s">
        <v>2813</v>
      </c>
      <c r="O528" s="408"/>
      <c r="P528" s="408"/>
      <c r="Q528" s="408">
        <f t="shared" si="60"/>
        <v>0</v>
      </c>
      <c r="R528" s="408">
        <v>1333.0</v>
      </c>
      <c r="S528" s="655">
        <f>(R528*F528)*1.05</f>
        <v>1399.65</v>
      </c>
      <c r="T528" s="35" t="s">
        <v>1983</v>
      </c>
      <c r="U528" s="462">
        <v>43682.0</v>
      </c>
      <c r="V528" s="462">
        <v>43649.0</v>
      </c>
      <c r="W528" s="306" t="s">
        <v>1198</v>
      </c>
      <c r="X528" s="306" t="s">
        <v>2774</v>
      </c>
      <c r="Y528" s="462">
        <v>43682.0</v>
      </c>
      <c r="Z528" s="306" t="s">
        <v>2816</v>
      </c>
      <c r="AA528" s="408">
        <v>5.699229642E9</v>
      </c>
      <c r="AB528" s="306">
        <v>31.315</v>
      </c>
      <c r="AC528" s="306"/>
      <c r="AD528" s="306"/>
      <c r="AE528" s="298"/>
      <c r="AF528" s="298"/>
      <c r="AG528" s="299"/>
      <c r="AH528" s="300"/>
      <c r="AI528" s="299"/>
      <c r="AJ528" s="299"/>
      <c r="AK528" s="298" t="s">
        <v>50</v>
      </c>
      <c r="AL528" s="298" t="s">
        <v>285</v>
      </c>
      <c r="AM528" s="298" t="s">
        <v>286</v>
      </c>
      <c r="AN528" s="298" t="s">
        <v>52</v>
      </c>
      <c r="AO528" s="234" t="s">
        <v>507</v>
      </c>
    </row>
    <row r="529" ht="42.75" customHeight="1">
      <c r="A529" s="69">
        <v>43641.0</v>
      </c>
      <c r="B529" s="144" t="s">
        <v>167</v>
      </c>
      <c r="C529" s="504" t="s">
        <v>1235</v>
      </c>
      <c r="D529" s="21" t="s">
        <v>1238</v>
      </c>
      <c r="E529" s="23" t="s">
        <v>1239</v>
      </c>
      <c r="F529" s="58">
        <v>1.0</v>
      </c>
      <c r="G529" s="47">
        <v>1429.0</v>
      </c>
      <c r="H529" s="26">
        <f t="shared" si="63"/>
        <v>1429</v>
      </c>
      <c r="I529" s="431" t="s">
        <v>105</v>
      </c>
      <c r="J529" s="58" t="s">
        <v>172</v>
      </c>
      <c r="K529" s="30">
        <v>43703.0</v>
      </c>
      <c r="L529" s="300">
        <v>43703.0</v>
      </c>
      <c r="M529" s="50" t="s">
        <v>1089</v>
      </c>
      <c r="N529" s="93" t="s">
        <v>2815</v>
      </c>
      <c r="O529" s="408"/>
      <c r="P529" s="408"/>
      <c r="Q529" s="408">
        <f t="shared" si="60"/>
        <v>0</v>
      </c>
      <c r="R529" s="513">
        <v>34015.0</v>
      </c>
      <c r="S529" s="645">
        <v>35715.75</v>
      </c>
      <c r="T529" s="35"/>
      <c r="U529" s="462"/>
      <c r="V529" s="462"/>
      <c r="W529" s="306"/>
      <c r="X529" s="306"/>
      <c r="Y529" s="306"/>
      <c r="Z529" s="306" t="s">
        <v>2816</v>
      </c>
      <c r="AA529" s="408">
        <v>5.699229642E9</v>
      </c>
      <c r="AB529" s="306">
        <v>31.315</v>
      </c>
      <c r="AC529" s="306"/>
      <c r="AD529" s="306"/>
      <c r="AE529" s="298"/>
      <c r="AF529" s="298"/>
      <c r="AG529" s="299"/>
      <c r="AH529" s="300"/>
      <c r="AI529" s="299"/>
      <c r="AJ529" s="299"/>
      <c r="AK529" s="298" t="s">
        <v>50</v>
      </c>
      <c r="AL529" s="298" t="s">
        <v>285</v>
      </c>
      <c r="AM529" s="298" t="s">
        <v>286</v>
      </c>
      <c r="AN529" s="298" t="s">
        <v>52</v>
      </c>
      <c r="AO529" s="234" t="s">
        <v>507</v>
      </c>
    </row>
    <row r="530" ht="42.75" customHeight="1">
      <c r="A530" s="69">
        <v>43641.0</v>
      </c>
      <c r="B530" s="70" t="s">
        <v>1030</v>
      </c>
      <c r="C530" s="21">
        <v>1.9000247E7</v>
      </c>
      <c r="D530" s="21" t="s">
        <v>1240</v>
      </c>
      <c r="E530" s="23" t="s">
        <v>1241</v>
      </c>
      <c r="F530" s="24">
        <v>1.0</v>
      </c>
      <c r="G530" s="48">
        <v>46.37</v>
      </c>
      <c r="H530" s="26">
        <f t="shared" si="63"/>
        <v>46.37</v>
      </c>
      <c r="I530" s="61" t="s">
        <v>105</v>
      </c>
      <c r="J530" s="50" t="s">
        <v>1037</v>
      </c>
      <c r="K530" s="29">
        <v>43644.0</v>
      </c>
      <c r="L530" s="29">
        <v>43643.0</v>
      </c>
      <c r="M530" s="50" t="s">
        <v>90</v>
      </c>
      <c r="N530" s="93" t="s">
        <v>2817</v>
      </c>
      <c r="O530" s="408"/>
      <c r="P530" s="408">
        <v>43.0</v>
      </c>
      <c r="Q530" s="408">
        <f t="shared" si="60"/>
        <v>45.15</v>
      </c>
      <c r="R530" s="408">
        <v>1353.0</v>
      </c>
      <c r="S530" s="408">
        <v>1421.0</v>
      </c>
      <c r="T530" s="35" t="s">
        <v>94</v>
      </c>
      <c r="U530" s="462">
        <v>43708.0</v>
      </c>
      <c r="V530" s="462">
        <v>43642.0</v>
      </c>
      <c r="W530" s="306" t="s">
        <v>1242</v>
      </c>
      <c r="X530" s="306">
        <v>1421.0</v>
      </c>
      <c r="Y530" s="462">
        <v>43706.0</v>
      </c>
      <c r="Z530" s="306" t="s">
        <v>2628</v>
      </c>
      <c r="AA530" s="408">
        <v>5.90014509746E11</v>
      </c>
      <c r="AB530" s="306"/>
      <c r="AC530" s="306"/>
      <c r="AD530" s="306"/>
      <c r="AE530" s="298"/>
      <c r="AF530" s="298"/>
      <c r="AG530" s="299"/>
      <c r="AH530" s="300">
        <v>43643.0</v>
      </c>
      <c r="AI530" s="299" t="s">
        <v>2629</v>
      </c>
      <c r="AJ530" s="299" t="s">
        <v>2630</v>
      </c>
      <c r="AK530" s="298" t="s">
        <v>50</v>
      </c>
      <c r="AL530" s="82" t="s">
        <v>285</v>
      </c>
      <c r="AM530" s="298" t="s">
        <v>51</v>
      </c>
      <c r="AN530" s="298" t="s">
        <v>52</v>
      </c>
      <c r="AO530" s="459" t="s">
        <v>750</v>
      </c>
    </row>
    <row r="531" ht="42.75" customHeight="1">
      <c r="A531" s="19">
        <v>43642.0</v>
      </c>
      <c r="B531" s="51" t="s">
        <v>77</v>
      </c>
      <c r="C531" s="21">
        <v>487.0</v>
      </c>
      <c r="D531" s="22" t="s">
        <v>1243</v>
      </c>
      <c r="E531" s="22" t="s">
        <v>1244</v>
      </c>
      <c r="F531" s="435">
        <v>15.0</v>
      </c>
      <c r="G531" s="47">
        <v>2.3</v>
      </c>
      <c r="H531" s="26">
        <f t="shared" si="63"/>
        <v>34.5</v>
      </c>
      <c r="I531" s="61" t="s">
        <v>43</v>
      </c>
      <c r="J531" s="507" t="s">
        <v>936</v>
      </c>
      <c r="K531" s="29">
        <v>43700.0</v>
      </c>
      <c r="L531" s="29">
        <v>43669.0</v>
      </c>
      <c r="M531" s="50" t="s">
        <v>2039</v>
      </c>
      <c r="N531" s="21" t="s">
        <v>2818</v>
      </c>
      <c r="O531" s="408"/>
      <c r="P531" s="408"/>
      <c r="Q531" s="408">
        <f t="shared" si="60"/>
        <v>0</v>
      </c>
      <c r="R531" s="408">
        <v>55.0</v>
      </c>
      <c r="S531" s="655">
        <f>(R531*F531)*1.05</f>
        <v>866.25</v>
      </c>
      <c r="T531" s="20" t="s">
        <v>2194</v>
      </c>
      <c r="U531" s="462">
        <v>43682.0</v>
      </c>
      <c r="V531" s="462">
        <v>43665.0</v>
      </c>
      <c r="W531" s="306" t="s">
        <v>1245</v>
      </c>
      <c r="X531" s="306">
        <v>866.0</v>
      </c>
      <c r="Y531" s="462">
        <v>43682.0</v>
      </c>
      <c r="Z531" s="306" t="s">
        <v>2819</v>
      </c>
      <c r="AA531" s="298" t="s">
        <v>2820</v>
      </c>
      <c r="AB531" s="306">
        <v>31.315</v>
      </c>
      <c r="AC531" s="306"/>
      <c r="AD531" s="306"/>
      <c r="AE531" s="298"/>
      <c r="AF531" s="298"/>
      <c r="AG531" s="299"/>
      <c r="AH531" s="300">
        <v>43731.0</v>
      </c>
      <c r="AI531" s="299">
        <f>14587*30.96</f>
        <v>451613.52</v>
      </c>
      <c r="AJ531" s="299">
        <v>0.0</v>
      </c>
      <c r="AK531" s="298" t="s">
        <v>50</v>
      </c>
      <c r="AL531" s="298" t="s">
        <v>285</v>
      </c>
      <c r="AM531" s="298" t="s">
        <v>51</v>
      </c>
      <c r="AN531" s="298" t="s">
        <v>52</v>
      </c>
      <c r="AO531" s="234" t="s">
        <v>507</v>
      </c>
    </row>
    <row r="532" ht="42.75" customHeight="1">
      <c r="A532" s="19">
        <v>43642.0</v>
      </c>
      <c r="B532" s="51" t="s">
        <v>77</v>
      </c>
      <c r="C532" s="21">
        <v>487.0</v>
      </c>
      <c r="D532" s="22" t="s">
        <v>1243</v>
      </c>
      <c r="E532" s="246" t="s">
        <v>362</v>
      </c>
      <c r="F532" s="435">
        <v>15.0</v>
      </c>
      <c r="G532" s="48">
        <v>20.0</v>
      </c>
      <c r="H532" s="26">
        <f t="shared" si="63"/>
        <v>300</v>
      </c>
      <c r="I532" s="61" t="s">
        <v>43</v>
      </c>
      <c r="J532" s="507" t="s">
        <v>936</v>
      </c>
      <c r="K532" s="29">
        <v>43700.0</v>
      </c>
      <c r="L532" s="29">
        <v>43696.0</v>
      </c>
      <c r="M532" s="58" t="s">
        <v>2041</v>
      </c>
      <c r="N532" s="21" t="s">
        <v>2821</v>
      </c>
      <c r="O532" s="408"/>
      <c r="P532" s="408">
        <v>17.4</v>
      </c>
      <c r="Q532" s="408">
        <f t="shared" si="60"/>
        <v>274.05</v>
      </c>
      <c r="R532" s="408"/>
      <c r="S532" s="408">
        <v>8602.0</v>
      </c>
      <c r="T532" s="20" t="s">
        <v>2043</v>
      </c>
      <c r="U532" s="462">
        <v>43708.0</v>
      </c>
      <c r="V532" s="462">
        <v>43692.0</v>
      </c>
      <c r="W532" s="306" t="s">
        <v>1246</v>
      </c>
      <c r="X532" s="306">
        <v>16514.0</v>
      </c>
      <c r="Y532" s="462">
        <v>43710.0</v>
      </c>
      <c r="Z532" s="306" t="s">
        <v>2819</v>
      </c>
      <c r="AA532" s="298" t="s">
        <v>2820</v>
      </c>
      <c r="AB532" s="306">
        <v>31.315</v>
      </c>
      <c r="AC532" s="306"/>
      <c r="AD532" s="306"/>
      <c r="AE532" s="298"/>
      <c r="AF532" s="298"/>
      <c r="AG532" s="299"/>
      <c r="AH532" s="300">
        <v>43731.0</v>
      </c>
      <c r="AI532" s="299" t="s">
        <v>2822</v>
      </c>
      <c r="AJ532" s="299" t="s">
        <v>2823</v>
      </c>
      <c r="AK532" s="298" t="s">
        <v>50</v>
      </c>
      <c r="AL532" s="298" t="s">
        <v>285</v>
      </c>
      <c r="AM532" s="298" t="s">
        <v>51</v>
      </c>
      <c r="AN532" s="298" t="s">
        <v>52</v>
      </c>
      <c r="AO532" s="234" t="s">
        <v>507</v>
      </c>
    </row>
    <row r="533" ht="42.75" customHeight="1">
      <c r="A533" s="69">
        <v>43642.0</v>
      </c>
      <c r="B533" s="70" t="s">
        <v>223</v>
      </c>
      <c r="C533" s="21" t="s">
        <v>1247</v>
      </c>
      <c r="D533" s="21" t="s">
        <v>1248</v>
      </c>
      <c r="E533" s="23" t="s">
        <v>1249</v>
      </c>
      <c r="F533" s="24">
        <v>5.0</v>
      </c>
      <c r="G533" s="48">
        <v>112.35</v>
      </c>
      <c r="H533" s="26">
        <v>562.0</v>
      </c>
      <c r="I533" s="61" t="s">
        <v>248</v>
      </c>
      <c r="J533" s="63" t="s">
        <v>90</v>
      </c>
      <c r="K533" s="29">
        <v>43650.0</v>
      </c>
      <c r="L533" s="29">
        <v>43650.0</v>
      </c>
      <c r="M533" s="50" t="s">
        <v>90</v>
      </c>
      <c r="N533" s="93" t="s">
        <v>2824</v>
      </c>
      <c r="O533" s="408"/>
      <c r="P533" s="408">
        <v>97.5</v>
      </c>
      <c r="Q533" s="408">
        <f t="shared" si="60"/>
        <v>511.875</v>
      </c>
      <c r="R533" s="408"/>
      <c r="S533" s="408">
        <v>15881.0</v>
      </c>
      <c r="T533" s="35" t="s">
        <v>94</v>
      </c>
      <c r="U533" s="462">
        <v>43708.0</v>
      </c>
      <c r="V533" s="462">
        <v>43649.0</v>
      </c>
      <c r="W533" s="306" t="s">
        <v>1250</v>
      </c>
      <c r="X533" s="306">
        <v>15881.0</v>
      </c>
      <c r="Y533" s="462">
        <v>43706.0</v>
      </c>
      <c r="Z533" s="306" t="s">
        <v>2825</v>
      </c>
      <c r="AA533" s="306" t="s">
        <v>2826</v>
      </c>
      <c r="AB533" s="306">
        <v>31.115</v>
      </c>
      <c r="AC533" s="306">
        <v>17487.0</v>
      </c>
      <c r="AD533" s="462">
        <v>43650.0</v>
      </c>
      <c r="AE533" s="298"/>
      <c r="AF533" s="298"/>
      <c r="AG533" s="299"/>
      <c r="AH533" s="300">
        <v>43683.0</v>
      </c>
      <c r="AI533" s="299">
        <v>55253.0</v>
      </c>
      <c r="AJ533" s="299">
        <v>15.0</v>
      </c>
      <c r="AK533" s="298" t="s">
        <v>50</v>
      </c>
      <c r="AL533" s="298" t="s">
        <v>285</v>
      </c>
      <c r="AM533" s="298" t="s">
        <v>51</v>
      </c>
      <c r="AN533" s="298" t="s">
        <v>377</v>
      </c>
      <c r="AO533" s="234" t="s">
        <v>507</v>
      </c>
    </row>
    <row r="534" ht="42.75" customHeight="1">
      <c r="A534" s="69">
        <v>43644.0</v>
      </c>
      <c r="B534" s="70" t="s">
        <v>1251</v>
      </c>
      <c r="C534" s="508" t="s">
        <v>1252</v>
      </c>
      <c r="D534" s="21" t="s">
        <v>1253</v>
      </c>
      <c r="E534" s="23" t="s">
        <v>1254</v>
      </c>
      <c r="F534" s="24">
        <v>2.0</v>
      </c>
      <c r="G534" s="48">
        <v>994.0</v>
      </c>
      <c r="H534" s="26">
        <f t="shared" ref="H534:H550" si="65">G534*F534</f>
        <v>1988</v>
      </c>
      <c r="I534" s="61" t="s">
        <v>105</v>
      </c>
      <c r="J534" s="63" t="s">
        <v>1056</v>
      </c>
      <c r="K534" s="29">
        <v>43668.0</v>
      </c>
      <c r="L534" s="30">
        <v>43664.0</v>
      </c>
      <c r="M534" s="544" t="s">
        <v>2827</v>
      </c>
      <c r="N534" s="93" t="s">
        <v>2828</v>
      </c>
      <c r="O534" s="408"/>
      <c r="P534" s="408">
        <v>883.0</v>
      </c>
      <c r="Q534" s="408">
        <f t="shared" si="60"/>
        <v>1854.3</v>
      </c>
      <c r="R534" s="408"/>
      <c r="S534" s="408">
        <v>57410.0</v>
      </c>
      <c r="T534" s="588" t="s">
        <v>2346</v>
      </c>
      <c r="U534" s="462">
        <v>43682.0</v>
      </c>
      <c r="V534" s="462">
        <v>43663.0</v>
      </c>
      <c r="W534" s="306" t="s">
        <v>1255</v>
      </c>
      <c r="X534" s="306">
        <v>57410.0</v>
      </c>
      <c r="Y534" s="462">
        <v>43682.0</v>
      </c>
      <c r="Z534" s="306" t="s">
        <v>2829</v>
      </c>
      <c r="AA534" s="306">
        <v>9.750899045E9</v>
      </c>
      <c r="AB534" s="306"/>
      <c r="AC534" s="306"/>
      <c r="AD534" s="306"/>
      <c r="AE534" s="298"/>
      <c r="AF534" s="298"/>
      <c r="AG534" s="299"/>
      <c r="AH534" s="300">
        <v>43704.0</v>
      </c>
      <c r="AI534" s="299" t="s">
        <v>2732</v>
      </c>
      <c r="AJ534" s="299" t="s">
        <v>2733</v>
      </c>
      <c r="AK534" s="298" t="s">
        <v>50</v>
      </c>
      <c r="AL534" s="298" t="s">
        <v>285</v>
      </c>
      <c r="AM534" s="298" t="s">
        <v>51</v>
      </c>
      <c r="AN534" s="298" t="s">
        <v>52</v>
      </c>
      <c r="AO534" s="234" t="s">
        <v>507</v>
      </c>
    </row>
    <row r="535" ht="42.75" customHeight="1">
      <c r="A535" s="69">
        <v>43644.0</v>
      </c>
      <c r="B535" s="70" t="s">
        <v>1000</v>
      </c>
      <c r="C535" s="21" t="s">
        <v>1256</v>
      </c>
      <c r="D535" s="21" t="s">
        <v>1257</v>
      </c>
      <c r="E535" s="23" t="s">
        <v>1258</v>
      </c>
      <c r="F535" s="24">
        <v>28.0</v>
      </c>
      <c r="G535" s="48">
        <v>80.0</v>
      </c>
      <c r="H535" s="26">
        <f t="shared" si="65"/>
        <v>2240</v>
      </c>
      <c r="I535" s="61" t="s">
        <v>105</v>
      </c>
      <c r="J535" s="63" t="s">
        <v>1259</v>
      </c>
      <c r="K535" s="29">
        <v>43651.0</v>
      </c>
      <c r="L535" s="29">
        <v>43651.0</v>
      </c>
      <c r="M535" s="50" t="s">
        <v>90</v>
      </c>
      <c r="N535" s="93" t="s">
        <v>2830</v>
      </c>
      <c r="O535" s="408"/>
      <c r="P535" s="408">
        <v>75.0</v>
      </c>
      <c r="Q535" s="408">
        <f t="shared" si="60"/>
        <v>2205</v>
      </c>
      <c r="R535" s="408"/>
      <c r="S535" s="408">
        <v>68410.0</v>
      </c>
      <c r="T535" s="35" t="s">
        <v>94</v>
      </c>
      <c r="U535" s="462">
        <v>43708.0</v>
      </c>
      <c r="V535" s="462">
        <v>43649.0</v>
      </c>
      <c r="W535" s="306" t="s">
        <v>1260</v>
      </c>
      <c r="X535" s="306">
        <v>68410.0</v>
      </c>
      <c r="Y535" s="462">
        <v>43706.0</v>
      </c>
      <c r="Z535" s="306" t="s">
        <v>2831</v>
      </c>
      <c r="AA535" s="306">
        <v>1.17008955E8</v>
      </c>
      <c r="AB535" s="306"/>
      <c r="AC535" s="306"/>
      <c r="AD535" s="306"/>
      <c r="AE535" s="298"/>
      <c r="AF535" s="298"/>
      <c r="AG535" s="299"/>
      <c r="AH535" s="300">
        <v>43685.0</v>
      </c>
      <c r="AI535" s="299">
        <f>2240*31.34</f>
        <v>70201.6</v>
      </c>
      <c r="AJ535" s="299">
        <v>0.0</v>
      </c>
      <c r="AK535" s="298" t="s">
        <v>50</v>
      </c>
      <c r="AL535" s="298" t="s">
        <v>285</v>
      </c>
      <c r="AM535" s="298" t="s">
        <v>51</v>
      </c>
      <c r="AN535" s="298" t="s">
        <v>52</v>
      </c>
      <c r="AO535" s="234" t="s">
        <v>507</v>
      </c>
    </row>
    <row r="536" ht="42.75" customHeight="1">
      <c r="A536" s="69">
        <v>43647.0</v>
      </c>
      <c r="B536" s="70" t="s">
        <v>223</v>
      </c>
      <c r="C536" s="21" t="s">
        <v>1261</v>
      </c>
      <c r="D536" s="21" t="s">
        <v>1262</v>
      </c>
      <c r="E536" s="23" t="s">
        <v>1263</v>
      </c>
      <c r="F536" s="24">
        <v>2.0</v>
      </c>
      <c r="G536" s="48">
        <f>500*1.05</f>
        <v>525</v>
      </c>
      <c r="H536" s="60">
        <f t="shared" si="65"/>
        <v>1050</v>
      </c>
      <c r="I536" s="61" t="s">
        <v>248</v>
      </c>
      <c r="J536" s="63" t="s">
        <v>90</v>
      </c>
      <c r="K536" s="30">
        <v>43657.0</v>
      </c>
      <c r="L536" s="30">
        <v>43657.0</v>
      </c>
      <c r="M536" s="544" t="s">
        <v>90</v>
      </c>
      <c r="N536" s="93" t="s">
        <v>2832</v>
      </c>
      <c r="O536" s="408"/>
      <c r="P536" s="408">
        <v>355.0</v>
      </c>
      <c r="Q536" s="408">
        <f t="shared" si="60"/>
        <v>745.5</v>
      </c>
      <c r="R536" s="408"/>
      <c r="S536" s="408">
        <v>23129.0</v>
      </c>
      <c r="T536" s="35" t="s">
        <v>94</v>
      </c>
      <c r="U536" s="462">
        <v>43708.0</v>
      </c>
      <c r="V536" s="462">
        <v>43656.0</v>
      </c>
      <c r="W536" s="306" t="s">
        <v>1264</v>
      </c>
      <c r="X536" s="306">
        <v>23129.0</v>
      </c>
      <c r="Y536" s="462">
        <v>43706.0</v>
      </c>
      <c r="Z536" s="306" t="s">
        <v>2833</v>
      </c>
      <c r="AA536" s="306" t="s">
        <v>2834</v>
      </c>
      <c r="AB536" s="306">
        <v>31.135</v>
      </c>
      <c r="AC536" s="306">
        <v>32692.0</v>
      </c>
      <c r="AD536" s="306"/>
      <c r="AE536" s="298"/>
      <c r="AF536" s="298"/>
      <c r="AG536" s="299"/>
      <c r="AH536" s="300">
        <v>43683.0</v>
      </c>
      <c r="AI536" s="299" t="s">
        <v>2835</v>
      </c>
      <c r="AJ536" s="299" t="s">
        <v>2836</v>
      </c>
      <c r="AK536" s="298" t="s">
        <v>50</v>
      </c>
      <c r="AL536" s="298" t="s">
        <v>285</v>
      </c>
      <c r="AM536" s="298" t="s">
        <v>51</v>
      </c>
      <c r="AN536" s="298" t="s">
        <v>377</v>
      </c>
      <c r="AO536" s="234" t="s">
        <v>507</v>
      </c>
    </row>
    <row r="537" ht="42.75" customHeight="1">
      <c r="A537" s="69">
        <v>43647.0</v>
      </c>
      <c r="B537" s="70" t="s">
        <v>579</v>
      </c>
      <c r="C537" s="21">
        <v>2.0190701003E10</v>
      </c>
      <c r="D537" s="21" t="s">
        <v>1265</v>
      </c>
      <c r="E537" s="32" t="s">
        <v>1266</v>
      </c>
      <c r="F537" s="24">
        <v>6.0</v>
      </c>
      <c r="G537" s="48">
        <v>96.6</v>
      </c>
      <c r="H537" s="442">
        <f t="shared" si="65"/>
        <v>579.6</v>
      </c>
      <c r="I537" s="61" t="s">
        <v>248</v>
      </c>
      <c r="J537" s="63" t="s">
        <v>582</v>
      </c>
      <c r="K537" s="30">
        <v>43655.0</v>
      </c>
      <c r="L537" s="30">
        <v>43654.0</v>
      </c>
      <c r="M537" s="82" t="s">
        <v>1439</v>
      </c>
      <c r="N537" s="93" t="s">
        <v>2837</v>
      </c>
      <c r="O537" s="408"/>
      <c r="P537" s="408">
        <v>80.0</v>
      </c>
      <c r="Q537" s="408">
        <f t="shared" si="60"/>
        <v>504</v>
      </c>
      <c r="R537" s="408"/>
      <c r="S537" s="408">
        <f>15626</f>
        <v>15626</v>
      </c>
      <c r="T537" s="503" t="s">
        <v>1976</v>
      </c>
      <c r="U537" s="462">
        <v>43708.0</v>
      </c>
      <c r="V537" s="462">
        <v>43654.0</v>
      </c>
      <c r="W537" s="306" t="s">
        <v>1267</v>
      </c>
      <c r="X537" s="306">
        <v>15626.0</v>
      </c>
      <c r="Y537" s="462">
        <v>43710.0</v>
      </c>
      <c r="Z537" s="306" t="s">
        <v>2838</v>
      </c>
      <c r="AA537" s="306" t="s">
        <v>2839</v>
      </c>
      <c r="AB537" s="306">
        <v>31.0</v>
      </c>
      <c r="AC537" s="306">
        <v>17968.0</v>
      </c>
      <c r="AD537" s="462">
        <v>43656.0</v>
      </c>
      <c r="AE537" s="298"/>
      <c r="AF537" s="298"/>
      <c r="AG537" s="299"/>
      <c r="AH537" s="300">
        <v>43661.0</v>
      </c>
      <c r="AI537" s="299">
        <v>17968.0</v>
      </c>
      <c r="AJ537" s="299">
        <v>0.0</v>
      </c>
      <c r="AK537" s="298" t="s">
        <v>50</v>
      </c>
      <c r="AL537" s="82" t="s">
        <v>285</v>
      </c>
      <c r="AM537" s="298" t="s">
        <v>51</v>
      </c>
      <c r="AN537" s="298" t="s">
        <v>377</v>
      </c>
      <c r="AO537" s="459" t="s">
        <v>750</v>
      </c>
    </row>
    <row r="538" ht="42.75" customHeight="1">
      <c r="A538" s="69">
        <v>43648.0</v>
      </c>
      <c r="B538" s="70" t="s">
        <v>229</v>
      </c>
      <c r="C538" s="21">
        <v>190702.0</v>
      </c>
      <c r="D538" s="21" t="s">
        <v>1268</v>
      </c>
      <c r="E538" s="32" t="s">
        <v>232</v>
      </c>
      <c r="F538" s="24">
        <v>13.0</v>
      </c>
      <c r="G538" s="48">
        <v>407.4</v>
      </c>
      <c r="H538" s="60">
        <f t="shared" si="65"/>
        <v>5296.2</v>
      </c>
      <c r="I538" s="61" t="s">
        <v>171</v>
      </c>
      <c r="J538" s="63" t="s">
        <v>90</v>
      </c>
      <c r="K538" s="30">
        <v>43664.0</v>
      </c>
      <c r="L538" s="30">
        <v>43664.0</v>
      </c>
      <c r="M538" s="50" t="s">
        <v>90</v>
      </c>
      <c r="N538" s="93" t="s">
        <v>2840</v>
      </c>
      <c r="O538" s="408"/>
      <c r="P538" s="408">
        <v>355.0</v>
      </c>
      <c r="Q538" s="408">
        <f t="shared" si="60"/>
        <v>4845.75</v>
      </c>
      <c r="R538" s="408"/>
      <c r="S538" s="408">
        <v>150436.0</v>
      </c>
      <c r="T538" s="51" t="s">
        <v>94</v>
      </c>
      <c r="U538" s="462">
        <v>43708.0</v>
      </c>
      <c r="V538" s="462">
        <v>43663.0</v>
      </c>
      <c r="W538" s="306" t="s">
        <v>1269</v>
      </c>
      <c r="X538" s="306">
        <v>168293.0</v>
      </c>
      <c r="Y538" s="462">
        <v>43706.0</v>
      </c>
      <c r="Z538" s="306" t="s">
        <v>2841</v>
      </c>
      <c r="AA538" s="306" t="s">
        <v>2842</v>
      </c>
      <c r="AB538" s="306">
        <v>31.07</v>
      </c>
      <c r="AC538" s="306">
        <v>186737.0</v>
      </c>
      <c r="AD538" s="462">
        <v>43664.0</v>
      </c>
      <c r="AE538" s="298"/>
      <c r="AF538" s="298"/>
      <c r="AG538" s="299"/>
      <c r="AH538" s="300">
        <v>43683.0</v>
      </c>
      <c r="AI538" s="299" t="s">
        <v>2692</v>
      </c>
      <c r="AJ538" s="299">
        <v>0.0</v>
      </c>
      <c r="AK538" s="298" t="s">
        <v>50</v>
      </c>
      <c r="AL538" s="298" t="s">
        <v>285</v>
      </c>
      <c r="AM538" s="298" t="s">
        <v>51</v>
      </c>
      <c r="AN538" s="298" t="s">
        <v>377</v>
      </c>
      <c r="AO538" s="234" t="s">
        <v>507</v>
      </c>
    </row>
    <row r="539" ht="42.75" customHeight="1">
      <c r="A539" s="69">
        <v>43648.0</v>
      </c>
      <c r="B539" s="70" t="s">
        <v>229</v>
      </c>
      <c r="C539" s="21">
        <v>190702.0</v>
      </c>
      <c r="D539" s="21" t="s">
        <v>1268</v>
      </c>
      <c r="E539" s="32" t="s">
        <v>736</v>
      </c>
      <c r="F539" s="24">
        <v>2.0</v>
      </c>
      <c r="G539" s="436">
        <v>336.0</v>
      </c>
      <c r="H539" s="60">
        <f t="shared" si="65"/>
        <v>672</v>
      </c>
      <c r="I539" s="61" t="s">
        <v>171</v>
      </c>
      <c r="J539" s="63" t="s">
        <v>90</v>
      </c>
      <c r="K539" s="30">
        <v>43664.0</v>
      </c>
      <c r="L539" s="30">
        <v>43664.0</v>
      </c>
      <c r="M539" s="50" t="s">
        <v>90</v>
      </c>
      <c r="N539" s="93" t="s">
        <v>2840</v>
      </c>
      <c r="O539" s="408"/>
      <c r="P539" s="408">
        <v>257.0</v>
      </c>
      <c r="Q539" s="408">
        <f t="shared" si="60"/>
        <v>539.7</v>
      </c>
      <c r="R539" s="408"/>
      <c r="S539" s="408">
        <v>16755.0</v>
      </c>
      <c r="T539" s="35" t="s">
        <v>94</v>
      </c>
      <c r="U539" s="462">
        <v>43708.0</v>
      </c>
      <c r="V539" s="462">
        <v>43663.0</v>
      </c>
      <c r="W539" s="306" t="s">
        <v>1269</v>
      </c>
      <c r="X539" s="306" t="s">
        <v>2843</v>
      </c>
      <c r="Y539" s="462">
        <v>43706.0</v>
      </c>
      <c r="Z539" s="306" t="s">
        <v>2841</v>
      </c>
      <c r="AA539" s="306" t="s">
        <v>2842</v>
      </c>
      <c r="AB539" s="306">
        <v>31.07</v>
      </c>
      <c r="AC539" s="306" t="s">
        <v>2844</v>
      </c>
      <c r="AD539" s="462">
        <v>43664.0</v>
      </c>
      <c r="AE539" s="298"/>
      <c r="AF539" s="298"/>
      <c r="AG539" s="299"/>
      <c r="AH539" s="300">
        <v>43683.0</v>
      </c>
      <c r="AI539" s="299" t="s">
        <v>2692</v>
      </c>
      <c r="AJ539" s="299">
        <v>0.0</v>
      </c>
      <c r="AK539" s="298" t="s">
        <v>50</v>
      </c>
      <c r="AL539" s="298" t="s">
        <v>285</v>
      </c>
      <c r="AM539" s="298" t="s">
        <v>51</v>
      </c>
      <c r="AN539" s="298" t="s">
        <v>377</v>
      </c>
      <c r="AO539" s="234" t="s">
        <v>507</v>
      </c>
    </row>
    <row r="540" ht="42.75" customHeight="1">
      <c r="A540" s="69">
        <v>43648.0</v>
      </c>
      <c r="B540" s="70" t="s">
        <v>229</v>
      </c>
      <c r="C540" s="21">
        <v>190702.0</v>
      </c>
      <c r="D540" s="21" t="s">
        <v>1268</v>
      </c>
      <c r="E540" s="32" t="s">
        <v>737</v>
      </c>
      <c r="F540" s="24">
        <v>2.0</v>
      </c>
      <c r="G540" s="48">
        <v>21.0</v>
      </c>
      <c r="H540" s="60">
        <f t="shared" si="65"/>
        <v>42</v>
      </c>
      <c r="I540" s="61" t="s">
        <v>171</v>
      </c>
      <c r="J540" s="63" t="s">
        <v>90</v>
      </c>
      <c r="K540" s="30">
        <v>43664.0</v>
      </c>
      <c r="L540" s="30">
        <v>43664.0</v>
      </c>
      <c r="M540" s="50" t="s">
        <v>90</v>
      </c>
      <c r="N540" s="93" t="s">
        <v>2840</v>
      </c>
      <c r="O540" s="408"/>
      <c r="P540" s="408">
        <v>16.9</v>
      </c>
      <c r="Q540" s="408">
        <f t="shared" si="60"/>
        <v>35.49</v>
      </c>
      <c r="R540" s="408"/>
      <c r="S540" s="408">
        <v>1102.0</v>
      </c>
      <c r="T540" s="51" t="s">
        <v>94</v>
      </c>
      <c r="U540" s="462">
        <v>43708.0</v>
      </c>
      <c r="V540" s="462">
        <v>43663.0</v>
      </c>
      <c r="W540" s="306" t="s">
        <v>1269</v>
      </c>
      <c r="X540" s="306" t="s">
        <v>2843</v>
      </c>
      <c r="Y540" s="462">
        <v>43706.0</v>
      </c>
      <c r="Z540" s="306" t="s">
        <v>2841</v>
      </c>
      <c r="AA540" s="306" t="s">
        <v>2842</v>
      </c>
      <c r="AB540" s="306">
        <v>31.07</v>
      </c>
      <c r="AC540" s="306" t="s">
        <v>2844</v>
      </c>
      <c r="AD540" s="462">
        <v>43664.0</v>
      </c>
      <c r="AE540" s="298"/>
      <c r="AF540" s="298"/>
      <c r="AG540" s="299"/>
      <c r="AH540" s="300">
        <v>43683.0</v>
      </c>
      <c r="AI540" s="299" t="s">
        <v>2692</v>
      </c>
      <c r="AJ540" s="299">
        <v>0.0</v>
      </c>
      <c r="AK540" s="298" t="s">
        <v>50</v>
      </c>
      <c r="AL540" s="298" t="s">
        <v>285</v>
      </c>
      <c r="AM540" s="298" t="s">
        <v>51</v>
      </c>
      <c r="AN540" s="298" t="s">
        <v>377</v>
      </c>
      <c r="AO540" s="234" t="s">
        <v>507</v>
      </c>
    </row>
    <row r="541" ht="42.75" customHeight="1">
      <c r="A541" s="69">
        <v>43649.0</v>
      </c>
      <c r="B541" s="70" t="s">
        <v>378</v>
      </c>
      <c r="C541" s="21" t="s">
        <v>1270</v>
      </c>
      <c r="D541" s="21" t="s">
        <v>1271</v>
      </c>
      <c r="E541" s="32" t="s">
        <v>1272</v>
      </c>
      <c r="F541" s="24">
        <v>1.0</v>
      </c>
      <c r="G541" s="48">
        <v>60.0</v>
      </c>
      <c r="H541" s="60">
        <f t="shared" si="65"/>
        <v>60</v>
      </c>
      <c r="I541" s="87" t="s">
        <v>1121</v>
      </c>
      <c r="J541" s="161" t="s">
        <v>1122</v>
      </c>
      <c r="K541" s="29">
        <v>43655.0</v>
      </c>
      <c r="L541" s="30">
        <v>43655.0</v>
      </c>
      <c r="M541" s="50" t="s">
        <v>255</v>
      </c>
      <c r="N541" s="21" t="s">
        <v>2845</v>
      </c>
      <c r="O541" s="408"/>
      <c r="P541" s="408"/>
      <c r="Q541" s="408">
        <f t="shared" si="60"/>
        <v>0</v>
      </c>
      <c r="R541" s="408">
        <v>1390.0</v>
      </c>
      <c r="S541" s="408">
        <f>1460</f>
        <v>1460</v>
      </c>
      <c r="T541" s="70" t="s">
        <v>257</v>
      </c>
      <c r="U541" s="462">
        <v>43682.0</v>
      </c>
      <c r="V541" s="462">
        <v>43655.0</v>
      </c>
      <c r="W541" s="306" t="s">
        <v>1273</v>
      </c>
      <c r="X541" s="306">
        <v>3024.0</v>
      </c>
      <c r="Y541" s="462">
        <v>43682.0</v>
      </c>
      <c r="Z541" s="306" t="s">
        <v>2846</v>
      </c>
      <c r="AA541" s="306" t="s">
        <v>2847</v>
      </c>
      <c r="AB541" s="306"/>
      <c r="AC541" s="306"/>
      <c r="AD541" s="306"/>
      <c r="AE541" s="298"/>
      <c r="AF541" s="298"/>
      <c r="AG541" s="299"/>
      <c r="AH541" s="300">
        <v>43672.0</v>
      </c>
      <c r="AI541" s="299" t="s">
        <v>2702</v>
      </c>
      <c r="AJ541" s="299" t="s">
        <v>2703</v>
      </c>
      <c r="AK541" s="298" t="s">
        <v>50</v>
      </c>
      <c r="AL541" s="298" t="s">
        <v>285</v>
      </c>
      <c r="AM541" s="298" t="s">
        <v>51</v>
      </c>
      <c r="AN541" s="298" t="s">
        <v>52</v>
      </c>
      <c r="AO541" s="234" t="s">
        <v>507</v>
      </c>
    </row>
    <row r="542" ht="42.75" customHeight="1">
      <c r="A542" s="69">
        <v>43649.0</v>
      </c>
      <c r="B542" s="70" t="s">
        <v>378</v>
      </c>
      <c r="C542" s="21" t="s">
        <v>1270</v>
      </c>
      <c r="D542" s="21" t="s">
        <v>1271</v>
      </c>
      <c r="E542" s="32" t="s">
        <v>1274</v>
      </c>
      <c r="F542" s="24">
        <v>1.0</v>
      </c>
      <c r="G542" s="48">
        <v>70.0</v>
      </c>
      <c r="H542" s="60">
        <f t="shared" si="65"/>
        <v>70</v>
      </c>
      <c r="I542" s="509" t="s">
        <v>1121</v>
      </c>
      <c r="J542" s="161" t="s">
        <v>1122</v>
      </c>
      <c r="K542" s="29">
        <v>43655.0</v>
      </c>
      <c r="L542" s="30">
        <v>43655.0</v>
      </c>
      <c r="M542" s="50" t="s">
        <v>255</v>
      </c>
      <c r="N542" s="21" t="s">
        <v>2845</v>
      </c>
      <c r="O542" s="408"/>
      <c r="P542" s="408"/>
      <c r="Q542" s="408">
        <f t="shared" si="60"/>
        <v>0</v>
      </c>
      <c r="R542" s="408">
        <v>1490.0</v>
      </c>
      <c r="S542" s="408">
        <v>1564.0</v>
      </c>
      <c r="T542" s="70" t="s">
        <v>257</v>
      </c>
      <c r="U542" s="462">
        <v>43682.0</v>
      </c>
      <c r="V542" s="462">
        <v>43655.0</v>
      </c>
      <c r="W542" s="306" t="s">
        <v>1273</v>
      </c>
      <c r="X542" s="306" t="s">
        <v>2848</v>
      </c>
      <c r="Y542" s="462">
        <v>43682.0</v>
      </c>
      <c r="Z542" s="306" t="s">
        <v>2846</v>
      </c>
      <c r="AA542" s="306" t="s">
        <v>2847</v>
      </c>
      <c r="AB542" s="306"/>
      <c r="AC542" s="306"/>
      <c r="AD542" s="306"/>
      <c r="AE542" s="298"/>
      <c r="AF542" s="298"/>
      <c r="AG542" s="299"/>
      <c r="AH542" s="300">
        <v>43672.0</v>
      </c>
      <c r="AI542" s="299" t="s">
        <v>2702</v>
      </c>
      <c r="AJ542" s="299" t="s">
        <v>2703</v>
      </c>
      <c r="AK542" s="298" t="s">
        <v>50</v>
      </c>
      <c r="AL542" s="298" t="s">
        <v>285</v>
      </c>
      <c r="AM542" s="298" t="s">
        <v>51</v>
      </c>
      <c r="AN542" s="298" t="s">
        <v>52</v>
      </c>
      <c r="AO542" s="234" t="s">
        <v>507</v>
      </c>
    </row>
    <row r="543" ht="42.75" customHeight="1">
      <c r="A543" s="69">
        <v>43649.0</v>
      </c>
      <c r="B543" s="70" t="s">
        <v>77</v>
      </c>
      <c r="C543" s="240">
        <v>492.0</v>
      </c>
      <c r="D543" s="21" t="s">
        <v>1275</v>
      </c>
      <c r="E543" s="246" t="s">
        <v>315</v>
      </c>
      <c r="F543" s="24">
        <v>30.0</v>
      </c>
      <c r="G543" s="48">
        <v>285.0</v>
      </c>
      <c r="H543" s="26">
        <f t="shared" si="65"/>
        <v>8550</v>
      </c>
      <c r="I543" s="510" t="s">
        <v>43</v>
      </c>
      <c r="J543" s="433" t="s">
        <v>936</v>
      </c>
      <c r="K543" s="29">
        <v>43700.0</v>
      </c>
      <c r="L543" s="30">
        <v>43690.0</v>
      </c>
      <c r="M543" s="50" t="s">
        <v>1998</v>
      </c>
      <c r="N543" s="32" t="s">
        <v>2849</v>
      </c>
      <c r="O543" s="408"/>
      <c r="P543" s="408">
        <v>250.0</v>
      </c>
      <c r="Q543" s="408">
        <f t="shared" si="60"/>
        <v>7875</v>
      </c>
      <c r="R543" s="408"/>
      <c r="S543" s="408">
        <v>246803.0</v>
      </c>
      <c r="T543" s="503" t="s">
        <v>2000</v>
      </c>
      <c r="U543" s="462">
        <v>43738.0</v>
      </c>
      <c r="V543" s="462">
        <v>43689.0</v>
      </c>
      <c r="W543" s="306" t="s">
        <v>1276</v>
      </c>
      <c r="X543" s="306">
        <v>246803.0</v>
      </c>
      <c r="Y543" s="462">
        <v>43739.0</v>
      </c>
      <c r="Z543" s="306" t="s">
        <v>2819</v>
      </c>
      <c r="AA543" s="298" t="s">
        <v>2820</v>
      </c>
      <c r="AB543" s="306">
        <v>31.315</v>
      </c>
      <c r="AC543" s="306"/>
      <c r="AD543" s="306"/>
      <c r="AE543" s="298"/>
      <c r="AF543" s="298"/>
      <c r="AG543" s="299"/>
      <c r="AH543" s="300">
        <v>43731.0</v>
      </c>
      <c r="AI543" s="299" t="s">
        <v>2822</v>
      </c>
      <c r="AJ543" s="299" t="s">
        <v>2823</v>
      </c>
      <c r="AK543" s="298" t="s">
        <v>50</v>
      </c>
      <c r="AL543" s="298" t="s">
        <v>285</v>
      </c>
      <c r="AM543" s="298" t="s">
        <v>51</v>
      </c>
      <c r="AN543" s="298" t="s">
        <v>52</v>
      </c>
      <c r="AO543" s="234" t="s">
        <v>507</v>
      </c>
    </row>
    <row r="544" ht="42.75" customHeight="1">
      <c r="A544" s="69">
        <v>43650.0</v>
      </c>
      <c r="B544" s="309" t="s">
        <v>101</v>
      </c>
      <c r="C544" s="22" t="s">
        <v>0</v>
      </c>
      <c r="D544" s="511" t="s">
        <v>1277</v>
      </c>
      <c r="E544" s="22" t="s">
        <v>1278</v>
      </c>
      <c r="F544" s="24">
        <v>1.0</v>
      </c>
      <c r="G544" s="48">
        <v>655.0</v>
      </c>
      <c r="H544" s="60">
        <f t="shared" si="65"/>
        <v>655</v>
      </c>
      <c r="I544" s="61" t="s">
        <v>105</v>
      </c>
      <c r="J544" s="50" t="s">
        <v>534</v>
      </c>
      <c r="K544" s="145">
        <v>43671.0</v>
      </c>
      <c r="L544" s="30"/>
      <c r="M544" s="50" t="s">
        <v>179</v>
      </c>
      <c r="N544" s="93" t="s">
        <v>2850</v>
      </c>
      <c r="O544" s="408"/>
      <c r="P544" s="408"/>
      <c r="Q544" s="408"/>
      <c r="R544" s="408">
        <v>15170.0</v>
      </c>
      <c r="S544" s="408">
        <f>R544*1.05</f>
        <v>15928.5</v>
      </c>
      <c r="T544" s="503"/>
      <c r="U544" s="462"/>
      <c r="V544" s="462"/>
      <c r="W544" s="306"/>
      <c r="X544" s="306"/>
      <c r="Y544" s="306"/>
      <c r="Z544" s="306"/>
      <c r="AA544" s="306"/>
      <c r="AB544" s="306"/>
      <c r="AC544" s="306"/>
      <c r="AD544" s="306"/>
      <c r="AE544" s="298"/>
      <c r="AF544" s="298"/>
      <c r="AG544" s="299"/>
      <c r="AH544" s="300">
        <v>43734.0</v>
      </c>
      <c r="AI544" s="299" t="s">
        <v>2851</v>
      </c>
      <c r="AJ544" s="299" t="s">
        <v>2852</v>
      </c>
      <c r="AK544" s="298" t="s">
        <v>50</v>
      </c>
      <c r="AL544" s="298" t="s">
        <v>285</v>
      </c>
      <c r="AM544" s="298" t="s">
        <v>286</v>
      </c>
      <c r="AN544" s="298" t="s">
        <v>52</v>
      </c>
      <c r="AO544" s="234" t="s">
        <v>507</v>
      </c>
    </row>
    <row r="545" ht="42.75" customHeight="1">
      <c r="A545" s="69">
        <v>43650.0</v>
      </c>
      <c r="B545" s="21" t="s">
        <v>1279</v>
      </c>
      <c r="C545" s="21">
        <v>45719.0</v>
      </c>
      <c r="D545" s="21" t="s">
        <v>1280</v>
      </c>
      <c r="E545" s="32" t="s">
        <v>1281</v>
      </c>
      <c r="F545" s="24">
        <v>1.0</v>
      </c>
      <c r="G545" s="47">
        <v>1020.0</v>
      </c>
      <c r="H545" s="26">
        <f t="shared" si="65"/>
        <v>1020</v>
      </c>
      <c r="I545" s="61" t="s">
        <v>105</v>
      </c>
      <c r="J545" s="62" t="s">
        <v>1282</v>
      </c>
      <c r="K545" s="29">
        <v>43669.0</v>
      </c>
      <c r="L545" s="30">
        <v>43665.0</v>
      </c>
      <c r="M545" s="50" t="s">
        <v>1439</v>
      </c>
      <c r="N545" s="93" t="s">
        <v>2853</v>
      </c>
      <c r="O545" s="408"/>
      <c r="P545" s="408">
        <v>895.0</v>
      </c>
      <c r="Q545" s="408">
        <f>(P545*F545)*1.05</f>
        <v>939.75</v>
      </c>
      <c r="R545" s="408"/>
      <c r="S545" s="408">
        <v>29307.0</v>
      </c>
      <c r="T545" s="503" t="s">
        <v>1976</v>
      </c>
      <c r="U545" s="462">
        <v>43708.0</v>
      </c>
      <c r="V545" s="462">
        <v>43664.0</v>
      </c>
      <c r="W545" s="306" t="s">
        <v>1283</v>
      </c>
      <c r="X545" s="306">
        <v>29307.0</v>
      </c>
      <c r="Y545" s="462">
        <v>43710.0</v>
      </c>
      <c r="Z545" s="306" t="s">
        <v>2854</v>
      </c>
      <c r="AA545" s="306" t="s">
        <v>2855</v>
      </c>
      <c r="AB545" s="306"/>
      <c r="AC545" s="306"/>
      <c r="AD545" s="306"/>
      <c r="AE545" s="298"/>
      <c r="AF545" s="298"/>
      <c r="AG545" s="299"/>
      <c r="AH545" s="300">
        <v>43669.0</v>
      </c>
      <c r="AI545" s="299">
        <f>1020*31.02</f>
        <v>31640.4</v>
      </c>
      <c r="AJ545" s="299">
        <v>0.0</v>
      </c>
      <c r="AK545" s="298" t="s">
        <v>50</v>
      </c>
      <c r="AL545" s="82" t="s">
        <v>285</v>
      </c>
      <c r="AM545" s="298" t="s">
        <v>51</v>
      </c>
      <c r="AN545" s="298" t="s">
        <v>52</v>
      </c>
      <c r="AO545" s="459" t="s">
        <v>750</v>
      </c>
    </row>
    <row r="546" ht="42.75" customHeight="1">
      <c r="A546" s="69">
        <v>43651.0</v>
      </c>
      <c r="B546" s="309" t="s">
        <v>101</v>
      </c>
      <c r="C546" s="22" t="s">
        <v>1154</v>
      </c>
      <c r="D546" s="22" t="s">
        <v>1284</v>
      </c>
      <c r="E546" s="20" t="s">
        <v>347</v>
      </c>
      <c r="F546" s="24">
        <v>1.0</v>
      </c>
      <c r="G546" s="48">
        <v>427.0</v>
      </c>
      <c r="H546" s="60">
        <f t="shared" si="65"/>
        <v>427</v>
      </c>
      <c r="I546" s="61" t="s">
        <v>105</v>
      </c>
      <c r="J546" s="63" t="s">
        <v>1018</v>
      </c>
      <c r="K546" s="29">
        <v>43651.0</v>
      </c>
      <c r="L546" s="29"/>
      <c r="M546" s="50" t="s">
        <v>263</v>
      </c>
      <c r="N546" s="93"/>
      <c r="O546" s="408"/>
      <c r="P546" s="408"/>
      <c r="Q546" s="408"/>
      <c r="R546" s="408">
        <v>11646.0</v>
      </c>
      <c r="S546" s="408">
        <v>12228.0</v>
      </c>
      <c r="T546" s="503"/>
      <c r="U546" s="462">
        <v>43677.0</v>
      </c>
      <c r="V546" s="462">
        <v>43658.0</v>
      </c>
      <c r="W546" s="306" t="s">
        <v>1285</v>
      </c>
      <c r="X546" s="306">
        <v>12228.0</v>
      </c>
      <c r="Y546" s="462">
        <v>43677.0</v>
      </c>
      <c r="Z546" s="306" t="s">
        <v>2730</v>
      </c>
      <c r="AA546" s="306">
        <v>2.006144276E9</v>
      </c>
      <c r="AB546" s="306"/>
      <c r="AC546" s="306"/>
      <c r="AD546" s="462"/>
      <c r="AE546" s="298"/>
      <c r="AF546" s="298"/>
      <c r="AG546" s="299"/>
      <c r="AH546" s="300">
        <v>43704.0</v>
      </c>
      <c r="AI546" s="299" t="s">
        <v>2732</v>
      </c>
      <c r="AJ546" s="299" t="s">
        <v>2733</v>
      </c>
      <c r="AK546" s="298" t="s">
        <v>50</v>
      </c>
      <c r="AL546" s="298" t="s">
        <v>285</v>
      </c>
      <c r="AM546" s="298" t="s">
        <v>286</v>
      </c>
      <c r="AN546" s="298" t="s">
        <v>52</v>
      </c>
      <c r="AO546" s="234" t="s">
        <v>507</v>
      </c>
    </row>
    <row r="547" ht="42.75" customHeight="1">
      <c r="A547" s="69">
        <v>43654.0</v>
      </c>
      <c r="B547" s="70" t="s">
        <v>130</v>
      </c>
      <c r="C547" s="21" t="s">
        <v>1286</v>
      </c>
      <c r="D547" s="21" t="s">
        <v>1287</v>
      </c>
      <c r="E547" s="23" t="s">
        <v>241</v>
      </c>
      <c r="F547" s="55">
        <v>20.0</v>
      </c>
      <c r="G547" s="48">
        <v>90.0</v>
      </c>
      <c r="H547" s="411">
        <f t="shared" si="65"/>
        <v>1800</v>
      </c>
      <c r="I547" s="61" t="s">
        <v>248</v>
      </c>
      <c r="J547" s="63" t="s">
        <v>134</v>
      </c>
      <c r="K547" s="30">
        <v>43668.0</v>
      </c>
      <c r="L547" s="30">
        <v>43665.0</v>
      </c>
      <c r="M547" s="50" t="s">
        <v>90</v>
      </c>
      <c r="N547" s="93" t="s">
        <v>2856</v>
      </c>
      <c r="O547" s="408"/>
      <c r="P547" s="408">
        <v>77.0</v>
      </c>
      <c r="Q547" s="408">
        <f t="shared" ref="Q547:Q576" si="66">(P547*F547)*1.05</f>
        <v>1617</v>
      </c>
      <c r="R547" s="408"/>
      <c r="S547" s="408">
        <v>50200.0</v>
      </c>
      <c r="T547" s="51" t="s">
        <v>94</v>
      </c>
      <c r="U547" s="462">
        <v>43708.0</v>
      </c>
      <c r="V547" s="462">
        <v>43665.0</v>
      </c>
      <c r="W547" s="306" t="s">
        <v>1288</v>
      </c>
      <c r="X547" s="306">
        <v>71714.0</v>
      </c>
      <c r="Y547" s="462">
        <v>43706.0</v>
      </c>
      <c r="Z547" s="306" t="s">
        <v>2857</v>
      </c>
      <c r="AA547" s="306">
        <v>1.505249653E9</v>
      </c>
      <c r="AB547" s="306"/>
      <c r="AC547" s="306"/>
      <c r="AD547" s="306"/>
      <c r="AE547" s="298"/>
      <c r="AF547" s="298"/>
      <c r="AG547" s="299"/>
      <c r="AH547" s="300">
        <v>43685.0</v>
      </c>
      <c r="AI547" s="299">
        <f>4532.64*31.43</f>
        <v>142460.8752</v>
      </c>
      <c r="AJ547" s="299">
        <f>(4555-4532.64)*31.43</f>
        <v>702.7748</v>
      </c>
      <c r="AK547" s="298" t="s">
        <v>50</v>
      </c>
      <c r="AL547" s="298" t="s">
        <v>285</v>
      </c>
      <c r="AM547" s="298" t="s">
        <v>51</v>
      </c>
      <c r="AN547" s="298" t="s">
        <v>52</v>
      </c>
      <c r="AO547" s="234" t="s">
        <v>507</v>
      </c>
    </row>
    <row r="548" ht="42.75" customHeight="1">
      <c r="A548" s="69">
        <v>43654.0</v>
      </c>
      <c r="B548" s="70" t="s">
        <v>130</v>
      </c>
      <c r="C548" s="21" t="s">
        <v>1286</v>
      </c>
      <c r="D548" s="21" t="s">
        <v>1287</v>
      </c>
      <c r="E548" s="23" t="s">
        <v>886</v>
      </c>
      <c r="F548" s="24">
        <v>20.0</v>
      </c>
      <c r="G548" s="48">
        <v>4.0</v>
      </c>
      <c r="H548" s="411">
        <f t="shared" si="65"/>
        <v>80</v>
      </c>
      <c r="I548" s="61" t="s">
        <v>248</v>
      </c>
      <c r="J548" s="63" t="s">
        <v>134</v>
      </c>
      <c r="K548" s="30">
        <v>43668.0</v>
      </c>
      <c r="L548" s="30">
        <v>43665.0</v>
      </c>
      <c r="M548" s="50" t="s">
        <v>90</v>
      </c>
      <c r="N548" s="93" t="s">
        <v>2856</v>
      </c>
      <c r="O548" s="408"/>
      <c r="P548" s="408">
        <v>3.0</v>
      </c>
      <c r="Q548" s="408">
        <f t="shared" si="66"/>
        <v>63</v>
      </c>
      <c r="R548" s="408"/>
      <c r="S548" s="408">
        <v>1956.0</v>
      </c>
      <c r="T548" s="51" t="s">
        <v>94</v>
      </c>
      <c r="U548" s="462">
        <v>43708.0</v>
      </c>
      <c r="V548" s="462">
        <v>43665.0</v>
      </c>
      <c r="W548" s="306" t="s">
        <v>1288</v>
      </c>
      <c r="X548" s="306" t="s">
        <v>2858</v>
      </c>
      <c r="Y548" s="462">
        <v>43706.0</v>
      </c>
      <c r="Z548" s="306" t="s">
        <v>2857</v>
      </c>
      <c r="AA548" s="306">
        <v>1.505249653E9</v>
      </c>
      <c r="AB548" s="306"/>
      <c r="AC548" s="306"/>
      <c r="AD548" s="306"/>
      <c r="AE548" s="298"/>
      <c r="AF548" s="298"/>
      <c r="AG548" s="299"/>
      <c r="AH548" s="300">
        <v>43685.0</v>
      </c>
      <c r="AI548" s="299" t="s">
        <v>2859</v>
      </c>
      <c r="AJ548" s="299" t="s">
        <v>2860</v>
      </c>
      <c r="AK548" s="298" t="s">
        <v>50</v>
      </c>
      <c r="AL548" s="298" t="s">
        <v>285</v>
      </c>
      <c r="AM548" s="298" t="s">
        <v>51</v>
      </c>
      <c r="AN548" s="298" t="s">
        <v>52</v>
      </c>
      <c r="AO548" s="234" t="s">
        <v>507</v>
      </c>
    </row>
    <row r="549" ht="42.75" customHeight="1">
      <c r="A549" s="69">
        <v>43654.0</v>
      </c>
      <c r="B549" s="70" t="s">
        <v>130</v>
      </c>
      <c r="C549" s="21" t="s">
        <v>1286</v>
      </c>
      <c r="D549" s="21" t="s">
        <v>1287</v>
      </c>
      <c r="E549" s="23" t="s">
        <v>242</v>
      </c>
      <c r="F549" s="24">
        <v>10.0</v>
      </c>
      <c r="G549" s="48">
        <v>66.0</v>
      </c>
      <c r="H549" s="411">
        <f t="shared" si="65"/>
        <v>660</v>
      </c>
      <c r="I549" s="61" t="s">
        <v>248</v>
      </c>
      <c r="J549" s="63" t="s">
        <v>134</v>
      </c>
      <c r="K549" s="30">
        <v>43668.0</v>
      </c>
      <c r="L549" s="30">
        <v>43665.0</v>
      </c>
      <c r="M549" s="50" t="s">
        <v>90</v>
      </c>
      <c r="N549" s="93" t="s">
        <v>2856</v>
      </c>
      <c r="O549" s="408"/>
      <c r="P549" s="408">
        <v>60.0</v>
      </c>
      <c r="Q549" s="408">
        <f t="shared" si="66"/>
        <v>630</v>
      </c>
      <c r="R549" s="408"/>
      <c r="S549" s="408">
        <v>19558.0</v>
      </c>
      <c r="T549" s="51" t="s">
        <v>94</v>
      </c>
      <c r="U549" s="512">
        <v>43708.0</v>
      </c>
      <c r="V549" s="512">
        <v>43665.0</v>
      </c>
      <c r="W549" s="513" t="s">
        <v>1288</v>
      </c>
      <c r="X549" s="306" t="s">
        <v>2858</v>
      </c>
      <c r="Y549" s="462">
        <v>43706.0</v>
      </c>
      <c r="Z549" s="306" t="s">
        <v>2857</v>
      </c>
      <c r="AA549" s="306">
        <v>1.505249653E9</v>
      </c>
      <c r="AB549" s="306"/>
      <c r="AC549" s="306"/>
      <c r="AD549" s="306"/>
      <c r="AE549" s="298"/>
      <c r="AF549" s="298"/>
      <c r="AG549" s="299"/>
      <c r="AH549" s="300">
        <v>43685.0</v>
      </c>
      <c r="AI549" s="299" t="s">
        <v>2859</v>
      </c>
      <c r="AJ549" s="299" t="s">
        <v>2860</v>
      </c>
      <c r="AK549" s="298" t="s">
        <v>50</v>
      </c>
      <c r="AL549" s="298" t="s">
        <v>285</v>
      </c>
      <c r="AM549" s="298" t="s">
        <v>51</v>
      </c>
      <c r="AN549" s="298" t="s">
        <v>52</v>
      </c>
      <c r="AO549" s="234" t="s">
        <v>507</v>
      </c>
    </row>
    <row r="550" ht="42.75" customHeight="1">
      <c r="A550" s="69">
        <v>43655.0</v>
      </c>
      <c r="B550" s="144" t="s">
        <v>673</v>
      </c>
      <c r="C550" s="32" t="s">
        <v>1289</v>
      </c>
      <c r="D550" s="21" t="s">
        <v>1290</v>
      </c>
      <c r="E550" s="23" t="s">
        <v>1291</v>
      </c>
      <c r="F550" s="24">
        <v>1.0</v>
      </c>
      <c r="G550" s="76">
        <v>277.0</v>
      </c>
      <c r="H550" s="411">
        <f t="shared" si="65"/>
        <v>277</v>
      </c>
      <c r="I550" s="61" t="s">
        <v>105</v>
      </c>
      <c r="J550" s="63" t="s">
        <v>1292</v>
      </c>
      <c r="K550" s="29">
        <v>43656.0</v>
      </c>
      <c r="L550" s="29">
        <v>43656.0</v>
      </c>
      <c r="M550" s="50" t="s">
        <v>179</v>
      </c>
      <c r="N550" s="93" t="s">
        <v>1290</v>
      </c>
      <c r="O550" s="408"/>
      <c r="P550" s="408"/>
      <c r="Q550" s="408">
        <f t="shared" si="66"/>
        <v>0</v>
      </c>
      <c r="R550" s="408"/>
      <c r="S550" s="587">
        <v>683.8709677</v>
      </c>
      <c r="T550" s="417"/>
      <c r="U550" s="306"/>
      <c r="V550" s="306"/>
      <c r="W550" s="306"/>
      <c r="X550" s="306"/>
      <c r="Y550" s="306"/>
      <c r="Z550" s="306" t="s">
        <v>2861</v>
      </c>
      <c r="AA550" s="306" t="s">
        <v>2862</v>
      </c>
      <c r="AB550" s="306"/>
      <c r="AC550" s="306"/>
      <c r="AD550" s="306"/>
      <c r="AE550" s="298"/>
      <c r="AF550" s="298"/>
      <c r="AG550" s="299"/>
      <c r="AH550" s="300">
        <v>43655.0</v>
      </c>
      <c r="AI550" s="299"/>
      <c r="AJ550" s="299"/>
      <c r="AK550" s="298" t="s">
        <v>50</v>
      </c>
      <c r="AL550" s="82" t="s">
        <v>285</v>
      </c>
      <c r="AM550" s="298" t="s">
        <v>286</v>
      </c>
      <c r="AN550" s="298" t="s">
        <v>52</v>
      </c>
      <c r="AO550" s="459" t="s">
        <v>750</v>
      </c>
    </row>
    <row r="551" ht="42.75" customHeight="1">
      <c r="A551" s="69">
        <v>43657.0</v>
      </c>
      <c r="B551" s="70" t="s">
        <v>1000</v>
      </c>
      <c r="C551" s="21" t="s">
        <v>1293</v>
      </c>
      <c r="D551" s="21" t="s">
        <v>1294</v>
      </c>
      <c r="E551" s="23" t="s">
        <v>1295</v>
      </c>
      <c r="F551" s="24">
        <v>3.0</v>
      </c>
      <c r="G551" s="48">
        <v>277.0</v>
      </c>
      <c r="H551" s="411">
        <f>G550*F551</f>
        <v>831</v>
      </c>
      <c r="I551" s="61" t="s">
        <v>105</v>
      </c>
      <c r="J551" s="63" t="s">
        <v>1296</v>
      </c>
      <c r="K551" s="300">
        <v>43662.0</v>
      </c>
      <c r="L551" s="692">
        <v>43661.0</v>
      </c>
      <c r="M551" s="50" t="s">
        <v>90</v>
      </c>
      <c r="N551" s="93" t="s">
        <v>2863</v>
      </c>
      <c r="O551" s="408"/>
      <c r="P551" s="408">
        <v>243.75</v>
      </c>
      <c r="Q551" s="408">
        <f t="shared" si="66"/>
        <v>767.8125</v>
      </c>
      <c r="R551" s="408"/>
      <c r="S551" s="408">
        <v>23837.0</v>
      </c>
      <c r="T551" s="684" t="s">
        <v>94</v>
      </c>
      <c r="U551" s="462">
        <v>43708.0</v>
      </c>
      <c r="V551" s="462">
        <v>43658.0</v>
      </c>
      <c r="W551" s="306" t="s">
        <v>1297</v>
      </c>
      <c r="X551" s="306">
        <v>23837.0</v>
      </c>
      <c r="Y551" s="462">
        <v>43706.0</v>
      </c>
      <c r="Z551" s="306" t="s">
        <v>2864</v>
      </c>
      <c r="AA551" s="306">
        <v>1.20682907E8</v>
      </c>
      <c r="AB551" s="306"/>
      <c r="AC551" s="306"/>
      <c r="AD551" s="306"/>
      <c r="AE551" s="298"/>
      <c r="AF551" s="298"/>
      <c r="AG551" s="299"/>
      <c r="AH551" s="300">
        <v>43658.0</v>
      </c>
      <c r="AI551" s="299">
        <f>831*31.03</f>
        <v>25785.93</v>
      </c>
      <c r="AJ551" s="299">
        <v>0.0</v>
      </c>
      <c r="AK551" s="298" t="s">
        <v>50</v>
      </c>
      <c r="AL551" s="82" t="s">
        <v>285</v>
      </c>
      <c r="AM551" s="298" t="s">
        <v>51</v>
      </c>
      <c r="AN551" s="298" t="s">
        <v>52</v>
      </c>
      <c r="AO551" s="459" t="s">
        <v>750</v>
      </c>
    </row>
    <row r="552" ht="42.75" customHeight="1">
      <c r="A552" s="69">
        <v>43657.0</v>
      </c>
      <c r="B552" s="70" t="s">
        <v>130</v>
      </c>
      <c r="C552" s="21" t="s">
        <v>1298</v>
      </c>
      <c r="D552" s="21" t="s">
        <v>1299</v>
      </c>
      <c r="E552" s="32" t="s">
        <v>1300</v>
      </c>
      <c r="F552" s="24">
        <v>10.0</v>
      </c>
      <c r="G552" s="48">
        <v>103.0</v>
      </c>
      <c r="H552" s="411">
        <f t="shared" ref="H552:H593" si="67">G552*F552</f>
        <v>1030</v>
      </c>
      <c r="I552" s="61" t="s">
        <v>248</v>
      </c>
      <c r="J552" s="63" t="s">
        <v>134</v>
      </c>
      <c r="K552" s="145">
        <v>43668.0</v>
      </c>
      <c r="L552" s="145">
        <v>43665.0</v>
      </c>
      <c r="M552" s="50" t="s">
        <v>90</v>
      </c>
      <c r="N552" s="93" t="s">
        <v>2865</v>
      </c>
      <c r="O552" s="408"/>
      <c r="P552" s="408">
        <v>96.0</v>
      </c>
      <c r="Q552" s="408">
        <f t="shared" si="66"/>
        <v>1008</v>
      </c>
      <c r="R552" s="408"/>
      <c r="S552" s="408">
        <v>31293.0</v>
      </c>
      <c r="T552" s="51" t="s">
        <v>94</v>
      </c>
      <c r="U552" s="462">
        <v>43708.0</v>
      </c>
      <c r="V552" s="462">
        <v>43664.0</v>
      </c>
      <c r="W552" s="306" t="s">
        <v>1301</v>
      </c>
      <c r="X552" s="306">
        <v>41112.0</v>
      </c>
      <c r="Y552" s="462">
        <v>43706.0</v>
      </c>
      <c r="Z552" s="306" t="s">
        <v>2857</v>
      </c>
      <c r="AA552" s="306">
        <v>1.505249653E9</v>
      </c>
      <c r="AB552" s="306"/>
      <c r="AC552" s="306"/>
      <c r="AD552" s="306"/>
      <c r="AE552" s="298"/>
      <c r="AF552" s="298"/>
      <c r="AG552" s="299"/>
      <c r="AH552" s="300">
        <v>43685.0</v>
      </c>
      <c r="AI552" s="299" t="s">
        <v>2859</v>
      </c>
      <c r="AJ552" s="299" t="s">
        <v>2860</v>
      </c>
      <c r="AK552" s="298" t="s">
        <v>50</v>
      </c>
      <c r="AL552" s="298" t="s">
        <v>285</v>
      </c>
      <c r="AM552" s="298" t="s">
        <v>51</v>
      </c>
      <c r="AN552" s="298" t="s">
        <v>52</v>
      </c>
      <c r="AO552" s="234" t="s">
        <v>507</v>
      </c>
    </row>
    <row r="553" ht="42.75" customHeight="1">
      <c r="A553" s="69">
        <v>43657.0</v>
      </c>
      <c r="B553" s="514" t="s">
        <v>130</v>
      </c>
      <c r="C553" s="21" t="s">
        <v>1298</v>
      </c>
      <c r="D553" s="21" t="s">
        <v>1299</v>
      </c>
      <c r="E553" s="23" t="s">
        <v>137</v>
      </c>
      <c r="F553" s="24">
        <v>10.0</v>
      </c>
      <c r="G553" s="48">
        <v>29.0</v>
      </c>
      <c r="H553" s="411">
        <f t="shared" si="67"/>
        <v>290</v>
      </c>
      <c r="I553" s="61" t="s">
        <v>248</v>
      </c>
      <c r="J553" s="63" t="s">
        <v>134</v>
      </c>
      <c r="K553" s="145">
        <v>43668.0</v>
      </c>
      <c r="L553" s="145">
        <v>43665.0</v>
      </c>
      <c r="M553" s="50" t="s">
        <v>90</v>
      </c>
      <c r="N553" s="93" t="s">
        <v>2865</v>
      </c>
      <c r="O553" s="408"/>
      <c r="P553" s="408">
        <v>27.0</v>
      </c>
      <c r="Q553" s="408">
        <f t="shared" si="66"/>
        <v>283.5</v>
      </c>
      <c r="R553" s="408"/>
      <c r="S553" s="408">
        <v>8802.0</v>
      </c>
      <c r="T553" s="51" t="s">
        <v>94</v>
      </c>
      <c r="U553" s="462">
        <v>43708.0</v>
      </c>
      <c r="V553" s="462">
        <v>43664.0</v>
      </c>
      <c r="W553" s="306" t="s">
        <v>1301</v>
      </c>
      <c r="X553" s="306" t="s">
        <v>2866</v>
      </c>
      <c r="Y553" s="462">
        <v>43706.0</v>
      </c>
      <c r="Z553" s="306" t="s">
        <v>2857</v>
      </c>
      <c r="AA553" s="306">
        <v>1.505249653E9</v>
      </c>
      <c r="AB553" s="306"/>
      <c r="AC553" s="306"/>
      <c r="AD553" s="306"/>
      <c r="AE553" s="298"/>
      <c r="AF553" s="298"/>
      <c r="AG553" s="299"/>
      <c r="AH553" s="300">
        <v>43685.0</v>
      </c>
      <c r="AI553" s="299" t="s">
        <v>2859</v>
      </c>
      <c r="AJ553" s="299" t="s">
        <v>2860</v>
      </c>
      <c r="AK553" s="298" t="s">
        <v>50</v>
      </c>
      <c r="AL553" s="298" t="s">
        <v>285</v>
      </c>
      <c r="AM553" s="298" t="s">
        <v>51</v>
      </c>
      <c r="AN553" s="298" t="s">
        <v>52</v>
      </c>
      <c r="AO553" s="234" t="s">
        <v>507</v>
      </c>
    </row>
    <row r="554" ht="42.75" customHeight="1">
      <c r="A554" s="69">
        <v>43657.0</v>
      </c>
      <c r="B554" s="70" t="s">
        <v>130</v>
      </c>
      <c r="C554" s="21" t="s">
        <v>1298</v>
      </c>
      <c r="D554" s="21" t="s">
        <v>1299</v>
      </c>
      <c r="E554" s="23" t="s">
        <v>800</v>
      </c>
      <c r="F554" s="24">
        <v>1.0</v>
      </c>
      <c r="G554" s="48">
        <v>35.0</v>
      </c>
      <c r="H554" s="411">
        <f t="shared" si="67"/>
        <v>35</v>
      </c>
      <c r="I554" s="61" t="s">
        <v>248</v>
      </c>
      <c r="J554" s="63" t="s">
        <v>134</v>
      </c>
      <c r="K554" s="145">
        <v>43668.0</v>
      </c>
      <c r="L554" s="145">
        <v>43665.0</v>
      </c>
      <c r="M554" s="50" t="s">
        <v>90</v>
      </c>
      <c r="N554" s="93" t="s">
        <v>2865</v>
      </c>
      <c r="O554" s="408"/>
      <c r="P554" s="408">
        <v>31.2</v>
      </c>
      <c r="Q554" s="408">
        <f t="shared" si="66"/>
        <v>32.76</v>
      </c>
      <c r="R554" s="408"/>
      <c r="S554" s="408">
        <v>1017.0</v>
      </c>
      <c r="T554" s="51" t="s">
        <v>94</v>
      </c>
      <c r="U554" s="462">
        <v>43708.0</v>
      </c>
      <c r="V554" s="462">
        <v>43664.0</v>
      </c>
      <c r="W554" s="306" t="s">
        <v>1301</v>
      </c>
      <c r="X554" s="306" t="s">
        <v>2866</v>
      </c>
      <c r="Y554" s="462">
        <v>43706.0</v>
      </c>
      <c r="Z554" s="306" t="s">
        <v>2857</v>
      </c>
      <c r="AA554" s="306">
        <v>1.505249653E9</v>
      </c>
      <c r="AB554" s="306"/>
      <c r="AC554" s="306"/>
      <c r="AD554" s="306"/>
      <c r="AE554" s="298"/>
      <c r="AF554" s="298"/>
      <c r="AG554" s="299"/>
      <c r="AH554" s="300">
        <v>43685.0</v>
      </c>
      <c r="AI554" s="299" t="s">
        <v>2859</v>
      </c>
      <c r="AJ554" s="299" t="s">
        <v>2860</v>
      </c>
      <c r="AK554" s="298" t="s">
        <v>50</v>
      </c>
      <c r="AL554" s="298" t="s">
        <v>285</v>
      </c>
      <c r="AM554" s="298" t="s">
        <v>51</v>
      </c>
      <c r="AN554" s="298" t="s">
        <v>52</v>
      </c>
      <c r="AO554" s="234" t="s">
        <v>507</v>
      </c>
    </row>
    <row r="555" ht="42.75" customHeight="1">
      <c r="A555" s="69">
        <v>43657.0</v>
      </c>
      <c r="B555" s="23" t="s">
        <v>406</v>
      </c>
      <c r="C555" s="21" t="s">
        <v>1302</v>
      </c>
      <c r="D555" s="32" t="s">
        <v>1303</v>
      </c>
      <c r="E555" s="23" t="s">
        <v>1304</v>
      </c>
      <c r="F555" s="24">
        <v>1.0</v>
      </c>
      <c r="G555" s="515">
        <v>60.0</v>
      </c>
      <c r="H555" s="408">
        <f t="shared" si="67"/>
        <v>60</v>
      </c>
      <c r="I555" s="61" t="s">
        <v>43</v>
      </c>
      <c r="J555" s="63" t="s">
        <v>628</v>
      </c>
      <c r="K555" s="30">
        <v>43661.0</v>
      </c>
      <c r="L555" s="30"/>
      <c r="M555" s="497"/>
      <c r="N555" s="93" t="s">
        <v>2867</v>
      </c>
      <c r="O555" s="408"/>
      <c r="P555" s="408"/>
      <c r="Q555" s="408">
        <f t="shared" si="66"/>
        <v>0</v>
      </c>
      <c r="R555" s="408"/>
      <c r="S555" s="408">
        <f>(R555*F555)*1.05</f>
        <v>0</v>
      </c>
      <c r="T555" s="503"/>
      <c r="U555" s="306"/>
      <c r="V555" s="306"/>
      <c r="W555" s="306"/>
      <c r="X555" s="306"/>
      <c r="Y555" s="306"/>
      <c r="Z555" s="306"/>
      <c r="AA555" s="306"/>
      <c r="AB555" s="306"/>
      <c r="AC555" s="306"/>
      <c r="AD555" s="306"/>
      <c r="AE555" s="298"/>
      <c r="AF555" s="298"/>
      <c r="AG555" s="299"/>
      <c r="AH555" s="300">
        <v>43691.0</v>
      </c>
      <c r="AI555" s="299">
        <v>1683.0</v>
      </c>
      <c r="AJ555" s="299">
        <v>200.0</v>
      </c>
      <c r="AK555" s="298" t="s">
        <v>50</v>
      </c>
      <c r="AL555" s="298" t="s">
        <v>285</v>
      </c>
      <c r="AM555" s="298" t="s">
        <v>51</v>
      </c>
      <c r="AN555" s="298" t="s">
        <v>52</v>
      </c>
      <c r="AO555" s="234" t="s">
        <v>507</v>
      </c>
    </row>
    <row r="556" ht="42.75" customHeight="1">
      <c r="A556" s="469">
        <v>43658.0</v>
      </c>
      <c r="B556" s="70" t="s">
        <v>130</v>
      </c>
      <c r="C556" s="21" t="s">
        <v>1305</v>
      </c>
      <c r="D556" s="21" t="s">
        <v>1306</v>
      </c>
      <c r="E556" s="23" t="s">
        <v>242</v>
      </c>
      <c r="F556" s="24">
        <v>10.0</v>
      </c>
      <c r="G556" s="48">
        <v>66.0</v>
      </c>
      <c r="H556" s="470">
        <f t="shared" si="67"/>
        <v>660</v>
      </c>
      <c r="I556" s="61" t="s">
        <v>248</v>
      </c>
      <c r="J556" s="63" t="s">
        <v>134</v>
      </c>
      <c r="K556" s="145">
        <v>43668.0</v>
      </c>
      <c r="L556" s="145">
        <v>43664.0</v>
      </c>
      <c r="M556" s="50" t="s">
        <v>90</v>
      </c>
      <c r="N556" s="93" t="s">
        <v>2868</v>
      </c>
      <c r="O556" s="408"/>
      <c r="P556" s="408">
        <v>60.0</v>
      </c>
      <c r="Q556" s="408">
        <f t="shared" si="66"/>
        <v>630</v>
      </c>
      <c r="R556" s="408"/>
      <c r="S556" s="408">
        <v>19558.0</v>
      </c>
      <c r="T556" s="51" t="s">
        <v>94</v>
      </c>
      <c r="U556" s="462">
        <v>43708.0</v>
      </c>
      <c r="V556" s="462">
        <v>43664.0</v>
      </c>
      <c r="W556" s="306" t="s">
        <v>1307</v>
      </c>
      <c r="X556" s="306">
        <v>19558.0</v>
      </c>
      <c r="Y556" s="462">
        <v>43706.0</v>
      </c>
      <c r="Z556" s="306" t="s">
        <v>2857</v>
      </c>
      <c r="AA556" s="306">
        <v>1.505249653E9</v>
      </c>
      <c r="AB556" s="306"/>
      <c r="AC556" s="306"/>
      <c r="AD556" s="306"/>
      <c r="AE556" s="298"/>
      <c r="AF556" s="298"/>
      <c r="AG556" s="299"/>
      <c r="AH556" s="300">
        <v>43685.0</v>
      </c>
      <c r="AI556" s="299" t="s">
        <v>2859</v>
      </c>
      <c r="AJ556" s="299" t="s">
        <v>2860</v>
      </c>
      <c r="AK556" s="298" t="s">
        <v>50</v>
      </c>
      <c r="AL556" s="298" t="s">
        <v>285</v>
      </c>
      <c r="AM556" s="298" t="s">
        <v>51</v>
      </c>
      <c r="AN556" s="298" t="s">
        <v>52</v>
      </c>
      <c r="AO556" s="234" t="s">
        <v>507</v>
      </c>
    </row>
    <row r="557" ht="42.75" customHeight="1">
      <c r="A557" s="69">
        <v>43661.0</v>
      </c>
      <c r="B557" s="23" t="s">
        <v>406</v>
      </c>
      <c r="C557" s="21">
        <v>7.000148797E9</v>
      </c>
      <c r="D557" s="32" t="s">
        <v>1308</v>
      </c>
      <c r="E557" s="23" t="s">
        <v>1309</v>
      </c>
      <c r="F557" s="24">
        <v>1.0</v>
      </c>
      <c r="G557" s="48">
        <v>135.0</v>
      </c>
      <c r="H557" s="22">
        <f t="shared" si="67"/>
        <v>135</v>
      </c>
      <c r="I557" s="27" t="s">
        <v>43</v>
      </c>
      <c r="J557" s="50" t="s">
        <v>513</v>
      </c>
      <c r="K557" s="30">
        <v>43675.0</v>
      </c>
      <c r="L557" s="29">
        <v>43670.0</v>
      </c>
      <c r="M557" s="58" t="s">
        <v>2078</v>
      </c>
      <c r="N557" s="32" t="s">
        <v>2869</v>
      </c>
      <c r="O557" s="408"/>
      <c r="P557" s="408"/>
      <c r="Q557" s="408">
        <f t="shared" si="66"/>
        <v>0</v>
      </c>
      <c r="R557" s="408">
        <v>3522.0</v>
      </c>
      <c r="S557" s="408">
        <v>3698.0</v>
      </c>
      <c r="T557" s="20" t="s">
        <v>2080</v>
      </c>
      <c r="U557" s="462">
        <v>43738.0</v>
      </c>
      <c r="V557" s="516">
        <v>43669.0</v>
      </c>
      <c r="W557" s="517" t="s">
        <v>1310</v>
      </c>
      <c r="X557" s="306">
        <v>3698.0</v>
      </c>
      <c r="Y557" s="462">
        <v>43739.0</v>
      </c>
      <c r="Z557" s="306" t="s">
        <v>2870</v>
      </c>
      <c r="AA557" s="306">
        <v>8.976951815E9</v>
      </c>
      <c r="AB557" s="306"/>
      <c r="AC557" s="306"/>
      <c r="AD557" s="306"/>
      <c r="AE557" s="298"/>
      <c r="AF557" s="298"/>
      <c r="AG557" s="299"/>
      <c r="AH557" s="300">
        <v>43707.0</v>
      </c>
      <c r="AI557" s="299">
        <f>576.61*31.3</f>
        <v>18047.893</v>
      </c>
      <c r="AJ557" s="299">
        <f>(603-576.61)*31.3</f>
        <v>826.007</v>
      </c>
      <c r="AK557" s="298" t="s">
        <v>50</v>
      </c>
      <c r="AL557" s="298" t="s">
        <v>285</v>
      </c>
      <c r="AM557" s="298" t="s">
        <v>51</v>
      </c>
      <c r="AN557" s="298" t="s">
        <v>52</v>
      </c>
      <c r="AO557" s="234" t="s">
        <v>507</v>
      </c>
    </row>
    <row r="558" ht="42.75" customHeight="1">
      <c r="A558" s="69">
        <v>43661.0</v>
      </c>
      <c r="B558" s="32" t="s">
        <v>406</v>
      </c>
      <c r="C558" s="21">
        <v>7.00014923E9</v>
      </c>
      <c r="D558" s="21" t="s">
        <v>1311</v>
      </c>
      <c r="E558" s="23" t="s">
        <v>807</v>
      </c>
      <c r="F558" s="24">
        <v>1.0</v>
      </c>
      <c r="G558" s="48">
        <v>565.0</v>
      </c>
      <c r="H558" s="470">
        <f t="shared" si="67"/>
        <v>565</v>
      </c>
      <c r="I558" s="61" t="s">
        <v>43</v>
      </c>
      <c r="J558" s="50" t="s">
        <v>513</v>
      </c>
      <c r="K558" s="30">
        <v>43692.0</v>
      </c>
      <c r="L558" s="29">
        <v>43690.0</v>
      </c>
      <c r="M558" s="58" t="s">
        <v>2078</v>
      </c>
      <c r="N558" s="93" t="s">
        <v>2871</v>
      </c>
      <c r="O558" s="408"/>
      <c r="P558" s="408"/>
      <c r="Q558" s="408">
        <f t="shared" si="66"/>
        <v>0</v>
      </c>
      <c r="R558" s="408"/>
      <c r="S558" s="408">
        <v>15071.0</v>
      </c>
      <c r="T558" s="503" t="s">
        <v>2872</v>
      </c>
      <c r="U558" s="305">
        <v>43769.0</v>
      </c>
      <c r="V558" s="462">
        <v>43689.0</v>
      </c>
      <c r="W558" s="306" t="s">
        <v>1312</v>
      </c>
      <c r="X558" s="306">
        <v>18162.0</v>
      </c>
      <c r="Y558" s="306"/>
      <c r="Z558" s="306" t="s">
        <v>2873</v>
      </c>
      <c r="AA558" s="306">
        <v>4.780457931E9</v>
      </c>
      <c r="AB558" s="306">
        <v>31.565</v>
      </c>
      <c r="AC558" s="306"/>
      <c r="AD558" s="306"/>
      <c r="AE558" s="298"/>
      <c r="AF558" s="298"/>
      <c r="AG558" s="299"/>
      <c r="AH558" s="300">
        <v>43733.0</v>
      </c>
      <c r="AI558" s="299">
        <f>625.54*30.96</f>
        <v>19366.7184</v>
      </c>
      <c r="AJ558" s="299">
        <f>(652-625.54)*30.96</f>
        <v>819.2016</v>
      </c>
      <c r="AK558" s="298" t="s">
        <v>50</v>
      </c>
      <c r="AL558" s="298" t="s">
        <v>285</v>
      </c>
      <c r="AM558" s="298" t="s">
        <v>51</v>
      </c>
      <c r="AN558" s="298" t="s">
        <v>52</v>
      </c>
      <c r="AO558" s="234" t="s">
        <v>507</v>
      </c>
    </row>
    <row r="559" ht="42.75" customHeight="1">
      <c r="A559" s="69">
        <v>43661.0</v>
      </c>
      <c r="B559" s="23" t="s">
        <v>406</v>
      </c>
      <c r="C559" s="21">
        <v>7.00014923E9</v>
      </c>
      <c r="D559" s="21" t="s">
        <v>1311</v>
      </c>
      <c r="E559" s="23" t="s">
        <v>1011</v>
      </c>
      <c r="F559" s="24">
        <v>1.0</v>
      </c>
      <c r="G559" s="515">
        <v>87.0</v>
      </c>
      <c r="H559" s="470">
        <f t="shared" si="67"/>
        <v>87</v>
      </c>
      <c r="I559" s="61" t="s">
        <v>43</v>
      </c>
      <c r="J559" s="50" t="s">
        <v>513</v>
      </c>
      <c r="K559" s="30">
        <v>43692.0</v>
      </c>
      <c r="L559" s="29">
        <v>43690.0</v>
      </c>
      <c r="M559" s="58" t="s">
        <v>2078</v>
      </c>
      <c r="N559" s="93" t="s">
        <v>2871</v>
      </c>
      <c r="O559" s="408"/>
      <c r="P559" s="408"/>
      <c r="Q559" s="408">
        <f t="shared" si="66"/>
        <v>0</v>
      </c>
      <c r="R559" s="408"/>
      <c r="S559" s="408">
        <v>2226.0</v>
      </c>
      <c r="T559" s="503" t="s">
        <v>2872</v>
      </c>
      <c r="U559" s="305">
        <v>43769.0</v>
      </c>
      <c r="V559" s="462">
        <v>43689.0</v>
      </c>
      <c r="W559" s="306" t="s">
        <v>1312</v>
      </c>
      <c r="X559" s="306" t="s">
        <v>2874</v>
      </c>
      <c r="Y559" s="306"/>
      <c r="Z559" s="306" t="s">
        <v>2873</v>
      </c>
      <c r="AA559" s="306">
        <v>4.780457931E9</v>
      </c>
      <c r="AB559" s="306">
        <v>31.565</v>
      </c>
      <c r="AC559" s="306"/>
      <c r="AD559" s="306"/>
      <c r="AE559" s="298"/>
      <c r="AF559" s="298"/>
      <c r="AG559" s="299"/>
      <c r="AH559" s="300">
        <v>43733.0</v>
      </c>
      <c r="AI559" s="299" t="s">
        <v>2875</v>
      </c>
      <c r="AJ559" s="299" t="s">
        <v>2876</v>
      </c>
      <c r="AK559" s="298" t="s">
        <v>50</v>
      </c>
      <c r="AL559" s="298" t="s">
        <v>285</v>
      </c>
      <c r="AM559" s="298" t="s">
        <v>51</v>
      </c>
      <c r="AN559" s="298" t="s">
        <v>52</v>
      </c>
      <c r="AO559" s="234" t="s">
        <v>507</v>
      </c>
    </row>
    <row r="560" ht="42.75" customHeight="1">
      <c r="A560" s="69">
        <v>43662.0</v>
      </c>
      <c r="B560" s="70" t="s">
        <v>223</v>
      </c>
      <c r="C560" s="21" t="s">
        <v>1313</v>
      </c>
      <c r="D560" s="21" t="s">
        <v>1314</v>
      </c>
      <c r="E560" s="23" t="s">
        <v>1315</v>
      </c>
      <c r="F560" s="24">
        <v>1.0</v>
      </c>
      <c r="G560" s="48">
        <v>163.8</v>
      </c>
      <c r="H560" s="470">
        <f t="shared" si="67"/>
        <v>163.8</v>
      </c>
      <c r="I560" s="61" t="s">
        <v>248</v>
      </c>
      <c r="J560" s="63" t="s">
        <v>976</v>
      </c>
      <c r="K560" s="30">
        <v>43664.0</v>
      </c>
      <c r="L560" s="30">
        <v>43664.0</v>
      </c>
      <c r="M560" s="50" t="s">
        <v>90</v>
      </c>
      <c r="N560" s="21" t="s">
        <v>2877</v>
      </c>
      <c r="O560" s="408"/>
      <c r="P560" s="408">
        <v>142.0</v>
      </c>
      <c r="Q560" s="408">
        <f t="shared" si="66"/>
        <v>149.1</v>
      </c>
      <c r="R560" s="408"/>
      <c r="S560" s="408">
        <v>4629.0</v>
      </c>
      <c r="T560" s="51" t="s">
        <v>94</v>
      </c>
      <c r="U560" s="462">
        <v>43708.0</v>
      </c>
      <c r="V560" s="462">
        <v>43663.0</v>
      </c>
      <c r="W560" s="306" t="s">
        <v>1316</v>
      </c>
      <c r="X560" s="306">
        <v>4629.0</v>
      </c>
      <c r="Y560" s="462">
        <v>43706.0</v>
      </c>
      <c r="Z560" s="306" t="s">
        <v>2878</v>
      </c>
      <c r="AA560" s="306" t="s">
        <v>2879</v>
      </c>
      <c r="AB560" s="306">
        <v>31.07</v>
      </c>
      <c r="AC560" s="306">
        <v>5089.0</v>
      </c>
      <c r="AD560" s="462">
        <v>43664.0</v>
      </c>
      <c r="AE560" s="298"/>
      <c r="AF560" s="298"/>
      <c r="AG560" s="299"/>
      <c r="AH560" s="300">
        <v>43683.0</v>
      </c>
      <c r="AI560" s="299" t="s">
        <v>2835</v>
      </c>
      <c r="AJ560" s="299" t="s">
        <v>2836</v>
      </c>
      <c r="AK560" s="298" t="s">
        <v>50</v>
      </c>
      <c r="AL560" s="298" t="s">
        <v>285</v>
      </c>
      <c r="AM560" s="298" t="s">
        <v>51</v>
      </c>
      <c r="AN560" s="298" t="s">
        <v>377</v>
      </c>
      <c r="AO560" s="234" t="s">
        <v>507</v>
      </c>
    </row>
    <row r="561" ht="42.75" customHeight="1">
      <c r="A561" s="19">
        <v>43663.0</v>
      </c>
      <c r="B561" s="20" t="s">
        <v>40</v>
      </c>
      <c r="C561" s="21">
        <v>2029844.0</v>
      </c>
      <c r="D561" s="22" t="s">
        <v>1317</v>
      </c>
      <c r="E561" s="23" t="s">
        <v>42</v>
      </c>
      <c r="F561" s="24">
        <v>70.0</v>
      </c>
      <c r="G561" s="48">
        <v>273.0</v>
      </c>
      <c r="H561" s="47">
        <f t="shared" si="67"/>
        <v>19110</v>
      </c>
      <c r="I561" s="27" t="s">
        <v>43</v>
      </c>
      <c r="J561" s="58" t="s">
        <v>1318</v>
      </c>
      <c r="K561" s="29">
        <v>43790.0</v>
      </c>
      <c r="L561" s="30">
        <v>43773.0</v>
      </c>
      <c r="M561" s="50" t="s">
        <v>45</v>
      </c>
      <c r="N561" s="32" t="s">
        <v>2880</v>
      </c>
      <c r="O561" s="408"/>
      <c r="P561" s="408">
        <v>200.0</v>
      </c>
      <c r="Q561" s="408">
        <f t="shared" si="66"/>
        <v>14700</v>
      </c>
      <c r="R561" s="408"/>
      <c r="S561" s="408">
        <v>447791.0</v>
      </c>
      <c r="T561" s="51" t="s">
        <v>47</v>
      </c>
      <c r="U561" s="305">
        <v>43799.0</v>
      </c>
      <c r="V561" s="462">
        <v>43770.0</v>
      </c>
      <c r="W561" s="306" t="s">
        <v>1319</v>
      </c>
      <c r="X561" s="306">
        <v>447791.0</v>
      </c>
      <c r="Y561" s="306"/>
      <c r="Z561" s="93" t="s">
        <v>2881</v>
      </c>
      <c r="AA561" s="93" t="s">
        <v>2882</v>
      </c>
      <c r="AB561" s="306"/>
      <c r="AC561" s="306"/>
      <c r="AD561" s="306"/>
      <c r="AE561" s="298"/>
      <c r="AF561" s="298"/>
      <c r="AG561" s="299"/>
      <c r="AH561" s="29">
        <v>43788.0</v>
      </c>
      <c r="AI561" s="299" t="s">
        <v>2660</v>
      </c>
      <c r="AJ561" s="299" t="s">
        <v>2660</v>
      </c>
      <c r="AK561" s="298" t="s">
        <v>50</v>
      </c>
      <c r="AL561" s="298" t="s">
        <v>285</v>
      </c>
      <c r="AM561" s="298" t="s">
        <v>51</v>
      </c>
      <c r="AN561" s="298" t="s">
        <v>52</v>
      </c>
      <c r="AO561" s="459" t="s">
        <v>763</v>
      </c>
    </row>
    <row r="562" ht="42.75" customHeight="1">
      <c r="A562" s="19">
        <v>43663.0</v>
      </c>
      <c r="B562" s="20" t="s">
        <v>40</v>
      </c>
      <c r="C562" s="21">
        <v>2029844.0</v>
      </c>
      <c r="D562" s="22" t="s">
        <v>1317</v>
      </c>
      <c r="E562" s="23" t="s">
        <v>53</v>
      </c>
      <c r="F562" s="24">
        <v>70.0</v>
      </c>
      <c r="G562" s="48">
        <v>31.0</v>
      </c>
      <c r="H562" s="47">
        <f t="shared" si="67"/>
        <v>2170</v>
      </c>
      <c r="I562" s="27" t="s">
        <v>43</v>
      </c>
      <c r="J562" s="58" t="s">
        <v>1318</v>
      </c>
      <c r="K562" s="29">
        <v>43790.0</v>
      </c>
      <c r="L562" s="30">
        <v>43784.0</v>
      </c>
      <c r="M562" s="58" t="s">
        <v>54</v>
      </c>
      <c r="N562" s="32" t="s">
        <v>2883</v>
      </c>
      <c r="O562" s="408"/>
      <c r="P562" s="408">
        <v>28.0</v>
      </c>
      <c r="Q562" s="408">
        <f t="shared" si="66"/>
        <v>2058</v>
      </c>
      <c r="R562" s="408"/>
      <c r="S562" s="408">
        <v>1113666.0</v>
      </c>
      <c r="T562" s="23" t="s">
        <v>56</v>
      </c>
      <c r="U562" s="305">
        <v>43830.0</v>
      </c>
      <c r="V562" s="305">
        <v>43784.0</v>
      </c>
      <c r="W562" s="306" t="s">
        <v>1320</v>
      </c>
      <c r="X562" s="306">
        <v>1113666.0</v>
      </c>
      <c r="Y562" s="306"/>
      <c r="Z562" s="93" t="s">
        <v>2884</v>
      </c>
      <c r="AA562" s="93" t="s">
        <v>2882</v>
      </c>
      <c r="AB562" s="306"/>
      <c r="AC562" s="306"/>
      <c r="AD562" s="306"/>
      <c r="AE562" s="298"/>
      <c r="AF562" s="298"/>
      <c r="AG562" s="299"/>
      <c r="AH562" s="29">
        <v>43788.0</v>
      </c>
      <c r="AI562" s="299" t="s">
        <v>2660</v>
      </c>
      <c r="AJ562" s="299" t="s">
        <v>2660</v>
      </c>
      <c r="AK562" s="298" t="s">
        <v>50</v>
      </c>
      <c r="AL562" s="298" t="s">
        <v>285</v>
      </c>
      <c r="AM562" s="298" t="s">
        <v>51</v>
      </c>
      <c r="AN562" s="298" t="s">
        <v>52</v>
      </c>
      <c r="AO562" s="459" t="s">
        <v>763</v>
      </c>
    </row>
    <row r="563" ht="42.75" customHeight="1">
      <c r="A563" s="19">
        <v>43663.0</v>
      </c>
      <c r="B563" s="20" t="s">
        <v>40</v>
      </c>
      <c r="C563" s="21">
        <v>2029844.0</v>
      </c>
      <c r="D563" s="22" t="s">
        <v>1317</v>
      </c>
      <c r="E563" s="23" t="s">
        <v>59</v>
      </c>
      <c r="F563" s="24">
        <v>70.0</v>
      </c>
      <c r="G563" s="48">
        <v>4.0</v>
      </c>
      <c r="H563" s="47">
        <f t="shared" si="67"/>
        <v>280</v>
      </c>
      <c r="I563" s="27" t="s">
        <v>43</v>
      </c>
      <c r="J563" s="58" t="s">
        <v>1318</v>
      </c>
      <c r="K563" s="29">
        <v>43790.0</v>
      </c>
      <c r="L563" s="30">
        <v>43784.0</v>
      </c>
      <c r="M563" s="58" t="s">
        <v>54</v>
      </c>
      <c r="N563" s="32" t="s">
        <v>2883</v>
      </c>
      <c r="O563" s="408"/>
      <c r="P563" s="408">
        <v>2.5</v>
      </c>
      <c r="Q563" s="408">
        <f t="shared" si="66"/>
        <v>183.75</v>
      </c>
      <c r="R563" s="408"/>
      <c r="S563" s="408" t="s">
        <v>2885</v>
      </c>
      <c r="T563" s="23" t="s">
        <v>56</v>
      </c>
      <c r="U563" s="305">
        <v>43830.0</v>
      </c>
      <c r="V563" s="305">
        <v>43784.0</v>
      </c>
      <c r="W563" s="306" t="s">
        <v>1320</v>
      </c>
      <c r="X563" s="306" t="s">
        <v>2886</v>
      </c>
      <c r="Y563" s="306"/>
      <c r="Z563" s="93" t="s">
        <v>2887</v>
      </c>
      <c r="AA563" s="93" t="s">
        <v>2882</v>
      </c>
      <c r="AB563" s="306"/>
      <c r="AC563" s="306"/>
      <c r="AD563" s="306"/>
      <c r="AE563" s="298"/>
      <c r="AF563" s="298"/>
      <c r="AG563" s="299"/>
      <c r="AH563" s="29">
        <v>43788.0</v>
      </c>
      <c r="AI563" s="299" t="s">
        <v>2660</v>
      </c>
      <c r="AJ563" s="299" t="s">
        <v>2660</v>
      </c>
      <c r="AK563" s="298" t="s">
        <v>50</v>
      </c>
      <c r="AL563" s="298" t="s">
        <v>285</v>
      </c>
      <c r="AM563" s="298" t="s">
        <v>51</v>
      </c>
      <c r="AN563" s="298" t="s">
        <v>52</v>
      </c>
      <c r="AO563" s="459" t="s">
        <v>763</v>
      </c>
    </row>
    <row r="564" ht="42.75" customHeight="1">
      <c r="A564" s="19">
        <v>43663.0</v>
      </c>
      <c r="B564" s="20" t="s">
        <v>40</v>
      </c>
      <c r="C564" s="21">
        <v>2029844.0</v>
      </c>
      <c r="D564" s="22" t="s">
        <v>2888</v>
      </c>
      <c r="E564" s="23" t="s">
        <v>61</v>
      </c>
      <c r="F564" s="24">
        <v>70.0</v>
      </c>
      <c r="G564" s="48">
        <v>532.0</v>
      </c>
      <c r="H564" s="26">
        <f t="shared" si="67"/>
        <v>37240</v>
      </c>
      <c r="I564" s="27" t="s">
        <v>43</v>
      </c>
      <c r="J564" s="58" t="s">
        <v>1318</v>
      </c>
      <c r="K564" s="29">
        <v>43790.0</v>
      </c>
      <c r="L564" s="30">
        <v>43784.0</v>
      </c>
      <c r="M564" s="58" t="s">
        <v>54</v>
      </c>
      <c r="N564" s="32" t="s">
        <v>2883</v>
      </c>
      <c r="O564" s="408"/>
      <c r="P564" s="408">
        <v>468.0</v>
      </c>
      <c r="Q564" s="408">
        <f t="shared" si="66"/>
        <v>34398</v>
      </c>
      <c r="R564" s="408"/>
      <c r="S564" s="408" t="s">
        <v>2885</v>
      </c>
      <c r="T564" s="23" t="s">
        <v>56</v>
      </c>
      <c r="U564" s="305">
        <v>43830.0</v>
      </c>
      <c r="V564" s="305">
        <v>43784.0</v>
      </c>
      <c r="W564" s="306" t="s">
        <v>1320</v>
      </c>
      <c r="X564" s="306" t="s">
        <v>2886</v>
      </c>
      <c r="Y564" s="306"/>
      <c r="Z564" s="93" t="s">
        <v>2889</v>
      </c>
      <c r="AA564" s="93" t="s">
        <v>2882</v>
      </c>
      <c r="AB564" s="306"/>
      <c r="AC564" s="306"/>
      <c r="AD564" s="306"/>
      <c r="AE564" s="298"/>
      <c r="AF564" s="298"/>
      <c r="AG564" s="299"/>
      <c r="AH564" s="29">
        <v>43788.0</v>
      </c>
      <c r="AI564" s="299" t="s">
        <v>2660</v>
      </c>
      <c r="AJ564" s="299" t="s">
        <v>2660</v>
      </c>
      <c r="AK564" s="298" t="s">
        <v>50</v>
      </c>
      <c r="AL564" s="298" t="s">
        <v>285</v>
      </c>
      <c r="AM564" s="298" t="s">
        <v>51</v>
      </c>
      <c r="AN564" s="298" t="s">
        <v>52</v>
      </c>
      <c r="AO564" s="459" t="s">
        <v>763</v>
      </c>
    </row>
    <row r="565" ht="75.75" customHeight="1">
      <c r="A565" s="69">
        <v>43663.0</v>
      </c>
      <c r="B565" s="70" t="s">
        <v>621</v>
      </c>
      <c r="C565" s="21"/>
      <c r="D565" s="21" t="s">
        <v>1322</v>
      </c>
      <c r="E565" s="23" t="s">
        <v>1323</v>
      </c>
      <c r="F565" s="24">
        <v>1.0</v>
      </c>
      <c r="G565" s="25">
        <v>-130.0</v>
      </c>
      <c r="H565" s="26">
        <f t="shared" si="67"/>
        <v>-130</v>
      </c>
      <c r="I565" s="27" t="s">
        <v>43</v>
      </c>
      <c r="J565" s="50" t="s">
        <v>1324</v>
      </c>
      <c r="K565" s="29">
        <v>43697.0</v>
      </c>
      <c r="L565" s="304"/>
      <c r="M565" s="50" t="s">
        <v>1324</v>
      </c>
      <c r="N565" s="93" t="s">
        <v>2636</v>
      </c>
      <c r="O565" s="408"/>
      <c r="P565" s="408"/>
      <c r="Q565" s="408">
        <f t="shared" si="66"/>
        <v>0</v>
      </c>
      <c r="R565" s="408"/>
      <c r="S565" s="408">
        <f>(R565*F565)*1.05</f>
        <v>0</v>
      </c>
      <c r="T565" s="503"/>
      <c r="U565" s="306"/>
      <c r="V565" s="306"/>
      <c r="W565" s="306"/>
      <c r="X565" s="306"/>
      <c r="Y565" s="306"/>
      <c r="Z565" s="306" t="s">
        <v>2890</v>
      </c>
      <c r="AA565" s="306" t="s">
        <v>2891</v>
      </c>
      <c r="AB565" s="306">
        <v>31.34</v>
      </c>
      <c r="AC565" s="306" t="s">
        <v>2892</v>
      </c>
      <c r="AD565" s="462">
        <v>43699.0</v>
      </c>
      <c r="AE565" s="298"/>
      <c r="AF565" s="298"/>
      <c r="AG565" s="299"/>
      <c r="AH565" s="300">
        <v>43699.0</v>
      </c>
      <c r="AI565" s="299" t="s">
        <v>2893</v>
      </c>
      <c r="AJ565" s="299" t="s">
        <v>2894</v>
      </c>
      <c r="AK565" s="298" t="s">
        <v>50</v>
      </c>
      <c r="AL565" s="298" t="s">
        <v>285</v>
      </c>
      <c r="AM565" s="298" t="s">
        <v>51</v>
      </c>
      <c r="AN565" s="298" t="s">
        <v>52</v>
      </c>
      <c r="AO565" s="234" t="s">
        <v>507</v>
      </c>
    </row>
    <row r="566" ht="42.75" customHeight="1">
      <c r="A566" s="69">
        <v>43663.0</v>
      </c>
      <c r="B566" s="70" t="s">
        <v>621</v>
      </c>
      <c r="C566" s="21"/>
      <c r="D566" s="21" t="s">
        <v>2895</v>
      </c>
      <c r="E566" s="23" t="s">
        <v>1326</v>
      </c>
      <c r="F566" s="82">
        <v>25.0</v>
      </c>
      <c r="G566" s="25">
        <v>143.22</v>
      </c>
      <c r="H566" s="26">
        <f t="shared" si="67"/>
        <v>3580.5</v>
      </c>
      <c r="I566" s="27" t="s">
        <v>43</v>
      </c>
      <c r="J566" s="50" t="s">
        <v>1324</v>
      </c>
      <c r="K566" s="29">
        <v>43697.0</v>
      </c>
      <c r="L566" s="30">
        <v>43684.0</v>
      </c>
      <c r="M566" s="50" t="s">
        <v>90</v>
      </c>
      <c r="N566" s="93" t="s">
        <v>2896</v>
      </c>
      <c r="O566" s="408"/>
      <c r="P566" s="408">
        <v>119.0</v>
      </c>
      <c r="Q566" s="408">
        <f t="shared" si="66"/>
        <v>3123.75</v>
      </c>
      <c r="R566" s="408"/>
      <c r="S566" s="408">
        <v>96899.0</v>
      </c>
      <c r="T566" s="51" t="s">
        <v>94</v>
      </c>
      <c r="U566" s="462">
        <v>43738.0</v>
      </c>
      <c r="V566" s="462">
        <v>43683.0</v>
      </c>
      <c r="W566" s="306" t="s">
        <v>1327</v>
      </c>
      <c r="X566" s="306">
        <v>115985.0</v>
      </c>
      <c r="Y566" s="462">
        <v>43739.0</v>
      </c>
      <c r="Z566" s="306" t="s">
        <v>2890</v>
      </c>
      <c r="AA566" s="306" t="s">
        <v>2891</v>
      </c>
      <c r="AB566" s="306">
        <v>31.34</v>
      </c>
      <c r="AC566" s="306" t="s">
        <v>2892</v>
      </c>
      <c r="AD566" s="462">
        <v>43699.0</v>
      </c>
      <c r="AE566" s="298"/>
      <c r="AF566" s="298"/>
      <c r="AG566" s="299"/>
      <c r="AH566" s="300">
        <v>43699.0</v>
      </c>
      <c r="AI566" s="299" t="s">
        <v>2893</v>
      </c>
      <c r="AJ566" s="299" t="s">
        <v>2894</v>
      </c>
      <c r="AK566" s="298" t="s">
        <v>50</v>
      </c>
      <c r="AL566" s="298" t="s">
        <v>285</v>
      </c>
      <c r="AM566" s="298" t="s">
        <v>51</v>
      </c>
      <c r="AN566" s="298" t="s">
        <v>52</v>
      </c>
      <c r="AO566" s="234" t="s">
        <v>507</v>
      </c>
    </row>
    <row r="567" ht="42.75" customHeight="1">
      <c r="A567" s="69">
        <v>43663.0</v>
      </c>
      <c r="B567" s="70" t="s">
        <v>621</v>
      </c>
      <c r="C567" s="21"/>
      <c r="D567" s="21" t="s">
        <v>2897</v>
      </c>
      <c r="E567" s="23" t="s">
        <v>1329</v>
      </c>
      <c r="F567" s="82">
        <v>2.0</v>
      </c>
      <c r="G567" s="25">
        <v>375.9</v>
      </c>
      <c r="H567" s="26">
        <f t="shared" si="67"/>
        <v>751.8</v>
      </c>
      <c r="I567" s="27" t="s">
        <v>43</v>
      </c>
      <c r="J567" s="50" t="s">
        <v>1324</v>
      </c>
      <c r="K567" s="29">
        <v>43697.0</v>
      </c>
      <c r="L567" s="30">
        <v>43684.0</v>
      </c>
      <c r="M567" s="50" t="s">
        <v>90</v>
      </c>
      <c r="N567" s="93" t="s">
        <v>2896</v>
      </c>
      <c r="O567" s="408"/>
      <c r="P567" s="408">
        <v>293.0</v>
      </c>
      <c r="Q567" s="408">
        <f t="shared" si="66"/>
        <v>615.3</v>
      </c>
      <c r="R567" s="408"/>
      <c r="S567" s="408">
        <v>19086.0</v>
      </c>
      <c r="T567" s="51" t="s">
        <v>94</v>
      </c>
      <c r="U567" s="462">
        <v>43738.0</v>
      </c>
      <c r="V567" s="462">
        <v>43683.0</v>
      </c>
      <c r="W567" s="306" t="s">
        <v>1327</v>
      </c>
      <c r="X567" s="306" t="s">
        <v>2898</v>
      </c>
      <c r="Y567" s="462">
        <v>43739.0</v>
      </c>
      <c r="Z567" s="306" t="s">
        <v>2890</v>
      </c>
      <c r="AA567" s="306" t="s">
        <v>2891</v>
      </c>
      <c r="AB567" s="306">
        <v>31.34</v>
      </c>
      <c r="AC567" s="306" t="s">
        <v>2892</v>
      </c>
      <c r="AD567" s="462">
        <v>43699.0</v>
      </c>
      <c r="AE567" s="298"/>
      <c r="AF567" s="298"/>
      <c r="AG567" s="299"/>
      <c r="AH567" s="300">
        <v>43699.0</v>
      </c>
      <c r="AI567" s="299" t="s">
        <v>2893</v>
      </c>
      <c r="AJ567" s="299" t="s">
        <v>2894</v>
      </c>
      <c r="AK567" s="298" t="s">
        <v>50</v>
      </c>
      <c r="AL567" s="298" t="s">
        <v>285</v>
      </c>
      <c r="AM567" s="298" t="s">
        <v>51</v>
      </c>
      <c r="AN567" s="298" t="s">
        <v>52</v>
      </c>
      <c r="AO567" s="234" t="s">
        <v>507</v>
      </c>
    </row>
    <row r="568" ht="42.75" customHeight="1">
      <c r="A568" s="69">
        <v>43663.0</v>
      </c>
      <c r="B568" s="70" t="s">
        <v>621</v>
      </c>
      <c r="C568" s="21"/>
      <c r="D568" s="21" t="s">
        <v>2899</v>
      </c>
      <c r="E568" s="23" t="s">
        <v>1331</v>
      </c>
      <c r="F568" s="82">
        <v>1.0</v>
      </c>
      <c r="G568" s="25">
        <v>344.4</v>
      </c>
      <c r="H568" s="26">
        <f t="shared" si="67"/>
        <v>344.4</v>
      </c>
      <c r="I568" s="27" t="s">
        <v>43</v>
      </c>
      <c r="J568" s="50" t="s">
        <v>1324</v>
      </c>
      <c r="K568" s="29">
        <v>43697.0</v>
      </c>
      <c r="L568" s="30">
        <v>43686.0</v>
      </c>
      <c r="M568" s="50" t="s">
        <v>90</v>
      </c>
      <c r="N568" s="93" t="s">
        <v>2900</v>
      </c>
      <c r="O568" s="408"/>
      <c r="P568" s="408">
        <v>269.0</v>
      </c>
      <c r="Q568" s="408">
        <f t="shared" si="66"/>
        <v>282.45</v>
      </c>
      <c r="R568" s="408"/>
      <c r="S568" s="408">
        <v>8762.0</v>
      </c>
      <c r="T568" s="51" t="s">
        <v>94</v>
      </c>
      <c r="U568" s="462">
        <v>43738.0</v>
      </c>
      <c r="V568" s="462">
        <v>43685.0</v>
      </c>
      <c r="W568" s="306" t="s">
        <v>1332</v>
      </c>
      <c r="X568" s="306">
        <v>83968.0</v>
      </c>
      <c r="Y568" s="462">
        <v>43739.0</v>
      </c>
      <c r="Z568" s="306" t="s">
        <v>2890</v>
      </c>
      <c r="AA568" s="306" t="s">
        <v>2891</v>
      </c>
      <c r="AB568" s="306">
        <v>31.34</v>
      </c>
      <c r="AC568" s="306" t="s">
        <v>2892</v>
      </c>
      <c r="AD568" s="462">
        <v>43699.0</v>
      </c>
      <c r="AE568" s="298"/>
      <c r="AF568" s="298"/>
      <c r="AG568" s="299"/>
      <c r="AH568" s="300">
        <v>43699.0</v>
      </c>
      <c r="AI568" s="299" t="s">
        <v>2893</v>
      </c>
      <c r="AJ568" s="299" t="s">
        <v>2894</v>
      </c>
      <c r="AK568" s="298" t="s">
        <v>50</v>
      </c>
      <c r="AL568" s="298" t="s">
        <v>285</v>
      </c>
      <c r="AM568" s="298" t="s">
        <v>51</v>
      </c>
      <c r="AN568" s="298" t="s">
        <v>52</v>
      </c>
      <c r="AO568" s="234" t="s">
        <v>507</v>
      </c>
    </row>
    <row r="569" ht="42.75" customHeight="1">
      <c r="A569" s="69">
        <v>43663.0</v>
      </c>
      <c r="B569" s="70" t="s">
        <v>621</v>
      </c>
      <c r="C569" s="21"/>
      <c r="D569" s="21" t="s">
        <v>2901</v>
      </c>
      <c r="E569" s="23" t="s">
        <v>1334</v>
      </c>
      <c r="F569" s="82">
        <v>1.0</v>
      </c>
      <c r="G569" s="25">
        <v>2892.75</v>
      </c>
      <c r="H569" s="26">
        <f t="shared" si="67"/>
        <v>2892.75</v>
      </c>
      <c r="I569" s="27" t="s">
        <v>43</v>
      </c>
      <c r="J569" s="50" t="s">
        <v>1324</v>
      </c>
      <c r="K569" s="29">
        <v>43697.0</v>
      </c>
      <c r="L569" s="30">
        <v>43686.0</v>
      </c>
      <c r="M569" s="50" t="s">
        <v>90</v>
      </c>
      <c r="N569" s="93" t="s">
        <v>2900</v>
      </c>
      <c r="O569" s="408"/>
      <c r="P569" s="408">
        <v>2309.0</v>
      </c>
      <c r="Q569" s="408">
        <f t="shared" si="66"/>
        <v>2424.45</v>
      </c>
      <c r="R569" s="408"/>
      <c r="S569" s="408">
        <v>75206.0</v>
      </c>
      <c r="T569" s="51" t="s">
        <v>94</v>
      </c>
      <c r="U569" s="462">
        <v>43738.0</v>
      </c>
      <c r="V569" s="462">
        <v>43685.0</v>
      </c>
      <c r="W569" s="306" t="s">
        <v>1332</v>
      </c>
      <c r="X569" s="306" t="s">
        <v>2902</v>
      </c>
      <c r="Y569" s="462">
        <v>43739.0</v>
      </c>
      <c r="Z569" s="306" t="s">
        <v>2890</v>
      </c>
      <c r="AA569" s="306" t="s">
        <v>2891</v>
      </c>
      <c r="AB569" s="306">
        <v>31.34</v>
      </c>
      <c r="AC569" s="306" t="s">
        <v>2892</v>
      </c>
      <c r="AD569" s="462">
        <v>43699.0</v>
      </c>
      <c r="AE569" s="298"/>
      <c r="AF569" s="298"/>
      <c r="AG569" s="299"/>
      <c r="AH569" s="300">
        <v>43699.0</v>
      </c>
      <c r="AI569" s="299" t="s">
        <v>2893</v>
      </c>
      <c r="AJ569" s="299" t="s">
        <v>2894</v>
      </c>
      <c r="AK569" s="298" t="s">
        <v>50</v>
      </c>
      <c r="AL569" s="298" t="s">
        <v>285</v>
      </c>
      <c r="AM569" s="298" t="s">
        <v>51</v>
      </c>
      <c r="AN569" s="298" t="s">
        <v>52</v>
      </c>
      <c r="AO569" s="234" t="s">
        <v>507</v>
      </c>
    </row>
    <row r="570" ht="42.75" customHeight="1">
      <c r="A570" s="69">
        <v>43663.0</v>
      </c>
      <c r="B570" s="70" t="s">
        <v>621</v>
      </c>
      <c r="C570" s="21"/>
      <c r="D570" s="21" t="s">
        <v>2903</v>
      </c>
      <c r="E570" s="23" t="s">
        <v>1336</v>
      </c>
      <c r="F570" s="82">
        <v>35.0</v>
      </c>
      <c r="G570" s="25">
        <v>143.22</v>
      </c>
      <c r="H570" s="26">
        <f t="shared" si="67"/>
        <v>5012.7</v>
      </c>
      <c r="I570" s="27" t="s">
        <v>43</v>
      </c>
      <c r="J570" s="50" t="s">
        <v>1324</v>
      </c>
      <c r="K570" s="29">
        <v>43697.0</v>
      </c>
      <c r="L570" s="30">
        <v>43686.0</v>
      </c>
      <c r="M570" s="50" t="s">
        <v>90</v>
      </c>
      <c r="N570" s="93" t="s">
        <v>2904</v>
      </c>
      <c r="O570" s="408"/>
      <c r="P570" s="408">
        <v>119.0</v>
      </c>
      <c r="Q570" s="408">
        <f t="shared" si="66"/>
        <v>4373.25</v>
      </c>
      <c r="R570" s="408"/>
      <c r="S570" s="408">
        <v>135658.0</v>
      </c>
      <c r="T570" s="51" t="s">
        <v>94</v>
      </c>
      <c r="U570" s="462">
        <v>43738.0</v>
      </c>
      <c r="V570" s="462">
        <v>43685.0</v>
      </c>
      <c r="W570" s="306" t="s">
        <v>1337</v>
      </c>
      <c r="X570" s="306">
        <v>181811.0</v>
      </c>
      <c r="Y570" s="462">
        <v>43739.0</v>
      </c>
      <c r="Z570" s="306" t="s">
        <v>2890</v>
      </c>
      <c r="AA570" s="306" t="s">
        <v>2891</v>
      </c>
      <c r="AB570" s="306">
        <v>31.34</v>
      </c>
      <c r="AC570" s="306" t="s">
        <v>2892</v>
      </c>
      <c r="AD570" s="462">
        <v>43699.0</v>
      </c>
      <c r="AE570" s="298"/>
      <c r="AF570" s="298"/>
      <c r="AG570" s="299"/>
      <c r="AH570" s="300">
        <v>43699.0</v>
      </c>
      <c r="AI570" s="299" t="s">
        <v>2893</v>
      </c>
      <c r="AJ570" s="299" t="s">
        <v>2894</v>
      </c>
      <c r="AK570" s="298" t="s">
        <v>50</v>
      </c>
      <c r="AL570" s="298" t="s">
        <v>285</v>
      </c>
      <c r="AM570" s="298" t="s">
        <v>51</v>
      </c>
      <c r="AN570" s="298" t="s">
        <v>52</v>
      </c>
      <c r="AO570" s="234" t="s">
        <v>507</v>
      </c>
    </row>
    <row r="571" ht="42.75" customHeight="1">
      <c r="A571" s="69">
        <v>43663.0</v>
      </c>
      <c r="B571" s="70" t="s">
        <v>621</v>
      </c>
      <c r="C571" s="21"/>
      <c r="D571" s="21" t="s">
        <v>2905</v>
      </c>
      <c r="E571" s="32" t="s">
        <v>1339</v>
      </c>
      <c r="F571" s="82">
        <v>3.0</v>
      </c>
      <c r="G571" s="48">
        <v>344.4</v>
      </c>
      <c r="H571" s="26">
        <f t="shared" si="67"/>
        <v>1033.2</v>
      </c>
      <c r="I571" s="27" t="s">
        <v>43</v>
      </c>
      <c r="J571" s="50" t="s">
        <v>1324</v>
      </c>
      <c r="K571" s="29">
        <v>43697.0</v>
      </c>
      <c r="L571" s="30">
        <v>43686.0</v>
      </c>
      <c r="M571" s="50" t="s">
        <v>90</v>
      </c>
      <c r="N571" s="93" t="s">
        <v>2904</v>
      </c>
      <c r="O571" s="408"/>
      <c r="P571" s="408">
        <v>269.0</v>
      </c>
      <c r="Q571" s="408">
        <f t="shared" si="66"/>
        <v>847.35</v>
      </c>
      <c r="R571" s="408"/>
      <c r="S571" s="408">
        <v>26285.0</v>
      </c>
      <c r="T571" s="51" t="s">
        <v>94</v>
      </c>
      <c r="U571" s="462">
        <v>43738.0</v>
      </c>
      <c r="V571" s="462">
        <v>43685.0</v>
      </c>
      <c r="W571" s="306" t="s">
        <v>1337</v>
      </c>
      <c r="X571" s="306" t="s">
        <v>2906</v>
      </c>
      <c r="Y571" s="462">
        <v>43739.0</v>
      </c>
      <c r="Z571" s="306" t="s">
        <v>2890</v>
      </c>
      <c r="AA571" s="306" t="s">
        <v>2891</v>
      </c>
      <c r="AB571" s="306">
        <v>31.34</v>
      </c>
      <c r="AC571" s="306" t="s">
        <v>2892</v>
      </c>
      <c r="AD571" s="462">
        <v>43699.0</v>
      </c>
      <c r="AE571" s="298"/>
      <c r="AF571" s="298"/>
      <c r="AG571" s="299"/>
      <c r="AH571" s="300">
        <v>43699.0</v>
      </c>
      <c r="AI571" s="299" t="s">
        <v>2893</v>
      </c>
      <c r="AJ571" s="299" t="s">
        <v>2894</v>
      </c>
      <c r="AK571" s="298" t="s">
        <v>50</v>
      </c>
      <c r="AL571" s="298" t="s">
        <v>285</v>
      </c>
      <c r="AM571" s="298" t="s">
        <v>51</v>
      </c>
      <c r="AN571" s="298" t="s">
        <v>52</v>
      </c>
      <c r="AO571" s="234" t="s">
        <v>507</v>
      </c>
    </row>
    <row r="572" ht="42.75" customHeight="1">
      <c r="A572" s="69">
        <v>43663.0</v>
      </c>
      <c r="B572" s="70" t="s">
        <v>621</v>
      </c>
      <c r="C572" s="21"/>
      <c r="D572" s="21" t="s">
        <v>2907</v>
      </c>
      <c r="E572" s="32" t="s">
        <v>1341</v>
      </c>
      <c r="F572" s="82">
        <v>2.0</v>
      </c>
      <c r="G572" s="48">
        <v>391.65</v>
      </c>
      <c r="H572" s="26">
        <f t="shared" si="67"/>
        <v>783.3</v>
      </c>
      <c r="I572" s="27" t="s">
        <v>43</v>
      </c>
      <c r="J572" s="50" t="s">
        <v>1324</v>
      </c>
      <c r="K572" s="29">
        <v>43697.0</v>
      </c>
      <c r="L572" s="30">
        <v>43686.0</v>
      </c>
      <c r="M572" s="50" t="s">
        <v>90</v>
      </c>
      <c r="N572" s="93" t="s">
        <v>2904</v>
      </c>
      <c r="O572" s="408"/>
      <c r="P572" s="408">
        <v>305.0</v>
      </c>
      <c r="Q572" s="408">
        <f t="shared" si="66"/>
        <v>640.5</v>
      </c>
      <c r="R572" s="408"/>
      <c r="S572" s="408">
        <v>19868.0</v>
      </c>
      <c r="T572" s="51" t="s">
        <v>94</v>
      </c>
      <c r="U572" s="462">
        <v>43738.0</v>
      </c>
      <c r="V572" s="462">
        <v>43685.0</v>
      </c>
      <c r="W572" s="306" t="s">
        <v>1337</v>
      </c>
      <c r="X572" s="306" t="s">
        <v>2906</v>
      </c>
      <c r="Y572" s="462">
        <v>43739.0</v>
      </c>
      <c r="Z572" s="306" t="s">
        <v>2890</v>
      </c>
      <c r="AA572" s="306" t="s">
        <v>2891</v>
      </c>
      <c r="AB572" s="306">
        <v>31.34</v>
      </c>
      <c r="AC572" s="306" t="s">
        <v>2892</v>
      </c>
      <c r="AD572" s="462">
        <v>43699.0</v>
      </c>
      <c r="AE572" s="298"/>
      <c r="AF572" s="298"/>
      <c r="AG572" s="299"/>
      <c r="AH572" s="300">
        <v>43699.0</v>
      </c>
      <c r="AI572" s="299" t="s">
        <v>2893</v>
      </c>
      <c r="AJ572" s="299" t="s">
        <v>2894</v>
      </c>
      <c r="AK572" s="298" t="s">
        <v>50</v>
      </c>
      <c r="AL572" s="298" t="s">
        <v>285</v>
      </c>
      <c r="AM572" s="298" t="s">
        <v>51</v>
      </c>
      <c r="AN572" s="298" t="s">
        <v>52</v>
      </c>
      <c r="AO572" s="234" t="s">
        <v>507</v>
      </c>
    </row>
    <row r="573" ht="42.75" customHeight="1">
      <c r="A573" s="69">
        <v>43663.0</v>
      </c>
      <c r="B573" s="70" t="s">
        <v>621</v>
      </c>
      <c r="C573" s="21"/>
      <c r="D573" s="21" t="s">
        <v>2908</v>
      </c>
      <c r="E573" s="32" t="s">
        <v>1343</v>
      </c>
      <c r="F573" s="82">
        <v>14.0</v>
      </c>
      <c r="G573" s="48">
        <v>960.75</v>
      </c>
      <c r="H573" s="26">
        <f t="shared" si="67"/>
        <v>13450.5</v>
      </c>
      <c r="I573" s="27" t="s">
        <v>43</v>
      </c>
      <c r="J573" s="50" t="s">
        <v>1324</v>
      </c>
      <c r="K573" s="29">
        <v>43697.0</v>
      </c>
      <c r="L573" s="30">
        <v>43692.0</v>
      </c>
      <c r="M573" s="50" t="s">
        <v>90</v>
      </c>
      <c r="N573" s="93" t="s">
        <v>2909</v>
      </c>
      <c r="O573" s="408"/>
      <c r="P573" s="408">
        <v>860.0</v>
      </c>
      <c r="Q573" s="408">
        <f t="shared" si="66"/>
        <v>12642</v>
      </c>
      <c r="R573" s="408"/>
      <c r="S573" s="408">
        <v>399045.0</v>
      </c>
      <c r="T573" s="51" t="s">
        <v>94</v>
      </c>
      <c r="U573" s="462">
        <v>43738.0</v>
      </c>
      <c r="V573" s="462">
        <v>43691.0</v>
      </c>
      <c r="W573" s="306" t="s">
        <v>1344</v>
      </c>
      <c r="X573" s="306">
        <v>475572.0</v>
      </c>
      <c r="Y573" s="462">
        <v>43739.0</v>
      </c>
      <c r="Z573" s="306" t="s">
        <v>2890</v>
      </c>
      <c r="AA573" s="306" t="s">
        <v>2891</v>
      </c>
      <c r="AB573" s="306">
        <v>31.34</v>
      </c>
      <c r="AC573" s="306" t="s">
        <v>2892</v>
      </c>
      <c r="AD573" s="462">
        <v>43699.0</v>
      </c>
      <c r="AE573" s="298"/>
      <c r="AF573" s="298"/>
      <c r="AG573" s="299"/>
      <c r="AH573" s="300">
        <v>43699.0</v>
      </c>
      <c r="AI573" s="299" t="s">
        <v>2893</v>
      </c>
      <c r="AJ573" s="299" t="s">
        <v>2894</v>
      </c>
      <c r="AK573" s="298" t="s">
        <v>50</v>
      </c>
      <c r="AL573" s="298" t="s">
        <v>285</v>
      </c>
      <c r="AM573" s="298" t="s">
        <v>51</v>
      </c>
      <c r="AN573" s="298" t="s">
        <v>52</v>
      </c>
      <c r="AO573" s="234" t="s">
        <v>507</v>
      </c>
    </row>
    <row r="574" ht="42.75" customHeight="1">
      <c r="A574" s="69">
        <v>43663.0</v>
      </c>
      <c r="B574" s="70" t="s">
        <v>621</v>
      </c>
      <c r="C574" s="21"/>
      <c r="D574" s="21" t="s">
        <v>2910</v>
      </c>
      <c r="E574" s="32" t="s">
        <v>1346</v>
      </c>
      <c r="F574" s="82">
        <v>1.0</v>
      </c>
      <c r="G574" s="48">
        <v>2892.75</v>
      </c>
      <c r="H574" s="26">
        <f t="shared" si="67"/>
        <v>2892.75</v>
      </c>
      <c r="I574" s="27" t="s">
        <v>43</v>
      </c>
      <c r="J574" s="50" t="s">
        <v>1324</v>
      </c>
      <c r="K574" s="29">
        <v>43697.0</v>
      </c>
      <c r="L574" s="30">
        <v>43692.0</v>
      </c>
      <c r="M574" s="50" t="s">
        <v>90</v>
      </c>
      <c r="N574" s="93" t="s">
        <v>2909</v>
      </c>
      <c r="O574" s="408"/>
      <c r="P574" s="408">
        <v>2309.0</v>
      </c>
      <c r="Q574" s="408">
        <f t="shared" si="66"/>
        <v>2424.45</v>
      </c>
      <c r="R574" s="408"/>
      <c r="S574" s="408">
        <v>76527.0</v>
      </c>
      <c r="T574" s="51" t="s">
        <v>94</v>
      </c>
      <c r="U574" s="462">
        <v>43738.0</v>
      </c>
      <c r="V574" s="462">
        <v>43691.0</v>
      </c>
      <c r="W574" s="306" t="s">
        <v>1344</v>
      </c>
      <c r="X574" s="306" t="s">
        <v>2898</v>
      </c>
      <c r="Y574" s="462">
        <v>43739.0</v>
      </c>
      <c r="Z574" s="306" t="s">
        <v>2890</v>
      </c>
      <c r="AA574" s="306" t="s">
        <v>2891</v>
      </c>
      <c r="AB574" s="306">
        <v>31.34</v>
      </c>
      <c r="AC574" s="306" t="s">
        <v>2892</v>
      </c>
      <c r="AD574" s="462">
        <v>43699.0</v>
      </c>
      <c r="AE574" s="298"/>
      <c r="AF574" s="298"/>
      <c r="AG574" s="299"/>
      <c r="AH574" s="300">
        <v>43699.0</v>
      </c>
      <c r="AI574" s="299" t="s">
        <v>2893</v>
      </c>
      <c r="AJ574" s="299" t="s">
        <v>2894</v>
      </c>
      <c r="AK574" s="298" t="s">
        <v>50</v>
      </c>
      <c r="AL574" s="298" t="s">
        <v>285</v>
      </c>
      <c r="AM574" s="298" t="s">
        <v>51</v>
      </c>
      <c r="AN574" s="298" t="s">
        <v>52</v>
      </c>
      <c r="AO574" s="234" t="s">
        <v>507</v>
      </c>
    </row>
    <row r="575" ht="42.75" customHeight="1">
      <c r="A575" s="69">
        <v>43663.0</v>
      </c>
      <c r="B575" s="70" t="s">
        <v>621</v>
      </c>
      <c r="C575" s="21"/>
      <c r="D575" s="21" t="s">
        <v>2911</v>
      </c>
      <c r="E575" s="32" t="s">
        <v>1348</v>
      </c>
      <c r="F575" s="82">
        <v>20.0</v>
      </c>
      <c r="G575" s="48">
        <v>960.75</v>
      </c>
      <c r="H575" s="26">
        <f t="shared" si="67"/>
        <v>19215</v>
      </c>
      <c r="I575" s="27" t="s">
        <v>43</v>
      </c>
      <c r="J575" s="50" t="s">
        <v>1324</v>
      </c>
      <c r="K575" s="29">
        <v>43697.0</v>
      </c>
      <c r="L575" s="30">
        <v>43692.0</v>
      </c>
      <c r="M575" s="50" t="s">
        <v>90</v>
      </c>
      <c r="N575" s="93" t="s">
        <v>2912</v>
      </c>
      <c r="O575" s="408"/>
      <c r="P575" s="408">
        <v>860.0</v>
      </c>
      <c r="Q575" s="408">
        <f t="shared" si="66"/>
        <v>18060</v>
      </c>
      <c r="R575" s="408"/>
      <c r="S575" s="408">
        <v>570064.0</v>
      </c>
      <c r="T575" s="51" t="s">
        <v>94</v>
      </c>
      <c r="U575" s="462">
        <v>43738.0</v>
      </c>
      <c r="V575" s="462">
        <v>43691.0</v>
      </c>
      <c r="W575" s="306" t="s">
        <v>1349</v>
      </c>
      <c r="X575" s="306">
        <v>590281.0</v>
      </c>
      <c r="Y575" s="462">
        <v>43739.0</v>
      </c>
      <c r="Z575" s="306" t="s">
        <v>2890</v>
      </c>
      <c r="AA575" s="306" t="s">
        <v>2891</v>
      </c>
      <c r="AB575" s="306">
        <v>31.34</v>
      </c>
      <c r="AC575" s="306">
        <v>1586124.0</v>
      </c>
      <c r="AD575" s="462">
        <v>43699.0</v>
      </c>
      <c r="AE575" s="298"/>
      <c r="AF575" s="298"/>
      <c r="AG575" s="299"/>
      <c r="AH575" s="300">
        <v>43699.0</v>
      </c>
      <c r="AI575" s="299">
        <f>1596000+1978</f>
        <v>1597978</v>
      </c>
      <c r="AJ575" s="299">
        <v>0.0</v>
      </c>
      <c r="AK575" s="298" t="s">
        <v>50</v>
      </c>
      <c r="AL575" s="298" t="s">
        <v>285</v>
      </c>
      <c r="AM575" s="298" t="s">
        <v>51</v>
      </c>
      <c r="AN575" s="298" t="s">
        <v>52</v>
      </c>
      <c r="AO575" s="234" t="s">
        <v>507</v>
      </c>
    </row>
    <row r="576" ht="42.75" customHeight="1">
      <c r="A576" s="69">
        <v>43663.0</v>
      </c>
      <c r="B576" s="70" t="s">
        <v>621</v>
      </c>
      <c r="C576" s="21"/>
      <c r="D576" s="21" t="s">
        <v>2913</v>
      </c>
      <c r="E576" s="32" t="s">
        <v>1351</v>
      </c>
      <c r="F576" s="82">
        <v>2.0</v>
      </c>
      <c r="G576" s="48">
        <v>391.65</v>
      </c>
      <c r="H576" s="26">
        <f t="shared" si="67"/>
        <v>783.3</v>
      </c>
      <c r="I576" s="27" t="s">
        <v>43</v>
      </c>
      <c r="J576" s="50" t="s">
        <v>1324</v>
      </c>
      <c r="K576" s="29">
        <v>43697.0</v>
      </c>
      <c r="L576" s="30">
        <v>43692.0</v>
      </c>
      <c r="M576" s="50" t="s">
        <v>90</v>
      </c>
      <c r="N576" s="93" t="s">
        <v>2912</v>
      </c>
      <c r="O576" s="408"/>
      <c r="P576" s="408">
        <v>305.0</v>
      </c>
      <c r="Q576" s="408">
        <f t="shared" si="66"/>
        <v>640.5</v>
      </c>
      <c r="R576" s="408"/>
      <c r="S576" s="408">
        <v>20217.0</v>
      </c>
      <c r="T576" s="51" t="s">
        <v>94</v>
      </c>
      <c r="U576" s="462">
        <v>43738.0</v>
      </c>
      <c r="V576" s="462">
        <v>43691.0</v>
      </c>
      <c r="W576" s="306" t="s">
        <v>1349</v>
      </c>
      <c r="X576" s="306" t="s">
        <v>2906</v>
      </c>
      <c r="Y576" s="462">
        <v>43739.0</v>
      </c>
      <c r="Z576" s="306" t="s">
        <v>2890</v>
      </c>
      <c r="AA576" s="306" t="s">
        <v>2891</v>
      </c>
      <c r="AB576" s="306">
        <v>31.34</v>
      </c>
      <c r="AC576" s="306" t="s">
        <v>2892</v>
      </c>
      <c r="AD576" s="462">
        <v>43699.0</v>
      </c>
      <c r="AE576" s="298"/>
      <c r="AF576" s="298"/>
      <c r="AG576" s="299"/>
      <c r="AH576" s="300">
        <v>43699.0</v>
      </c>
      <c r="AI576" s="299" t="s">
        <v>2893</v>
      </c>
      <c r="AJ576" s="299" t="s">
        <v>2894</v>
      </c>
      <c r="AK576" s="298" t="s">
        <v>50</v>
      </c>
      <c r="AL576" s="298" t="s">
        <v>285</v>
      </c>
      <c r="AM576" s="298" t="s">
        <v>51</v>
      </c>
      <c r="AN576" s="298" t="s">
        <v>52</v>
      </c>
      <c r="AO576" s="234" t="s">
        <v>507</v>
      </c>
    </row>
    <row r="577" ht="42.75" customHeight="1">
      <c r="A577" s="69">
        <v>43663.0</v>
      </c>
      <c r="B577" s="144" t="s">
        <v>464</v>
      </c>
      <c r="C577" s="21">
        <v>504602.0</v>
      </c>
      <c r="D577" s="21" t="s">
        <v>1352</v>
      </c>
      <c r="E577" s="32" t="s">
        <v>1353</v>
      </c>
      <c r="F577" s="24">
        <v>1.0</v>
      </c>
      <c r="G577" s="48">
        <v>470.0</v>
      </c>
      <c r="H577" s="26">
        <f t="shared" si="67"/>
        <v>470</v>
      </c>
      <c r="I577" s="61" t="s">
        <v>105</v>
      </c>
      <c r="J577" s="63" t="s">
        <v>467</v>
      </c>
      <c r="K577" s="29">
        <v>43692.0</v>
      </c>
      <c r="L577" s="30">
        <v>43685.0</v>
      </c>
      <c r="M577" s="50" t="s">
        <v>1537</v>
      </c>
      <c r="N577" s="93" t="s">
        <v>2914</v>
      </c>
      <c r="O577" s="408"/>
      <c r="P577" s="408"/>
      <c r="Q577" s="408"/>
      <c r="R577" s="408"/>
      <c r="S577" s="306" t="s">
        <v>2915</v>
      </c>
      <c r="T577" s="503"/>
      <c r="U577" s="306"/>
      <c r="V577" s="306"/>
      <c r="W577" s="306"/>
      <c r="X577" s="306"/>
      <c r="Y577" s="306"/>
      <c r="Z577" s="306" t="s">
        <v>2916</v>
      </c>
      <c r="AA577" s="306">
        <v>1.30279808E8</v>
      </c>
      <c r="AB577" s="306">
        <v>31.565</v>
      </c>
      <c r="AC577" s="306"/>
      <c r="AD577" s="306"/>
      <c r="AE577" s="298"/>
      <c r="AF577" s="298"/>
      <c r="AG577" s="299"/>
      <c r="AH577" s="300">
        <v>43692.0</v>
      </c>
      <c r="AI577" s="299">
        <f>463.61*31.32</f>
        <v>14520.2652</v>
      </c>
      <c r="AJ577" s="299">
        <f>(470-463.61)*31.32</f>
        <v>200.1348</v>
      </c>
      <c r="AK577" s="298" t="s">
        <v>50</v>
      </c>
      <c r="AL577" s="298" t="s">
        <v>285</v>
      </c>
      <c r="AM577" s="298" t="s">
        <v>286</v>
      </c>
      <c r="AN577" s="298" t="s">
        <v>52</v>
      </c>
      <c r="AO577" s="234" t="s">
        <v>507</v>
      </c>
    </row>
    <row r="578" ht="42.75" customHeight="1">
      <c r="A578" s="69">
        <v>43663.0</v>
      </c>
      <c r="B578" s="70" t="s">
        <v>1251</v>
      </c>
      <c r="C578" s="21" t="s">
        <v>1354</v>
      </c>
      <c r="D578" s="493" t="s">
        <v>1355</v>
      </c>
      <c r="E578" s="32" t="s">
        <v>1356</v>
      </c>
      <c r="F578" s="298">
        <v>13.0</v>
      </c>
      <c r="G578" s="74">
        <v>610.0</v>
      </c>
      <c r="H578" s="26">
        <f t="shared" si="67"/>
        <v>7930</v>
      </c>
      <c r="I578" s="61" t="s">
        <v>105</v>
      </c>
      <c r="J578" s="63" t="s">
        <v>534</v>
      </c>
      <c r="K578" s="29">
        <v>43684.0</v>
      </c>
      <c r="L578" s="30">
        <v>43677.0</v>
      </c>
      <c r="M578" s="58" t="s">
        <v>1439</v>
      </c>
      <c r="N578" s="32" t="s">
        <v>2917</v>
      </c>
      <c r="O578" s="408"/>
      <c r="P578" s="408">
        <v>565.0</v>
      </c>
      <c r="Q578" s="408">
        <f t="shared" ref="Q578:Q580" si="68">(P578*F578)*1.05</f>
        <v>7712.25</v>
      </c>
      <c r="R578" s="408"/>
      <c r="S578" s="408">
        <v>239581.0</v>
      </c>
      <c r="T578" s="503" t="s">
        <v>1976</v>
      </c>
      <c r="U578" s="462">
        <v>43738.0</v>
      </c>
      <c r="V578" s="462">
        <v>43676.0</v>
      </c>
      <c r="W578" s="306" t="s">
        <v>1357</v>
      </c>
      <c r="X578" s="306">
        <v>322268.0</v>
      </c>
      <c r="Y578" s="462">
        <v>43738.0</v>
      </c>
      <c r="Z578" s="306" t="s">
        <v>2918</v>
      </c>
      <c r="AA578" s="306">
        <v>4.242192426E9</v>
      </c>
      <c r="AB578" s="306"/>
      <c r="AC578" s="306"/>
      <c r="AD578" s="306"/>
      <c r="AE578" s="298"/>
      <c r="AF578" s="298"/>
      <c r="AG578" s="299"/>
      <c r="AH578" s="300">
        <v>43734.0</v>
      </c>
      <c r="AI578" s="299" t="s">
        <v>2851</v>
      </c>
      <c r="AJ578" s="299" t="s">
        <v>2852</v>
      </c>
      <c r="AK578" s="298" t="s">
        <v>50</v>
      </c>
      <c r="AL578" s="298" t="s">
        <v>285</v>
      </c>
      <c r="AM578" s="298" t="s">
        <v>51</v>
      </c>
      <c r="AN578" s="298" t="s">
        <v>52</v>
      </c>
      <c r="AO578" s="234" t="s">
        <v>507</v>
      </c>
    </row>
    <row r="579" ht="42.75" customHeight="1">
      <c r="A579" s="69">
        <v>43663.0</v>
      </c>
      <c r="B579" s="70" t="s">
        <v>1251</v>
      </c>
      <c r="C579" s="21" t="s">
        <v>1354</v>
      </c>
      <c r="D579" s="493" t="s">
        <v>1355</v>
      </c>
      <c r="E579" s="32" t="s">
        <v>1059</v>
      </c>
      <c r="F579" s="298">
        <v>13.0</v>
      </c>
      <c r="G579" s="74">
        <v>219.0</v>
      </c>
      <c r="H579" s="26">
        <f t="shared" si="67"/>
        <v>2847</v>
      </c>
      <c r="I579" s="61" t="s">
        <v>105</v>
      </c>
      <c r="J579" s="63" t="s">
        <v>534</v>
      </c>
      <c r="K579" s="29">
        <v>43684.0</v>
      </c>
      <c r="L579" s="30">
        <v>43677.0</v>
      </c>
      <c r="M579" s="58" t="s">
        <v>1439</v>
      </c>
      <c r="N579" s="32" t="s">
        <v>2917</v>
      </c>
      <c r="O579" s="408"/>
      <c r="P579" s="408">
        <v>195.0</v>
      </c>
      <c r="Q579" s="408">
        <f t="shared" si="68"/>
        <v>2661.75</v>
      </c>
      <c r="R579" s="408"/>
      <c r="S579" s="408">
        <v>82687.0</v>
      </c>
      <c r="T579" s="503" t="s">
        <v>1976</v>
      </c>
      <c r="U579" s="462">
        <v>43738.0</v>
      </c>
      <c r="V579" s="462">
        <v>43676.0</v>
      </c>
      <c r="W579" s="306" t="s">
        <v>1357</v>
      </c>
      <c r="X579" s="306" t="s">
        <v>2919</v>
      </c>
      <c r="Y579" s="462">
        <v>43738.0</v>
      </c>
      <c r="Z579" s="306" t="s">
        <v>2918</v>
      </c>
      <c r="AA579" s="306">
        <v>4.242192426E9</v>
      </c>
      <c r="AB579" s="306"/>
      <c r="AC579" s="306"/>
      <c r="AD579" s="306"/>
      <c r="AE579" s="298"/>
      <c r="AF579" s="298"/>
      <c r="AG579" s="299"/>
      <c r="AH579" s="300">
        <v>43734.0</v>
      </c>
      <c r="AI579" s="299" t="s">
        <v>2851</v>
      </c>
      <c r="AJ579" s="299" t="s">
        <v>2852</v>
      </c>
      <c r="AK579" s="298" t="s">
        <v>50</v>
      </c>
      <c r="AL579" s="298" t="s">
        <v>285</v>
      </c>
      <c r="AM579" s="298" t="s">
        <v>51</v>
      </c>
      <c r="AN579" s="298" t="s">
        <v>52</v>
      </c>
      <c r="AO579" s="234" t="s">
        <v>507</v>
      </c>
    </row>
    <row r="580" ht="42.75" customHeight="1">
      <c r="A580" s="69">
        <v>43663.0</v>
      </c>
      <c r="B580" s="70" t="s">
        <v>1251</v>
      </c>
      <c r="C580" s="21" t="s">
        <v>1354</v>
      </c>
      <c r="D580" s="493" t="s">
        <v>1355</v>
      </c>
      <c r="E580" s="32" t="s">
        <v>1358</v>
      </c>
      <c r="F580" s="298">
        <v>13.0</v>
      </c>
      <c r="G580" s="74">
        <v>54.0</v>
      </c>
      <c r="H580" s="26">
        <f t="shared" si="67"/>
        <v>702</v>
      </c>
      <c r="I580" s="61" t="s">
        <v>105</v>
      </c>
      <c r="J580" s="63" t="s">
        <v>534</v>
      </c>
      <c r="K580" s="29">
        <v>43684.0</v>
      </c>
      <c r="L580" s="30">
        <v>43669.0</v>
      </c>
      <c r="M580" s="50" t="s">
        <v>2069</v>
      </c>
      <c r="N580" s="32" t="s">
        <v>2920</v>
      </c>
      <c r="O580" s="408"/>
      <c r="P580" s="408"/>
      <c r="Q580" s="408">
        <f t="shared" si="68"/>
        <v>0</v>
      </c>
      <c r="R580" s="408">
        <v>1180.0</v>
      </c>
      <c r="S580" s="408">
        <f>(R580*F580)*1.05</f>
        <v>16107</v>
      </c>
      <c r="T580" s="51" t="s">
        <v>1983</v>
      </c>
      <c r="U580" s="462">
        <v>43682.0</v>
      </c>
      <c r="V580" s="462">
        <v>43668.0</v>
      </c>
      <c r="W580" s="306" t="s">
        <v>1359</v>
      </c>
      <c r="X580" s="306">
        <v>16107.0</v>
      </c>
      <c r="Y580" s="462">
        <v>43682.0</v>
      </c>
      <c r="Z580" s="306" t="s">
        <v>2918</v>
      </c>
      <c r="AA580" s="306">
        <v>4.242192426E9</v>
      </c>
      <c r="AB580" s="306"/>
      <c r="AC580" s="306"/>
      <c r="AD580" s="306"/>
      <c r="AE580" s="298"/>
      <c r="AF580" s="298"/>
      <c r="AG580" s="299"/>
      <c r="AH580" s="300">
        <v>43734.0</v>
      </c>
      <c r="AI580" s="299">
        <f>16628.67*30.98</f>
        <v>515156.1966</v>
      </c>
      <c r="AJ580" s="299">
        <f>(16657-16628.67)*30.98</f>
        <v>877.6634</v>
      </c>
      <c r="AK580" s="298" t="s">
        <v>50</v>
      </c>
      <c r="AL580" s="298" t="s">
        <v>285</v>
      </c>
      <c r="AM580" s="298" t="s">
        <v>51</v>
      </c>
      <c r="AN580" s="298" t="s">
        <v>52</v>
      </c>
      <c r="AO580" s="234" t="s">
        <v>507</v>
      </c>
    </row>
    <row r="581" ht="42.75" customHeight="1">
      <c r="A581" s="69">
        <v>43664.0</v>
      </c>
      <c r="B581" s="70" t="s">
        <v>1251</v>
      </c>
      <c r="C581" s="508" t="s">
        <v>1252</v>
      </c>
      <c r="D581" s="21" t="s">
        <v>1360</v>
      </c>
      <c r="E581" s="32" t="s">
        <v>347</v>
      </c>
      <c r="F581" s="24">
        <v>1.0</v>
      </c>
      <c r="G581" s="48">
        <v>252.0</v>
      </c>
      <c r="H581" s="26">
        <f t="shared" si="67"/>
        <v>252</v>
      </c>
      <c r="I581" s="61" t="s">
        <v>105</v>
      </c>
      <c r="J581" s="63" t="s">
        <v>1361</v>
      </c>
      <c r="K581" s="29">
        <v>43668.0</v>
      </c>
      <c r="L581" s="29"/>
      <c r="M581" s="50" t="s">
        <v>263</v>
      </c>
      <c r="N581" s="93"/>
      <c r="O581" s="408"/>
      <c r="P581" s="408"/>
      <c r="Q581" s="408"/>
      <c r="R581" s="408"/>
      <c r="S581" s="408">
        <v>5439.0</v>
      </c>
      <c r="T581" s="51"/>
      <c r="U581" s="462">
        <v>43738.0</v>
      </c>
      <c r="V581" s="462">
        <v>43672.0</v>
      </c>
      <c r="W581" s="306" t="s">
        <v>1362</v>
      </c>
      <c r="X581" s="306">
        <v>5439.0</v>
      </c>
      <c r="Y581" s="462">
        <v>43710.0</v>
      </c>
      <c r="Z581" s="306"/>
      <c r="AA581" s="306"/>
      <c r="AB581" s="306"/>
      <c r="AC581" s="306"/>
      <c r="AD581" s="306"/>
      <c r="AE581" s="298"/>
      <c r="AF581" s="298"/>
      <c r="AG581" s="299"/>
      <c r="AH581" s="300">
        <v>43704.0</v>
      </c>
      <c r="AI581" s="299" t="s">
        <v>2732</v>
      </c>
      <c r="AJ581" s="299" t="s">
        <v>2733</v>
      </c>
      <c r="AK581" s="298" t="s">
        <v>50</v>
      </c>
      <c r="AL581" s="298" t="s">
        <v>285</v>
      </c>
      <c r="AM581" s="298" t="s">
        <v>51</v>
      </c>
      <c r="AN581" s="298" t="s">
        <v>52</v>
      </c>
      <c r="AO581" s="234" t="s">
        <v>507</v>
      </c>
    </row>
    <row r="582" ht="42.75" customHeight="1">
      <c r="A582" s="69">
        <v>43665.0</v>
      </c>
      <c r="B582" s="70" t="s">
        <v>223</v>
      </c>
      <c r="C582" s="21" t="s">
        <v>1363</v>
      </c>
      <c r="D582" s="21" t="s">
        <v>1364</v>
      </c>
      <c r="E582" s="32" t="s">
        <v>1365</v>
      </c>
      <c r="F582" s="24">
        <v>10.0</v>
      </c>
      <c r="G582" s="48">
        <f>90*1.05</f>
        <v>94.5</v>
      </c>
      <c r="H582" s="60">
        <f t="shared" si="67"/>
        <v>945</v>
      </c>
      <c r="I582" s="61" t="s">
        <v>144</v>
      </c>
      <c r="J582" s="63" t="s">
        <v>90</v>
      </c>
      <c r="K582" s="30">
        <v>43675.0</v>
      </c>
      <c r="L582" s="30">
        <v>43675.0</v>
      </c>
      <c r="M582" s="50" t="s">
        <v>90</v>
      </c>
      <c r="N582" s="93" t="s">
        <v>2921</v>
      </c>
      <c r="O582" s="408"/>
      <c r="P582" s="408">
        <v>82.0</v>
      </c>
      <c r="Q582" s="408">
        <f t="shared" ref="Q582:Q600" si="69">(P582*F582)*1.05</f>
        <v>861</v>
      </c>
      <c r="R582" s="408"/>
      <c r="S582" s="408">
        <v>26683.0</v>
      </c>
      <c r="T582" s="35" t="s">
        <v>94</v>
      </c>
      <c r="U582" s="462">
        <v>43738.0</v>
      </c>
      <c r="V582" s="462">
        <v>43672.0</v>
      </c>
      <c r="W582" s="306" t="s">
        <v>1366</v>
      </c>
      <c r="X582" s="306">
        <v>31824.0</v>
      </c>
      <c r="Y582" s="462">
        <v>43739.0</v>
      </c>
      <c r="Z582" s="306" t="s">
        <v>2922</v>
      </c>
      <c r="AA582" s="306"/>
      <c r="AB582" s="306">
        <v>31.08</v>
      </c>
      <c r="AC582" s="306">
        <v>35049.0</v>
      </c>
      <c r="AD582" s="462">
        <v>43675.0</v>
      </c>
      <c r="AE582" s="298"/>
      <c r="AF582" s="298"/>
      <c r="AG582" s="299"/>
      <c r="AH582" s="300">
        <v>43718.0</v>
      </c>
      <c r="AI582" s="299">
        <v>108650.0</v>
      </c>
      <c r="AJ582" s="299">
        <v>15.0</v>
      </c>
      <c r="AK582" s="298" t="s">
        <v>50</v>
      </c>
      <c r="AL582" s="298" t="s">
        <v>285</v>
      </c>
      <c r="AM582" s="298" t="s">
        <v>51</v>
      </c>
      <c r="AN582" s="298" t="s">
        <v>377</v>
      </c>
      <c r="AO582" s="234" t="s">
        <v>507</v>
      </c>
    </row>
    <row r="583" ht="42.75" customHeight="1">
      <c r="A583" s="69">
        <v>43665.0</v>
      </c>
      <c r="B583" s="70" t="s">
        <v>223</v>
      </c>
      <c r="C583" s="21" t="s">
        <v>1363</v>
      </c>
      <c r="D583" s="21" t="s">
        <v>1364</v>
      </c>
      <c r="E583" s="32" t="s">
        <v>1367</v>
      </c>
      <c r="F583" s="24">
        <v>2.0</v>
      </c>
      <c r="G583" s="48">
        <f>87*1.05</f>
        <v>91.35</v>
      </c>
      <c r="H583" s="60">
        <f t="shared" si="67"/>
        <v>182.7</v>
      </c>
      <c r="I583" s="61" t="s">
        <v>144</v>
      </c>
      <c r="J583" s="63" t="s">
        <v>90</v>
      </c>
      <c r="K583" s="30">
        <v>43675.0</v>
      </c>
      <c r="L583" s="30">
        <v>43675.0</v>
      </c>
      <c r="M583" s="50" t="s">
        <v>90</v>
      </c>
      <c r="N583" s="93" t="s">
        <v>2921</v>
      </c>
      <c r="O583" s="408"/>
      <c r="P583" s="408">
        <v>79.0</v>
      </c>
      <c r="Q583" s="408">
        <f t="shared" si="69"/>
        <v>165.9</v>
      </c>
      <c r="R583" s="408"/>
      <c r="S583" s="408">
        <v>5141.0</v>
      </c>
      <c r="T583" s="35" t="s">
        <v>94</v>
      </c>
      <c r="U583" s="462">
        <v>43738.0</v>
      </c>
      <c r="V583" s="462">
        <v>43672.0</v>
      </c>
      <c r="W583" s="306" t="s">
        <v>1366</v>
      </c>
      <c r="X583" s="306" t="s">
        <v>2923</v>
      </c>
      <c r="Y583" s="462">
        <v>43739.0</v>
      </c>
      <c r="Z583" s="306" t="s">
        <v>2922</v>
      </c>
      <c r="AA583" s="306" t="s">
        <v>2924</v>
      </c>
      <c r="AB583" s="306">
        <v>31.08</v>
      </c>
      <c r="AC583" s="306" t="s">
        <v>2925</v>
      </c>
      <c r="AD583" s="462">
        <v>43675.0</v>
      </c>
      <c r="AE583" s="298"/>
      <c r="AF583" s="298"/>
      <c r="AG583" s="299"/>
      <c r="AH583" s="300">
        <v>43718.0</v>
      </c>
      <c r="AI583" s="299" t="s">
        <v>2926</v>
      </c>
      <c r="AJ583" s="299" t="s">
        <v>2927</v>
      </c>
      <c r="AK583" s="298" t="s">
        <v>50</v>
      </c>
      <c r="AL583" s="298" t="s">
        <v>285</v>
      </c>
      <c r="AM583" s="298" t="s">
        <v>51</v>
      </c>
      <c r="AN583" s="298" t="s">
        <v>377</v>
      </c>
      <c r="AO583" s="234" t="s">
        <v>507</v>
      </c>
    </row>
    <row r="584" ht="42.75" customHeight="1">
      <c r="A584" s="69">
        <v>43665.0</v>
      </c>
      <c r="B584" s="144" t="s">
        <v>378</v>
      </c>
      <c r="C584" s="21" t="s">
        <v>1368</v>
      </c>
      <c r="D584" s="21" t="s">
        <v>2928</v>
      </c>
      <c r="E584" s="32" t="s">
        <v>1370</v>
      </c>
      <c r="F584" s="24">
        <v>3.0</v>
      </c>
      <c r="G584" s="48">
        <v>0.0</v>
      </c>
      <c r="H584" s="60">
        <f t="shared" si="67"/>
        <v>0</v>
      </c>
      <c r="I584" s="61" t="s">
        <v>144</v>
      </c>
      <c r="J584" s="58" t="s">
        <v>1122</v>
      </c>
      <c r="K584" s="30">
        <v>43804.0</v>
      </c>
      <c r="L584" s="30">
        <v>43724.0</v>
      </c>
      <c r="M584" s="50" t="s">
        <v>2929</v>
      </c>
      <c r="N584" s="93"/>
      <c r="O584" s="408"/>
      <c r="P584" s="408"/>
      <c r="Q584" s="22">
        <f t="shared" si="69"/>
        <v>0</v>
      </c>
      <c r="R584" s="22"/>
      <c r="S584" s="693">
        <f>(R584*H584)*1.05</f>
        <v>0</v>
      </c>
      <c r="T584" s="503"/>
      <c r="U584" s="306"/>
      <c r="V584" s="306"/>
      <c r="W584" s="306"/>
      <c r="X584" s="306"/>
      <c r="Y584" s="306"/>
      <c r="Z584" s="306" t="s">
        <v>2930</v>
      </c>
      <c r="AA584" s="306" t="s">
        <v>2931</v>
      </c>
      <c r="AB584" s="306"/>
      <c r="AC584" s="306"/>
      <c r="AD584" s="306"/>
      <c r="AE584" s="298"/>
      <c r="AF584" s="298"/>
      <c r="AG584" s="299"/>
      <c r="AH584" s="298" t="s">
        <v>1227</v>
      </c>
      <c r="AI584" s="298" t="s">
        <v>1227</v>
      </c>
      <c r="AJ584" s="298" t="s">
        <v>1227</v>
      </c>
      <c r="AK584" s="298" t="s">
        <v>1227</v>
      </c>
      <c r="AL584" s="82" t="s">
        <v>285</v>
      </c>
      <c r="AM584" s="298" t="s">
        <v>286</v>
      </c>
      <c r="AN584" s="298" t="s">
        <v>52</v>
      </c>
      <c r="AO584" s="298" t="s">
        <v>1371</v>
      </c>
    </row>
    <row r="585" ht="42.75" customHeight="1">
      <c r="A585" s="69">
        <v>43665.0</v>
      </c>
      <c r="B585" s="144" t="s">
        <v>378</v>
      </c>
      <c r="C585" s="21" t="s">
        <v>1368</v>
      </c>
      <c r="D585" s="21" t="s">
        <v>1372</v>
      </c>
      <c r="E585" s="32" t="s">
        <v>1373</v>
      </c>
      <c r="F585" s="24">
        <v>3.0</v>
      </c>
      <c r="G585" s="48">
        <v>76.0</v>
      </c>
      <c r="H585" s="60">
        <f t="shared" si="67"/>
        <v>228</v>
      </c>
      <c r="I585" s="61" t="s">
        <v>144</v>
      </c>
      <c r="J585" s="58" t="s">
        <v>1122</v>
      </c>
      <c r="K585" s="30">
        <v>43804.0</v>
      </c>
      <c r="L585" s="30">
        <v>43781.0</v>
      </c>
      <c r="M585" s="50" t="s">
        <v>255</v>
      </c>
      <c r="N585" s="93" t="s">
        <v>2932</v>
      </c>
      <c r="O585" s="408"/>
      <c r="P585" s="408"/>
      <c r="Q585" s="22">
        <f t="shared" si="69"/>
        <v>0</v>
      </c>
      <c r="R585" s="22">
        <v>1390.0</v>
      </c>
      <c r="S585" s="694">
        <f t="shared" ref="S585:S587" si="70">(R585*F585)*1.05</f>
        <v>4378.5</v>
      </c>
      <c r="T585" s="70" t="s">
        <v>257</v>
      </c>
      <c r="U585" s="462"/>
      <c r="V585" s="462"/>
      <c r="W585" s="306"/>
      <c r="X585" s="306"/>
      <c r="Y585" s="306"/>
      <c r="Z585" s="306" t="s">
        <v>2930</v>
      </c>
      <c r="AA585" s="306" t="s">
        <v>2933</v>
      </c>
      <c r="AB585" s="306"/>
      <c r="AC585" s="306"/>
      <c r="AD585" s="306"/>
      <c r="AE585" s="298"/>
      <c r="AF585" s="298"/>
      <c r="AG585" s="299"/>
      <c r="AH585" s="300">
        <v>43672.0</v>
      </c>
      <c r="AI585" s="299" t="s">
        <v>2702</v>
      </c>
      <c r="AJ585" s="299" t="s">
        <v>2703</v>
      </c>
      <c r="AK585" s="298" t="s">
        <v>50</v>
      </c>
      <c r="AL585" s="82" t="s">
        <v>285</v>
      </c>
      <c r="AM585" s="298" t="s">
        <v>286</v>
      </c>
      <c r="AN585" s="298" t="s">
        <v>52</v>
      </c>
      <c r="AO585" s="298" t="s">
        <v>1371</v>
      </c>
    </row>
    <row r="586" ht="42.75" customHeight="1">
      <c r="A586" s="69">
        <v>43665.0</v>
      </c>
      <c r="B586" s="144" t="s">
        <v>378</v>
      </c>
      <c r="C586" s="21" t="s">
        <v>1368</v>
      </c>
      <c r="D586" s="21" t="s">
        <v>1372</v>
      </c>
      <c r="E586" s="32" t="s">
        <v>1374</v>
      </c>
      <c r="F586" s="24">
        <v>3.0</v>
      </c>
      <c r="G586" s="48">
        <v>100.0</v>
      </c>
      <c r="H586" s="60">
        <f t="shared" si="67"/>
        <v>300</v>
      </c>
      <c r="I586" s="61" t="s">
        <v>144</v>
      </c>
      <c r="J586" s="58" t="s">
        <v>1122</v>
      </c>
      <c r="K586" s="30">
        <v>43804.0</v>
      </c>
      <c r="L586" s="30">
        <v>43797.0</v>
      </c>
      <c r="M586" s="82" t="s">
        <v>2054</v>
      </c>
      <c r="N586" s="93" t="s">
        <v>2934</v>
      </c>
      <c r="O586" s="408"/>
      <c r="P586" s="408"/>
      <c r="Q586" s="22">
        <f t="shared" si="69"/>
        <v>0</v>
      </c>
      <c r="R586" s="22">
        <v>2100.0</v>
      </c>
      <c r="S586" s="693">
        <f t="shared" si="70"/>
        <v>6615</v>
      </c>
      <c r="T586" s="21" t="s">
        <v>2056</v>
      </c>
      <c r="U586" s="306"/>
      <c r="V586" s="306"/>
      <c r="W586" s="306"/>
      <c r="X586" s="306"/>
      <c r="Y586" s="306"/>
      <c r="Z586" s="306" t="s">
        <v>2930</v>
      </c>
      <c r="AA586" s="306" t="s">
        <v>2933</v>
      </c>
      <c r="AB586" s="306"/>
      <c r="AC586" s="306"/>
      <c r="AD586" s="306"/>
      <c r="AE586" s="298"/>
      <c r="AF586" s="298"/>
      <c r="AG586" s="299"/>
      <c r="AH586" s="300">
        <v>43837.0</v>
      </c>
      <c r="AI586" s="299">
        <f>3231.34*30.013</f>
        <v>96982.20742</v>
      </c>
      <c r="AJ586" s="299">
        <f>(3248-3231.34)*30.013</f>
        <v>500.01658</v>
      </c>
      <c r="AK586" s="298" t="s">
        <v>50</v>
      </c>
      <c r="AL586" s="82" t="s">
        <v>285</v>
      </c>
      <c r="AM586" s="298" t="s">
        <v>286</v>
      </c>
      <c r="AN586" s="298" t="s">
        <v>52</v>
      </c>
      <c r="AO586" s="298" t="s">
        <v>1371</v>
      </c>
    </row>
    <row r="587" ht="42.75" customHeight="1">
      <c r="A587" s="69">
        <v>43665.0</v>
      </c>
      <c r="B587" s="144" t="s">
        <v>378</v>
      </c>
      <c r="C587" s="21" t="s">
        <v>1368</v>
      </c>
      <c r="D587" s="477" t="s">
        <v>2935</v>
      </c>
      <c r="E587" s="32" t="s">
        <v>1376</v>
      </c>
      <c r="F587" s="24">
        <v>3.0</v>
      </c>
      <c r="G587" s="48">
        <v>25.0</v>
      </c>
      <c r="H587" s="60">
        <f t="shared" si="67"/>
        <v>75</v>
      </c>
      <c r="I587" s="61" t="s">
        <v>144</v>
      </c>
      <c r="J587" s="58" t="s">
        <v>1122</v>
      </c>
      <c r="K587" s="30">
        <v>43804.0</v>
      </c>
      <c r="L587" s="30">
        <v>43781.0</v>
      </c>
      <c r="M587" s="50" t="s">
        <v>255</v>
      </c>
      <c r="N587" s="93" t="s">
        <v>2936</v>
      </c>
      <c r="O587" s="408"/>
      <c r="P587" s="408">
        <v>15.0</v>
      </c>
      <c r="Q587" s="22">
        <f t="shared" si="69"/>
        <v>47.25</v>
      </c>
      <c r="R587" s="408">
        <f t="shared" ref="R587:R588" si="71">P587*30.5</f>
        <v>457.5</v>
      </c>
      <c r="S587" s="695">
        <f t="shared" si="70"/>
        <v>1441.125</v>
      </c>
      <c r="T587" s="70" t="s">
        <v>2056</v>
      </c>
      <c r="U587" s="306"/>
      <c r="V587" s="306"/>
      <c r="W587" s="306"/>
      <c r="X587" s="306"/>
      <c r="Y587" s="306"/>
      <c r="Z587" s="306" t="s">
        <v>2930</v>
      </c>
      <c r="AA587" s="306" t="s">
        <v>2933</v>
      </c>
      <c r="AB587" s="306"/>
      <c r="AC587" s="306"/>
      <c r="AD587" s="306"/>
      <c r="AE587" s="298"/>
      <c r="AF587" s="298"/>
      <c r="AG587" s="299"/>
      <c r="AH587" s="300">
        <v>43837.0</v>
      </c>
      <c r="AI587" s="299" t="s">
        <v>2937</v>
      </c>
      <c r="AJ587" s="299" t="s">
        <v>2938</v>
      </c>
      <c r="AK587" s="298" t="s">
        <v>50</v>
      </c>
      <c r="AL587" s="82" t="s">
        <v>285</v>
      </c>
      <c r="AM587" s="298" t="s">
        <v>286</v>
      </c>
      <c r="AN587" s="298" t="s">
        <v>52</v>
      </c>
      <c r="AO587" s="298" t="s">
        <v>1371</v>
      </c>
    </row>
    <row r="588" ht="42.75" customHeight="1">
      <c r="A588" s="69">
        <v>43665.0</v>
      </c>
      <c r="B588" s="144" t="s">
        <v>378</v>
      </c>
      <c r="C588" s="21" t="s">
        <v>1368</v>
      </c>
      <c r="D588" s="21" t="s">
        <v>1377</v>
      </c>
      <c r="E588" s="32" t="s">
        <v>1378</v>
      </c>
      <c r="F588" s="24">
        <v>1.0</v>
      </c>
      <c r="G588" s="48">
        <v>1600.0</v>
      </c>
      <c r="H588" s="60">
        <f t="shared" si="67"/>
        <v>1600</v>
      </c>
      <c r="I588" s="61" t="s">
        <v>144</v>
      </c>
      <c r="J588" s="58" t="s">
        <v>1122</v>
      </c>
      <c r="K588" s="30">
        <v>43762.0</v>
      </c>
      <c r="L588" s="443" t="s">
        <v>71</v>
      </c>
      <c r="M588" s="50" t="s">
        <v>255</v>
      </c>
      <c r="N588" s="93" t="s">
        <v>2932</v>
      </c>
      <c r="O588" s="408"/>
      <c r="P588" s="408">
        <v>500.0</v>
      </c>
      <c r="Q588" s="408">
        <f t="shared" si="69"/>
        <v>525</v>
      </c>
      <c r="R588" s="627">
        <f t="shared" si="71"/>
        <v>15250</v>
      </c>
      <c r="S588" s="696">
        <v>16013.0</v>
      </c>
      <c r="T588" s="70" t="s">
        <v>257</v>
      </c>
      <c r="U588" s="306"/>
      <c r="V588" s="306"/>
      <c r="W588" s="306"/>
      <c r="X588" s="306"/>
      <c r="Y588" s="306"/>
      <c r="Z588" s="306" t="s">
        <v>2939</v>
      </c>
      <c r="AA588" s="306" t="s">
        <v>2940</v>
      </c>
      <c r="AB588" s="306"/>
      <c r="AC588" s="306"/>
      <c r="AD588" s="306"/>
      <c r="AE588" s="298"/>
      <c r="AF588" s="298"/>
      <c r="AG588" s="299"/>
      <c r="AH588" s="300">
        <v>43672.0</v>
      </c>
      <c r="AI588" s="299" t="s">
        <v>2702</v>
      </c>
      <c r="AJ588" s="299" t="s">
        <v>2703</v>
      </c>
      <c r="AK588" s="298" t="s">
        <v>50</v>
      </c>
      <c r="AL588" s="298" t="s">
        <v>285</v>
      </c>
      <c r="AM588" s="298" t="s">
        <v>286</v>
      </c>
      <c r="AN588" s="298" t="s">
        <v>52</v>
      </c>
      <c r="AO588" s="82" t="s">
        <v>763</v>
      </c>
    </row>
    <row r="589" ht="42.75" customHeight="1">
      <c r="A589" s="69">
        <v>43665.0</v>
      </c>
      <c r="B589" s="144" t="s">
        <v>378</v>
      </c>
      <c r="C589" s="21" t="s">
        <v>1368</v>
      </c>
      <c r="D589" s="21" t="s">
        <v>2941</v>
      </c>
      <c r="E589" s="32" t="s">
        <v>1374</v>
      </c>
      <c r="F589" s="24">
        <v>4.0</v>
      </c>
      <c r="G589" s="48">
        <v>100.0</v>
      </c>
      <c r="H589" s="60">
        <f t="shared" si="67"/>
        <v>400</v>
      </c>
      <c r="I589" s="61" t="s">
        <v>144</v>
      </c>
      <c r="J589" s="58" t="s">
        <v>1122</v>
      </c>
      <c r="K589" s="30">
        <v>43762.0</v>
      </c>
      <c r="L589" s="30">
        <v>43760.0</v>
      </c>
      <c r="M589" s="82" t="s">
        <v>2054</v>
      </c>
      <c r="N589" s="93" t="s">
        <v>2942</v>
      </c>
      <c r="O589" s="82">
        <v>2.019102200002E12</v>
      </c>
      <c r="P589" s="22"/>
      <c r="Q589" s="22">
        <f t="shared" si="69"/>
        <v>0</v>
      </c>
      <c r="R589" s="22">
        <v>2100.0</v>
      </c>
      <c r="S589" s="22">
        <f>(R589*F589)*1.05</f>
        <v>8820</v>
      </c>
      <c r="T589" s="21" t="s">
        <v>2056</v>
      </c>
      <c r="U589" s="462">
        <v>43774.0</v>
      </c>
      <c r="V589" s="305">
        <v>43759.0</v>
      </c>
      <c r="W589" s="306" t="s">
        <v>1380</v>
      </c>
      <c r="X589" s="306">
        <v>11970.0</v>
      </c>
      <c r="Y589" s="306"/>
      <c r="Z589" s="306" t="s">
        <v>2939</v>
      </c>
      <c r="AA589" s="306" t="s">
        <v>2940</v>
      </c>
      <c r="AB589" s="306"/>
      <c r="AC589" s="306"/>
      <c r="AD589" s="306"/>
      <c r="AE589" s="298"/>
      <c r="AF589" s="298"/>
      <c r="AG589" s="299"/>
      <c r="AH589" s="300">
        <v>43777.0</v>
      </c>
      <c r="AI589" s="299" t="s">
        <v>2943</v>
      </c>
      <c r="AJ589" s="299" t="s">
        <v>2944</v>
      </c>
      <c r="AK589" s="298" t="s">
        <v>50</v>
      </c>
      <c r="AL589" s="298" t="s">
        <v>285</v>
      </c>
      <c r="AM589" s="298" t="s">
        <v>286</v>
      </c>
      <c r="AN589" s="298" t="s">
        <v>52</v>
      </c>
      <c r="AO589" s="82" t="s">
        <v>763</v>
      </c>
    </row>
    <row r="590" ht="15.75" customHeight="1">
      <c r="A590" s="69">
        <v>43665.0</v>
      </c>
      <c r="B590" s="144" t="s">
        <v>378</v>
      </c>
      <c r="C590" s="21" t="s">
        <v>1368</v>
      </c>
      <c r="D590" s="21" t="s">
        <v>2945</v>
      </c>
      <c r="E590" s="32" t="s">
        <v>1382</v>
      </c>
      <c r="F590" s="24">
        <v>4.0</v>
      </c>
      <c r="G590" s="48">
        <v>0.0</v>
      </c>
      <c r="H590" s="60">
        <f t="shared" si="67"/>
        <v>0</v>
      </c>
      <c r="I590" s="61" t="s">
        <v>144</v>
      </c>
      <c r="J590" s="161" t="s">
        <v>1122</v>
      </c>
      <c r="K590" s="30">
        <v>43762.0</v>
      </c>
      <c r="L590" s="30">
        <v>43724.0</v>
      </c>
      <c r="M590" s="63" t="s">
        <v>2929</v>
      </c>
      <c r="N590" s="64"/>
      <c r="O590" s="34"/>
      <c r="P590" s="34"/>
      <c r="Q590" s="34">
        <f t="shared" si="69"/>
        <v>0</v>
      </c>
      <c r="R590" s="41"/>
      <c r="S590" s="41">
        <f>(R590*H590)*1.05</f>
        <v>0</v>
      </c>
      <c r="T590" s="76"/>
      <c r="U590" s="52"/>
      <c r="V590" s="53"/>
      <c r="W590" s="53"/>
      <c r="X590" s="53"/>
      <c r="Y590" s="53"/>
      <c r="Z590" s="53" t="s">
        <v>2939</v>
      </c>
      <c r="AA590" s="53" t="s">
        <v>2940</v>
      </c>
      <c r="AB590" s="53"/>
      <c r="AC590" s="53"/>
      <c r="AD590" s="53"/>
      <c r="AE590" s="54"/>
      <c r="AF590" s="54"/>
      <c r="AG590" s="55"/>
      <c r="AH590" s="298" t="s">
        <v>1227</v>
      </c>
      <c r="AI590" s="55"/>
      <c r="AJ590" s="55"/>
      <c r="AK590" s="298" t="s">
        <v>1227</v>
      </c>
      <c r="AL590" s="54" t="s">
        <v>285</v>
      </c>
      <c r="AM590" s="54"/>
      <c r="AN590" s="54"/>
      <c r="AO590" s="54"/>
    </row>
    <row r="591" ht="42.75" customHeight="1">
      <c r="A591" s="69">
        <v>43665.0</v>
      </c>
      <c r="B591" s="144" t="s">
        <v>378</v>
      </c>
      <c r="C591" s="21" t="s">
        <v>1368</v>
      </c>
      <c r="D591" s="21" t="s">
        <v>1383</v>
      </c>
      <c r="E591" s="32" t="s">
        <v>1373</v>
      </c>
      <c r="F591" s="24">
        <v>4.0</v>
      </c>
      <c r="G591" s="48">
        <v>76.0</v>
      </c>
      <c r="H591" s="60">
        <f t="shared" si="67"/>
        <v>304</v>
      </c>
      <c r="I591" s="61" t="s">
        <v>144</v>
      </c>
      <c r="J591" s="58" t="s">
        <v>1122</v>
      </c>
      <c r="K591" s="30">
        <v>43762.0</v>
      </c>
      <c r="L591" s="30">
        <v>43728.0</v>
      </c>
      <c r="M591" s="50" t="s">
        <v>255</v>
      </c>
      <c r="N591" s="93" t="s">
        <v>2932</v>
      </c>
      <c r="O591" s="537"/>
      <c r="P591" s="408"/>
      <c r="Q591" s="408">
        <f t="shared" si="69"/>
        <v>0</v>
      </c>
      <c r="R591" s="22">
        <v>1390.0</v>
      </c>
      <c r="S591" s="696">
        <v>5838.0</v>
      </c>
      <c r="T591" s="70" t="s">
        <v>257</v>
      </c>
      <c r="U591" s="462">
        <v>43743.0</v>
      </c>
      <c r="V591" s="462">
        <v>43728.0</v>
      </c>
      <c r="W591" s="306" t="s">
        <v>1384</v>
      </c>
      <c r="X591" s="306" t="s">
        <v>1385</v>
      </c>
      <c r="Y591" s="462">
        <v>43743.0</v>
      </c>
      <c r="Z591" s="306" t="s">
        <v>2939</v>
      </c>
      <c r="AA591" s="306" t="s">
        <v>2940</v>
      </c>
      <c r="AB591" s="306"/>
      <c r="AC591" s="306"/>
      <c r="AD591" s="306"/>
      <c r="AE591" s="298"/>
      <c r="AF591" s="298"/>
      <c r="AG591" s="299"/>
      <c r="AH591" s="300">
        <v>43672.0</v>
      </c>
      <c r="AI591" s="299" t="s">
        <v>2702</v>
      </c>
      <c r="AJ591" s="299" t="s">
        <v>2703</v>
      </c>
      <c r="AK591" s="298" t="s">
        <v>50</v>
      </c>
      <c r="AL591" s="298" t="s">
        <v>285</v>
      </c>
      <c r="AM591" s="298" t="s">
        <v>286</v>
      </c>
      <c r="AN591" s="298" t="s">
        <v>52</v>
      </c>
      <c r="AO591" s="82" t="s">
        <v>763</v>
      </c>
    </row>
    <row r="592" ht="42.75" customHeight="1">
      <c r="A592" s="69">
        <v>43665.0</v>
      </c>
      <c r="B592" s="144" t="s">
        <v>378</v>
      </c>
      <c r="C592" s="21" t="s">
        <v>1368</v>
      </c>
      <c r="D592" s="21" t="s">
        <v>1386</v>
      </c>
      <c r="E592" s="32" t="s">
        <v>1378</v>
      </c>
      <c r="F592" s="24">
        <v>1.0</v>
      </c>
      <c r="G592" s="48">
        <v>1600.0</v>
      </c>
      <c r="H592" s="60">
        <f t="shared" si="67"/>
        <v>1600</v>
      </c>
      <c r="I592" s="61" t="s">
        <v>144</v>
      </c>
      <c r="J592" s="161" t="s">
        <v>1387</v>
      </c>
      <c r="K592" s="30">
        <v>43753.0</v>
      </c>
      <c r="L592" s="30">
        <v>43731.0</v>
      </c>
      <c r="M592" s="63" t="s">
        <v>255</v>
      </c>
      <c r="N592" s="93" t="s">
        <v>2946</v>
      </c>
      <c r="O592" s="408">
        <v>2.019100900001E12</v>
      </c>
      <c r="P592" s="34">
        <v>500.0</v>
      </c>
      <c r="Q592" s="34">
        <f t="shared" si="69"/>
        <v>525</v>
      </c>
      <c r="R592" s="65">
        <f>P592*30.5</f>
        <v>15250</v>
      </c>
      <c r="S592" s="65">
        <f>(R592*F592)*1.05</f>
        <v>16012.5</v>
      </c>
      <c r="T592" s="70" t="s">
        <v>257</v>
      </c>
      <c r="U592" s="52"/>
      <c r="V592" s="53"/>
      <c r="W592" s="53"/>
      <c r="X592" s="53"/>
      <c r="Y592" s="53"/>
      <c r="Z592" s="53" t="s">
        <v>2947</v>
      </c>
      <c r="AA592" s="53" t="s">
        <v>2948</v>
      </c>
      <c r="AB592" s="53">
        <v>30.89</v>
      </c>
      <c r="AC592" s="53"/>
      <c r="AD592" s="53"/>
      <c r="AE592" s="54"/>
      <c r="AF592" s="54"/>
      <c r="AG592" s="55"/>
      <c r="AH592" s="56">
        <v>43672.0</v>
      </c>
      <c r="AI592" s="55" t="s">
        <v>2702</v>
      </c>
      <c r="AJ592" s="55" t="s">
        <v>2703</v>
      </c>
      <c r="AK592" s="54" t="s">
        <v>50</v>
      </c>
      <c r="AL592" s="54" t="s">
        <v>285</v>
      </c>
      <c r="AM592" s="54" t="s">
        <v>286</v>
      </c>
      <c r="AN592" s="54" t="s">
        <v>52</v>
      </c>
      <c r="AO592" s="54"/>
    </row>
    <row r="593" ht="42.75" customHeight="1">
      <c r="A593" s="69">
        <v>43665.0</v>
      </c>
      <c r="B593" s="144" t="s">
        <v>378</v>
      </c>
      <c r="C593" s="21" t="s">
        <v>1368</v>
      </c>
      <c r="D593" s="21" t="s">
        <v>2949</v>
      </c>
      <c r="E593" s="32" t="s">
        <v>1374</v>
      </c>
      <c r="F593" s="24">
        <v>9.0</v>
      </c>
      <c r="G593" s="48">
        <v>121.0</v>
      </c>
      <c r="H593" s="60">
        <f t="shared" si="67"/>
        <v>1089</v>
      </c>
      <c r="I593" s="61" t="s">
        <v>144</v>
      </c>
      <c r="J593" s="58" t="s">
        <v>1387</v>
      </c>
      <c r="K593" s="30">
        <v>43753.0</v>
      </c>
      <c r="L593" s="30">
        <v>43747.0</v>
      </c>
      <c r="M593" s="82" t="s">
        <v>2054</v>
      </c>
      <c r="N593" s="93" t="s">
        <v>2950</v>
      </c>
      <c r="O593" s="408">
        <v>2.019100900001E12</v>
      </c>
      <c r="P593" s="408"/>
      <c r="Q593" s="408">
        <f t="shared" si="69"/>
        <v>0</v>
      </c>
      <c r="R593" s="22">
        <v>2600.0</v>
      </c>
      <c r="S593" s="697">
        <v>24570.0</v>
      </c>
      <c r="T593" s="419" t="s">
        <v>2056</v>
      </c>
      <c r="U593" s="462">
        <v>43774.0</v>
      </c>
      <c r="V593" s="462">
        <v>43746.0</v>
      </c>
      <c r="W593" s="306" t="s">
        <v>1389</v>
      </c>
      <c r="X593" s="306">
        <v>24570.0</v>
      </c>
      <c r="Y593" s="306"/>
      <c r="Z593" s="306" t="s">
        <v>2947</v>
      </c>
      <c r="AA593" s="306" t="s">
        <v>2948</v>
      </c>
      <c r="AB593" s="306">
        <v>30.89</v>
      </c>
      <c r="AC593" s="306"/>
      <c r="AD593" s="306"/>
      <c r="AE593" s="298"/>
      <c r="AF593" s="298"/>
      <c r="AG593" s="299"/>
      <c r="AH593" s="300">
        <v>43777.0</v>
      </c>
      <c r="AI593" s="299">
        <f>2120.41*30.33</f>
        <v>64312.0353</v>
      </c>
      <c r="AJ593" s="299">
        <f>(2134-2120.41)*30.33</f>
        <v>412.1847</v>
      </c>
      <c r="AK593" s="298" t="s">
        <v>50</v>
      </c>
      <c r="AL593" s="298" t="s">
        <v>285</v>
      </c>
      <c r="AM593" s="298" t="s">
        <v>286</v>
      </c>
      <c r="AN593" s="298" t="s">
        <v>52</v>
      </c>
      <c r="AO593" s="82" t="s">
        <v>763</v>
      </c>
    </row>
    <row r="594" ht="42.75" customHeight="1">
      <c r="A594" s="69">
        <v>43665.0</v>
      </c>
      <c r="B594" s="144" t="s">
        <v>378</v>
      </c>
      <c r="C594" s="21" t="s">
        <v>1368</v>
      </c>
      <c r="D594" s="21" t="s">
        <v>2951</v>
      </c>
      <c r="E594" s="32" t="s">
        <v>1391</v>
      </c>
      <c r="F594" s="24">
        <v>9.0</v>
      </c>
      <c r="G594" s="48">
        <v>0.0</v>
      </c>
      <c r="H594" s="115">
        <v>0.0</v>
      </c>
      <c r="I594" s="61" t="s">
        <v>144</v>
      </c>
      <c r="J594" s="161" t="s">
        <v>1387</v>
      </c>
      <c r="K594" s="30">
        <v>43753.0</v>
      </c>
      <c r="L594" s="30">
        <v>43732.0</v>
      </c>
      <c r="M594" s="63" t="s">
        <v>2929</v>
      </c>
      <c r="N594" s="64"/>
      <c r="O594" s="408">
        <v>2.019100900001E12</v>
      </c>
      <c r="P594" s="34"/>
      <c r="Q594" s="34">
        <f t="shared" si="69"/>
        <v>0</v>
      </c>
      <c r="R594" s="41"/>
      <c r="S594" s="41">
        <f>(R594*H594)*1.05</f>
        <v>0</v>
      </c>
      <c r="T594" s="66"/>
      <c r="U594" s="52"/>
      <c r="V594" s="53"/>
      <c r="W594" s="53"/>
      <c r="X594" s="53"/>
      <c r="Y594" s="53"/>
      <c r="Z594" s="53" t="s">
        <v>2947</v>
      </c>
      <c r="AA594" s="352" t="s">
        <v>2952</v>
      </c>
      <c r="AB594" s="53">
        <v>30.89</v>
      </c>
      <c r="AC594" s="53"/>
      <c r="AD594" s="53"/>
      <c r="AE594" s="54"/>
      <c r="AF594" s="54"/>
      <c r="AG594" s="55"/>
      <c r="AH594" s="298" t="s">
        <v>1227</v>
      </c>
      <c r="AI594" s="55"/>
      <c r="AJ594" s="55"/>
      <c r="AK594" s="298" t="s">
        <v>1227</v>
      </c>
      <c r="AL594" s="54" t="s">
        <v>285</v>
      </c>
      <c r="AM594" s="54" t="s">
        <v>286</v>
      </c>
      <c r="AN594" s="54" t="s">
        <v>52</v>
      </c>
      <c r="AO594" s="54"/>
    </row>
    <row r="595" ht="42.75" customHeight="1">
      <c r="A595" s="69">
        <v>43665.0</v>
      </c>
      <c r="B595" s="144" t="s">
        <v>378</v>
      </c>
      <c r="C595" s="21" t="s">
        <v>1368</v>
      </c>
      <c r="D595" s="21" t="s">
        <v>1392</v>
      </c>
      <c r="E595" s="32" t="s">
        <v>1393</v>
      </c>
      <c r="F595" s="24">
        <v>9.0</v>
      </c>
      <c r="G595" s="48">
        <v>85.0</v>
      </c>
      <c r="H595" s="60">
        <f>G595*F595</f>
        <v>765</v>
      </c>
      <c r="I595" s="61" t="s">
        <v>144</v>
      </c>
      <c r="J595" s="58" t="s">
        <v>1387</v>
      </c>
      <c r="K595" s="30">
        <v>43753.0</v>
      </c>
      <c r="L595" s="30">
        <v>43731.0</v>
      </c>
      <c r="M595" s="50" t="s">
        <v>255</v>
      </c>
      <c r="N595" s="93" t="s">
        <v>2953</v>
      </c>
      <c r="O595" s="408">
        <v>2.019100900001E12</v>
      </c>
      <c r="P595" s="408"/>
      <c r="Q595" s="408">
        <f t="shared" si="69"/>
        <v>0</v>
      </c>
      <c r="R595" s="22">
        <v>1490.0</v>
      </c>
      <c r="S595" s="698">
        <v>13136.0</v>
      </c>
      <c r="T595" s="70" t="s">
        <v>257</v>
      </c>
      <c r="U595" s="462">
        <v>43743.0</v>
      </c>
      <c r="V595" s="306" t="s">
        <v>1394</v>
      </c>
      <c r="W595" s="306" t="s">
        <v>1395</v>
      </c>
      <c r="X595" s="306" t="s">
        <v>1396</v>
      </c>
      <c r="Y595" s="462">
        <v>43743.0</v>
      </c>
      <c r="Z595" s="306" t="s">
        <v>2947</v>
      </c>
      <c r="AA595" s="352" t="s">
        <v>2952</v>
      </c>
      <c r="AB595" s="306">
        <v>30.89</v>
      </c>
      <c r="AC595" s="306"/>
      <c r="AD595" s="306"/>
      <c r="AE595" s="298"/>
      <c r="AF595" s="298"/>
      <c r="AG595" s="299"/>
      <c r="AH595" s="298" t="s">
        <v>1397</v>
      </c>
      <c r="AI595" s="299" t="s">
        <v>2954</v>
      </c>
      <c r="AJ595" s="299" t="s">
        <v>2955</v>
      </c>
      <c r="AK595" s="298" t="s">
        <v>50</v>
      </c>
      <c r="AL595" s="298" t="s">
        <v>285</v>
      </c>
      <c r="AM595" s="298" t="s">
        <v>286</v>
      </c>
      <c r="AN595" s="298" t="s">
        <v>52</v>
      </c>
      <c r="AO595" s="82" t="s">
        <v>763</v>
      </c>
    </row>
    <row r="596" ht="42.75" customHeight="1">
      <c r="A596" s="69">
        <v>43665.0</v>
      </c>
      <c r="B596" s="144" t="s">
        <v>378</v>
      </c>
      <c r="C596" s="21" t="s">
        <v>1368</v>
      </c>
      <c r="D596" s="21" t="s">
        <v>2956</v>
      </c>
      <c r="E596" s="32" t="s">
        <v>1399</v>
      </c>
      <c r="F596" s="24">
        <v>4.0</v>
      </c>
      <c r="G596" s="48">
        <v>0.0</v>
      </c>
      <c r="H596" s="115">
        <v>0.0</v>
      </c>
      <c r="I596" s="61" t="s">
        <v>144</v>
      </c>
      <c r="J596" s="58" t="s">
        <v>1122</v>
      </c>
      <c r="K596" s="58" t="s">
        <v>1400</v>
      </c>
      <c r="L596" s="30">
        <v>43732.0</v>
      </c>
      <c r="M596" s="50" t="s">
        <v>2929</v>
      </c>
      <c r="N596" s="93"/>
      <c r="O596" s="236"/>
      <c r="P596" s="408"/>
      <c r="Q596" s="408">
        <f t="shared" si="69"/>
        <v>0</v>
      </c>
      <c r="R596" s="22"/>
      <c r="S596" s="693">
        <f>(R596*H596)*1.05</f>
        <v>0</v>
      </c>
      <c r="T596" s="417"/>
      <c r="U596" s="306"/>
      <c r="V596" s="306"/>
      <c r="W596" s="306"/>
      <c r="X596" s="306"/>
      <c r="Y596" s="306"/>
      <c r="Z596" s="306" t="s">
        <v>2957</v>
      </c>
      <c r="AA596" s="352" t="s">
        <v>2933</v>
      </c>
      <c r="AB596" s="306"/>
      <c r="AC596" s="306"/>
      <c r="AD596" s="306"/>
      <c r="AE596" s="298"/>
      <c r="AF596" s="298"/>
      <c r="AG596" s="299"/>
      <c r="AH596" s="298" t="s">
        <v>1227</v>
      </c>
      <c r="AI596" s="299"/>
      <c r="AJ596" s="299"/>
      <c r="AK596" s="298" t="s">
        <v>1227</v>
      </c>
      <c r="AL596" s="82" t="s">
        <v>285</v>
      </c>
      <c r="AM596" s="298" t="s">
        <v>286</v>
      </c>
      <c r="AN596" s="298" t="s">
        <v>52</v>
      </c>
      <c r="AO596" s="298" t="s">
        <v>1371</v>
      </c>
    </row>
    <row r="597" ht="42.75" customHeight="1">
      <c r="A597" s="69">
        <v>43665.0</v>
      </c>
      <c r="B597" s="144" t="s">
        <v>378</v>
      </c>
      <c r="C597" s="21" t="s">
        <v>1368</v>
      </c>
      <c r="D597" s="21" t="s">
        <v>1401</v>
      </c>
      <c r="E597" s="32" t="s">
        <v>1393</v>
      </c>
      <c r="F597" s="24">
        <v>4.0</v>
      </c>
      <c r="G597" s="48">
        <v>85.0</v>
      </c>
      <c r="H597" s="60">
        <f t="shared" ref="H597:H605" si="72">G597*F597</f>
        <v>340</v>
      </c>
      <c r="I597" s="61" t="s">
        <v>144</v>
      </c>
      <c r="J597" s="58" t="s">
        <v>1122</v>
      </c>
      <c r="K597" s="58" t="s">
        <v>1400</v>
      </c>
      <c r="L597" s="82" t="s">
        <v>2958</v>
      </c>
      <c r="M597" s="50" t="s">
        <v>255</v>
      </c>
      <c r="N597" s="93" t="s">
        <v>2953</v>
      </c>
      <c r="O597" s="408"/>
      <c r="P597" s="408"/>
      <c r="Q597" s="408">
        <f t="shared" si="69"/>
        <v>0</v>
      </c>
      <c r="R597" s="22">
        <v>1490.0</v>
      </c>
      <c r="S597" s="694">
        <f t="shared" ref="S597:S598" si="73">(R597*F597)*1.05</f>
        <v>6258</v>
      </c>
      <c r="T597" s="419" t="s">
        <v>257</v>
      </c>
      <c r="U597" s="306"/>
      <c r="V597" s="306"/>
      <c r="W597" s="306"/>
      <c r="X597" s="306"/>
      <c r="Y597" s="306"/>
      <c r="Z597" s="306" t="s">
        <v>2959</v>
      </c>
      <c r="AA597" s="306" t="s">
        <v>2933</v>
      </c>
      <c r="AB597" s="306"/>
      <c r="AC597" s="306"/>
      <c r="AD597" s="306"/>
      <c r="AE597" s="298"/>
      <c r="AF597" s="298"/>
      <c r="AG597" s="299"/>
      <c r="AH597" s="300">
        <v>43837.0</v>
      </c>
      <c r="AI597" s="299" t="s">
        <v>2937</v>
      </c>
      <c r="AJ597" s="299" t="s">
        <v>2938</v>
      </c>
      <c r="AK597" s="298" t="s">
        <v>50</v>
      </c>
      <c r="AL597" s="82" t="s">
        <v>285</v>
      </c>
      <c r="AM597" s="298" t="s">
        <v>286</v>
      </c>
      <c r="AN597" s="298" t="s">
        <v>52</v>
      </c>
      <c r="AO597" s="298" t="s">
        <v>1371</v>
      </c>
    </row>
    <row r="598" ht="52.5" customHeight="1">
      <c r="A598" s="69">
        <v>43665.0</v>
      </c>
      <c r="B598" s="144" t="s">
        <v>378</v>
      </c>
      <c r="C598" s="21" t="s">
        <v>1368</v>
      </c>
      <c r="D598" s="21" t="s">
        <v>1402</v>
      </c>
      <c r="E598" s="32" t="s">
        <v>1374</v>
      </c>
      <c r="F598" s="24">
        <v>4.0</v>
      </c>
      <c r="G598" s="48">
        <v>121.0</v>
      </c>
      <c r="H598" s="60">
        <f t="shared" si="72"/>
        <v>484</v>
      </c>
      <c r="I598" s="61" t="s">
        <v>144</v>
      </c>
      <c r="J598" s="58" t="s">
        <v>1122</v>
      </c>
      <c r="K598" s="58" t="s">
        <v>1400</v>
      </c>
      <c r="L598" s="58" t="s">
        <v>2960</v>
      </c>
      <c r="M598" s="82" t="s">
        <v>2054</v>
      </c>
      <c r="N598" s="93" t="s">
        <v>2961</v>
      </c>
      <c r="O598" s="408"/>
      <c r="P598" s="408"/>
      <c r="Q598" s="408">
        <f t="shared" si="69"/>
        <v>0</v>
      </c>
      <c r="R598" s="22">
        <v>2600.0</v>
      </c>
      <c r="S598" s="693">
        <f t="shared" si="73"/>
        <v>10920</v>
      </c>
      <c r="T598" s="21" t="s">
        <v>2056</v>
      </c>
      <c r="U598" s="306"/>
      <c r="V598" s="462">
        <v>43777.0</v>
      </c>
      <c r="W598" s="306" t="s">
        <v>1403</v>
      </c>
      <c r="X598" s="306" t="s">
        <v>2962</v>
      </c>
      <c r="Y598" s="306"/>
      <c r="Z598" s="306" t="s">
        <v>2957</v>
      </c>
      <c r="AA598" s="306" t="s">
        <v>2933</v>
      </c>
      <c r="AB598" s="306"/>
      <c r="AC598" s="306"/>
      <c r="AD598" s="306"/>
      <c r="AE598" s="298"/>
      <c r="AF598" s="298"/>
      <c r="AG598" s="299"/>
      <c r="AH598" s="300">
        <v>43837.0</v>
      </c>
      <c r="AI598" s="299" t="s">
        <v>2937</v>
      </c>
      <c r="AJ598" s="299" t="s">
        <v>2938</v>
      </c>
      <c r="AK598" s="298" t="s">
        <v>50</v>
      </c>
      <c r="AL598" s="82" t="s">
        <v>285</v>
      </c>
      <c r="AM598" s="298" t="s">
        <v>286</v>
      </c>
      <c r="AN598" s="298" t="s">
        <v>52</v>
      </c>
      <c r="AO598" s="298" t="s">
        <v>1371</v>
      </c>
    </row>
    <row r="599" ht="42.75" customHeight="1">
      <c r="A599" s="69">
        <v>43665.0</v>
      </c>
      <c r="B599" s="70" t="s">
        <v>77</v>
      </c>
      <c r="C599" s="21">
        <v>535.0</v>
      </c>
      <c r="D599" s="21" t="s">
        <v>1404</v>
      </c>
      <c r="E599" s="246" t="s">
        <v>318</v>
      </c>
      <c r="F599" s="435">
        <v>20.0</v>
      </c>
      <c r="G599" s="48">
        <v>255.0</v>
      </c>
      <c r="H599" s="60">
        <f t="shared" si="72"/>
        <v>5100</v>
      </c>
      <c r="I599" s="61" t="s">
        <v>43</v>
      </c>
      <c r="J599" s="433" t="s">
        <v>936</v>
      </c>
      <c r="K599" s="29">
        <v>43700.0</v>
      </c>
      <c r="L599" s="30">
        <v>43696.0</v>
      </c>
      <c r="M599" s="50" t="s">
        <v>1998</v>
      </c>
      <c r="N599" s="32" t="s">
        <v>2963</v>
      </c>
      <c r="O599" s="408"/>
      <c r="P599" s="408">
        <v>220.0</v>
      </c>
      <c r="Q599" s="408">
        <f t="shared" si="69"/>
        <v>4620</v>
      </c>
      <c r="R599" s="408"/>
      <c r="S599" s="699">
        <v>3780.0</v>
      </c>
      <c r="T599" s="408" t="s">
        <v>2000</v>
      </c>
      <c r="U599" s="462">
        <v>43738.0</v>
      </c>
      <c r="V599" s="462">
        <v>43696.0</v>
      </c>
      <c r="W599" s="306" t="s">
        <v>1405</v>
      </c>
      <c r="X599" s="306">
        <v>144606.0</v>
      </c>
      <c r="Y599" s="462">
        <v>43739.0</v>
      </c>
      <c r="Z599" s="306" t="s">
        <v>2819</v>
      </c>
      <c r="AA599" s="298" t="s">
        <v>2820</v>
      </c>
      <c r="AB599" s="306">
        <v>31.315</v>
      </c>
      <c r="AC599" s="306"/>
      <c r="AD599" s="306"/>
      <c r="AE599" s="298"/>
      <c r="AF599" s="298"/>
      <c r="AG599" s="299"/>
      <c r="AH599" s="300">
        <v>43731.0</v>
      </c>
      <c r="AI599" s="299" t="s">
        <v>2822</v>
      </c>
      <c r="AJ599" s="299" t="s">
        <v>2823</v>
      </c>
      <c r="AK599" s="298" t="s">
        <v>50</v>
      </c>
      <c r="AL599" s="298" t="s">
        <v>285</v>
      </c>
      <c r="AM599" s="298" t="s">
        <v>51</v>
      </c>
      <c r="AN599" s="298" t="s">
        <v>52</v>
      </c>
      <c r="AO599" s="298" t="s">
        <v>507</v>
      </c>
    </row>
    <row r="600" ht="53.25" customHeight="1">
      <c r="A600" s="69">
        <v>43665.0</v>
      </c>
      <c r="B600" s="70" t="s">
        <v>77</v>
      </c>
      <c r="C600" s="21">
        <v>535.0</v>
      </c>
      <c r="D600" s="21" t="s">
        <v>1404</v>
      </c>
      <c r="E600" s="32" t="s">
        <v>478</v>
      </c>
      <c r="F600" s="82">
        <v>50.0</v>
      </c>
      <c r="G600" s="48">
        <v>2.25</v>
      </c>
      <c r="H600" s="60">
        <f t="shared" si="72"/>
        <v>112.5</v>
      </c>
      <c r="I600" s="61" t="s">
        <v>43</v>
      </c>
      <c r="J600" s="433" t="s">
        <v>936</v>
      </c>
      <c r="K600" s="29">
        <v>43700.0</v>
      </c>
      <c r="L600" s="29">
        <v>43669.0</v>
      </c>
      <c r="M600" s="50" t="s">
        <v>179</v>
      </c>
      <c r="N600" s="93"/>
      <c r="O600" s="408"/>
      <c r="P600" s="408">
        <v>72.0</v>
      </c>
      <c r="Q600" s="408">
        <f t="shared" si="69"/>
        <v>3780</v>
      </c>
      <c r="R600" s="408"/>
      <c r="S600" s="408">
        <f>(R600*F600)*1.05</f>
        <v>0</v>
      </c>
      <c r="T600" s="408"/>
      <c r="U600" s="306"/>
      <c r="V600" s="306"/>
      <c r="W600" s="306"/>
      <c r="X600" s="306"/>
      <c r="Y600" s="306"/>
      <c r="Z600" s="306" t="s">
        <v>2819</v>
      </c>
      <c r="AA600" s="298" t="s">
        <v>2820</v>
      </c>
      <c r="AB600" s="306">
        <v>31.315</v>
      </c>
      <c r="AC600" s="306"/>
      <c r="AD600" s="306"/>
      <c r="AE600" s="298"/>
      <c r="AF600" s="298"/>
      <c r="AG600" s="299"/>
      <c r="AH600" s="300">
        <v>43731.0</v>
      </c>
      <c r="AI600" s="299" t="s">
        <v>2822</v>
      </c>
      <c r="AJ600" s="299" t="s">
        <v>2823</v>
      </c>
      <c r="AK600" s="298" t="s">
        <v>50</v>
      </c>
      <c r="AL600" s="298" t="s">
        <v>285</v>
      </c>
      <c r="AM600" s="298" t="s">
        <v>51</v>
      </c>
      <c r="AN600" s="298" t="s">
        <v>52</v>
      </c>
      <c r="AO600" s="298" t="s">
        <v>507</v>
      </c>
    </row>
    <row r="601" ht="42.75" customHeight="1">
      <c r="A601" s="69">
        <v>43665.0</v>
      </c>
      <c r="B601" s="144" t="s">
        <v>378</v>
      </c>
      <c r="C601" s="21" t="s">
        <v>1368</v>
      </c>
      <c r="D601" s="21" t="s">
        <v>1406</v>
      </c>
      <c r="E601" s="32" t="s">
        <v>1407</v>
      </c>
      <c r="F601" s="24">
        <v>4.0</v>
      </c>
      <c r="G601" s="48">
        <v>26.0</v>
      </c>
      <c r="H601" s="60">
        <f t="shared" si="72"/>
        <v>104</v>
      </c>
      <c r="I601" s="61" t="s">
        <v>144</v>
      </c>
      <c r="J601" s="58" t="s">
        <v>1122</v>
      </c>
      <c r="K601" s="58" t="s">
        <v>2964</v>
      </c>
      <c r="L601" s="30">
        <v>43763.0</v>
      </c>
      <c r="M601" s="82" t="s">
        <v>2965</v>
      </c>
      <c r="N601" s="93" t="s">
        <v>2966</v>
      </c>
      <c r="O601" s="408"/>
      <c r="P601" s="408"/>
      <c r="Q601" s="408"/>
      <c r="R601" s="22">
        <v>350.0</v>
      </c>
      <c r="S601" s="695">
        <f t="shared" ref="S601:S602" si="74">(R601*4)*1.05</f>
        <v>1470</v>
      </c>
      <c r="T601" s="21"/>
      <c r="U601" s="306"/>
      <c r="V601" s="306"/>
      <c r="W601" s="306"/>
      <c r="X601" s="306"/>
      <c r="Y601" s="306"/>
      <c r="Z601" s="306" t="s">
        <v>2957</v>
      </c>
      <c r="AA601" s="306" t="s">
        <v>2933</v>
      </c>
      <c r="AB601" s="537"/>
      <c r="AC601" s="306"/>
      <c r="AD601" s="306"/>
      <c r="AE601" s="298"/>
      <c r="AF601" s="306"/>
      <c r="AG601" s="299"/>
      <c r="AH601" s="300">
        <v>43837.0</v>
      </c>
      <c r="AI601" s="299" t="s">
        <v>2937</v>
      </c>
      <c r="AJ601" s="299" t="s">
        <v>2938</v>
      </c>
      <c r="AK601" s="298" t="s">
        <v>50</v>
      </c>
      <c r="AL601" s="82" t="s">
        <v>285</v>
      </c>
      <c r="AM601" s="298" t="s">
        <v>286</v>
      </c>
      <c r="AN601" s="298" t="s">
        <v>52</v>
      </c>
      <c r="AO601" s="298" t="s">
        <v>1371</v>
      </c>
    </row>
    <row r="602" ht="42.75" customHeight="1">
      <c r="A602" s="69">
        <v>43665.0</v>
      </c>
      <c r="B602" s="144" t="s">
        <v>378</v>
      </c>
      <c r="C602" s="21" t="s">
        <v>1368</v>
      </c>
      <c r="D602" s="21" t="s">
        <v>2967</v>
      </c>
      <c r="E602" s="32" t="s">
        <v>1410</v>
      </c>
      <c r="F602" s="24">
        <v>4.0</v>
      </c>
      <c r="G602" s="48">
        <v>20.0</v>
      </c>
      <c r="H602" s="60">
        <f t="shared" si="72"/>
        <v>80</v>
      </c>
      <c r="I602" s="61" t="s">
        <v>144</v>
      </c>
      <c r="J602" s="58" t="s">
        <v>1122</v>
      </c>
      <c r="K602" s="58" t="s">
        <v>1400</v>
      </c>
      <c r="L602" s="58" t="s">
        <v>2968</v>
      </c>
      <c r="M602" s="82" t="s">
        <v>2969</v>
      </c>
      <c r="N602" s="93" t="s">
        <v>2961</v>
      </c>
      <c r="O602" s="408"/>
      <c r="P602" s="408"/>
      <c r="Q602" s="408"/>
      <c r="R602" s="22">
        <v>350.0</v>
      </c>
      <c r="S602" s="695">
        <f t="shared" si="74"/>
        <v>1470</v>
      </c>
      <c r="T602" s="21" t="s">
        <v>2056</v>
      </c>
      <c r="U602" s="306"/>
      <c r="V602" s="462">
        <v>43777.0</v>
      </c>
      <c r="W602" s="306" t="s">
        <v>1403</v>
      </c>
      <c r="X602" s="306" t="s">
        <v>2962</v>
      </c>
      <c r="Y602" s="306"/>
      <c r="Z602" s="306" t="s">
        <v>2957</v>
      </c>
      <c r="AA602" s="306" t="s">
        <v>2933</v>
      </c>
      <c r="AB602" s="537"/>
      <c r="AC602" s="306"/>
      <c r="AD602" s="306"/>
      <c r="AE602" s="298"/>
      <c r="AF602" s="306"/>
      <c r="AG602" s="299"/>
      <c r="AH602" s="300">
        <v>43837.0</v>
      </c>
      <c r="AI602" s="299" t="s">
        <v>2937</v>
      </c>
      <c r="AJ602" s="299" t="s">
        <v>2938</v>
      </c>
      <c r="AK602" s="298" t="s">
        <v>50</v>
      </c>
      <c r="AL602" s="82" t="s">
        <v>285</v>
      </c>
      <c r="AM602" s="298" t="s">
        <v>286</v>
      </c>
      <c r="AN602" s="298" t="s">
        <v>52</v>
      </c>
      <c r="AO602" s="298" t="s">
        <v>1371</v>
      </c>
    </row>
    <row r="603" ht="57.0" customHeight="1">
      <c r="A603" s="69">
        <v>43668.0</v>
      </c>
      <c r="B603" s="144" t="s">
        <v>77</v>
      </c>
      <c r="C603" s="21">
        <v>560.0</v>
      </c>
      <c r="D603" s="21" t="s">
        <v>1411</v>
      </c>
      <c r="E603" s="32" t="s">
        <v>1412</v>
      </c>
      <c r="F603" s="24">
        <v>1.0</v>
      </c>
      <c r="G603" s="48">
        <v>120.0</v>
      </c>
      <c r="H603" s="60">
        <f t="shared" si="72"/>
        <v>120</v>
      </c>
      <c r="I603" s="61" t="s">
        <v>43</v>
      </c>
      <c r="J603" s="433" t="s">
        <v>936</v>
      </c>
      <c r="K603" s="29">
        <v>43700.0</v>
      </c>
      <c r="L603" s="29">
        <v>43690.0</v>
      </c>
      <c r="M603" s="50" t="s">
        <v>179</v>
      </c>
      <c r="N603" s="93"/>
      <c r="O603" s="408"/>
      <c r="P603" s="408"/>
      <c r="Q603" s="408">
        <f t="shared" ref="Q603:Q621" si="75">(P603*F603)*1.05</f>
        <v>0</v>
      </c>
      <c r="R603" s="408">
        <v>2400.0</v>
      </c>
      <c r="S603" s="408">
        <f>(R603*F603)*1.05</f>
        <v>2520</v>
      </c>
      <c r="T603" s="408"/>
      <c r="U603" s="306"/>
      <c r="V603" s="306"/>
      <c r="W603" s="306"/>
      <c r="X603" s="306"/>
      <c r="Y603" s="306"/>
      <c r="Z603" s="306" t="s">
        <v>2819</v>
      </c>
      <c r="AA603" s="298" t="s">
        <v>2820</v>
      </c>
      <c r="AB603" s="306">
        <v>31.315</v>
      </c>
      <c r="AC603" s="306"/>
      <c r="AD603" s="306"/>
      <c r="AE603" s="298"/>
      <c r="AF603" s="298"/>
      <c r="AG603" s="299"/>
      <c r="AH603" s="300">
        <v>43731.0</v>
      </c>
      <c r="AI603" s="299" t="s">
        <v>2822</v>
      </c>
      <c r="AJ603" s="299" t="s">
        <v>2823</v>
      </c>
      <c r="AK603" s="298" t="s">
        <v>50</v>
      </c>
      <c r="AL603" s="298" t="s">
        <v>285</v>
      </c>
      <c r="AM603" s="298" t="s">
        <v>286</v>
      </c>
      <c r="AN603" s="298" t="s">
        <v>52</v>
      </c>
      <c r="AO603" s="298" t="s">
        <v>507</v>
      </c>
    </row>
    <row r="604" ht="42.75" customHeight="1">
      <c r="A604" s="69">
        <v>43668.0</v>
      </c>
      <c r="B604" s="144" t="s">
        <v>77</v>
      </c>
      <c r="C604" s="21">
        <v>560.0</v>
      </c>
      <c r="D604" s="21" t="s">
        <v>1411</v>
      </c>
      <c r="E604" s="32" t="s">
        <v>1413</v>
      </c>
      <c r="F604" s="24">
        <v>1.0</v>
      </c>
      <c r="G604" s="48">
        <v>80.0</v>
      </c>
      <c r="H604" s="470">
        <f t="shared" si="72"/>
        <v>80</v>
      </c>
      <c r="I604" s="61" t="s">
        <v>43</v>
      </c>
      <c r="J604" s="433" t="s">
        <v>936</v>
      </c>
      <c r="K604" s="29">
        <v>43700.0</v>
      </c>
      <c r="L604" s="29">
        <v>43690.0</v>
      </c>
      <c r="M604" s="50" t="s">
        <v>179</v>
      </c>
      <c r="N604" s="93"/>
      <c r="O604" s="408"/>
      <c r="P604" s="408">
        <v>66.0</v>
      </c>
      <c r="Q604" s="408">
        <f t="shared" si="75"/>
        <v>69.3</v>
      </c>
      <c r="R604" s="700"/>
      <c r="S604" s="701">
        <v>2103.0</v>
      </c>
      <c r="T604" s="408"/>
      <c r="U604" s="306"/>
      <c r="V604" s="306"/>
      <c r="W604" s="306"/>
      <c r="X604" s="306"/>
      <c r="Y604" s="306"/>
      <c r="Z604" s="306" t="s">
        <v>2819</v>
      </c>
      <c r="AA604" s="298" t="s">
        <v>2820</v>
      </c>
      <c r="AB604" s="306">
        <v>31.315</v>
      </c>
      <c r="AC604" s="306"/>
      <c r="AD604" s="306"/>
      <c r="AE604" s="298"/>
      <c r="AF604" s="298"/>
      <c r="AG604" s="299"/>
      <c r="AH604" s="300">
        <v>43731.0</v>
      </c>
      <c r="AI604" s="299" t="s">
        <v>2822</v>
      </c>
      <c r="AJ604" s="299" t="s">
        <v>2823</v>
      </c>
      <c r="AK604" s="298" t="s">
        <v>50</v>
      </c>
      <c r="AL604" s="298" t="s">
        <v>285</v>
      </c>
      <c r="AM604" s="298" t="s">
        <v>286</v>
      </c>
      <c r="AN604" s="298" t="s">
        <v>52</v>
      </c>
      <c r="AO604" s="298" t="s">
        <v>507</v>
      </c>
    </row>
    <row r="605" ht="42.75" customHeight="1">
      <c r="A605" s="69">
        <v>43668.0</v>
      </c>
      <c r="B605" s="144" t="s">
        <v>77</v>
      </c>
      <c r="C605" s="21">
        <v>560.0</v>
      </c>
      <c r="D605" s="21" t="s">
        <v>1411</v>
      </c>
      <c r="E605" s="32" t="s">
        <v>1414</v>
      </c>
      <c r="F605" s="24">
        <v>1.0</v>
      </c>
      <c r="G605" s="48">
        <v>10.0</v>
      </c>
      <c r="H605" s="60">
        <f t="shared" si="72"/>
        <v>10</v>
      </c>
      <c r="I605" s="61" t="s">
        <v>43</v>
      </c>
      <c r="J605" s="433" t="s">
        <v>936</v>
      </c>
      <c r="K605" s="29">
        <v>43700.0</v>
      </c>
      <c r="L605" s="29">
        <v>43669.0</v>
      </c>
      <c r="M605" s="50" t="s">
        <v>2970</v>
      </c>
      <c r="N605" s="93"/>
      <c r="O605" s="408"/>
      <c r="P605" s="408"/>
      <c r="Q605" s="408">
        <f t="shared" si="75"/>
        <v>0</v>
      </c>
      <c r="R605" s="408"/>
      <c r="S605" s="702">
        <v>120.0</v>
      </c>
      <c r="T605" s="417"/>
      <c r="U605" s="306"/>
      <c r="V605" s="306"/>
      <c r="W605" s="306"/>
      <c r="X605" s="306"/>
      <c r="Y605" s="306"/>
      <c r="Z605" s="306" t="s">
        <v>2819</v>
      </c>
      <c r="AA605" s="298" t="s">
        <v>2820</v>
      </c>
      <c r="AB605" s="306">
        <v>31.315</v>
      </c>
      <c r="AC605" s="306"/>
      <c r="AD605" s="306"/>
      <c r="AE605" s="298"/>
      <c r="AF605" s="298"/>
      <c r="AG605" s="299"/>
      <c r="AH605" s="300">
        <v>43731.0</v>
      </c>
      <c r="AI605" s="299" t="s">
        <v>2822</v>
      </c>
      <c r="AJ605" s="299" t="s">
        <v>2823</v>
      </c>
      <c r="AK605" s="298" t="s">
        <v>50</v>
      </c>
      <c r="AL605" s="298" t="s">
        <v>285</v>
      </c>
      <c r="AM605" s="298" t="s">
        <v>286</v>
      </c>
      <c r="AN605" s="298" t="s">
        <v>52</v>
      </c>
      <c r="AO605" s="298" t="s">
        <v>507</v>
      </c>
    </row>
    <row r="606" ht="42.75" customHeight="1">
      <c r="A606" s="69">
        <v>43668.0</v>
      </c>
      <c r="B606" s="70" t="s">
        <v>223</v>
      </c>
      <c r="C606" s="21" t="s">
        <v>1415</v>
      </c>
      <c r="D606" s="21" t="s">
        <v>1416</v>
      </c>
      <c r="E606" s="32" t="s">
        <v>1367</v>
      </c>
      <c r="F606" s="24">
        <v>1.0</v>
      </c>
      <c r="G606" s="48">
        <f>87*1.05</f>
        <v>91.35</v>
      </c>
      <c r="H606" s="60">
        <f>G606*1</f>
        <v>91.35</v>
      </c>
      <c r="I606" s="61" t="s">
        <v>144</v>
      </c>
      <c r="J606" s="63" t="s">
        <v>90</v>
      </c>
      <c r="K606" s="30">
        <v>43675.0</v>
      </c>
      <c r="L606" s="30">
        <v>43675.0</v>
      </c>
      <c r="M606" s="50" t="s">
        <v>90</v>
      </c>
      <c r="N606" s="93" t="s">
        <v>2932</v>
      </c>
      <c r="O606" s="408"/>
      <c r="P606" s="408">
        <v>79.0</v>
      </c>
      <c r="Q606" s="408">
        <f t="shared" si="75"/>
        <v>82.95</v>
      </c>
      <c r="R606" s="408"/>
      <c r="S606" s="408">
        <v>2571.0</v>
      </c>
      <c r="T606" s="35" t="s">
        <v>94</v>
      </c>
      <c r="U606" s="462">
        <v>43738.0</v>
      </c>
      <c r="V606" s="462">
        <v>43672.0</v>
      </c>
      <c r="W606" s="306" t="s">
        <v>1417</v>
      </c>
      <c r="X606" s="306">
        <v>2571.0</v>
      </c>
      <c r="Y606" s="462">
        <v>43739.0</v>
      </c>
      <c r="Z606" s="306" t="s">
        <v>2971</v>
      </c>
      <c r="AA606" s="306" t="s">
        <v>2924</v>
      </c>
      <c r="AB606" s="306">
        <v>31.08</v>
      </c>
      <c r="AC606" s="306">
        <v>2839.0</v>
      </c>
      <c r="AD606" s="462">
        <v>43675.0</v>
      </c>
      <c r="AE606" s="298"/>
      <c r="AF606" s="298"/>
      <c r="AG606" s="299"/>
      <c r="AH606" s="300">
        <v>43718.0</v>
      </c>
      <c r="AI606" s="299" t="s">
        <v>2926</v>
      </c>
      <c r="AJ606" s="299" t="s">
        <v>2927</v>
      </c>
      <c r="AK606" s="298" t="s">
        <v>50</v>
      </c>
      <c r="AL606" s="298" t="s">
        <v>285</v>
      </c>
      <c r="AM606" s="298" t="s">
        <v>51</v>
      </c>
      <c r="AN606" s="298" t="s">
        <v>52</v>
      </c>
      <c r="AO606" s="298" t="s">
        <v>507</v>
      </c>
    </row>
    <row r="607" ht="42.75" customHeight="1">
      <c r="A607" s="69">
        <v>43668.0</v>
      </c>
      <c r="B607" s="70" t="s">
        <v>130</v>
      </c>
      <c r="C607" s="21" t="s">
        <v>1418</v>
      </c>
      <c r="D607" s="21" t="s">
        <v>1419</v>
      </c>
      <c r="E607" s="32" t="s">
        <v>1420</v>
      </c>
      <c r="F607" s="24">
        <v>10.0</v>
      </c>
      <c r="G607" s="48">
        <v>112.0</v>
      </c>
      <c r="H607" s="60">
        <f t="shared" ref="H607:H610" si="76">G607*F607</f>
        <v>1120</v>
      </c>
      <c r="I607" s="61" t="s">
        <v>144</v>
      </c>
      <c r="J607" s="63" t="s">
        <v>134</v>
      </c>
      <c r="K607" s="30">
        <v>43684.0</v>
      </c>
      <c r="L607" s="30">
        <v>43682.0</v>
      </c>
      <c r="M607" s="50" t="s">
        <v>90</v>
      </c>
      <c r="N607" s="93" t="s">
        <v>2972</v>
      </c>
      <c r="O607" s="408"/>
      <c r="P607" s="408">
        <v>104.0</v>
      </c>
      <c r="Q607" s="408">
        <f t="shared" si="75"/>
        <v>1092</v>
      </c>
      <c r="R607" s="408"/>
      <c r="S607" s="408">
        <v>33874.0</v>
      </c>
      <c r="T607" s="684" t="s">
        <v>94</v>
      </c>
      <c r="U607" s="462">
        <v>43738.0</v>
      </c>
      <c r="V607" s="462">
        <v>43682.0</v>
      </c>
      <c r="W607" s="306" t="s">
        <v>1421</v>
      </c>
      <c r="X607" s="306">
        <v>33874.0</v>
      </c>
      <c r="Y607" s="462">
        <v>43739.0</v>
      </c>
      <c r="Z607" s="306" t="s">
        <v>2973</v>
      </c>
      <c r="AA607" s="306">
        <v>3.082292146E9</v>
      </c>
      <c r="AB607" s="306"/>
      <c r="AC607" s="306"/>
      <c r="AD607" s="306"/>
      <c r="AE607" s="298"/>
      <c r="AF607" s="298"/>
      <c r="AG607" s="299"/>
      <c r="AH607" s="300">
        <v>43704.0</v>
      </c>
      <c r="AI607" s="299">
        <f>1526.62*31.35</f>
        <v>47859.537</v>
      </c>
      <c r="AJ607" s="299">
        <f>(1544-1526.62)*31.35</f>
        <v>544.863</v>
      </c>
      <c r="AK607" s="298" t="s">
        <v>50</v>
      </c>
      <c r="AL607" s="298" t="s">
        <v>285</v>
      </c>
      <c r="AM607" s="298" t="s">
        <v>51</v>
      </c>
      <c r="AN607" s="298" t="s">
        <v>52</v>
      </c>
      <c r="AO607" s="298" t="s">
        <v>507</v>
      </c>
    </row>
    <row r="608" ht="42.75" customHeight="1">
      <c r="A608" s="69">
        <v>43668.0</v>
      </c>
      <c r="B608" s="70" t="s">
        <v>130</v>
      </c>
      <c r="C608" s="21" t="s">
        <v>1418</v>
      </c>
      <c r="D608" s="21" t="s">
        <v>1419</v>
      </c>
      <c r="E608" s="32" t="s">
        <v>244</v>
      </c>
      <c r="F608" s="24">
        <v>5.0</v>
      </c>
      <c r="G608" s="48">
        <v>50.0</v>
      </c>
      <c r="H608" s="470">
        <f t="shared" si="76"/>
        <v>250</v>
      </c>
      <c r="I608" s="61" t="s">
        <v>144</v>
      </c>
      <c r="J608" s="63" t="s">
        <v>134</v>
      </c>
      <c r="K608" s="30">
        <v>43684.0</v>
      </c>
      <c r="L608" s="30">
        <v>43684.0</v>
      </c>
      <c r="M608" s="50" t="s">
        <v>90</v>
      </c>
      <c r="N608" s="93" t="s">
        <v>2912</v>
      </c>
      <c r="O608" s="408"/>
      <c r="P608" s="408">
        <v>43.0</v>
      </c>
      <c r="Q608" s="408">
        <f t="shared" si="75"/>
        <v>225.75</v>
      </c>
      <c r="R608" s="408"/>
      <c r="S608" s="408">
        <v>7003.0</v>
      </c>
      <c r="T608" s="684" t="s">
        <v>94</v>
      </c>
      <c r="U608" s="462">
        <v>43738.0</v>
      </c>
      <c r="V608" s="462">
        <v>43683.0</v>
      </c>
      <c r="W608" s="306" t="s">
        <v>1422</v>
      </c>
      <c r="X608" s="306">
        <v>11302.0</v>
      </c>
      <c r="Y608" s="462">
        <v>43739.0</v>
      </c>
      <c r="Z608" s="306" t="s">
        <v>2973</v>
      </c>
      <c r="AA608" s="237">
        <v>3.082292146E9</v>
      </c>
      <c r="AB608" s="306"/>
      <c r="AC608" s="306"/>
      <c r="AD608" s="306"/>
      <c r="AE608" s="298"/>
      <c r="AF608" s="298"/>
      <c r="AG608" s="299"/>
      <c r="AH608" s="300">
        <v>43704.0</v>
      </c>
      <c r="AI608" s="299" t="s">
        <v>2974</v>
      </c>
      <c r="AJ608" s="299" t="s">
        <v>2975</v>
      </c>
      <c r="AK608" s="298" t="s">
        <v>50</v>
      </c>
      <c r="AL608" s="298" t="s">
        <v>285</v>
      </c>
      <c r="AM608" s="298" t="s">
        <v>51</v>
      </c>
      <c r="AN608" s="298" t="s">
        <v>52</v>
      </c>
      <c r="AO608" s="298" t="s">
        <v>507</v>
      </c>
    </row>
    <row r="609" ht="42.75" customHeight="1">
      <c r="A609" s="69">
        <v>43668.0</v>
      </c>
      <c r="B609" s="70" t="s">
        <v>130</v>
      </c>
      <c r="C609" s="21" t="s">
        <v>1418</v>
      </c>
      <c r="D609" s="21" t="s">
        <v>1419</v>
      </c>
      <c r="E609" s="32" t="s">
        <v>239</v>
      </c>
      <c r="F609" s="24">
        <v>3.0</v>
      </c>
      <c r="G609" s="48">
        <v>58.0</v>
      </c>
      <c r="H609" s="60">
        <f t="shared" si="76"/>
        <v>174</v>
      </c>
      <c r="I609" s="61" t="s">
        <v>144</v>
      </c>
      <c r="J609" s="63" t="s">
        <v>134</v>
      </c>
      <c r="K609" s="30">
        <v>43684.0</v>
      </c>
      <c r="L609" s="30">
        <v>43684.0</v>
      </c>
      <c r="M609" s="50" t="s">
        <v>90</v>
      </c>
      <c r="N609" s="93" t="s">
        <v>2912</v>
      </c>
      <c r="O609" s="408"/>
      <c r="P609" s="408">
        <v>44.0</v>
      </c>
      <c r="Q609" s="408">
        <f t="shared" si="75"/>
        <v>138.6</v>
      </c>
      <c r="R609" s="408"/>
      <c r="S609" s="408">
        <v>4299.0</v>
      </c>
      <c r="T609" s="684" t="s">
        <v>94</v>
      </c>
      <c r="U609" s="462">
        <v>43738.0</v>
      </c>
      <c r="V609" s="462">
        <v>43683.0</v>
      </c>
      <c r="W609" s="306" t="s">
        <v>1422</v>
      </c>
      <c r="X609" s="306" t="s">
        <v>2976</v>
      </c>
      <c r="Y609" s="462">
        <v>43739.0</v>
      </c>
      <c r="Z609" s="306" t="s">
        <v>2973</v>
      </c>
      <c r="AA609" s="306">
        <v>3.082292146E9</v>
      </c>
      <c r="AB609" s="306"/>
      <c r="AC609" s="306"/>
      <c r="AD609" s="306"/>
      <c r="AE609" s="298"/>
      <c r="AF609" s="298"/>
      <c r="AG609" s="299"/>
      <c r="AH609" s="300">
        <v>43704.0</v>
      </c>
      <c r="AI609" s="299" t="s">
        <v>2974</v>
      </c>
      <c r="AJ609" s="299" t="s">
        <v>2975</v>
      </c>
      <c r="AK609" s="298" t="s">
        <v>50</v>
      </c>
      <c r="AL609" s="298" t="s">
        <v>285</v>
      </c>
      <c r="AM609" s="298" t="s">
        <v>51</v>
      </c>
      <c r="AN609" s="298" t="s">
        <v>52</v>
      </c>
      <c r="AO609" s="298" t="s">
        <v>507</v>
      </c>
    </row>
    <row r="610" ht="42.75" customHeight="1">
      <c r="A610" s="69">
        <v>43668.0</v>
      </c>
      <c r="B610" s="23" t="s">
        <v>406</v>
      </c>
      <c r="C610" s="21">
        <v>7.000148954E9</v>
      </c>
      <c r="D610" s="21" t="s">
        <v>1423</v>
      </c>
      <c r="E610" s="32" t="s">
        <v>1009</v>
      </c>
      <c r="F610" s="24">
        <v>1.0</v>
      </c>
      <c r="G610" s="48">
        <v>468.0</v>
      </c>
      <c r="H610" s="60">
        <f t="shared" si="76"/>
        <v>468</v>
      </c>
      <c r="I610" s="61" t="s">
        <v>43</v>
      </c>
      <c r="J610" s="50" t="s">
        <v>513</v>
      </c>
      <c r="K610" s="30">
        <v>43675.0</v>
      </c>
      <c r="L610" s="30">
        <v>43675.0</v>
      </c>
      <c r="M610" s="58" t="s">
        <v>2078</v>
      </c>
      <c r="N610" s="32" t="s">
        <v>2977</v>
      </c>
      <c r="O610" s="408"/>
      <c r="P610" s="408"/>
      <c r="Q610" s="408">
        <f t="shared" si="75"/>
        <v>0</v>
      </c>
      <c r="R610" s="408">
        <v>12381.0</v>
      </c>
      <c r="S610" s="408">
        <v>13000.0</v>
      </c>
      <c r="T610" s="408" t="s">
        <v>2872</v>
      </c>
      <c r="U610" s="305">
        <v>43769.0</v>
      </c>
      <c r="V610" s="462">
        <v>43672.0</v>
      </c>
      <c r="W610" s="306" t="s">
        <v>1424</v>
      </c>
      <c r="X610" s="306">
        <v>13000.0</v>
      </c>
      <c r="Y610" s="306"/>
      <c r="Z610" s="306" t="s">
        <v>2870</v>
      </c>
      <c r="AA610" s="306">
        <v>8.976951815E9</v>
      </c>
      <c r="AB610" s="306"/>
      <c r="AC610" s="306"/>
      <c r="AD610" s="306"/>
      <c r="AE610" s="298"/>
      <c r="AF610" s="298"/>
      <c r="AG610" s="299"/>
      <c r="AH610" s="300">
        <v>43707.0</v>
      </c>
      <c r="AI610" s="299" t="s">
        <v>2978</v>
      </c>
      <c r="AJ610" s="299" t="s">
        <v>2979</v>
      </c>
      <c r="AK610" s="298" t="s">
        <v>50</v>
      </c>
      <c r="AL610" s="298" t="s">
        <v>285</v>
      </c>
      <c r="AM610" s="298" t="s">
        <v>51</v>
      </c>
      <c r="AN610" s="298" t="s">
        <v>52</v>
      </c>
      <c r="AO610" s="298" t="s">
        <v>507</v>
      </c>
    </row>
    <row r="611" ht="42.75" customHeight="1">
      <c r="A611" s="69">
        <v>43669.0</v>
      </c>
      <c r="B611" s="70" t="s">
        <v>1030</v>
      </c>
      <c r="C611" s="21">
        <v>1.9000283E7</v>
      </c>
      <c r="D611" s="21" t="s">
        <v>1425</v>
      </c>
      <c r="E611" s="32" t="s">
        <v>1081</v>
      </c>
      <c r="F611" s="24">
        <v>8.0</v>
      </c>
      <c r="G611" s="48">
        <v>115.0</v>
      </c>
      <c r="H611" s="60">
        <f t="shared" ref="H611:H620" si="77">F611*G611</f>
        <v>920</v>
      </c>
      <c r="I611" s="61" t="s">
        <v>105</v>
      </c>
      <c r="J611" s="63" t="s">
        <v>199</v>
      </c>
      <c r="K611" s="30">
        <v>43675.0</v>
      </c>
      <c r="L611" s="30">
        <v>43672.0</v>
      </c>
      <c r="M611" s="50" t="s">
        <v>90</v>
      </c>
      <c r="N611" s="93" t="s">
        <v>2909</v>
      </c>
      <c r="O611" s="408"/>
      <c r="P611" s="408">
        <v>93.6</v>
      </c>
      <c r="Q611" s="408">
        <f t="shared" si="75"/>
        <v>786.24</v>
      </c>
      <c r="R611" s="408"/>
      <c r="S611" s="408">
        <v>24366.0</v>
      </c>
      <c r="T611" s="51" t="s">
        <v>94</v>
      </c>
      <c r="U611" s="462">
        <v>43708.0</v>
      </c>
      <c r="V611" s="462">
        <v>43671.0</v>
      </c>
      <c r="W611" s="306" t="s">
        <v>1426</v>
      </c>
      <c r="X611" s="306">
        <v>50278.0</v>
      </c>
      <c r="Y611" s="462">
        <v>43706.0</v>
      </c>
      <c r="Z611" s="306" t="s">
        <v>2980</v>
      </c>
      <c r="AA611" s="306">
        <v>1.24730903E8</v>
      </c>
      <c r="AB611" s="306"/>
      <c r="AC611" s="306"/>
      <c r="AD611" s="306"/>
      <c r="AE611" s="298"/>
      <c r="AF611" s="298"/>
      <c r="AG611" s="299"/>
      <c r="AH611" s="300">
        <v>43676.0</v>
      </c>
      <c r="AI611" s="299" t="s">
        <v>2151</v>
      </c>
      <c r="AJ611" s="299" t="s">
        <v>2152</v>
      </c>
      <c r="AK611" s="298" t="s">
        <v>50</v>
      </c>
      <c r="AL611" s="298" t="s">
        <v>285</v>
      </c>
      <c r="AM611" s="298" t="s">
        <v>51</v>
      </c>
      <c r="AN611" s="298" t="s">
        <v>52</v>
      </c>
      <c r="AO611" s="298" t="s">
        <v>507</v>
      </c>
    </row>
    <row r="612" ht="42.75" customHeight="1">
      <c r="A612" s="69">
        <v>43669.0</v>
      </c>
      <c r="B612" s="70" t="s">
        <v>1030</v>
      </c>
      <c r="C612" s="21">
        <v>1.9000283E7</v>
      </c>
      <c r="D612" s="21" t="s">
        <v>1425</v>
      </c>
      <c r="E612" s="32" t="s">
        <v>1427</v>
      </c>
      <c r="F612" s="24">
        <v>6.0</v>
      </c>
      <c r="G612" s="48">
        <v>134.0</v>
      </c>
      <c r="H612" s="60">
        <f t="shared" si="77"/>
        <v>804</v>
      </c>
      <c r="I612" s="61" t="s">
        <v>105</v>
      </c>
      <c r="J612" s="63" t="s">
        <v>199</v>
      </c>
      <c r="K612" s="30">
        <v>43675.0</v>
      </c>
      <c r="L612" s="30">
        <v>43672.0</v>
      </c>
      <c r="M612" s="50" t="s">
        <v>90</v>
      </c>
      <c r="N612" s="93" t="s">
        <v>2909</v>
      </c>
      <c r="O612" s="408"/>
      <c r="P612" s="408">
        <v>120.0</v>
      </c>
      <c r="Q612" s="408">
        <f t="shared" si="75"/>
        <v>756</v>
      </c>
      <c r="R612" s="408"/>
      <c r="S612" s="408">
        <v>23428.0</v>
      </c>
      <c r="T612" s="51" t="s">
        <v>94</v>
      </c>
      <c r="U612" s="462">
        <v>43708.0</v>
      </c>
      <c r="V612" s="462">
        <v>43671.0</v>
      </c>
      <c r="W612" s="306" t="s">
        <v>1426</v>
      </c>
      <c r="X612" s="306" t="s">
        <v>2981</v>
      </c>
      <c r="Y612" s="462">
        <v>43706.0</v>
      </c>
      <c r="Z612" s="306" t="s">
        <v>2980</v>
      </c>
      <c r="AA612" s="306">
        <v>1.24730903E8</v>
      </c>
      <c r="AB612" s="306"/>
      <c r="AC612" s="306"/>
      <c r="AD612" s="306"/>
      <c r="AE612" s="298"/>
      <c r="AF612" s="298"/>
      <c r="AG612" s="299"/>
      <c r="AH612" s="300">
        <v>43676.0</v>
      </c>
      <c r="AI612" s="299" t="s">
        <v>2151</v>
      </c>
      <c r="AJ612" s="299" t="s">
        <v>2152</v>
      </c>
      <c r="AK612" s="298" t="s">
        <v>50</v>
      </c>
      <c r="AL612" s="298" t="s">
        <v>285</v>
      </c>
      <c r="AM612" s="298" t="s">
        <v>51</v>
      </c>
      <c r="AN612" s="298" t="s">
        <v>52</v>
      </c>
      <c r="AO612" s="298" t="s">
        <v>507</v>
      </c>
    </row>
    <row r="613" ht="42.75" customHeight="1">
      <c r="A613" s="69">
        <v>43669.0</v>
      </c>
      <c r="B613" s="70" t="s">
        <v>1030</v>
      </c>
      <c r="C613" s="21">
        <v>1.9000283E7</v>
      </c>
      <c r="D613" s="21" t="s">
        <v>1425</v>
      </c>
      <c r="E613" s="518" t="s">
        <v>975</v>
      </c>
      <c r="F613" s="24">
        <v>1.0</v>
      </c>
      <c r="G613" s="48">
        <v>89.2</v>
      </c>
      <c r="H613" s="60">
        <f t="shared" si="77"/>
        <v>89.2</v>
      </c>
      <c r="I613" s="61" t="s">
        <v>105</v>
      </c>
      <c r="J613" s="63" t="s">
        <v>199</v>
      </c>
      <c r="K613" s="30">
        <v>43675.0</v>
      </c>
      <c r="L613" s="30">
        <v>43672.0</v>
      </c>
      <c r="M613" s="50" t="s">
        <v>90</v>
      </c>
      <c r="N613" s="93" t="s">
        <v>2909</v>
      </c>
      <c r="O613" s="408"/>
      <c r="P613" s="408">
        <v>76.35</v>
      </c>
      <c r="Q613" s="408">
        <f t="shared" si="75"/>
        <v>80.1675</v>
      </c>
      <c r="R613" s="408"/>
      <c r="S613" s="408">
        <v>2484.0</v>
      </c>
      <c r="T613" s="51" t="s">
        <v>94</v>
      </c>
      <c r="U613" s="462">
        <v>43708.0</v>
      </c>
      <c r="V613" s="462">
        <v>43671.0</v>
      </c>
      <c r="W613" s="306" t="s">
        <v>1426</v>
      </c>
      <c r="X613" s="306" t="s">
        <v>2981</v>
      </c>
      <c r="Y613" s="462">
        <v>43706.0</v>
      </c>
      <c r="Z613" s="306" t="s">
        <v>2980</v>
      </c>
      <c r="AA613" s="306">
        <v>1.24730903E8</v>
      </c>
      <c r="AB613" s="306"/>
      <c r="AC613" s="306"/>
      <c r="AD613" s="306"/>
      <c r="AE613" s="298"/>
      <c r="AF613" s="298"/>
      <c r="AG613" s="299"/>
      <c r="AH613" s="300">
        <v>43676.0</v>
      </c>
      <c r="AI613" s="299" t="s">
        <v>2151</v>
      </c>
      <c r="AJ613" s="299" t="s">
        <v>2152</v>
      </c>
      <c r="AK613" s="298" t="s">
        <v>50</v>
      </c>
      <c r="AL613" s="298" t="s">
        <v>285</v>
      </c>
      <c r="AM613" s="298" t="s">
        <v>51</v>
      </c>
      <c r="AN613" s="298" t="s">
        <v>52</v>
      </c>
      <c r="AO613" s="298" t="s">
        <v>507</v>
      </c>
    </row>
    <row r="614" ht="42.75" customHeight="1">
      <c r="A614" s="69">
        <v>43669.0</v>
      </c>
      <c r="B614" s="70" t="s">
        <v>1030</v>
      </c>
      <c r="C614" s="21">
        <v>1.9000283E7</v>
      </c>
      <c r="D614" s="21" t="s">
        <v>1425</v>
      </c>
      <c r="E614" s="518" t="s">
        <v>978</v>
      </c>
      <c r="F614" s="24">
        <v>1.0</v>
      </c>
      <c r="G614" s="48">
        <v>20.0</v>
      </c>
      <c r="H614" s="60">
        <f t="shared" si="77"/>
        <v>20</v>
      </c>
      <c r="I614" s="61" t="s">
        <v>105</v>
      </c>
      <c r="J614" s="63" t="s">
        <v>199</v>
      </c>
      <c r="K614" s="30">
        <v>43675.0</v>
      </c>
      <c r="L614" s="30">
        <v>43672.0</v>
      </c>
      <c r="M614" s="50" t="s">
        <v>179</v>
      </c>
      <c r="N614" s="93"/>
      <c r="O614" s="408"/>
      <c r="P614" s="408"/>
      <c r="Q614" s="408">
        <f t="shared" si="75"/>
        <v>0</v>
      </c>
      <c r="R614" s="408">
        <v>225.0</v>
      </c>
      <c r="S614" s="408">
        <f t="shared" ref="S614:S615" si="78">(R614*F614)*1.05</f>
        <v>236.25</v>
      </c>
      <c r="T614" s="51" t="s">
        <v>94</v>
      </c>
      <c r="U614" s="306"/>
      <c r="V614" s="306"/>
      <c r="W614" s="306"/>
      <c r="X614" s="306"/>
      <c r="Y614" s="306"/>
      <c r="Z614" s="306" t="s">
        <v>2980</v>
      </c>
      <c r="AA614" s="306">
        <v>1.24730903E8</v>
      </c>
      <c r="AB614" s="306"/>
      <c r="AC614" s="306"/>
      <c r="AD614" s="306"/>
      <c r="AE614" s="298"/>
      <c r="AF614" s="298"/>
      <c r="AG614" s="299"/>
      <c r="AH614" s="300">
        <v>43676.0</v>
      </c>
      <c r="AI614" s="299" t="s">
        <v>2151</v>
      </c>
      <c r="AJ614" s="299" t="s">
        <v>2152</v>
      </c>
      <c r="AK614" s="298" t="s">
        <v>50</v>
      </c>
      <c r="AL614" s="298" t="s">
        <v>285</v>
      </c>
      <c r="AM614" s="298" t="s">
        <v>51</v>
      </c>
      <c r="AN614" s="298" t="s">
        <v>52</v>
      </c>
      <c r="AO614" s="298" t="s">
        <v>507</v>
      </c>
    </row>
    <row r="615" ht="42.75" customHeight="1">
      <c r="A615" s="69">
        <v>43669.0</v>
      </c>
      <c r="B615" s="70" t="s">
        <v>1428</v>
      </c>
      <c r="C615" s="21" t="s">
        <v>1429</v>
      </c>
      <c r="D615" s="493" t="s">
        <v>1430</v>
      </c>
      <c r="E615" s="32" t="s">
        <v>1431</v>
      </c>
      <c r="F615" s="24">
        <v>7.0</v>
      </c>
      <c r="G615" s="48">
        <v>2475.0</v>
      </c>
      <c r="H615" s="60">
        <f t="shared" si="77"/>
        <v>17325</v>
      </c>
      <c r="I615" s="61" t="s">
        <v>105</v>
      </c>
      <c r="J615" s="519"/>
      <c r="K615" s="300">
        <v>43685.0</v>
      </c>
      <c r="L615" s="30">
        <v>43682.0</v>
      </c>
      <c r="M615" s="58" t="s">
        <v>2263</v>
      </c>
      <c r="N615" s="93" t="s">
        <v>2982</v>
      </c>
      <c r="O615" s="408"/>
      <c r="P615" s="408"/>
      <c r="Q615" s="408">
        <f t="shared" si="75"/>
        <v>0</v>
      </c>
      <c r="R615" s="408">
        <v>69800.0</v>
      </c>
      <c r="S615" s="408">
        <f t="shared" si="78"/>
        <v>513030</v>
      </c>
      <c r="T615" s="20" t="s">
        <v>2265</v>
      </c>
      <c r="U615" s="462">
        <v>43713.0</v>
      </c>
      <c r="V615" s="462">
        <v>43684.0</v>
      </c>
      <c r="W615" s="306" t="s">
        <v>1432</v>
      </c>
      <c r="X615" s="306">
        <v>513030.0</v>
      </c>
      <c r="Y615" s="462">
        <v>43713.0</v>
      </c>
      <c r="Z615" s="306" t="s">
        <v>2983</v>
      </c>
      <c r="AA615" s="306" t="s">
        <v>2984</v>
      </c>
      <c r="AB615" s="306"/>
      <c r="AC615" s="306"/>
      <c r="AD615" s="306"/>
      <c r="AE615" s="298"/>
      <c r="AF615" s="298"/>
      <c r="AG615" s="299"/>
      <c r="AH615" s="300">
        <v>43675.0</v>
      </c>
      <c r="AI615" s="299">
        <f>17310.34*31.05</f>
        <v>537486.057</v>
      </c>
      <c r="AJ615" s="299">
        <f>(17325-17310.34)*31.05</f>
        <v>455.193</v>
      </c>
      <c r="AK615" s="298" t="s">
        <v>50</v>
      </c>
      <c r="AL615" s="298" t="s">
        <v>285</v>
      </c>
      <c r="AM615" s="298" t="s">
        <v>51</v>
      </c>
      <c r="AN615" s="298" t="s">
        <v>52</v>
      </c>
      <c r="AO615" s="298" t="s">
        <v>507</v>
      </c>
    </row>
    <row r="616" ht="42.75" customHeight="1">
      <c r="A616" s="69">
        <v>43671.0</v>
      </c>
      <c r="B616" s="70" t="s">
        <v>223</v>
      </c>
      <c r="C616" s="21" t="s">
        <v>1433</v>
      </c>
      <c r="D616" s="21" t="s">
        <v>1434</v>
      </c>
      <c r="E616" s="32" t="s">
        <v>1435</v>
      </c>
      <c r="F616" s="24">
        <v>5.0</v>
      </c>
      <c r="G616" s="48">
        <f>251*1.05</f>
        <v>263.55</v>
      </c>
      <c r="H616" s="60">
        <f t="shared" si="77"/>
        <v>1317.75</v>
      </c>
      <c r="I616" s="61" t="s">
        <v>144</v>
      </c>
      <c r="J616" s="50" t="s">
        <v>90</v>
      </c>
      <c r="K616" s="145">
        <v>43696.0</v>
      </c>
      <c r="L616" s="145">
        <v>43696.0</v>
      </c>
      <c r="M616" s="50" t="s">
        <v>90</v>
      </c>
      <c r="N616" s="93" t="s">
        <v>2985</v>
      </c>
      <c r="O616" s="408"/>
      <c r="P616" s="408">
        <v>228.0</v>
      </c>
      <c r="Q616" s="408">
        <f t="shared" si="75"/>
        <v>1197</v>
      </c>
      <c r="R616" s="408"/>
      <c r="S616" s="408">
        <v>37783.0</v>
      </c>
      <c r="T616" s="20" t="s">
        <v>2265</v>
      </c>
      <c r="U616" s="462">
        <v>43738.0</v>
      </c>
      <c r="V616" s="462">
        <v>43691.0</v>
      </c>
      <c r="W616" s="306" t="s">
        <v>1436</v>
      </c>
      <c r="X616" s="306">
        <v>37783.0</v>
      </c>
      <c r="Y616" s="462">
        <v>43739.0</v>
      </c>
      <c r="Z616" s="306" t="s">
        <v>2986</v>
      </c>
      <c r="AA616" s="306" t="s">
        <v>2987</v>
      </c>
      <c r="AB616" s="306">
        <v>31.36</v>
      </c>
      <c r="AC616" s="306">
        <v>41325.0</v>
      </c>
      <c r="AD616" s="462">
        <v>43697.0</v>
      </c>
      <c r="AE616" s="298"/>
      <c r="AF616" s="298"/>
      <c r="AG616" s="299"/>
      <c r="AH616" s="300">
        <v>43718.0</v>
      </c>
      <c r="AI616" s="299" t="s">
        <v>2926</v>
      </c>
      <c r="AJ616" s="299" t="s">
        <v>2927</v>
      </c>
      <c r="AK616" s="298" t="s">
        <v>50</v>
      </c>
      <c r="AL616" s="298" t="s">
        <v>285</v>
      </c>
      <c r="AM616" s="298" t="s">
        <v>51</v>
      </c>
      <c r="AN616" s="298" t="s">
        <v>377</v>
      </c>
      <c r="AO616" s="298" t="s">
        <v>507</v>
      </c>
    </row>
    <row r="617" ht="42.75" customHeight="1">
      <c r="A617" s="69">
        <v>43672.0</v>
      </c>
      <c r="B617" s="70" t="s">
        <v>579</v>
      </c>
      <c r="C617" s="21">
        <v>2.0190723004E10</v>
      </c>
      <c r="D617" s="21" t="s">
        <v>1437</v>
      </c>
      <c r="E617" s="32" t="s">
        <v>1438</v>
      </c>
      <c r="F617" s="24">
        <v>1.0</v>
      </c>
      <c r="G617" s="48">
        <v>96.6</v>
      </c>
      <c r="H617" s="60">
        <f t="shared" si="77"/>
        <v>96.6</v>
      </c>
      <c r="I617" s="61" t="s">
        <v>248</v>
      </c>
      <c r="J617" s="58" t="s">
        <v>1439</v>
      </c>
      <c r="K617" s="300">
        <v>43676.0</v>
      </c>
      <c r="L617" s="300">
        <v>43676.0</v>
      </c>
      <c r="M617" s="58" t="s">
        <v>1439</v>
      </c>
      <c r="N617" s="93" t="s">
        <v>2988</v>
      </c>
      <c r="O617" s="408"/>
      <c r="P617" s="408">
        <v>80.0</v>
      </c>
      <c r="Q617" s="408">
        <f t="shared" si="75"/>
        <v>84</v>
      </c>
      <c r="R617" s="408"/>
      <c r="S617" s="408">
        <v>2610.0</v>
      </c>
      <c r="T617" s="503" t="s">
        <v>1976</v>
      </c>
      <c r="U617" s="462">
        <v>43738.0</v>
      </c>
      <c r="V617" s="462">
        <v>43676.0</v>
      </c>
      <c r="W617" s="306" t="s">
        <v>1440</v>
      </c>
      <c r="X617" s="306">
        <v>2610.0</v>
      </c>
      <c r="Y617" s="462">
        <v>43738.0</v>
      </c>
      <c r="Z617" s="306" t="s">
        <v>2989</v>
      </c>
      <c r="AA617" s="306" t="s">
        <v>2990</v>
      </c>
      <c r="AB617" s="306">
        <v>31.0</v>
      </c>
      <c r="AC617" s="306">
        <v>2995.0</v>
      </c>
      <c r="AD617" s="306"/>
      <c r="AE617" s="298"/>
      <c r="AF617" s="298"/>
      <c r="AG617" s="299"/>
      <c r="AH617" s="300">
        <v>43661.0</v>
      </c>
      <c r="AI617" s="299" t="s">
        <v>2991</v>
      </c>
      <c r="AJ617" s="299">
        <v>0.0</v>
      </c>
      <c r="AK617" s="298" t="s">
        <v>50</v>
      </c>
      <c r="AL617" s="298" t="s">
        <v>285</v>
      </c>
      <c r="AM617" s="298" t="s">
        <v>51</v>
      </c>
      <c r="AN617" s="298" t="s">
        <v>377</v>
      </c>
      <c r="AO617" s="298" t="s">
        <v>507</v>
      </c>
    </row>
    <row r="618" ht="15.75" customHeight="1">
      <c r="A618" s="69">
        <v>43672.0</v>
      </c>
      <c r="B618" s="70" t="s">
        <v>1251</v>
      </c>
      <c r="C618" s="21" t="s">
        <v>1441</v>
      </c>
      <c r="D618" s="520" t="s">
        <v>1442</v>
      </c>
      <c r="E618" s="32" t="s">
        <v>1443</v>
      </c>
      <c r="F618" s="24">
        <v>5.0</v>
      </c>
      <c r="G618" s="74">
        <v>576.0</v>
      </c>
      <c r="H618" s="60">
        <f t="shared" si="77"/>
        <v>2880</v>
      </c>
      <c r="I618" s="61" t="s">
        <v>105</v>
      </c>
      <c r="J618" s="519" t="s">
        <v>134</v>
      </c>
      <c r="K618" s="29">
        <v>43692.0</v>
      </c>
      <c r="L618" s="298" t="s">
        <v>2992</v>
      </c>
      <c r="M618" s="50" t="s">
        <v>2028</v>
      </c>
      <c r="N618" s="93" t="s">
        <v>2993</v>
      </c>
      <c r="O618" s="408"/>
      <c r="P618" s="408"/>
      <c r="Q618" s="408">
        <f t="shared" si="75"/>
        <v>0</v>
      </c>
      <c r="R618" s="408">
        <v>16477.7</v>
      </c>
      <c r="S618" s="408">
        <v>86508.0</v>
      </c>
      <c r="T618" s="51" t="s">
        <v>2030</v>
      </c>
      <c r="U618" s="462">
        <v>43738.0</v>
      </c>
      <c r="V618" s="462">
        <v>43684.0</v>
      </c>
      <c r="W618" s="306" t="s">
        <v>1444</v>
      </c>
      <c r="X618" s="306">
        <v>86508.0</v>
      </c>
      <c r="Y618" s="462">
        <v>43739.0</v>
      </c>
      <c r="Z618" s="306" t="s">
        <v>2994</v>
      </c>
      <c r="AA618" s="306">
        <v>1.97032962E9</v>
      </c>
      <c r="AB618" s="306">
        <v>31.565</v>
      </c>
      <c r="AC618" s="306"/>
      <c r="AD618" s="306"/>
      <c r="AE618" s="298"/>
      <c r="AF618" s="298"/>
      <c r="AG618" s="299"/>
      <c r="AH618" s="300">
        <v>43734.0</v>
      </c>
      <c r="AI618" s="299" t="s">
        <v>2851</v>
      </c>
      <c r="AJ618" s="299" t="s">
        <v>2852</v>
      </c>
      <c r="AK618" s="298" t="s">
        <v>50</v>
      </c>
      <c r="AL618" s="298" t="s">
        <v>285</v>
      </c>
      <c r="AM618" s="298" t="s">
        <v>51</v>
      </c>
      <c r="AN618" s="298" t="s">
        <v>52</v>
      </c>
      <c r="AO618" s="298" t="s">
        <v>507</v>
      </c>
    </row>
    <row r="619" ht="15.75" customHeight="1">
      <c r="A619" s="69">
        <v>43672.0</v>
      </c>
      <c r="B619" s="70" t="s">
        <v>1251</v>
      </c>
      <c r="C619" s="21" t="s">
        <v>1441</v>
      </c>
      <c r="D619" s="520" t="s">
        <v>1442</v>
      </c>
      <c r="E619" s="32" t="s">
        <v>1059</v>
      </c>
      <c r="F619" s="24">
        <v>5.0</v>
      </c>
      <c r="G619" s="74">
        <v>219.0</v>
      </c>
      <c r="H619" s="60">
        <f t="shared" si="77"/>
        <v>1095</v>
      </c>
      <c r="I619" s="61" t="s">
        <v>105</v>
      </c>
      <c r="J619" s="519" t="s">
        <v>134</v>
      </c>
      <c r="K619" s="29">
        <v>43692.0</v>
      </c>
      <c r="L619" s="29">
        <v>43690.0</v>
      </c>
      <c r="M619" s="58" t="s">
        <v>1439</v>
      </c>
      <c r="N619" s="93" t="s">
        <v>2995</v>
      </c>
      <c r="O619" s="408"/>
      <c r="P619" s="408">
        <v>195.0</v>
      </c>
      <c r="Q619" s="408">
        <f t="shared" si="75"/>
        <v>1023.75</v>
      </c>
      <c r="R619" s="408"/>
      <c r="S619" s="408">
        <v>31802.0</v>
      </c>
      <c r="T619" s="417" t="s">
        <v>1976</v>
      </c>
      <c r="U619" s="462">
        <v>43738.0</v>
      </c>
      <c r="V619" s="462">
        <v>43689.0</v>
      </c>
      <c r="W619" s="306" t="s">
        <v>1445</v>
      </c>
      <c r="X619" s="306">
        <v>31802.0</v>
      </c>
      <c r="Y619" s="462">
        <v>43738.0</v>
      </c>
      <c r="Z619" s="306" t="s">
        <v>2994</v>
      </c>
      <c r="AA619" s="306">
        <v>1.97032962E9</v>
      </c>
      <c r="AB619" s="306">
        <v>31.565</v>
      </c>
      <c r="AC619" s="306"/>
      <c r="AD619" s="306"/>
      <c r="AE619" s="298"/>
      <c r="AF619" s="298"/>
      <c r="AG619" s="299"/>
      <c r="AH619" s="300">
        <v>43734.0</v>
      </c>
      <c r="AI619" s="299" t="s">
        <v>2851</v>
      </c>
      <c r="AJ619" s="299" t="s">
        <v>2852</v>
      </c>
      <c r="AK619" s="298" t="s">
        <v>50</v>
      </c>
      <c r="AL619" s="298" t="s">
        <v>285</v>
      </c>
      <c r="AM619" s="298" t="s">
        <v>51</v>
      </c>
      <c r="AN619" s="298" t="s">
        <v>52</v>
      </c>
      <c r="AO619" s="298" t="s">
        <v>507</v>
      </c>
    </row>
    <row r="620" ht="42.75" customHeight="1">
      <c r="A620" s="69">
        <v>43672.0</v>
      </c>
      <c r="B620" s="70" t="s">
        <v>1251</v>
      </c>
      <c r="C620" s="21" t="s">
        <v>1441</v>
      </c>
      <c r="D620" s="493" t="s">
        <v>1442</v>
      </c>
      <c r="E620" s="32" t="s">
        <v>1446</v>
      </c>
      <c r="F620" s="24">
        <v>5.0</v>
      </c>
      <c r="G620" s="74">
        <v>54.0</v>
      </c>
      <c r="H620" s="60">
        <f t="shared" si="77"/>
        <v>270</v>
      </c>
      <c r="I620" s="61" t="s">
        <v>105</v>
      </c>
      <c r="J620" s="519" t="s">
        <v>134</v>
      </c>
      <c r="K620" s="29">
        <v>43692.0</v>
      </c>
      <c r="L620" s="29">
        <v>43677.0</v>
      </c>
      <c r="M620" s="50" t="s">
        <v>1981</v>
      </c>
      <c r="N620" s="93" t="s">
        <v>2996</v>
      </c>
      <c r="O620" s="408"/>
      <c r="P620" s="408"/>
      <c r="Q620" s="408">
        <f t="shared" si="75"/>
        <v>0</v>
      </c>
      <c r="R620" s="408">
        <v>1181.42</v>
      </c>
      <c r="S620" s="408">
        <v>6202.0</v>
      </c>
      <c r="T620" s="51" t="s">
        <v>1983</v>
      </c>
      <c r="U620" s="462">
        <v>43713.0</v>
      </c>
      <c r="V620" s="462">
        <v>43676.0</v>
      </c>
      <c r="W620" s="306" t="s">
        <v>1447</v>
      </c>
      <c r="X620" s="306">
        <v>6202.0</v>
      </c>
      <c r="Y620" s="462">
        <v>43713.0</v>
      </c>
      <c r="Z620" s="306" t="s">
        <v>2994</v>
      </c>
      <c r="AA620" s="306">
        <v>1.97032962E9</v>
      </c>
      <c r="AB620" s="306">
        <v>31.565</v>
      </c>
      <c r="AC620" s="306"/>
      <c r="AD620" s="306"/>
      <c r="AE620" s="298"/>
      <c r="AF620" s="298"/>
      <c r="AG620" s="299"/>
      <c r="AH620" s="300">
        <v>43734.0</v>
      </c>
      <c r="AI620" s="299" t="s">
        <v>2851</v>
      </c>
      <c r="AJ620" s="299" t="s">
        <v>2852</v>
      </c>
      <c r="AK620" s="298" t="s">
        <v>50</v>
      </c>
      <c r="AL620" s="298" t="s">
        <v>285</v>
      </c>
      <c r="AM620" s="298" t="s">
        <v>51</v>
      </c>
      <c r="AN620" s="298" t="s">
        <v>52</v>
      </c>
      <c r="AO620" s="298" t="s">
        <v>507</v>
      </c>
    </row>
    <row r="621" ht="42.75" customHeight="1">
      <c r="A621" s="69">
        <v>43672.0</v>
      </c>
      <c r="B621" s="70" t="s">
        <v>119</v>
      </c>
      <c r="C621" s="21" t="s">
        <v>1448</v>
      </c>
      <c r="D621" s="21" t="s">
        <v>1449</v>
      </c>
      <c r="E621" s="521" t="s">
        <v>165</v>
      </c>
      <c r="F621" s="24">
        <v>100.0</v>
      </c>
      <c r="G621" s="48">
        <v>105.0</v>
      </c>
      <c r="H621" s="60">
        <f t="shared" ref="H621:H627" si="79">G621*F621</f>
        <v>10500</v>
      </c>
      <c r="I621" s="61" t="s">
        <v>248</v>
      </c>
      <c r="J621" s="82" t="s">
        <v>122</v>
      </c>
      <c r="K621" s="84">
        <v>43732.0</v>
      </c>
      <c r="L621" s="84">
        <v>43728.0</v>
      </c>
      <c r="M621" s="50" t="s">
        <v>90</v>
      </c>
      <c r="N621" s="32" t="s">
        <v>2997</v>
      </c>
      <c r="O621" s="408"/>
      <c r="P621" s="408">
        <v>82.0</v>
      </c>
      <c r="Q621" s="408">
        <f t="shared" si="75"/>
        <v>8610</v>
      </c>
      <c r="R621" s="408"/>
      <c r="S621" s="408">
        <v>268804.0</v>
      </c>
      <c r="T621" s="35" t="s">
        <v>94</v>
      </c>
      <c r="U621" s="305">
        <v>43769.0</v>
      </c>
      <c r="V621" s="462">
        <v>43728.0</v>
      </c>
      <c r="W621" s="306" t="s">
        <v>1450</v>
      </c>
      <c r="X621" s="306" t="s">
        <v>2998</v>
      </c>
      <c r="Y621" s="306"/>
      <c r="Z621" s="306" t="s">
        <v>2999</v>
      </c>
      <c r="AA621" s="306" t="s">
        <v>3000</v>
      </c>
      <c r="AB621" s="306">
        <v>30.985</v>
      </c>
      <c r="AC621" s="306"/>
      <c r="AD621" s="306"/>
      <c r="AE621" s="298"/>
      <c r="AF621" s="298"/>
      <c r="AG621" s="299"/>
      <c r="AH621" s="300">
        <v>43696.0</v>
      </c>
      <c r="AI621" s="299">
        <f>15982.01*31.3</f>
        <v>500236.913</v>
      </c>
      <c r="AJ621" s="299">
        <f>(16000-15982.01)*31.3</f>
        <v>563.087</v>
      </c>
      <c r="AK621" s="298" t="s">
        <v>50</v>
      </c>
      <c r="AL621" s="298" t="s">
        <v>285</v>
      </c>
      <c r="AM621" s="298" t="s">
        <v>51</v>
      </c>
      <c r="AN621" s="298" t="s">
        <v>52</v>
      </c>
      <c r="AO621" s="298" t="s">
        <v>1133</v>
      </c>
    </row>
    <row r="622" ht="42.75" customHeight="1">
      <c r="A622" s="69">
        <v>43676.0</v>
      </c>
      <c r="B622" s="144" t="s">
        <v>1251</v>
      </c>
      <c r="C622" s="21"/>
      <c r="D622" s="21" t="s">
        <v>1451</v>
      </c>
      <c r="E622" s="32" t="s">
        <v>347</v>
      </c>
      <c r="F622" s="24">
        <v>1.0</v>
      </c>
      <c r="G622" s="48">
        <v>96.0</v>
      </c>
      <c r="H622" s="26">
        <f t="shared" si="79"/>
        <v>96</v>
      </c>
      <c r="I622" s="61" t="s">
        <v>105</v>
      </c>
      <c r="J622" s="50" t="s">
        <v>1452</v>
      </c>
      <c r="K622" s="29">
        <v>43676.0</v>
      </c>
      <c r="L622" s="30"/>
      <c r="M622" s="50" t="s">
        <v>263</v>
      </c>
      <c r="N622" s="93"/>
      <c r="O622" s="408"/>
      <c r="P622" s="408"/>
      <c r="Q622" s="408"/>
      <c r="R622" s="408"/>
      <c r="S622" s="408">
        <v>2482.0</v>
      </c>
      <c r="T622" s="408"/>
      <c r="U622" s="462">
        <v>43708.0</v>
      </c>
      <c r="V622" s="462">
        <v>43686.0</v>
      </c>
      <c r="W622" s="306" t="s">
        <v>1453</v>
      </c>
      <c r="X622" s="306">
        <v>2482.0</v>
      </c>
      <c r="Y622" s="462">
        <v>43710.0</v>
      </c>
      <c r="Z622" s="306" t="s">
        <v>3001</v>
      </c>
      <c r="AA622" s="306">
        <v>5.695874096E9</v>
      </c>
      <c r="AB622" s="306"/>
      <c r="AC622" s="306"/>
      <c r="AD622" s="306"/>
      <c r="AE622" s="298"/>
      <c r="AF622" s="298"/>
      <c r="AG622" s="299"/>
      <c r="AH622" s="300">
        <v>43734.0</v>
      </c>
      <c r="AI622" s="299" t="s">
        <v>2851</v>
      </c>
      <c r="AJ622" s="299" t="s">
        <v>2852</v>
      </c>
      <c r="AK622" s="298" t="s">
        <v>50</v>
      </c>
      <c r="AL622" s="298" t="s">
        <v>285</v>
      </c>
      <c r="AM622" s="298" t="s">
        <v>286</v>
      </c>
      <c r="AN622" s="298" t="s">
        <v>52</v>
      </c>
      <c r="AO622" s="298" t="s">
        <v>507</v>
      </c>
    </row>
    <row r="623" ht="42.75" customHeight="1">
      <c r="A623" s="69">
        <v>43677.0</v>
      </c>
      <c r="B623" s="70" t="s">
        <v>906</v>
      </c>
      <c r="C623" s="21" t="s">
        <v>1454</v>
      </c>
      <c r="D623" s="21" t="s">
        <v>1455</v>
      </c>
      <c r="E623" s="22" t="s">
        <v>1456</v>
      </c>
      <c r="F623" s="24">
        <v>28.0</v>
      </c>
      <c r="G623" s="48">
        <v>212.0</v>
      </c>
      <c r="H623" s="60">
        <f t="shared" si="79"/>
        <v>5936</v>
      </c>
      <c r="I623" s="61" t="s">
        <v>105</v>
      </c>
      <c r="J623" s="63" t="s">
        <v>934</v>
      </c>
      <c r="K623" s="29">
        <v>43686.0</v>
      </c>
      <c r="L623" s="84">
        <v>43684.0</v>
      </c>
      <c r="M623" s="50" t="s">
        <v>90</v>
      </c>
      <c r="N623" s="93" t="s">
        <v>3002</v>
      </c>
      <c r="O623" s="408"/>
      <c r="P623" s="408">
        <v>180.0</v>
      </c>
      <c r="Q623" s="408">
        <f t="shared" ref="Q623:Q628" si="80">(P623*F623)*1.05</f>
        <v>5292</v>
      </c>
      <c r="R623" s="408"/>
      <c r="S623" s="408">
        <v>164158.0</v>
      </c>
      <c r="T623" s="35" t="s">
        <v>94</v>
      </c>
      <c r="U623" s="462">
        <v>43738.0</v>
      </c>
      <c r="V623" s="462">
        <v>43683.0</v>
      </c>
      <c r="W623" s="306" t="s">
        <v>1457</v>
      </c>
      <c r="X623" s="306">
        <v>237642.0</v>
      </c>
      <c r="Y623" s="462">
        <v>43739.0</v>
      </c>
      <c r="Z623" s="306" t="s">
        <v>3003</v>
      </c>
      <c r="AA623" s="306">
        <v>1.28371168E8</v>
      </c>
      <c r="AB623" s="306"/>
      <c r="AC623" s="306"/>
      <c r="AD623" s="306"/>
      <c r="AE623" s="298"/>
      <c r="AF623" s="298"/>
      <c r="AG623" s="299"/>
      <c r="AH623" s="300">
        <v>43678.0</v>
      </c>
      <c r="AI623" s="299">
        <f>8521.17*31.09</f>
        <v>264923.1753</v>
      </c>
      <c r="AJ623" s="299">
        <f>(8538.6-8521.17)*31.09</f>
        <v>541.8987</v>
      </c>
      <c r="AK623" s="298" t="s">
        <v>50</v>
      </c>
      <c r="AL623" s="298" t="s">
        <v>285</v>
      </c>
      <c r="AM623" s="298" t="s">
        <v>51</v>
      </c>
      <c r="AN623" s="298" t="s">
        <v>52</v>
      </c>
      <c r="AO623" s="298" t="s">
        <v>507</v>
      </c>
    </row>
    <row r="624" ht="42.75" customHeight="1">
      <c r="A624" s="69">
        <v>43677.0</v>
      </c>
      <c r="B624" s="70" t="s">
        <v>906</v>
      </c>
      <c r="C624" s="21" t="s">
        <v>1454</v>
      </c>
      <c r="D624" s="21" t="s">
        <v>1455</v>
      </c>
      <c r="E624" s="22" t="s">
        <v>961</v>
      </c>
      <c r="F624" s="24">
        <v>4.0</v>
      </c>
      <c r="G624" s="48">
        <v>340.0</v>
      </c>
      <c r="H624" s="60">
        <f t="shared" si="79"/>
        <v>1360</v>
      </c>
      <c r="I624" s="61" t="s">
        <v>105</v>
      </c>
      <c r="J624" s="63" t="s">
        <v>934</v>
      </c>
      <c r="K624" s="29">
        <v>43686.0</v>
      </c>
      <c r="L624" s="84">
        <v>43684.0</v>
      </c>
      <c r="M624" s="50" t="s">
        <v>90</v>
      </c>
      <c r="N624" s="93" t="s">
        <v>3002</v>
      </c>
      <c r="O624" s="408"/>
      <c r="P624" s="408">
        <v>290.28</v>
      </c>
      <c r="Q624" s="408">
        <f t="shared" si="80"/>
        <v>1219.176</v>
      </c>
      <c r="R624" s="408"/>
      <c r="S624" s="408">
        <v>37818.0</v>
      </c>
      <c r="T624" s="35" t="s">
        <v>94</v>
      </c>
      <c r="U624" s="462">
        <v>43738.0</v>
      </c>
      <c r="V624" s="462">
        <v>43683.0</v>
      </c>
      <c r="W624" s="306" t="s">
        <v>1457</v>
      </c>
      <c r="X624" s="306" t="s">
        <v>3004</v>
      </c>
      <c r="Y624" s="462">
        <v>43739.0</v>
      </c>
      <c r="Z624" s="306" t="s">
        <v>3003</v>
      </c>
      <c r="AA624" s="306">
        <v>1.28371168E8</v>
      </c>
      <c r="AB624" s="306"/>
      <c r="AC624" s="306"/>
      <c r="AD624" s="306"/>
      <c r="AE624" s="298"/>
      <c r="AF624" s="298"/>
      <c r="AG624" s="299"/>
      <c r="AH624" s="300">
        <v>43678.0</v>
      </c>
      <c r="AI624" s="299" t="s">
        <v>3005</v>
      </c>
      <c r="AJ624" s="299" t="s">
        <v>3006</v>
      </c>
      <c r="AK624" s="298" t="s">
        <v>50</v>
      </c>
      <c r="AL624" s="298" t="s">
        <v>285</v>
      </c>
      <c r="AM624" s="298" t="s">
        <v>51</v>
      </c>
      <c r="AN624" s="298" t="s">
        <v>52</v>
      </c>
      <c r="AO624" s="298" t="s">
        <v>507</v>
      </c>
    </row>
    <row r="625" ht="42.75" customHeight="1">
      <c r="A625" s="69">
        <v>43677.0</v>
      </c>
      <c r="B625" s="70" t="s">
        <v>906</v>
      </c>
      <c r="C625" s="21" t="s">
        <v>1454</v>
      </c>
      <c r="D625" s="21" t="s">
        <v>1455</v>
      </c>
      <c r="E625" s="22" t="s">
        <v>1458</v>
      </c>
      <c r="F625" s="24">
        <v>72.0</v>
      </c>
      <c r="G625" s="48">
        <v>5.8</v>
      </c>
      <c r="H625" s="60">
        <f t="shared" si="79"/>
        <v>417.6</v>
      </c>
      <c r="I625" s="61" t="s">
        <v>105</v>
      </c>
      <c r="J625" s="63" t="s">
        <v>934</v>
      </c>
      <c r="K625" s="29">
        <v>43686.0</v>
      </c>
      <c r="L625" s="84">
        <v>43684.0</v>
      </c>
      <c r="M625" s="50" t="s">
        <v>90</v>
      </c>
      <c r="N625" s="93" t="s">
        <v>3002</v>
      </c>
      <c r="O625" s="408"/>
      <c r="P625" s="408">
        <v>5.0</v>
      </c>
      <c r="Q625" s="408">
        <f t="shared" si="80"/>
        <v>378</v>
      </c>
      <c r="R625" s="408"/>
      <c r="S625" s="408">
        <v>11726.0</v>
      </c>
      <c r="T625" s="51" t="s">
        <v>94</v>
      </c>
      <c r="U625" s="462">
        <v>43738.0</v>
      </c>
      <c r="V625" s="462">
        <v>43683.0</v>
      </c>
      <c r="W625" s="306" t="s">
        <v>1457</v>
      </c>
      <c r="X625" s="306" t="s">
        <v>3004</v>
      </c>
      <c r="Y625" s="462">
        <v>43739.0</v>
      </c>
      <c r="Z625" s="306" t="s">
        <v>3003</v>
      </c>
      <c r="AA625" s="306">
        <v>1.28371168E8</v>
      </c>
      <c r="AB625" s="306"/>
      <c r="AC625" s="306"/>
      <c r="AD625" s="306"/>
      <c r="AE625" s="298"/>
      <c r="AF625" s="298"/>
      <c r="AG625" s="299"/>
      <c r="AH625" s="300">
        <v>43678.0</v>
      </c>
      <c r="AI625" s="299" t="s">
        <v>3005</v>
      </c>
      <c r="AJ625" s="299" t="s">
        <v>3006</v>
      </c>
      <c r="AK625" s="298" t="s">
        <v>50</v>
      </c>
      <c r="AL625" s="298" t="s">
        <v>285</v>
      </c>
      <c r="AM625" s="298" t="s">
        <v>51</v>
      </c>
      <c r="AN625" s="298" t="s">
        <v>52</v>
      </c>
      <c r="AO625" s="298" t="s">
        <v>507</v>
      </c>
    </row>
    <row r="626" ht="42.75" customHeight="1">
      <c r="A626" s="69">
        <v>43677.0</v>
      </c>
      <c r="B626" s="70" t="s">
        <v>906</v>
      </c>
      <c r="C626" s="21" t="s">
        <v>1454</v>
      </c>
      <c r="D626" s="21" t="s">
        <v>1455</v>
      </c>
      <c r="E626" s="22" t="s">
        <v>1459</v>
      </c>
      <c r="F626" s="24">
        <v>3.0</v>
      </c>
      <c r="G626" s="48">
        <v>275.0</v>
      </c>
      <c r="H626" s="60">
        <f t="shared" si="79"/>
        <v>825</v>
      </c>
      <c r="I626" s="61" t="s">
        <v>105</v>
      </c>
      <c r="J626" s="63" t="s">
        <v>71</v>
      </c>
      <c r="K626" s="29">
        <v>43686.0</v>
      </c>
      <c r="L626" s="84">
        <v>43684.0</v>
      </c>
      <c r="M626" s="50" t="s">
        <v>90</v>
      </c>
      <c r="N626" s="93" t="s">
        <v>3002</v>
      </c>
      <c r="O626" s="408"/>
      <c r="P626" s="408">
        <v>245.0</v>
      </c>
      <c r="Q626" s="408">
        <f t="shared" si="80"/>
        <v>771.75</v>
      </c>
      <c r="R626" s="408"/>
      <c r="S626" s="408">
        <v>23940.0</v>
      </c>
      <c r="T626" s="51" t="s">
        <v>94</v>
      </c>
      <c r="U626" s="462">
        <v>43738.0</v>
      </c>
      <c r="V626" s="462">
        <v>43683.0</v>
      </c>
      <c r="W626" s="306" t="s">
        <v>1457</v>
      </c>
      <c r="X626" s="306" t="s">
        <v>3004</v>
      </c>
      <c r="Y626" s="462">
        <v>43739.0</v>
      </c>
      <c r="Z626" s="306" t="s">
        <v>3003</v>
      </c>
      <c r="AA626" s="306">
        <v>1.28371168E8</v>
      </c>
      <c r="AB626" s="306"/>
      <c r="AC626" s="306"/>
      <c r="AD626" s="306"/>
      <c r="AE626" s="298"/>
      <c r="AF626" s="298"/>
      <c r="AG626" s="299"/>
      <c r="AH626" s="300">
        <v>43678.0</v>
      </c>
      <c r="AI626" s="299" t="s">
        <v>3005</v>
      </c>
      <c r="AJ626" s="299" t="s">
        <v>3006</v>
      </c>
      <c r="AK626" s="298" t="s">
        <v>50</v>
      </c>
      <c r="AL626" s="298" t="s">
        <v>285</v>
      </c>
      <c r="AM626" s="298" t="s">
        <v>51</v>
      </c>
      <c r="AN626" s="298" t="s">
        <v>52</v>
      </c>
      <c r="AO626" s="298" t="s">
        <v>507</v>
      </c>
    </row>
    <row r="627" ht="42.75" customHeight="1">
      <c r="A627" s="19">
        <v>43677.0</v>
      </c>
      <c r="B627" s="51" t="s">
        <v>54</v>
      </c>
      <c r="C627" s="21" t="s">
        <v>1460</v>
      </c>
      <c r="D627" s="22" t="s">
        <v>1461</v>
      </c>
      <c r="E627" s="32" t="s">
        <v>386</v>
      </c>
      <c r="F627" s="24">
        <v>10.0</v>
      </c>
      <c r="G627" s="48">
        <v>150.15</v>
      </c>
      <c r="H627" s="26">
        <f t="shared" si="79"/>
        <v>1501.5</v>
      </c>
      <c r="I627" s="27" t="s">
        <v>43</v>
      </c>
      <c r="J627" s="161" t="s">
        <v>90</v>
      </c>
      <c r="K627" s="30">
        <v>43699.0</v>
      </c>
      <c r="L627" s="30">
        <v>43699.0</v>
      </c>
      <c r="M627" s="50" t="s">
        <v>90</v>
      </c>
      <c r="N627" s="32" t="s">
        <v>3007</v>
      </c>
      <c r="O627" s="408"/>
      <c r="P627" s="408">
        <v>128.0</v>
      </c>
      <c r="Q627" s="408">
        <f t="shared" si="80"/>
        <v>1344</v>
      </c>
      <c r="R627" s="408"/>
      <c r="S627" s="408">
        <f>42087</f>
        <v>42087</v>
      </c>
      <c r="T627" s="51" t="s">
        <v>94</v>
      </c>
      <c r="U627" s="462">
        <v>43738.0</v>
      </c>
      <c r="V627" s="462">
        <v>43698.0</v>
      </c>
      <c r="W627" s="306" t="s">
        <v>1462</v>
      </c>
      <c r="X627" s="306">
        <v>42087.0</v>
      </c>
      <c r="Y627" s="462">
        <v>43739.0</v>
      </c>
      <c r="Z627" s="306" t="s">
        <v>3008</v>
      </c>
      <c r="AA627" s="306" t="s">
        <v>3009</v>
      </c>
      <c r="AB627" s="306">
        <v>31.366</v>
      </c>
      <c r="AC627" s="306">
        <v>47096.0</v>
      </c>
      <c r="AD627" s="462">
        <v>43699.0</v>
      </c>
      <c r="AE627" s="298"/>
      <c r="AF627" s="298"/>
      <c r="AG627" s="299"/>
      <c r="AH627" s="300">
        <v>43733.0</v>
      </c>
      <c r="AI627" s="299">
        <v>47081.0</v>
      </c>
      <c r="AJ627" s="299">
        <v>15.0</v>
      </c>
      <c r="AK627" s="298" t="s">
        <v>50</v>
      </c>
      <c r="AL627" s="298" t="s">
        <v>285</v>
      </c>
      <c r="AM627" s="298" t="s">
        <v>51</v>
      </c>
      <c r="AN627" s="298" t="s">
        <v>377</v>
      </c>
      <c r="AO627" s="298" t="s">
        <v>507</v>
      </c>
    </row>
    <row r="628" ht="42.75" customHeight="1">
      <c r="A628" s="69">
        <v>43678.0</v>
      </c>
      <c r="B628" s="70" t="s">
        <v>817</v>
      </c>
      <c r="C628" s="21"/>
      <c r="D628" s="21" t="s">
        <v>1463</v>
      </c>
      <c r="E628" s="23" t="s">
        <v>1464</v>
      </c>
      <c r="F628" s="24">
        <v>1.0</v>
      </c>
      <c r="G628" s="48">
        <v>303.0</v>
      </c>
      <c r="H628" s="60">
        <f>G628*1</f>
        <v>303</v>
      </c>
      <c r="I628" s="61" t="s">
        <v>248</v>
      </c>
      <c r="J628" s="50" t="s">
        <v>534</v>
      </c>
      <c r="K628" s="29">
        <v>43706.0</v>
      </c>
      <c r="L628" s="703">
        <v>43704.0</v>
      </c>
      <c r="M628" s="50" t="s">
        <v>90</v>
      </c>
      <c r="N628" s="93" t="s">
        <v>3010</v>
      </c>
      <c r="O628" s="408"/>
      <c r="P628" s="408">
        <v>266.5</v>
      </c>
      <c r="Q628" s="704">
        <f t="shared" si="80"/>
        <v>279.825</v>
      </c>
      <c r="R628" s="408"/>
      <c r="S628" s="408">
        <v>8763.0</v>
      </c>
      <c r="T628" s="35" t="s">
        <v>94</v>
      </c>
      <c r="U628" s="305">
        <v>43769.0</v>
      </c>
      <c r="V628" s="462">
        <v>43703.0</v>
      </c>
      <c r="W628" s="306" t="s">
        <v>1465</v>
      </c>
      <c r="X628" s="306">
        <v>8763.0</v>
      </c>
      <c r="Y628" s="306"/>
      <c r="Z628" s="306" t="s">
        <v>3011</v>
      </c>
      <c r="AA628" s="306">
        <v>5.412011706E9</v>
      </c>
      <c r="AB628" s="306">
        <v>31.315</v>
      </c>
      <c r="AC628" s="306"/>
      <c r="AD628" s="306"/>
      <c r="AE628" s="298"/>
      <c r="AF628" s="298"/>
      <c r="AG628" s="299"/>
      <c r="AH628" s="300">
        <v>43698.0</v>
      </c>
      <c r="AI628" s="299">
        <f>337.61*31.32</f>
        <v>10573.9452</v>
      </c>
      <c r="AJ628" s="299">
        <f>(374-337.61)*31.32</f>
        <v>1139.7348</v>
      </c>
      <c r="AK628" s="298" t="s">
        <v>50</v>
      </c>
      <c r="AL628" s="298" t="s">
        <v>285</v>
      </c>
      <c r="AM628" s="298" t="s">
        <v>51</v>
      </c>
      <c r="AN628" s="298" t="s">
        <v>52</v>
      </c>
      <c r="AO628" s="298" t="s">
        <v>507</v>
      </c>
    </row>
    <row r="629" ht="42.75" customHeight="1">
      <c r="A629" s="69">
        <v>43678.0</v>
      </c>
      <c r="B629" s="70" t="s">
        <v>817</v>
      </c>
      <c r="C629" s="21"/>
      <c r="D629" s="21" t="s">
        <v>1463</v>
      </c>
      <c r="E629" s="32" t="s">
        <v>347</v>
      </c>
      <c r="F629" s="24">
        <v>1.0</v>
      </c>
      <c r="G629" s="48">
        <v>31.0</v>
      </c>
      <c r="H629" s="60">
        <f t="shared" ref="H629:H637" si="81">G629*F629</f>
        <v>31</v>
      </c>
      <c r="I629" s="61" t="s">
        <v>248</v>
      </c>
      <c r="J629" s="50" t="s">
        <v>534</v>
      </c>
      <c r="K629" s="29">
        <v>43706.0</v>
      </c>
      <c r="L629" s="304"/>
      <c r="M629" s="50" t="s">
        <v>534</v>
      </c>
      <c r="N629" s="93"/>
      <c r="O629" s="408"/>
      <c r="P629" s="408"/>
      <c r="Q629" s="408"/>
      <c r="R629" s="408"/>
      <c r="S629" s="408">
        <v>1057.0</v>
      </c>
      <c r="T629" s="503" t="s">
        <v>263</v>
      </c>
      <c r="U629" s="462">
        <v>43738.0</v>
      </c>
      <c r="V629" s="462">
        <v>43708.0</v>
      </c>
      <c r="W629" s="306" t="s">
        <v>1466</v>
      </c>
      <c r="X629" s="306">
        <v>1057.0</v>
      </c>
      <c r="Y629" s="462">
        <v>43745.0</v>
      </c>
      <c r="Z629" s="306" t="s">
        <v>3011</v>
      </c>
      <c r="AA629" s="306">
        <v>5.412011706E9</v>
      </c>
      <c r="AB629" s="306">
        <v>31.315</v>
      </c>
      <c r="AC629" s="306"/>
      <c r="AD629" s="306"/>
      <c r="AE629" s="298"/>
      <c r="AF629" s="298"/>
      <c r="AG629" s="299"/>
      <c r="AH629" s="300">
        <v>43698.0</v>
      </c>
      <c r="AI629" s="299" t="s">
        <v>3012</v>
      </c>
      <c r="AJ629" s="299" t="s">
        <v>3013</v>
      </c>
      <c r="AK629" s="298" t="s">
        <v>50</v>
      </c>
      <c r="AL629" s="298" t="s">
        <v>285</v>
      </c>
      <c r="AM629" s="298" t="s">
        <v>51</v>
      </c>
      <c r="AN629" s="298" t="s">
        <v>52</v>
      </c>
      <c r="AO629" s="298" t="s">
        <v>507</v>
      </c>
    </row>
    <row r="630" ht="42.75" customHeight="1">
      <c r="A630" s="69">
        <v>43678.0</v>
      </c>
      <c r="B630" s="70" t="s">
        <v>817</v>
      </c>
      <c r="C630" s="21"/>
      <c r="D630" s="21" t="s">
        <v>1467</v>
      </c>
      <c r="E630" s="32" t="s">
        <v>700</v>
      </c>
      <c r="F630" s="24">
        <v>1.0</v>
      </c>
      <c r="G630" s="48">
        <v>40.0</v>
      </c>
      <c r="H630" s="60">
        <f t="shared" si="81"/>
        <v>40</v>
      </c>
      <c r="I630" s="61" t="s">
        <v>248</v>
      </c>
      <c r="J630" s="50" t="s">
        <v>534</v>
      </c>
      <c r="K630" s="29">
        <v>43706.0</v>
      </c>
      <c r="L630" s="673"/>
      <c r="M630" s="63" t="s">
        <v>220</v>
      </c>
      <c r="N630" s="64"/>
      <c r="O630" s="34"/>
      <c r="P630" s="34"/>
      <c r="Q630" s="34"/>
      <c r="R630" s="34"/>
      <c r="S630" s="34"/>
      <c r="T630" s="66"/>
      <c r="U630" s="52"/>
      <c r="V630" s="53"/>
      <c r="W630" s="53"/>
      <c r="X630" s="53"/>
      <c r="Y630" s="53"/>
      <c r="Z630" s="53" t="s">
        <v>3011</v>
      </c>
      <c r="AA630" s="53">
        <v>5.412011706E9</v>
      </c>
      <c r="AB630" s="53">
        <v>31.315</v>
      </c>
      <c r="AC630" s="53"/>
      <c r="AD630" s="53"/>
      <c r="AE630" s="54"/>
      <c r="AF630" s="54"/>
      <c r="AG630" s="55"/>
      <c r="AH630" s="56">
        <v>43698.0</v>
      </c>
      <c r="AI630" s="55" t="s">
        <v>3012</v>
      </c>
      <c r="AJ630" s="55" t="s">
        <v>3013</v>
      </c>
      <c r="AK630" s="54" t="s">
        <v>50</v>
      </c>
      <c r="AL630" s="54" t="s">
        <v>285</v>
      </c>
      <c r="AM630" s="54" t="s">
        <v>51</v>
      </c>
      <c r="AN630" s="54" t="s">
        <v>52</v>
      </c>
      <c r="AO630" s="54"/>
    </row>
    <row r="631" ht="42.75" customHeight="1">
      <c r="A631" s="69">
        <v>43678.0</v>
      </c>
      <c r="B631" s="70" t="s">
        <v>906</v>
      </c>
      <c r="C631" s="21" t="s">
        <v>1454</v>
      </c>
      <c r="D631" s="21" t="s">
        <v>1468</v>
      </c>
      <c r="E631" s="522" t="s">
        <v>1458</v>
      </c>
      <c r="F631" s="24">
        <v>18.0</v>
      </c>
      <c r="G631" s="48">
        <v>5.8</v>
      </c>
      <c r="H631" s="26">
        <f t="shared" si="81"/>
        <v>104.4</v>
      </c>
      <c r="I631" s="61" t="s">
        <v>105</v>
      </c>
      <c r="J631" s="63" t="s">
        <v>934</v>
      </c>
      <c r="K631" s="29">
        <v>43686.0</v>
      </c>
      <c r="L631" s="30">
        <v>43684.0</v>
      </c>
      <c r="M631" s="50" t="s">
        <v>90</v>
      </c>
      <c r="N631" s="93" t="s">
        <v>3014</v>
      </c>
      <c r="O631" s="408"/>
      <c r="P631" s="408">
        <v>5.0</v>
      </c>
      <c r="Q631" s="408">
        <f t="shared" ref="Q631:Q636" si="82">(P631*F631)*1.05</f>
        <v>94.5</v>
      </c>
      <c r="R631" s="408"/>
      <c r="S631" s="408">
        <v>2931.0</v>
      </c>
      <c r="T631" s="51" t="s">
        <v>94</v>
      </c>
      <c r="U631" s="462">
        <v>43738.0</v>
      </c>
      <c r="V631" s="462">
        <v>43683.0</v>
      </c>
      <c r="W631" s="306" t="s">
        <v>1469</v>
      </c>
      <c r="X631" s="306">
        <v>43906.0</v>
      </c>
      <c r="Y631" s="462">
        <v>43739.0</v>
      </c>
      <c r="Z631" s="306" t="s">
        <v>3003</v>
      </c>
      <c r="AA631" s="306">
        <v>1.28371168E8</v>
      </c>
      <c r="AB631" s="306"/>
      <c r="AC631" s="306"/>
      <c r="AD631" s="306"/>
      <c r="AE631" s="298"/>
      <c r="AF631" s="298"/>
      <c r="AG631" s="299"/>
      <c r="AH631" s="300">
        <v>43679.0</v>
      </c>
      <c r="AI631" s="299">
        <f>1512.01*31.29</f>
        <v>47310.7929</v>
      </c>
      <c r="AJ631" s="299">
        <f>(1529.4-1512.01)*31.29</f>
        <v>544.1331</v>
      </c>
      <c r="AK631" s="298" t="s">
        <v>50</v>
      </c>
      <c r="AL631" s="298" t="s">
        <v>285</v>
      </c>
      <c r="AM631" s="298" t="s">
        <v>51</v>
      </c>
      <c r="AN631" s="298" t="s">
        <v>52</v>
      </c>
      <c r="AO631" s="298" t="s">
        <v>507</v>
      </c>
    </row>
    <row r="632" ht="42.75" customHeight="1">
      <c r="A632" s="69">
        <v>43678.0</v>
      </c>
      <c r="B632" s="70" t="s">
        <v>906</v>
      </c>
      <c r="C632" s="21" t="s">
        <v>1454</v>
      </c>
      <c r="D632" s="21" t="s">
        <v>1468</v>
      </c>
      <c r="E632" s="523" t="s">
        <v>1470</v>
      </c>
      <c r="F632" s="24">
        <v>1.0</v>
      </c>
      <c r="G632" s="48">
        <v>345.0</v>
      </c>
      <c r="H632" s="26">
        <f t="shared" si="81"/>
        <v>345</v>
      </c>
      <c r="I632" s="61" t="s">
        <v>105</v>
      </c>
      <c r="J632" s="63" t="s">
        <v>934</v>
      </c>
      <c r="K632" s="29">
        <v>43686.0</v>
      </c>
      <c r="L632" s="30">
        <v>43684.0</v>
      </c>
      <c r="M632" s="50" t="s">
        <v>90</v>
      </c>
      <c r="N632" s="93" t="s">
        <v>3014</v>
      </c>
      <c r="O632" s="408"/>
      <c r="P632" s="408">
        <v>304.0</v>
      </c>
      <c r="Q632" s="408">
        <f t="shared" si="82"/>
        <v>319.2</v>
      </c>
      <c r="R632" s="408"/>
      <c r="S632" s="408">
        <v>9902.0</v>
      </c>
      <c r="T632" s="51" t="s">
        <v>94</v>
      </c>
      <c r="U632" s="462">
        <v>43738.0</v>
      </c>
      <c r="V632" s="462">
        <v>43683.0</v>
      </c>
      <c r="W632" s="306" t="s">
        <v>1469</v>
      </c>
      <c r="X632" s="306" t="s">
        <v>3015</v>
      </c>
      <c r="Y632" s="462">
        <v>43739.0</v>
      </c>
      <c r="Z632" s="306" t="s">
        <v>3003</v>
      </c>
      <c r="AA632" s="306">
        <v>1.28371168E8</v>
      </c>
      <c r="AB632" s="306"/>
      <c r="AC632" s="306"/>
      <c r="AD632" s="306"/>
      <c r="AE632" s="298"/>
      <c r="AF632" s="298"/>
      <c r="AG632" s="299"/>
      <c r="AH632" s="300">
        <v>43679.0</v>
      </c>
      <c r="AI632" s="299" t="s">
        <v>3016</v>
      </c>
      <c r="AJ632" s="299" t="s">
        <v>3017</v>
      </c>
      <c r="AK632" s="298" t="s">
        <v>50</v>
      </c>
      <c r="AL632" s="298" t="s">
        <v>285</v>
      </c>
      <c r="AM632" s="298" t="s">
        <v>51</v>
      </c>
      <c r="AN632" s="298" t="s">
        <v>52</v>
      </c>
      <c r="AO632" s="298" t="s">
        <v>507</v>
      </c>
    </row>
    <row r="633" ht="42.75" customHeight="1">
      <c r="A633" s="69">
        <v>43678.0</v>
      </c>
      <c r="B633" s="70" t="s">
        <v>906</v>
      </c>
      <c r="C633" s="21" t="s">
        <v>1454</v>
      </c>
      <c r="D633" s="21" t="s">
        <v>1468</v>
      </c>
      <c r="E633" s="524" t="s">
        <v>1471</v>
      </c>
      <c r="F633" s="24">
        <v>9.0</v>
      </c>
      <c r="G633" s="48">
        <v>120.0</v>
      </c>
      <c r="H633" s="26">
        <f t="shared" si="81"/>
        <v>1080</v>
      </c>
      <c r="I633" s="61" t="s">
        <v>105</v>
      </c>
      <c r="J633" s="63" t="s">
        <v>934</v>
      </c>
      <c r="K633" s="29">
        <v>43686.0</v>
      </c>
      <c r="L633" s="30">
        <v>43684.0</v>
      </c>
      <c r="M633" s="50" t="s">
        <v>90</v>
      </c>
      <c r="N633" s="93" t="s">
        <v>3014</v>
      </c>
      <c r="O633" s="408"/>
      <c r="P633" s="408">
        <v>106.0</v>
      </c>
      <c r="Q633" s="408">
        <f t="shared" si="82"/>
        <v>1001.7</v>
      </c>
      <c r="R633" s="408"/>
      <c r="S633" s="408">
        <v>31073.0</v>
      </c>
      <c r="T633" s="51" t="s">
        <v>94</v>
      </c>
      <c r="U633" s="462">
        <v>43738.0</v>
      </c>
      <c r="V633" s="462">
        <v>43683.0</v>
      </c>
      <c r="W633" s="306" t="s">
        <v>1469</v>
      </c>
      <c r="X633" s="306" t="s">
        <v>3015</v>
      </c>
      <c r="Y633" s="462">
        <v>43739.0</v>
      </c>
      <c r="Z633" s="306" t="s">
        <v>3003</v>
      </c>
      <c r="AA633" s="306">
        <v>1.28371168E8</v>
      </c>
      <c r="AB633" s="306"/>
      <c r="AC633" s="306"/>
      <c r="AD633" s="306"/>
      <c r="AE633" s="298"/>
      <c r="AF633" s="298"/>
      <c r="AG633" s="299"/>
      <c r="AH633" s="300">
        <v>43679.0</v>
      </c>
      <c r="AI633" s="299" t="s">
        <v>3016</v>
      </c>
      <c r="AJ633" s="299" t="s">
        <v>3017</v>
      </c>
      <c r="AK633" s="298" t="s">
        <v>50</v>
      </c>
      <c r="AL633" s="298" t="s">
        <v>285</v>
      </c>
      <c r="AM633" s="298" t="s">
        <v>51</v>
      </c>
      <c r="AN633" s="298" t="s">
        <v>52</v>
      </c>
      <c r="AO633" s="298" t="s">
        <v>507</v>
      </c>
    </row>
    <row r="634" ht="42.75" customHeight="1">
      <c r="A634" s="69">
        <v>43678.0</v>
      </c>
      <c r="B634" s="23" t="s">
        <v>77</v>
      </c>
      <c r="C634" s="21">
        <v>605.0</v>
      </c>
      <c r="D634" s="21" t="s">
        <v>1472</v>
      </c>
      <c r="E634" s="525" t="s">
        <v>827</v>
      </c>
      <c r="F634" s="24">
        <v>20.0</v>
      </c>
      <c r="G634" s="48">
        <v>14.0</v>
      </c>
      <c r="H634" s="26">
        <f t="shared" si="81"/>
        <v>280</v>
      </c>
      <c r="I634" s="61" t="s">
        <v>43</v>
      </c>
      <c r="J634" s="433" t="s">
        <v>936</v>
      </c>
      <c r="K634" s="29">
        <v>43700.0</v>
      </c>
      <c r="L634" s="29">
        <v>43696.0</v>
      </c>
      <c r="M634" s="58" t="s">
        <v>2041</v>
      </c>
      <c r="N634" s="93" t="s">
        <v>3018</v>
      </c>
      <c r="O634" s="408"/>
      <c r="P634" s="408">
        <v>12.0</v>
      </c>
      <c r="Q634" s="408">
        <f t="shared" si="82"/>
        <v>252</v>
      </c>
      <c r="R634" s="408"/>
      <c r="S634" s="408">
        <v>7912.0</v>
      </c>
      <c r="T634" s="20" t="s">
        <v>2043</v>
      </c>
      <c r="U634" s="462">
        <v>43708.0</v>
      </c>
      <c r="V634" s="462">
        <v>43692.0</v>
      </c>
      <c r="W634" s="306" t="s">
        <v>1246</v>
      </c>
      <c r="X634" s="306" t="s">
        <v>3019</v>
      </c>
      <c r="Y634" s="462">
        <v>43710.0</v>
      </c>
      <c r="Z634" s="306" t="s">
        <v>2819</v>
      </c>
      <c r="AA634" s="298" t="s">
        <v>2820</v>
      </c>
      <c r="AB634" s="306">
        <v>31.315</v>
      </c>
      <c r="AC634" s="306"/>
      <c r="AD634" s="306"/>
      <c r="AE634" s="298"/>
      <c r="AF634" s="298"/>
      <c r="AG634" s="299"/>
      <c r="AH634" s="300">
        <v>43731.0</v>
      </c>
      <c r="AI634" s="299" t="s">
        <v>2822</v>
      </c>
      <c r="AJ634" s="299" t="s">
        <v>2823</v>
      </c>
      <c r="AK634" s="298" t="s">
        <v>50</v>
      </c>
      <c r="AL634" s="298" t="s">
        <v>285</v>
      </c>
      <c r="AM634" s="298" t="s">
        <v>51</v>
      </c>
      <c r="AN634" s="298" t="s">
        <v>52</v>
      </c>
      <c r="AO634" s="298" t="s">
        <v>507</v>
      </c>
    </row>
    <row r="635" ht="42.75" customHeight="1">
      <c r="A635" s="69">
        <v>43678.0</v>
      </c>
      <c r="B635" s="70" t="s">
        <v>119</v>
      </c>
      <c r="C635" s="21" t="s">
        <v>1473</v>
      </c>
      <c r="D635" s="21" t="s">
        <v>1474</v>
      </c>
      <c r="E635" s="150" t="s">
        <v>165</v>
      </c>
      <c r="F635" s="24">
        <v>100.0</v>
      </c>
      <c r="G635" s="48">
        <v>105.0</v>
      </c>
      <c r="H635" s="60">
        <f t="shared" si="81"/>
        <v>10500</v>
      </c>
      <c r="I635" s="61" t="s">
        <v>248</v>
      </c>
      <c r="J635" s="82" t="s">
        <v>122</v>
      </c>
      <c r="K635" s="84">
        <v>43732.0</v>
      </c>
      <c r="L635" s="84">
        <v>43728.0</v>
      </c>
      <c r="M635" s="50" t="s">
        <v>90</v>
      </c>
      <c r="N635" s="93" t="s">
        <v>2997</v>
      </c>
      <c r="O635" s="408"/>
      <c r="P635" s="408">
        <v>82.0</v>
      </c>
      <c r="Q635" s="408">
        <f t="shared" si="82"/>
        <v>8610</v>
      </c>
      <c r="R635" s="408"/>
      <c r="S635" s="408">
        <v>268804.0</v>
      </c>
      <c r="T635" s="35" t="s">
        <v>94</v>
      </c>
      <c r="U635" s="305">
        <v>43769.0</v>
      </c>
      <c r="V635" s="462">
        <v>43728.0</v>
      </c>
      <c r="W635" s="306" t="s">
        <v>1450</v>
      </c>
      <c r="X635" s="306">
        <v>537608.0</v>
      </c>
      <c r="Y635" s="306"/>
      <c r="Z635" s="306" t="s">
        <v>2999</v>
      </c>
      <c r="AA635" s="306" t="s">
        <v>3000</v>
      </c>
      <c r="AB635" s="306">
        <v>30.985</v>
      </c>
      <c r="AC635" s="306"/>
      <c r="AD635" s="306"/>
      <c r="AE635" s="298"/>
      <c r="AF635" s="298"/>
      <c r="AG635" s="299"/>
      <c r="AH635" s="300">
        <v>43726.0</v>
      </c>
      <c r="AI635" s="299">
        <f>10483.53*30.92</f>
        <v>324150.7476</v>
      </c>
      <c r="AJ635" s="299">
        <f>(10500-10483.53)*30.92</f>
        <v>509.2524</v>
      </c>
      <c r="AK635" s="298" t="s">
        <v>50</v>
      </c>
      <c r="AL635" s="298" t="s">
        <v>285</v>
      </c>
      <c r="AM635" s="298" t="s">
        <v>51</v>
      </c>
      <c r="AN635" s="298" t="s">
        <v>52</v>
      </c>
      <c r="AO635" s="298" t="s">
        <v>1133</v>
      </c>
    </row>
    <row r="636" ht="42.75" customHeight="1">
      <c r="A636" s="69">
        <v>43678.0</v>
      </c>
      <c r="B636" s="70" t="s">
        <v>1085</v>
      </c>
      <c r="C636" s="21" t="s">
        <v>1475</v>
      </c>
      <c r="D636" s="21" t="s">
        <v>1476</v>
      </c>
      <c r="E636" s="32" t="s">
        <v>1088</v>
      </c>
      <c r="F636" s="24">
        <v>1.0</v>
      </c>
      <c r="G636" s="48">
        <v>155.4</v>
      </c>
      <c r="H636" s="60">
        <f t="shared" si="81"/>
        <v>155.4</v>
      </c>
      <c r="I636" s="61" t="s">
        <v>248</v>
      </c>
      <c r="J636" s="161" t="s">
        <v>1164</v>
      </c>
      <c r="K636" s="29">
        <v>43683.0</v>
      </c>
      <c r="L636" s="29">
        <v>43679.0</v>
      </c>
      <c r="M636" s="50" t="s">
        <v>179</v>
      </c>
      <c r="N636" s="93"/>
      <c r="O636" s="408"/>
      <c r="P636" s="408"/>
      <c r="Q636" s="408">
        <f t="shared" si="82"/>
        <v>0</v>
      </c>
      <c r="R636" s="408">
        <v>3901.02</v>
      </c>
      <c r="S636" s="408">
        <f>(R636*F636)*1.05</f>
        <v>4096.071</v>
      </c>
      <c r="T636" s="408"/>
      <c r="U636" s="306"/>
      <c r="V636" s="306"/>
      <c r="W636" s="306"/>
      <c r="X636" s="306"/>
      <c r="Y636" s="306"/>
      <c r="Z636" s="306" t="s">
        <v>3020</v>
      </c>
      <c r="AA636" s="306" t="s">
        <v>3021</v>
      </c>
      <c r="AB636" s="306">
        <v>31.615</v>
      </c>
      <c r="AC636" s="306">
        <v>4913.0</v>
      </c>
      <c r="AD636" s="462">
        <v>43683.0</v>
      </c>
      <c r="AE636" s="298"/>
      <c r="AF636" s="298"/>
      <c r="AG636" s="299"/>
      <c r="AH636" s="300">
        <v>43739.0</v>
      </c>
      <c r="AI636" s="299">
        <v>14645.0</v>
      </c>
      <c r="AJ636" s="299">
        <v>15.0</v>
      </c>
      <c r="AK636" s="298" t="s">
        <v>50</v>
      </c>
      <c r="AL636" s="298" t="s">
        <v>285</v>
      </c>
      <c r="AM636" s="298" t="s">
        <v>51</v>
      </c>
      <c r="AN636" s="298" t="s">
        <v>377</v>
      </c>
      <c r="AO636" s="298" t="s">
        <v>507</v>
      </c>
    </row>
    <row r="637" ht="42.75" customHeight="1">
      <c r="A637" s="69">
        <v>43682.0</v>
      </c>
      <c r="B637" s="21" t="s">
        <v>1251</v>
      </c>
      <c r="C637" s="21" t="s">
        <v>1354</v>
      </c>
      <c r="D637" s="493" t="s">
        <v>1477</v>
      </c>
      <c r="E637" s="32" t="s">
        <v>347</v>
      </c>
      <c r="F637" s="24">
        <v>1.0</v>
      </c>
      <c r="G637" s="48">
        <v>442.0</v>
      </c>
      <c r="H637" s="26">
        <f t="shared" si="81"/>
        <v>442</v>
      </c>
      <c r="I637" s="87" t="s">
        <v>105</v>
      </c>
      <c r="J637" s="63" t="s">
        <v>534</v>
      </c>
      <c r="K637" s="30">
        <v>43684.0</v>
      </c>
      <c r="L637" s="30"/>
      <c r="M637" s="50" t="s">
        <v>534</v>
      </c>
      <c r="N637" s="93"/>
      <c r="O637" s="408"/>
      <c r="P637" s="408"/>
      <c r="Q637" s="408"/>
      <c r="R637" s="408"/>
      <c r="S637" s="408">
        <v>11945.0</v>
      </c>
      <c r="T637" s="51"/>
      <c r="U637" s="462">
        <v>43708.0</v>
      </c>
      <c r="V637" s="462">
        <v>43693.0</v>
      </c>
      <c r="W637" s="306" t="s">
        <v>1478</v>
      </c>
      <c r="X637" s="306">
        <v>11945.0</v>
      </c>
      <c r="Y637" s="462">
        <v>43710.0</v>
      </c>
      <c r="Z637" s="306" t="s">
        <v>2918</v>
      </c>
      <c r="AA637" s="306">
        <v>4.242192426E9</v>
      </c>
      <c r="AB637" s="306"/>
      <c r="AC637" s="306"/>
      <c r="AD637" s="462"/>
      <c r="AE637" s="298"/>
      <c r="AF637" s="298"/>
      <c r="AG637" s="299"/>
      <c r="AH637" s="29">
        <v>43789.0</v>
      </c>
      <c r="AI637" s="299">
        <f>11359.43*30.43</f>
        <v>345667.4549</v>
      </c>
      <c r="AJ637" s="299">
        <f>(11418-10359.43)*30.43</f>
        <v>32212.2851</v>
      </c>
      <c r="AK637" s="298" t="s">
        <v>50</v>
      </c>
      <c r="AL637" s="298" t="s">
        <v>285</v>
      </c>
      <c r="AM637" s="298" t="s">
        <v>51</v>
      </c>
      <c r="AN637" s="298" t="s">
        <v>52</v>
      </c>
      <c r="AO637" s="298" t="s">
        <v>507</v>
      </c>
    </row>
    <row r="638" ht="42.0" customHeight="1">
      <c r="A638" s="69">
        <v>43683.0</v>
      </c>
      <c r="B638" s="23" t="s">
        <v>1479</v>
      </c>
      <c r="C638" s="21" t="s">
        <v>1480</v>
      </c>
      <c r="D638" s="21" t="s">
        <v>1481</v>
      </c>
      <c r="E638" s="32" t="s">
        <v>1482</v>
      </c>
      <c r="F638" s="24">
        <v>1.0</v>
      </c>
      <c r="G638" s="48">
        <v>1888.53</v>
      </c>
      <c r="H638" s="526">
        <v>1888.53</v>
      </c>
      <c r="I638" s="61" t="s">
        <v>105</v>
      </c>
      <c r="J638" s="63" t="s">
        <v>1483</v>
      </c>
      <c r="K638" s="50" t="s">
        <v>1484</v>
      </c>
      <c r="L638" s="673"/>
      <c r="M638" s="626"/>
      <c r="N638" s="64"/>
      <c r="O638" s="34"/>
      <c r="P638" s="34"/>
      <c r="Q638" s="34">
        <f t="shared" ref="Q638:Q641" si="83">(P638*F638)*1.05</f>
        <v>0</v>
      </c>
      <c r="R638" s="34">
        <v>56782.0</v>
      </c>
      <c r="S638" s="34">
        <f>(R638*F638)*1.05</f>
        <v>59621.1</v>
      </c>
      <c r="T638" s="66"/>
      <c r="U638" s="52"/>
      <c r="V638" s="53"/>
      <c r="W638" s="53"/>
      <c r="X638" s="53"/>
      <c r="Y638" s="53"/>
      <c r="Z638" s="53" t="s">
        <v>3022</v>
      </c>
      <c r="AA638" s="53" t="s">
        <v>3023</v>
      </c>
      <c r="AB638" s="53"/>
      <c r="AC638" s="53">
        <v>59621.0</v>
      </c>
      <c r="AD638" s="78">
        <v>43689.0</v>
      </c>
      <c r="AE638" s="54"/>
      <c r="AF638" s="54"/>
      <c r="AG638" s="55"/>
      <c r="AH638" s="56">
        <v>43705.0</v>
      </c>
      <c r="AI638" s="55">
        <v>59611.0</v>
      </c>
      <c r="AJ638" s="55">
        <v>10.0</v>
      </c>
      <c r="AK638" s="54" t="s">
        <v>50</v>
      </c>
      <c r="AL638" s="54" t="s">
        <v>285</v>
      </c>
      <c r="AM638" s="54" t="s">
        <v>51</v>
      </c>
      <c r="AN638" s="54" t="s">
        <v>377</v>
      </c>
      <c r="AO638" s="54"/>
    </row>
    <row r="639" ht="42.75" customHeight="1">
      <c r="A639" s="69">
        <v>43685.0</v>
      </c>
      <c r="B639" s="23" t="s">
        <v>400</v>
      </c>
      <c r="C639" s="21" t="s">
        <v>1485</v>
      </c>
      <c r="D639" s="21" t="s">
        <v>1486</v>
      </c>
      <c r="E639" s="32" t="s">
        <v>403</v>
      </c>
      <c r="F639" s="24">
        <v>5.0</v>
      </c>
      <c r="G639" s="48">
        <v>231.0</v>
      </c>
      <c r="H639" s="26">
        <f>G639*F639</f>
        <v>1155</v>
      </c>
      <c r="I639" s="61" t="s">
        <v>303</v>
      </c>
      <c r="J639" s="50" t="s">
        <v>404</v>
      </c>
      <c r="K639" s="527" t="s">
        <v>1487</v>
      </c>
      <c r="L639" s="30">
        <v>43741.0</v>
      </c>
      <c r="M639" s="50" t="s">
        <v>90</v>
      </c>
      <c r="N639" s="93" t="s">
        <v>3024</v>
      </c>
      <c r="O639" s="408">
        <v>2.019101600002E12</v>
      </c>
      <c r="P639" s="408">
        <v>170.0</v>
      </c>
      <c r="Q639" s="408">
        <f t="shared" si="83"/>
        <v>892.5</v>
      </c>
      <c r="R639" s="408"/>
      <c r="S639" s="408">
        <v>27641.0</v>
      </c>
      <c r="T639" s="51" t="s">
        <v>94</v>
      </c>
      <c r="U639" s="305">
        <v>43799.0</v>
      </c>
      <c r="V639" s="462">
        <v>43740.0</v>
      </c>
      <c r="W639" s="306" t="s">
        <v>1488</v>
      </c>
      <c r="X639" s="306">
        <v>27641.0</v>
      </c>
      <c r="Y639" s="306"/>
      <c r="Z639" s="306" t="s">
        <v>3025</v>
      </c>
      <c r="AA639" s="306">
        <v>1.4995022E8</v>
      </c>
      <c r="AB639" s="306"/>
      <c r="AC639" s="306"/>
      <c r="AD639" s="306"/>
      <c r="AE639" s="298"/>
      <c r="AF639" s="298"/>
      <c r="AG639" s="299"/>
      <c r="AH639" s="300">
        <v>43717.0</v>
      </c>
      <c r="AI639" s="299" t="s">
        <v>2660</v>
      </c>
      <c r="AJ639" s="299" t="s">
        <v>2660</v>
      </c>
      <c r="AK639" s="298" t="s">
        <v>50</v>
      </c>
      <c r="AL639" s="298" t="s">
        <v>285</v>
      </c>
      <c r="AM639" s="298" t="s">
        <v>51</v>
      </c>
      <c r="AN639" s="298" t="s">
        <v>52</v>
      </c>
      <c r="AO639" s="298" t="s">
        <v>763</v>
      </c>
    </row>
    <row r="640" ht="42.75" customHeight="1">
      <c r="A640" s="69">
        <v>43685.0</v>
      </c>
      <c r="B640" s="23" t="s">
        <v>400</v>
      </c>
      <c r="C640" s="21" t="s">
        <v>1485</v>
      </c>
      <c r="D640" s="21" t="s">
        <v>1489</v>
      </c>
      <c r="E640" s="32" t="s">
        <v>700</v>
      </c>
      <c r="F640" s="24">
        <v>1.0</v>
      </c>
      <c r="G640" s="48">
        <v>25.0</v>
      </c>
      <c r="H640" s="60">
        <v>25.0</v>
      </c>
      <c r="I640" s="61" t="s">
        <v>303</v>
      </c>
      <c r="J640" s="63" t="s">
        <v>404</v>
      </c>
      <c r="K640" s="527" t="s">
        <v>1490</v>
      </c>
      <c r="L640" s="673"/>
      <c r="M640" s="63" t="s">
        <v>220</v>
      </c>
      <c r="N640" s="64"/>
      <c r="O640" s="34"/>
      <c r="P640" s="34"/>
      <c r="Q640" s="34">
        <f t="shared" si="83"/>
        <v>0</v>
      </c>
      <c r="R640" s="34"/>
      <c r="S640" s="34">
        <f>(R640*F640)*1.05</f>
        <v>0</v>
      </c>
      <c r="T640" s="76"/>
      <c r="U640" s="52"/>
      <c r="V640" s="53"/>
      <c r="W640" s="53"/>
      <c r="X640" s="53"/>
      <c r="Y640" s="53"/>
      <c r="Z640" s="53" t="s">
        <v>3025</v>
      </c>
      <c r="AA640" s="53">
        <v>1.4995022E8</v>
      </c>
      <c r="AB640" s="53"/>
      <c r="AC640" s="53"/>
      <c r="AD640" s="53"/>
      <c r="AE640" s="54"/>
      <c r="AF640" s="54"/>
      <c r="AG640" s="55"/>
      <c r="AH640" s="56">
        <v>43717.0</v>
      </c>
      <c r="AI640" s="55" t="s">
        <v>2660</v>
      </c>
      <c r="AJ640" s="55" t="s">
        <v>2660</v>
      </c>
      <c r="AK640" s="54" t="s">
        <v>50</v>
      </c>
      <c r="AL640" s="54" t="s">
        <v>285</v>
      </c>
      <c r="AM640" s="54" t="s">
        <v>51</v>
      </c>
      <c r="AN640" s="54" t="s">
        <v>52</v>
      </c>
      <c r="AO640" s="54"/>
    </row>
    <row r="641" ht="42.75" customHeight="1">
      <c r="A641" s="69">
        <v>43689.0</v>
      </c>
      <c r="B641" s="70" t="s">
        <v>906</v>
      </c>
      <c r="C641" s="21" t="s">
        <v>1454</v>
      </c>
      <c r="D641" s="21" t="s">
        <v>1491</v>
      </c>
      <c r="E641" s="523" t="s">
        <v>1492</v>
      </c>
      <c r="F641" s="24">
        <v>14.0</v>
      </c>
      <c r="G641" s="48">
        <v>212.0</v>
      </c>
      <c r="H641" s="26">
        <f>F641*G641</f>
        <v>2968</v>
      </c>
      <c r="I641" s="61" t="s">
        <v>105</v>
      </c>
      <c r="J641" s="63" t="s">
        <v>934</v>
      </c>
      <c r="K641" s="528">
        <v>43696.0</v>
      </c>
      <c r="L641" s="30">
        <v>43693.0</v>
      </c>
      <c r="M641" s="50" t="s">
        <v>3026</v>
      </c>
      <c r="N641" s="21" t="s">
        <v>3027</v>
      </c>
      <c r="O641" s="408"/>
      <c r="P641" s="408">
        <v>180.0</v>
      </c>
      <c r="Q641" s="408">
        <f t="shared" si="83"/>
        <v>2646</v>
      </c>
      <c r="R641" s="408"/>
      <c r="S641" s="408">
        <v>83521.0</v>
      </c>
      <c r="T641" s="51" t="s">
        <v>94</v>
      </c>
      <c r="U641" s="462">
        <v>43738.0</v>
      </c>
      <c r="V641" s="462">
        <v>43692.0</v>
      </c>
      <c r="W641" s="306" t="s">
        <v>1493</v>
      </c>
      <c r="X641" s="306">
        <v>83521.0</v>
      </c>
      <c r="Y641" s="462">
        <v>43739.0</v>
      </c>
      <c r="Z641" s="306" t="s">
        <v>3028</v>
      </c>
      <c r="AA641" s="306">
        <v>1.30936566E8</v>
      </c>
      <c r="AB641" s="306">
        <v>31.565</v>
      </c>
      <c r="AC641" s="306"/>
      <c r="AD641" s="306"/>
      <c r="AE641" s="298"/>
      <c r="AF641" s="298"/>
      <c r="AG641" s="299"/>
      <c r="AH641" s="300">
        <v>43690.0</v>
      </c>
      <c r="AI641" s="299">
        <f>2957*31.38</f>
        <v>92790.66</v>
      </c>
      <c r="AJ641" s="299">
        <f>(2968-2957)*31.38</f>
        <v>345.18</v>
      </c>
      <c r="AK641" s="298" t="s">
        <v>50</v>
      </c>
      <c r="AL641" s="298" t="s">
        <v>285</v>
      </c>
      <c r="AM641" s="298" t="s">
        <v>51</v>
      </c>
      <c r="AN641" s="298" t="s">
        <v>52</v>
      </c>
      <c r="AO641" s="298" t="s">
        <v>507</v>
      </c>
    </row>
    <row r="642" ht="42.75" customHeight="1">
      <c r="A642" s="69">
        <v>43690.0</v>
      </c>
      <c r="B642" s="70" t="s">
        <v>1494</v>
      </c>
      <c r="C642" s="21"/>
      <c r="D642" s="21" t="s">
        <v>1495</v>
      </c>
      <c r="E642" s="529" t="s">
        <v>1496</v>
      </c>
      <c r="F642" s="24">
        <v>13.0</v>
      </c>
      <c r="G642" s="48">
        <v>12.0</v>
      </c>
      <c r="H642" s="60">
        <f t="shared" ref="H642:H649" si="84">G642*F642</f>
        <v>156</v>
      </c>
      <c r="I642" s="87" t="s">
        <v>144</v>
      </c>
      <c r="J642" s="58" t="s">
        <v>1497</v>
      </c>
      <c r="K642" s="30">
        <v>43718.0</v>
      </c>
      <c r="L642" s="30">
        <v>43706.0</v>
      </c>
      <c r="M642" s="50" t="s">
        <v>3029</v>
      </c>
      <c r="N642" s="93" t="s">
        <v>3030</v>
      </c>
      <c r="O642" s="408"/>
      <c r="P642" s="408"/>
      <c r="Q642" s="408"/>
      <c r="R642" s="408">
        <v>320.0</v>
      </c>
      <c r="S642" s="408">
        <f>(R642*F642)*1.05</f>
        <v>4368</v>
      </c>
      <c r="T642" s="51" t="s">
        <v>3031</v>
      </c>
      <c r="U642" s="462">
        <v>43703.0</v>
      </c>
      <c r="V642" s="462">
        <v>43705.0</v>
      </c>
      <c r="W642" s="306" t="s">
        <v>1498</v>
      </c>
      <c r="X642" s="306">
        <v>4368.0</v>
      </c>
      <c r="Y642" s="462">
        <v>43703.0</v>
      </c>
      <c r="Z642" s="306" t="s">
        <v>3032</v>
      </c>
      <c r="AA642" s="306">
        <v>1.38696243E8</v>
      </c>
      <c r="AB642" s="306">
        <v>31.325</v>
      </c>
      <c r="AC642" s="306"/>
      <c r="AD642" s="306"/>
      <c r="AE642" s="298"/>
      <c r="AF642" s="298"/>
      <c r="AG642" s="299"/>
      <c r="AH642" s="300">
        <v>43718.0</v>
      </c>
      <c r="AI642" s="299">
        <f>5589.58*31.17</f>
        <v>174227.2086</v>
      </c>
      <c r="AJ642" s="299">
        <f>(5607-5589.58)*31.17</f>
        <v>542.9814</v>
      </c>
      <c r="AK642" s="298" t="s">
        <v>50</v>
      </c>
      <c r="AL642" s="298" t="s">
        <v>285</v>
      </c>
      <c r="AM642" s="298" t="s">
        <v>51</v>
      </c>
      <c r="AN642" s="298" t="s">
        <v>52</v>
      </c>
      <c r="AO642" s="298" t="s">
        <v>1133</v>
      </c>
    </row>
    <row r="643" ht="42.75" customHeight="1">
      <c r="A643" s="69">
        <v>43690.0</v>
      </c>
      <c r="B643" s="70" t="s">
        <v>1494</v>
      </c>
      <c r="C643" s="21"/>
      <c r="D643" s="21" t="s">
        <v>1495</v>
      </c>
      <c r="E643" s="32" t="s">
        <v>1499</v>
      </c>
      <c r="F643" s="24">
        <v>23.0</v>
      </c>
      <c r="G643" s="48">
        <v>217.0</v>
      </c>
      <c r="H643" s="60">
        <f t="shared" si="84"/>
        <v>4991</v>
      </c>
      <c r="I643" s="61" t="s">
        <v>144</v>
      </c>
      <c r="J643" s="58" t="s">
        <v>1497</v>
      </c>
      <c r="K643" s="30">
        <v>43718.0</v>
      </c>
      <c r="L643" s="30">
        <v>43717.0</v>
      </c>
      <c r="M643" s="50" t="s">
        <v>90</v>
      </c>
      <c r="N643" s="93" t="s">
        <v>3033</v>
      </c>
      <c r="O643" s="408"/>
      <c r="P643" s="408">
        <v>195.0</v>
      </c>
      <c r="Q643" s="408">
        <f t="shared" ref="Q643:Q649" si="85">(P643*F643)*1.05</f>
        <v>4709.25</v>
      </c>
      <c r="R643" s="408"/>
      <c r="S643" s="408">
        <v>147518.0</v>
      </c>
      <c r="T643" s="51" t="s">
        <v>94</v>
      </c>
      <c r="U643" s="305">
        <v>43769.0</v>
      </c>
      <c r="V643" s="462">
        <v>43713.0</v>
      </c>
      <c r="W643" s="306" t="s">
        <v>1500</v>
      </c>
      <c r="X643" s="306" t="s">
        <v>3034</v>
      </c>
      <c r="Y643" s="306"/>
      <c r="Z643" s="306" t="s">
        <v>3032</v>
      </c>
      <c r="AA643" s="306">
        <v>1.38696243E8</v>
      </c>
      <c r="AB643" s="306">
        <v>31.325</v>
      </c>
      <c r="AC643" s="306"/>
      <c r="AD643" s="306"/>
      <c r="AE643" s="298"/>
      <c r="AF643" s="298"/>
      <c r="AG643" s="299"/>
      <c r="AH643" s="300">
        <v>43718.0</v>
      </c>
      <c r="AI643" s="299" t="s">
        <v>3035</v>
      </c>
      <c r="AJ643" s="299" t="s">
        <v>3036</v>
      </c>
      <c r="AK643" s="298" t="s">
        <v>50</v>
      </c>
      <c r="AL643" s="298" t="s">
        <v>285</v>
      </c>
      <c r="AM643" s="298" t="s">
        <v>51</v>
      </c>
      <c r="AN643" s="298" t="s">
        <v>52</v>
      </c>
      <c r="AO643" s="298" t="s">
        <v>1133</v>
      </c>
    </row>
    <row r="644" ht="60.75" customHeight="1">
      <c r="A644" s="69">
        <v>43690.0</v>
      </c>
      <c r="B644" s="70" t="s">
        <v>1494</v>
      </c>
      <c r="C644" s="21"/>
      <c r="D644" s="21" t="s">
        <v>1501</v>
      </c>
      <c r="E644" s="32" t="s">
        <v>1502</v>
      </c>
      <c r="F644" s="24">
        <v>23.0</v>
      </c>
      <c r="G644" s="48">
        <v>20.0</v>
      </c>
      <c r="H644" s="60">
        <f t="shared" si="84"/>
        <v>460</v>
      </c>
      <c r="I644" s="61" t="s">
        <v>144</v>
      </c>
      <c r="J644" s="58" t="s">
        <v>1497</v>
      </c>
      <c r="K644" s="205">
        <v>43720.0</v>
      </c>
      <c r="L644" s="30">
        <v>43717.0</v>
      </c>
      <c r="M644" s="50" t="s">
        <v>90</v>
      </c>
      <c r="N644" s="93" t="s">
        <v>3033</v>
      </c>
      <c r="O644" s="408"/>
      <c r="P644" s="408">
        <v>15.6</v>
      </c>
      <c r="Q644" s="408">
        <f t="shared" si="85"/>
        <v>376.74</v>
      </c>
      <c r="R644" s="408"/>
      <c r="S644" s="408">
        <v>11801.0</v>
      </c>
      <c r="T644" s="51" t="s">
        <v>94</v>
      </c>
      <c r="U644" s="305">
        <v>43769.0</v>
      </c>
      <c r="V644" s="462">
        <v>43713.0</v>
      </c>
      <c r="W644" s="306" t="s">
        <v>1500</v>
      </c>
      <c r="X644" s="306">
        <v>159319.0</v>
      </c>
      <c r="Y644" s="306"/>
      <c r="Z644" s="306" t="s">
        <v>3037</v>
      </c>
      <c r="AA644" s="306">
        <v>1.39759069E8</v>
      </c>
      <c r="AB644" s="306">
        <v>31.22</v>
      </c>
      <c r="AC644" s="306"/>
      <c r="AD644" s="306"/>
      <c r="AE644" s="298"/>
      <c r="AF644" s="298"/>
      <c r="AG644" s="299"/>
      <c r="AH644" s="300">
        <v>43718.0</v>
      </c>
      <c r="AI644" s="299" t="s">
        <v>3035</v>
      </c>
      <c r="AJ644" s="299" t="s">
        <v>3036</v>
      </c>
      <c r="AK644" s="298" t="s">
        <v>50</v>
      </c>
      <c r="AL644" s="298" t="s">
        <v>285</v>
      </c>
      <c r="AM644" s="298" t="s">
        <v>51</v>
      </c>
      <c r="AN644" s="298" t="s">
        <v>52</v>
      </c>
      <c r="AO644" s="298" t="s">
        <v>1133</v>
      </c>
    </row>
    <row r="645" ht="42.75" customHeight="1">
      <c r="A645" s="69">
        <v>43690.0</v>
      </c>
      <c r="B645" s="70" t="s">
        <v>223</v>
      </c>
      <c r="C645" s="21" t="s">
        <v>1503</v>
      </c>
      <c r="D645" s="21" t="s">
        <v>1504</v>
      </c>
      <c r="E645" s="32" t="s">
        <v>1505</v>
      </c>
      <c r="F645" s="24">
        <v>7.0</v>
      </c>
      <c r="G645" s="48">
        <v>7.35</v>
      </c>
      <c r="H645" s="60">
        <f t="shared" si="84"/>
        <v>51.45</v>
      </c>
      <c r="I645" s="61" t="s">
        <v>144</v>
      </c>
      <c r="J645" s="63" t="s">
        <v>90</v>
      </c>
      <c r="K645" s="205">
        <v>43697.0</v>
      </c>
      <c r="L645" s="30">
        <v>43697.0</v>
      </c>
      <c r="M645" s="50" t="s">
        <v>90</v>
      </c>
      <c r="N645" s="93" t="s">
        <v>3038</v>
      </c>
      <c r="O645" s="408"/>
      <c r="P645" s="408">
        <v>5.0</v>
      </c>
      <c r="Q645" s="408">
        <f t="shared" si="85"/>
        <v>36.75</v>
      </c>
      <c r="R645" s="408"/>
      <c r="S645" s="408">
        <v>1160.0</v>
      </c>
      <c r="T645" s="51" t="s">
        <v>94</v>
      </c>
      <c r="U645" s="462">
        <v>43738.0</v>
      </c>
      <c r="V645" s="462">
        <v>43696.0</v>
      </c>
      <c r="W645" s="306" t="s">
        <v>1506</v>
      </c>
      <c r="X645" s="306">
        <v>25023.0</v>
      </c>
      <c r="Y645" s="462">
        <v>43739.0</v>
      </c>
      <c r="Z645" s="306" t="s">
        <v>3039</v>
      </c>
      <c r="AA645" s="306" t="s">
        <v>2987</v>
      </c>
      <c r="AB645" s="306">
        <v>31.34</v>
      </c>
      <c r="AC645" s="306">
        <v>29452.0</v>
      </c>
      <c r="AD645" s="462">
        <v>43699.0</v>
      </c>
      <c r="AE645" s="298"/>
      <c r="AF645" s="298"/>
      <c r="AG645" s="299"/>
      <c r="AH645" s="300">
        <v>43718.0</v>
      </c>
      <c r="AI645" s="299" t="s">
        <v>2926</v>
      </c>
      <c r="AJ645" s="299" t="s">
        <v>2927</v>
      </c>
      <c r="AK645" s="298" t="s">
        <v>50</v>
      </c>
      <c r="AL645" s="298" t="s">
        <v>285</v>
      </c>
      <c r="AM645" s="298" t="s">
        <v>51</v>
      </c>
      <c r="AN645" s="298" t="s">
        <v>377</v>
      </c>
      <c r="AO645" s="298" t="s">
        <v>507</v>
      </c>
    </row>
    <row r="646" ht="42.75" customHeight="1">
      <c r="A646" s="69">
        <v>43690.0</v>
      </c>
      <c r="B646" s="70" t="s">
        <v>223</v>
      </c>
      <c r="C646" s="21" t="s">
        <v>1503</v>
      </c>
      <c r="D646" s="21" t="s">
        <v>1504</v>
      </c>
      <c r="E646" s="32" t="s">
        <v>1427</v>
      </c>
      <c r="F646" s="24">
        <v>6.0</v>
      </c>
      <c r="G646" s="48">
        <v>148.05</v>
      </c>
      <c r="H646" s="60">
        <f t="shared" si="84"/>
        <v>888.3</v>
      </c>
      <c r="I646" s="61" t="s">
        <v>144</v>
      </c>
      <c r="J646" s="63" t="s">
        <v>90</v>
      </c>
      <c r="K646" s="205">
        <v>43697.0</v>
      </c>
      <c r="L646" s="30">
        <v>43697.0</v>
      </c>
      <c r="M646" s="50" t="s">
        <v>90</v>
      </c>
      <c r="N646" s="93" t="s">
        <v>3038</v>
      </c>
      <c r="O646" s="408"/>
      <c r="P646" s="408">
        <v>120.0</v>
      </c>
      <c r="Q646" s="408">
        <f t="shared" si="85"/>
        <v>756</v>
      </c>
      <c r="R646" s="408"/>
      <c r="S646" s="408">
        <v>23863.0</v>
      </c>
      <c r="T646" s="51" t="s">
        <v>94</v>
      </c>
      <c r="U646" s="462">
        <v>43738.0</v>
      </c>
      <c r="V646" s="462">
        <v>43696.0</v>
      </c>
      <c r="W646" s="306" t="s">
        <v>1506</v>
      </c>
      <c r="X646" s="306" t="s">
        <v>3040</v>
      </c>
      <c r="Y646" s="462">
        <v>43739.0</v>
      </c>
      <c r="Z646" s="306" t="s">
        <v>3039</v>
      </c>
      <c r="AA646" s="306" t="s">
        <v>2987</v>
      </c>
      <c r="AB646" s="306">
        <v>31.34</v>
      </c>
      <c r="AC646" s="306" t="s">
        <v>3041</v>
      </c>
      <c r="AD646" s="462">
        <v>43699.0</v>
      </c>
      <c r="AE646" s="298"/>
      <c r="AF646" s="298"/>
      <c r="AG646" s="299"/>
      <c r="AH646" s="300">
        <v>43718.0</v>
      </c>
      <c r="AI646" s="299" t="s">
        <v>2926</v>
      </c>
      <c r="AJ646" s="299" t="s">
        <v>2927</v>
      </c>
      <c r="AK646" s="298" t="s">
        <v>50</v>
      </c>
      <c r="AL646" s="298" t="s">
        <v>285</v>
      </c>
      <c r="AM646" s="298" t="s">
        <v>51</v>
      </c>
      <c r="AN646" s="298" t="s">
        <v>377</v>
      </c>
      <c r="AO646" s="298" t="s">
        <v>507</v>
      </c>
    </row>
    <row r="647" ht="42.75" customHeight="1">
      <c r="A647" s="69">
        <v>43691.0</v>
      </c>
      <c r="B647" s="70" t="s">
        <v>621</v>
      </c>
      <c r="C647" s="21"/>
      <c r="D647" s="21" t="s">
        <v>1507</v>
      </c>
      <c r="E647" s="23" t="s">
        <v>1508</v>
      </c>
      <c r="F647" s="82">
        <v>1.0</v>
      </c>
      <c r="G647" s="48">
        <v>378.0</v>
      </c>
      <c r="H647" s="60">
        <f t="shared" si="84"/>
        <v>378</v>
      </c>
      <c r="I647" s="61" t="s">
        <v>43</v>
      </c>
      <c r="J647" s="63" t="s">
        <v>90</v>
      </c>
      <c r="K647" s="29">
        <v>43696.0</v>
      </c>
      <c r="L647" s="30">
        <v>43696.0</v>
      </c>
      <c r="M647" s="50" t="s">
        <v>90</v>
      </c>
      <c r="N647" s="93" t="s">
        <v>3042</v>
      </c>
      <c r="O647" s="408"/>
      <c r="P647" s="408">
        <v>332.0</v>
      </c>
      <c r="Q647" s="408">
        <f t="shared" si="85"/>
        <v>348.6</v>
      </c>
      <c r="R647" s="408"/>
      <c r="S647" s="408">
        <v>11004.0</v>
      </c>
      <c r="T647" s="35" t="s">
        <v>94</v>
      </c>
      <c r="U647" s="462">
        <v>43738.0</v>
      </c>
      <c r="V647" s="462">
        <v>43693.0</v>
      </c>
      <c r="W647" s="306" t="s">
        <v>1509</v>
      </c>
      <c r="X647" s="306">
        <v>11004.0</v>
      </c>
      <c r="Y647" s="462">
        <v>43739.0</v>
      </c>
      <c r="Z647" s="306" t="s">
        <v>3043</v>
      </c>
      <c r="AA647" s="306" t="s">
        <v>3044</v>
      </c>
      <c r="AB647" s="306">
        <v>31.36</v>
      </c>
      <c r="AC647" s="306">
        <v>11854.0</v>
      </c>
      <c r="AD647" s="462">
        <v>43699.0</v>
      </c>
      <c r="AE647" s="298"/>
      <c r="AF647" s="298"/>
      <c r="AG647" s="299"/>
      <c r="AH647" s="300">
        <v>43699.0</v>
      </c>
      <c r="AI647" s="299" t="s">
        <v>2893</v>
      </c>
      <c r="AJ647" s="299" t="s">
        <v>2894</v>
      </c>
      <c r="AK647" s="298" t="s">
        <v>50</v>
      </c>
      <c r="AL647" s="298" t="s">
        <v>285</v>
      </c>
      <c r="AM647" s="298" t="s">
        <v>51</v>
      </c>
      <c r="AN647" s="298" t="s">
        <v>377</v>
      </c>
      <c r="AO647" s="298" t="s">
        <v>507</v>
      </c>
    </row>
    <row r="648" ht="42.75" customHeight="1">
      <c r="A648" s="69">
        <v>43691.0</v>
      </c>
      <c r="B648" s="70" t="s">
        <v>229</v>
      </c>
      <c r="C648" s="21"/>
      <c r="D648" s="21" t="s">
        <v>1510</v>
      </c>
      <c r="E648" s="32" t="s">
        <v>1511</v>
      </c>
      <c r="F648" s="24">
        <v>24.0</v>
      </c>
      <c r="G648" s="48">
        <v>407.4</v>
      </c>
      <c r="H648" s="60">
        <f t="shared" si="84"/>
        <v>9777.6</v>
      </c>
      <c r="I648" s="61" t="s">
        <v>171</v>
      </c>
      <c r="J648" s="63" t="s">
        <v>90</v>
      </c>
      <c r="K648" s="29">
        <v>43724.0</v>
      </c>
      <c r="L648" s="30">
        <v>43724.0</v>
      </c>
      <c r="M648" s="50" t="s">
        <v>90</v>
      </c>
      <c r="N648" s="93" t="s">
        <v>3045</v>
      </c>
      <c r="O648" s="408"/>
      <c r="P648" s="408">
        <v>355.0</v>
      </c>
      <c r="Q648" s="408">
        <f t="shared" si="85"/>
        <v>8946</v>
      </c>
      <c r="R648" s="408"/>
      <c r="S648" s="408">
        <v>279294.0</v>
      </c>
      <c r="T648" s="35" t="s">
        <v>94</v>
      </c>
      <c r="U648" s="305">
        <v>43769.0</v>
      </c>
      <c r="V648" s="462">
        <v>43720.0</v>
      </c>
      <c r="W648" s="306" t="s">
        <v>1512</v>
      </c>
      <c r="X648" s="306">
        <v>279294.0</v>
      </c>
      <c r="Y648" s="306"/>
      <c r="Z648" s="306" t="s">
        <v>3046</v>
      </c>
      <c r="AA648" s="306" t="s">
        <v>3047</v>
      </c>
      <c r="AB648" s="306">
        <v>31.04</v>
      </c>
      <c r="AC648" s="306">
        <v>303497.0</v>
      </c>
      <c r="AD648" s="305">
        <v>43725.0</v>
      </c>
      <c r="AE648" s="298"/>
      <c r="AF648" s="298"/>
      <c r="AG648" s="299"/>
      <c r="AH648" s="300">
        <v>43741.0</v>
      </c>
      <c r="AI648" s="299">
        <v>303467.0</v>
      </c>
      <c r="AJ648" s="299">
        <v>30.0</v>
      </c>
      <c r="AK648" s="298" t="s">
        <v>50</v>
      </c>
      <c r="AL648" s="298" t="s">
        <v>285</v>
      </c>
      <c r="AM648" s="298" t="s">
        <v>51</v>
      </c>
      <c r="AN648" s="298" t="s">
        <v>377</v>
      </c>
      <c r="AO648" s="298" t="s">
        <v>1133</v>
      </c>
    </row>
    <row r="649" ht="42.75" customHeight="1">
      <c r="A649" s="69">
        <v>43691.0</v>
      </c>
      <c r="B649" s="70" t="s">
        <v>1000</v>
      </c>
      <c r="C649" s="21" t="s">
        <v>1513</v>
      </c>
      <c r="D649" s="21" t="s">
        <v>1514</v>
      </c>
      <c r="E649" s="23" t="s">
        <v>1515</v>
      </c>
      <c r="F649" s="24">
        <v>1.0</v>
      </c>
      <c r="G649" s="48">
        <v>120.0</v>
      </c>
      <c r="H649" s="60">
        <f t="shared" si="84"/>
        <v>120</v>
      </c>
      <c r="I649" s="61" t="s">
        <v>105</v>
      </c>
      <c r="J649" s="530" t="s">
        <v>1296</v>
      </c>
      <c r="K649" s="300">
        <v>43703.0</v>
      </c>
      <c r="L649" s="30">
        <v>43696.0</v>
      </c>
      <c r="M649" s="58" t="s">
        <v>2078</v>
      </c>
      <c r="N649" s="93" t="s">
        <v>3048</v>
      </c>
      <c r="O649" s="408"/>
      <c r="P649" s="408"/>
      <c r="Q649" s="408">
        <f t="shared" si="85"/>
        <v>0</v>
      </c>
      <c r="R649" s="408">
        <v>3162.0</v>
      </c>
      <c r="S649" s="408">
        <v>3320.0</v>
      </c>
      <c r="T649" s="503" t="s">
        <v>2872</v>
      </c>
      <c r="U649" s="305">
        <v>43769.0</v>
      </c>
      <c r="V649" s="462">
        <v>43693.0</v>
      </c>
      <c r="W649" s="306" t="s">
        <v>1516</v>
      </c>
      <c r="X649" s="306">
        <v>3320.0</v>
      </c>
      <c r="Y649" s="306"/>
      <c r="Z649" s="306" t="s">
        <v>3049</v>
      </c>
      <c r="AA649" s="306">
        <v>1.33077416E8</v>
      </c>
      <c r="AB649" s="306">
        <v>31.315</v>
      </c>
      <c r="AC649" s="306"/>
      <c r="AD649" s="306"/>
      <c r="AE649" s="298"/>
      <c r="AF649" s="298"/>
      <c r="AG649" s="299"/>
      <c r="AH649" s="300">
        <v>43734.0</v>
      </c>
      <c r="AI649" s="299">
        <f>1212*30.97</f>
        <v>37535.64</v>
      </c>
      <c r="AJ649" s="299">
        <v>0.0</v>
      </c>
      <c r="AK649" s="298" t="s">
        <v>50</v>
      </c>
      <c r="AL649" s="298" t="s">
        <v>285</v>
      </c>
      <c r="AM649" s="298" t="s">
        <v>51</v>
      </c>
      <c r="AN649" s="298" t="s">
        <v>52</v>
      </c>
      <c r="AO649" s="298" t="s">
        <v>507</v>
      </c>
    </row>
    <row r="650" ht="42.75" customHeight="1">
      <c r="A650" s="69">
        <v>43692.0</v>
      </c>
      <c r="B650" s="70" t="s">
        <v>1517</v>
      </c>
      <c r="C650" s="21" t="s">
        <v>1441</v>
      </c>
      <c r="D650" s="493" t="s">
        <v>1518</v>
      </c>
      <c r="E650" s="23" t="s">
        <v>347</v>
      </c>
      <c r="F650" s="24">
        <v>1.0</v>
      </c>
      <c r="G650" s="25">
        <v>182.0</v>
      </c>
      <c r="H650" s="60">
        <f>F650*G650</f>
        <v>182</v>
      </c>
      <c r="I650" s="61" t="s">
        <v>105</v>
      </c>
      <c r="J650" s="63" t="s">
        <v>134</v>
      </c>
      <c r="K650" s="29">
        <v>43692.0</v>
      </c>
      <c r="L650" s="84"/>
      <c r="M650" s="50" t="s">
        <v>263</v>
      </c>
      <c r="N650" s="93"/>
      <c r="O650" s="408"/>
      <c r="P650" s="408"/>
      <c r="Q650" s="408"/>
      <c r="R650" s="408"/>
      <c r="S650" s="408">
        <v>5455.0</v>
      </c>
      <c r="T650" s="51"/>
      <c r="U650" s="462">
        <v>43738.0</v>
      </c>
      <c r="V650" s="462">
        <v>43700.0</v>
      </c>
      <c r="W650" s="306" t="s">
        <v>1519</v>
      </c>
      <c r="X650" s="306">
        <v>5455.0</v>
      </c>
      <c r="Y650" s="462">
        <v>43710.0</v>
      </c>
      <c r="Z650" s="306" t="s">
        <v>2994</v>
      </c>
      <c r="AA650" s="306">
        <v>1.97032962E9</v>
      </c>
      <c r="AB650" s="306"/>
      <c r="AC650" s="306"/>
      <c r="AD650" s="306"/>
      <c r="AE650" s="298"/>
      <c r="AF650" s="298"/>
      <c r="AG650" s="299"/>
      <c r="AH650" s="300">
        <v>43734.0</v>
      </c>
      <c r="AI650" s="299" t="s">
        <v>2851</v>
      </c>
      <c r="AJ650" s="299" t="s">
        <v>2852</v>
      </c>
      <c r="AK650" s="298" t="s">
        <v>50</v>
      </c>
      <c r="AL650" s="298" t="s">
        <v>285</v>
      </c>
      <c r="AM650" s="298" t="s">
        <v>51</v>
      </c>
      <c r="AN650" s="298" t="s">
        <v>52</v>
      </c>
      <c r="AO650" s="298" t="s">
        <v>507</v>
      </c>
    </row>
    <row r="651" ht="42.75" customHeight="1">
      <c r="A651" s="69">
        <v>43692.0</v>
      </c>
      <c r="B651" s="70" t="s">
        <v>906</v>
      </c>
      <c r="C651" s="21" t="s">
        <v>1454</v>
      </c>
      <c r="D651" s="21" t="s">
        <v>1520</v>
      </c>
      <c r="E651" s="522" t="s">
        <v>1458</v>
      </c>
      <c r="F651" s="24">
        <v>47.0</v>
      </c>
      <c r="G651" s="48">
        <v>5.8</v>
      </c>
      <c r="H651" s="60">
        <f t="shared" ref="H651:H672" si="86">G651*F651</f>
        <v>272.6</v>
      </c>
      <c r="I651" s="61" t="s">
        <v>105</v>
      </c>
      <c r="J651" s="63"/>
      <c r="K651" s="29">
        <v>43711.0</v>
      </c>
      <c r="L651" s="30">
        <v>43707.0</v>
      </c>
      <c r="M651" s="50" t="s">
        <v>90</v>
      </c>
      <c r="N651" s="93" t="s">
        <v>3050</v>
      </c>
      <c r="O651" s="408"/>
      <c r="P651" s="408">
        <v>5.0</v>
      </c>
      <c r="Q651" s="408">
        <f t="shared" ref="Q651:Q654" si="87">(P651*F651)*1.05</f>
        <v>246.75</v>
      </c>
      <c r="R651" s="408"/>
      <c r="S651" s="408">
        <v>7727.0</v>
      </c>
      <c r="T651" s="51" t="s">
        <v>94</v>
      </c>
      <c r="U651" s="305">
        <v>43769.0</v>
      </c>
      <c r="V651" s="462">
        <v>43706.0</v>
      </c>
      <c r="W651" s="306" t="s">
        <v>1521</v>
      </c>
      <c r="X651" s="306">
        <v>126098.0</v>
      </c>
      <c r="Y651" s="306"/>
      <c r="Z651" s="306" t="s">
        <v>3051</v>
      </c>
      <c r="AA651" s="306">
        <v>1.3539588E8</v>
      </c>
      <c r="AB651" s="306">
        <v>31.325</v>
      </c>
      <c r="AC651" s="306"/>
      <c r="AD651" s="306"/>
      <c r="AE651" s="298"/>
      <c r="AF651" s="298"/>
      <c r="AG651" s="299"/>
      <c r="AH651" s="300">
        <v>43699.0</v>
      </c>
      <c r="AI651" s="299">
        <f>4495.21*31.29</f>
        <v>140655.1209</v>
      </c>
      <c r="AJ651" s="299">
        <f>(4512.6-4495.21)*31.29</f>
        <v>544.1331</v>
      </c>
      <c r="AK651" s="298" t="s">
        <v>50</v>
      </c>
      <c r="AL651" s="298" t="s">
        <v>285</v>
      </c>
      <c r="AM651" s="298" t="s">
        <v>51</v>
      </c>
      <c r="AN651" s="298" t="s">
        <v>52</v>
      </c>
      <c r="AO651" s="298" t="s">
        <v>1133</v>
      </c>
    </row>
    <row r="652" ht="42.75" customHeight="1">
      <c r="A652" s="69">
        <v>43692.0</v>
      </c>
      <c r="B652" s="70" t="s">
        <v>906</v>
      </c>
      <c r="C652" s="21" t="s">
        <v>1454</v>
      </c>
      <c r="D652" s="21" t="s">
        <v>1520</v>
      </c>
      <c r="E652" s="522" t="s">
        <v>1456</v>
      </c>
      <c r="F652" s="24">
        <v>20.0</v>
      </c>
      <c r="G652" s="48">
        <v>212.0</v>
      </c>
      <c r="H652" s="60">
        <f t="shared" si="86"/>
        <v>4240</v>
      </c>
      <c r="I652" s="61" t="s">
        <v>105</v>
      </c>
      <c r="J652" s="63"/>
      <c r="K652" s="29">
        <v>43711.0</v>
      </c>
      <c r="L652" s="30">
        <v>43707.0</v>
      </c>
      <c r="M652" s="50" t="s">
        <v>90</v>
      </c>
      <c r="N652" s="93" t="s">
        <v>3050</v>
      </c>
      <c r="O652" s="408"/>
      <c r="P652" s="408">
        <v>180.0</v>
      </c>
      <c r="Q652" s="408">
        <f t="shared" si="87"/>
        <v>3780</v>
      </c>
      <c r="R652" s="408"/>
      <c r="S652" s="408">
        <v>118371.0</v>
      </c>
      <c r="T652" s="51" t="s">
        <v>94</v>
      </c>
      <c r="U652" s="305">
        <v>43769.0</v>
      </c>
      <c r="V652" s="462">
        <v>43706.0</v>
      </c>
      <c r="W652" s="306" t="s">
        <v>1521</v>
      </c>
      <c r="X652" s="306" t="s">
        <v>3052</v>
      </c>
      <c r="Y652" s="306"/>
      <c r="Z652" s="306" t="s">
        <v>3051</v>
      </c>
      <c r="AA652" s="306">
        <v>1.3539588E8</v>
      </c>
      <c r="AB652" s="306">
        <v>31.325</v>
      </c>
      <c r="AC652" s="306"/>
      <c r="AD652" s="306"/>
      <c r="AE652" s="298"/>
      <c r="AF652" s="298"/>
      <c r="AG652" s="299"/>
      <c r="AH652" s="300">
        <v>43699.0</v>
      </c>
      <c r="AI652" s="299" t="s">
        <v>3053</v>
      </c>
      <c r="AJ652" s="299" t="s">
        <v>3054</v>
      </c>
      <c r="AK652" s="298" t="s">
        <v>50</v>
      </c>
      <c r="AL652" s="298" t="s">
        <v>285</v>
      </c>
      <c r="AM652" s="298" t="s">
        <v>51</v>
      </c>
      <c r="AN652" s="298" t="s">
        <v>52</v>
      </c>
      <c r="AO652" s="298" t="s">
        <v>1133</v>
      </c>
    </row>
    <row r="653" ht="15.75" customHeight="1">
      <c r="A653" s="69">
        <v>43692.0</v>
      </c>
      <c r="B653" s="144" t="s">
        <v>119</v>
      </c>
      <c r="C653" s="21"/>
      <c r="D653" s="71" t="s">
        <v>3055</v>
      </c>
      <c r="E653" s="23" t="s">
        <v>1523</v>
      </c>
      <c r="F653" s="24">
        <v>3.0</v>
      </c>
      <c r="G653" s="48">
        <v>415.0</v>
      </c>
      <c r="H653" s="60">
        <f t="shared" si="86"/>
        <v>1245</v>
      </c>
      <c r="I653" s="61" t="s">
        <v>144</v>
      </c>
      <c r="J653" s="82" t="s">
        <v>122</v>
      </c>
      <c r="K653" s="30">
        <v>43747.0</v>
      </c>
      <c r="L653" s="30">
        <v>43745.0</v>
      </c>
      <c r="M653" s="50" t="s">
        <v>2054</v>
      </c>
      <c r="N653" s="21" t="s">
        <v>3056</v>
      </c>
      <c r="O653" s="408">
        <v>2.019100800008E12</v>
      </c>
      <c r="P653" s="408">
        <v>290.0</v>
      </c>
      <c r="Q653" s="408">
        <f t="shared" si="87"/>
        <v>913.5</v>
      </c>
      <c r="R653" s="408"/>
      <c r="S653" s="408">
        <v>28693.0</v>
      </c>
      <c r="T653" s="70" t="s">
        <v>2056</v>
      </c>
      <c r="U653" s="462">
        <v>43774.0</v>
      </c>
      <c r="V653" s="462">
        <v>43742.0</v>
      </c>
      <c r="W653" s="306" t="s">
        <v>1524</v>
      </c>
      <c r="X653" s="306">
        <v>28693.0</v>
      </c>
      <c r="Y653" s="306"/>
      <c r="Z653" s="306" t="s">
        <v>3057</v>
      </c>
      <c r="AA653" s="306" t="s">
        <v>3058</v>
      </c>
      <c r="AB653" s="306">
        <v>30.97</v>
      </c>
      <c r="AC653" s="306"/>
      <c r="AD653" s="306"/>
      <c r="AE653" s="298"/>
      <c r="AF653" s="298"/>
      <c r="AG653" s="299"/>
      <c r="AH653" s="300">
        <v>43700.0</v>
      </c>
      <c r="AI653" s="299" t="s">
        <v>3059</v>
      </c>
      <c r="AJ653" s="299" t="s">
        <v>3060</v>
      </c>
      <c r="AK653" s="298" t="s">
        <v>50</v>
      </c>
      <c r="AL653" s="298" t="s">
        <v>285</v>
      </c>
      <c r="AM653" s="298" t="s">
        <v>51</v>
      </c>
      <c r="AN653" s="298" t="s">
        <v>52</v>
      </c>
      <c r="AO653" s="298" t="s">
        <v>763</v>
      </c>
    </row>
    <row r="654" ht="15.75" customHeight="1">
      <c r="A654" s="69">
        <v>43692.0</v>
      </c>
      <c r="B654" s="144" t="s">
        <v>119</v>
      </c>
      <c r="C654" s="21"/>
      <c r="D654" s="112" t="s">
        <v>3061</v>
      </c>
      <c r="E654" s="23" t="s">
        <v>1526</v>
      </c>
      <c r="F654" s="24">
        <v>3.0</v>
      </c>
      <c r="G654" s="48">
        <v>0.0</v>
      </c>
      <c r="H654" s="60">
        <f t="shared" si="86"/>
        <v>0</v>
      </c>
      <c r="I654" s="61" t="s">
        <v>144</v>
      </c>
      <c r="J654" s="82" t="s">
        <v>122</v>
      </c>
      <c r="K654" s="30">
        <v>43747.0</v>
      </c>
      <c r="L654" s="29">
        <v>43692.0</v>
      </c>
      <c r="M654" s="50" t="s">
        <v>2929</v>
      </c>
      <c r="N654" s="93"/>
      <c r="O654" s="408">
        <v>2.019100800008E12</v>
      </c>
      <c r="P654" s="408"/>
      <c r="Q654" s="408">
        <f t="shared" si="87"/>
        <v>0</v>
      </c>
      <c r="R654" s="408"/>
      <c r="S654" s="705">
        <v>0.0</v>
      </c>
      <c r="T654" s="503"/>
      <c r="U654" s="306"/>
      <c r="V654" s="306"/>
      <c r="W654" s="306"/>
      <c r="X654" s="306"/>
      <c r="Y654" s="306"/>
      <c r="Z654" s="306" t="s">
        <v>3057</v>
      </c>
      <c r="AA654" s="306" t="s">
        <v>3062</v>
      </c>
      <c r="AB654" s="306">
        <v>30.97</v>
      </c>
      <c r="AC654" s="306"/>
      <c r="AD654" s="306"/>
      <c r="AE654" s="298"/>
      <c r="AF654" s="298"/>
      <c r="AG654" s="299"/>
      <c r="AH654" s="300">
        <v>43700.0</v>
      </c>
      <c r="AI654" s="299">
        <f>1228.61*31.3</f>
        <v>38455.493</v>
      </c>
      <c r="AJ654" s="299">
        <f>(1245-1228.61)*31.3</f>
        <v>513.007</v>
      </c>
      <c r="AK654" s="298" t="s">
        <v>50</v>
      </c>
      <c r="AL654" s="298" t="s">
        <v>285</v>
      </c>
      <c r="AM654" s="298" t="s">
        <v>51</v>
      </c>
      <c r="AN654" s="298" t="s">
        <v>52</v>
      </c>
      <c r="AO654" s="298" t="s">
        <v>763</v>
      </c>
    </row>
    <row r="655" ht="42.75" customHeight="1">
      <c r="A655" s="69">
        <v>43693.0</v>
      </c>
      <c r="B655" s="144" t="s">
        <v>378</v>
      </c>
      <c r="C655" s="21" t="s">
        <v>1118</v>
      </c>
      <c r="D655" s="21" t="s">
        <v>1527</v>
      </c>
      <c r="E655" s="246" t="s">
        <v>1528</v>
      </c>
      <c r="F655" s="24">
        <v>1.0</v>
      </c>
      <c r="G655" s="48">
        <v>454.0</v>
      </c>
      <c r="H655" s="60">
        <f t="shared" si="86"/>
        <v>454</v>
      </c>
      <c r="I655" s="61" t="s">
        <v>144</v>
      </c>
      <c r="J655" s="161" t="s">
        <v>1529</v>
      </c>
      <c r="K655" s="30">
        <v>43727.0</v>
      </c>
      <c r="L655" s="30">
        <v>43727.0</v>
      </c>
      <c r="M655" s="50"/>
      <c r="N655" s="93"/>
      <c r="O655" s="408"/>
      <c r="P655" s="408"/>
      <c r="Q655" s="408"/>
      <c r="R655" s="408"/>
      <c r="S655" s="706">
        <v>14217.0</v>
      </c>
      <c r="T655" s="503"/>
      <c r="U655" s="462">
        <v>43693.0</v>
      </c>
      <c r="V655" s="306"/>
      <c r="W655" s="306"/>
      <c r="X655" s="306"/>
      <c r="Y655" s="306"/>
      <c r="Z655" s="306" t="s">
        <v>2713</v>
      </c>
      <c r="AA655" s="306" t="s">
        <v>2714</v>
      </c>
      <c r="AB655" s="306"/>
      <c r="AC655" s="306"/>
      <c r="AD655" s="306"/>
      <c r="AE655" s="298"/>
      <c r="AF655" s="298"/>
      <c r="AG655" s="299"/>
      <c r="AH655" s="300">
        <v>43707.0</v>
      </c>
      <c r="AI655" s="299" t="s">
        <v>2702</v>
      </c>
      <c r="AJ655" s="299" t="s">
        <v>2703</v>
      </c>
      <c r="AK655" s="298" t="s">
        <v>50</v>
      </c>
      <c r="AL655" s="298" t="s">
        <v>285</v>
      </c>
      <c r="AM655" s="298" t="s">
        <v>286</v>
      </c>
      <c r="AN655" s="298" t="s">
        <v>52</v>
      </c>
      <c r="AO655" s="298" t="s">
        <v>1133</v>
      </c>
    </row>
    <row r="656" ht="42.75" customHeight="1">
      <c r="A656" s="69">
        <v>43696.0</v>
      </c>
      <c r="B656" s="70" t="s">
        <v>1000</v>
      </c>
      <c r="C656" s="21" t="s">
        <v>1530</v>
      </c>
      <c r="D656" s="21" t="s">
        <v>1531</v>
      </c>
      <c r="E656" s="23" t="s">
        <v>1532</v>
      </c>
      <c r="F656" s="24">
        <v>3.0</v>
      </c>
      <c r="G656" s="25">
        <v>175.0</v>
      </c>
      <c r="H656" s="60">
        <f t="shared" si="86"/>
        <v>525</v>
      </c>
      <c r="I656" s="61" t="s">
        <v>105</v>
      </c>
      <c r="J656" s="63" t="s">
        <v>1296</v>
      </c>
      <c r="K656" s="29">
        <v>43703.0</v>
      </c>
      <c r="L656" s="30">
        <v>43703.0</v>
      </c>
      <c r="M656" s="50" t="s">
        <v>90</v>
      </c>
      <c r="N656" s="93" t="s">
        <v>3063</v>
      </c>
      <c r="O656" s="408"/>
      <c r="P656" s="408">
        <v>147.0</v>
      </c>
      <c r="Q656" s="408">
        <f t="shared" ref="Q656:Q661" si="88">(P656*F656)*1.05</f>
        <v>463.05</v>
      </c>
      <c r="R656" s="408"/>
      <c r="S656" s="408">
        <v>14500.0</v>
      </c>
      <c r="T656" s="35" t="s">
        <v>94</v>
      </c>
      <c r="U656" s="462">
        <v>43738.0</v>
      </c>
      <c r="V656" s="462">
        <v>43700.0</v>
      </c>
      <c r="W656" s="306" t="s">
        <v>1533</v>
      </c>
      <c r="X656" s="306">
        <v>29987.0</v>
      </c>
      <c r="Y656" s="462">
        <v>43739.0</v>
      </c>
      <c r="Z656" s="306" t="s">
        <v>3049</v>
      </c>
      <c r="AA656" s="408">
        <v>1.33077416E8</v>
      </c>
      <c r="AB656" s="306">
        <v>31.315</v>
      </c>
      <c r="AC656" s="306"/>
      <c r="AD656" s="306"/>
      <c r="AE656" s="298"/>
      <c r="AF656" s="298"/>
      <c r="AG656" s="299"/>
      <c r="AH656" s="300">
        <v>43734.0</v>
      </c>
      <c r="AI656" s="299" t="s">
        <v>3064</v>
      </c>
      <c r="AJ656" s="299">
        <v>0.0</v>
      </c>
      <c r="AK656" s="298" t="s">
        <v>50</v>
      </c>
      <c r="AL656" s="298" t="s">
        <v>285</v>
      </c>
      <c r="AM656" s="298" t="s">
        <v>51</v>
      </c>
      <c r="AN656" s="298" t="s">
        <v>52</v>
      </c>
      <c r="AO656" s="298" t="s">
        <v>507</v>
      </c>
    </row>
    <row r="657" ht="42.75" customHeight="1">
      <c r="A657" s="69">
        <v>43696.0</v>
      </c>
      <c r="B657" s="70" t="s">
        <v>1000</v>
      </c>
      <c r="C657" s="21" t="s">
        <v>1530</v>
      </c>
      <c r="D657" s="21" t="s">
        <v>1531</v>
      </c>
      <c r="E657" s="529" t="s">
        <v>1534</v>
      </c>
      <c r="F657" s="24">
        <v>3.0</v>
      </c>
      <c r="G657" s="48">
        <v>175.0</v>
      </c>
      <c r="H657" s="60">
        <f t="shared" si="86"/>
        <v>525</v>
      </c>
      <c r="I657" s="61" t="s">
        <v>105</v>
      </c>
      <c r="J657" s="63" t="s">
        <v>1296</v>
      </c>
      <c r="K657" s="29">
        <v>43703.0</v>
      </c>
      <c r="L657" s="30">
        <v>43703.0</v>
      </c>
      <c r="M657" s="50" t="s">
        <v>90</v>
      </c>
      <c r="N657" s="93" t="s">
        <v>3063</v>
      </c>
      <c r="O657" s="408"/>
      <c r="P657" s="408">
        <v>147.0</v>
      </c>
      <c r="Q657" s="408">
        <f t="shared" si="88"/>
        <v>463.05</v>
      </c>
      <c r="R657" s="408"/>
      <c r="S657" s="408">
        <v>14500.0</v>
      </c>
      <c r="T657" s="51" t="s">
        <v>94</v>
      </c>
      <c r="U657" s="462">
        <v>43738.0</v>
      </c>
      <c r="V657" s="462">
        <v>43700.0</v>
      </c>
      <c r="W657" s="306" t="s">
        <v>1533</v>
      </c>
      <c r="X657" s="306" t="s">
        <v>3065</v>
      </c>
      <c r="Y657" s="462">
        <v>43739.0</v>
      </c>
      <c r="Z657" s="352" t="s">
        <v>3049</v>
      </c>
      <c r="AA657" s="408">
        <v>1.33077416E8</v>
      </c>
      <c r="AB657" s="306">
        <v>31.315</v>
      </c>
      <c r="AC657" s="306"/>
      <c r="AD657" s="306"/>
      <c r="AE657" s="298"/>
      <c r="AF657" s="298"/>
      <c r="AG657" s="299"/>
      <c r="AH657" s="300">
        <v>43734.0</v>
      </c>
      <c r="AI657" s="299" t="s">
        <v>3064</v>
      </c>
      <c r="AJ657" s="299">
        <v>0.0</v>
      </c>
      <c r="AK657" s="298" t="s">
        <v>50</v>
      </c>
      <c r="AL657" s="298" t="s">
        <v>285</v>
      </c>
      <c r="AM657" s="298" t="s">
        <v>51</v>
      </c>
      <c r="AN657" s="298" t="s">
        <v>52</v>
      </c>
      <c r="AO657" s="298" t="s">
        <v>507</v>
      </c>
    </row>
    <row r="658" ht="42.75" customHeight="1">
      <c r="A658" s="69">
        <v>43696.0</v>
      </c>
      <c r="B658" s="70" t="s">
        <v>1000</v>
      </c>
      <c r="C658" s="21" t="s">
        <v>1530</v>
      </c>
      <c r="D658" s="21" t="s">
        <v>1531</v>
      </c>
      <c r="E658" s="23" t="s">
        <v>1535</v>
      </c>
      <c r="F658" s="24">
        <v>6.0</v>
      </c>
      <c r="G658" s="48">
        <v>7.0</v>
      </c>
      <c r="H658" s="60">
        <f t="shared" si="86"/>
        <v>42</v>
      </c>
      <c r="I658" s="61" t="s">
        <v>105</v>
      </c>
      <c r="J658" s="63" t="s">
        <v>1296</v>
      </c>
      <c r="K658" s="29">
        <v>43703.0</v>
      </c>
      <c r="L658" s="30">
        <v>43703.0</v>
      </c>
      <c r="M658" s="50" t="s">
        <v>90</v>
      </c>
      <c r="N658" s="93" t="s">
        <v>3063</v>
      </c>
      <c r="O658" s="408"/>
      <c r="P658" s="408">
        <v>5.0</v>
      </c>
      <c r="Q658" s="408">
        <f t="shared" si="88"/>
        <v>31.5</v>
      </c>
      <c r="R658" s="408"/>
      <c r="S658" s="408">
        <v>987.0</v>
      </c>
      <c r="T658" s="51" t="s">
        <v>94</v>
      </c>
      <c r="U658" s="462">
        <v>43738.0</v>
      </c>
      <c r="V658" s="462">
        <v>43700.0</v>
      </c>
      <c r="W658" s="306" t="s">
        <v>1533</v>
      </c>
      <c r="X658" s="306" t="s">
        <v>3065</v>
      </c>
      <c r="Y658" s="462">
        <v>43739.0</v>
      </c>
      <c r="Z658" s="670" t="s">
        <v>3049</v>
      </c>
      <c r="AA658" s="306">
        <v>1.33077416E8</v>
      </c>
      <c r="AB658" s="306">
        <v>31.315</v>
      </c>
      <c r="AC658" s="306"/>
      <c r="AD658" s="306"/>
      <c r="AE658" s="298"/>
      <c r="AF658" s="298"/>
      <c r="AG658" s="299"/>
      <c r="AH658" s="300">
        <v>43734.0</v>
      </c>
      <c r="AI658" s="299" t="s">
        <v>3064</v>
      </c>
      <c r="AJ658" s="299">
        <v>0.0</v>
      </c>
      <c r="AK658" s="298" t="s">
        <v>50</v>
      </c>
      <c r="AL658" s="298" t="s">
        <v>285</v>
      </c>
      <c r="AM658" s="298" t="s">
        <v>51</v>
      </c>
      <c r="AN658" s="298" t="s">
        <v>52</v>
      </c>
      <c r="AO658" s="298" t="s">
        <v>507</v>
      </c>
    </row>
    <row r="659" ht="15.75" customHeight="1">
      <c r="A659" s="69">
        <v>43696.0</v>
      </c>
      <c r="B659" s="70" t="s">
        <v>1000</v>
      </c>
      <c r="C659" s="21" t="s">
        <v>1530</v>
      </c>
      <c r="D659" s="71" t="s">
        <v>1531</v>
      </c>
      <c r="E659" s="32" t="s">
        <v>1249</v>
      </c>
      <c r="F659" s="24">
        <v>12.0</v>
      </c>
      <c r="G659" s="48">
        <v>111.0</v>
      </c>
      <c r="H659" s="60">
        <f t="shared" si="86"/>
        <v>1332</v>
      </c>
      <c r="I659" s="61" t="s">
        <v>105</v>
      </c>
      <c r="J659" s="63" t="s">
        <v>1296</v>
      </c>
      <c r="K659" s="29">
        <v>43725.0</v>
      </c>
      <c r="L659" s="30">
        <v>43724.0</v>
      </c>
      <c r="M659" s="50" t="s">
        <v>90</v>
      </c>
      <c r="N659" s="93" t="s">
        <v>3063</v>
      </c>
      <c r="O659" s="408"/>
      <c r="P659" s="408">
        <v>93.0</v>
      </c>
      <c r="Q659" s="408">
        <f t="shared" si="88"/>
        <v>1171.8</v>
      </c>
      <c r="R659" s="408"/>
      <c r="S659" s="408">
        <v>36584.0</v>
      </c>
      <c r="T659" s="51" t="s">
        <v>94</v>
      </c>
      <c r="U659" s="305">
        <v>43769.0</v>
      </c>
      <c r="V659" s="462">
        <v>43720.0</v>
      </c>
      <c r="W659" s="306" t="s">
        <v>1536</v>
      </c>
      <c r="X659" s="306">
        <v>36584.0</v>
      </c>
      <c r="Y659" s="306"/>
      <c r="Z659" s="306" t="s">
        <v>3066</v>
      </c>
      <c r="AA659" s="408">
        <v>1.41452192E8</v>
      </c>
      <c r="AB659" s="306">
        <v>31.22</v>
      </c>
      <c r="AC659" s="306"/>
      <c r="AD659" s="306"/>
      <c r="AE659" s="298"/>
      <c r="AF659" s="298"/>
      <c r="AG659" s="299"/>
      <c r="AH659" s="29">
        <v>43755.0</v>
      </c>
      <c r="AI659" s="299">
        <f>1332*30.57</f>
        <v>40719.24</v>
      </c>
      <c r="AJ659" s="299">
        <v>0.0</v>
      </c>
      <c r="AK659" s="298" t="s">
        <v>50</v>
      </c>
      <c r="AL659" s="298" t="s">
        <v>285</v>
      </c>
      <c r="AM659" s="298" t="s">
        <v>51</v>
      </c>
      <c r="AN659" s="298" t="s">
        <v>52</v>
      </c>
      <c r="AO659" s="298" t="s">
        <v>1133</v>
      </c>
    </row>
    <row r="660" ht="42.75" customHeight="1">
      <c r="A660" s="110">
        <v>43697.0</v>
      </c>
      <c r="B660" s="70" t="s">
        <v>1537</v>
      </c>
      <c r="C660" s="21" t="s">
        <v>1538</v>
      </c>
      <c r="D660" s="21" t="s">
        <v>1539</v>
      </c>
      <c r="E660" s="32" t="s">
        <v>1088</v>
      </c>
      <c r="F660" s="24">
        <v>2.0</v>
      </c>
      <c r="G660" s="48">
        <v>155.4</v>
      </c>
      <c r="H660" s="470">
        <f t="shared" si="86"/>
        <v>310.8</v>
      </c>
      <c r="I660" s="61" t="s">
        <v>248</v>
      </c>
      <c r="J660" s="161" t="s">
        <v>1164</v>
      </c>
      <c r="K660" s="29">
        <v>43699.0</v>
      </c>
      <c r="L660" s="304"/>
      <c r="M660" s="50" t="s">
        <v>179</v>
      </c>
      <c r="N660" s="93"/>
      <c r="O660" s="408"/>
      <c r="P660" s="408"/>
      <c r="Q660" s="408">
        <f t="shared" si="88"/>
        <v>0</v>
      </c>
      <c r="R660" s="408">
        <v>3901.02</v>
      </c>
      <c r="S660" s="408">
        <f>(R660*F660)*1.05</f>
        <v>8192.142</v>
      </c>
      <c r="T660" s="503"/>
      <c r="U660" s="306"/>
      <c r="V660" s="306"/>
      <c r="W660" s="306"/>
      <c r="X660" s="306"/>
      <c r="Y660" s="306"/>
      <c r="Z660" s="306" t="s">
        <v>3067</v>
      </c>
      <c r="AA660" s="306" t="s">
        <v>3068</v>
      </c>
      <c r="AB660" s="306">
        <v>31.36</v>
      </c>
      <c r="AC660" s="306">
        <v>9747.0</v>
      </c>
      <c r="AD660" s="462">
        <v>43699.0</v>
      </c>
      <c r="AE660" s="298"/>
      <c r="AF660" s="298"/>
      <c r="AG660" s="299"/>
      <c r="AH660" s="300">
        <v>43739.0</v>
      </c>
      <c r="AI660" s="299" t="s">
        <v>3069</v>
      </c>
      <c r="AJ660" s="299" t="s">
        <v>3070</v>
      </c>
      <c r="AK660" s="298" t="s">
        <v>50</v>
      </c>
      <c r="AL660" s="298" t="s">
        <v>285</v>
      </c>
      <c r="AM660" s="298" t="s">
        <v>51</v>
      </c>
      <c r="AN660" s="298" t="s">
        <v>377</v>
      </c>
      <c r="AO660" s="298" t="s">
        <v>507</v>
      </c>
    </row>
    <row r="661" ht="49.5" customHeight="1">
      <c r="A661" s="69">
        <v>43697.0</v>
      </c>
      <c r="B661" s="70" t="s">
        <v>83</v>
      </c>
      <c r="C661" s="21" t="s">
        <v>1540</v>
      </c>
      <c r="D661" s="32" t="s">
        <v>3071</v>
      </c>
      <c r="E661" s="32" t="s">
        <v>100</v>
      </c>
      <c r="F661" s="24">
        <v>2.0</v>
      </c>
      <c r="G661" s="48">
        <v>1676.0</v>
      </c>
      <c r="H661" s="470">
        <f t="shared" si="86"/>
        <v>3352</v>
      </c>
      <c r="I661" s="61" t="s">
        <v>1542</v>
      </c>
      <c r="J661" s="58" t="s">
        <v>1543</v>
      </c>
      <c r="K661" s="30">
        <v>43811.0</v>
      </c>
      <c r="L661" s="30">
        <v>43805.0</v>
      </c>
      <c r="M661" s="50" t="s">
        <v>90</v>
      </c>
      <c r="N661" s="32" t="s">
        <v>3072</v>
      </c>
      <c r="O661" s="408"/>
      <c r="P661" s="408">
        <v>1481.0</v>
      </c>
      <c r="Q661" s="408">
        <f t="shared" si="88"/>
        <v>3110.1</v>
      </c>
      <c r="R661" s="408"/>
      <c r="S661" s="707">
        <f t="shared" ref="S661:S664" si="89">Q661*30.45</f>
        <v>94702.545</v>
      </c>
      <c r="T661" s="51" t="s">
        <v>94</v>
      </c>
      <c r="U661" s="306"/>
      <c r="V661" s="306"/>
      <c r="W661" s="306"/>
      <c r="X661" s="306"/>
      <c r="Y661" s="306"/>
      <c r="Z661" s="306" t="s">
        <v>3073</v>
      </c>
      <c r="AA661" s="306">
        <v>1.14343207E8</v>
      </c>
      <c r="AB661" s="306">
        <v>30.42</v>
      </c>
      <c r="AC661" s="306"/>
      <c r="AD661" s="298"/>
      <c r="AE661" s="298"/>
      <c r="AF661" s="299"/>
      <c r="AG661" s="300">
        <v>43735.0</v>
      </c>
      <c r="AH661" s="299">
        <f>3915.54*30.98</f>
        <v>121303.4292</v>
      </c>
      <c r="AI661" s="299">
        <f>(3922-3915.54+40)*30.98</f>
        <v>1439.3308</v>
      </c>
      <c r="AJ661" s="298" t="s">
        <v>50</v>
      </c>
      <c r="AK661" s="298" t="s">
        <v>50</v>
      </c>
      <c r="AL661" s="82" t="s">
        <v>285</v>
      </c>
      <c r="AM661" s="298" t="s">
        <v>51</v>
      </c>
      <c r="AN661" s="298" t="s">
        <v>52</v>
      </c>
      <c r="AO661" s="298" t="s">
        <v>1371</v>
      </c>
    </row>
    <row r="662" ht="42.75" customHeight="1">
      <c r="A662" s="69">
        <v>43697.0</v>
      </c>
      <c r="B662" s="70" t="s">
        <v>83</v>
      </c>
      <c r="C662" s="21" t="s">
        <v>1540</v>
      </c>
      <c r="D662" s="21" t="s">
        <v>1544</v>
      </c>
      <c r="E662" s="23" t="s">
        <v>3074</v>
      </c>
      <c r="F662" s="24">
        <v>2.0</v>
      </c>
      <c r="G662" s="48">
        <v>90.0</v>
      </c>
      <c r="H662" s="60">
        <f t="shared" si="86"/>
        <v>180</v>
      </c>
      <c r="I662" s="61" t="s">
        <v>1542</v>
      </c>
      <c r="J662" s="58" t="s">
        <v>1543</v>
      </c>
      <c r="K662" s="30">
        <v>43811.0</v>
      </c>
      <c r="L662" s="30">
        <v>43805.0</v>
      </c>
      <c r="M662" s="50" t="s">
        <v>90</v>
      </c>
      <c r="N662" s="32" t="s">
        <v>3072</v>
      </c>
      <c r="O662" s="408"/>
      <c r="P662" s="306" t="s">
        <v>3075</v>
      </c>
      <c r="Q662" s="408"/>
      <c r="R662" s="408"/>
      <c r="S662" s="707">
        <f t="shared" si="89"/>
        <v>0</v>
      </c>
      <c r="T662" s="51" t="s">
        <v>94</v>
      </c>
      <c r="U662" s="306"/>
      <c r="V662" s="306"/>
      <c r="W662" s="306"/>
      <c r="X662" s="306"/>
      <c r="Y662" s="237"/>
      <c r="Z662" s="306" t="s">
        <v>3073</v>
      </c>
      <c r="AA662" s="306">
        <v>1.14343207E8</v>
      </c>
      <c r="AB662" s="306">
        <v>30.42</v>
      </c>
      <c r="AC662" s="306"/>
      <c r="AD662" s="298"/>
      <c r="AE662" s="298"/>
      <c r="AF662" s="299"/>
      <c r="AG662" s="300">
        <v>43735.0</v>
      </c>
      <c r="AH662" s="299" t="s">
        <v>3076</v>
      </c>
      <c r="AI662" s="299" t="s">
        <v>3077</v>
      </c>
      <c r="AJ662" s="298" t="s">
        <v>50</v>
      </c>
      <c r="AK662" s="298" t="s">
        <v>50</v>
      </c>
      <c r="AL662" s="82" t="s">
        <v>285</v>
      </c>
      <c r="AM662" s="298" t="s">
        <v>51</v>
      </c>
      <c r="AN662" s="298" t="s">
        <v>52</v>
      </c>
      <c r="AO662" s="298" t="s">
        <v>1371</v>
      </c>
    </row>
    <row r="663" ht="42.75" customHeight="1">
      <c r="A663" s="69">
        <v>43697.0</v>
      </c>
      <c r="B663" s="70" t="s">
        <v>83</v>
      </c>
      <c r="C663" s="21" t="s">
        <v>1540</v>
      </c>
      <c r="D663" s="21" t="s">
        <v>1544</v>
      </c>
      <c r="E663" s="32" t="s">
        <v>1546</v>
      </c>
      <c r="F663" s="24">
        <v>2.0</v>
      </c>
      <c r="G663" s="48">
        <v>15.0</v>
      </c>
      <c r="H663" s="60">
        <f t="shared" si="86"/>
        <v>30</v>
      </c>
      <c r="I663" s="61" t="s">
        <v>1542</v>
      </c>
      <c r="J663" s="58" t="s">
        <v>1543</v>
      </c>
      <c r="K663" s="30">
        <v>43811.0</v>
      </c>
      <c r="L663" s="30">
        <v>43805.0</v>
      </c>
      <c r="M663" s="50" t="s">
        <v>90</v>
      </c>
      <c r="N663" s="32" t="s">
        <v>3072</v>
      </c>
      <c r="O663" s="408"/>
      <c r="P663" s="408">
        <v>11.5</v>
      </c>
      <c r="Q663" s="408">
        <f t="shared" ref="Q663:Q673" si="90">(P663*F663)*1.05</f>
        <v>24.15</v>
      </c>
      <c r="R663" s="408"/>
      <c r="S663" s="707">
        <f t="shared" si="89"/>
        <v>735.3675</v>
      </c>
      <c r="T663" s="51" t="s">
        <v>94</v>
      </c>
      <c r="U663" s="306"/>
      <c r="V663" s="306"/>
      <c r="W663" s="306"/>
      <c r="X663" s="306"/>
      <c r="Y663" s="306"/>
      <c r="Z663" s="306" t="s">
        <v>3073</v>
      </c>
      <c r="AA663" s="306">
        <v>1.14343207E8</v>
      </c>
      <c r="AB663" s="306">
        <v>30.42</v>
      </c>
      <c r="AC663" s="306"/>
      <c r="AD663" s="298"/>
      <c r="AE663" s="298"/>
      <c r="AF663" s="299"/>
      <c r="AG663" s="300">
        <v>43735.0</v>
      </c>
      <c r="AH663" s="299" t="s">
        <v>3076</v>
      </c>
      <c r="AI663" s="299" t="s">
        <v>3077</v>
      </c>
      <c r="AJ663" s="298" t="s">
        <v>50</v>
      </c>
      <c r="AK663" s="298" t="s">
        <v>50</v>
      </c>
      <c r="AL663" s="82" t="s">
        <v>285</v>
      </c>
      <c r="AM663" s="298" t="s">
        <v>51</v>
      </c>
      <c r="AN663" s="298" t="s">
        <v>52</v>
      </c>
      <c r="AO663" s="298" t="s">
        <v>1371</v>
      </c>
    </row>
    <row r="664" ht="42.75" customHeight="1">
      <c r="A664" s="69">
        <v>43697.0</v>
      </c>
      <c r="B664" s="70" t="s">
        <v>83</v>
      </c>
      <c r="C664" s="21" t="s">
        <v>1540</v>
      </c>
      <c r="D664" s="21" t="s">
        <v>1544</v>
      </c>
      <c r="E664" s="32" t="s">
        <v>1547</v>
      </c>
      <c r="F664" s="24">
        <v>2.0</v>
      </c>
      <c r="G664" s="48">
        <v>200.0</v>
      </c>
      <c r="H664" s="60">
        <f t="shared" si="86"/>
        <v>400</v>
      </c>
      <c r="I664" s="61" t="s">
        <v>1542</v>
      </c>
      <c r="J664" s="58" t="s">
        <v>1548</v>
      </c>
      <c r="K664" s="30">
        <v>43811.0</v>
      </c>
      <c r="L664" s="30">
        <v>43805.0</v>
      </c>
      <c r="M664" s="50" t="s">
        <v>90</v>
      </c>
      <c r="N664" s="32" t="s">
        <v>3072</v>
      </c>
      <c r="O664" s="408"/>
      <c r="P664" s="408">
        <v>169.0</v>
      </c>
      <c r="Q664" s="408">
        <f t="shared" si="90"/>
        <v>354.9</v>
      </c>
      <c r="R664" s="408"/>
      <c r="S664" s="707">
        <f t="shared" si="89"/>
        <v>10806.705</v>
      </c>
      <c r="T664" s="51" t="s">
        <v>94</v>
      </c>
      <c r="U664" s="306"/>
      <c r="V664" s="306"/>
      <c r="W664" s="306"/>
      <c r="X664" s="306"/>
      <c r="Y664" s="306"/>
      <c r="Z664" s="306" t="s">
        <v>3073</v>
      </c>
      <c r="AA664" s="306">
        <v>1.14343207E8</v>
      </c>
      <c r="AB664" s="306">
        <v>30.42</v>
      </c>
      <c r="AC664" s="306"/>
      <c r="AD664" s="298"/>
      <c r="AE664" s="298"/>
      <c r="AF664" s="299"/>
      <c r="AG664" s="300">
        <v>43735.0</v>
      </c>
      <c r="AH664" s="299" t="s">
        <v>3076</v>
      </c>
      <c r="AI664" s="299" t="s">
        <v>3077</v>
      </c>
      <c r="AJ664" s="298" t="s">
        <v>50</v>
      </c>
      <c r="AK664" s="298" t="s">
        <v>50</v>
      </c>
      <c r="AL664" s="82" t="s">
        <v>285</v>
      </c>
      <c r="AM664" s="298" t="s">
        <v>51</v>
      </c>
      <c r="AN664" s="298" t="s">
        <v>52</v>
      </c>
      <c r="AO664" s="298" t="s">
        <v>1371</v>
      </c>
    </row>
    <row r="665" ht="42.75" customHeight="1">
      <c r="A665" s="69">
        <v>43698.0</v>
      </c>
      <c r="B665" s="23" t="s">
        <v>406</v>
      </c>
      <c r="C665" s="21">
        <v>7.000149574E9</v>
      </c>
      <c r="D665" s="21" t="s">
        <v>1549</v>
      </c>
      <c r="E665" s="32" t="s">
        <v>1550</v>
      </c>
      <c r="F665" s="24">
        <v>5.0</v>
      </c>
      <c r="G665" s="48">
        <v>83.0</v>
      </c>
      <c r="H665" s="60">
        <f t="shared" si="86"/>
        <v>415</v>
      </c>
      <c r="I665" s="61" t="s">
        <v>43</v>
      </c>
      <c r="J665" s="50" t="s">
        <v>513</v>
      </c>
      <c r="K665" s="30">
        <v>43706.0</v>
      </c>
      <c r="L665" s="30">
        <v>43703.0</v>
      </c>
      <c r="M665" s="58" t="s">
        <v>2078</v>
      </c>
      <c r="N665" s="93" t="s">
        <v>3078</v>
      </c>
      <c r="O665" s="408"/>
      <c r="P665" s="408"/>
      <c r="Q665" s="408">
        <f t="shared" si="90"/>
        <v>0</v>
      </c>
      <c r="R665" s="408">
        <v>2154.0</v>
      </c>
      <c r="S665" s="408">
        <v>11309.0</v>
      </c>
      <c r="T665" s="503" t="s">
        <v>2872</v>
      </c>
      <c r="U665" s="305">
        <v>43799.0</v>
      </c>
      <c r="V665" s="462">
        <v>43703.0</v>
      </c>
      <c r="W665" s="306" t="s">
        <v>1551</v>
      </c>
      <c r="X665" s="306">
        <v>18837.0</v>
      </c>
      <c r="Y665" s="306"/>
      <c r="Z665" s="306" t="s">
        <v>3079</v>
      </c>
      <c r="AA665" s="306">
        <v>5.41191126E9</v>
      </c>
      <c r="AB665" s="306">
        <v>31.315</v>
      </c>
      <c r="AC665" s="306"/>
      <c r="AD665" s="306"/>
      <c r="AE665" s="298"/>
      <c r="AF665" s="298"/>
      <c r="AG665" s="299"/>
      <c r="AH665" s="300">
        <v>43747.0</v>
      </c>
      <c r="AI665" s="299">
        <f>673.51*30.81</f>
        <v>20750.8431</v>
      </c>
      <c r="AJ665" s="299">
        <f>(700-673.51)*30.81</f>
        <v>816.1569</v>
      </c>
      <c r="AK665" s="298" t="s">
        <v>50</v>
      </c>
      <c r="AL665" s="298" t="s">
        <v>285</v>
      </c>
      <c r="AM665" s="298" t="s">
        <v>51</v>
      </c>
      <c r="AN665" s="298" t="s">
        <v>52</v>
      </c>
      <c r="AO665" s="298" t="s">
        <v>507</v>
      </c>
    </row>
    <row r="666" ht="42.75" customHeight="1">
      <c r="A666" s="69">
        <v>43698.0</v>
      </c>
      <c r="B666" s="23" t="s">
        <v>406</v>
      </c>
      <c r="C666" s="21">
        <v>7.000149574E9</v>
      </c>
      <c r="D666" s="21" t="s">
        <v>1549</v>
      </c>
      <c r="E666" s="32" t="s">
        <v>408</v>
      </c>
      <c r="F666" s="24">
        <v>5.0</v>
      </c>
      <c r="G666" s="48">
        <v>57.0</v>
      </c>
      <c r="H666" s="60">
        <f t="shared" si="86"/>
        <v>285</v>
      </c>
      <c r="I666" s="61" t="s">
        <v>43</v>
      </c>
      <c r="J666" s="50" t="s">
        <v>513</v>
      </c>
      <c r="K666" s="30">
        <v>43706.0</v>
      </c>
      <c r="L666" s="30">
        <v>43703.0</v>
      </c>
      <c r="M666" s="58" t="s">
        <v>2078</v>
      </c>
      <c r="N666" s="93" t="s">
        <v>3078</v>
      </c>
      <c r="O666" s="408"/>
      <c r="P666" s="408"/>
      <c r="Q666" s="408">
        <f t="shared" si="90"/>
        <v>0</v>
      </c>
      <c r="R666" s="408">
        <v>1434.0</v>
      </c>
      <c r="S666" s="408">
        <v>7528.0</v>
      </c>
      <c r="T666" s="503" t="s">
        <v>2872</v>
      </c>
      <c r="U666" s="305">
        <v>43799.0</v>
      </c>
      <c r="V666" s="462">
        <v>43703.0</v>
      </c>
      <c r="W666" s="306" t="s">
        <v>1551</v>
      </c>
      <c r="X666" s="306" t="s">
        <v>3080</v>
      </c>
      <c r="Y666" s="306"/>
      <c r="Z666" s="306" t="s">
        <v>3079</v>
      </c>
      <c r="AA666" s="306">
        <v>5.41191126E9</v>
      </c>
      <c r="AB666" s="306">
        <v>31.315</v>
      </c>
      <c r="AC666" s="306"/>
      <c r="AD666" s="306"/>
      <c r="AE666" s="298"/>
      <c r="AF666" s="298"/>
      <c r="AG666" s="299"/>
      <c r="AH666" s="300">
        <v>43747.0</v>
      </c>
      <c r="AI666" s="299" t="s">
        <v>3081</v>
      </c>
      <c r="AJ666" s="299" t="s">
        <v>3082</v>
      </c>
      <c r="AK666" s="298" t="s">
        <v>50</v>
      </c>
      <c r="AL666" s="298" t="s">
        <v>285</v>
      </c>
      <c r="AM666" s="298" t="s">
        <v>51</v>
      </c>
      <c r="AN666" s="298" t="s">
        <v>52</v>
      </c>
      <c r="AO666" s="298" t="s">
        <v>507</v>
      </c>
    </row>
    <row r="667" ht="42.75" customHeight="1">
      <c r="A667" s="19">
        <v>43698.0</v>
      </c>
      <c r="B667" s="51" t="s">
        <v>54</v>
      </c>
      <c r="C667" s="21" t="s">
        <v>1552</v>
      </c>
      <c r="D667" s="22" t="s">
        <v>1553</v>
      </c>
      <c r="E667" s="32" t="s">
        <v>386</v>
      </c>
      <c r="F667" s="24">
        <v>10.0</v>
      </c>
      <c r="G667" s="48">
        <v>150.15</v>
      </c>
      <c r="H667" s="26">
        <f t="shared" si="86"/>
        <v>1501.5</v>
      </c>
      <c r="I667" s="27" t="s">
        <v>43</v>
      </c>
      <c r="J667" s="161" t="s">
        <v>90</v>
      </c>
      <c r="K667" s="30">
        <v>43726.0</v>
      </c>
      <c r="L667" s="30">
        <v>43726.0</v>
      </c>
      <c r="M667" s="50" t="s">
        <v>90</v>
      </c>
      <c r="N667" s="93" t="s">
        <v>3083</v>
      </c>
      <c r="O667" s="408"/>
      <c r="P667" s="408">
        <v>128.0</v>
      </c>
      <c r="Q667" s="408">
        <f t="shared" si="90"/>
        <v>1344</v>
      </c>
      <c r="R667" s="408"/>
      <c r="S667" s="408">
        <v>41960.0</v>
      </c>
      <c r="T667" s="51" t="s">
        <v>94</v>
      </c>
      <c r="U667" s="305">
        <v>43769.0</v>
      </c>
      <c r="V667" s="462">
        <v>43725.0</v>
      </c>
      <c r="W667" s="306" t="s">
        <v>1554</v>
      </c>
      <c r="X667" s="306">
        <v>41960.0</v>
      </c>
      <c r="Y667" s="306"/>
      <c r="Z667" s="306" t="s">
        <v>3084</v>
      </c>
      <c r="AA667" s="306" t="s">
        <v>3085</v>
      </c>
      <c r="AB667" s="306">
        <v>31.035</v>
      </c>
      <c r="AC667" s="306">
        <v>46599.0</v>
      </c>
      <c r="AD667" s="462">
        <v>43726.0</v>
      </c>
      <c r="AE667" s="298"/>
      <c r="AF667" s="298"/>
      <c r="AG667" s="299"/>
      <c r="AH667" s="29">
        <v>43763.0</v>
      </c>
      <c r="AI667" s="299">
        <v>46584.0</v>
      </c>
      <c r="AJ667" s="299">
        <v>15.0</v>
      </c>
      <c r="AK667" s="298" t="s">
        <v>50</v>
      </c>
      <c r="AL667" s="298" t="s">
        <v>285</v>
      </c>
      <c r="AM667" s="298" t="s">
        <v>51</v>
      </c>
      <c r="AN667" s="298" t="s">
        <v>377</v>
      </c>
      <c r="AO667" s="298" t="s">
        <v>1133</v>
      </c>
    </row>
    <row r="668" ht="42.75" customHeight="1">
      <c r="A668" s="69">
        <v>43698.0</v>
      </c>
      <c r="B668" s="70" t="s">
        <v>223</v>
      </c>
      <c r="C668" s="21" t="s">
        <v>1555</v>
      </c>
      <c r="D668" s="22" t="s">
        <v>1556</v>
      </c>
      <c r="E668" s="32" t="s">
        <v>1505</v>
      </c>
      <c r="F668" s="24">
        <v>1.0</v>
      </c>
      <c r="G668" s="48">
        <v>7.35</v>
      </c>
      <c r="H668" s="60">
        <f t="shared" si="86"/>
        <v>7.35</v>
      </c>
      <c r="I668" s="61" t="s">
        <v>144</v>
      </c>
      <c r="J668" s="63" t="s">
        <v>90</v>
      </c>
      <c r="K668" s="30">
        <v>43705.0</v>
      </c>
      <c r="L668" s="30">
        <v>43705.0</v>
      </c>
      <c r="M668" s="50" t="s">
        <v>90</v>
      </c>
      <c r="N668" s="93" t="s">
        <v>3086</v>
      </c>
      <c r="O668" s="408"/>
      <c r="P668" s="408">
        <v>5.0</v>
      </c>
      <c r="Q668" s="408">
        <f t="shared" si="90"/>
        <v>5.25</v>
      </c>
      <c r="R668" s="408"/>
      <c r="S668" s="408">
        <v>164.0</v>
      </c>
      <c r="T668" s="51" t="s">
        <v>94</v>
      </c>
      <c r="U668" s="305">
        <v>43769.0</v>
      </c>
      <c r="V668" s="462">
        <v>43704.0</v>
      </c>
      <c r="W668" s="306" t="s">
        <v>1557</v>
      </c>
      <c r="X668" s="306">
        <v>4373.0</v>
      </c>
      <c r="Y668" s="306"/>
      <c r="Z668" s="306" t="s">
        <v>3087</v>
      </c>
      <c r="AA668" s="306" t="s">
        <v>3088</v>
      </c>
      <c r="AB668" s="306">
        <v>31.4</v>
      </c>
      <c r="AC668" s="306">
        <v>4880.0</v>
      </c>
      <c r="AD668" s="462">
        <v>43705.0</v>
      </c>
      <c r="AE668" s="298"/>
      <c r="AF668" s="298"/>
      <c r="AG668" s="299"/>
      <c r="AH668" s="300">
        <v>43743.0</v>
      </c>
      <c r="AI668" s="299">
        <v>59340.0</v>
      </c>
      <c r="AJ668" s="299">
        <v>15.0</v>
      </c>
      <c r="AK668" s="298" t="s">
        <v>50</v>
      </c>
      <c r="AL668" s="298" t="s">
        <v>285</v>
      </c>
      <c r="AM668" s="298" t="s">
        <v>51</v>
      </c>
      <c r="AN668" s="298" t="s">
        <v>377</v>
      </c>
      <c r="AO668" s="298" t="s">
        <v>507</v>
      </c>
    </row>
    <row r="669" ht="42.75" customHeight="1">
      <c r="A669" s="69">
        <v>43698.0</v>
      </c>
      <c r="B669" s="70" t="s">
        <v>223</v>
      </c>
      <c r="C669" s="21" t="s">
        <v>1555</v>
      </c>
      <c r="D669" s="22" t="s">
        <v>1556</v>
      </c>
      <c r="E669" s="32" t="s">
        <v>1427</v>
      </c>
      <c r="F669" s="24">
        <v>1.0</v>
      </c>
      <c r="G669" s="48">
        <v>148.05</v>
      </c>
      <c r="H669" s="60">
        <f t="shared" si="86"/>
        <v>148.05</v>
      </c>
      <c r="I669" s="61" t="s">
        <v>144</v>
      </c>
      <c r="J669" s="63" t="s">
        <v>90</v>
      </c>
      <c r="K669" s="30">
        <v>43705.0</v>
      </c>
      <c r="L669" s="30">
        <v>43705.0</v>
      </c>
      <c r="M669" s="50" t="s">
        <v>90</v>
      </c>
      <c r="N669" s="93" t="s">
        <v>3086</v>
      </c>
      <c r="O669" s="408"/>
      <c r="P669" s="408">
        <v>128.0</v>
      </c>
      <c r="Q669" s="408">
        <f t="shared" si="90"/>
        <v>134.4</v>
      </c>
      <c r="R669" s="408"/>
      <c r="S669" s="408">
        <v>4209.0</v>
      </c>
      <c r="T669" s="51" t="s">
        <v>94</v>
      </c>
      <c r="U669" s="305">
        <v>43769.0</v>
      </c>
      <c r="V669" s="462">
        <v>43704.0</v>
      </c>
      <c r="W669" s="306" t="s">
        <v>1557</v>
      </c>
      <c r="X669" s="306" t="s">
        <v>3080</v>
      </c>
      <c r="Y669" s="306"/>
      <c r="Z669" s="306" t="s">
        <v>3087</v>
      </c>
      <c r="AA669" s="306" t="s">
        <v>3088</v>
      </c>
      <c r="AB669" s="306">
        <v>31.4</v>
      </c>
      <c r="AC669" s="306" t="s">
        <v>3089</v>
      </c>
      <c r="AD669" s="462">
        <v>43705.0</v>
      </c>
      <c r="AE669" s="298"/>
      <c r="AF669" s="298"/>
      <c r="AG669" s="299"/>
      <c r="AH669" s="300">
        <v>43743.0</v>
      </c>
      <c r="AI669" s="299" t="s">
        <v>3090</v>
      </c>
      <c r="AJ669" s="299" t="s">
        <v>3091</v>
      </c>
      <c r="AK669" s="298" t="s">
        <v>50</v>
      </c>
      <c r="AL669" s="298" t="s">
        <v>285</v>
      </c>
      <c r="AM669" s="298" t="s">
        <v>51</v>
      </c>
      <c r="AN669" s="298" t="s">
        <v>377</v>
      </c>
      <c r="AO669" s="298" t="s">
        <v>507</v>
      </c>
    </row>
    <row r="670" ht="42.75" customHeight="1">
      <c r="A670" s="69">
        <v>43700.0</v>
      </c>
      <c r="B670" s="70" t="s">
        <v>601</v>
      </c>
      <c r="C670" s="21" t="s">
        <v>1558</v>
      </c>
      <c r="D670" s="21" t="s">
        <v>1559</v>
      </c>
      <c r="E670" s="23" t="s">
        <v>604</v>
      </c>
      <c r="F670" s="24">
        <v>5.0</v>
      </c>
      <c r="G670" s="48">
        <v>241.5</v>
      </c>
      <c r="H670" s="26">
        <f t="shared" si="86"/>
        <v>1207.5</v>
      </c>
      <c r="I670" s="27" t="s">
        <v>43</v>
      </c>
      <c r="J670" s="161" t="s">
        <v>1164</v>
      </c>
      <c r="K670" s="30">
        <v>43711.0</v>
      </c>
      <c r="L670" s="30">
        <v>43706.0</v>
      </c>
      <c r="M670" s="82" t="s">
        <v>621</v>
      </c>
      <c r="N670" s="32" t="s">
        <v>3092</v>
      </c>
      <c r="O670" s="22"/>
      <c r="P670" s="22">
        <v>210.0</v>
      </c>
      <c r="Q670" s="408">
        <f t="shared" si="90"/>
        <v>1102.5</v>
      </c>
      <c r="R670" s="587">
        <f t="shared" ref="R670:R671" si="91">P670*31.487</f>
        <v>6612.27</v>
      </c>
      <c r="S670" s="470">
        <v>34715.0</v>
      </c>
      <c r="T670" s="20" t="s">
        <v>3093</v>
      </c>
      <c r="U670" s="461">
        <v>43743.0</v>
      </c>
      <c r="V670" s="531">
        <v>43705.0</v>
      </c>
      <c r="W670" s="352" t="s">
        <v>1560</v>
      </c>
      <c r="X670" s="473">
        <v>40864.0</v>
      </c>
      <c r="Y670" s="461">
        <v>43743.0</v>
      </c>
      <c r="Z670" s="352" t="s">
        <v>3094</v>
      </c>
      <c r="AA670" s="352" t="s">
        <v>3095</v>
      </c>
      <c r="AB670" s="352">
        <v>31.39</v>
      </c>
      <c r="AC670" s="352">
        <v>44825.0</v>
      </c>
      <c r="AD670" s="351">
        <v>43711.0</v>
      </c>
      <c r="AE670" s="82"/>
      <c r="AF670" s="82"/>
      <c r="AG670" s="432"/>
      <c r="AH670" s="145">
        <v>43769.0</v>
      </c>
      <c r="AI670" s="432">
        <v>49350.0</v>
      </c>
      <c r="AJ670" s="432">
        <v>28.0</v>
      </c>
      <c r="AK670" s="82" t="s">
        <v>50</v>
      </c>
      <c r="AL670" s="298" t="s">
        <v>285</v>
      </c>
      <c r="AM670" s="298" t="s">
        <v>51</v>
      </c>
      <c r="AN670" s="298" t="s">
        <v>377</v>
      </c>
      <c r="AO670" s="298" t="s">
        <v>1133</v>
      </c>
    </row>
    <row r="671" ht="42.75" customHeight="1">
      <c r="A671" s="69">
        <v>43700.0</v>
      </c>
      <c r="B671" s="70" t="s">
        <v>601</v>
      </c>
      <c r="C671" s="21" t="s">
        <v>1558</v>
      </c>
      <c r="D671" s="21" t="s">
        <v>1559</v>
      </c>
      <c r="E671" s="32" t="s">
        <v>607</v>
      </c>
      <c r="F671" s="24">
        <v>3.0</v>
      </c>
      <c r="G671" s="48">
        <v>73.5</v>
      </c>
      <c r="H671" s="26">
        <f t="shared" si="86"/>
        <v>220.5</v>
      </c>
      <c r="I671" s="27" t="s">
        <v>43</v>
      </c>
      <c r="J671" s="161" t="s">
        <v>1164</v>
      </c>
      <c r="K671" s="30">
        <v>43711.0</v>
      </c>
      <c r="L671" s="30">
        <v>43706.0</v>
      </c>
      <c r="M671" s="82" t="s">
        <v>621</v>
      </c>
      <c r="N671" s="32" t="s">
        <v>3092</v>
      </c>
      <c r="O671" s="22"/>
      <c r="P671" s="22">
        <v>62.0</v>
      </c>
      <c r="Q671" s="408">
        <f t="shared" si="90"/>
        <v>195.3</v>
      </c>
      <c r="R671" s="587">
        <f t="shared" si="91"/>
        <v>1952.194</v>
      </c>
      <c r="S671" s="470">
        <v>6149.0</v>
      </c>
      <c r="T671" s="20" t="s">
        <v>3093</v>
      </c>
      <c r="U671" s="351">
        <v>43743.0</v>
      </c>
      <c r="V671" s="531">
        <v>43705.0</v>
      </c>
      <c r="W671" s="352" t="s">
        <v>1560</v>
      </c>
      <c r="X671" s="352" t="s">
        <v>3096</v>
      </c>
      <c r="Y671" s="461">
        <v>43743.0</v>
      </c>
      <c r="Z671" s="352" t="s">
        <v>3094</v>
      </c>
      <c r="AA671" s="352" t="s">
        <v>3095</v>
      </c>
      <c r="AB671" s="352">
        <v>31.39</v>
      </c>
      <c r="AC671" s="352" t="s">
        <v>3097</v>
      </c>
      <c r="AD671" s="351">
        <v>43711.0</v>
      </c>
      <c r="AE671" s="82"/>
      <c r="AF671" s="82"/>
      <c r="AG671" s="432"/>
      <c r="AH671" s="145">
        <v>43769.0</v>
      </c>
      <c r="AI671" s="432" t="s">
        <v>3098</v>
      </c>
      <c r="AJ671" s="432" t="s">
        <v>3099</v>
      </c>
      <c r="AK671" s="82" t="s">
        <v>50</v>
      </c>
      <c r="AL671" s="298" t="s">
        <v>285</v>
      </c>
      <c r="AM671" s="298" t="s">
        <v>51</v>
      </c>
      <c r="AN671" s="298" t="s">
        <v>377</v>
      </c>
      <c r="AO671" s="298" t="s">
        <v>1133</v>
      </c>
    </row>
    <row r="672" ht="42.75" customHeight="1">
      <c r="A672" s="69">
        <v>43700.0</v>
      </c>
      <c r="B672" s="70" t="s">
        <v>601</v>
      </c>
      <c r="C672" s="21" t="s">
        <v>1558</v>
      </c>
      <c r="D672" s="21" t="s">
        <v>1559</v>
      </c>
      <c r="E672" s="32" t="s">
        <v>607</v>
      </c>
      <c r="F672" s="24">
        <v>2.0</v>
      </c>
      <c r="G672" s="48">
        <v>73.5</v>
      </c>
      <c r="H672" s="26">
        <f t="shared" si="86"/>
        <v>147</v>
      </c>
      <c r="I672" s="27" t="s">
        <v>43</v>
      </c>
      <c r="J672" s="161" t="s">
        <v>1164</v>
      </c>
      <c r="K672" s="30">
        <v>43727.0</v>
      </c>
      <c r="L672" s="30">
        <v>43719.0</v>
      </c>
      <c r="M672" s="82" t="s">
        <v>621</v>
      </c>
      <c r="N672" s="94" t="s">
        <v>3092</v>
      </c>
      <c r="O672" s="708"/>
      <c r="P672" s="22">
        <v>62.0</v>
      </c>
      <c r="Q672" s="408">
        <f t="shared" si="90"/>
        <v>130.2</v>
      </c>
      <c r="R672" s="408">
        <v>1940.6</v>
      </c>
      <c r="S672" s="627">
        <v>4075.0</v>
      </c>
      <c r="T672" s="22" t="s">
        <v>3093</v>
      </c>
      <c r="U672" s="462">
        <v>43743.0</v>
      </c>
      <c r="V672" s="462">
        <v>43719.0</v>
      </c>
      <c r="W672" s="306" t="s">
        <v>1561</v>
      </c>
      <c r="X672" s="306">
        <v>4075.0</v>
      </c>
      <c r="Y672" s="461">
        <v>43743.0</v>
      </c>
      <c r="Z672" s="306" t="s">
        <v>3100</v>
      </c>
      <c r="AA672" s="306" t="s">
        <v>3101</v>
      </c>
      <c r="AB672" s="306">
        <v>30.975</v>
      </c>
      <c r="AC672" s="306">
        <v>4553.0</v>
      </c>
      <c r="AD672" s="462">
        <v>43727.0</v>
      </c>
      <c r="AE672" s="298"/>
      <c r="AF672" s="298"/>
      <c r="AG672" s="299"/>
      <c r="AH672" s="29">
        <v>43769.0</v>
      </c>
      <c r="AI672" s="432" t="s">
        <v>3098</v>
      </c>
      <c r="AJ672" s="432" t="s">
        <v>3099</v>
      </c>
      <c r="AK672" s="82" t="s">
        <v>50</v>
      </c>
      <c r="AL672" s="298" t="s">
        <v>285</v>
      </c>
      <c r="AM672" s="298" t="s">
        <v>51</v>
      </c>
      <c r="AN672" s="298" t="s">
        <v>377</v>
      </c>
      <c r="AO672" s="298" t="s">
        <v>1133</v>
      </c>
    </row>
    <row r="673" ht="42.75" customHeight="1">
      <c r="A673" s="69">
        <v>43703.0</v>
      </c>
      <c r="B673" s="23" t="s">
        <v>406</v>
      </c>
      <c r="C673" s="21"/>
      <c r="D673" s="21" t="s">
        <v>1562</v>
      </c>
      <c r="E673" s="32" t="s">
        <v>1563</v>
      </c>
      <c r="F673" s="24">
        <v>25.0</v>
      </c>
      <c r="G673" s="48">
        <v>0.0</v>
      </c>
      <c r="H673" s="216">
        <v>0.0</v>
      </c>
      <c r="I673" s="61" t="s">
        <v>43</v>
      </c>
      <c r="J673" s="63" t="s">
        <v>1324</v>
      </c>
      <c r="K673" s="29">
        <v>43703.0</v>
      </c>
      <c r="L673" s="30">
        <v>43703.0</v>
      </c>
      <c r="M673" s="50" t="s">
        <v>179</v>
      </c>
      <c r="N673" s="93"/>
      <c r="O673" s="408"/>
      <c r="P673" s="408"/>
      <c r="Q673" s="408">
        <f t="shared" si="90"/>
        <v>0</v>
      </c>
      <c r="R673" s="408"/>
      <c r="S673" s="645">
        <v>2258.0</v>
      </c>
      <c r="T673" s="503"/>
      <c r="U673" s="306"/>
      <c r="V673" s="306"/>
      <c r="W673" s="306"/>
      <c r="X673" s="306"/>
      <c r="Y673" s="306"/>
      <c r="Z673" s="306" t="s">
        <v>3102</v>
      </c>
      <c r="AA673" s="306">
        <v>1.33142684E8</v>
      </c>
      <c r="AB673" s="306"/>
      <c r="AC673" s="306"/>
      <c r="AD673" s="306"/>
      <c r="AE673" s="298"/>
      <c r="AF673" s="298"/>
      <c r="AG673" s="299"/>
      <c r="AH673" s="300">
        <v>43703.0</v>
      </c>
      <c r="AI673" s="299" t="s">
        <v>1227</v>
      </c>
      <c r="AJ673" s="299" t="s">
        <v>3103</v>
      </c>
      <c r="AK673" s="298" t="s">
        <v>50</v>
      </c>
      <c r="AL673" s="298" t="s">
        <v>285</v>
      </c>
      <c r="AM673" s="298" t="s">
        <v>51</v>
      </c>
      <c r="AN673" s="298" t="s">
        <v>52</v>
      </c>
      <c r="AO673" s="298" t="s">
        <v>507</v>
      </c>
    </row>
    <row r="674" ht="42.75" customHeight="1">
      <c r="A674" s="69">
        <v>43703.0</v>
      </c>
      <c r="B674" s="23" t="s">
        <v>406</v>
      </c>
      <c r="C674" s="21"/>
      <c r="D674" s="21" t="s">
        <v>1562</v>
      </c>
      <c r="E674" s="32" t="s">
        <v>1564</v>
      </c>
      <c r="F674" s="24">
        <v>1.0</v>
      </c>
      <c r="G674" s="436">
        <v>0.0</v>
      </c>
      <c r="H674" s="60">
        <v>0.0</v>
      </c>
      <c r="I674" s="61" t="s">
        <v>43</v>
      </c>
      <c r="J674" s="532" t="s">
        <v>1324</v>
      </c>
      <c r="K674" s="29">
        <v>43703.0</v>
      </c>
      <c r="L674" s="163"/>
      <c r="M674" s="82" t="s">
        <v>934</v>
      </c>
      <c r="N674" s="709"/>
      <c r="O674" s="34"/>
      <c r="P674" s="34"/>
      <c r="Q674" s="41"/>
      <c r="R674" s="41">
        <v>972.0</v>
      </c>
      <c r="S674" s="41">
        <v>1020.0</v>
      </c>
      <c r="T674" s="70"/>
      <c r="U674" s="533">
        <v>43769.0</v>
      </c>
      <c r="V674" s="472">
        <v>43732.0</v>
      </c>
      <c r="W674" s="53" t="s">
        <v>1565</v>
      </c>
      <c r="X674" s="53">
        <v>1893.0</v>
      </c>
      <c r="Y674" s="53"/>
      <c r="Z674" s="53"/>
      <c r="AA674" s="53"/>
      <c r="AB674" s="53"/>
      <c r="AC674" s="53"/>
      <c r="AD674" s="53"/>
      <c r="AE674" s="54"/>
      <c r="AF674" s="54"/>
      <c r="AG674" s="55"/>
      <c r="AH674" s="68" t="s">
        <v>1227</v>
      </c>
      <c r="AI674" s="55"/>
      <c r="AJ674" s="55"/>
      <c r="AK674" s="54" t="s">
        <v>50</v>
      </c>
      <c r="AL674" s="54" t="s">
        <v>285</v>
      </c>
      <c r="AM674" s="54" t="s">
        <v>51</v>
      </c>
      <c r="AN674" s="54" t="s">
        <v>52</v>
      </c>
      <c r="AO674" s="54" t="s">
        <v>507</v>
      </c>
    </row>
    <row r="675" ht="42.75" customHeight="1">
      <c r="A675" s="399">
        <v>43704.0</v>
      </c>
      <c r="B675" s="275" t="s">
        <v>378</v>
      </c>
      <c r="C675" s="183" t="s">
        <v>1566</v>
      </c>
      <c r="D675" s="183" t="s">
        <v>1231</v>
      </c>
      <c r="E675" s="185" t="s">
        <v>1567</v>
      </c>
      <c r="F675" s="186">
        <v>3.0</v>
      </c>
      <c r="G675" s="534">
        <v>62.0</v>
      </c>
      <c r="H675" s="188">
        <v>0.0</v>
      </c>
      <c r="I675" s="483" t="s">
        <v>144</v>
      </c>
      <c r="J675" s="383" t="s">
        <v>1122</v>
      </c>
      <c r="K675" s="192">
        <v>43781.0</v>
      </c>
      <c r="L675" s="382"/>
      <c r="M675" s="710" t="s">
        <v>2054</v>
      </c>
      <c r="N675" s="711" t="s">
        <v>3104</v>
      </c>
      <c r="O675" s="194"/>
      <c r="P675" s="194"/>
      <c r="Q675" s="480"/>
      <c r="R675" s="480"/>
      <c r="S675" s="480"/>
      <c r="T675" s="377" t="s">
        <v>2056</v>
      </c>
      <c r="U675" s="195"/>
      <c r="V675" s="199"/>
      <c r="W675" s="199"/>
      <c r="X675" s="199"/>
      <c r="Y675" s="199"/>
      <c r="Z675" s="199"/>
      <c r="AA675" s="199"/>
      <c r="AB675" s="199"/>
      <c r="AC675" s="199"/>
      <c r="AD675" s="199"/>
      <c r="AE675" s="200"/>
      <c r="AF675" s="200"/>
      <c r="AG675" s="201"/>
      <c r="AH675" s="298" t="s">
        <v>1227</v>
      </c>
      <c r="AI675" s="201"/>
      <c r="AJ675" s="201"/>
      <c r="AK675" s="298" t="s">
        <v>1227</v>
      </c>
      <c r="AL675" s="200" t="s">
        <v>296</v>
      </c>
      <c r="AM675" s="200" t="s">
        <v>286</v>
      </c>
      <c r="AN675" s="200" t="s">
        <v>52</v>
      </c>
      <c r="AO675" s="200"/>
    </row>
    <row r="676" ht="42.75" customHeight="1">
      <c r="A676" s="69">
        <v>43705.0</v>
      </c>
      <c r="B676" s="70" t="s">
        <v>130</v>
      </c>
      <c r="C676" s="408" t="s">
        <v>1568</v>
      </c>
      <c r="D676" s="21" t="s">
        <v>1569</v>
      </c>
      <c r="E676" s="32" t="s">
        <v>1570</v>
      </c>
      <c r="F676" s="24">
        <v>10.0</v>
      </c>
      <c r="G676" s="48">
        <v>85.0</v>
      </c>
      <c r="H676" s="60">
        <f t="shared" ref="H676:H694" si="92">G676*F676</f>
        <v>850</v>
      </c>
      <c r="I676" s="61" t="s">
        <v>144</v>
      </c>
      <c r="J676" s="63" t="s">
        <v>134</v>
      </c>
      <c r="K676" s="205">
        <v>43720.0</v>
      </c>
      <c r="L676" s="30">
        <v>43718.0</v>
      </c>
      <c r="M676" s="50" t="s">
        <v>90</v>
      </c>
      <c r="N676" s="93" t="s">
        <v>3105</v>
      </c>
      <c r="O676" s="408"/>
      <c r="P676" s="408">
        <v>78.0</v>
      </c>
      <c r="Q676" s="408">
        <f t="shared" ref="Q676:Q689" si="93">(P676*F676)*1.05</f>
        <v>819</v>
      </c>
      <c r="R676" s="408"/>
      <c r="S676" s="408">
        <v>25655.0</v>
      </c>
      <c r="T676" s="51" t="s">
        <v>94</v>
      </c>
      <c r="U676" s="305">
        <v>43769.0</v>
      </c>
      <c r="V676" s="462">
        <v>43717.0</v>
      </c>
      <c r="W676" s="306" t="s">
        <v>1571</v>
      </c>
      <c r="X676" s="306">
        <v>47725.0</v>
      </c>
      <c r="Y676" s="306"/>
      <c r="Z676" s="306" t="s">
        <v>3106</v>
      </c>
      <c r="AA676" s="306">
        <v>2.785850491E9</v>
      </c>
      <c r="AB676" s="306">
        <v>31.22</v>
      </c>
      <c r="AC676" s="306"/>
      <c r="AD676" s="306"/>
      <c r="AE676" s="298"/>
      <c r="AF676" s="298"/>
      <c r="AG676" s="299"/>
      <c r="AH676" s="300">
        <v>43746.0</v>
      </c>
      <c r="AI676" s="299">
        <f>1548.51*30.84</f>
        <v>47756.0484</v>
      </c>
      <c r="AJ676" s="299">
        <f>17.49*30.84</f>
        <v>539.3916</v>
      </c>
      <c r="AK676" s="298" t="s">
        <v>50</v>
      </c>
      <c r="AL676" s="298" t="s">
        <v>285</v>
      </c>
      <c r="AM676" s="298" t="s">
        <v>51</v>
      </c>
      <c r="AN676" s="298" t="s">
        <v>52</v>
      </c>
      <c r="AO676" s="298" t="s">
        <v>1133</v>
      </c>
    </row>
    <row r="677" ht="42.75" customHeight="1">
      <c r="A677" s="69">
        <v>43705.0</v>
      </c>
      <c r="B677" s="70" t="s">
        <v>130</v>
      </c>
      <c r="C677" s="408" t="s">
        <v>1568</v>
      </c>
      <c r="D677" s="21" t="s">
        <v>1569</v>
      </c>
      <c r="E677" s="32" t="s">
        <v>1572</v>
      </c>
      <c r="F677" s="24">
        <v>2.0</v>
      </c>
      <c r="G677" s="48">
        <v>104.0</v>
      </c>
      <c r="H677" s="60">
        <f t="shared" si="92"/>
        <v>208</v>
      </c>
      <c r="I677" s="61" t="s">
        <v>144</v>
      </c>
      <c r="J677" s="63" t="s">
        <v>134</v>
      </c>
      <c r="K677" s="30">
        <v>43720.0</v>
      </c>
      <c r="L677" s="30">
        <v>43718.0</v>
      </c>
      <c r="M677" s="50" t="s">
        <v>90</v>
      </c>
      <c r="N677" s="93" t="s">
        <v>3105</v>
      </c>
      <c r="O677" s="408"/>
      <c r="P677" s="408">
        <v>97.0</v>
      </c>
      <c r="Q677" s="408">
        <f t="shared" si="93"/>
        <v>203.7</v>
      </c>
      <c r="R677" s="408"/>
      <c r="S677" s="408">
        <v>6381.0</v>
      </c>
      <c r="T677" s="51" t="s">
        <v>94</v>
      </c>
      <c r="U677" s="305">
        <v>43769.0</v>
      </c>
      <c r="V677" s="462">
        <v>43717.0</v>
      </c>
      <c r="W677" s="306" t="s">
        <v>1571</v>
      </c>
      <c r="X677" s="306" t="s">
        <v>3107</v>
      </c>
      <c r="Y677" s="306"/>
      <c r="Z677" s="306" t="s">
        <v>3106</v>
      </c>
      <c r="AA677" s="306">
        <v>2.785850491E9</v>
      </c>
      <c r="AB677" s="306">
        <v>31.22</v>
      </c>
      <c r="AC677" s="306"/>
      <c r="AD677" s="306"/>
      <c r="AE677" s="298"/>
      <c r="AF677" s="298"/>
      <c r="AG677" s="299"/>
      <c r="AH677" s="300">
        <v>43746.0</v>
      </c>
      <c r="AI677" s="299" t="s">
        <v>3108</v>
      </c>
      <c r="AJ677" s="299" t="s">
        <v>3109</v>
      </c>
      <c r="AK677" s="298" t="s">
        <v>50</v>
      </c>
      <c r="AL677" s="298" t="s">
        <v>285</v>
      </c>
      <c r="AM677" s="298" t="s">
        <v>51</v>
      </c>
      <c r="AN677" s="298" t="s">
        <v>52</v>
      </c>
      <c r="AO677" s="298" t="s">
        <v>1133</v>
      </c>
    </row>
    <row r="678" ht="42.75" customHeight="1">
      <c r="A678" s="69">
        <v>43705.0</v>
      </c>
      <c r="B678" s="70" t="s">
        <v>130</v>
      </c>
      <c r="C678" s="408" t="s">
        <v>1568</v>
      </c>
      <c r="D678" s="21" t="s">
        <v>1569</v>
      </c>
      <c r="E678" s="32" t="s">
        <v>1573</v>
      </c>
      <c r="F678" s="24">
        <v>1.0</v>
      </c>
      <c r="G678" s="48">
        <v>58.0</v>
      </c>
      <c r="H678" s="468">
        <f t="shared" si="92"/>
        <v>58</v>
      </c>
      <c r="I678" s="61" t="s">
        <v>144</v>
      </c>
      <c r="J678" s="63" t="s">
        <v>134</v>
      </c>
      <c r="K678" s="30">
        <v>43720.0</v>
      </c>
      <c r="L678" s="30">
        <v>43718.0</v>
      </c>
      <c r="M678" s="50" t="s">
        <v>90</v>
      </c>
      <c r="N678" s="93" t="s">
        <v>3105</v>
      </c>
      <c r="O678" s="22"/>
      <c r="P678" s="22">
        <v>52.0</v>
      </c>
      <c r="Q678" s="408">
        <f t="shared" si="93"/>
        <v>54.6</v>
      </c>
      <c r="R678" s="408"/>
      <c r="S678" s="408">
        <v>1710.0</v>
      </c>
      <c r="T678" s="51" t="s">
        <v>94</v>
      </c>
      <c r="U678" s="305">
        <v>43769.0</v>
      </c>
      <c r="V678" s="462">
        <v>43717.0</v>
      </c>
      <c r="W678" s="306" t="s">
        <v>1571</v>
      </c>
      <c r="X678" s="306" t="s">
        <v>3107</v>
      </c>
      <c r="Y678" s="306"/>
      <c r="Z678" s="306" t="s">
        <v>3106</v>
      </c>
      <c r="AA678" s="306">
        <v>2.785850491E9</v>
      </c>
      <c r="AB678" s="306">
        <v>31.22</v>
      </c>
      <c r="AC678" s="306"/>
      <c r="AD678" s="306"/>
      <c r="AE678" s="298"/>
      <c r="AF678" s="298"/>
      <c r="AG678" s="299"/>
      <c r="AH678" s="300">
        <v>43746.0</v>
      </c>
      <c r="AI678" s="299" t="s">
        <v>3108</v>
      </c>
      <c r="AJ678" s="299" t="s">
        <v>3109</v>
      </c>
      <c r="AK678" s="298" t="s">
        <v>50</v>
      </c>
      <c r="AL678" s="298" t="s">
        <v>285</v>
      </c>
      <c r="AM678" s="298" t="s">
        <v>51</v>
      </c>
      <c r="AN678" s="298" t="s">
        <v>52</v>
      </c>
      <c r="AO678" s="298" t="s">
        <v>1133</v>
      </c>
    </row>
    <row r="679" ht="42.75" customHeight="1">
      <c r="A679" s="69">
        <v>43706.0</v>
      </c>
      <c r="B679" s="70" t="s">
        <v>130</v>
      </c>
      <c r="C679" s="408" t="s">
        <v>1568</v>
      </c>
      <c r="D679" s="21" t="s">
        <v>1569</v>
      </c>
      <c r="E679" s="32" t="s">
        <v>1574</v>
      </c>
      <c r="F679" s="24">
        <v>5.0</v>
      </c>
      <c r="G679" s="48">
        <v>90.0</v>
      </c>
      <c r="H679" s="60">
        <f t="shared" si="92"/>
        <v>450</v>
      </c>
      <c r="I679" s="61" t="s">
        <v>144</v>
      </c>
      <c r="J679" s="63" t="s">
        <v>134</v>
      </c>
      <c r="K679" s="30">
        <v>43720.0</v>
      </c>
      <c r="L679" s="30">
        <v>43718.0</v>
      </c>
      <c r="M679" s="50" t="s">
        <v>90</v>
      </c>
      <c r="N679" s="93" t="s">
        <v>3105</v>
      </c>
      <c r="O679" s="22"/>
      <c r="P679" s="22">
        <v>85.0</v>
      </c>
      <c r="Q679" s="408">
        <f t="shared" si="93"/>
        <v>446.25</v>
      </c>
      <c r="R679" s="408"/>
      <c r="S679" s="408">
        <v>13979.0</v>
      </c>
      <c r="T679" s="51" t="s">
        <v>94</v>
      </c>
      <c r="U679" s="305">
        <v>43769.0</v>
      </c>
      <c r="V679" s="462">
        <v>43717.0</v>
      </c>
      <c r="W679" s="306" t="s">
        <v>1571</v>
      </c>
      <c r="X679" s="306" t="s">
        <v>3107</v>
      </c>
      <c r="Y679" s="306"/>
      <c r="Z679" s="306" t="s">
        <v>3106</v>
      </c>
      <c r="AA679" s="237">
        <v>2.785850491E9</v>
      </c>
      <c r="AB679" s="306">
        <v>31.22</v>
      </c>
      <c r="AC679" s="306"/>
      <c r="AD679" s="306"/>
      <c r="AE679" s="298"/>
      <c r="AF679" s="298"/>
      <c r="AG679" s="299"/>
      <c r="AH679" s="300">
        <v>43746.0</v>
      </c>
      <c r="AI679" s="299" t="s">
        <v>3108</v>
      </c>
      <c r="AJ679" s="299" t="s">
        <v>3109</v>
      </c>
      <c r="AK679" s="298" t="s">
        <v>50</v>
      </c>
      <c r="AL679" s="298" t="s">
        <v>285</v>
      </c>
      <c r="AM679" s="298" t="s">
        <v>51</v>
      </c>
      <c r="AN679" s="298" t="s">
        <v>52</v>
      </c>
      <c r="AO679" s="298" t="s">
        <v>1133</v>
      </c>
    </row>
    <row r="680" ht="42.75" customHeight="1">
      <c r="A680" s="69">
        <v>43706.0</v>
      </c>
      <c r="B680" s="70" t="s">
        <v>906</v>
      </c>
      <c r="C680" s="21" t="s">
        <v>1454</v>
      </c>
      <c r="D680" s="21" t="s">
        <v>1575</v>
      </c>
      <c r="E680" s="522" t="s">
        <v>1458</v>
      </c>
      <c r="F680" s="24">
        <v>20.0</v>
      </c>
      <c r="G680" s="48">
        <v>5.8</v>
      </c>
      <c r="H680" s="60">
        <f t="shared" si="92"/>
        <v>116</v>
      </c>
      <c r="I680" s="61" t="s">
        <v>105</v>
      </c>
      <c r="J680" s="63" t="s">
        <v>1576</v>
      </c>
      <c r="K680" s="29">
        <v>43726.0</v>
      </c>
      <c r="L680" s="30">
        <v>43718.0</v>
      </c>
      <c r="M680" s="50" t="s">
        <v>90</v>
      </c>
      <c r="N680" s="32" t="s">
        <v>3110</v>
      </c>
      <c r="O680" s="408"/>
      <c r="P680" s="408">
        <v>5.0</v>
      </c>
      <c r="Q680" s="408">
        <f t="shared" si="93"/>
        <v>105</v>
      </c>
      <c r="R680" s="408"/>
      <c r="S680" s="408">
        <v>3289.0</v>
      </c>
      <c r="T680" s="51" t="s">
        <v>94</v>
      </c>
      <c r="U680" s="305">
        <v>43769.0</v>
      </c>
      <c r="V680" s="462">
        <v>43717.0</v>
      </c>
      <c r="W680" s="306" t="s">
        <v>1577</v>
      </c>
      <c r="X680" s="306">
        <v>62493.0</v>
      </c>
      <c r="Y680" s="306"/>
      <c r="Z680" s="306" t="s">
        <v>3111</v>
      </c>
      <c r="AA680" s="306">
        <v>1.4211532E8</v>
      </c>
      <c r="AB680" s="306">
        <v>31.22</v>
      </c>
      <c r="AC680" s="306"/>
      <c r="AD680" s="306"/>
      <c r="AE680" s="298"/>
      <c r="AF680" s="298"/>
      <c r="AG680" s="299"/>
      <c r="AH680" s="300">
        <v>43707.0</v>
      </c>
      <c r="AI680" s="299">
        <f>2218.61*31.32</f>
        <v>69486.8652</v>
      </c>
      <c r="AJ680" s="299">
        <f>(2236-2218.61)*31.32</f>
        <v>544.6548</v>
      </c>
      <c r="AK680" s="298" t="s">
        <v>50</v>
      </c>
      <c r="AL680" s="298" t="s">
        <v>285</v>
      </c>
      <c r="AM680" s="298" t="s">
        <v>51</v>
      </c>
      <c r="AN680" s="298" t="s">
        <v>52</v>
      </c>
      <c r="AO680" s="298" t="s">
        <v>1133</v>
      </c>
    </row>
    <row r="681" ht="42.75" customHeight="1">
      <c r="A681" s="69">
        <v>43706.0</v>
      </c>
      <c r="B681" s="70" t="s">
        <v>906</v>
      </c>
      <c r="C681" s="21" t="s">
        <v>1454</v>
      </c>
      <c r="D681" s="21" t="s">
        <v>1575</v>
      </c>
      <c r="E681" s="522" t="s">
        <v>1456</v>
      </c>
      <c r="F681" s="24">
        <v>10.0</v>
      </c>
      <c r="G681" s="48">
        <v>212.0</v>
      </c>
      <c r="H681" s="60">
        <f t="shared" si="92"/>
        <v>2120</v>
      </c>
      <c r="I681" s="61" t="s">
        <v>105</v>
      </c>
      <c r="J681" s="63" t="s">
        <v>1578</v>
      </c>
      <c r="K681" s="29">
        <v>43726.0</v>
      </c>
      <c r="L681" s="30">
        <v>43718.0</v>
      </c>
      <c r="M681" s="50" t="s">
        <v>90</v>
      </c>
      <c r="N681" s="32" t="s">
        <v>3110</v>
      </c>
      <c r="O681" s="408"/>
      <c r="P681" s="408">
        <v>180.0</v>
      </c>
      <c r="Q681" s="408">
        <f t="shared" si="93"/>
        <v>1890</v>
      </c>
      <c r="R681" s="408"/>
      <c r="S681" s="408">
        <v>59204.0</v>
      </c>
      <c r="T681" s="51" t="s">
        <v>94</v>
      </c>
      <c r="U681" s="305">
        <v>43769.0</v>
      </c>
      <c r="V681" s="462">
        <v>43717.0</v>
      </c>
      <c r="W681" s="306" t="s">
        <v>1577</v>
      </c>
      <c r="X681" s="306" t="s">
        <v>3112</v>
      </c>
      <c r="Y681" s="306"/>
      <c r="Z681" s="306" t="s">
        <v>3111</v>
      </c>
      <c r="AA681" s="306">
        <v>1.4211532E8</v>
      </c>
      <c r="AB681" s="306">
        <v>31.22</v>
      </c>
      <c r="AC681" s="306"/>
      <c r="AD681" s="306"/>
      <c r="AE681" s="298"/>
      <c r="AF681" s="298"/>
      <c r="AG681" s="299"/>
      <c r="AH681" s="300">
        <v>43707.0</v>
      </c>
      <c r="AI681" s="299" t="s">
        <v>3108</v>
      </c>
      <c r="AJ681" s="299" t="s">
        <v>3109</v>
      </c>
      <c r="AK681" s="298" t="s">
        <v>50</v>
      </c>
      <c r="AL681" s="298" t="s">
        <v>285</v>
      </c>
      <c r="AM681" s="298" t="s">
        <v>51</v>
      </c>
      <c r="AN681" s="298" t="s">
        <v>52</v>
      </c>
      <c r="AO681" s="298" t="s">
        <v>1133</v>
      </c>
    </row>
    <row r="682" ht="42.75" customHeight="1">
      <c r="A682" s="69">
        <v>43706.0</v>
      </c>
      <c r="B682" s="70" t="s">
        <v>223</v>
      </c>
      <c r="C682" s="21" t="s">
        <v>1579</v>
      </c>
      <c r="D682" s="21" t="s">
        <v>1580</v>
      </c>
      <c r="E682" s="32" t="s">
        <v>1581</v>
      </c>
      <c r="F682" s="24">
        <v>1.0</v>
      </c>
      <c r="G682" s="48">
        <v>805.35</v>
      </c>
      <c r="H682" s="60">
        <f t="shared" si="92"/>
        <v>805.35</v>
      </c>
      <c r="I682" s="61" t="s">
        <v>144</v>
      </c>
      <c r="J682" s="63" t="s">
        <v>90</v>
      </c>
      <c r="K682" s="30">
        <v>43718.0</v>
      </c>
      <c r="L682" s="30">
        <v>43718.0</v>
      </c>
      <c r="M682" s="50" t="s">
        <v>90</v>
      </c>
      <c r="N682" s="93" t="s">
        <v>3113</v>
      </c>
      <c r="O682" s="408"/>
      <c r="P682" s="408">
        <v>698.0</v>
      </c>
      <c r="Q682" s="408">
        <f t="shared" si="93"/>
        <v>732.9</v>
      </c>
      <c r="R682" s="408"/>
      <c r="S682" s="408">
        <v>22958.0</v>
      </c>
      <c r="T682" s="51" t="s">
        <v>94</v>
      </c>
      <c r="U682" s="305">
        <v>43769.0</v>
      </c>
      <c r="V682" s="462">
        <v>43717.0</v>
      </c>
      <c r="W682" s="306" t="s">
        <v>1582</v>
      </c>
      <c r="X682" s="306">
        <v>22958.0</v>
      </c>
      <c r="Y682" s="306"/>
      <c r="Z682" s="306" t="s">
        <v>3114</v>
      </c>
      <c r="AA682" s="306" t="s">
        <v>3115</v>
      </c>
      <c r="AB682" s="306">
        <v>31.215</v>
      </c>
      <c r="AC682" s="306">
        <v>25139.0</v>
      </c>
      <c r="AD682" s="462">
        <v>43718.0</v>
      </c>
      <c r="AE682" s="298"/>
      <c r="AF682" s="298"/>
      <c r="AG682" s="299"/>
      <c r="AH682" s="300">
        <v>43743.0</v>
      </c>
      <c r="AI682" s="299" t="s">
        <v>3090</v>
      </c>
      <c r="AJ682" s="299" t="s">
        <v>3091</v>
      </c>
      <c r="AK682" s="298" t="s">
        <v>50</v>
      </c>
      <c r="AL682" s="298" t="s">
        <v>285</v>
      </c>
      <c r="AM682" s="298" t="s">
        <v>51</v>
      </c>
      <c r="AN682" s="298" t="s">
        <v>52</v>
      </c>
      <c r="AO682" s="298" t="s">
        <v>1133</v>
      </c>
    </row>
    <row r="683" ht="42.75" customHeight="1">
      <c r="A683" s="69">
        <v>43710.0</v>
      </c>
      <c r="B683" s="144" t="s">
        <v>1251</v>
      </c>
      <c r="C683" s="21" t="s">
        <v>1583</v>
      </c>
      <c r="D683" s="21" t="s">
        <v>1584</v>
      </c>
      <c r="E683" s="32" t="s">
        <v>1585</v>
      </c>
      <c r="F683" s="24">
        <v>7.0</v>
      </c>
      <c r="G683" s="436">
        <v>621.0</v>
      </c>
      <c r="H683" s="60">
        <f t="shared" si="92"/>
        <v>4347</v>
      </c>
      <c r="I683" s="61" t="s">
        <v>105</v>
      </c>
      <c r="J683" s="63" t="s">
        <v>1361</v>
      </c>
      <c r="K683" s="29">
        <v>43728.0</v>
      </c>
      <c r="L683" s="29">
        <v>43728.0</v>
      </c>
      <c r="M683" s="50" t="s">
        <v>3116</v>
      </c>
      <c r="N683" s="93" t="s">
        <v>3113</v>
      </c>
      <c r="O683" s="408"/>
      <c r="P683" s="408"/>
      <c r="Q683" s="408">
        <f t="shared" si="93"/>
        <v>0</v>
      </c>
      <c r="R683" s="408"/>
      <c r="S683" s="712">
        <v>117555.9</v>
      </c>
      <c r="T683" s="503"/>
      <c r="U683" s="306"/>
      <c r="V683" s="306"/>
      <c r="W683" s="306"/>
      <c r="X683" s="306"/>
      <c r="Y683" s="306"/>
      <c r="Z683" s="306" t="s">
        <v>3117</v>
      </c>
      <c r="AA683" s="306">
        <v>9.860032755E9</v>
      </c>
      <c r="AB683" s="306">
        <v>31.22</v>
      </c>
      <c r="AC683" s="306"/>
      <c r="AD683" s="306"/>
      <c r="AE683" s="298"/>
      <c r="AF683" s="298"/>
      <c r="AG683" s="299"/>
      <c r="AH683" s="29">
        <v>43760.0</v>
      </c>
      <c r="AI683" s="299">
        <f>6442.44*30.5</f>
        <v>196494.42</v>
      </c>
      <c r="AJ683" s="299">
        <f>(6469-6442.44)*30.5</f>
        <v>810.08</v>
      </c>
      <c r="AK683" s="298" t="s">
        <v>50</v>
      </c>
      <c r="AL683" s="298" t="s">
        <v>285</v>
      </c>
      <c r="AM683" s="298" t="s">
        <v>286</v>
      </c>
      <c r="AN683" s="298" t="s">
        <v>52</v>
      </c>
      <c r="AO683" s="298" t="s">
        <v>1133</v>
      </c>
    </row>
    <row r="684" ht="42.75" customHeight="1">
      <c r="A684" s="69">
        <v>43710.0</v>
      </c>
      <c r="B684" s="144" t="s">
        <v>1251</v>
      </c>
      <c r="C684" s="21" t="s">
        <v>1583</v>
      </c>
      <c r="D684" s="21" t="s">
        <v>1584</v>
      </c>
      <c r="E684" s="32" t="s">
        <v>1586</v>
      </c>
      <c r="F684" s="24">
        <v>7.0</v>
      </c>
      <c r="G684" s="436">
        <v>71.0</v>
      </c>
      <c r="H684" s="60">
        <f t="shared" si="92"/>
        <v>497</v>
      </c>
      <c r="I684" s="61" t="s">
        <v>105</v>
      </c>
      <c r="J684" s="63" t="s">
        <v>1361</v>
      </c>
      <c r="K684" s="29">
        <v>43728.0</v>
      </c>
      <c r="L684" s="29">
        <v>43711.0</v>
      </c>
      <c r="M684" s="50" t="s">
        <v>3118</v>
      </c>
      <c r="N684" s="93" t="s">
        <v>3119</v>
      </c>
      <c r="O684" s="408"/>
      <c r="P684" s="408"/>
      <c r="Q684" s="408">
        <f t="shared" si="93"/>
        <v>0</v>
      </c>
      <c r="R684" s="408"/>
      <c r="S684" s="712">
        <v>9047.5</v>
      </c>
      <c r="T684" s="503"/>
      <c r="U684" s="306"/>
      <c r="V684" s="306"/>
      <c r="W684" s="306"/>
      <c r="X684" s="306"/>
      <c r="Y684" s="306"/>
      <c r="Z684" s="306" t="s">
        <v>3117</v>
      </c>
      <c r="AA684" s="306">
        <v>9.860032755E9</v>
      </c>
      <c r="AB684" s="306">
        <v>31.22</v>
      </c>
      <c r="AC684" s="306"/>
      <c r="AD684" s="306"/>
      <c r="AE684" s="298"/>
      <c r="AF684" s="298"/>
      <c r="AG684" s="299"/>
      <c r="AH684" s="29">
        <v>43760.0</v>
      </c>
      <c r="AI684" s="299" t="s">
        <v>3120</v>
      </c>
      <c r="AJ684" s="299" t="s">
        <v>3121</v>
      </c>
      <c r="AK684" s="298" t="s">
        <v>50</v>
      </c>
      <c r="AL684" s="298" t="s">
        <v>285</v>
      </c>
      <c r="AM684" s="298" t="s">
        <v>286</v>
      </c>
      <c r="AN684" s="298" t="s">
        <v>52</v>
      </c>
      <c r="AO684" s="298" t="s">
        <v>1133</v>
      </c>
    </row>
    <row r="685" ht="42.75" customHeight="1">
      <c r="A685" s="69">
        <v>43710.0</v>
      </c>
      <c r="B685" s="144" t="s">
        <v>1251</v>
      </c>
      <c r="C685" s="21" t="s">
        <v>1583</v>
      </c>
      <c r="D685" s="21" t="s">
        <v>1584</v>
      </c>
      <c r="E685" s="32" t="s">
        <v>1587</v>
      </c>
      <c r="F685" s="24">
        <v>7.0</v>
      </c>
      <c r="G685" s="436">
        <v>60.0</v>
      </c>
      <c r="H685" s="60">
        <f t="shared" si="92"/>
        <v>420</v>
      </c>
      <c r="I685" s="61" t="s">
        <v>105</v>
      </c>
      <c r="J685" s="63" t="s">
        <v>1361</v>
      </c>
      <c r="K685" s="29">
        <v>43728.0</v>
      </c>
      <c r="L685" s="29">
        <v>43711.0</v>
      </c>
      <c r="M685" s="50" t="s">
        <v>179</v>
      </c>
      <c r="N685" s="93" t="s">
        <v>3122</v>
      </c>
      <c r="O685" s="408"/>
      <c r="P685" s="408"/>
      <c r="Q685" s="408">
        <f t="shared" si="93"/>
        <v>0</v>
      </c>
      <c r="R685" s="408"/>
      <c r="S685" s="712">
        <v>9077.25</v>
      </c>
      <c r="T685" s="503"/>
      <c r="U685" s="306"/>
      <c r="V685" s="306"/>
      <c r="W685" s="306"/>
      <c r="X685" s="306"/>
      <c r="Y685" s="306"/>
      <c r="Z685" s="306" t="s">
        <v>3117</v>
      </c>
      <c r="AA685" s="306">
        <v>9.860032755E9</v>
      </c>
      <c r="AB685" s="306">
        <v>31.22</v>
      </c>
      <c r="AC685" s="306"/>
      <c r="AD685" s="306"/>
      <c r="AE685" s="298"/>
      <c r="AF685" s="298"/>
      <c r="AG685" s="299"/>
      <c r="AH685" s="29">
        <v>43760.0</v>
      </c>
      <c r="AI685" s="299" t="s">
        <v>3120</v>
      </c>
      <c r="AJ685" s="299" t="s">
        <v>3121</v>
      </c>
      <c r="AK685" s="298" t="s">
        <v>50</v>
      </c>
      <c r="AL685" s="298" t="s">
        <v>285</v>
      </c>
      <c r="AM685" s="298" t="s">
        <v>286</v>
      </c>
      <c r="AN685" s="298" t="s">
        <v>52</v>
      </c>
      <c r="AO685" s="298" t="s">
        <v>1133</v>
      </c>
    </row>
    <row r="686" ht="42.75" customHeight="1">
      <c r="A686" s="69">
        <v>43710.0</v>
      </c>
      <c r="B686" s="144" t="s">
        <v>1251</v>
      </c>
      <c r="C686" s="21" t="s">
        <v>1583</v>
      </c>
      <c r="D686" s="21" t="s">
        <v>1584</v>
      </c>
      <c r="E686" s="32" t="s">
        <v>1588</v>
      </c>
      <c r="F686" s="24">
        <v>7.0</v>
      </c>
      <c r="G686" s="436">
        <v>38.0</v>
      </c>
      <c r="H686" s="60">
        <f t="shared" si="92"/>
        <v>266</v>
      </c>
      <c r="I686" s="61" t="s">
        <v>105</v>
      </c>
      <c r="J686" s="63" t="s">
        <v>1361</v>
      </c>
      <c r="K686" s="29">
        <v>43728.0</v>
      </c>
      <c r="L686" s="29">
        <v>43711.0</v>
      </c>
      <c r="M686" s="50" t="s">
        <v>179</v>
      </c>
      <c r="N686" s="93" t="s">
        <v>3122</v>
      </c>
      <c r="O686" s="408"/>
      <c r="P686" s="408"/>
      <c r="Q686" s="408">
        <f t="shared" si="93"/>
        <v>0</v>
      </c>
      <c r="R686" s="408"/>
      <c r="S686" s="712">
        <v>0.0</v>
      </c>
      <c r="T686" s="503"/>
      <c r="U686" s="306"/>
      <c r="V686" s="306"/>
      <c r="W686" s="306"/>
      <c r="X686" s="306"/>
      <c r="Y686" s="306"/>
      <c r="Z686" s="306" t="s">
        <v>3117</v>
      </c>
      <c r="AA686" s="306">
        <v>9.860032755E9</v>
      </c>
      <c r="AB686" s="306">
        <v>31.22</v>
      </c>
      <c r="AC686" s="306"/>
      <c r="AD686" s="306"/>
      <c r="AE686" s="298"/>
      <c r="AF686" s="298"/>
      <c r="AG686" s="299"/>
      <c r="AH686" s="29">
        <v>43760.0</v>
      </c>
      <c r="AI686" s="299" t="s">
        <v>3120</v>
      </c>
      <c r="AJ686" s="299" t="s">
        <v>3121</v>
      </c>
      <c r="AK686" s="298" t="s">
        <v>50</v>
      </c>
      <c r="AL686" s="298" t="s">
        <v>285</v>
      </c>
      <c r="AM686" s="298" t="s">
        <v>286</v>
      </c>
      <c r="AN686" s="298" t="s">
        <v>52</v>
      </c>
      <c r="AO686" s="298" t="s">
        <v>1133</v>
      </c>
    </row>
    <row r="687" ht="42.75" customHeight="1">
      <c r="A687" s="69">
        <v>43710.0</v>
      </c>
      <c r="B687" s="144" t="s">
        <v>1251</v>
      </c>
      <c r="C687" s="21" t="s">
        <v>1583</v>
      </c>
      <c r="D687" s="21" t="s">
        <v>1584</v>
      </c>
      <c r="E687" s="32" t="s">
        <v>1589</v>
      </c>
      <c r="F687" s="24">
        <v>7.0</v>
      </c>
      <c r="G687" s="436">
        <v>10.0</v>
      </c>
      <c r="H687" s="60">
        <f t="shared" si="92"/>
        <v>70</v>
      </c>
      <c r="I687" s="61" t="s">
        <v>105</v>
      </c>
      <c r="J687" s="63" t="s">
        <v>1361</v>
      </c>
      <c r="K687" s="29">
        <v>43728.0</v>
      </c>
      <c r="L687" s="29">
        <v>43711.0</v>
      </c>
      <c r="M687" s="50" t="s">
        <v>179</v>
      </c>
      <c r="N687" s="93" t="s">
        <v>3122</v>
      </c>
      <c r="O687" s="408"/>
      <c r="P687" s="408"/>
      <c r="Q687" s="408">
        <f t="shared" si="93"/>
        <v>0</v>
      </c>
      <c r="R687" s="408"/>
      <c r="S687" s="712">
        <v>0.0</v>
      </c>
      <c r="T687" s="503"/>
      <c r="U687" s="306"/>
      <c r="V687" s="306"/>
      <c r="W687" s="306"/>
      <c r="X687" s="306"/>
      <c r="Y687" s="306"/>
      <c r="Z687" s="306" t="s">
        <v>3117</v>
      </c>
      <c r="AA687" s="306">
        <v>9.860032755E9</v>
      </c>
      <c r="AB687" s="306">
        <v>31.22</v>
      </c>
      <c r="AC687" s="306"/>
      <c r="AD687" s="306"/>
      <c r="AE687" s="298"/>
      <c r="AF687" s="298"/>
      <c r="AG687" s="299"/>
      <c r="AH687" s="29">
        <v>43760.0</v>
      </c>
      <c r="AI687" s="299" t="s">
        <v>3120</v>
      </c>
      <c r="AJ687" s="299" t="s">
        <v>3121</v>
      </c>
      <c r="AK687" s="298" t="s">
        <v>50</v>
      </c>
      <c r="AL687" s="298" t="s">
        <v>285</v>
      </c>
      <c r="AM687" s="298" t="s">
        <v>286</v>
      </c>
      <c r="AN687" s="298" t="s">
        <v>52</v>
      </c>
      <c r="AO687" s="298" t="s">
        <v>1133</v>
      </c>
    </row>
    <row r="688" ht="42.75" customHeight="1">
      <c r="A688" s="69">
        <v>43710.0</v>
      </c>
      <c r="B688" s="144" t="s">
        <v>1251</v>
      </c>
      <c r="C688" s="21" t="s">
        <v>1583</v>
      </c>
      <c r="D688" s="21" t="s">
        <v>1584</v>
      </c>
      <c r="E688" s="32" t="s">
        <v>1590</v>
      </c>
      <c r="F688" s="24">
        <v>7.0</v>
      </c>
      <c r="G688" s="436">
        <v>47.0</v>
      </c>
      <c r="H688" s="60">
        <f t="shared" si="92"/>
        <v>329</v>
      </c>
      <c r="I688" s="61" t="s">
        <v>105</v>
      </c>
      <c r="J688" s="63" t="s">
        <v>1361</v>
      </c>
      <c r="K688" s="29">
        <v>43728.0</v>
      </c>
      <c r="L688" s="30">
        <v>43720.0</v>
      </c>
      <c r="M688" s="50" t="s">
        <v>2272</v>
      </c>
      <c r="N688" s="93" t="s">
        <v>3123</v>
      </c>
      <c r="O688" s="408"/>
      <c r="P688" s="408">
        <v>35.0</v>
      </c>
      <c r="Q688" s="408">
        <f t="shared" si="93"/>
        <v>257.25</v>
      </c>
      <c r="R688" s="408"/>
      <c r="S688" s="712">
        <v>8041.25</v>
      </c>
      <c r="T688" s="503"/>
      <c r="U688" s="306"/>
      <c r="V688" s="306"/>
      <c r="W688" s="306"/>
      <c r="X688" s="306"/>
      <c r="Y688" s="306"/>
      <c r="Z688" s="306" t="s">
        <v>3117</v>
      </c>
      <c r="AA688" s="306">
        <v>9.860032755E9</v>
      </c>
      <c r="AB688" s="306">
        <v>31.22</v>
      </c>
      <c r="AC688" s="306"/>
      <c r="AD688" s="306"/>
      <c r="AE688" s="298"/>
      <c r="AF688" s="298"/>
      <c r="AG688" s="299"/>
      <c r="AH688" s="29">
        <v>43760.0</v>
      </c>
      <c r="AI688" s="299" t="s">
        <v>3120</v>
      </c>
      <c r="AJ688" s="299" t="s">
        <v>3121</v>
      </c>
      <c r="AK688" s="298" t="s">
        <v>50</v>
      </c>
      <c r="AL688" s="298" t="s">
        <v>285</v>
      </c>
      <c r="AM688" s="298" t="s">
        <v>286</v>
      </c>
      <c r="AN688" s="298" t="s">
        <v>52</v>
      </c>
      <c r="AO688" s="298" t="s">
        <v>1133</v>
      </c>
    </row>
    <row r="689" ht="42.75" customHeight="1">
      <c r="A689" s="69">
        <v>43710.0</v>
      </c>
      <c r="B689" s="144" t="s">
        <v>1251</v>
      </c>
      <c r="C689" s="21" t="s">
        <v>1583</v>
      </c>
      <c r="D689" s="21" t="s">
        <v>1591</v>
      </c>
      <c r="E689" s="23" t="s">
        <v>1592</v>
      </c>
      <c r="F689" s="24">
        <v>1.0</v>
      </c>
      <c r="G689" s="436">
        <v>621.0</v>
      </c>
      <c r="H689" s="60">
        <f t="shared" si="92"/>
        <v>621</v>
      </c>
      <c r="I689" s="61" t="s">
        <v>105</v>
      </c>
      <c r="J689" s="63" t="s">
        <v>1593</v>
      </c>
      <c r="K689" s="29">
        <v>43732.0</v>
      </c>
      <c r="L689" s="30">
        <v>43732.0</v>
      </c>
      <c r="M689" s="50" t="s">
        <v>3116</v>
      </c>
      <c r="N689" s="93" t="s">
        <v>3113</v>
      </c>
      <c r="O689" s="408"/>
      <c r="P689" s="408"/>
      <c r="Q689" s="408">
        <f t="shared" si="93"/>
        <v>0</v>
      </c>
      <c r="R689" s="408"/>
      <c r="S689" s="712">
        <v>16793.7</v>
      </c>
      <c r="T689" s="51"/>
      <c r="U689" s="305"/>
      <c r="V689" s="462"/>
      <c r="W689" s="306"/>
      <c r="X689" s="306"/>
      <c r="Y689" s="306"/>
      <c r="Z689" s="306" t="s">
        <v>3124</v>
      </c>
      <c r="AA689" s="306">
        <v>5.547769441E9</v>
      </c>
      <c r="AB689" s="306">
        <v>30.985</v>
      </c>
      <c r="AC689" s="306"/>
      <c r="AD689" s="306"/>
      <c r="AE689" s="298"/>
      <c r="AF689" s="298"/>
      <c r="AG689" s="299"/>
      <c r="AH689" s="29">
        <v>43789.0</v>
      </c>
      <c r="AI689" s="299" t="s">
        <v>3125</v>
      </c>
      <c r="AJ689" s="299" t="s">
        <v>3126</v>
      </c>
      <c r="AK689" s="298" t="s">
        <v>50</v>
      </c>
      <c r="AL689" s="298" t="s">
        <v>285</v>
      </c>
      <c r="AM689" s="298" t="s">
        <v>286</v>
      </c>
      <c r="AN689" s="298" t="s">
        <v>52</v>
      </c>
      <c r="AO689" s="298" t="s">
        <v>1133</v>
      </c>
    </row>
    <row r="690" ht="42.75" customHeight="1">
      <c r="A690" s="69">
        <v>43710.0</v>
      </c>
      <c r="B690" s="144" t="s">
        <v>1251</v>
      </c>
      <c r="C690" s="21" t="s">
        <v>1583</v>
      </c>
      <c r="D690" s="21" t="s">
        <v>1591</v>
      </c>
      <c r="E690" s="23" t="s">
        <v>1586</v>
      </c>
      <c r="F690" s="24">
        <v>1.0</v>
      </c>
      <c r="G690" s="436">
        <v>71.0</v>
      </c>
      <c r="H690" s="60">
        <f t="shared" si="92"/>
        <v>71</v>
      </c>
      <c r="I690" s="61" t="s">
        <v>105</v>
      </c>
      <c r="J690" s="63" t="s">
        <v>1593</v>
      </c>
      <c r="K690" s="29">
        <v>43732.0</v>
      </c>
      <c r="L690" s="29">
        <v>43711.0</v>
      </c>
      <c r="M690" s="50" t="s">
        <v>3118</v>
      </c>
      <c r="N690" s="93" t="s">
        <v>3119</v>
      </c>
      <c r="O690" s="408"/>
      <c r="P690" s="408"/>
      <c r="Q690" s="408"/>
      <c r="R690" s="408"/>
      <c r="S690" s="712">
        <v>1292.5</v>
      </c>
      <c r="T690" s="51"/>
      <c r="U690" s="305"/>
      <c r="V690" s="462"/>
      <c r="W690" s="306"/>
      <c r="X690" s="306"/>
      <c r="Y690" s="306"/>
      <c r="Z690" s="306" t="s">
        <v>3124</v>
      </c>
      <c r="AA690" s="306">
        <v>5.547769441E9</v>
      </c>
      <c r="AB690" s="306">
        <v>30.985</v>
      </c>
      <c r="AC690" s="306"/>
      <c r="AD690" s="306"/>
      <c r="AE690" s="298"/>
      <c r="AF690" s="298"/>
      <c r="AG690" s="299"/>
      <c r="AH690" s="29">
        <v>43789.0</v>
      </c>
      <c r="AI690" s="299" t="s">
        <v>3125</v>
      </c>
      <c r="AJ690" s="299" t="s">
        <v>3126</v>
      </c>
      <c r="AK690" s="298" t="s">
        <v>50</v>
      </c>
      <c r="AL690" s="298" t="s">
        <v>285</v>
      </c>
      <c r="AM690" s="298" t="s">
        <v>286</v>
      </c>
      <c r="AN690" s="298" t="s">
        <v>52</v>
      </c>
      <c r="AO690" s="298" t="s">
        <v>1133</v>
      </c>
    </row>
    <row r="691" ht="42.75" customHeight="1">
      <c r="A691" s="69">
        <v>43710.0</v>
      </c>
      <c r="B691" s="144" t="s">
        <v>1251</v>
      </c>
      <c r="C691" s="21" t="s">
        <v>1583</v>
      </c>
      <c r="D691" s="21" t="s">
        <v>1591</v>
      </c>
      <c r="E691" s="32" t="s">
        <v>1587</v>
      </c>
      <c r="F691" s="24">
        <v>1.0</v>
      </c>
      <c r="G691" s="436">
        <v>60.0</v>
      </c>
      <c r="H691" s="60">
        <f t="shared" si="92"/>
        <v>60</v>
      </c>
      <c r="I691" s="61" t="s">
        <v>105</v>
      </c>
      <c r="J691" s="63" t="s">
        <v>1593</v>
      </c>
      <c r="K691" s="29">
        <v>43732.0</v>
      </c>
      <c r="L691" s="29">
        <v>43711.0</v>
      </c>
      <c r="M691" s="50" t="s">
        <v>179</v>
      </c>
      <c r="N691" s="93" t="s">
        <v>3122</v>
      </c>
      <c r="O691" s="408"/>
      <c r="P691" s="408"/>
      <c r="Q691" s="408"/>
      <c r="R691" s="408"/>
      <c r="S691" s="712">
        <v>1296.75</v>
      </c>
      <c r="T691" s="51"/>
      <c r="U691" s="305"/>
      <c r="V691" s="462"/>
      <c r="W691" s="306"/>
      <c r="X691" s="306"/>
      <c r="Y691" s="306"/>
      <c r="Z691" s="306" t="s">
        <v>3124</v>
      </c>
      <c r="AA691" s="306">
        <v>5.547769441E9</v>
      </c>
      <c r="AB691" s="306">
        <v>30.985</v>
      </c>
      <c r="AC691" s="306"/>
      <c r="AD691" s="306"/>
      <c r="AE691" s="298"/>
      <c r="AF691" s="298"/>
      <c r="AG691" s="299"/>
      <c r="AH691" s="29">
        <v>43789.0</v>
      </c>
      <c r="AI691" s="299" t="s">
        <v>3125</v>
      </c>
      <c r="AJ691" s="299" t="s">
        <v>3126</v>
      </c>
      <c r="AK691" s="298" t="s">
        <v>50</v>
      </c>
      <c r="AL691" s="298" t="s">
        <v>285</v>
      </c>
      <c r="AM691" s="298" t="s">
        <v>286</v>
      </c>
      <c r="AN691" s="298" t="s">
        <v>52</v>
      </c>
      <c r="AO691" s="298" t="s">
        <v>1133</v>
      </c>
    </row>
    <row r="692" ht="42.75" customHeight="1">
      <c r="A692" s="69">
        <v>43710.0</v>
      </c>
      <c r="B692" s="144" t="s">
        <v>1251</v>
      </c>
      <c r="C692" s="21" t="s">
        <v>1583</v>
      </c>
      <c r="D692" s="21" t="s">
        <v>1591</v>
      </c>
      <c r="E692" s="32" t="s">
        <v>1588</v>
      </c>
      <c r="F692" s="24">
        <v>1.0</v>
      </c>
      <c r="G692" s="436">
        <v>38.0</v>
      </c>
      <c r="H692" s="60">
        <f t="shared" si="92"/>
        <v>38</v>
      </c>
      <c r="I692" s="61" t="s">
        <v>105</v>
      </c>
      <c r="J692" s="63" t="s">
        <v>1593</v>
      </c>
      <c r="K692" s="29">
        <v>43732.0</v>
      </c>
      <c r="L692" s="29">
        <v>43711.0</v>
      </c>
      <c r="M692" s="50" t="s">
        <v>179</v>
      </c>
      <c r="N692" s="93" t="s">
        <v>3122</v>
      </c>
      <c r="O692" s="408"/>
      <c r="P692" s="408"/>
      <c r="Q692" s="408"/>
      <c r="R692" s="408"/>
      <c r="S692" s="713"/>
      <c r="T692" s="51"/>
      <c r="U692" s="305"/>
      <c r="V692" s="462"/>
      <c r="W692" s="306"/>
      <c r="X692" s="306"/>
      <c r="Y692" s="306"/>
      <c r="Z692" s="306" t="s">
        <v>3124</v>
      </c>
      <c r="AA692" s="306">
        <v>5.547769441E9</v>
      </c>
      <c r="AB692" s="306">
        <v>30.985</v>
      </c>
      <c r="AC692" s="306"/>
      <c r="AD692" s="306"/>
      <c r="AE692" s="298"/>
      <c r="AF692" s="298"/>
      <c r="AG692" s="299"/>
      <c r="AH692" s="29">
        <v>43789.0</v>
      </c>
      <c r="AI692" s="299" t="s">
        <v>3125</v>
      </c>
      <c r="AJ692" s="299" t="s">
        <v>3126</v>
      </c>
      <c r="AK692" s="298" t="s">
        <v>50</v>
      </c>
      <c r="AL692" s="298" t="s">
        <v>285</v>
      </c>
      <c r="AM692" s="298" t="s">
        <v>286</v>
      </c>
      <c r="AN692" s="298" t="s">
        <v>52</v>
      </c>
      <c r="AO692" s="298" t="s">
        <v>1133</v>
      </c>
    </row>
    <row r="693" ht="42.75" customHeight="1">
      <c r="A693" s="110">
        <v>43710.0</v>
      </c>
      <c r="B693" s="147" t="s">
        <v>1251</v>
      </c>
      <c r="C693" s="21" t="s">
        <v>1583</v>
      </c>
      <c r="D693" s="21" t="s">
        <v>1591</v>
      </c>
      <c r="E693" s="23" t="s">
        <v>1589</v>
      </c>
      <c r="F693" s="24">
        <v>1.0</v>
      </c>
      <c r="G693" s="436">
        <v>10.0</v>
      </c>
      <c r="H693" s="60">
        <f t="shared" si="92"/>
        <v>10</v>
      </c>
      <c r="I693" s="61" t="s">
        <v>105</v>
      </c>
      <c r="J693" s="63" t="s">
        <v>1593</v>
      </c>
      <c r="K693" s="29">
        <v>43732.0</v>
      </c>
      <c r="L693" s="29">
        <v>43711.0</v>
      </c>
      <c r="M693" s="50" t="s">
        <v>179</v>
      </c>
      <c r="N693" s="93" t="s">
        <v>3122</v>
      </c>
      <c r="O693" s="408"/>
      <c r="P693" s="408"/>
      <c r="Q693" s="408"/>
      <c r="R693" s="408"/>
      <c r="S693" s="713"/>
      <c r="T693" s="35"/>
      <c r="U693" s="305"/>
      <c r="V693" s="462"/>
      <c r="W693" s="306"/>
      <c r="X693" s="306"/>
      <c r="Y693" s="306"/>
      <c r="Z693" s="306" t="s">
        <v>3124</v>
      </c>
      <c r="AA693" s="306">
        <v>5.547769441E9</v>
      </c>
      <c r="AB693" s="306">
        <v>30.985</v>
      </c>
      <c r="AC693" s="306"/>
      <c r="AD693" s="306"/>
      <c r="AE693" s="298"/>
      <c r="AF693" s="298"/>
      <c r="AG693" s="299"/>
      <c r="AH693" s="29">
        <v>43789.0</v>
      </c>
      <c r="AI693" s="299" t="s">
        <v>3125</v>
      </c>
      <c r="AJ693" s="299" t="s">
        <v>3126</v>
      </c>
      <c r="AK693" s="298" t="s">
        <v>50</v>
      </c>
      <c r="AL693" s="298" t="s">
        <v>285</v>
      </c>
      <c r="AM693" s="298" t="s">
        <v>286</v>
      </c>
      <c r="AN693" s="298" t="s">
        <v>52</v>
      </c>
      <c r="AO693" s="298" t="s">
        <v>1133</v>
      </c>
    </row>
    <row r="694" ht="42.75" customHeight="1">
      <c r="A694" s="110">
        <v>43710.0</v>
      </c>
      <c r="B694" s="147" t="s">
        <v>1251</v>
      </c>
      <c r="C694" s="21" t="s">
        <v>1583</v>
      </c>
      <c r="D694" s="21" t="s">
        <v>1591</v>
      </c>
      <c r="E694" s="23" t="s">
        <v>1590</v>
      </c>
      <c r="F694" s="24">
        <v>1.0</v>
      </c>
      <c r="G694" s="436">
        <v>47.0</v>
      </c>
      <c r="H694" s="60">
        <f t="shared" si="92"/>
        <v>47</v>
      </c>
      <c r="I694" s="61" t="s">
        <v>105</v>
      </c>
      <c r="J694" s="63" t="s">
        <v>1593</v>
      </c>
      <c r="K694" s="29">
        <v>43732.0</v>
      </c>
      <c r="L694" s="30">
        <v>43720.0</v>
      </c>
      <c r="M694" s="50" t="s">
        <v>2272</v>
      </c>
      <c r="N694" s="93" t="s">
        <v>3123</v>
      </c>
      <c r="O694" s="408"/>
      <c r="P694" s="408"/>
      <c r="Q694" s="408"/>
      <c r="R694" s="408"/>
      <c r="S694" s="712">
        <v>1148.75</v>
      </c>
      <c r="T694" s="51"/>
      <c r="U694" s="305"/>
      <c r="V694" s="462"/>
      <c r="W694" s="306"/>
      <c r="X694" s="306"/>
      <c r="Y694" s="306"/>
      <c r="Z694" s="306" t="s">
        <v>3124</v>
      </c>
      <c r="AA694" s="306">
        <v>5.547769441E9</v>
      </c>
      <c r="AB694" s="306">
        <v>30.985</v>
      </c>
      <c r="AC694" s="306"/>
      <c r="AD694" s="306"/>
      <c r="AE694" s="298"/>
      <c r="AF694" s="298"/>
      <c r="AG694" s="299"/>
      <c r="AH694" s="29">
        <v>43789.0</v>
      </c>
      <c r="AI694" s="299" t="s">
        <v>3125</v>
      </c>
      <c r="AJ694" s="299" t="s">
        <v>3126</v>
      </c>
      <c r="AK694" s="298" t="s">
        <v>50</v>
      </c>
      <c r="AL694" s="298" t="s">
        <v>285</v>
      </c>
      <c r="AM694" s="298" t="s">
        <v>286</v>
      </c>
      <c r="AN694" s="298" t="s">
        <v>52</v>
      </c>
      <c r="AO694" s="298" t="s">
        <v>1133</v>
      </c>
    </row>
    <row r="695" ht="42.75" customHeight="1">
      <c r="A695" s="110">
        <v>43710.0</v>
      </c>
      <c r="B695" s="147" t="s">
        <v>1251</v>
      </c>
      <c r="C695" s="21" t="s">
        <v>1583</v>
      </c>
      <c r="D695" s="21" t="s">
        <v>1591</v>
      </c>
      <c r="E695" s="23" t="s">
        <v>347</v>
      </c>
      <c r="F695" s="24">
        <v>1.0</v>
      </c>
      <c r="G695" s="436">
        <v>0.0</v>
      </c>
      <c r="H695" s="60">
        <v>0.0</v>
      </c>
      <c r="I695" s="87" t="s">
        <v>105</v>
      </c>
      <c r="J695" s="63" t="s">
        <v>1593</v>
      </c>
      <c r="K695" s="29">
        <v>43732.0</v>
      </c>
      <c r="L695" s="30">
        <v>43720.0</v>
      </c>
      <c r="M695" s="63" t="s">
        <v>263</v>
      </c>
      <c r="N695" s="64"/>
      <c r="O695" s="34"/>
      <c r="P695" s="34"/>
      <c r="Q695" s="34"/>
      <c r="R695" s="34">
        <v>2354.0</v>
      </c>
      <c r="S695" s="34">
        <v>2471.0</v>
      </c>
      <c r="T695" s="51"/>
      <c r="U695" s="533">
        <v>43769.0</v>
      </c>
      <c r="V695" s="472">
        <v>43738.0</v>
      </c>
      <c r="W695" s="53" t="s">
        <v>1594</v>
      </c>
      <c r="X695" s="53" t="s">
        <v>3127</v>
      </c>
      <c r="Y695" s="53"/>
      <c r="Z695" s="53"/>
      <c r="AA695" s="53"/>
      <c r="AB695" s="53"/>
      <c r="AC695" s="53"/>
      <c r="AD695" s="53"/>
      <c r="AE695" s="54"/>
      <c r="AF695" s="54"/>
      <c r="AG695" s="55"/>
      <c r="AH695" s="29">
        <v>43789.0</v>
      </c>
      <c r="AI695" s="299" t="s">
        <v>3125</v>
      </c>
      <c r="AJ695" s="299" t="s">
        <v>3126</v>
      </c>
      <c r="AK695" s="298" t="s">
        <v>50</v>
      </c>
      <c r="AL695" s="54" t="s">
        <v>285</v>
      </c>
      <c r="AM695" s="54" t="s">
        <v>286</v>
      </c>
      <c r="AN695" s="54" t="s">
        <v>52</v>
      </c>
      <c r="AO695" s="54" t="s">
        <v>1133</v>
      </c>
    </row>
    <row r="696" ht="42.75" customHeight="1">
      <c r="A696" s="69">
        <v>43710.0</v>
      </c>
      <c r="B696" s="144" t="s">
        <v>1251</v>
      </c>
      <c r="C696" s="21" t="s">
        <v>1595</v>
      </c>
      <c r="D696" s="21" t="s">
        <v>1596</v>
      </c>
      <c r="E696" s="32" t="s">
        <v>1597</v>
      </c>
      <c r="F696" s="24">
        <v>1.0</v>
      </c>
      <c r="G696" s="436">
        <v>621.0</v>
      </c>
      <c r="H696" s="60">
        <f t="shared" ref="H696:H705" si="94">G696*F696</f>
        <v>621</v>
      </c>
      <c r="I696" s="61" t="s">
        <v>105</v>
      </c>
      <c r="J696" s="63" t="s">
        <v>1361</v>
      </c>
      <c r="K696" s="29">
        <v>43734.0</v>
      </c>
      <c r="L696" s="30">
        <v>43734.0</v>
      </c>
      <c r="M696" s="50" t="s">
        <v>3116</v>
      </c>
      <c r="N696" s="93" t="s">
        <v>3128</v>
      </c>
      <c r="O696" s="408"/>
      <c r="P696" s="408"/>
      <c r="Q696" s="408">
        <f>(P696*F696)*1.05</f>
        <v>0</v>
      </c>
      <c r="R696" s="408"/>
      <c r="S696" s="712">
        <v>16793.7</v>
      </c>
      <c r="T696" s="51"/>
      <c r="U696" s="305"/>
      <c r="V696" s="462"/>
      <c r="W696" s="306"/>
      <c r="X696" s="306"/>
      <c r="Y696" s="306"/>
      <c r="Z696" s="306" t="s">
        <v>3129</v>
      </c>
      <c r="AA696" s="306">
        <v>4.511020776E9</v>
      </c>
      <c r="AB696" s="306">
        <v>30.985</v>
      </c>
      <c r="AC696" s="306"/>
      <c r="AD696" s="306"/>
      <c r="AE696" s="298"/>
      <c r="AF696" s="298"/>
      <c r="AG696" s="299"/>
      <c r="AH696" s="29">
        <v>43789.0</v>
      </c>
      <c r="AI696" s="299" t="s">
        <v>3125</v>
      </c>
      <c r="AJ696" s="299" t="s">
        <v>3126</v>
      </c>
      <c r="AK696" s="298" t="s">
        <v>50</v>
      </c>
      <c r="AL696" s="298" t="s">
        <v>285</v>
      </c>
      <c r="AM696" s="298" t="s">
        <v>286</v>
      </c>
      <c r="AN696" s="298" t="s">
        <v>52</v>
      </c>
      <c r="AO696" s="298" t="s">
        <v>1133</v>
      </c>
    </row>
    <row r="697" ht="42.75" customHeight="1">
      <c r="A697" s="69">
        <v>43710.0</v>
      </c>
      <c r="B697" s="144" t="s">
        <v>1251</v>
      </c>
      <c r="C697" s="21" t="s">
        <v>1595</v>
      </c>
      <c r="D697" s="21" t="s">
        <v>1596</v>
      </c>
      <c r="E697" s="32" t="s">
        <v>1586</v>
      </c>
      <c r="F697" s="24">
        <v>1.0</v>
      </c>
      <c r="G697" s="436">
        <v>71.0</v>
      </c>
      <c r="H697" s="60">
        <f t="shared" si="94"/>
        <v>71</v>
      </c>
      <c r="I697" s="61" t="s">
        <v>105</v>
      </c>
      <c r="J697" s="63" t="s">
        <v>1361</v>
      </c>
      <c r="K697" s="29">
        <v>43734.0</v>
      </c>
      <c r="L697" s="29">
        <v>43727.0</v>
      </c>
      <c r="M697" s="50" t="s">
        <v>3118</v>
      </c>
      <c r="N697" s="93" t="s">
        <v>3130</v>
      </c>
      <c r="O697" s="408"/>
      <c r="P697" s="408"/>
      <c r="Q697" s="408"/>
      <c r="R697" s="408"/>
      <c r="S697" s="712">
        <v>1292.5</v>
      </c>
      <c r="T697" s="51"/>
      <c r="U697" s="305"/>
      <c r="V697" s="462"/>
      <c r="W697" s="306"/>
      <c r="X697" s="306"/>
      <c r="Y697" s="306"/>
      <c r="Z697" s="306" t="s">
        <v>3129</v>
      </c>
      <c r="AA697" s="306">
        <v>4.511020776E9</v>
      </c>
      <c r="AB697" s="306">
        <v>30.985</v>
      </c>
      <c r="AC697" s="306"/>
      <c r="AD697" s="306"/>
      <c r="AE697" s="298"/>
      <c r="AF697" s="298"/>
      <c r="AG697" s="299"/>
      <c r="AH697" s="29">
        <v>43789.0</v>
      </c>
      <c r="AI697" s="299" t="s">
        <v>3125</v>
      </c>
      <c r="AJ697" s="299" t="s">
        <v>3126</v>
      </c>
      <c r="AK697" s="298" t="s">
        <v>50</v>
      </c>
      <c r="AL697" s="298" t="s">
        <v>285</v>
      </c>
      <c r="AM697" s="298" t="s">
        <v>286</v>
      </c>
      <c r="AN697" s="298" t="s">
        <v>52</v>
      </c>
      <c r="AO697" s="298" t="s">
        <v>1133</v>
      </c>
    </row>
    <row r="698" ht="42.75" customHeight="1">
      <c r="A698" s="69">
        <v>43710.0</v>
      </c>
      <c r="B698" s="144" t="s">
        <v>1251</v>
      </c>
      <c r="C698" s="21" t="s">
        <v>1595</v>
      </c>
      <c r="D698" s="21" t="s">
        <v>1596</v>
      </c>
      <c r="E698" s="32" t="s">
        <v>1587</v>
      </c>
      <c r="F698" s="24">
        <v>1.0</v>
      </c>
      <c r="G698" s="436">
        <v>60.0</v>
      </c>
      <c r="H698" s="60">
        <f t="shared" si="94"/>
        <v>60</v>
      </c>
      <c r="I698" s="61" t="s">
        <v>105</v>
      </c>
      <c r="J698" s="63" t="s">
        <v>1361</v>
      </c>
      <c r="K698" s="29">
        <v>43734.0</v>
      </c>
      <c r="L698" s="29">
        <v>43727.0</v>
      </c>
      <c r="M698" s="50" t="s">
        <v>179</v>
      </c>
      <c r="N698" s="93" t="s">
        <v>3122</v>
      </c>
      <c r="O698" s="408"/>
      <c r="P698" s="408"/>
      <c r="Q698" s="408"/>
      <c r="R698" s="408"/>
      <c r="S698" s="712">
        <v>1296.75</v>
      </c>
      <c r="T698" s="51"/>
      <c r="U698" s="305"/>
      <c r="V698" s="462"/>
      <c r="W698" s="306"/>
      <c r="X698" s="306"/>
      <c r="Y698" s="306"/>
      <c r="Z698" s="306" t="s">
        <v>3129</v>
      </c>
      <c r="AA698" s="306">
        <v>4.511020776E9</v>
      </c>
      <c r="AB698" s="306">
        <v>30.985</v>
      </c>
      <c r="AC698" s="306"/>
      <c r="AD698" s="306"/>
      <c r="AE698" s="298"/>
      <c r="AF698" s="298"/>
      <c r="AG698" s="299"/>
      <c r="AH698" s="29">
        <v>43789.0</v>
      </c>
      <c r="AI698" s="299" t="s">
        <v>3125</v>
      </c>
      <c r="AJ698" s="299" t="s">
        <v>3126</v>
      </c>
      <c r="AK698" s="298" t="s">
        <v>50</v>
      </c>
      <c r="AL698" s="298" t="s">
        <v>285</v>
      </c>
      <c r="AM698" s="298" t="s">
        <v>286</v>
      </c>
      <c r="AN698" s="298" t="s">
        <v>52</v>
      </c>
      <c r="AO698" s="298" t="s">
        <v>1133</v>
      </c>
    </row>
    <row r="699" ht="42.75" customHeight="1">
      <c r="A699" s="69">
        <v>43710.0</v>
      </c>
      <c r="B699" s="144" t="s">
        <v>1251</v>
      </c>
      <c r="C699" s="21" t="s">
        <v>1595</v>
      </c>
      <c r="D699" s="21" t="s">
        <v>1596</v>
      </c>
      <c r="E699" s="32" t="s">
        <v>1588</v>
      </c>
      <c r="F699" s="24">
        <v>1.0</v>
      </c>
      <c r="G699" s="436">
        <v>38.0</v>
      </c>
      <c r="H699" s="60">
        <f t="shared" si="94"/>
        <v>38</v>
      </c>
      <c r="I699" s="61" t="s">
        <v>105</v>
      </c>
      <c r="J699" s="63" t="s">
        <v>1361</v>
      </c>
      <c r="K699" s="29">
        <v>43734.0</v>
      </c>
      <c r="L699" s="29">
        <v>43727.0</v>
      </c>
      <c r="M699" s="50" t="s">
        <v>179</v>
      </c>
      <c r="N699" s="93" t="s">
        <v>3122</v>
      </c>
      <c r="O699" s="408"/>
      <c r="P699" s="408"/>
      <c r="Q699" s="408"/>
      <c r="R699" s="408"/>
      <c r="S699" s="712">
        <v>0.0</v>
      </c>
      <c r="T699" s="51"/>
      <c r="U699" s="305"/>
      <c r="V699" s="462"/>
      <c r="W699" s="306"/>
      <c r="X699" s="306"/>
      <c r="Y699" s="306"/>
      <c r="Z699" s="306" t="s">
        <v>3129</v>
      </c>
      <c r="AA699" s="306">
        <v>4.511020776E9</v>
      </c>
      <c r="AB699" s="306">
        <v>30.985</v>
      </c>
      <c r="AC699" s="306"/>
      <c r="AD699" s="306"/>
      <c r="AE699" s="298"/>
      <c r="AF699" s="298"/>
      <c r="AG699" s="299"/>
      <c r="AH699" s="29">
        <v>43789.0</v>
      </c>
      <c r="AI699" s="299" t="s">
        <v>3125</v>
      </c>
      <c r="AJ699" s="299" t="s">
        <v>3126</v>
      </c>
      <c r="AK699" s="298" t="s">
        <v>50</v>
      </c>
      <c r="AL699" s="298" t="s">
        <v>285</v>
      </c>
      <c r="AM699" s="298" t="s">
        <v>286</v>
      </c>
      <c r="AN699" s="298" t="s">
        <v>52</v>
      </c>
      <c r="AO699" s="298" t="s">
        <v>1133</v>
      </c>
    </row>
    <row r="700" ht="42.75" customHeight="1">
      <c r="A700" s="69">
        <v>43710.0</v>
      </c>
      <c r="B700" s="144" t="s">
        <v>1251</v>
      </c>
      <c r="C700" s="21" t="s">
        <v>1595</v>
      </c>
      <c r="D700" s="21" t="s">
        <v>1596</v>
      </c>
      <c r="E700" s="32" t="s">
        <v>1589</v>
      </c>
      <c r="F700" s="24">
        <v>1.0</v>
      </c>
      <c r="G700" s="436">
        <v>10.0</v>
      </c>
      <c r="H700" s="60">
        <f t="shared" si="94"/>
        <v>10</v>
      </c>
      <c r="I700" s="61" t="s">
        <v>105</v>
      </c>
      <c r="J700" s="63" t="s">
        <v>1361</v>
      </c>
      <c r="K700" s="29">
        <v>43734.0</v>
      </c>
      <c r="L700" s="29">
        <v>43727.0</v>
      </c>
      <c r="M700" s="50" t="s">
        <v>179</v>
      </c>
      <c r="N700" s="93" t="s">
        <v>3122</v>
      </c>
      <c r="O700" s="408"/>
      <c r="P700" s="408"/>
      <c r="Q700" s="408"/>
      <c r="R700" s="408"/>
      <c r="S700" s="712">
        <v>0.0</v>
      </c>
      <c r="T700" s="51"/>
      <c r="U700" s="305"/>
      <c r="V700" s="462"/>
      <c r="W700" s="306"/>
      <c r="X700" s="306"/>
      <c r="Y700" s="306"/>
      <c r="Z700" s="306" t="s">
        <v>3129</v>
      </c>
      <c r="AA700" s="306">
        <v>4.511020776E9</v>
      </c>
      <c r="AB700" s="306">
        <v>30.985</v>
      </c>
      <c r="AC700" s="306"/>
      <c r="AD700" s="306"/>
      <c r="AE700" s="298"/>
      <c r="AF700" s="298"/>
      <c r="AG700" s="299"/>
      <c r="AH700" s="29">
        <v>43789.0</v>
      </c>
      <c r="AI700" s="299" t="s">
        <v>3125</v>
      </c>
      <c r="AJ700" s="299" t="s">
        <v>3126</v>
      </c>
      <c r="AK700" s="298" t="s">
        <v>50</v>
      </c>
      <c r="AL700" s="298" t="s">
        <v>285</v>
      </c>
      <c r="AM700" s="298" t="s">
        <v>286</v>
      </c>
      <c r="AN700" s="298" t="s">
        <v>52</v>
      </c>
      <c r="AO700" s="298" t="s">
        <v>1133</v>
      </c>
    </row>
    <row r="701" ht="42.75" customHeight="1">
      <c r="A701" s="69">
        <v>43710.0</v>
      </c>
      <c r="B701" s="144" t="s">
        <v>1251</v>
      </c>
      <c r="C701" s="21" t="s">
        <v>1595</v>
      </c>
      <c r="D701" s="21" t="s">
        <v>1596</v>
      </c>
      <c r="E701" s="32" t="s">
        <v>1590</v>
      </c>
      <c r="F701" s="24">
        <v>1.0</v>
      </c>
      <c r="G701" s="436">
        <v>47.0</v>
      </c>
      <c r="H701" s="60">
        <f t="shared" si="94"/>
        <v>47</v>
      </c>
      <c r="I701" s="61" t="s">
        <v>105</v>
      </c>
      <c r="J701" s="63" t="s">
        <v>1361</v>
      </c>
      <c r="K701" s="29">
        <v>43734.0</v>
      </c>
      <c r="L701" s="29">
        <v>43727.0</v>
      </c>
      <c r="M701" s="50" t="s">
        <v>2272</v>
      </c>
      <c r="N701" s="93" t="s">
        <v>3131</v>
      </c>
      <c r="O701" s="408"/>
      <c r="P701" s="408"/>
      <c r="Q701" s="408"/>
      <c r="R701" s="408"/>
      <c r="S701" s="712">
        <v>1138.0</v>
      </c>
      <c r="T701" s="51"/>
      <c r="U701" s="305"/>
      <c r="V701" s="462"/>
      <c r="W701" s="306"/>
      <c r="X701" s="306"/>
      <c r="Y701" s="306"/>
      <c r="Z701" s="306" t="s">
        <v>3129</v>
      </c>
      <c r="AA701" s="306">
        <v>4.511020776E9</v>
      </c>
      <c r="AB701" s="306">
        <v>30.985</v>
      </c>
      <c r="AC701" s="306"/>
      <c r="AD701" s="306"/>
      <c r="AE701" s="298"/>
      <c r="AF701" s="298"/>
      <c r="AG701" s="299"/>
      <c r="AH701" s="29">
        <v>43789.0</v>
      </c>
      <c r="AI701" s="299" t="s">
        <v>3125</v>
      </c>
      <c r="AJ701" s="299" t="s">
        <v>3126</v>
      </c>
      <c r="AK701" s="298" t="s">
        <v>50</v>
      </c>
      <c r="AL701" s="298" t="s">
        <v>285</v>
      </c>
      <c r="AM701" s="298" t="s">
        <v>286</v>
      </c>
      <c r="AN701" s="298" t="s">
        <v>52</v>
      </c>
      <c r="AO701" s="298" t="s">
        <v>1133</v>
      </c>
    </row>
    <row r="702" ht="42.75" customHeight="1">
      <c r="A702" s="69">
        <v>43712.0</v>
      </c>
      <c r="B702" s="70" t="s">
        <v>906</v>
      </c>
      <c r="C702" s="21" t="s">
        <v>1454</v>
      </c>
      <c r="D702" s="21" t="s">
        <v>1598</v>
      </c>
      <c r="E702" s="522" t="s">
        <v>1458</v>
      </c>
      <c r="F702" s="24">
        <v>48.0</v>
      </c>
      <c r="G702" s="436">
        <v>5.8</v>
      </c>
      <c r="H702" s="60">
        <f t="shared" si="94"/>
        <v>278.4</v>
      </c>
      <c r="I702" s="61" t="s">
        <v>105</v>
      </c>
      <c r="J702" s="63" t="s">
        <v>934</v>
      </c>
      <c r="K702" s="29">
        <v>43726.0</v>
      </c>
      <c r="L702" s="30">
        <v>43719.0</v>
      </c>
      <c r="M702" s="50" t="s">
        <v>90</v>
      </c>
      <c r="N702" s="93" t="s">
        <v>3132</v>
      </c>
      <c r="O702" s="408"/>
      <c r="P702" s="408">
        <v>5.0</v>
      </c>
      <c r="Q702" s="408">
        <f t="shared" ref="Q702:Q718" si="95">(P702*F702)*1.05</f>
        <v>252</v>
      </c>
      <c r="R702" s="408"/>
      <c r="S702" s="408">
        <v>7867.0</v>
      </c>
      <c r="T702" s="51" t="s">
        <v>94</v>
      </c>
      <c r="U702" s="305">
        <v>43769.0</v>
      </c>
      <c r="V702" s="462">
        <v>43719.0</v>
      </c>
      <c r="W702" s="306" t="s">
        <v>1599</v>
      </c>
      <c r="X702" s="306">
        <v>96376.0</v>
      </c>
      <c r="Y702" s="306"/>
      <c r="Z702" s="306" t="s">
        <v>3111</v>
      </c>
      <c r="AA702" s="306">
        <v>1.4211532E8</v>
      </c>
      <c r="AB702" s="306">
        <v>31.22</v>
      </c>
      <c r="AC702" s="306"/>
      <c r="AD702" s="306"/>
      <c r="AE702" s="298"/>
      <c r="AF702" s="298"/>
      <c r="AG702" s="299"/>
      <c r="AH702" s="300">
        <v>43714.0</v>
      </c>
      <c r="AI702" s="299">
        <f>4745.99*31.19</f>
        <v>148027.4281</v>
      </c>
      <c r="AJ702" s="299">
        <f>(4763.4-4745.99)*31.19</f>
        <v>543.0179</v>
      </c>
      <c r="AK702" s="298" t="s">
        <v>50</v>
      </c>
      <c r="AL702" s="298" t="s">
        <v>285</v>
      </c>
      <c r="AM702" s="298" t="s">
        <v>51</v>
      </c>
      <c r="AN702" s="298" t="s">
        <v>52</v>
      </c>
      <c r="AO702" s="298" t="s">
        <v>1133</v>
      </c>
    </row>
    <row r="703" ht="42.75" customHeight="1">
      <c r="A703" s="110">
        <v>43712.0</v>
      </c>
      <c r="B703" s="70" t="s">
        <v>906</v>
      </c>
      <c r="C703" s="21" t="s">
        <v>1454</v>
      </c>
      <c r="D703" s="21" t="s">
        <v>1598</v>
      </c>
      <c r="E703" s="535" t="s">
        <v>1456</v>
      </c>
      <c r="F703" s="24">
        <v>15.0</v>
      </c>
      <c r="G703" s="436">
        <v>212.0</v>
      </c>
      <c r="H703" s="60">
        <f t="shared" si="94"/>
        <v>3180</v>
      </c>
      <c r="I703" s="61" t="s">
        <v>105</v>
      </c>
      <c r="J703" s="63" t="s">
        <v>934</v>
      </c>
      <c r="K703" s="29">
        <v>43726.0</v>
      </c>
      <c r="L703" s="30">
        <v>43719.0</v>
      </c>
      <c r="M703" s="50" t="s">
        <v>90</v>
      </c>
      <c r="N703" s="93" t="s">
        <v>3132</v>
      </c>
      <c r="O703" s="408"/>
      <c r="P703" s="408">
        <v>180.0</v>
      </c>
      <c r="Q703" s="408">
        <f t="shared" si="95"/>
        <v>2835</v>
      </c>
      <c r="R703" s="408"/>
      <c r="S703" s="408">
        <v>88509.0</v>
      </c>
      <c r="T703" s="51" t="s">
        <v>94</v>
      </c>
      <c r="U703" s="305">
        <v>43769.0</v>
      </c>
      <c r="V703" s="462">
        <v>43719.0</v>
      </c>
      <c r="W703" s="306" t="s">
        <v>1599</v>
      </c>
      <c r="X703" s="306" t="s">
        <v>3133</v>
      </c>
      <c r="Y703" s="306"/>
      <c r="Z703" s="306" t="s">
        <v>3111</v>
      </c>
      <c r="AA703" s="306">
        <v>1.4211532E8</v>
      </c>
      <c r="AB703" s="306">
        <v>31.22</v>
      </c>
      <c r="AC703" s="306"/>
      <c r="AD703" s="306"/>
      <c r="AE703" s="298"/>
      <c r="AF703" s="298"/>
      <c r="AG703" s="299"/>
      <c r="AH703" s="300">
        <v>43714.0</v>
      </c>
      <c r="AI703" s="299" t="s">
        <v>3134</v>
      </c>
      <c r="AJ703" s="299" t="s">
        <v>3135</v>
      </c>
      <c r="AK703" s="298" t="s">
        <v>50</v>
      </c>
      <c r="AL703" s="298" t="s">
        <v>285</v>
      </c>
      <c r="AM703" s="298" t="s">
        <v>51</v>
      </c>
      <c r="AN703" s="298" t="s">
        <v>52</v>
      </c>
      <c r="AO703" s="298" t="s">
        <v>1133</v>
      </c>
    </row>
    <row r="704" ht="42.75" customHeight="1">
      <c r="A704" s="110">
        <v>43712.0</v>
      </c>
      <c r="B704" s="70" t="s">
        <v>906</v>
      </c>
      <c r="C704" s="21" t="s">
        <v>1454</v>
      </c>
      <c r="D704" s="21" t="s">
        <v>1598</v>
      </c>
      <c r="E704" s="535" t="s">
        <v>1600</v>
      </c>
      <c r="F704" s="24">
        <v>3.0</v>
      </c>
      <c r="G704" s="436">
        <v>435.0</v>
      </c>
      <c r="H704" s="60">
        <f t="shared" si="94"/>
        <v>1305</v>
      </c>
      <c r="I704" s="61" t="s">
        <v>105</v>
      </c>
      <c r="J704" s="63" t="s">
        <v>934</v>
      </c>
      <c r="K704" s="29">
        <v>43726.0</v>
      </c>
      <c r="L704" s="30">
        <v>43726.0</v>
      </c>
      <c r="M704" s="50" t="s">
        <v>90</v>
      </c>
      <c r="N704" s="93" t="s">
        <v>3132</v>
      </c>
      <c r="O704" s="408"/>
      <c r="P704" s="408">
        <v>366.0</v>
      </c>
      <c r="Q704" s="408">
        <f t="shared" si="95"/>
        <v>1152.9</v>
      </c>
      <c r="R704" s="408"/>
      <c r="S704" s="408">
        <v>35994.0</v>
      </c>
      <c r="T704" s="51" t="s">
        <v>94</v>
      </c>
      <c r="U704" s="305">
        <v>43769.0</v>
      </c>
      <c r="V704" s="462">
        <v>43725.0</v>
      </c>
      <c r="W704" s="306" t="s">
        <v>1601</v>
      </c>
      <c r="X704" s="306">
        <v>35994.0</v>
      </c>
      <c r="Y704" s="306"/>
      <c r="Z704" s="306" t="s">
        <v>3111</v>
      </c>
      <c r="AA704" s="306">
        <v>1.4211532E8</v>
      </c>
      <c r="AB704" s="306">
        <v>31.22</v>
      </c>
      <c r="AC704" s="306"/>
      <c r="AD704" s="306"/>
      <c r="AE704" s="298"/>
      <c r="AF704" s="298"/>
      <c r="AG704" s="299"/>
      <c r="AH704" s="300">
        <v>43714.0</v>
      </c>
      <c r="AI704" s="299" t="s">
        <v>3134</v>
      </c>
      <c r="AJ704" s="299" t="s">
        <v>3135</v>
      </c>
      <c r="AK704" s="298" t="s">
        <v>50</v>
      </c>
      <c r="AL704" s="298" t="s">
        <v>285</v>
      </c>
      <c r="AM704" s="298" t="s">
        <v>51</v>
      </c>
      <c r="AN704" s="298" t="s">
        <v>52</v>
      </c>
      <c r="AO704" s="298" t="s">
        <v>1133</v>
      </c>
    </row>
    <row r="705" ht="42.75" customHeight="1">
      <c r="A705" s="536">
        <v>43713.0</v>
      </c>
      <c r="B705" s="70" t="s">
        <v>101</v>
      </c>
      <c r="C705" s="21" t="s">
        <v>1602</v>
      </c>
      <c r="D705" s="21" t="s">
        <v>1603</v>
      </c>
      <c r="E705" s="23" t="s">
        <v>1604</v>
      </c>
      <c r="F705" s="24">
        <v>3.0</v>
      </c>
      <c r="G705" s="48">
        <v>165.0</v>
      </c>
      <c r="H705" s="60">
        <f t="shared" si="94"/>
        <v>495</v>
      </c>
      <c r="I705" s="61" t="s">
        <v>105</v>
      </c>
      <c r="J705" s="63" t="s">
        <v>534</v>
      </c>
      <c r="K705" s="29">
        <v>43718.0</v>
      </c>
      <c r="L705" s="30">
        <v>43717.0</v>
      </c>
      <c r="M705" s="50" t="s">
        <v>3136</v>
      </c>
      <c r="N705" s="93" t="s">
        <v>3137</v>
      </c>
      <c r="O705" s="408"/>
      <c r="P705" s="408"/>
      <c r="Q705" s="408">
        <f t="shared" si="95"/>
        <v>0</v>
      </c>
      <c r="R705" s="408">
        <v>4350.0</v>
      </c>
      <c r="S705" s="408">
        <v>13703.0</v>
      </c>
      <c r="T705" s="714" t="s">
        <v>3138</v>
      </c>
      <c r="U705" s="305">
        <v>43769.0</v>
      </c>
      <c r="V705" s="462">
        <v>43714.0</v>
      </c>
      <c r="W705" s="537" t="s">
        <v>1605</v>
      </c>
      <c r="X705" s="306">
        <v>13703.0</v>
      </c>
      <c r="Y705" s="306"/>
      <c r="Z705" s="306" t="s">
        <v>3139</v>
      </c>
      <c r="AA705" s="306">
        <v>1.019804295E9</v>
      </c>
      <c r="AB705" s="306">
        <v>31.325</v>
      </c>
      <c r="AC705" s="306"/>
      <c r="AD705" s="306"/>
      <c r="AE705" s="298"/>
      <c r="AF705" s="298"/>
      <c r="AG705" s="299"/>
      <c r="AH705" s="29">
        <v>43760.0</v>
      </c>
      <c r="AI705" s="299" t="s">
        <v>3120</v>
      </c>
      <c r="AJ705" s="299" t="s">
        <v>3121</v>
      </c>
      <c r="AK705" s="298" t="s">
        <v>50</v>
      </c>
      <c r="AL705" s="298" t="s">
        <v>285</v>
      </c>
      <c r="AM705" s="298" t="s">
        <v>51</v>
      </c>
      <c r="AN705" s="298" t="s">
        <v>52</v>
      </c>
      <c r="AO705" s="298" t="s">
        <v>1133</v>
      </c>
    </row>
    <row r="706" ht="42.75" customHeight="1">
      <c r="A706" s="536">
        <v>43713.0</v>
      </c>
      <c r="B706" s="70" t="s">
        <v>101</v>
      </c>
      <c r="C706" s="21" t="s">
        <v>1606</v>
      </c>
      <c r="D706" s="477" t="s">
        <v>1607</v>
      </c>
      <c r="E706" s="23" t="s">
        <v>1608</v>
      </c>
      <c r="F706" s="24">
        <v>10.0</v>
      </c>
      <c r="G706" s="74">
        <v>610.0</v>
      </c>
      <c r="H706" s="60">
        <f t="shared" ref="H706:H708" si="96">F706*G706</f>
        <v>6100</v>
      </c>
      <c r="I706" s="61" t="s">
        <v>105</v>
      </c>
      <c r="J706" s="63" t="s">
        <v>1028</v>
      </c>
      <c r="K706" s="29">
        <v>43734.0</v>
      </c>
      <c r="L706" s="30">
        <v>43732.0</v>
      </c>
      <c r="M706" s="58" t="s">
        <v>1439</v>
      </c>
      <c r="N706" s="93" t="s">
        <v>3140</v>
      </c>
      <c r="O706" s="408"/>
      <c r="P706" s="408">
        <v>565.0</v>
      </c>
      <c r="Q706" s="408">
        <f t="shared" si="95"/>
        <v>5932.5</v>
      </c>
      <c r="R706" s="408"/>
      <c r="S706" s="408">
        <v>185510.0</v>
      </c>
      <c r="T706" s="503" t="s">
        <v>1976</v>
      </c>
      <c r="U706" s="305">
        <v>43769.0</v>
      </c>
      <c r="V706" s="462">
        <v>43731.0</v>
      </c>
      <c r="W706" s="306" t="s">
        <v>1609</v>
      </c>
      <c r="X706" s="306">
        <v>249535.0</v>
      </c>
      <c r="Y706" s="306"/>
      <c r="Z706" s="306" t="s">
        <v>3129</v>
      </c>
      <c r="AA706" s="306">
        <v>4.511020776E9</v>
      </c>
      <c r="AB706" s="306">
        <v>30.985</v>
      </c>
      <c r="AC706" s="306"/>
      <c r="AD706" s="306"/>
      <c r="AE706" s="298"/>
      <c r="AF706" s="298"/>
      <c r="AG706" s="299"/>
      <c r="AH706" s="29">
        <v>43789.0</v>
      </c>
      <c r="AI706" s="299" t="s">
        <v>3125</v>
      </c>
      <c r="AJ706" s="299" t="s">
        <v>3126</v>
      </c>
      <c r="AK706" s="298" t="s">
        <v>50</v>
      </c>
      <c r="AL706" s="298" t="s">
        <v>285</v>
      </c>
      <c r="AM706" s="298" t="s">
        <v>51</v>
      </c>
      <c r="AN706" s="298" t="s">
        <v>52</v>
      </c>
      <c r="AO706" s="298" t="s">
        <v>1133</v>
      </c>
    </row>
    <row r="707" ht="42.75" customHeight="1">
      <c r="A707" s="536">
        <v>43713.0</v>
      </c>
      <c r="B707" s="70" t="s">
        <v>101</v>
      </c>
      <c r="C707" s="21" t="s">
        <v>1606</v>
      </c>
      <c r="D707" s="477" t="s">
        <v>1607</v>
      </c>
      <c r="E707" s="23" t="s">
        <v>1610</v>
      </c>
      <c r="F707" s="24">
        <v>10.0</v>
      </c>
      <c r="G707" s="74">
        <v>219.0</v>
      </c>
      <c r="H707" s="60">
        <f t="shared" si="96"/>
        <v>2190</v>
      </c>
      <c r="I707" s="61" t="s">
        <v>105</v>
      </c>
      <c r="J707" s="63" t="s">
        <v>1028</v>
      </c>
      <c r="K707" s="29">
        <v>43734.0</v>
      </c>
      <c r="L707" s="30">
        <v>43732.0</v>
      </c>
      <c r="M707" s="58" t="s">
        <v>1439</v>
      </c>
      <c r="N707" s="93" t="s">
        <v>3140</v>
      </c>
      <c r="O707" s="408"/>
      <c r="P707" s="408">
        <v>195.0</v>
      </c>
      <c r="Q707" s="408">
        <f t="shared" si="95"/>
        <v>2047.5</v>
      </c>
      <c r="R707" s="408"/>
      <c r="S707" s="408">
        <v>64025.0</v>
      </c>
      <c r="T707" s="503" t="s">
        <v>1976</v>
      </c>
      <c r="U707" s="305">
        <v>43769.0</v>
      </c>
      <c r="V707" s="462">
        <v>43731.0</v>
      </c>
      <c r="W707" s="306" t="s">
        <v>1609</v>
      </c>
      <c r="X707" s="306" t="s">
        <v>3141</v>
      </c>
      <c r="Y707" s="306"/>
      <c r="Z707" s="306" t="s">
        <v>3129</v>
      </c>
      <c r="AA707" s="306">
        <v>4.511020776E9</v>
      </c>
      <c r="AB707" s="306">
        <v>30.985</v>
      </c>
      <c r="AC707" s="306"/>
      <c r="AD707" s="306"/>
      <c r="AE707" s="298"/>
      <c r="AF707" s="298"/>
      <c r="AG707" s="299"/>
      <c r="AH707" s="29">
        <v>43789.0</v>
      </c>
      <c r="AI707" s="299" t="s">
        <v>3125</v>
      </c>
      <c r="AJ707" s="299" t="s">
        <v>3126</v>
      </c>
      <c r="AK707" s="298" t="s">
        <v>50</v>
      </c>
      <c r="AL707" s="298" t="s">
        <v>285</v>
      </c>
      <c r="AM707" s="298" t="s">
        <v>51</v>
      </c>
      <c r="AN707" s="298" t="s">
        <v>52</v>
      </c>
      <c r="AO707" s="298" t="s">
        <v>1133</v>
      </c>
    </row>
    <row r="708" ht="42.75" customHeight="1">
      <c r="A708" s="536">
        <v>43713.0</v>
      </c>
      <c r="B708" s="70" t="s">
        <v>101</v>
      </c>
      <c r="C708" s="21" t="s">
        <v>1606</v>
      </c>
      <c r="D708" s="477" t="s">
        <v>1607</v>
      </c>
      <c r="E708" s="23" t="s">
        <v>1611</v>
      </c>
      <c r="F708" s="24">
        <v>10.0</v>
      </c>
      <c r="G708" s="74">
        <v>54.0</v>
      </c>
      <c r="H708" s="60">
        <f t="shared" si="96"/>
        <v>540</v>
      </c>
      <c r="I708" s="61" t="s">
        <v>105</v>
      </c>
      <c r="J708" s="63" t="s">
        <v>1028</v>
      </c>
      <c r="K708" s="29">
        <v>43734.0</v>
      </c>
      <c r="L708" s="29">
        <v>43717.0</v>
      </c>
      <c r="M708" s="50" t="s">
        <v>1981</v>
      </c>
      <c r="N708" s="93" t="s">
        <v>3142</v>
      </c>
      <c r="O708" s="408"/>
      <c r="P708" s="408"/>
      <c r="Q708" s="408">
        <f t="shared" si="95"/>
        <v>0</v>
      </c>
      <c r="R708" s="627"/>
      <c r="S708" s="715">
        <v>12401.0</v>
      </c>
      <c r="T708" s="51" t="s">
        <v>1983</v>
      </c>
      <c r="U708" s="462">
        <v>43774.0</v>
      </c>
      <c r="V708" s="462">
        <v>43740.0</v>
      </c>
      <c r="W708" s="306" t="s">
        <v>1612</v>
      </c>
      <c r="X708" s="306">
        <v>12369.0</v>
      </c>
      <c r="Y708" s="306"/>
      <c r="Z708" s="306" t="s">
        <v>3129</v>
      </c>
      <c r="AA708" s="306">
        <v>4.511020776E9</v>
      </c>
      <c r="AB708" s="306">
        <v>30.985</v>
      </c>
      <c r="AC708" s="306"/>
      <c r="AD708" s="306"/>
      <c r="AE708" s="298"/>
      <c r="AF708" s="298"/>
      <c r="AG708" s="299"/>
      <c r="AH708" s="29">
        <v>43789.0</v>
      </c>
      <c r="AI708" s="299" t="s">
        <v>3125</v>
      </c>
      <c r="AJ708" s="299" t="s">
        <v>3126</v>
      </c>
      <c r="AK708" s="298" t="s">
        <v>50</v>
      </c>
      <c r="AL708" s="298" t="s">
        <v>285</v>
      </c>
      <c r="AM708" s="298" t="s">
        <v>51</v>
      </c>
      <c r="AN708" s="298" t="s">
        <v>52</v>
      </c>
      <c r="AO708" s="298" t="s">
        <v>1133</v>
      </c>
    </row>
    <row r="709" ht="42.75" customHeight="1">
      <c r="A709" s="110">
        <v>43714.0</v>
      </c>
      <c r="B709" s="70" t="s">
        <v>223</v>
      </c>
      <c r="C709" s="21" t="s">
        <v>1613</v>
      </c>
      <c r="D709" s="21" t="s">
        <v>1614</v>
      </c>
      <c r="E709" s="23" t="s">
        <v>1615</v>
      </c>
      <c r="F709" s="24">
        <v>2.0</v>
      </c>
      <c r="G709" s="48">
        <f>451*1.05</f>
        <v>473.55</v>
      </c>
      <c r="H709" s="60">
        <f t="shared" ref="H709:H717" si="97">G709*F709</f>
        <v>947.1</v>
      </c>
      <c r="I709" s="61" t="s">
        <v>248</v>
      </c>
      <c r="J709" s="63" t="s">
        <v>90</v>
      </c>
      <c r="K709" s="29">
        <v>43725.0</v>
      </c>
      <c r="L709" s="30">
        <v>43725.0</v>
      </c>
      <c r="M709" s="50" t="s">
        <v>90</v>
      </c>
      <c r="N709" s="93" t="s">
        <v>3143</v>
      </c>
      <c r="O709" s="408"/>
      <c r="P709" s="408">
        <v>410.0</v>
      </c>
      <c r="Q709" s="408">
        <f t="shared" si="95"/>
        <v>861</v>
      </c>
      <c r="R709" s="408"/>
      <c r="S709" s="408">
        <v>26880.0</v>
      </c>
      <c r="T709" s="51" t="s">
        <v>94</v>
      </c>
      <c r="U709" s="462">
        <v>43769.0</v>
      </c>
      <c r="V709" s="462">
        <v>43724.0</v>
      </c>
      <c r="W709" s="306" t="s">
        <v>1616</v>
      </c>
      <c r="X709" s="306">
        <v>26880.0</v>
      </c>
      <c r="Y709" s="306"/>
      <c r="Z709" s="306" t="s">
        <v>3144</v>
      </c>
      <c r="AA709" s="306" t="s">
        <v>3145</v>
      </c>
      <c r="AB709" s="306">
        <v>30.975</v>
      </c>
      <c r="AC709" s="306">
        <v>29336.0</v>
      </c>
      <c r="AD709" s="462">
        <v>43726.0</v>
      </c>
      <c r="AE709" s="298"/>
      <c r="AF709" s="298"/>
      <c r="AG709" s="299"/>
      <c r="AH709" s="300">
        <v>43743.0</v>
      </c>
      <c r="AI709" s="299" t="s">
        <v>3090</v>
      </c>
      <c r="AJ709" s="299" t="s">
        <v>3091</v>
      </c>
      <c r="AK709" s="298" t="s">
        <v>50</v>
      </c>
      <c r="AL709" s="298" t="s">
        <v>285</v>
      </c>
      <c r="AM709" s="298" t="s">
        <v>51</v>
      </c>
      <c r="AN709" s="298" t="s">
        <v>377</v>
      </c>
      <c r="AO709" s="298" t="s">
        <v>1133</v>
      </c>
    </row>
    <row r="710" ht="42.75" customHeight="1">
      <c r="A710" s="110">
        <v>43714.0</v>
      </c>
      <c r="B710" s="70" t="s">
        <v>721</v>
      </c>
      <c r="C710" s="21" t="s">
        <v>1617</v>
      </c>
      <c r="D710" s="21" t="s">
        <v>1618</v>
      </c>
      <c r="E710" s="23" t="s">
        <v>736</v>
      </c>
      <c r="F710" s="24">
        <v>14.0</v>
      </c>
      <c r="G710" s="48">
        <v>320.0</v>
      </c>
      <c r="H710" s="60">
        <f t="shared" si="97"/>
        <v>4480</v>
      </c>
      <c r="I710" s="348" t="s">
        <v>248</v>
      </c>
      <c r="J710" s="22" t="s">
        <v>724</v>
      </c>
      <c r="K710" s="145">
        <v>43735.0</v>
      </c>
      <c r="L710" s="30">
        <v>43734.0</v>
      </c>
      <c r="M710" s="58" t="s">
        <v>90</v>
      </c>
      <c r="N710" s="93" t="s">
        <v>3146</v>
      </c>
      <c r="O710" s="22"/>
      <c r="P710" s="22">
        <v>257.0</v>
      </c>
      <c r="Q710" s="408">
        <f t="shared" si="95"/>
        <v>3777.9</v>
      </c>
      <c r="R710" s="408"/>
      <c r="S710" s="408">
        <v>117058.0</v>
      </c>
      <c r="T710" s="51" t="s">
        <v>94</v>
      </c>
      <c r="U710" s="305">
        <v>43769.0</v>
      </c>
      <c r="V710" s="462">
        <v>43733.0</v>
      </c>
      <c r="W710" s="306" t="s">
        <v>1619</v>
      </c>
      <c r="X710" s="306">
        <v>152293.0</v>
      </c>
      <c r="Y710" s="306"/>
      <c r="Z710" s="306" t="s">
        <v>3147</v>
      </c>
      <c r="AA710" s="306" t="s">
        <v>3148</v>
      </c>
      <c r="AB710" s="306">
        <v>30.985</v>
      </c>
      <c r="AC710" s="306"/>
      <c r="AD710" s="306"/>
      <c r="AE710" s="298"/>
      <c r="AF710" s="298"/>
      <c r="AG710" s="299"/>
      <c r="AH710" s="300">
        <v>43732.0</v>
      </c>
      <c r="AI710" s="299">
        <f>5695.54*30.96</f>
        <v>176333.9184</v>
      </c>
      <c r="AJ710" s="299">
        <f>(5713-5695.54)*30.96</f>
        <v>540.5616</v>
      </c>
      <c r="AK710" s="298" t="s">
        <v>50</v>
      </c>
      <c r="AL710" s="298" t="s">
        <v>285</v>
      </c>
      <c r="AM710" s="298" t="s">
        <v>51</v>
      </c>
      <c r="AN710" s="298" t="s">
        <v>52</v>
      </c>
      <c r="AO710" s="298" t="s">
        <v>1133</v>
      </c>
    </row>
    <row r="711" ht="42.75" customHeight="1">
      <c r="A711" s="110">
        <v>43714.0</v>
      </c>
      <c r="B711" s="70" t="s">
        <v>721</v>
      </c>
      <c r="C711" s="21" t="s">
        <v>1617</v>
      </c>
      <c r="D711" s="21" t="s">
        <v>1618</v>
      </c>
      <c r="E711" s="23" t="s">
        <v>723</v>
      </c>
      <c r="F711" s="24">
        <v>3.0</v>
      </c>
      <c r="G711" s="48">
        <v>94.0</v>
      </c>
      <c r="H711" s="60">
        <f t="shared" si="97"/>
        <v>282</v>
      </c>
      <c r="I711" s="348" t="s">
        <v>248</v>
      </c>
      <c r="J711" s="538" t="s">
        <v>724</v>
      </c>
      <c r="K711" s="145">
        <v>43735.0</v>
      </c>
      <c r="L711" s="30">
        <v>43734.0</v>
      </c>
      <c r="M711" s="58" t="s">
        <v>90</v>
      </c>
      <c r="N711" s="93" t="s">
        <v>3146</v>
      </c>
      <c r="O711" s="22"/>
      <c r="P711" s="22">
        <v>84.0</v>
      </c>
      <c r="Q711" s="408">
        <f t="shared" si="95"/>
        <v>264.6</v>
      </c>
      <c r="R711" s="408"/>
      <c r="S711" s="408">
        <v>8199.0</v>
      </c>
      <c r="T711" s="51" t="s">
        <v>94</v>
      </c>
      <c r="U711" s="305">
        <v>43769.0</v>
      </c>
      <c r="V711" s="462">
        <v>43733.0</v>
      </c>
      <c r="W711" s="306" t="s">
        <v>1619</v>
      </c>
      <c r="X711" s="306" t="s">
        <v>3149</v>
      </c>
      <c r="Y711" s="306"/>
      <c r="Z711" s="306" t="s">
        <v>3147</v>
      </c>
      <c r="AA711" s="306" t="s">
        <v>3148</v>
      </c>
      <c r="AB711" s="306">
        <v>30.985</v>
      </c>
      <c r="AC711" s="306"/>
      <c r="AD711" s="306"/>
      <c r="AE711" s="298"/>
      <c r="AF711" s="298"/>
      <c r="AG711" s="299"/>
      <c r="AH711" s="300">
        <v>43732.0</v>
      </c>
      <c r="AI711" s="299" t="s">
        <v>3150</v>
      </c>
      <c r="AJ711" s="299" t="s">
        <v>3151</v>
      </c>
      <c r="AK711" s="298" t="s">
        <v>50</v>
      </c>
      <c r="AL711" s="298" t="s">
        <v>285</v>
      </c>
      <c r="AM711" s="298" t="s">
        <v>51</v>
      </c>
      <c r="AN711" s="298" t="s">
        <v>52</v>
      </c>
      <c r="AO711" s="298" t="s">
        <v>1133</v>
      </c>
    </row>
    <row r="712" ht="42.75" customHeight="1">
      <c r="A712" s="110">
        <v>43714.0</v>
      </c>
      <c r="B712" s="70" t="s">
        <v>721</v>
      </c>
      <c r="C712" s="21" t="s">
        <v>1617</v>
      </c>
      <c r="D712" s="21" t="s">
        <v>1618</v>
      </c>
      <c r="E712" s="23" t="s">
        <v>1620</v>
      </c>
      <c r="F712" s="24">
        <v>3.0</v>
      </c>
      <c r="G712" s="48">
        <v>317.0</v>
      </c>
      <c r="H712" s="60">
        <f t="shared" si="97"/>
        <v>951</v>
      </c>
      <c r="I712" s="348" t="s">
        <v>248</v>
      </c>
      <c r="J712" s="58" t="s">
        <v>724</v>
      </c>
      <c r="K712" s="145">
        <v>43735.0</v>
      </c>
      <c r="L712" s="30">
        <v>43734.0</v>
      </c>
      <c r="M712" s="58" t="s">
        <v>90</v>
      </c>
      <c r="N712" s="93" t="s">
        <v>3146</v>
      </c>
      <c r="O712" s="22"/>
      <c r="P712" s="22">
        <v>277.0</v>
      </c>
      <c r="Q712" s="408">
        <f t="shared" si="95"/>
        <v>872.55</v>
      </c>
      <c r="R712" s="408"/>
      <c r="S712" s="408">
        <v>27036.0</v>
      </c>
      <c r="T712" s="51" t="s">
        <v>94</v>
      </c>
      <c r="U712" s="305">
        <v>43769.0</v>
      </c>
      <c r="V712" s="462">
        <v>43733.0</v>
      </c>
      <c r="W712" s="306" t="s">
        <v>1619</v>
      </c>
      <c r="X712" s="306" t="s">
        <v>3149</v>
      </c>
      <c r="Y712" s="306"/>
      <c r="Z712" s="306" t="s">
        <v>3147</v>
      </c>
      <c r="AA712" s="306" t="s">
        <v>3148</v>
      </c>
      <c r="AB712" s="306">
        <v>30.985</v>
      </c>
      <c r="AC712" s="306"/>
      <c r="AD712" s="306"/>
      <c r="AE712" s="298"/>
      <c r="AF712" s="298"/>
      <c r="AG712" s="299"/>
      <c r="AH712" s="300">
        <v>43732.0</v>
      </c>
      <c r="AI712" s="299" t="s">
        <v>3150</v>
      </c>
      <c r="AJ712" s="299" t="s">
        <v>3151</v>
      </c>
      <c r="AK712" s="298" t="s">
        <v>50</v>
      </c>
      <c r="AL712" s="298" t="s">
        <v>285</v>
      </c>
      <c r="AM712" s="298" t="s">
        <v>51</v>
      </c>
      <c r="AN712" s="298" t="s">
        <v>52</v>
      </c>
      <c r="AO712" s="298" t="s">
        <v>1133</v>
      </c>
    </row>
    <row r="713" ht="42.75" customHeight="1">
      <c r="A713" s="110">
        <v>43717.0</v>
      </c>
      <c r="B713" s="70" t="s">
        <v>130</v>
      </c>
      <c r="C713" s="21"/>
      <c r="D713" s="21" t="s">
        <v>1621</v>
      </c>
      <c r="E713" s="23" t="s">
        <v>1622</v>
      </c>
      <c r="F713" s="24">
        <v>15.0</v>
      </c>
      <c r="G713" s="48">
        <v>66.0</v>
      </c>
      <c r="H713" s="60">
        <f t="shared" si="97"/>
        <v>990</v>
      </c>
      <c r="I713" s="61" t="s">
        <v>248</v>
      </c>
      <c r="J713" s="50" t="s">
        <v>134</v>
      </c>
      <c r="K713" s="30">
        <v>43741.0</v>
      </c>
      <c r="L713" s="30">
        <v>43734.0</v>
      </c>
      <c r="M713" s="50" t="s">
        <v>90</v>
      </c>
      <c r="N713" s="93" t="s">
        <v>3152</v>
      </c>
      <c r="O713" s="408"/>
      <c r="P713" s="408">
        <v>60.0</v>
      </c>
      <c r="Q713" s="408">
        <f t="shared" si="95"/>
        <v>945</v>
      </c>
      <c r="R713" s="408"/>
      <c r="S713" s="408">
        <v>29281.0</v>
      </c>
      <c r="T713" s="51" t="s">
        <v>94</v>
      </c>
      <c r="U713" s="305">
        <v>43769.0</v>
      </c>
      <c r="V713" s="462">
        <v>43733.0</v>
      </c>
      <c r="W713" s="306" t="s">
        <v>1046</v>
      </c>
      <c r="X713" s="306" t="s">
        <v>3153</v>
      </c>
      <c r="Y713" s="306"/>
      <c r="Z713" s="306" t="s">
        <v>2641</v>
      </c>
      <c r="AA713" s="306">
        <v>4.652050782E9</v>
      </c>
      <c r="AB713" s="306">
        <v>30.97</v>
      </c>
      <c r="AC713" s="306"/>
      <c r="AD713" s="306"/>
      <c r="AE713" s="298"/>
      <c r="AF713" s="298"/>
      <c r="AG713" s="299"/>
      <c r="AH713" s="29">
        <v>43756.0</v>
      </c>
      <c r="AI713" s="299" t="s">
        <v>2630</v>
      </c>
      <c r="AJ713" s="299" t="s">
        <v>3154</v>
      </c>
      <c r="AK713" s="298" t="s">
        <v>50</v>
      </c>
      <c r="AL713" s="298" t="s">
        <v>285</v>
      </c>
      <c r="AM713" s="298" t="s">
        <v>51</v>
      </c>
      <c r="AN713" s="298" t="s">
        <v>52</v>
      </c>
      <c r="AO713" s="298" t="s">
        <v>763</v>
      </c>
    </row>
    <row r="714" ht="42.75" customHeight="1">
      <c r="A714" s="110">
        <v>43717.0</v>
      </c>
      <c r="B714" s="70" t="s">
        <v>130</v>
      </c>
      <c r="C714" s="21"/>
      <c r="D714" s="21" t="s">
        <v>1621</v>
      </c>
      <c r="E714" s="23" t="s">
        <v>1623</v>
      </c>
      <c r="F714" s="24">
        <v>10.0</v>
      </c>
      <c r="G714" s="48">
        <v>85.0</v>
      </c>
      <c r="H714" s="60">
        <f t="shared" si="97"/>
        <v>850</v>
      </c>
      <c r="I714" s="61" t="s">
        <v>248</v>
      </c>
      <c r="J714" s="50" t="s">
        <v>134</v>
      </c>
      <c r="K714" s="30">
        <v>43741.0</v>
      </c>
      <c r="L714" s="30">
        <v>43734.0</v>
      </c>
      <c r="M714" s="50" t="s">
        <v>90</v>
      </c>
      <c r="N714" s="93" t="s">
        <v>3152</v>
      </c>
      <c r="O714" s="408"/>
      <c r="P714" s="408">
        <v>74.0</v>
      </c>
      <c r="Q714" s="408">
        <f t="shared" si="95"/>
        <v>777</v>
      </c>
      <c r="R714" s="408"/>
      <c r="S714" s="408">
        <v>24075.0</v>
      </c>
      <c r="T714" s="51" t="s">
        <v>94</v>
      </c>
      <c r="U714" s="305">
        <v>43769.0</v>
      </c>
      <c r="V714" s="462">
        <v>43733.0</v>
      </c>
      <c r="W714" s="306" t="s">
        <v>1046</v>
      </c>
      <c r="X714" s="306" t="s">
        <v>3153</v>
      </c>
      <c r="Y714" s="306"/>
      <c r="Z714" s="306" t="s">
        <v>2641</v>
      </c>
      <c r="AA714" s="306">
        <v>4.652050782E9</v>
      </c>
      <c r="AB714" s="306">
        <v>30.97</v>
      </c>
      <c r="AC714" s="306"/>
      <c r="AD714" s="306"/>
      <c r="AE714" s="298"/>
      <c r="AF714" s="298"/>
      <c r="AG714" s="299"/>
      <c r="AH714" s="29">
        <v>43756.0</v>
      </c>
      <c r="AI714" s="299" t="s">
        <v>2630</v>
      </c>
      <c r="AJ714" s="299" t="s">
        <v>3154</v>
      </c>
      <c r="AK714" s="298" t="s">
        <v>50</v>
      </c>
      <c r="AL714" s="298" t="s">
        <v>285</v>
      </c>
      <c r="AM714" s="298" t="s">
        <v>51</v>
      </c>
      <c r="AN714" s="298" t="s">
        <v>52</v>
      </c>
      <c r="AO714" s="298" t="s">
        <v>763</v>
      </c>
    </row>
    <row r="715" ht="42.75" customHeight="1">
      <c r="A715" s="110">
        <v>43717.0</v>
      </c>
      <c r="B715" s="70" t="s">
        <v>130</v>
      </c>
      <c r="C715" s="21"/>
      <c r="D715" s="21" t="s">
        <v>1621</v>
      </c>
      <c r="E715" s="23" t="s">
        <v>3155</v>
      </c>
      <c r="F715" s="24">
        <v>20.0</v>
      </c>
      <c r="G715" s="48">
        <v>90.0</v>
      </c>
      <c r="H715" s="60">
        <f t="shared" si="97"/>
        <v>1800</v>
      </c>
      <c r="I715" s="61" t="s">
        <v>248</v>
      </c>
      <c r="J715" s="50" t="s">
        <v>134</v>
      </c>
      <c r="K715" s="30">
        <v>43741.0</v>
      </c>
      <c r="L715" s="30">
        <v>43734.0</v>
      </c>
      <c r="M715" s="50" t="s">
        <v>90</v>
      </c>
      <c r="N715" s="93" t="s">
        <v>3152</v>
      </c>
      <c r="O715" s="408"/>
      <c r="P715" s="408">
        <v>77.0</v>
      </c>
      <c r="Q715" s="408">
        <f t="shared" si="95"/>
        <v>1617</v>
      </c>
      <c r="R715" s="408"/>
      <c r="S715" s="408">
        <v>50103.0</v>
      </c>
      <c r="T715" s="51" t="s">
        <v>94</v>
      </c>
      <c r="U715" s="305">
        <v>43769.0</v>
      </c>
      <c r="V715" s="462">
        <v>43733.0</v>
      </c>
      <c r="W715" s="306" t="s">
        <v>1046</v>
      </c>
      <c r="X715" s="306" t="s">
        <v>3153</v>
      </c>
      <c r="Y715" s="306"/>
      <c r="Z715" s="306" t="s">
        <v>2641</v>
      </c>
      <c r="AA715" s="306">
        <v>4.652050782E9</v>
      </c>
      <c r="AB715" s="306">
        <v>30.97</v>
      </c>
      <c r="AC715" s="306"/>
      <c r="AD715" s="306"/>
      <c r="AE715" s="298"/>
      <c r="AF715" s="298"/>
      <c r="AG715" s="299"/>
      <c r="AH715" s="29">
        <v>43756.0</v>
      </c>
      <c r="AI715" s="299" t="s">
        <v>2630</v>
      </c>
      <c r="AJ715" s="299" t="s">
        <v>3154</v>
      </c>
      <c r="AK715" s="298" t="s">
        <v>50</v>
      </c>
      <c r="AL715" s="298" t="s">
        <v>285</v>
      </c>
      <c r="AM715" s="298" t="s">
        <v>51</v>
      </c>
      <c r="AN715" s="298" t="s">
        <v>52</v>
      </c>
      <c r="AO715" s="298" t="s">
        <v>763</v>
      </c>
    </row>
    <row r="716" ht="42.75" customHeight="1">
      <c r="A716" s="110">
        <v>43717.0</v>
      </c>
      <c r="B716" s="70" t="s">
        <v>130</v>
      </c>
      <c r="C716" s="21"/>
      <c r="D716" s="21" t="s">
        <v>1621</v>
      </c>
      <c r="E716" s="23" t="s">
        <v>1625</v>
      </c>
      <c r="F716" s="24">
        <v>5.0</v>
      </c>
      <c r="G716" s="48">
        <v>50.0</v>
      </c>
      <c r="H716" s="60">
        <f t="shared" si="97"/>
        <v>250</v>
      </c>
      <c r="I716" s="61" t="s">
        <v>248</v>
      </c>
      <c r="J716" s="50" t="s">
        <v>134</v>
      </c>
      <c r="K716" s="30">
        <v>43741.0</v>
      </c>
      <c r="L716" s="30">
        <v>43734.0</v>
      </c>
      <c r="M716" s="50" t="s">
        <v>90</v>
      </c>
      <c r="N716" s="93" t="s">
        <v>3152</v>
      </c>
      <c r="O716" s="408"/>
      <c r="P716" s="408">
        <v>43.0</v>
      </c>
      <c r="Q716" s="408">
        <f t="shared" si="95"/>
        <v>225.75</v>
      </c>
      <c r="R716" s="408"/>
      <c r="S716" s="229">
        <v>6995.0</v>
      </c>
      <c r="T716" s="51" t="s">
        <v>94</v>
      </c>
      <c r="U716" s="305">
        <v>43769.0</v>
      </c>
      <c r="V716" s="462">
        <v>43733.0</v>
      </c>
      <c r="W716" s="306" t="s">
        <v>1046</v>
      </c>
      <c r="X716" s="306" t="s">
        <v>3153</v>
      </c>
      <c r="Y716" s="306"/>
      <c r="Z716" s="306" t="s">
        <v>2641</v>
      </c>
      <c r="AA716" s="306">
        <v>4.652050782E9</v>
      </c>
      <c r="AB716" s="306">
        <v>30.97</v>
      </c>
      <c r="AC716" s="306"/>
      <c r="AD716" s="306"/>
      <c r="AE716" s="298"/>
      <c r="AF716" s="298"/>
      <c r="AG716" s="299"/>
      <c r="AH716" s="29">
        <v>43756.0</v>
      </c>
      <c r="AI716" s="299" t="s">
        <v>2630</v>
      </c>
      <c r="AJ716" s="299" t="s">
        <v>3154</v>
      </c>
      <c r="AK716" s="298" t="s">
        <v>50</v>
      </c>
      <c r="AL716" s="298" t="s">
        <v>285</v>
      </c>
      <c r="AM716" s="298" t="s">
        <v>51</v>
      </c>
      <c r="AN716" s="298" t="s">
        <v>52</v>
      </c>
      <c r="AO716" s="298" t="s">
        <v>763</v>
      </c>
    </row>
    <row r="717" ht="42.75" customHeight="1">
      <c r="A717" s="110">
        <v>43717.0</v>
      </c>
      <c r="B717" s="70" t="s">
        <v>130</v>
      </c>
      <c r="C717" s="21"/>
      <c r="D717" s="21" t="s">
        <v>1621</v>
      </c>
      <c r="E717" s="23" t="s">
        <v>1626</v>
      </c>
      <c r="F717" s="24">
        <v>10.0</v>
      </c>
      <c r="G717" s="48">
        <v>58.0</v>
      </c>
      <c r="H717" s="60">
        <f t="shared" si="97"/>
        <v>580</v>
      </c>
      <c r="I717" s="61" t="s">
        <v>248</v>
      </c>
      <c r="J717" s="50" t="s">
        <v>134</v>
      </c>
      <c r="K717" s="30">
        <v>43741.0</v>
      </c>
      <c r="L717" s="30">
        <v>43734.0</v>
      </c>
      <c r="M717" s="50" t="s">
        <v>90</v>
      </c>
      <c r="N717" s="93" t="s">
        <v>3152</v>
      </c>
      <c r="O717" s="408"/>
      <c r="P717" s="408">
        <v>44.0</v>
      </c>
      <c r="Q717" s="408">
        <f t="shared" si="95"/>
        <v>462</v>
      </c>
      <c r="R717" s="408"/>
      <c r="S717" s="408">
        <v>14315.0</v>
      </c>
      <c r="T717" s="51" t="s">
        <v>94</v>
      </c>
      <c r="U717" s="305">
        <v>43769.0</v>
      </c>
      <c r="V717" s="462">
        <v>43733.0</v>
      </c>
      <c r="W717" s="306" t="s">
        <v>1046</v>
      </c>
      <c r="X717" s="306" t="s">
        <v>3153</v>
      </c>
      <c r="Y717" s="306"/>
      <c r="Z717" s="306" t="s">
        <v>2641</v>
      </c>
      <c r="AA717" s="306">
        <v>4.652050782E9</v>
      </c>
      <c r="AB717" s="306">
        <v>30.97</v>
      </c>
      <c r="AC717" s="306"/>
      <c r="AD717" s="306"/>
      <c r="AE717" s="298"/>
      <c r="AF717" s="298"/>
      <c r="AG717" s="299"/>
      <c r="AH717" s="29">
        <v>43756.0</v>
      </c>
      <c r="AI717" s="299" t="s">
        <v>2630</v>
      </c>
      <c r="AJ717" s="299" t="s">
        <v>3154</v>
      </c>
      <c r="AK717" s="298" t="s">
        <v>50</v>
      </c>
      <c r="AL717" s="298" t="s">
        <v>285</v>
      </c>
      <c r="AM717" s="298" t="s">
        <v>51</v>
      </c>
      <c r="AN717" s="298" t="s">
        <v>52</v>
      </c>
      <c r="AO717" s="298" t="s">
        <v>763</v>
      </c>
    </row>
    <row r="718" ht="42.75" customHeight="1">
      <c r="A718" s="110">
        <v>43718.0</v>
      </c>
      <c r="B718" s="144" t="s">
        <v>1627</v>
      </c>
      <c r="C718" s="21"/>
      <c r="D718" s="21" t="s">
        <v>1628</v>
      </c>
      <c r="E718" s="23" t="s">
        <v>1629</v>
      </c>
      <c r="F718" s="24">
        <v>1.0</v>
      </c>
      <c r="G718" s="48">
        <v>0.0</v>
      </c>
      <c r="H718" s="26">
        <f>F718*G718</f>
        <v>0</v>
      </c>
      <c r="I718" s="61" t="s">
        <v>105</v>
      </c>
      <c r="J718" s="63" t="s">
        <v>1630</v>
      </c>
      <c r="K718" s="29">
        <v>43718.0</v>
      </c>
      <c r="L718" s="673"/>
      <c r="M718" s="626"/>
      <c r="N718" s="64"/>
      <c r="O718" s="34"/>
      <c r="P718" s="34"/>
      <c r="Q718" s="34">
        <f t="shared" si="95"/>
        <v>0</v>
      </c>
      <c r="R718" s="537" t="s">
        <v>2871</v>
      </c>
      <c r="S718" s="702">
        <v>0.0</v>
      </c>
      <c r="T718" s="66"/>
      <c r="U718" s="52"/>
      <c r="V718" s="53"/>
      <c r="W718" s="53"/>
      <c r="X718" s="53"/>
      <c r="Y718" s="53"/>
      <c r="Z718" s="53"/>
      <c r="AA718" s="53"/>
      <c r="AB718" s="53"/>
      <c r="AC718" s="53"/>
      <c r="AD718" s="53"/>
      <c r="AE718" s="54"/>
      <c r="AF718" s="54"/>
      <c r="AG718" s="55"/>
      <c r="AH718" s="68"/>
      <c r="AI718" s="55"/>
      <c r="AJ718" s="55"/>
      <c r="AK718" s="298" t="s">
        <v>50</v>
      </c>
      <c r="AL718" s="54" t="s">
        <v>1631</v>
      </c>
      <c r="AM718" s="54" t="s">
        <v>286</v>
      </c>
      <c r="AN718" s="54" t="s">
        <v>52</v>
      </c>
      <c r="AO718" s="54"/>
    </row>
    <row r="719" ht="42.75" customHeight="1">
      <c r="A719" s="536">
        <v>43718.0</v>
      </c>
      <c r="B719" s="70" t="s">
        <v>101</v>
      </c>
      <c r="C719" s="21" t="s">
        <v>1602</v>
      </c>
      <c r="D719" s="21" t="s">
        <v>1632</v>
      </c>
      <c r="E719" s="23" t="s">
        <v>347</v>
      </c>
      <c r="F719" s="24">
        <v>1.0</v>
      </c>
      <c r="G719" s="74">
        <v>45.0</v>
      </c>
      <c r="H719" s="60">
        <f t="shared" ref="H719:H729" si="98">G719*F719</f>
        <v>45</v>
      </c>
      <c r="I719" s="61" t="s">
        <v>105</v>
      </c>
      <c r="J719" s="63" t="s">
        <v>534</v>
      </c>
      <c r="K719" s="29">
        <v>43718.0</v>
      </c>
      <c r="L719" s="304"/>
      <c r="M719" s="58" t="s">
        <v>263</v>
      </c>
      <c r="N719" s="93"/>
      <c r="O719" s="408"/>
      <c r="P719" s="408"/>
      <c r="Q719" s="408"/>
      <c r="R719" s="408"/>
      <c r="S719" s="408">
        <v>998.0</v>
      </c>
      <c r="T719" s="503"/>
      <c r="U719" s="462">
        <v>43738.0</v>
      </c>
      <c r="V719" s="462">
        <v>43721.0</v>
      </c>
      <c r="W719" s="306" t="s">
        <v>1633</v>
      </c>
      <c r="X719" s="306">
        <v>3768.0</v>
      </c>
      <c r="Y719" s="462">
        <v>43745.0</v>
      </c>
      <c r="Z719" s="306" t="s">
        <v>3139</v>
      </c>
      <c r="AA719" s="306">
        <v>1.019804295E9</v>
      </c>
      <c r="AB719" s="306"/>
      <c r="AC719" s="306"/>
      <c r="AD719" s="306"/>
      <c r="AE719" s="298"/>
      <c r="AF719" s="298"/>
      <c r="AG719" s="299"/>
      <c r="AH719" s="29">
        <v>43760.0</v>
      </c>
      <c r="AI719" s="299" t="s">
        <v>3120</v>
      </c>
      <c r="AJ719" s="299" t="s">
        <v>3121</v>
      </c>
      <c r="AK719" s="298" t="s">
        <v>50</v>
      </c>
      <c r="AL719" s="298" t="s">
        <v>285</v>
      </c>
      <c r="AM719" s="298" t="s">
        <v>51</v>
      </c>
      <c r="AN719" s="298" t="s">
        <v>52</v>
      </c>
      <c r="AO719" s="298" t="s">
        <v>1133</v>
      </c>
    </row>
    <row r="720" ht="42.75" customHeight="1">
      <c r="A720" s="110">
        <v>43718.0</v>
      </c>
      <c r="B720" s="144" t="s">
        <v>378</v>
      </c>
      <c r="C720" s="21" t="s">
        <v>1634</v>
      </c>
      <c r="D720" s="21" t="s">
        <v>3156</v>
      </c>
      <c r="E720" s="23" t="s">
        <v>1636</v>
      </c>
      <c r="F720" s="24">
        <v>1.0</v>
      </c>
      <c r="G720" s="48">
        <v>29.0</v>
      </c>
      <c r="H720" s="60">
        <f t="shared" si="98"/>
        <v>29</v>
      </c>
      <c r="I720" s="61" t="s">
        <v>248</v>
      </c>
      <c r="J720" s="161" t="s">
        <v>1122</v>
      </c>
      <c r="K720" s="30">
        <v>43734.0</v>
      </c>
      <c r="L720" s="30">
        <v>43725.0</v>
      </c>
      <c r="M720" s="50" t="s">
        <v>1537</v>
      </c>
      <c r="N720" s="93" t="s">
        <v>3157</v>
      </c>
      <c r="O720" s="408"/>
      <c r="P720" s="408"/>
      <c r="Q720" s="408">
        <f t="shared" ref="Q720:Q733" si="99">(P720*F720)*1.05</f>
        <v>0</v>
      </c>
      <c r="R720" s="408">
        <v>200.0</v>
      </c>
      <c r="S720" s="408">
        <f t="shared" ref="S720:S721" si="100">(R720*F720)*1.05</f>
        <v>210</v>
      </c>
      <c r="T720" s="70" t="s">
        <v>2148</v>
      </c>
      <c r="U720" s="462">
        <v>43743.0</v>
      </c>
      <c r="V720" s="462">
        <v>43725.0</v>
      </c>
      <c r="W720" s="306" t="s">
        <v>1637</v>
      </c>
      <c r="X720" s="306" t="s">
        <v>3158</v>
      </c>
      <c r="Y720" s="462">
        <v>43743.0</v>
      </c>
      <c r="Z720" s="306" t="s">
        <v>3159</v>
      </c>
      <c r="AA720" s="306" t="s">
        <v>3160</v>
      </c>
      <c r="AB720" s="306">
        <v>30.985</v>
      </c>
      <c r="AC720" s="306"/>
      <c r="AD720" s="306"/>
      <c r="AE720" s="298"/>
      <c r="AF720" s="298"/>
      <c r="AG720" s="299"/>
      <c r="AH720" s="29">
        <v>43783.0</v>
      </c>
      <c r="AI720" s="299">
        <f>237*0.43*30.453</f>
        <v>3103.46523</v>
      </c>
      <c r="AJ720" s="299">
        <f>(244-234.43)*30.453</f>
        <v>291.43521</v>
      </c>
      <c r="AK720" s="298" t="s">
        <v>50</v>
      </c>
      <c r="AL720" s="298" t="s">
        <v>285</v>
      </c>
      <c r="AM720" s="298" t="s">
        <v>51</v>
      </c>
      <c r="AN720" s="298" t="s">
        <v>52</v>
      </c>
      <c r="AO720" s="298" t="s">
        <v>1133</v>
      </c>
    </row>
    <row r="721" ht="42.75" customHeight="1">
      <c r="A721" s="110">
        <v>43718.0</v>
      </c>
      <c r="B721" s="144" t="s">
        <v>378</v>
      </c>
      <c r="C721" s="21" t="s">
        <v>1634</v>
      </c>
      <c r="D721" s="21" t="s">
        <v>3161</v>
      </c>
      <c r="E721" s="23" t="s">
        <v>1639</v>
      </c>
      <c r="F721" s="24">
        <v>1.0</v>
      </c>
      <c r="G721" s="48">
        <v>61.0</v>
      </c>
      <c r="H721" s="216">
        <f t="shared" si="98"/>
        <v>61</v>
      </c>
      <c r="I721" s="61" t="s">
        <v>248</v>
      </c>
      <c r="J721" s="161" t="s">
        <v>1122</v>
      </c>
      <c r="K721" s="30">
        <v>43734.0</v>
      </c>
      <c r="L721" s="30">
        <v>43725.0</v>
      </c>
      <c r="M721" s="50" t="s">
        <v>1537</v>
      </c>
      <c r="N721" s="93" t="s">
        <v>3157</v>
      </c>
      <c r="O721" s="408"/>
      <c r="P721" s="408"/>
      <c r="Q721" s="408">
        <f t="shared" si="99"/>
        <v>0</v>
      </c>
      <c r="R721" s="408">
        <v>0.0</v>
      </c>
      <c r="S721" s="408">
        <f t="shared" si="100"/>
        <v>0</v>
      </c>
      <c r="T721" s="70" t="s">
        <v>2148</v>
      </c>
      <c r="U721" s="462">
        <v>43743.0</v>
      </c>
      <c r="V721" s="462">
        <v>43725.0</v>
      </c>
      <c r="W721" s="306" t="s">
        <v>1637</v>
      </c>
      <c r="X721" s="306" t="s">
        <v>3158</v>
      </c>
      <c r="Y721" s="462">
        <v>43743.0</v>
      </c>
      <c r="Z721" s="306" t="s">
        <v>3159</v>
      </c>
      <c r="AA721" s="306" t="s">
        <v>3160</v>
      </c>
      <c r="AB721" s="306">
        <v>30.985</v>
      </c>
      <c r="AC721" s="306"/>
      <c r="AD721" s="306"/>
      <c r="AE721" s="298"/>
      <c r="AF721" s="298"/>
      <c r="AG721" s="299"/>
      <c r="AH721" s="29">
        <v>43783.0</v>
      </c>
      <c r="AI721" s="299" t="s">
        <v>3162</v>
      </c>
      <c r="AJ721" s="299" t="s">
        <v>3163</v>
      </c>
      <c r="AK721" s="298" t="s">
        <v>50</v>
      </c>
      <c r="AL721" s="298" t="s">
        <v>285</v>
      </c>
      <c r="AM721" s="298" t="s">
        <v>51</v>
      </c>
      <c r="AN721" s="298" t="s">
        <v>52</v>
      </c>
      <c r="AO721" s="298" t="s">
        <v>1133</v>
      </c>
    </row>
    <row r="722" ht="42.75" customHeight="1">
      <c r="A722" s="110">
        <v>43718.0</v>
      </c>
      <c r="B722" s="144" t="s">
        <v>378</v>
      </c>
      <c r="C722" s="21" t="s">
        <v>1634</v>
      </c>
      <c r="D722" s="21" t="s">
        <v>3164</v>
      </c>
      <c r="E722" s="23" t="s">
        <v>1641</v>
      </c>
      <c r="F722" s="24">
        <v>1.0</v>
      </c>
      <c r="G722" s="48">
        <v>47.0</v>
      </c>
      <c r="H722" s="60">
        <f t="shared" si="98"/>
        <v>47</v>
      </c>
      <c r="I722" s="61" t="s">
        <v>248</v>
      </c>
      <c r="J722" s="161" t="s">
        <v>1122</v>
      </c>
      <c r="K722" s="30">
        <v>43734.0</v>
      </c>
      <c r="L722" s="30">
        <v>43731.0</v>
      </c>
      <c r="M722" s="50" t="s">
        <v>1537</v>
      </c>
      <c r="N722" s="93" t="s">
        <v>3157</v>
      </c>
      <c r="O722" s="408"/>
      <c r="P722" s="408"/>
      <c r="Q722" s="408">
        <f t="shared" si="99"/>
        <v>0</v>
      </c>
      <c r="R722" s="408">
        <v>850.0</v>
      </c>
      <c r="S722" s="408">
        <v>892.0</v>
      </c>
      <c r="T722" s="70" t="s">
        <v>2148</v>
      </c>
      <c r="U722" s="462">
        <v>43743.0</v>
      </c>
      <c r="V722" s="462">
        <v>43725.0</v>
      </c>
      <c r="W722" s="306" t="s">
        <v>1637</v>
      </c>
      <c r="X722" s="306" t="s">
        <v>3158</v>
      </c>
      <c r="Y722" s="462">
        <v>43743.0</v>
      </c>
      <c r="Z722" s="306" t="s">
        <v>3159</v>
      </c>
      <c r="AA722" s="306" t="s">
        <v>3160</v>
      </c>
      <c r="AB722" s="306">
        <v>30.985</v>
      </c>
      <c r="AC722" s="306"/>
      <c r="AD722" s="306"/>
      <c r="AE722" s="298"/>
      <c r="AF722" s="298"/>
      <c r="AG722" s="299"/>
      <c r="AH722" s="29">
        <v>43783.0</v>
      </c>
      <c r="AI722" s="299" t="s">
        <v>3162</v>
      </c>
      <c r="AJ722" s="299" t="s">
        <v>3163</v>
      </c>
      <c r="AK722" s="298" t="s">
        <v>50</v>
      </c>
      <c r="AL722" s="298" t="s">
        <v>285</v>
      </c>
      <c r="AM722" s="298" t="s">
        <v>51</v>
      </c>
      <c r="AN722" s="298" t="s">
        <v>52</v>
      </c>
      <c r="AO722" s="298" t="s">
        <v>1133</v>
      </c>
    </row>
    <row r="723" ht="42.75" customHeight="1">
      <c r="A723" s="110">
        <v>43718.0</v>
      </c>
      <c r="B723" s="23" t="s">
        <v>213</v>
      </c>
      <c r="C723" s="21" t="s">
        <v>1642</v>
      </c>
      <c r="D723" s="21" t="s">
        <v>1643</v>
      </c>
      <c r="E723" s="23" t="s">
        <v>1644</v>
      </c>
      <c r="F723" s="24">
        <v>2.0</v>
      </c>
      <c r="G723" s="48">
        <v>222.0</v>
      </c>
      <c r="H723" s="60">
        <f t="shared" si="98"/>
        <v>444</v>
      </c>
      <c r="I723" s="27" t="s">
        <v>248</v>
      </c>
      <c r="J723" s="161" t="s">
        <v>217</v>
      </c>
      <c r="K723" s="30">
        <v>43732.0</v>
      </c>
      <c r="L723" s="30">
        <v>43726.0</v>
      </c>
      <c r="M723" s="50" t="s">
        <v>90</v>
      </c>
      <c r="N723" s="93" t="s">
        <v>3165</v>
      </c>
      <c r="O723" s="408"/>
      <c r="P723" s="408">
        <v>186.0</v>
      </c>
      <c r="Q723" s="408">
        <f t="shared" si="99"/>
        <v>390.6</v>
      </c>
      <c r="R723" s="408"/>
      <c r="S723" s="408">
        <v>12195.0</v>
      </c>
      <c r="T723" s="51" t="s">
        <v>94</v>
      </c>
      <c r="U723" s="305">
        <v>43769.0</v>
      </c>
      <c r="V723" s="462">
        <v>43725.0</v>
      </c>
      <c r="W723" s="306" t="s">
        <v>1645</v>
      </c>
      <c r="X723" s="306">
        <v>40711.0</v>
      </c>
      <c r="Y723" s="306"/>
      <c r="Z723" s="306" t="s">
        <v>3166</v>
      </c>
      <c r="AA723" s="306" t="s">
        <v>3167</v>
      </c>
      <c r="AB723" s="306">
        <v>30.985</v>
      </c>
      <c r="AC723" s="306"/>
      <c r="AD723" s="306"/>
      <c r="AE723" s="298"/>
      <c r="AF723" s="298"/>
      <c r="AG723" s="299"/>
      <c r="AH723" s="300">
        <v>43720.0</v>
      </c>
      <c r="AI723" s="299">
        <f>1456.56*31.05</f>
        <v>45226.188</v>
      </c>
      <c r="AJ723" s="299">
        <f>(1463-1456.56)*31.05</f>
        <v>199.962</v>
      </c>
      <c r="AK723" s="298" t="s">
        <v>50</v>
      </c>
      <c r="AL723" s="298" t="s">
        <v>285</v>
      </c>
      <c r="AM723" s="298" t="s">
        <v>51</v>
      </c>
      <c r="AN723" s="298" t="s">
        <v>52</v>
      </c>
      <c r="AO723" s="298" t="s">
        <v>1133</v>
      </c>
    </row>
    <row r="724" ht="42.75" customHeight="1">
      <c r="A724" s="69">
        <v>43718.0</v>
      </c>
      <c r="B724" s="23" t="s">
        <v>213</v>
      </c>
      <c r="C724" s="21" t="s">
        <v>1642</v>
      </c>
      <c r="D724" s="21" t="s">
        <v>1643</v>
      </c>
      <c r="E724" s="32" t="s">
        <v>1646</v>
      </c>
      <c r="F724" s="24">
        <v>1.0</v>
      </c>
      <c r="G724" s="48">
        <v>97.0</v>
      </c>
      <c r="H724" s="60">
        <f t="shared" si="98"/>
        <v>97</v>
      </c>
      <c r="I724" s="27" t="s">
        <v>248</v>
      </c>
      <c r="J724" s="161" t="s">
        <v>217</v>
      </c>
      <c r="K724" s="30">
        <v>43732.0</v>
      </c>
      <c r="L724" s="30">
        <v>43726.0</v>
      </c>
      <c r="M724" s="50" t="s">
        <v>90</v>
      </c>
      <c r="N724" s="93" t="s">
        <v>3165</v>
      </c>
      <c r="O724" s="408"/>
      <c r="P724" s="408">
        <v>81.0</v>
      </c>
      <c r="Q724" s="408">
        <f t="shared" si="99"/>
        <v>85.05</v>
      </c>
      <c r="R724" s="408"/>
      <c r="S724" s="408">
        <v>2655.0</v>
      </c>
      <c r="T724" s="51" t="s">
        <v>94</v>
      </c>
      <c r="U724" s="305">
        <v>43769.0</v>
      </c>
      <c r="V724" s="462">
        <v>43725.0</v>
      </c>
      <c r="W724" s="306" t="s">
        <v>1645</v>
      </c>
      <c r="X724" s="306" t="s">
        <v>3168</v>
      </c>
      <c r="Y724" s="306"/>
      <c r="Z724" s="306" t="s">
        <v>3166</v>
      </c>
      <c r="AA724" s="306" t="s">
        <v>3167</v>
      </c>
      <c r="AB724" s="306">
        <v>30.985</v>
      </c>
      <c r="AC724" s="306"/>
      <c r="AD724" s="306"/>
      <c r="AE724" s="298"/>
      <c r="AF724" s="298"/>
      <c r="AG724" s="299"/>
      <c r="AH724" s="300">
        <v>43720.0</v>
      </c>
      <c r="AI724" s="299" t="s">
        <v>3169</v>
      </c>
      <c r="AJ724" s="299" t="s">
        <v>3170</v>
      </c>
      <c r="AK724" s="298" t="s">
        <v>50</v>
      </c>
      <c r="AL724" s="298" t="s">
        <v>285</v>
      </c>
      <c r="AM724" s="298" t="s">
        <v>51</v>
      </c>
      <c r="AN724" s="298" t="s">
        <v>52</v>
      </c>
      <c r="AO724" s="298" t="s">
        <v>1133</v>
      </c>
    </row>
    <row r="725" ht="42.75" customHeight="1">
      <c r="A725" s="69">
        <v>43718.0</v>
      </c>
      <c r="B725" s="23" t="s">
        <v>213</v>
      </c>
      <c r="C725" s="21" t="s">
        <v>1642</v>
      </c>
      <c r="D725" s="21" t="s">
        <v>1643</v>
      </c>
      <c r="E725" s="32" t="s">
        <v>133</v>
      </c>
      <c r="F725" s="24">
        <v>3.0</v>
      </c>
      <c r="G725" s="48">
        <v>109.0</v>
      </c>
      <c r="H725" s="60">
        <f t="shared" si="98"/>
        <v>327</v>
      </c>
      <c r="I725" s="27" t="s">
        <v>248</v>
      </c>
      <c r="J725" s="161" t="s">
        <v>217</v>
      </c>
      <c r="K725" s="30">
        <v>43732.0</v>
      </c>
      <c r="L725" s="30">
        <v>43726.0</v>
      </c>
      <c r="M725" s="50" t="s">
        <v>90</v>
      </c>
      <c r="N725" s="93" t="s">
        <v>3165</v>
      </c>
      <c r="O725" s="408"/>
      <c r="P725" s="408">
        <v>96.0</v>
      </c>
      <c r="Q725" s="408">
        <f t="shared" si="99"/>
        <v>302.4</v>
      </c>
      <c r="R725" s="408"/>
      <c r="S725" s="408">
        <v>9441.0</v>
      </c>
      <c r="T725" s="51" t="s">
        <v>94</v>
      </c>
      <c r="U725" s="305">
        <v>43769.0</v>
      </c>
      <c r="V725" s="462">
        <v>43725.0</v>
      </c>
      <c r="W725" s="306" t="s">
        <v>1645</v>
      </c>
      <c r="X725" s="306" t="s">
        <v>3168</v>
      </c>
      <c r="Y725" s="306"/>
      <c r="Z725" s="306" t="s">
        <v>3166</v>
      </c>
      <c r="AA725" s="306" t="s">
        <v>3167</v>
      </c>
      <c r="AB725" s="306">
        <v>30.985</v>
      </c>
      <c r="AC725" s="306"/>
      <c r="AD725" s="306"/>
      <c r="AE725" s="298"/>
      <c r="AF725" s="298"/>
      <c r="AG725" s="299"/>
      <c r="AH725" s="300">
        <v>43720.0</v>
      </c>
      <c r="AI725" s="299" t="s">
        <v>3169</v>
      </c>
      <c r="AJ725" s="299" t="s">
        <v>3170</v>
      </c>
      <c r="AK725" s="298" t="s">
        <v>50</v>
      </c>
      <c r="AL725" s="298" t="s">
        <v>285</v>
      </c>
      <c r="AM725" s="298" t="s">
        <v>51</v>
      </c>
      <c r="AN725" s="298" t="s">
        <v>52</v>
      </c>
      <c r="AO725" s="298" t="s">
        <v>1133</v>
      </c>
    </row>
    <row r="726" ht="42.75" customHeight="1">
      <c r="A726" s="69">
        <v>43718.0</v>
      </c>
      <c r="B726" s="23" t="s">
        <v>213</v>
      </c>
      <c r="C726" s="21" t="s">
        <v>1642</v>
      </c>
      <c r="D726" s="21" t="s">
        <v>1643</v>
      </c>
      <c r="E726" s="32" t="s">
        <v>137</v>
      </c>
      <c r="F726" s="24">
        <v>3.0</v>
      </c>
      <c r="G726" s="48">
        <v>31.0</v>
      </c>
      <c r="H726" s="60">
        <f t="shared" si="98"/>
        <v>93</v>
      </c>
      <c r="I726" s="27" t="s">
        <v>248</v>
      </c>
      <c r="J726" s="161" t="s">
        <v>217</v>
      </c>
      <c r="K726" s="30">
        <v>43732.0</v>
      </c>
      <c r="L726" s="30">
        <v>43726.0</v>
      </c>
      <c r="M726" s="50" t="s">
        <v>90</v>
      </c>
      <c r="N726" s="93" t="s">
        <v>3165</v>
      </c>
      <c r="O726" s="408"/>
      <c r="P726" s="408">
        <v>27.0</v>
      </c>
      <c r="Q726" s="408">
        <f t="shared" si="99"/>
        <v>85.05</v>
      </c>
      <c r="R726" s="408"/>
      <c r="S726" s="408">
        <v>2655.0</v>
      </c>
      <c r="T726" s="51" t="s">
        <v>94</v>
      </c>
      <c r="U726" s="305">
        <v>43769.0</v>
      </c>
      <c r="V726" s="462">
        <v>43725.0</v>
      </c>
      <c r="W726" s="306" t="s">
        <v>1645</v>
      </c>
      <c r="X726" s="306" t="s">
        <v>3168</v>
      </c>
      <c r="Y726" s="306"/>
      <c r="Z726" s="306" t="s">
        <v>3166</v>
      </c>
      <c r="AA726" s="306" t="s">
        <v>3167</v>
      </c>
      <c r="AB726" s="306">
        <v>30.985</v>
      </c>
      <c r="AC726" s="306"/>
      <c r="AD726" s="306"/>
      <c r="AE726" s="298"/>
      <c r="AF726" s="298"/>
      <c r="AG726" s="299"/>
      <c r="AH726" s="300">
        <v>43720.0</v>
      </c>
      <c r="AI726" s="299" t="s">
        <v>3169</v>
      </c>
      <c r="AJ726" s="299" t="s">
        <v>3170</v>
      </c>
      <c r="AK726" s="298" t="s">
        <v>50</v>
      </c>
      <c r="AL726" s="298" t="s">
        <v>285</v>
      </c>
      <c r="AM726" s="298" t="s">
        <v>51</v>
      </c>
      <c r="AN726" s="298" t="s">
        <v>52</v>
      </c>
      <c r="AO726" s="298" t="s">
        <v>1133</v>
      </c>
    </row>
    <row r="727" ht="42.75" customHeight="1">
      <c r="A727" s="69">
        <v>43718.0</v>
      </c>
      <c r="B727" s="23" t="s">
        <v>213</v>
      </c>
      <c r="C727" s="21" t="s">
        <v>1642</v>
      </c>
      <c r="D727" s="21" t="s">
        <v>1643</v>
      </c>
      <c r="E727" s="32" t="s">
        <v>1647</v>
      </c>
      <c r="F727" s="24">
        <v>1.0</v>
      </c>
      <c r="G727" s="48">
        <v>443.0</v>
      </c>
      <c r="H727" s="60">
        <f t="shared" si="98"/>
        <v>443</v>
      </c>
      <c r="I727" s="27" t="s">
        <v>248</v>
      </c>
      <c r="J727" s="161" t="s">
        <v>217</v>
      </c>
      <c r="K727" s="30">
        <v>43732.0</v>
      </c>
      <c r="L727" s="30">
        <v>43726.0</v>
      </c>
      <c r="M727" s="50" t="s">
        <v>90</v>
      </c>
      <c r="N727" s="93" t="s">
        <v>3165</v>
      </c>
      <c r="O727" s="408"/>
      <c r="P727" s="408">
        <v>390.0</v>
      </c>
      <c r="Q727" s="408">
        <f t="shared" si="99"/>
        <v>409.5</v>
      </c>
      <c r="R727" s="408"/>
      <c r="S727" s="408">
        <v>12785.0</v>
      </c>
      <c r="T727" s="51" t="s">
        <v>94</v>
      </c>
      <c r="U727" s="305">
        <v>43769.0</v>
      </c>
      <c r="V727" s="462">
        <v>43725.0</v>
      </c>
      <c r="W727" s="237" t="s">
        <v>1645</v>
      </c>
      <c r="X727" s="306" t="s">
        <v>3168</v>
      </c>
      <c r="Y727" s="306"/>
      <c r="Z727" s="306" t="s">
        <v>3166</v>
      </c>
      <c r="AA727" s="306" t="s">
        <v>3167</v>
      </c>
      <c r="AB727" s="306">
        <v>30.985</v>
      </c>
      <c r="AC727" s="306"/>
      <c r="AD727" s="306"/>
      <c r="AE727" s="298"/>
      <c r="AF727" s="298"/>
      <c r="AG727" s="299"/>
      <c r="AH727" s="300">
        <v>43720.0</v>
      </c>
      <c r="AI727" s="299" t="s">
        <v>3169</v>
      </c>
      <c r="AJ727" s="299" t="s">
        <v>3170</v>
      </c>
      <c r="AK727" s="298" t="s">
        <v>50</v>
      </c>
      <c r="AL727" s="298" t="s">
        <v>285</v>
      </c>
      <c r="AM727" s="298" t="s">
        <v>51</v>
      </c>
      <c r="AN727" s="298" t="s">
        <v>52</v>
      </c>
      <c r="AO727" s="298" t="s">
        <v>1133</v>
      </c>
    </row>
    <row r="728" ht="42.75" customHeight="1">
      <c r="A728" s="69">
        <v>43718.0</v>
      </c>
      <c r="B728" s="23" t="s">
        <v>213</v>
      </c>
      <c r="C728" s="21" t="s">
        <v>1642</v>
      </c>
      <c r="D728" s="21" t="s">
        <v>1643</v>
      </c>
      <c r="E728" s="32" t="s">
        <v>1648</v>
      </c>
      <c r="F728" s="24">
        <v>1.0</v>
      </c>
      <c r="G728" s="48">
        <v>34.0</v>
      </c>
      <c r="H728" s="60">
        <f t="shared" si="98"/>
        <v>34</v>
      </c>
      <c r="I728" s="27" t="s">
        <v>248</v>
      </c>
      <c r="J728" s="161" t="s">
        <v>217</v>
      </c>
      <c r="K728" s="30">
        <v>43732.0</v>
      </c>
      <c r="L728" s="30">
        <v>43726.0</v>
      </c>
      <c r="M728" s="50" t="s">
        <v>90</v>
      </c>
      <c r="N728" s="93" t="s">
        <v>3165</v>
      </c>
      <c r="O728" s="408"/>
      <c r="P728" s="408">
        <v>29.9</v>
      </c>
      <c r="Q728" s="408">
        <f t="shared" si="99"/>
        <v>31.395</v>
      </c>
      <c r="R728" s="408"/>
      <c r="S728" s="408">
        <v>980.0</v>
      </c>
      <c r="T728" s="35" t="s">
        <v>94</v>
      </c>
      <c r="U728" s="305">
        <v>43769.0</v>
      </c>
      <c r="V728" s="462">
        <v>43725.0</v>
      </c>
      <c r="W728" s="306" t="s">
        <v>1645</v>
      </c>
      <c r="X728" s="306" t="s">
        <v>3168</v>
      </c>
      <c r="Y728" s="306"/>
      <c r="Z728" s="306" t="s">
        <v>3166</v>
      </c>
      <c r="AA728" s="306" t="s">
        <v>3167</v>
      </c>
      <c r="AB728" s="306">
        <v>30.985</v>
      </c>
      <c r="AC728" s="306"/>
      <c r="AD728" s="306"/>
      <c r="AE728" s="298"/>
      <c r="AF728" s="298"/>
      <c r="AG728" s="299"/>
      <c r="AH728" s="300">
        <v>43720.0</v>
      </c>
      <c r="AI728" s="299" t="s">
        <v>3169</v>
      </c>
      <c r="AJ728" s="299" t="s">
        <v>3170</v>
      </c>
      <c r="AK728" s="298" t="s">
        <v>50</v>
      </c>
      <c r="AL728" s="298" t="s">
        <v>285</v>
      </c>
      <c r="AM728" s="298" t="s">
        <v>51</v>
      </c>
      <c r="AN728" s="298" t="s">
        <v>52</v>
      </c>
      <c r="AO728" s="298" t="s">
        <v>1133</v>
      </c>
    </row>
    <row r="729" ht="42.75" customHeight="1">
      <c r="A729" s="69">
        <v>43718.0</v>
      </c>
      <c r="B729" s="23" t="s">
        <v>213</v>
      </c>
      <c r="C729" s="21" t="s">
        <v>1642</v>
      </c>
      <c r="D729" s="21" t="s">
        <v>1643</v>
      </c>
      <c r="E729" s="32" t="s">
        <v>700</v>
      </c>
      <c r="F729" s="24">
        <v>1.0</v>
      </c>
      <c r="G729" s="48">
        <v>25.0</v>
      </c>
      <c r="H729" s="60">
        <f t="shared" si="98"/>
        <v>25</v>
      </c>
      <c r="I729" s="27" t="s">
        <v>248</v>
      </c>
      <c r="J729" s="349" t="s">
        <v>217</v>
      </c>
      <c r="K729" s="30">
        <v>43732.0</v>
      </c>
      <c r="L729" s="673"/>
      <c r="M729" s="63" t="s">
        <v>220</v>
      </c>
      <c r="N729" s="64"/>
      <c r="O729" s="34"/>
      <c r="P729" s="34">
        <v>0.0</v>
      </c>
      <c r="Q729" s="34">
        <f t="shared" si="99"/>
        <v>0</v>
      </c>
      <c r="R729" s="34">
        <v>0.0</v>
      </c>
      <c r="S729" s="34">
        <f t="shared" ref="S729:S733" si="101">(R729*F729)*1.05</f>
        <v>0</v>
      </c>
      <c r="T729" s="66"/>
      <c r="U729" s="52"/>
      <c r="V729" s="53"/>
      <c r="W729" s="53"/>
      <c r="X729" s="53"/>
      <c r="Y729" s="53"/>
      <c r="Z729" s="53" t="s">
        <v>3166</v>
      </c>
      <c r="AA729" s="53" t="s">
        <v>3167</v>
      </c>
      <c r="AB729" s="53"/>
      <c r="AC729" s="53"/>
      <c r="AD729" s="53"/>
      <c r="AE729" s="54"/>
      <c r="AF729" s="54"/>
      <c r="AG729" s="55"/>
      <c r="AH729" s="56">
        <v>43720.0</v>
      </c>
      <c r="AI729" s="55" t="s">
        <v>3169</v>
      </c>
      <c r="AJ729" s="55" t="s">
        <v>3170</v>
      </c>
      <c r="AK729" s="54" t="s">
        <v>50</v>
      </c>
      <c r="AL729" s="54" t="s">
        <v>285</v>
      </c>
      <c r="AM729" s="54" t="s">
        <v>51</v>
      </c>
      <c r="AN729" s="54" t="s">
        <v>52</v>
      </c>
      <c r="AO729" s="54"/>
    </row>
    <row r="730" ht="42.75" customHeight="1">
      <c r="A730" s="69">
        <v>43720.0</v>
      </c>
      <c r="B730" s="144" t="s">
        <v>1649</v>
      </c>
      <c r="C730" s="21"/>
      <c r="D730" s="21" t="s">
        <v>1650</v>
      </c>
      <c r="E730" s="32" t="s">
        <v>1651</v>
      </c>
      <c r="F730" s="24">
        <v>1.0</v>
      </c>
      <c r="G730" s="48">
        <v>0.0</v>
      </c>
      <c r="H730" s="216">
        <v>0.0</v>
      </c>
      <c r="I730" s="27" t="s">
        <v>248</v>
      </c>
      <c r="J730" s="79" t="s">
        <v>1652</v>
      </c>
      <c r="K730" s="30">
        <v>43734.0</v>
      </c>
      <c r="L730" s="30">
        <v>43732.0</v>
      </c>
      <c r="M730" s="63" t="s">
        <v>179</v>
      </c>
      <c r="N730" s="64"/>
      <c r="O730" s="34"/>
      <c r="P730" s="34"/>
      <c r="Q730" s="34">
        <f t="shared" si="99"/>
        <v>0</v>
      </c>
      <c r="R730" s="34"/>
      <c r="S730" s="34">
        <f t="shared" si="101"/>
        <v>0</v>
      </c>
      <c r="T730" s="66"/>
      <c r="U730" s="52"/>
      <c r="V730" s="53"/>
      <c r="W730" s="53"/>
      <c r="X730" s="53"/>
      <c r="Y730" s="53"/>
      <c r="Z730" s="53"/>
      <c r="AA730" s="53">
        <v>7.76341023426E11</v>
      </c>
      <c r="AB730" s="53"/>
      <c r="AC730" s="53"/>
      <c r="AD730" s="53"/>
      <c r="AE730" s="54"/>
      <c r="AF730" s="54"/>
      <c r="AG730" s="55"/>
      <c r="AH730" s="68"/>
      <c r="AI730" s="55"/>
      <c r="AJ730" s="55"/>
      <c r="AK730" s="200" t="s">
        <v>1653</v>
      </c>
      <c r="AL730" s="54" t="s">
        <v>1631</v>
      </c>
      <c r="AM730" s="54" t="s">
        <v>51</v>
      </c>
      <c r="AN730" s="54" t="s">
        <v>52</v>
      </c>
      <c r="AO730" s="54"/>
    </row>
    <row r="731" ht="42.75" customHeight="1">
      <c r="A731" s="69">
        <v>43721.0</v>
      </c>
      <c r="B731" s="23" t="s">
        <v>406</v>
      </c>
      <c r="C731" s="21">
        <v>7.000150145E9</v>
      </c>
      <c r="D731" s="21" t="s">
        <v>1654</v>
      </c>
      <c r="E731" s="32" t="s">
        <v>1655</v>
      </c>
      <c r="F731" s="24">
        <v>1.0</v>
      </c>
      <c r="G731" s="48">
        <v>212.0</v>
      </c>
      <c r="H731" s="60">
        <f t="shared" ref="H731:H736" si="102">G731*F731</f>
        <v>212</v>
      </c>
      <c r="I731" s="61" t="s">
        <v>43</v>
      </c>
      <c r="J731" s="407" t="s">
        <v>513</v>
      </c>
      <c r="K731" s="29">
        <v>43731.0</v>
      </c>
      <c r="L731" s="29">
        <v>43726.0</v>
      </c>
      <c r="M731" s="58" t="s">
        <v>2078</v>
      </c>
      <c r="N731" s="93" t="s">
        <v>3171</v>
      </c>
      <c r="O731" s="408"/>
      <c r="P731" s="408"/>
      <c r="Q731" s="408">
        <f t="shared" si="99"/>
        <v>0</v>
      </c>
      <c r="R731" s="306">
        <v>5538.0</v>
      </c>
      <c r="S731" s="655">
        <f t="shared" si="101"/>
        <v>5814.9</v>
      </c>
      <c r="T731" s="503" t="s">
        <v>2872</v>
      </c>
      <c r="U731" s="305">
        <v>43799.0</v>
      </c>
      <c r="V731" s="462">
        <v>43725.0</v>
      </c>
      <c r="W731" s="306" t="s">
        <v>1656</v>
      </c>
      <c r="X731" s="306">
        <v>13211.0</v>
      </c>
      <c r="Y731" s="306"/>
      <c r="Z731" s="306" t="s">
        <v>3172</v>
      </c>
      <c r="AA731" s="306">
        <v>1.278633882E9</v>
      </c>
      <c r="AB731" s="306">
        <v>30.985</v>
      </c>
      <c r="AC731" s="306"/>
      <c r="AD731" s="306"/>
      <c r="AE731" s="298"/>
      <c r="AF731" s="298"/>
      <c r="AG731" s="299"/>
      <c r="AH731" s="29">
        <v>43762.0</v>
      </c>
      <c r="AI731" s="299">
        <f>451.45*30.54</f>
        <v>13787.283</v>
      </c>
      <c r="AJ731" s="299">
        <f>(478-451.45)*30.54</f>
        <v>810.837</v>
      </c>
      <c r="AK731" s="298" t="s">
        <v>50</v>
      </c>
      <c r="AL731" s="298" t="s">
        <v>285</v>
      </c>
      <c r="AM731" s="298" t="s">
        <v>51</v>
      </c>
      <c r="AN731" s="298" t="s">
        <v>52</v>
      </c>
      <c r="AO731" s="298" t="s">
        <v>1133</v>
      </c>
    </row>
    <row r="732" ht="42.75" customHeight="1">
      <c r="A732" s="69">
        <v>43721.0</v>
      </c>
      <c r="B732" s="23" t="s">
        <v>406</v>
      </c>
      <c r="C732" s="21">
        <v>7.000150145E9</v>
      </c>
      <c r="D732" s="21" t="s">
        <v>1654</v>
      </c>
      <c r="E732" s="32" t="s">
        <v>684</v>
      </c>
      <c r="F732" s="24">
        <v>1.0</v>
      </c>
      <c r="G732" s="48">
        <v>129.0</v>
      </c>
      <c r="H732" s="60">
        <f t="shared" si="102"/>
        <v>129</v>
      </c>
      <c r="I732" s="61" t="s">
        <v>43</v>
      </c>
      <c r="J732" s="50" t="s">
        <v>513</v>
      </c>
      <c r="K732" s="29">
        <v>43731.0</v>
      </c>
      <c r="L732" s="29">
        <v>43726.0</v>
      </c>
      <c r="M732" s="58" t="s">
        <v>2078</v>
      </c>
      <c r="N732" s="93" t="s">
        <v>3171</v>
      </c>
      <c r="O732" s="408"/>
      <c r="P732" s="408"/>
      <c r="Q732" s="408">
        <f t="shared" si="99"/>
        <v>0</v>
      </c>
      <c r="R732" s="306">
        <v>3450.0</v>
      </c>
      <c r="S732" s="655">
        <f t="shared" si="101"/>
        <v>3622.5</v>
      </c>
      <c r="T732" s="503" t="s">
        <v>2872</v>
      </c>
      <c r="U732" s="305">
        <v>43799.0</v>
      </c>
      <c r="V732" s="462">
        <v>43725.0</v>
      </c>
      <c r="W732" s="306" t="s">
        <v>1656</v>
      </c>
      <c r="X732" s="306" t="s">
        <v>3173</v>
      </c>
      <c r="Y732" s="306"/>
      <c r="Z732" s="306" t="s">
        <v>3172</v>
      </c>
      <c r="AA732" s="306">
        <v>1.278633882E9</v>
      </c>
      <c r="AB732" s="306">
        <v>30.985</v>
      </c>
      <c r="AC732" s="306"/>
      <c r="AD732" s="306"/>
      <c r="AE732" s="298"/>
      <c r="AF732" s="298"/>
      <c r="AG732" s="299"/>
      <c r="AH732" s="29">
        <v>43762.0</v>
      </c>
      <c r="AI732" s="299" t="s">
        <v>3174</v>
      </c>
      <c r="AJ732" s="299" t="s">
        <v>3175</v>
      </c>
      <c r="AK732" s="298" t="s">
        <v>50</v>
      </c>
      <c r="AL732" s="298" t="s">
        <v>285</v>
      </c>
      <c r="AM732" s="298" t="s">
        <v>51</v>
      </c>
      <c r="AN732" s="298" t="s">
        <v>52</v>
      </c>
      <c r="AO732" s="298" t="s">
        <v>1133</v>
      </c>
    </row>
    <row r="733" ht="42.75" customHeight="1">
      <c r="A733" s="69">
        <v>43721.0</v>
      </c>
      <c r="B733" s="23" t="s">
        <v>406</v>
      </c>
      <c r="C733" s="21">
        <v>7.000150145E9</v>
      </c>
      <c r="D733" s="21" t="s">
        <v>1654</v>
      </c>
      <c r="E733" s="32" t="s">
        <v>481</v>
      </c>
      <c r="F733" s="24">
        <v>1.0</v>
      </c>
      <c r="G733" s="48">
        <v>137.0</v>
      </c>
      <c r="H733" s="60">
        <f t="shared" si="102"/>
        <v>137</v>
      </c>
      <c r="I733" s="61" t="s">
        <v>43</v>
      </c>
      <c r="J733" s="50" t="s">
        <v>513</v>
      </c>
      <c r="K733" s="29">
        <v>43731.0</v>
      </c>
      <c r="L733" s="29">
        <v>43726.0</v>
      </c>
      <c r="M733" s="58" t="s">
        <v>2078</v>
      </c>
      <c r="N733" s="93" t="s">
        <v>3171</v>
      </c>
      <c r="O733" s="408"/>
      <c r="P733" s="408"/>
      <c r="Q733" s="408">
        <f t="shared" si="99"/>
        <v>0</v>
      </c>
      <c r="R733" s="306">
        <v>3594.0</v>
      </c>
      <c r="S733" s="655">
        <f t="shared" si="101"/>
        <v>3773.7</v>
      </c>
      <c r="T733" s="503" t="s">
        <v>2872</v>
      </c>
      <c r="U733" s="305">
        <v>43799.0</v>
      </c>
      <c r="V733" s="462">
        <v>43725.0</v>
      </c>
      <c r="W733" s="306" t="s">
        <v>1656</v>
      </c>
      <c r="X733" s="306" t="s">
        <v>3173</v>
      </c>
      <c r="Y733" s="306"/>
      <c r="Z733" s="306" t="s">
        <v>3172</v>
      </c>
      <c r="AA733" s="306">
        <v>1.278633882E9</v>
      </c>
      <c r="AB733" s="306">
        <v>30.985</v>
      </c>
      <c r="AC733" s="306"/>
      <c r="AD733" s="306"/>
      <c r="AE733" s="298"/>
      <c r="AF733" s="298"/>
      <c r="AG733" s="299"/>
      <c r="AH733" s="29">
        <v>43762.0</v>
      </c>
      <c r="AI733" s="299" t="s">
        <v>3174</v>
      </c>
      <c r="AJ733" s="299" t="s">
        <v>3175</v>
      </c>
      <c r="AK733" s="298" t="s">
        <v>50</v>
      </c>
      <c r="AL733" s="298" t="s">
        <v>285</v>
      </c>
      <c r="AM733" s="298" t="s">
        <v>51</v>
      </c>
      <c r="AN733" s="298" t="s">
        <v>52</v>
      </c>
      <c r="AO733" s="298" t="s">
        <v>1133</v>
      </c>
    </row>
    <row r="734" ht="42.75" customHeight="1">
      <c r="A734" s="69">
        <v>43721.0</v>
      </c>
      <c r="B734" s="309" t="s">
        <v>40</v>
      </c>
      <c r="C734" s="21">
        <v>2030683.0</v>
      </c>
      <c r="D734" s="22" t="s">
        <v>1657</v>
      </c>
      <c r="E734" s="32" t="s">
        <v>1658</v>
      </c>
      <c r="F734" s="24">
        <v>1.0</v>
      </c>
      <c r="G734" s="48">
        <v>70.0</v>
      </c>
      <c r="H734" s="60">
        <f t="shared" si="102"/>
        <v>70</v>
      </c>
      <c r="I734" s="61" t="s">
        <v>43</v>
      </c>
      <c r="J734" s="50" t="s">
        <v>915</v>
      </c>
      <c r="K734" s="29">
        <v>43746.0</v>
      </c>
      <c r="L734" s="29">
        <v>43727.0</v>
      </c>
      <c r="M734" s="50" t="s">
        <v>179</v>
      </c>
      <c r="N734" s="93"/>
      <c r="O734" s="408"/>
      <c r="P734" s="408"/>
      <c r="Q734" s="408"/>
      <c r="R734" s="408">
        <v>1413.0</v>
      </c>
      <c r="S734" s="716">
        <v>1484.0</v>
      </c>
      <c r="T734" s="503"/>
      <c r="U734" s="306"/>
      <c r="V734" s="306"/>
      <c r="W734" s="306"/>
      <c r="X734" s="306"/>
      <c r="Y734" s="306"/>
      <c r="Z734" s="306" t="s">
        <v>3176</v>
      </c>
      <c r="AA734" s="306">
        <v>7.7657708123E11</v>
      </c>
      <c r="AB734" s="306">
        <v>30.97</v>
      </c>
      <c r="AC734" s="306"/>
      <c r="AD734" s="306"/>
      <c r="AE734" s="298"/>
      <c r="AF734" s="298"/>
      <c r="AG734" s="299"/>
      <c r="AH734" s="29">
        <v>43760.0</v>
      </c>
      <c r="AI734" s="299" t="s">
        <v>3177</v>
      </c>
      <c r="AJ734" s="299" t="s">
        <v>3178</v>
      </c>
      <c r="AK734" s="298" t="s">
        <v>50</v>
      </c>
      <c r="AL734" s="298" t="s">
        <v>285</v>
      </c>
      <c r="AM734" s="298" t="s">
        <v>51</v>
      </c>
      <c r="AN734" s="298" t="s">
        <v>52</v>
      </c>
      <c r="AO734" s="298" t="s">
        <v>763</v>
      </c>
    </row>
    <row r="735" ht="42.75" customHeight="1">
      <c r="A735" s="69">
        <v>43721.0</v>
      </c>
      <c r="B735" s="309" t="s">
        <v>40</v>
      </c>
      <c r="C735" s="21">
        <v>2030683.0</v>
      </c>
      <c r="D735" s="22" t="s">
        <v>1657</v>
      </c>
      <c r="E735" s="32" t="s">
        <v>1659</v>
      </c>
      <c r="F735" s="24">
        <v>1.0</v>
      </c>
      <c r="G735" s="48">
        <v>1335.0</v>
      </c>
      <c r="H735" s="60">
        <f t="shared" si="102"/>
        <v>1335</v>
      </c>
      <c r="I735" s="61" t="s">
        <v>43</v>
      </c>
      <c r="J735" s="50" t="s">
        <v>915</v>
      </c>
      <c r="K735" s="29">
        <v>43746.0</v>
      </c>
      <c r="L735" s="29">
        <v>43745.0</v>
      </c>
      <c r="M735" s="50" t="s">
        <v>3116</v>
      </c>
      <c r="N735" s="93" t="s">
        <v>3179</v>
      </c>
      <c r="O735" s="408"/>
      <c r="P735" s="408"/>
      <c r="Q735" s="408">
        <f t="shared" ref="Q735:Q750" si="103">(P735*F735)*1.05</f>
        <v>0</v>
      </c>
      <c r="R735" s="408"/>
      <c r="S735" s="717">
        <v>30075.0</v>
      </c>
      <c r="T735" s="503"/>
      <c r="U735" s="306"/>
      <c r="V735" s="306"/>
      <c r="W735" s="306"/>
      <c r="X735" s="306"/>
      <c r="Y735" s="306"/>
      <c r="Z735" s="306" t="s">
        <v>3176</v>
      </c>
      <c r="AA735" s="306">
        <v>7.7657708123E11</v>
      </c>
      <c r="AB735" s="306">
        <v>30.97</v>
      </c>
      <c r="AC735" s="306"/>
      <c r="AD735" s="306"/>
      <c r="AE735" s="298"/>
      <c r="AF735" s="298"/>
      <c r="AG735" s="299"/>
      <c r="AH735" s="29">
        <v>43760.0</v>
      </c>
      <c r="AI735" s="299">
        <f>1398.45*30.55</f>
        <v>42722.6475</v>
      </c>
      <c r="AJ735" s="299">
        <f>(1405-1398.45)*30.55</f>
        <v>200.1025</v>
      </c>
      <c r="AK735" s="298" t="s">
        <v>50</v>
      </c>
      <c r="AL735" s="298" t="s">
        <v>285</v>
      </c>
      <c r="AM735" s="298" t="s">
        <v>51</v>
      </c>
      <c r="AN735" s="298" t="s">
        <v>52</v>
      </c>
      <c r="AO735" s="298" t="s">
        <v>763</v>
      </c>
    </row>
    <row r="736" ht="15.75" customHeight="1">
      <c r="A736" s="69">
        <v>43724.0</v>
      </c>
      <c r="B736" s="70" t="s">
        <v>1649</v>
      </c>
      <c r="C736" s="21" t="s">
        <v>1660</v>
      </c>
      <c r="D736" s="21" t="s">
        <v>1661</v>
      </c>
      <c r="E736" s="32" t="s">
        <v>1662</v>
      </c>
      <c r="F736" s="24">
        <v>5.0</v>
      </c>
      <c r="G736" s="48">
        <v>2.5</v>
      </c>
      <c r="H736" s="81">
        <f t="shared" si="102"/>
        <v>12.5</v>
      </c>
      <c r="I736" s="61" t="s">
        <v>248</v>
      </c>
      <c r="J736" s="63" t="s">
        <v>1663</v>
      </c>
      <c r="K736" s="30">
        <v>43734.0</v>
      </c>
      <c r="L736" s="29">
        <v>43727.0</v>
      </c>
      <c r="M736" s="50" t="s">
        <v>3180</v>
      </c>
      <c r="N736" s="93" t="s">
        <v>578</v>
      </c>
      <c r="O736" s="408"/>
      <c r="P736" s="408"/>
      <c r="Q736" s="408">
        <f t="shared" si="103"/>
        <v>0</v>
      </c>
      <c r="R736" s="408">
        <v>0.0</v>
      </c>
      <c r="S736" s="718">
        <f t="shared" ref="S736:S739" si="104">(R736*F736)*1.05</f>
        <v>0</v>
      </c>
      <c r="T736" s="503"/>
      <c r="U736" s="306"/>
      <c r="V736" s="306"/>
      <c r="W736" s="306"/>
      <c r="X736" s="306"/>
      <c r="Y736" s="306"/>
      <c r="Z736" s="306" t="s">
        <v>3181</v>
      </c>
      <c r="AA736" s="306">
        <v>7.76341023426E11</v>
      </c>
      <c r="AB736" s="306">
        <v>30.985</v>
      </c>
      <c r="AC736" s="306"/>
      <c r="AD736" s="306"/>
      <c r="AE736" s="298"/>
      <c r="AF736" s="298"/>
      <c r="AG736" s="299"/>
      <c r="AH736" s="539"/>
      <c r="AI736" s="299"/>
      <c r="AJ736" s="299"/>
      <c r="AK736" s="298"/>
      <c r="AL736" s="298" t="s">
        <v>285</v>
      </c>
      <c r="AM736" s="298" t="s">
        <v>51</v>
      </c>
      <c r="AN736" s="298" t="s">
        <v>52</v>
      </c>
      <c r="AO736" s="298" t="s">
        <v>1133</v>
      </c>
    </row>
    <row r="737" ht="15.75" customHeight="1">
      <c r="A737" s="399">
        <v>43724.0</v>
      </c>
      <c r="B737" s="377" t="s">
        <v>1649</v>
      </c>
      <c r="C737" s="183" t="s">
        <v>1660</v>
      </c>
      <c r="D737" s="183" t="s">
        <v>1661</v>
      </c>
      <c r="E737" s="185" t="s">
        <v>1664</v>
      </c>
      <c r="F737" s="186">
        <v>6.0</v>
      </c>
      <c r="G737" s="187"/>
      <c r="H737" s="540"/>
      <c r="I737" s="483"/>
      <c r="J737" s="190" t="s">
        <v>1663</v>
      </c>
      <c r="K737" s="541"/>
      <c r="L737" s="402" t="s">
        <v>71</v>
      </c>
      <c r="M737" s="681"/>
      <c r="N737" s="623"/>
      <c r="O737" s="194"/>
      <c r="P737" s="194"/>
      <c r="Q737" s="194">
        <f t="shared" si="103"/>
        <v>0</v>
      </c>
      <c r="R737" s="194"/>
      <c r="S737" s="194">
        <f t="shared" si="104"/>
        <v>0</v>
      </c>
      <c r="T737" s="622"/>
      <c r="U737" s="195"/>
      <c r="V737" s="199"/>
      <c r="W737" s="199"/>
      <c r="X737" s="199"/>
      <c r="Y737" s="199"/>
      <c r="Z737" s="199"/>
      <c r="AA737" s="199"/>
      <c r="AB737" s="199"/>
      <c r="AC737" s="199"/>
      <c r="AD737" s="199"/>
      <c r="AE737" s="200"/>
      <c r="AF737" s="200"/>
      <c r="AG737" s="201"/>
      <c r="AH737" s="202"/>
      <c r="AI737" s="201"/>
      <c r="AJ737" s="201"/>
      <c r="AK737" s="200" t="s">
        <v>1653</v>
      </c>
      <c r="AL737" s="54" t="s">
        <v>296</v>
      </c>
      <c r="AM737" s="54" t="s">
        <v>51</v>
      </c>
      <c r="AN737" s="54" t="s">
        <v>52</v>
      </c>
      <c r="AO737" s="200"/>
    </row>
    <row r="738" ht="15.75" customHeight="1">
      <c r="A738" s="399">
        <v>43724.0</v>
      </c>
      <c r="B738" s="377" t="s">
        <v>1649</v>
      </c>
      <c r="C738" s="183" t="s">
        <v>1660</v>
      </c>
      <c r="D738" s="183" t="s">
        <v>1661</v>
      </c>
      <c r="E738" s="185" t="s">
        <v>1665</v>
      </c>
      <c r="F738" s="186">
        <v>1.0</v>
      </c>
      <c r="G738" s="187"/>
      <c r="H738" s="540"/>
      <c r="I738" s="483"/>
      <c r="J738" s="190" t="s">
        <v>1663</v>
      </c>
      <c r="K738" s="541"/>
      <c r="L738" s="621"/>
      <c r="M738" s="681"/>
      <c r="N738" s="623"/>
      <c r="O738" s="194"/>
      <c r="P738" s="194"/>
      <c r="Q738" s="194">
        <f t="shared" si="103"/>
        <v>0</v>
      </c>
      <c r="R738" s="194"/>
      <c r="S738" s="194">
        <f t="shared" si="104"/>
        <v>0</v>
      </c>
      <c r="T738" s="622"/>
      <c r="U738" s="195"/>
      <c r="V738" s="199"/>
      <c r="W738" s="199"/>
      <c r="X738" s="199"/>
      <c r="Y738" s="199"/>
      <c r="Z738" s="199"/>
      <c r="AA738" s="199"/>
      <c r="AB738" s="199"/>
      <c r="AC738" s="199"/>
      <c r="AD738" s="199"/>
      <c r="AE738" s="200"/>
      <c r="AF738" s="200"/>
      <c r="AG738" s="201"/>
      <c r="AH738" s="202"/>
      <c r="AI738" s="201"/>
      <c r="AJ738" s="201"/>
      <c r="AK738" s="200" t="s">
        <v>1653</v>
      </c>
      <c r="AL738" s="54" t="s">
        <v>296</v>
      </c>
      <c r="AM738" s="54" t="s">
        <v>51</v>
      </c>
      <c r="AN738" s="54" t="s">
        <v>52</v>
      </c>
      <c r="AO738" s="200"/>
    </row>
    <row r="739" ht="15.75" customHeight="1">
      <c r="A739" s="69">
        <v>43724.0</v>
      </c>
      <c r="B739" s="70" t="s">
        <v>1649</v>
      </c>
      <c r="C739" s="21" t="s">
        <v>1660</v>
      </c>
      <c r="D739" s="21" t="s">
        <v>1661</v>
      </c>
      <c r="E739" s="32" t="s">
        <v>700</v>
      </c>
      <c r="F739" s="24">
        <v>1.0</v>
      </c>
      <c r="G739" s="48">
        <v>40.0</v>
      </c>
      <c r="H739" s="81">
        <f t="shared" ref="H739:H750" si="105">G739*F739</f>
        <v>40</v>
      </c>
      <c r="I739" s="61" t="s">
        <v>248</v>
      </c>
      <c r="J739" s="63" t="s">
        <v>1663</v>
      </c>
      <c r="K739" s="542">
        <v>43734.0</v>
      </c>
      <c r="L739" s="673"/>
      <c r="M739" s="63" t="s">
        <v>220</v>
      </c>
      <c r="N739" s="64"/>
      <c r="O739" s="34"/>
      <c r="P739" s="34"/>
      <c r="Q739" s="34">
        <f t="shared" si="103"/>
        <v>0</v>
      </c>
      <c r="R739" s="34"/>
      <c r="S739" s="34">
        <f t="shared" si="104"/>
        <v>0</v>
      </c>
      <c r="T739" s="66"/>
      <c r="U739" s="52"/>
      <c r="V739" s="53"/>
      <c r="W739" s="53"/>
      <c r="X739" s="53"/>
      <c r="Y739" s="53"/>
      <c r="Z739" s="53" t="s">
        <v>3181</v>
      </c>
      <c r="AA739" s="53">
        <v>7.76341023426E11</v>
      </c>
      <c r="AB739" s="53">
        <v>30.985</v>
      </c>
      <c r="AC739" s="53"/>
      <c r="AD739" s="53"/>
      <c r="AE739" s="54"/>
      <c r="AF739" s="54"/>
      <c r="AG739" s="55"/>
      <c r="AH739" s="68"/>
      <c r="AI739" s="55"/>
      <c r="AJ739" s="55"/>
      <c r="AK739" s="54"/>
      <c r="AL739" s="54" t="s">
        <v>285</v>
      </c>
      <c r="AM739" s="54" t="s">
        <v>51</v>
      </c>
      <c r="AN739" s="54" t="s">
        <v>52</v>
      </c>
      <c r="AO739" s="54"/>
    </row>
    <row r="740" ht="15.75" customHeight="1">
      <c r="A740" s="69">
        <v>43725.0</v>
      </c>
      <c r="B740" s="70" t="s">
        <v>119</v>
      </c>
      <c r="C740" s="21" t="s">
        <v>1666</v>
      </c>
      <c r="D740" s="21" t="s">
        <v>1667</v>
      </c>
      <c r="E740" s="32" t="s">
        <v>152</v>
      </c>
      <c r="F740" s="24">
        <v>2.0</v>
      </c>
      <c r="G740" s="48">
        <v>1045.0</v>
      </c>
      <c r="H740" s="60">
        <f t="shared" si="105"/>
        <v>2090</v>
      </c>
      <c r="I740" s="61" t="s">
        <v>248</v>
      </c>
      <c r="J740" s="82" t="s">
        <v>122</v>
      </c>
      <c r="K740" s="542">
        <v>43742.0</v>
      </c>
      <c r="L740" s="30">
        <v>43739.0</v>
      </c>
      <c r="M740" s="50" t="s">
        <v>90</v>
      </c>
      <c r="N740" s="93" t="s">
        <v>3182</v>
      </c>
      <c r="O740" s="408"/>
      <c r="P740" s="408">
        <v>920.0</v>
      </c>
      <c r="Q740" s="408">
        <f t="shared" si="103"/>
        <v>1932</v>
      </c>
      <c r="R740" s="408"/>
      <c r="S740" s="408">
        <v>59834.0</v>
      </c>
      <c r="T740" s="51" t="s">
        <v>94</v>
      </c>
      <c r="U740" s="305">
        <v>43799.0</v>
      </c>
      <c r="V740" s="462">
        <v>43739.0</v>
      </c>
      <c r="W740" s="306" t="s">
        <v>1668</v>
      </c>
      <c r="X740" s="306">
        <v>163568.0</v>
      </c>
      <c r="Y740" s="306"/>
      <c r="Z740" s="306" t="s">
        <v>3183</v>
      </c>
      <c r="AA740" s="306" t="s">
        <v>3184</v>
      </c>
      <c r="AB740" s="306">
        <v>30.97</v>
      </c>
      <c r="AC740" s="306"/>
      <c r="AD740" s="306"/>
      <c r="AE740" s="298"/>
      <c r="AF740" s="298"/>
      <c r="AG740" s="299"/>
      <c r="AH740" s="300">
        <v>43777.0</v>
      </c>
      <c r="AI740" s="299">
        <f>5758.4*30.3</f>
        <v>174479.52</v>
      </c>
      <c r="AJ740" s="299">
        <f>(5775-5758.4)*30.3</f>
        <v>502.98</v>
      </c>
      <c r="AK740" s="298" t="s">
        <v>50</v>
      </c>
      <c r="AL740" s="298" t="s">
        <v>285</v>
      </c>
      <c r="AM740" s="298" t="s">
        <v>51</v>
      </c>
      <c r="AN740" s="298" t="s">
        <v>52</v>
      </c>
      <c r="AO740" s="298" t="s">
        <v>763</v>
      </c>
    </row>
    <row r="741" ht="15.75" customHeight="1">
      <c r="A741" s="69">
        <v>43725.0</v>
      </c>
      <c r="B741" s="70" t="s">
        <v>119</v>
      </c>
      <c r="C741" s="21" t="s">
        <v>1666</v>
      </c>
      <c r="D741" s="21" t="s">
        <v>1667</v>
      </c>
      <c r="E741" s="23" t="s">
        <v>415</v>
      </c>
      <c r="F741" s="24">
        <v>11.0</v>
      </c>
      <c r="G741" s="48">
        <v>335.0</v>
      </c>
      <c r="H741" s="60">
        <f t="shared" si="105"/>
        <v>3685</v>
      </c>
      <c r="I741" s="61" t="s">
        <v>248</v>
      </c>
      <c r="J741" s="82" t="s">
        <v>122</v>
      </c>
      <c r="K741" s="542">
        <v>43742.0</v>
      </c>
      <c r="L741" s="30">
        <v>43739.0</v>
      </c>
      <c r="M741" s="50" t="s">
        <v>90</v>
      </c>
      <c r="N741" s="93" t="s">
        <v>3182</v>
      </c>
      <c r="O741" s="408"/>
      <c r="P741" s="408">
        <v>290.0</v>
      </c>
      <c r="Q741" s="408">
        <f t="shared" si="103"/>
        <v>3349.5</v>
      </c>
      <c r="R741" s="408"/>
      <c r="S741" s="408">
        <v>103734.0</v>
      </c>
      <c r="T741" s="51" t="s">
        <v>94</v>
      </c>
      <c r="U741" s="305">
        <v>43799.0</v>
      </c>
      <c r="V741" s="462">
        <v>43739.0</v>
      </c>
      <c r="W741" s="306" t="s">
        <v>1668</v>
      </c>
      <c r="X741" s="306" t="s">
        <v>3185</v>
      </c>
      <c r="Y741" s="306"/>
      <c r="Z741" s="306" t="s">
        <v>3183</v>
      </c>
      <c r="AA741" s="306" t="s">
        <v>3184</v>
      </c>
      <c r="AB741" s="306">
        <v>30.97</v>
      </c>
      <c r="AC741" s="306"/>
      <c r="AD741" s="306"/>
      <c r="AE741" s="298"/>
      <c r="AF741" s="298"/>
      <c r="AG741" s="299"/>
      <c r="AH741" s="300">
        <v>43777.0</v>
      </c>
      <c r="AI741" s="299" t="s">
        <v>3186</v>
      </c>
      <c r="AJ741" s="299" t="s">
        <v>3187</v>
      </c>
      <c r="AK741" s="298" t="s">
        <v>50</v>
      </c>
      <c r="AL741" s="298" t="s">
        <v>285</v>
      </c>
      <c r="AM741" s="298" t="s">
        <v>51</v>
      </c>
      <c r="AN741" s="298" t="s">
        <v>52</v>
      </c>
      <c r="AO741" s="298" t="s">
        <v>763</v>
      </c>
    </row>
    <row r="742" ht="15.75" customHeight="1">
      <c r="A742" s="69">
        <v>43725.0</v>
      </c>
      <c r="B742" s="22" t="s">
        <v>1181</v>
      </c>
      <c r="C742" s="22"/>
      <c r="D742" s="22" t="s">
        <v>1669</v>
      </c>
      <c r="E742" s="35" t="s">
        <v>1300</v>
      </c>
      <c r="F742" s="24">
        <v>3.0</v>
      </c>
      <c r="G742" s="48">
        <v>109.0</v>
      </c>
      <c r="H742" s="60">
        <f t="shared" si="105"/>
        <v>327</v>
      </c>
      <c r="I742" s="61" t="s">
        <v>144</v>
      </c>
      <c r="J742" s="543" t="s">
        <v>1670</v>
      </c>
      <c r="K742" s="30">
        <v>43734.0</v>
      </c>
      <c r="L742" s="30">
        <v>43733.0</v>
      </c>
      <c r="M742" s="50" t="s">
        <v>90</v>
      </c>
      <c r="N742" s="93" t="s">
        <v>3188</v>
      </c>
      <c r="O742" s="408"/>
      <c r="P742" s="408">
        <v>96.0</v>
      </c>
      <c r="Q742" s="408">
        <f t="shared" si="103"/>
        <v>302.4</v>
      </c>
      <c r="R742" s="408"/>
      <c r="S742" s="408">
        <v>9370.0</v>
      </c>
      <c r="T742" s="35" t="s">
        <v>94</v>
      </c>
      <c r="U742" s="305">
        <v>43769.0</v>
      </c>
      <c r="V742" s="462">
        <v>43732.0</v>
      </c>
      <c r="W742" s="306" t="s">
        <v>1671</v>
      </c>
      <c r="X742" s="306">
        <v>12005.0</v>
      </c>
      <c r="Y742" s="306"/>
      <c r="Z742" s="306" t="s">
        <v>3189</v>
      </c>
      <c r="AA742" s="306">
        <v>5.0080110611E10</v>
      </c>
      <c r="AB742" s="306">
        <v>30.985</v>
      </c>
      <c r="AC742" s="306"/>
      <c r="AD742" s="306"/>
      <c r="AE742" s="298"/>
      <c r="AF742" s="298"/>
      <c r="AG742" s="299"/>
      <c r="AH742" s="300">
        <v>43727.0</v>
      </c>
      <c r="AI742" s="299">
        <f>418.54*30.95</f>
        <v>12953.813</v>
      </c>
      <c r="AJ742" s="299">
        <f>(440-418.54)*30.95</f>
        <v>664.187</v>
      </c>
      <c r="AK742" s="298" t="s">
        <v>50</v>
      </c>
      <c r="AL742" s="298" t="s">
        <v>285</v>
      </c>
      <c r="AM742" s="298" t="s">
        <v>51</v>
      </c>
      <c r="AN742" s="298" t="s">
        <v>52</v>
      </c>
      <c r="AO742" s="298" t="s">
        <v>1133</v>
      </c>
    </row>
    <row r="743" ht="15.75" customHeight="1">
      <c r="A743" s="69">
        <v>43725.0</v>
      </c>
      <c r="B743" s="22" t="s">
        <v>1181</v>
      </c>
      <c r="C743" s="22"/>
      <c r="D743" s="22" t="s">
        <v>1669</v>
      </c>
      <c r="E743" s="35" t="s">
        <v>137</v>
      </c>
      <c r="F743" s="24">
        <v>3.0</v>
      </c>
      <c r="G743" s="48">
        <v>31.0</v>
      </c>
      <c r="H743" s="60">
        <f t="shared" si="105"/>
        <v>93</v>
      </c>
      <c r="I743" s="61" t="s">
        <v>144</v>
      </c>
      <c r="J743" s="543" t="s">
        <v>1670</v>
      </c>
      <c r="K743" s="30">
        <v>43734.0</v>
      </c>
      <c r="L743" s="30">
        <v>43733.0</v>
      </c>
      <c r="M743" s="50" t="s">
        <v>90</v>
      </c>
      <c r="N743" s="93" t="s">
        <v>3188</v>
      </c>
      <c r="O743" s="408"/>
      <c r="P743" s="408">
        <v>27.0</v>
      </c>
      <c r="Q743" s="408">
        <f t="shared" si="103"/>
        <v>85.05</v>
      </c>
      <c r="R743" s="408"/>
      <c r="S743" s="408">
        <v>2635.0</v>
      </c>
      <c r="T743" s="35" t="s">
        <v>94</v>
      </c>
      <c r="U743" s="305">
        <v>43769.0</v>
      </c>
      <c r="V743" s="462">
        <v>43732.0</v>
      </c>
      <c r="W743" s="306" t="s">
        <v>1671</v>
      </c>
      <c r="X743" s="306" t="s">
        <v>3190</v>
      </c>
      <c r="Y743" s="306"/>
      <c r="Z743" s="306" t="s">
        <v>3189</v>
      </c>
      <c r="AA743" s="306">
        <v>5.0080110611E10</v>
      </c>
      <c r="AB743" s="306">
        <v>30.985</v>
      </c>
      <c r="AC743" s="306"/>
      <c r="AD743" s="306"/>
      <c r="AE743" s="298"/>
      <c r="AF743" s="298"/>
      <c r="AG743" s="299"/>
      <c r="AH743" s="300">
        <v>43727.0</v>
      </c>
      <c r="AI743" s="299" t="s">
        <v>3191</v>
      </c>
      <c r="AJ743" s="299" t="s">
        <v>3192</v>
      </c>
      <c r="AK743" s="298" t="s">
        <v>50</v>
      </c>
      <c r="AL743" s="298" t="s">
        <v>285</v>
      </c>
      <c r="AM743" s="298" t="s">
        <v>51</v>
      </c>
      <c r="AN743" s="298" t="s">
        <v>52</v>
      </c>
      <c r="AO743" s="298" t="s">
        <v>1133</v>
      </c>
    </row>
    <row r="744" ht="15.75" customHeight="1">
      <c r="A744" s="69">
        <v>43725.0</v>
      </c>
      <c r="B744" s="22" t="s">
        <v>1181</v>
      </c>
      <c r="C744" s="22"/>
      <c r="D744" s="22" t="s">
        <v>1669</v>
      </c>
      <c r="E744" s="35" t="s">
        <v>700</v>
      </c>
      <c r="F744" s="24">
        <v>1.0</v>
      </c>
      <c r="G744" s="48">
        <v>40.0</v>
      </c>
      <c r="H744" s="81">
        <f t="shared" si="105"/>
        <v>40</v>
      </c>
      <c r="I744" s="61" t="s">
        <v>87</v>
      </c>
      <c r="J744" s="543"/>
      <c r="K744" s="30">
        <v>43734.0</v>
      </c>
      <c r="L744" s="673"/>
      <c r="M744" s="63" t="s">
        <v>220</v>
      </c>
      <c r="N744" s="64"/>
      <c r="O744" s="34"/>
      <c r="P744" s="34"/>
      <c r="Q744" s="34">
        <f t="shared" si="103"/>
        <v>0</v>
      </c>
      <c r="R744" s="34"/>
      <c r="S744" s="34">
        <f>(R744*F744)*1.05</f>
        <v>0</v>
      </c>
      <c r="T744" s="35" t="s">
        <v>94</v>
      </c>
      <c r="U744" s="52"/>
      <c r="V744" s="53"/>
      <c r="W744" s="53"/>
      <c r="X744" s="53"/>
      <c r="Y744" s="53"/>
      <c r="Z744" s="53" t="s">
        <v>3189</v>
      </c>
      <c r="AA744" s="53">
        <v>5.0080110611E10</v>
      </c>
      <c r="AB744" s="53">
        <v>30.985</v>
      </c>
      <c r="AC744" s="53"/>
      <c r="AD744" s="53"/>
      <c r="AE744" s="54"/>
      <c r="AF744" s="54"/>
      <c r="AG744" s="55"/>
      <c r="AH744" s="56">
        <v>43727.0</v>
      </c>
      <c r="AI744" s="55"/>
      <c r="AJ744" s="55"/>
      <c r="AK744" s="54"/>
      <c r="AL744" s="54" t="s">
        <v>285</v>
      </c>
      <c r="AM744" s="54" t="s">
        <v>51</v>
      </c>
      <c r="AN744" s="54" t="s">
        <v>52</v>
      </c>
      <c r="AO744" s="54"/>
    </row>
    <row r="745" ht="15.75" customHeight="1">
      <c r="A745" s="69">
        <v>43725.0</v>
      </c>
      <c r="B745" s="70" t="s">
        <v>621</v>
      </c>
      <c r="C745" s="21"/>
      <c r="D745" s="21" t="s">
        <v>1672</v>
      </c>
      <c r="E745" s="32" t="s">
        <v>1673</v>
      </c>
      <c r="F745" s="82">
        <v>4.0</v>
      </c>
      <c r="G745" s="48">
        <v>344.4</v>
      </c>
      <c r="H745" s="26">
        <f t="shared" si="105"/>
        <v>1377.6</v>
      </c>
      <c r="I745" s="27" t="s">
        <v>43</v>
      </c>
      <c r="J745" s="50" t="s">
        <v>90</v>
      </c>
      <c r="K745" s="29">
        <v>43728.0</v>
      </c>
      <c r="L745" s="30">
        <v>43728.0</v>
      </c>
      <c r="M745" s="50" t="s">
        <v>90</v>
      </c>
      <c r="N745" s="93" t="s">
        <v>3193</v>
      </c>
      <c r="O745" s="408"/>
      <c r="P745" s="408">
        <v>269.0</v>
      </c>
      <c r="Q745" s="408">
        <f t="shared" si="103"/>
        <v>1129.8</v>
      </c>
      <c r="R745" s="408"/>
      <c r="S745" s="408">
        <v>35272.0</v>
      </c>
      <c r="T745" s="51" t="s">
        <v>94</v>
      </c>
      <c r="U745" s="462">
        <v>43769.0</v>
      </c>
      <c r="V745" s="462">
        <v>43727.0</v>
      </c>
      <c r="W745" s="306" t="s">
        <v>1674</v>
      </c>
      <c r="X745" s="306">
        <v>54482.0</v>
      </c>
      <c r="Y745" s="306"/>
      <c r="Z745" s="306" t="s">
        <v>3194</v>
      </c>
      <c r="AA745" s="306"/>
      <c r="AB745" s="306">
        <v>30.995</v>
      </c>
      <c r="AC745" s="306">
        <v>66001.0</v>
      </c>
      <c r="AD745" s="462">
        <v>43735.0</v>
      </c>
      <c r="AE745" s="298"/>
      <c r="AF745" s="298"/>
      <c r="AG745" s="299"/>
      <c r="AH745" s="300">
        <v>43743.0</v>
      </c>
      <c r="AI745" s="299">
        <v>66001.0</v>
      </c>
      <c r="AJ745" s="299">
        <v>0.0</v>
      </c>
      <c r="AK745" s="298" t="s">
        <v>50</v>
      </c>
      <c r="AL745" s="298" t="s">
        <v>285</v>
      </c>
      <c r="AM745" s="298" t="s">
        <v>51</v>
      </c>
      <c r="AN745" s="298" t="s">
        <v>377</v>
      </c>
      <c r="AO745" s="298" t="s">
        <v>1133</v>
      </c>
    </row>
    <row r="746" ht="15.75" customHeight="1">
      <c r="A746" s="69">
        <v>43725.0</v>
      </c>
      <c r="B746" s="70" t="s">
        <v>621</v>
      </c>
      <c r="C746" s="21"/>
      <c r="D746" s="21" t="s">
        <v>1672</v>
      </c>
      <c r="E746" s="32" t="s">
        <v>1675</v>
      </c>
      <c r="F746" s="82">
        <v>2.0</v>
      </c>
      <c r="G746" s="48">
        <v>375.9</v>
      </c>
      <c r="H746" s="26">
        <f t="shared" si="105"/>
        <v>751.8</v>
      </c>
      <c r="I746" s="27" t="s">
        <v>43</v>
      </c>
      <c r="J746" s="50" t="s">
        <v>90</v>
      </c>
      <c r="K746" s="29">
        <v>43728.0</v>
      </c>
      <c r="L746" s="30">
        <v>43728.0</v>
      </c>
      <c r="M746" s="50" t="s">
        <v>90</v>
      </c>
      <c r="N746" s="93" t="s">
        <v>3193</v>
      </c>
      <c r="O746" s="408"/>
      <c r="P746" s="408">
        <v>293.0</v>
      </c>
      <c r="Q746" s="408">
        <f t="shared" si="103"/>
        <v>615.3</v>
      </c>
      <c r="R746" s="408"/>
      <c r="S746" s="408">
        <v>19210.0</v>
      </c>
      <c r="T746" s="51" t="s">
        <v>94</v>
      </c>
      <c r="U746" s="462">
        <v>43769.0</v>
      </c>
      <c r="V746" s="462">
        <v>43727.0</v>
      </c>
      <c r="W746" s="306" t="s">
        <v>1674</v>
      </c>
      <c r="X746" s="306" t="s">
        <v>3195</v>
      </c>
      <c r="Y746" s="306"/>
      <c r="Z746" s="306" t="s">
        <v>3194</v>
      </c>
      <c r="AA746" s="306"/>
      <c r="AB746" s="306">
        <v>30.995</v>
      </c>
      <c r="AC746" s="306" t="s">
        <v>3196</v>
      </c>
      <c r="AD746" s="462">
        <v>43735.0</v>
      </c>
      <c r="AE746" s="298"/>
      <c r="AF746" s="298"/>
      <c r="AG746" s="299"/>
      <c r="AH746" s="300">
        <v>43743.0</v>
      </c>
      <c r="AI746" s="299" t="s">
        <v>3197</v>
      </c>
      <c r="AJ746" s="299" t="s">
        <v>3198</v>
      </c>
      <c r="AK746" s="298" t="s">
        <v>50</v>
      </c>
      <c r="AL746" s="298" t="s">
        <v>285</v>
      </c>
      <c r="AM746" s="298" t="s">
        <v>51</v>
      </c>
      <c r="AN746" s="298" t="s">
        <v>377</v>
      </c>
      <c r="AO746" s="298" t="s">
        <v>1133</v>
      </c>
    </row>
    <row r="747" ht="15.75" customHeight="1">
      <c r="A747" s="69">
        <v>43727.0</v>
      </c>
      <c r="B747" s="23" t="s">
        <v>406</v>
      </c>
      <c r="C747" s="21">
        <v>7.000150303E9</v>
      </c>
      <c r="D747" s="21" t="s">
        <v>1676</v>
      </c>
      <c r="E747" s="32" t="s">
        <v>1677</v>
      </c>
      <c r="F747" s="24">
        <v>1.0</v>
      </c>
      <c r="G747" s="48">
        <v>208.0</v>
      </c>
      <c r="H747" s="26">
        <f t="shared" si="105"/>
        <v>208</v>
      </c>
      <c r="I747" s="27" t="s">
        <v>43</v>
      </c>
      <c r="J747" s="50" t="s">
        <v>513</v>
      </c>
      <c r="K747" s="29">
        <v>43739.0</v>
      </c>
      <c r="L747" s="29">
        <v>43735.0</v>
      </c>
      <c r="M747" s="58" t="s">
        <v>2078</v>
      </c>
      <c r="N747" s="93" t="s">
        <v>3199</v>
      </c>
      <c r="O747" s="408"/>
      <c r="P747" s="408"/>
      <c r="Q747" s="408">
        <f t="shared" si="103"/>
        <v>0</v>
      </c>
      <c r="R747" s="408">
        <v>5466.0</v>
      </c>
      <c r="S747" s="408">
        <v>5739.0</v>
      </c>
      <c r="T747" s="503" t="s">
        <v>2080</v>
      </c>
      <c r="U747" s="305">
        <v>43830.0</v>
      </c>
      <c r="V747" s="462">
        <v>43734.0</v>
      </c>
      <c r="W747" s="306" t="s">
        <v>1678</v>
      </c>
      <c r="X747" s="306">
        <v>11012.0</v>
      </c>
      <c r="Y747" s="306"/>
      <c r="Z747" s="306" t="s">
        <v>3200</v>
      </c>
      <c r="AA747" s="306">
        <v>2.69883922E9</v>
      </c>
      <c r="AB747" s="306">
        <v>30.97</v>
      </c>
      <c r="AC747" s="306"/>
      <c r="AD747" s="306"/>
      <c r="AE747" s="298"/>
      <c r="AF747" s="298"/>
      <c r="AG747" s="299"/>
      <c r="AH747" s="300">
        <v>43773.0</v>
      </c>
      <c r="AI747" s="299">
        <f>380.41*30.35</f>
        <v>11545.4435</v>
      </c>
      <c r="AJ747" s="299">
        <f>(407-380.41)*30.35</f>
        <v>807.0065</v>
      </c>
      <c r="AK747" s="298" t="s">
        <v>50</v>
      </c>
      <c r="AL747" s="298" t="s">
        <v>285</v>
      </c>
      <c r="AM747" s="298" t="s">
        <v>51</v>
      </c>
      <c r="AN747" s="298" t="s">
        <v>52</v>
      </c>
      <c r="AO747" s="298" t="s">
        <v>763</v>
      </c>
    </row>
    <row r="748" ht="15.75" customHeight="1">
      <c r="A748" s="69">
        <v>43727.0</v>
      </c>
      <c r="B748" s="23" t="s">
        <v>406</v>
      </c>
      <c r="C748" s="21">
        <v>7.000150303E9</v>
      </c>
      <c r="D748" s="21" t="s">
        <v>1676</v>
      </c>
      <c r="E748" s="32" t="s">
        <v>1679</v>
      </c>
      <c r="F748" s="24">
        <v>1.0</v>
      </c>
      <c r="G748" s="48">
        <v>59.0</v>
      </c>
      <c r="H748" s="26">
        <f t="shared" si="105"/>
        <v>59</v>
      </c>
      <c r="I748" s="27" t="s">
        <v>43</v>
      </c>
      <c r="J748" s="50" t="s">
        <v>513</v>
      </c>
      <c r="K748" s="29">
        <v>43739.0</v>
      </c>
      <c r="L748" s="29">
        <v>43735.0</v>
      </c>
      <c r="M748" s="58" t="s">
        <v>2078</v>
      </c>
      <c r="N748" s="93" t="s">
        <v>3199</v>
      </c>
      <c r="O748" s="408"/>
      <c r="P748" s="408"/>
      <c r="Q748" s="408">
        <f t="shared" si="103"/>
        <v>0</v>
      </c>
      <c r="R748" s="408">
        <v>1506.0</v>
      </c>
      <c r="S748" s="408">
        <v>1581.0</v>
      </c>
      <c r="T748" s="503" t="s">
        <v>2080</v>
      </c>
      <c r="U748" s="305">
        <v>43830.0</v>
      </c>
      <c r="V748" s="462">
        <v>43734.0</v>
      </c>
      <c r="W748" s="306" t="s">
        <v>1678</v>
      </c>
      <c r="X748" s="306" t="s">
        <v>3201</v>
      </c>
      <c r="Y748" s="306"/>
      <c r="Z748" s="306" t="s">
        <v>3200</v>
      </c>
      <c r="AA748" s="306">
        <v>2.69883922E9</v>
      </c>
      <c r="AB748" s="306">
        <v>30.97</v>
      </c>
      <c r="AC748" s="306"/>
      <c r="AD748" s="306"/>
      <c r="AE748" s="298"/>
      <c r="AF748" s="298"/>
      <c r="AG748" s="299"/>
      <c r="AH748" s="300">
        <v>43773.0</v>
      </c>
      <c r="AI748" s="299" t="s">
        <v>3202</v>
      </c>
      <c r="AJ748" s="299" t="s">
        <v>3203</v>
      </c>
      <c r="AK748" s="298" t="s">
        <v>50</v>
      </c>
      <c r="AL748" s="298" t="s">
        <v>285</v>
      </c>
      <c r="AM748" s="298" t="s">
        <v>51</v>
      </c>
      <c r="AN748" s="298" t="s">
        <v>52</v>
      </c>
      <c r="AO748" s="82" t="s">
        <v>763</v>
      </c>
    </row>
    <row r="749" ht="15.75" customHeight="1">
      <c r="A749" s="69">
        <v>43727.0</v>
      </c>
      <c r="B749" s="23" t="s">
        <v>406</v>
      </c>
      <c r="C749" s="21">
        <v>7.000150303E9</v>
      </c>
      <c r="D749" s="21" t="s">
        <v>1676</v>
      </c>
      <c r="E749" s="32" t="s">
        <v>1680</v>
      </c>
      <c r="F749" s="24">
        <v>1.0</v>
      </c>
      <c r="G749" s="48">
        <v>54.0</v>
      </c>
      <c r="H749" s="26">
        <f t="shared" si="105"/>
        <v>54</v>
      </c>
      <c r="I749" s="27" t="s">
        <v>43</v>
      </c>
      <c r="J749" s="50" t="s">
        <v>513</v>
      </c>
      <c r="K749" s="29">
        <v>43739.0</v>
      </c>
      <c r="L749" s="29">
        <v>43735.0</v>
      </c>
      <c r="M749" s="58" t="s">
        <v>2078</v>
      </c>
      <c r="N749" s="93" t="s">
        <v>3199</v>
      </c>
      <c r="O749" s="408"/>
      <c r="P749" s="408"/>
      <c r="Q749" s="408">
        <f t="shared" si="103"/>
        <v>0</v>
      </c>
      <c r="R749" s="408">
        <v>1290.0</v>
      </c>
      <c r="S749" s="408">
        <v>1355.0</v>
      </c>
      <c r="T749" s="503" t="s">
        <v>2080</v>
      </c>
      <c r="U749" s="305">
        <v>43830.0</v>
      </c>
      <c r="V749" s="462">
        <v>43734.0</v>
      </c>
      <c r="W749" s="306" t="s">
        <v>1678</v>
      </c>
      <c r="X749" s="306" t="s">
        <v>3201</v>
      </c>
      <c r="Y749" s="306"/>
      <c r="Z749" s="306" t="s">
        <v>3200</v>
      </c>
      <c r="AA749" s="306">
        <v>2.69883922E9</v>
      </c>
      <c r="AB749" s="306">
        <v>30.97</v>
      </c>
      <c r="AC749" s="306"/>
      <c r="AD749" s="306"/>
      <c r="AE749" s="298"/>
      <c r="AF749" s="298"/>
      <c r="AG749" s="299"/>
      <c r="AH749" s="300">
        <v>43773.0</v>
      </c>
      <c r="AI749" s="299" t="s">
        <v>3202</v>
      </c>
      <c r="AJ749" s="299" t="s">
        <v>3203</v>
      </c>
      <c r="AK749" s="298" t="s">
        <v>50</v>
      </c>
      <c r="AL749" s="298" t="s">
        <v>285</v>
      </c>
      <c r="AM749" s="298" t="s">
        <v>51</v>
      </c>
      <c r="AN749" s="298" t="s">
        <v>52</v>
      </c>
      <c r="AO749" s="82" t="s">
        <v>763</v>
      </c>
    </row>
    <row r="750" ht="27.75" customHeight="1">
      <c r="A750" s="69">
        <v>43727.0</v>
      </c>
      <c r="B750" s="23" t="s">
        <v>406</v>
      </c>
      <c r="C750" s="21">
        <v>7.000150303E9</v>
      </c>
      <c r="D750" s="21" t="s">
        <v>1676</v>
      </c>
      <c r="E750" s="32" t="s">
        <v>1681</v>
      </c>
      <c r="F750" s="24">
        <v>1.0</v>
      </c>
      <c r="G750" s="48">
        <v>86.0</v>
      </c>
      <c r="H750" s="26">
        <f t="shared" si="105"/>
        <v>86</v>
      </c>
      <c r="I750" s="27" t="s">
        <v>43</v>
      </c>
      <c r="J750" s="50" t="s">
        <v>513</v>
      </c>
      <c r="K750" s="29">
        <v>43739.0</v>
      </c>
      <c r="L750" s="29">
        <v>43735.0</v>
      </c>
      <c r="M750" s="58" t="s">
        <v>2078</v>
      </c>
      <c r="N750" s="93" t="s">
        <v>3199</v>
      </c>
      <c r="O750" s="408"/>
      <c r="P750" s="408"/>
      <c r="Q750" s="408">
        <f t="shared" si="103"/>
        <v>0</v>
      </c>
      <c r="R750" s="408">
        <v>2226.0</v>
      </c>
      <c r="S750" s="408">
        <v>2337.0</v>
      </c>
      <c r="T750" s="503" t="s">
        <v>2080</v>
      </c>
      <c r="U750" s="305">
        <v>43830.0</v>
      </c>
      <c r="V750" s="462">
        <v>43734.0</v>
      </c>
      <c r="W750" s="306" t="s">
        <v>1678</v>
      </c>
      <c r="X750" s="306" t="s">
        <v>3201</v>
      </c>
      <c r="Y750" s="306"/>
      <c r="Z750" s="306" t="s">
        <v>3200</v>
      </c>
      <c r="AA750" s="306">
        <v>2.69883922E9</v>
      </c>
      <c r="AB750" s="306">
        <v>30.97</v>
      </c>
      <c r="AC750" s="306"/>
      <c r="AD750" s="306"/>
      <c r="AE750" s="298"/>
      <c r="AF750" s="298"/>
      <c r="AG750" s="299"/>
      <c r="AH750" s="300">
        <v>43773.0</v>
      </c>
      <c r="AI750" s="299" t="s">
        <v>3202</v>
      </c>
      <c r="AJ750" s="299" t="s">
        <v>3203</v>
      </c>
      <c r="AK750" s="298" t="s">
        <v>50</v>
      </c>
      <c r="AL750" s="298" t="s">
        <v>285</v>
      </c>
      <c r="AM750" s="298" t="s">
        <v>51</v>
      </c>
      <c r="AN750" s="298" t="s">
        <v>52</v>
      </c>
      <c r="AO750" s="82" t="s">
        <v>763</v>
      </c>
    </row>
    <row r="751" ht="27.75" customHeight="1">
      <c r="A751" s="469">
        <v>43728.0</v>
      </c>
      <c r="B751" s="144" t="s">
        <v>1251</v>
      </c>
      <c r="C751" s="21" t="s">
        <v>1583</v>
      </c>
      <c r="D751" s="21" t="s">
        <v>1682</v>
      </c>
      <c r="E751" s="32" t="s">
        <v>347</v>
      </c>
      <c r="F751" s="24">
        <v>1.0</v>
      </c>
      <c r="G751" s="436">
        <v>452.0</v>
      </c>
      <c r="H751" s="60">
        <v>452.0</v>
      </c>
      <c r="I751" s="61"/>
      <c r="J751" s="63" t="s">
        <v>1361</v>
      </c>
      <c r="K751" s="29">
        <v>43728.0</v>
      </c>
      <c r="L751" s="30"/>
      <c r="M751" s="50" t="s">
        <v>263</v>
      </c>
      <c r="N751" s="93"/>
      <c r="O751" s="408"/>
      <c r="P751" s="408"/>
      <c r="Q751" s="408"/>
      <c r="R751" s="408">
        <v>11555.0</v>
      </c>
      <c r="S751" s="408">
        <v>12133.0</v>
      </c>
      <c r="T751" s="51"/>
      <c r="U751" s="305">
        <v>43769.0</v>
      </c>
      <c r="V751" s="462">
        <v>43738.0</v>
      </c>
      <c r="W751" s="306" t="s">
        <v>1594</v>
      </c>
      <c r="X751" s="306">
        <v>14604.0</v>
      </c>
      <c r="Y751" s="306"/>
      <c r="Z751" s="306" t="s">
        <v>3117</v>
      </c>
      <c r="AA751" s="306">
        <v>9.860032755E9</v>
      </c>
      <c r="AB751" s="306"/>
      <c r="AC751" s="306"/>
      <c r="AD751" s="306"/>
      <c r="AE751" s="298"/>
      <c r="AF751" s="298"/>
      <c r="AG751" s="299"/>
      <c r="AH751" s="29">
        <v>43789.0</v>
      </c>
      <c r="AI751" s="299" t="s">
        <v>3125</v>
      </c>
      <c r="AJ751" s="299" t="s">
        <v>3126</v>
      </c>
      <c r="AK751" s="298" t="s">
        <v>50</v>
      </c>
      <c r="AL751" s="298" t="s">
        <v>285</v>
      </c>
      <c r="AM751" s="298" t="s">
        <v>286</v>
      </c>
      <c r="AN751" s="298" t="s">
        <v>52</v>
      </c>
      <c r="AO751" s="298" t="s">
        <v>1133</v>
      </c>
    </row>
    <row r="752" ht="15.75" customHeight="1">
      <c r="A752" s="69">
        <v>43731.0</v>
      </c>
      <c r="B752" s="70" t="s">
        <v>1683</v>
      </c>
      <c r="C752" s="21"/>
      <c r="D752" s="21" t="s">
        <v>1684</v>
      </c>
      <c r="E752" s="522" t="s">
        <v>1685</v>
      </c>
      <c r="F752" s="24">
        <v>1.0</v>
      </c>
      <c r="G752" s="48">
        <v>212.0</v>
      </c>
      <c r="H752" s="60">
        <f t="shared" ref="H752:H808" si="106">G752*F752</f>
        <v>212</v>
      </c>
      <c r="I752" s="61" t="s">
        <v>105</v>
      </c>
      <c r="J752" s="50" t="s">
        <v>71</v>
      </c>
      <c r="K752" s="29">
        <v>43782.0</v>
      </c>
      <c r="L752" s="30">
        <v>43781.0</v>
      </c>
      <c r="M752" s="50" t="s">
        <v>90</v>
      </c>
      <c r="N752" s="93" t="s">
        <v>3204</v>
      </c>
      <c r="O752" s="408"/>
      <c r="P752" s="408">
        <v>180.0</v>
      </c>
      <c r="Q752" s="408">
        <f t="shared" ref="Q752:Q765" si="107">(P752*F752)*1.05</f>
        <v>189</v>
      </c>
      <c r="R752" s="408"/>
      <c r="S752" s="408">
        <v>5726.0</v>
      </c>
      <c r="T752" s="51" t="s">
        <v>94</v>
      </c>
      <c r="U752" s="305">
        <v>43830.0</v>
      </c>
      <c r="V752" s="305">
        <v>43781.0</v>
      </c>
      <c r="W752" s="306" t="s">
        <v>1686</v>
      </c>
      <c r="X752" s="306">
        <v>39444.0</v>
      </c>
      <c r="Y752" s="306"/>
      <c r="Z752" s="306" t="s">
        <v>3205</v>
      </c>
      <c r="AA752" s="306">
        <v>1.67610315E8</v>
      </c>
      <c r="AB752" s="306">
        <v>30.3</v>
      </c>
      <c r="AC752" s="306"/>
      <c r="AD752" s="306"/>
      <c r="AE752" s="298"/>
      <c r="AF752" s="298"/>
      <c r="AG752" s="299"/>
      <c r="AH752" s="300">
        <v>43732.0</v>
      </c>
      <c r="AI752" s="299">
        <f>1390.04*30.96</f>
        <v>43035.6384</v>
      </c>
      <c r="AJ752" s="299">
        <f>(1407.5-1390.04)*30.96</f>
        <v>540.5616</v>
      </c>
      <c r="AK752" s="298" t="s">
        <v>50</v>
      </c>
      <c r="AL752" s="298" t="s">
        <v>285</v>
      </c>
      <c r="AM752" s="298" t="s">
        <v>51</v>
      </c>
      <c r="AN752" s="298" t="s">
        <v>52</v>
      </c>
      <c r="AO752" s="82" t="s">
        <v>763</v>
      </c>
    </row>
    <row r="753" ht="15.75" customHeight="1">
      <c r="A753" s="69">
        <v>43731.0</v>
      </c>
      <c r="B753" s="70" t="s">
        <v>1683</v>
      </c>
      <c r="C753" s="21"/>
      <c r="D753" s="21" t="s">
        <v>1684</v>
      </c>
      <c r="E753" s="522" t="s">
        <v>1687</v>
      </c>
      <c r="F753" s="24">
        <v>1.0</v>
      </c>
      <c r="G753" s="48">
        <v>345.0</v>
      </c>
      <c r="H753" s="60">
        <f t="shared" si="106"/>
        <v>345</v>
      </c>
      <c r="I753" s="61" t="s">
        <v>105</v>
      </c>
      <c r="J753" s="50" t="s">
        <v>71</v>
      </c>
      <c r="K753" s="29">
        <v>43782.0</v>
      </c>
      <c r="L753" s="30">
        <v>43781.0</v>
      </c>
      <c r="M753" s="50" t="s">
        <v>90</v>
      </c>
      <c r="N753" s="93" t="s">
        <v>3204</v>
      </c>
      <c r="O753" s="22"/>
      <c r="P753" s="22">
        <v>304.0</v>
      </c>
      <c r="Q753" s="408">
        <f t="shared" si="107"/>
        <v>319.2</v>
      </c>
      <c r="R753" s="408"/>
      <c r="S753" s="408">
        <v>9670.0</v>
      </c>
      <c r="T753" s="51" t="s">
        <v>94</v>
      </c>
      <c r="U753" s="305">
        <v>43830.0</v>
      </c>
      <c r="V753" s="305">
        <v>43781.0</v>
      </c>
      <c r="W753" s="306" t="s">
        <v>1686</v>
      </c>
      <c r="X753" s="306" t="s">
        <v>3206</v>
      </c>
      <c r="Y753" s="306"/>
      <c r="Z753" s="306" t="s">
        <v>3205</v>
      </c>
      <c r="AA753" s="306">
        <v>1.67610315E8</v>
      </c>
      <c r="AB753" s="306">
        <v>30.3</v>
      </c>
      <c r="AC753" s="306"/>
      <c r="AD753" s="306"/>
      <c r="AE753" s="298"/>
      <c r="AF753" s="298"/>
      <c r="AG753" s="299"/>
      <c r="AH753" s="300">
        <v>43732.0</v>
      </c>
      <c r="AI753" s="299" t="s">
        <v>3207</v>
      </c>
      <c r="AJ753" s="299" t="s">
        <v>3177</v>
      </c>
      <c r="AK753" s="298" t="s">
        <v>50</v>
      </c>
      <c r="AL753" s="298" t="s">
        <v>285</v>
      </c>
      <c r="AM753" s="298" t="s">
        <v>51</v>
      </c>
      <c r="AN753" s="298" t="s">
        <v>52</v>
      </c>
      <c r="AO753" s="82" t="s">
        <v>763</v>
      </c>
    </row>
    <row r="754" ht="15.75" customHeight="1">
      <c r="A754" s="69">
        <v>43731.0</v>
      </c>
      <c r="B754" s="70" t="s">
        <v>1683</v>
      </c>
      <c r="C754" s="21"/>
      <c r="D754" s="21" t="s">
        <v>1684</v>
      </c>
      <c r="E754" s="522" t="s">
        <v>1688</v>
      </c>
      <c r="F754" s="24">
        <v>6.0</v>
      </c>
      <c r="G754" s="48">
        <v>138.0</v>
      </c>
      <c r="H754" s="60">
        <f t="shared" si="106"/>
        <v>828</v>
      </c>
      <c r="I754" s="61" t="s">
        <v>105</v>
      </c>
      <c r="J754" s="50" t="s">
        <v>71</v>
      </c>
      <c r="K754" s="29">
        <v>43782.0</v>
      </c>
      <c r="L754" s="30">
        <v>43781.0</v>
      </c>
      <c r="M754" s="50" t="s">
        <v>90</v>
      </c>
      <c r="N754" s="93" t="s">
        <v>3204</v>
      </c>
      <c r="O754" s="22"/>
      <c r="P754" s="22">
        <v>123.0</v>
      </c>
      <c r="Q754" s="408">
        <f t="shared" si="107"/>
        <v>774.9</v>
      </c>
      <c r="R754" s="408"/>
      <c r="S754" s="408">
        <v>23476.0</v>
      </c>
      <c r="T754" s="51" t="s">
        <v>94</v>
      </c>
      <c r="U754" s="305">
        <v>43830.0</v>
      </c>
      <c r="V754" s="305">
        <v>43781.0</v>
      </c>
      <c r="W754" s="306" t="s">
        <v>1686</v>
      </c>
      <c r="X754" s="306" t="s">
        <v>3206</v>
      </c>
      <c r="Y754" s="306"/>
      <c r="Z754" s="306" t="s">
        <v>3205</v>
      </c>
      <c r="AA754" s="306">
        <v>1.67610315E8</v>
      </c>
      <c r="AB754" s="306">
        <v>30.3</v>
      </c>
      <c r="AC754" s="306"/>
      <c r="AD754" s="306"/>
      <c r="AE754" s="298"/>
      <c r="AF754" s="298"/>
      <c r="AG754" s="299"/>
      <c r="AH754" s="300">
        <v>43732.0</v>
      </c>
      <c r="AI754" s="299" t="s">
        <v>3207</v>
      </c>
      <c r="AJ754" s="299" t="s">
        <v>3177</v>
      </c>
      <c r="AK754" s="298" t="s">
        <v>50</v>
      </c>
      <c r="AL754" s="298" t="s">
        <v>285</v>
      </c>
      <c r="AM754" s="298" t="s">
        <v>51</v>
      </c>
      <c r="AN754" s="298" t="s">
        <v>52</v>
      </c>
      <c r="AO754" s="82" t="s">
        <v>763</v>
      </c>
    </row>
    <row r="755" ht="15.75" customHeight="1">
      <c r="A755" s="69">
        <v>43731.0</v>
      </c>
      <c r="B755" s="70" t="s">
        <v>1683</v>
      </c>
      <c r="C755" s="21"/>
      <c r="D755" s="21" t="s">
        <v>1684</v>
      </c>
      <c r="E755" s="522" t="s">
        <v>1689</v>
      </c>
      <c r="F755" s="24">
        <v>6.0</v>
      </c>
      <c r="G755" s="48">
        <v>3.75</v>
      </c>
      <c r="H755" s="60">
        <f t="shared" si="106"/>
        <v>22.5</v>
      </c>
      <c r="I755" s="61" t="s">
        <v>105</v>
      </c>
      <c r="J755" s="50" t="s">
        <v>71</v>
      </c>
      <c r="K755" s="29">
        <v>43782.0</v>
      </c>
      <c r="L755" s="30">
        <v>43781.0</v>
      </c>
      <c r="M755" s="50" t="s">
        <v>90</v>
      </c>
      <c r="N755" s="93" t="s">
        <v>3204</v>
      </c>
      <c r="O755" s="408"/>
      <c r="P755" s="408">
        <v>3.0</v>
      </c>
      <c r="Q755" s="408">
        <f t="shared" si="107"/>
        <v>18.9</v>
      </c>
      <c r="R755" s="408"/>
      <c r="S755" s="408">
        <v>572.0</v>
      </c>
      <c r="T755" s="51" t="s">
        <v>94</v>
      </c>
      <c r="U755" s="305">
        <v>43830.0</v>
      </c>
      <c r="V755" s="305">
        <v>43781.0</v>
      </c>
      <c r="W755" s="306" t="s">
        <v>1686</v>
      </c>
      <c r="X755" s="306" t="s">
        <v>3206</v>
      </c>
      <c r="Y755" s="306"/>
      <c r="Z755" s="306" t="s">
        <v>3205</v>
      </c>
      <c r="AA755" s="306">
        <v>1.67610315E8</v>
      </c>
      <c r="AB755" s="306">
        <v>30.3</v>
      </c>
      <c r="AC755" s="306"/>
      <c r="AD755" s="306"/>
      <c r="AE755" s="298"/>
      <c r="AF755" s="298"/>
      <c r="AG755" s="299"/>
      <c r="AH755" s="300">
        <v>43732.0</v>
      </c>
      <c r="AI755" s="299" t="s">
        <v>3207</v>
      </c>
      <c r="AJ755" s="299" t="s">
        <v>3177</v>
      </c>
      <c r="AK755" s="298" t="s">
        <v>50</v>
      </c>
      <c r="AL755" s="298" t="s">
        <v>285</v>
      </c>
      <c r="AM755" s="298" t="s">
        <v>51</v>
      </c>
      <c r="AN755" s="298" t="s">
        <v>52</v>
      </c>
      <c r="AO755" s="82" t="s">
        <v>763</v>
      </c>
    </row>
    <row r="756" ht="15.75" customHeight="1">
      <c r="A756" s="69">
        <v>43731.0</v>
      </c>
      <c r="B756" s="70" t="s">
        <v>77</v>
      </c>
      <c r="C756" s="21"/>
      <c r="D756" s="21" t="s">
        <v>1690</v>
      </c>
      <c r="E756" s="32" t="s">
        <v>555</v>
      </c>
      <c r="F756" s="82">
        <v>50.0</v>
      </c>
      <c r="G756" s="150">
        <v>2.5</v>
      </c>
      <c r="H756" s="26">
        <f t="shared" si="106"/>
        <v>125</v>
      </c>
      <c r="I756" s="61" t="s">
        <v>43</v>
      </c>
      <c r="J756" s="431" t="s">
        <v>936</v>
      </c>
      <c r="K756" s="29">
        <v>43769.0</v>
      </c>
      <c r="L756" s="30">
        <v>43756.0</v>
      </c>
      <c r="M756" s="50" t="s">
        <v>2039</v>
      </c>
      <c r="N756" s="32" t="s">
        <v>3208</v>
      </c>
      <c r="O756" s="408">
        <v>2.019101800001E12</v>
      </c>
      <c r="P756" s="408"/>
      <c r="Q756" s="408">
        <f t="shared" si="107"/>
        <v>0</v>
      </c>
      <c r="R756" s="408">
        <v>52.0</v>
      </c>
      <c r="S756" s="408">
        <f>(R756*F756)*1.05</f>
        <v>2730</v>
      </c>
      <c r="T756" s="20" t="s">
        <v>2194</v>
      </c>
      <c r="U756" s="462">
        <v>43774.0</v>
      </c>
      <c r="V756" s="305">
        <v>43755.0</v>
      </c>
      <c r="W756" s="306" t="s">
        <v>1691</v>
      </c>
      <c r="X756" s="306" t="s">
        <v>3209</v>
      </c>
      <c r="Y756" s="306"/>
      <c r="Z756" s="306"/>
      <c r="AA756" s="306"/>
      <c r="AB756" s="306"/>
      <c r="AC756" s="306"/>
      <c r="AD756" s="306"/>
      <c r="AE756" s="298"/>
      <c r="AF756" s="298"/>
      <c r="AG756" s="299"/>
      <c r="AH756" s="539"/>
      <c r="AI756" s="300">
        <v>43803.0</v>
      </c>
      <c r="AJ756" s="299"/>
      <c r="AK756" s="298" t="s">
        <v>50</v>
      </c>
      <c r="AL756" s="298" t="s">
        <v>285</v>
      </c>
      <c r="AM756" s="298" t="s">
        <v>51</v>
      </c>
      <c r="AN756" s="298" t="s">
        <v>52</v>
      </c>
      <c r="AO756" s="82" t="s">
        <v>763</v>
      </c>
    </row>
    <row r="757" ht="15.75" customHeight="1">
      <c r="A757" s="69">
        <v>43733.0</v>
      </c>
      <c r="B757" s="70" t="s">
        <v>631</v>
      </c>
      <c r="C757" s="21" t="s">
        <v>1692</v>
      </c>
      <c r="D757" s="21" t="s">
        <v>1693</v>
      </c>
      <c r="E757" s="32" t="s">
        <v>634</v>
      </c>
      <c r="F757" s="24">
        <v>15.0</v>
      </c>
      <c r="G757" s="48">
        <v>173.25</v>
      </c>
      <c r="H757" s="60">
        <f t="shared" si="106"/>
        <v>2598.75</v>
      </c>
      <c r="I757" s="61" t="s">
        <v>144</v>
      </c>
      <c r="J757" s="407" t="s">
        <v>1089</v>
      </c>
      <c r="K757" s="30">
        <v>43740.0</v>
      </c>
      <c r="L757" s="30">
        <v>43735.0</v>
      </c>
      <c r="M757" s="58" t="s">
        <v>2263</v>
      </c>
      <c r="N757" s="93" t="s">
        <v>3210</v>
      </c>
      <c r="O757" s="408"/>
      <c r="P757" s="408"/>
      <c r="Q757" s="408">
        <f t="shared" si="107"/>
        <v>0</v>
      </c>
      <c r="R757" s="408">
        <v>4850.0</v>
      </c>
      <c r="S757" s="408">
        <v>76388.0</v>
      </c>
      <c r="T757" s="20" t="s">
        <v>2265</v>
      </c>
      <c r="U757" s="462">
        <v>43774.0</v>
      </c>
      <c r="V757" s="462">
        <v>43735.0</v>
      </c>
      <c r="W757" s="306" t="s">
        <v>1694</v>
      </c>
      <c r="X757" s="306">
        <v>76388.0</v>
      </c>
      <c r="Y757" s="306"/>
      <c r="Z757" s="306" t="s">
        <v>3211</v>
      </c>
      <c r="AA757" s="306" t="s">
        <v>3212</v>
      </c>
      <c r="AB757" s="306">
        <v>31.035</v>
      </c>
      <c r="AC757" s="306">
        <v>80652.0</v>
      </c>
      <c r="AD757" s="306"/>
      <c r="AE757" s="298"/>
      <c r="AF757" s="298"/>
      <c r="AG757" s="299"/>
      <c r="AH757" s="29">
        <v>43780.0</v>
      </c>
      <c r="AI757" s="299">
        <v>80622.0</v>
      </c>
      <c r="AJ757" s="299">
        <v>30.0</v>
      </c>
      <c r="AK757" s="298" t="s">
        <v>50</v>
      </c>
      <c r="AL757" s="298" t="s">
        <v>285</v>
      </c>
      <c r="AM757" s="298" t="s">
        <v>51</v>
      </c>
      <c r="AN757" s="298" t="s">
        <v>377</v>
      </c>
      <c r="AO757" s="82" t="s">
        <v>763</v>
      </c>
    </row>
    <row r="758" ht="15.75" customHeight="1">
      <c r="A758" s="469">
        <v>43733.0</v>
      </c>
      <c r="B758" s="144" t="s">
        <v>378</v>
      </c>
      <c r="C758" s="21">
        <v>9109.0</v>
      </c>
      <c r="D758" s="21" t="s">
        <v>3213</v>
      </c>
      <c r="E758" s="32" t="s">
        <v>1696</v>
      </c>
      <c r="F758" s="24">
        <v>50.0</v>
      </c>
      <c r="G758" s="48">
        <v>253.0</v>
      </c>
      <c r="H758" s="81">
        <f t="shared" si="106"/>
        <v>12650</v>
      </c>
      <c r="I758" s="61" t="s">
        <v>248</v>
      </c>
      <c r="J758" s="58" t="s">
        <v>1122</v>
      </c>
      <c r="K758" s="84">
        <v>43816.0</v>
      </c>
      <c r="L758" s="29">
        <v>43783.0</v>
      </c>
      <c r="M758" s="50" t="s">
        <v>3214</v>
      </c>
      <c r="N758" s="719" t="s">
        <v>3215</v>
      </c>
      <c r="O758" s="470"/>
      <c r="P758" s="470">
        <v>160.0</v>
      </c>
      <c r="Q758" s="470">
        <f t="shared" si="107"/>
        <v>8400</v>
      </c>
      <c r="R758" s="627">
        <f>P758*31.07</f>
        <v>4971.2</v>
      </c>
      <c r="S758" s="720">
        <f t="shared" ref="S758:S760" si="108">(R758*F758)*1.05</f>
        <v>260988</v>
      </c>
      <c r="T758" s="21" t="s">
        <v>2706</v>
      </c>
      <c r="U758" s="305">
        <v>43781.0</v>
      </c>
      <c r="V758" s="305">
        <v>43782.0</v>
      </c>
      <c r="W758" s="306" t="s">
        <v>1697</v>
      </c>
      <c r="X758" s="306">
        <v>260988.0</v>
      </c>
      <c r="Y758" s="305">
        <v>43781.0</v>
      </c>
      <c r="Z758" s="306" t="s">
        <v>3216</v>
      </c>
      <c r="AA758" s="306" t="s">
        <v>3217</v>
      </c>
      <c r="AB758" s="306">
        <v>30.42</v>
      </c>
      <c r="AC758" s="306"/>
      <c r="AD758" s="306"/>
      <c r="AE758" s="298"/>
      <c r="AF758" s="298"/>
      <c r="AG758" s="299"/>
      <c r="AH758" s="539"/>
      <c r="AI758" s="299"/>
      <c r="AJ758" s="299"/>
      <c r="AK758" s="298"/>
      <c r="AL758" s="82" t="s">
        <v>285</v>
      </c>
      <c r="AM758" s="298" t="s">
        <v>286</v>
      </c>
      <c r="AN758" s="298" t="s">
        <v>52</v>
      </c>
      <c r="AO758" s="298" t="s">
        <v>1371</v>
      </c>
    </row>
    <row r="759" ht="15.75" customHeight="1">
      <c r="A759" s="469">
        <v>43733.0</v>
      </c>
      <c r="B759" s="144" t="s">
        <v>378</v>
      </c>
      <c r="C759" s="21">
        <v>9109.0</v>
      </c>
      <c r="D759" s="21" t="s">
        <v>1698</v>
      </c>
      <c r="E759" s="246" t="s">
        <v>3218</v>
      </c>
      <c r="F759" s="24">
        <v>50.0</v>
      </c>
      <c r="G759" s="48">
        <v>0.0</v>
      </c>
      <c r="H759" s="216">
        <f t="shared" si="106"/>
        <v>0</v>
      </c>
      <c r="I759" s="61" t="s">
        <v>248</v>
      </c>
      <c r="J759" s="58" t="s">
        <v>1122</v>
      </c>
      <c r="K759" s="84">
        <v>43816.0</v>
      </c>
      <c r="L759" s="30">
        <v>43812.0</v>
      </c>
      <c r="M759" s="82" t="s">
        <v>2054</v>
      </c>
      <c r="N759" s="93" t="s">
        <v>3219</v>
      </c>
      <c r="O759" s="408"/>
      <c r="P759" s="408"/>
      <c r="Q759" s="408">
        <f t="shared" si="107"/>
        <v>0</v>
      </c>
      <c r="R759" s="627">
        <v>2150.0</v>
      </c>
      <c r="S759" s="720">
        <f t="shared" si="108"/>
        <v>112875</v>
      </c>
      <c r="T759" s="70" t="s">
        <v>2056</v>
      </c>
      <c r="U759" s="306"/>
      <c r="V759" s="306"/>
      <c r="W759" s="306"/>
      <c r="X759" s="306"/>
      <c r="Y759" s="306"/>
      <c r="Z759" s="306" t="s">
        <v>3216</v>
      </c>
      <c r="AA759" s="306" t="s">
        <v>3217</v>
      </c>
      <c r="AB759" s="306">
        <v>30.42</v>
      </c>
      <c r="AC759" s="306"/>
      <c r="AD759" s="306"/>
      <c r="AE759" s="298"/>
      <c r="AF759" s="298"/>
      <c r="AG759" s="299"/>
      <c r="AH759" s="298" t="s">
        <v>1227</v>
      </c>
      <c r="AI759" s="299"/>
      <c r="AJ759" s="299"/>
      <c r="AK759" s="298" t="s">
        <v>1227</v>
      </c>
      <c r="AL759" s="82" t="s">
        <v>285</v>
      </c>
      <c r="AM759" s="298" t="s">
        <v>286</v>
      </c>
      <c r="AN759" s="298" t="s">
        <v>52</v>
      </c>
      <c r="AO759" s="298" t="s">
        <v>1371</v>
      </c>
    </row>
    <row r="760" ht="15.75" customHeight="1">
      <c r="A760" s="469">
        <v>43733.0</v>
      </c>
      <c r="B760" s="144" t="s">
        <v>378</v>
      </c>
      <c r="C760" s="21">
        <v>9109.0</v>
      </c>
      <c r="D760" s="21" t="s">
        <v>1698</v>
      </c>
      <c r="E760" s="246" t="s">
        <v>1700</v>
      </c>
      <c r="F760" s="24">
        <v>50.0</v>
      </c>
      <c r="G760" s="48">
        <v>0.0</v>
      </c>
      <c r="H760" s="60">
        <f t="shared" si="106"/>
        <v>0</v>
      </c>
      <c r="I760" s="61" t="s">
        <v>248</v>
      </c>
      <c r="J760" s="58" t="s">
        <v>1122</v>
      </c>
      <c r="K760" s="84">
        <v>43816.0</v>
      </c>
      <c r="L760" s="30">
        <v>43740.0</v>
      </c>
      <c r="M760" s="82" t="s">
        <v>1970</v>
      </c>
      <c r="N760" s="93"/>
      <c r="O760" s="408"/>
      <c r="P760" s="408"/>
      <c r="Q760" s="408">
        <f t="shared" si="107"/>
        <v>0</v>
      </c>
      <c r="R760" s="408"/>
      <c r="S760" s="721">
        <f t="shared" si="108"/>
        <v>0</v>
      </c>
      <c r="T760" s="408"/>
      <c r="U760" s="306"/>
      <c r="V760" s="306"/>
      <c r="W760" s="306"/>
      <c r="X760" s="306"/>
      <c r="Y760" s="306"/>
      <c r="Z760" s="306" t="s">
        <v>3216</v>
      </c>
      <c r="AA760" s="306" t="s">
        <v>3220</v>
      </c>
      <c r="AB760" s="306">
        <v>30.42</v>
      </c>
      <c r="AC760" s="306"/>
      <c r="AD760" s="462"/>
      <c r="AE760" s="298"/>
      <c r="AF760" s="298"/>
      <c r="AG760" s="299"/>
      <c r="AH760" s="298" t="s">
        <v>1227</v>
      </c>
      <c r="AI760" s="299"/>
      <c r="AJ760" s="299"/>
      <c r="AK760" s="298" t="s">
        <v>1227</v>
      </c>
      <c r="AL760" s="82" t="s">
        <v>285</v>
      </c>
      <c r="AM760" s="298" t="s">
        <v>286</v>
      </c>
      <c r="AN760" s="298" t="s">
        <v>52</v>
      </c>
      <c r="AO760" s="298" t="s">
        <v>1371</v>
      </c>
    </row>
    <row r="761" ht="15.75" customHeight="1">
      <c r="A761" s="69">
        <v>43735.0</v>
      </c>
      <c r="B761" s="70" t="s">
        <v>130</v>
      </c>
      <c r="C761" s="21"/>
      <c r="D761" s="21" t="s">
        <v>1701</v>
      </c>
      <c r="E761" s="32" t="s">
        <v>1420</v>
      </c>
      <c r="F761" s="24">
        <v>1.0</v>
      </c>
      <c r="G761" s="48">
        <v>112.0</v>
      </c>
      <c r="H761" s="60">
        <f t="shared" si="106"/>
        <v>112</v>
      </c>
      <c r="I761" s="61" t="s">
        <v>248</v>
      </c>
      <c r="J761" s="50" t="s">
        <v>134</v>
      </c>
      <c r="K761" s="30">
        <v>43741.0</v>
      </c>
      <c r="L761" s="30">
        <v>43740.0</v>
      </c>
      <c r="M761" s="50" t="s">
        <v>90</v>
      </c>
      <c r="N761" s="93" t="s">
        <v>3221</v>
      </c>
      <c r="O761" s="408"/>
      <c r="P761" s="408">
        <v>104.0</v>
      </c>
      <c r="Q761" s="408">
        <f t="shared" si="107"/>
        <v>109.2</v>
      </c>
      <c r="R761" s="408"/>
      <c r="S761" s="408">
        <v>3382.0</v>
      </c>
      <c r="T761" s="35" t="s">
        <v>94</v>
      </c>
      <c r="U761" s="305">
        <v>43799.0</v>
      </c>
      <c r="V761" s="462">
        <v>43739.0</v>
      </c>
      <c r="W761" s="306" t="s">
        <v>1702</v>
      </c>
      <c r="X761" s="306">
        <v>3382.0</v>
      </c>
      <c r="Y761" s="306"/>
      <c r="Z761" s="306" t="s">
        <v>2641</v>
      </c>
      <c r="AA761" s="306">
        <v>4.652050782E9</v>
      </c>
      <c r="AB761" s="306">
        <v>30.97</v>
      </c>
      <c r="AC761" s="306"/>
      <c r="AD761" s="306"/>
      <c r="AE761" s="298"/>
      <c r="AF761" s="298"/>
      <c r="AG761" s="299"/>
      <c r="AH761" s="29">
        <v>43756.0</v>
      </c>
      <c r="AI761" s="299" t="s">
        <v>2630</v>
      </c>
      <c r="AJ761" s="299" t="s">
        <v>3154</v>
      </c>
      <c r="AK761" s="298" t="s">
        <v>50</v>
      </c>
      <c r="AL761" s="298" t="s">
        <v>285</v>
      </c>
      <c r="AM761" s="298" t="s">
        <v>51</v>
      </c>
      <c r="AN761" s="298" t="s">
        <v>52</v>
      </c>
      <c r="AO761" s="82" t="s">
        <v>763</v>
      </c>
    </row>
    <row r="762" ht="15.75" customHeight="1">
      <c r="A762" s="69">
        <v>43738.0</v>
      </c>
      <c r="B762" s="23" t="s">
        <v>406</v>
      </c>
      <c r="C762" s="21">
        <v>7.000150545E9</v>
      </c>
      <c r="D762" s="21" t="s">
        <v>1703</v>
      </c>
      <c r="E762" s="32" t="s">
        <v>812</v>
      </c>
      <c r="F762" s="24">
        <v>2.0</v>
      </c>
      <c r="G762" s="48">
        <v>43.0</v>
      </c>
      <c r="H762" s="60">
        <f t="shared" si="106"/>
        <v>86</v>
      </c>
      <c r="I762" s="61" t="s">
        <v>43</v>
      </c>
      <c r="J762" s="82" t="s">
        <v>520</v>
      </c>
      <c r="K762" s="145">
        <v>43756.0</v>
      </c>
      <c r="L762" s="29">
        <v>43752.0</v>
      </c>
      <c r="M762" s="58" t="s">
        <v>2078</v>
      </c>
      <c r="N762" s="722">
        <v>2.019100700002E12</v>
      </c>
      <c r="O762" s="408"/>
      <c r="P762" s="408"/>
      <c r="Q762" s="408">
        <f t="shared" si="107"/>
        <v>0</v>
      </c>
      <c r="R762" s="408">
        <v>1250.0</v>
      </c>
      <c r="S762" s="408">
        <f>(R762*F762)*1.05</f>
        <v>2625</v>
      </c>
      <c r="T762" s="503" t="s">
        <v>2080</v>
      </c>
      <c r="U762" s="305">
        <v>43830.0</v>
      </c>
      <c r="V762" s="306" t="s">
        <v>3222</v>
      </c>
      <c r="W762" s="306" t="s">
        <v>3223</v>
      </c>
      <c r="X762" s="306">
        <v>98301.0</v>
      </c>
      <c r="Y762" s="306"/>
      <c r="Z762" s="306" t="s">
        <v>3224</v>
      </c>
      <c r="AA762" s="306" t="s">
        <v>3225</v>
      </c>
      <c r="AB762" s="306">
        <v>30.89</v>
      </c>
      <c r="AC762" s="306"/>
      <c r="AD762" s="306"/>
      <c r="AE762" s="298"/>
      <c r="AF762" s="298"/>
      <c r="AG762" s="299"/>
      <c r="AH762" s="29">
        <v>43789.0</v>
      </c>
      <c r="AI762" s="299" t="s">
        <v>3226</v>
      </c>
      <c r="AJ762" s="299" t="s">
        <v>3227</v>
      </c>
      <c r="AK762" s="298" t="s">
        <v>50</v>
      </c>
      <c r="AL762" s="298" t="s">
        <v>285</v>
      </c>
      <c r="AM762" s="298" t="s">
        <v>51</v>
      </c>
      <c r="AN762" s="298" t="s">
        <v>52</v>
      </c>
      <c r="AO762" s="82" t="s">
        <v>763</v>
      </c>
    </row>
    <row r="763" ht="15.75" customHeight="1">
      <c r="A763" s="69">
        <v>43738.0</v>
      </c>
      <c r="B763" s="23" t="s">
        <v>406</v>
      </c>
      <c r="C763" s="21">
        <v>7.000150545E9</v>
      </c>
      <c r="D763" s="21" t="s">
        <v>1703</v>
      </c>
      <c r="E763" s="32" t="s">
        <v>616</v>
      </c>
      <c r="F763" s="24">
        <v>4.0</v>
      </c>
      <c r="G763" s="48">
        <v>24.0</v>
      </c>
      <c r="H763" s="60">
        <f t="shared" si="106"/>
        <v>96</v>
      </c>
      <c r="I763" s="61" t="s">
        <v>43</v>
      </c>
      <c r="J763" s="82" t="s">
        <v>520</v>
      </c>
      <c r="K763" s="145">
        <v>43756.0</v>
      </c>
      <c r="L763" s="29">
        <v>43752.0</v>
      </c>
      <c r="M763" s="58" t="s">
        <v>2078</v>
      </c>
      <c r="N763" s="722">
        <v>2.019100700002E12</v>
      </c>
      <c r="O763" s="408"/>
      <c r="P763" s="408"/>
      <c r="Q763" s="408">
        <f t="shared" si="107"/>
        <v>0</v>
      </c>
      <c r="R763" s="408">
        <v>646.0</v>
      </c>
      <c r="S763" s="408">
        <v>2713.0</v>
      </c>
      <c r="T763" s="503" t="s">
        <v>2080</v>
      </c>
      <c r="U763" s="305">
        <v>43830.0</v>
      </c>
      <c r="V763" s="306" t="s">
        <v>3222</v>
      </c>
      <c r="W763" s="306" t="s">
        <v>3223</v>
      </c>
      <c r="X763" s="306">
        <v>98301.0</v>
      </c>
      <c r="Y763" s="306"/>
      <c r="Z763" s="306" t="s">
        <v>3224</v>
      </c>
      <c r="AA763" s="306" t="s">
        <v>3225</v>
      </c>
      <c r="AB763" s="306">
        <v>30.89</v>
      </c>
      <c r="AC763" s="306"/>
      <c r="AD763" s="306"/>
      <c r="AE763" s="298"/>
      <c r="AF763" s="298"/>
      <c r="AG763" s="299"/>
      <c r="AH763" s="29">
        <v>43789.0</v>
      </c>
      <c r="AI763" s="299" t="s">
        <v>3226</v>
      </c>
      <c r="AJ763" s="299" t="s">
        <v>3227</v>
      </c>
      <c r="AK763" s="298" t="s">
        <v>50</v>
      </c>
      <c r="AL763" s="298" t="s">
        <v>285</v>
      </c>
      <c r="AM763" s="298" t="s">
        <v>51</v>
      </c>
      <c r="AN763" s="298" t="s">
        <v>52</v>
      </c>
      <c r="AO763" s="82" t="s">
        <v>763</v>
      </c>
    </row>
    <row r="764" ht="15.75" customHeight="1">
      <c r="A764" s="110">
        <v>43738.0</v>
      </c>
      <c r="B764" s="72" t="s">
        <v>406</v>
      </c>
      <c r="C764" s="71">
        <v>7.000150545E9</v>
      </c>
      <c r="D764" s="71" t="s">
        <v>1703</v>
      </c>
      <c r="E764" s="72" t="s">
        <v>813</v>
      </c>
      <c r="F764" s="114">
        <v>2.0</v>
      </c>
      <c r="G764" s="115">
        <v>8.5</v>
      </c>
      <c r="H764" s="60">
        <f t="shared" si="106"/>
        <v>17</v>
      </c>
      <c r="I764" s="154" t="s">
        <v>43</v>
      </c>
      <c r="J764" s="82" t="s">
        <v>520</v>
      </c>
      <c r="K764" s="145">
        <v>43756.0</v>
      </c>
      <c r="L764" s="29">
        <v>43752.0</v>
      </c>
      <c r="M764" s="58" t="s">
        <v>2078</v>
      </c>
      <c r="N764" s="722">
        <v>2.019100700002E12</v>
      </c>
      <c r="O764" s="408"/>
      <c r="P764" s="408"/>
      <c r="Q764" s="408">
        <f t="shared" si="107"/>
        <v>0</v>
      </c>
      <c r="R764" s="408">
        <v>215.0</v>
      </c>
      <c r="S764" s="408">
        <v>452.0</v>
      </c>
      <c r="T764" s="503" t="s">
        <v>2080</v>
      </c>
      <c r="U764" s="305">
        <v>43830.0</v>
      </c>
      <c r="V764" s="306" t="s">
        <v>3222</v>
      </c>
      <c r="W764" s="306" t="s">
        <v>3223</v>
      </c>
      <c r="X764" s="306">
        <v>98301.0</v>
      </c>
      <c r="Y764" s="306"/>
      <c r="Z764" s="306" t="s">
        <v>3224</v>
      </c>
      <c r="AA764" s="306" t="s">
        <v>3225</v>
      </c>
      <c r="AB764" s="306">
        <v>30.89</v>
      </c>
      <c r="AC764" s="306"/>
      <c r="AD764" s="306"/>
      <c r="AE764" s="298"/>
      <c r="AF764" s="298"/>
      <c r="AG764" s="299"/>
      <c r="AH764" s="29">
        <v>43789.0</v>
      </c>
      <c r="AI764" s="299" t="s">
        <v>3226</v>
      </c>
      <c r="AJ764" s="299" t="s">
        <v>3227</v>
      </c>
      <c r="AK764" s="298" t="s">
        <v>50</v>
      </c>
      <c r="AL764" s="298" t="s">
        <v>285</v>
      </c>
      <c r="AM764" s="298" t="s">
        <v>51</v>
      </c>
      <c r="AN764" s="298" t="s">
        <v>52</v>
      </c>
      <c r="AO764" s="82" t="s">
        <v>763</v>
      </c>
    </row>
    <row r="765" ht="15.75" customHeight="1">
      <c r="A765" s="110">
        <v>43738.0</v>
      </c>
      <c r="B765" s="23" t="s">
        <v>406</v>
      </c>
      <c r="C765" s="70">
        <v>7.000150545E9</v>
      </c>
      <c r="D765" s="71" t="s">
        <v>1703</v>
      </c>
      <c r="E765" s="23" t="s">
        <v>1704</v>
      </c>
      <c r="F765" s="130">
        <v>2.0</v>
      </c>
      <c r="G765" s="25">
        <v>290.0</v>
      </c>
      <c r="H765" s="60">
        <f t="shared" si="106"/>
        <v>580</v>
      </c>
      <c r="I765" s="61" t="s">
        <v>43</v>
      </c>
      <c r="J765" s="82" t="s">
        <v>520</v>
      </c>
      <c r="K765" s="145">
        <v>43756.0</v>
      </c>
      <c r="L765" s="29">
        <v>43752.0</v>
      </c>
      <c r="M765" s="58" t="s">
        <v>2078</v>
      </c>
      <c r="N765" s="722">
        <v>2.019100700002E12</v>
      </c>
      <c r="O765" s="408"/>
      <c r="P765" s="408"/>
      <c r="Q765" s="408">
        <f t="shared" si="107"/>
        <v>0</v>
      </c>
      <c r="R765" s="408">
        <v>7619.0</v>
      </c>
      <c r="S765" s="408">
        <v>16000.0</v>
      </c>
      <c r="T765" s="503" t="s">
        <v>2080</v>
      </c>
      <c r="U765" s="305">
        <v>43830.0</v>
      </c>
      <c r="V765" s="305">
        <v>43752.0</v>
      </c>
      <c r="W765" s="306" t="s">
        <v>1705</v>
      </c>
      <c r="X765" s="306">
        <v>98301.0</v>
      </c>
      <c r="Y765" s="306"/>
      <c r="Z765" s="306" t="s">
        <v>3224</v>
      </c>
      <c r="AA765" s="306" t="s">
        <v>3225</v>
      </c>
      <c r="AB765" s="306">
        <v>30.89</v>
      </c>
      <c r="AC765" s="306"/>
      <c r="AD765" s="306"/>
      <c r="AE765" s="298"/>
      <c r="AF765" s="298"/>
      <c r="AG765" s="299"/>
      <c r="AH765" s="29">
        <v>43789.0</v>
      </c>
      <c r="AI765" s="299">
        <f>5808.43*30.43</f>
        <v>176750.5249</v>
      </c>
      <c r="AJ765" s="299">
        <f>(5837-5808.43)*30.43</f>
        <v>869.3851</v>
      </c>
      <c r="AK765" s="298" t="s">
        <v>50</v>
      </c>
      <c r="AL765" s="298" t="s">
        <v>285</v>
      </c>
      <c r="AM765" s="298" t="s">
        <v>51</v>
      </c>
      <c r="AN765" s="298" t="s">
        <v>52</v>
      </c>
      <c r="AO765" s="82" t="s">
        <v>763</v>
      </c>
    </row>
    <row r="766" ht="15.75" customHeight="1">
      <c r="A766" s="110">
        <v>43738.0</v>
      </c>
      <c r="B766" s="23" t="s">
        <v>406</v>
      </c>
      <c r="C766" s="70">
        <v>7.000150545E9</v>
      </c>
      <c r="D766" s="71" t="s">
        <v>1703</v>
      </c>
      <c r="E766" s="23" t="s">
        <v>611</v>
      </c>
      <c r="F766" s="130">
        <v>10.0</v>
      </c>
      <c r="G766" s="25">
        <v>148.0</v>
      </c>
      <c r="H766" s="60">
        <f t="shared" si="106"/>
        <v>1480</v>
      </c>
      <c r="I766" s="61" t="s">
        <v>43</v>
      </c>
      <c r="J766" s="82" t="s">
        <v>520</v>
      </c>
      <c r="K766" s="145">
        <v>43756.0</v>
      </c>
      <c r="L766" s="29">
        <v>43752.0</v>
      </c>
      <c r="M766" s="58" t="s">
        <v>2078</v>
      </c>
      <c r="N766" s="722">
        <v>2.019100700002E12</v>
      </c>
      <c r="O766" s="408"/>
      <c r="P766" s="408"/>
      <c r="Q766" s="408"/>
      <c r="R766" s="408">
        <v>3954.0</v>
      </c>
      <c r="S766" s="408">
        <f>(R766*F766)*1.05</f>
        <v>41517</v>
      </c>
      <c r="T766" s="503" t="s">
        <v>2080</v>
      </c>
      <c r="U766" s="305">
        <v>43830.0</v>
      </c>
      <c r="V766" s="306" t="s">
        <v>3222</v>
      </c>
      <c r="W766" s="306" t="s">
        <v>3223</v>
      </c>
      <c r="X766" s="306">
        <v>98301.0</v>
      </c>
      <c r="Y766" s="306"/>
      <c r="Z766" s="306" t="s">
        <v>3224</v>
      </c>
      <c r="AA766" s="306" t="s">
        <v>3225</v>
      </c>
      <c r="AB766" s="306">
        <v>30.89</v>
      </c>
      <c r="AC766" s="306"/>
      <c r="AD766" s="306"/>
      <c r="AE766" s="298"/>
      <c r="AF766" s="298"/>
      <c r="AG766" s="299"/>
      <c r="AH766" s="29">
        <v>43789.0</v>
      </c>
      <c r="AI766" s="299" t="s">
        <v>3226</v>
      </c>
      <c r="AJ766" s="299" t="s">
        <v>3227</v>
      </c>
      <c r="AK766" s="298" t="s">
        <v>50</v>
      </c>
      <c r="AL766" s="298" t="s">
        <v>285</v>
      </c>
      <c r="AM766" s="298" t="s">
        <v>51</v>
      </c>
      <c r="AN766" s="298" t="s">
        <v>52</v>
      </c>
      <c r="AO766" s="82" t="s">
        <v>763</v>
      </c>
    </row>
    <row r="767" ht="15.75" customHeight="1">
      <c r="A767" s="69">
        <v>43738.0</v>
      </c>
      <c r="B767" s="23" t="s">
        <v>406</v>
      </c>
      <c r="C767" s="21">
        <v>7.000150545E9</v>
      </c>
      <c r="D767" s="21" t="s">
        <v>1703</v>
      </c>
      <c r="E767" s="23" t="s">
        <v>811</v>
      </c>
      <c r="F767" s="24">
        <v>2.0</v>
      </c>
      <c r="G767" s="25">
        <v>291.0</v>
      </c>
      <c r="H767" s="60">
        <f t="shared" si="106"/>
        <v>582</v>
      </c>
      <c r="I767" s="61" t="s">
        <v>43</v>
      </c>
      <c r="J767" s="82" t="s">
        <v>520</v>
      </c>
      <c r="K767" s="145">
        <v>43756.0</v>
      </c>
      <c r="L767" s="29">
        <v>43752.0</v>
      </c>
      <c r="M767" s="58" t="s">
        <v>2078</v>
      </c>
      <c r="N767" s="722">
        <v>2.019100700002E12</v>
      </c>
      <c r="O767" s="408"/>
      <c r="P767" s="408"/>
      <c r="Q767" s="408">
        <f t="shared" ref="Q767:Q770" si="109">(P767*F767)*1.05</f>
        <v>0</v>
      </c>
      <c r="R767" s="408">
        <v>6953.0</v>
      </c>
      <c r="S767" s="408">
        <v>14601.0</v>
      </c>
      <c r="T767" s="503" t="s">
        <v>2080</v>
      </c>
      <c r="U767" s="305">
        <v>43830.0</v>
      </c>
      <c r="V767" s="306" t="s">
        <v>3222</v>
      </c>
      <c r="W767" s="306" t="s">
        <v>3223</v>
      </c>
      <c r="X767" s="306">
        <v>98301.0</v>
      </c>
      <c r="Y767" s="306"/>
      <c r="Z767" s="306" t="s">
        <v>3224</v>
      </c>
      <c r="AA767" s="306" t="s">
        <v>3225</v>
      </c>
      <c r="AB767" s="306">
        <v>30.89</v>
      </c>
      <c r="AC767" s="306"/>
      <c r="AD767" s="306"/>
      <c r="AE767" s="298"/>
      <c r="AF767" s="298"/>
      <c r="AG767" s="299"/>
      <c r="AH767" s="29">
        <v>43789.0</v>
      </c>
      <c r="AI767" s="299" t="s">
        <v>3226</v>
      </c>
      <c r="AJ767" s="299" t="s">
        <v>3227</v>
      </c>
      <c r="AK767" s="298" t="s">
        <v>50</v>
      </c>
      <c r="AL767" s="298" t="s">
        <v>285</v>
      </c>
      <c r="AM767" s="298" t="s">
        <v>51</v>
      </c>
      <c r="AN767" s="298" t="s">
        <v>52</v>
      </c>
      <c r="AO767" s="82" t="s">
        <v>763</v>
      </c>
    </row>
    <row r="768" ht="15.75" customHeight="1">
      <c r="A768" s="69">
        <v>43738.0</v>
      </c>
      <c r="B768" s="23" t="s">
        <v>406</v>
      </c>
      <c r="C768" s="21">
        <v>7.000150545E9</v>
      </c>
      <c r="D768" s="21" t="s">
        <v>1703</v>
      </c>
      <c r="E768" s="23" t="s">
        <v>1706</v>
      </c>
      <c r="F768" s="24">
        <v>2.0</v>
      </c>
      <c r="G768" s="25">
        <v>300.0</v>
      </c>
      <c r="H768" s="60">
        <f t="shared" si="106"/>
        <v>600</v>
      </c>
      <c r="I768" s="61" t="s">
        <v>43</v>
      </c>
      <c r="J768" s="82" t="s">
        <v>520</v>
      </c>
      <c r="K768" s="145">
        <v>43756.0</v>
      </c>
      <c r="L768" s="29">
        <v>43752.0</v>
      </c>
      <c r="M768" s="58" t="s">
        <v>2078</v>
      </c>
      <c r="N768" s="722">
        <v>2.019100700002E12</v>
      </c>
      <c r="O768" s="408"/>
      <c r="P768" s="408"/>
      <c r="Q768" s="408">
        <f t="shared" si="109"/>
        <v>0</v>
      </c>
      <c r="R768" s="408">
        <v>7914.0</v>
      </c>
      <c r="S768" s="408">
        <v>16619.0</v>
      </c>
      <c r="T768" s="503" t="s">
        <v>2080</v>
      </c>
      <c r="U768" s="305">
        <v>43830.0</v>
      </c>
      <c r="V768" s="306" t="s">
        <v>3222</v>
      </c>
      <c r="W768" s="306" t="s">
        <v>3223</v>
      </c>
      <c r="X768" s="306">
        <v>98301.0</v>
      </c>
      <c r="Y768" s="306"/>
      <c r="Z768" s="306" t="s">
        <v>3224</v>
      </c>
      <c r="AA768" s="306" t="s">
        <v>3225</v>
      </c>
      <c r="AB768" s="306">
        <v>30.89</v>
      </c>
      <c r="AC768" s="306"/>
      <c r="AD768" s="306"/>
      <c r="AE768" s="298"/>
      <c r="AF768" s="298"/>
      <c r="AG768" s="299"/>
      <c r="AH768" s="29">
        <v>43789.0</v>
      </c>
      <c r="AI768" s="299" t="s">
        <v>3226</v>
      </c>
      <c r="AJ768" s="299" t="s">
        <v>3227</v>
      </c>
      <c r="AK768" s="298" t="s">
        <v>50</v>
      </c>
      <c r="AL768" s="298" t="s">
        <v>285</v>
      </c>
      <c r="AM768" s="298" t="s">
        <v>51</v>
      </c>
      <c r="AN768" s="298" t="s">
        <v>52</v>
      </c>
      <c r="AO768" s="82" t="s">
        <v>763</v>
      </c>
    </row>
    <row r="769" ht="15.75" customHeight="1">
      <c r="A769" s="69">
        <v>43738.0</v>
      </c>
      <c r="B769" s="23" t="s">
        <v>406</v>
      </c>
      <c r="C769" s="21">
        <v>7.000150545E9</v>
      </c>
      <c r="D769" s="21" t="s">
        <v>1703</v>
      </c>
      <c r="E769" s="23" t="s">
        <v>1707</v>
      </c>
      <c r="F769" s="130">
        <v>2.0</v>
      </c>
      <c r="G769" s="25">
        <v>185.0</v>
      </c>
      <c r="H769" s="60">
        <f t="shared" si="106"/>
        <v>370</v>
      </c>
      <c r="I769" s="61" t="s">
        <v>43</v>
      </c>
      <c r="J769" s="82" t="s">
        <v>520</v>
      </c>
      <c r="K769" s="145">
        <v>43756.0</v>
      </c>
      <c r="L769" s="29">
        <v>43753.0</v>
      </c>
      <c r="M769" s="50" t="s">
        <v>3228</v>
      </c>
      <c r="N769" s="722">
        <v>2.019100700003E12</v>
      </c>
      <c r="O769" s="408"/>
      <c r="P769" s="408"/>
      <c r="Q769" s="408">
        <f t="shared" si="109"/>
        <v>0</v>
      </c>
      <c r="R769" s="408">
        <v>5200.0</v>
      </c>
      <c r="S769" s="408">
        <f>(R769*F769)*1.05</f>
        <v>10920</v>
      </c>
      <c r="T769" s="642" t="s">
        <v>3229</v>
      </c>
      <c r="U769" s="305">
        <v>43799.0</v>
      </c>
      <c r="V769" s="305">
        <v>43752.0</v>
      </c>
      <c r="W769" s="306" t="s">
        <v>1708</v>
      </c>
      <c r="X769" s="306">
        <v>10920.0</v>
      </c>
      <c r="Y769" s="306"/>
      <c r="Z769" s="306" t="s">
        <v>3224</v>
      </c>
      <c r="AA769" s="306" t="s">
        <v>3225</v>
      </c>
      <c r="AB769" s="306">
        <v>30.89</v>
      </c>
      <c r="AC769" s="306"/>
      <c r="AD769" s="306"/>
      <c r="AE769" s="298"/>
      <c r="AF769" s="298"/>
      <c r="AG769" s="299"/>
      <c r="AH769" s="29">
        <v>43789.0</v>
      </c>
      <c r="AI769" s="299" t="s">
        <v>3226</v>
      </c>
      <c r="AJ769" s="299" t="s">
        <v>3227</v>
      </c>
      <c r="AK769" s="298" t="s">
        <v>50</v>
      </c>
      <c r="AL769" s="298" t="s">
        <v>285</v>
      </c>
      <c r="AM769" s="298" t="s">
        <v>51</v>
      </c>
      <c r="AN769" s="298" t="s">
        <v>52</v>
      </c>
      <c r="AO769" s="82" t="s">
        <v>763</v>
      </c>
    </row>
    <row r="770" ht="15.75" customHeight="1">
      <c r="A770" s="69">
        <v>43738.0</v>
      </c>
      <c r="B770" s="23" t="s">
        <v>406</v>
      </c>
      <c r="C770" s="21">
        <v>7.000150545E9</v>
      </c>
      <c r="D770" s="21" t="s">
        <v>1703</v>
      </c>
      <c r="E770" s="23" t="s">
        <v>809</v>
      </c>
      <c r="F770" s="130">
        <v>2.0</v>
      </c>
      <c r="G770" s="25">
        <v>67.0</v>
      </c>
      <c r="H770" s="60">
        <f t="shared" si="106"/>
        <v>134</v>
      </c>
      <c r="I770" s="61" t="s">
        <v>43</v>
      </c>
      <c r="J770" s="82" t="s">
        <v>520</v>
      </c>
      <c r="K770" s="145">
        <v>43756.0</v>
      </c>
      <c r="L770" s="29">
        <v>43752.0</v>
      </c>
      <c r="M770" s="58" t="s">
        <v>2078</v>
      </c>
      <c r="N770" s="722">
        <v>2.019100700002E12</v>
      </c>
      <c r="O770" s="408"/>
      <c r="P770" s="408"/>
      <c r="Q770" s="408">
        <f t="shared" si="109"/>
        <v>0</v>
      </c>
      <c r="R770" s="408">
        <v>1797.0</v>
      </c>
      <c r="S770" s="408">
        <v>3774.0</v>
      </c>
      <c r="T770" s="503" t="s">
        <v>2080</v>
      </c>
      <c r="U770" s="305">
        <v>43830.0</v>
      </c>
      <c r="V770" s="306" t="s">
        <v>3222</v>
      </c>
      <c r="W770" s="306" t="s">
        <v>3223</v>
      </c>
      <c r="X770" s="306">
        <v>98301.0</v>
      </c>
      <c r="Y770" s="306"/>
      <c r="Z770" s="306" t="s">
        <v>3224</v>
      </c>
      <c r="AA770" s="306" t="s">
        <v>3225</v>
      </c>
      <c r="AB770" s="306">
        <v>30.89</v>
      </c>
      <c r="AC770" s="306"/>
      <c r="AD770" s="306"/>
      <c r="AE770" s="298"/>
      <c r="AF770" s="298"/>
      <c r="AG770" s="299"/>
      <c r="AH770" s="29">
        <v>43789.0</v>
      </c>
      <c r="AI770" s="299" t="s">
        <v>3226</v>
      </c>
      <c r="AJ770" s="299" t="s">
        <v>3227</v>
      </c>
      <c r="AK770" s="298" t="s">
        <v>50</v>
      </c>
      <c r="AL770" s="298" t="s">
        <v>285</v>
      </c>
      <c r="AM770" s="298" t="s">
        <v>51</v>
      </c>
      <c r="AN770" s="298" t="s">
        <v>52</v>
      </c>
      <c r="AO770" s="82" t="s">
        <v>763</v>
      </c>
    </row>
    <row r="771" ht="15.75" customHeight="1">
      <c r="A771" s="69">
        <v>43738.0</v>
      </c>
      <c r="B771" s="144" t="s">
        <v>77</v>
      </c>
      <c r="C771" s="21">
        <v>710.0</v>
      </c>
      <c r="D771" s="71" t="s">
        <v>1709</v>
      </c>
      <c r="E771" s="23" t="s">
        <v>644</v>
      </c>
      <c r="F771" s="130">
        <v>6.0</v>
      </c>
      <c r="G771" s="25">
        <v>200.0</v>
      </c>
      <c r="H771" s="60">
        <f t="shared" si="106"/>
        <v>1200</v>
      </c>
      <c r="I771" s="61" t="s">
        <v>43</v>
      </c>
      <c r="J771" s="82" t="s">
        <v>936</v>
      </c>
      <c r="K771" s="30">
        <v>43769.0</v>
      </c>
      <c r="L771" s="30">
        <v>43763.0</v>
      </c>
      <c r="M771" s="50" t="s">
        <v>1537</v>
      </c>
      <c r="N771" s="93">
        <v>2.019100100002E12</v>
      </c>
      <c r="O771" s="408">
        <v>2.019102500001E12</v>
      </c>
      <c r="P771" s="408"/>
      <c r="Q771" s="408"/>
      <c r="R771" s="408">
        <v>4788.0</v>
      </c>
      <c r="S771" s="723">
        <v>30165.0</v>
      </c>
      <c r="T771" s="503"/>
      <c r="U771" s="462">
        <v>43774.0</v>
      </c>
      <c r="V771" s="305">
        <v>43761.0</v>
      </c>
      <c r="W771" s="306" t="s">
        <v>1710</v>
      </c>
      <c r="X771" s="306" t="s">
        <v>3230</v>
      </c>
      <c r="Y771" s="306"/>
      <c r="Z771" s="306"/>
      <c r="AA771" s="306"/>
      <c r="AB771" s="306"/>
      <c r="AC771" s="306"/>
      <c r="AD771" s="306"/>
      <c r="AE771" s="298"/>
      <c r="AF771" s="298"/>
      <c r="AG771" s="299"/>
      <c r="AH771" s="539"/>
      <c r="AI771" s="300">
        <v>43803.0</v>
      </c>
      <c r="AJ771" s="299"/>
      <c r="AK771" s="298" t="s">
        <v>50</v>
      </c>
      <c r="AL771" s="298" t="s">
        <v>285</v>
      </c>
      <c r="AM771" s="298" t="s">
        <v>286</v>
      </c>
      <c r="AN771" s="298" t="s">
        <v>52</v>
      </c>
      <c r="AO771" s="82" t="s">
        <v>763</v>
      </c>
    </row>
    <row r="772" ht="66.75" customHeight="1">
      <c r="A772" s="69">
        <v>43738.0</v>
      </c>
      <c r="B772" s="144" t="s">
        <v>77</v>
      </c>
      <c r="C772" s="70">
        <v>710.0</v>
      </c>
      <c r="D772" s="71" t="s">
        <v>1709</v>
      </c>
      <c r="E772" s="32" t="s">
        <v>646</v>
      </c>
      <c r="F772" s="130">
        <v>6.0</v>
      </c>
      <c r="G772" s="25">
        <v>0.0</v>
      </c>
      <c r="H772" s="60">
        <f t="shared" si="106"/>
        <v>0</v>
      </c>
      <c r="I772" s="61" t="s">
        <v>43</v>
      </c>
      <c r="J772" s="82" t="s">
        <v>936</v>
      </c>
      <c r="K772" s="30">
        <v>43769.0</v>
      </c>
      <c r="L772" s="30">
        <v>43763.0</v>
      </c>
      <c r="M772" s="50" t="s">
        <v>1537</v>
      </c>
      <c r="N772" s="93">
        <v>2.019100100002E12</v>
      </c>
      <c r="O772" s="408">
        <v>2.019102500001E12</v>
      </c>
      <c r="P772" s="408"/>
      <c r="Q772" s="408"/>
      <c r="R772" s="306" t="s">
        <v>3231</v>
      </c>
      <c r="S772" s="724">
        <v>0.0</v>
      </c>
      <c r="T772" s="503"/>
      <c r="U772" s="462">
        <v>43774.0</v>
      </c>
      <c r="V772" s="305">
        <v>43761.0</v>
      </c>
      <c r="W772" s="306" t="s">
        <v>1710</v>
      </c>
      <c r="X772" s="306" t="s">
        <v>3230</v>
      </c>
      <c r="Y772" s="306"/>
      <c r="Z772" s="306"/>
      <c r="AA772" s="306"/>
      <c r="AB772" s="306"/>
      <c r="AC772" s="306"/>
      <c r="AD772" s="306"/>
      <c r="AE772" s="298"/>
      <c r="AF772" s="298"/>
      <c r="AG772" s="299"/>
      <c r="AH772" s="539"/>
      <c r="AI772" s="298" t="s">
        <v>1227</v>
      </c>
      <c r="AJ772" s="299"/>
      <c r="AK772" s="298" t="s">
        <v>50</v>
      </c>
      <c r="AL772" s="298" t="s">
        <v>285</v>
      </c>
      <c r="AM772" s="298" t="s">
        <v>286</v>
      </c>
      <c r="AN772" s="298" t="s">
        <v>52</v>
      </c>
      <c r="AO772" s="82" t="s">
        <v>763</v>
      </c>
    </row>
    <row r="773" ht="15.75" customHeight="1">
      <c r="A773" s="69">
        <v>43738.0</v>
      </c>
      <c r="B773" s="144" t="s">
        <v>77</v>
      </c>
      <c r="C773" s="70">
        <v>710.0</v>
      </c>
      <c r="D773" s="71" t="s">
        <v>1709</v>
      </c>
      <c r="E773" s="32" t="s">
        <v>647</v>
      </c>
      <c r="F773" s="130">
        <v>6.0</v>
      </c>
      <c r="G773" s="25">
        <v>0.0</v>
      </c>
      <c r="H773" s="60">
        <f t="shared" si="106"/>
        <v>0</v>
      </c>
      <c r="I773" s="61" t="s">
        <v>43</v>
      </c>
      <c r="J773" s="82" t="s">
        <v>936</v>
      </c>
      <c r="K773" s="30">
        <v>43769.0</v>
      </c>
      <c r="L773" s="30">
        <v>43763.0</v>
      </c>
      <c r="M773" s="50" t="s">
        <v>1537</v>
      </c>
      <c r="N773" s="93">
        <v>2.019100100002E12</v>
      </c>
      <c r="O773" s="408">
        <v>2.019102500001E12</v>
      </c>
      <c r="P773" s="408"/>
      <c r="Q773" s="408"/>
      <c r="R773" s="306" t="s">
        <v>3231</v>
      </c>
      <c r="S773" s="724">
        <v>0.0</v>
      </c>
      <c r="T773" s="503"/>
      <c r="U773" s="462">
        <v>43774.0</v>
      </c>
      <c r="V773" s="305">
        <v>43761.0</v>
      </c>
      <c r="W773" s="306" t="s">
        <v>1710</v>
      </c>
      <c r="X773" s="306" t="s">
        <v>3230</v>
      </c>
      <c r="Y773" s="306"/>
      <c r="Z773" s="306"/>
      <c r="AA773" s="306"/>
      <c r="AB773" s="306"/>
      <c r="AC773" s="306"/>
      <c r="AD773" s="306"/>
      <c r="AE773" s="298"/>
      <c r="AF773" s="298"/>
      <c r="AG773" s="299"/>
      <c r="AH773" s="539"/>
      <c r="AI773" s="298" t="s">
        <v>1227</v>
      </c>
      <c r="AJ773" s="299"/>
      <c r="AK773" s="298" t="s">
        <v>50</v>
      </c>
      <c r="AL773" s="298" t="s">
        <v>285</v>
      </c>
      <c r="AM773" s="298" t="s">
        <v>286</v>
      </c>
      <c r="AN773" s="298" t="s">
        <v>52</v>
      </c>
      <c r="AO773" s="82" t="s">
        <v>763</v>
      </c>
    </row>
    <row r="774" ht="15.75" customHeight="1">
      <c r="A774" s="110">
        <v>43738.0</v>
      </c>
      <c r="B774" s="144" t="s">
        <v>77</v>
      </c>
      <c r="C774" s="21">
        <v>710.0</v>
      </c>
      <c r="D774" s="21" t="s">
        <v>1709</v>
      </c>
      <c r="E774" s="23" t="s">
        <v>648</v>
      </c>
      <c r="F774" s="421">
        <v>6.0</v>
      </c>
      <c r="G774" s="48">
        <v>0.0</v>
      </c>
      <c r="H774" s="60">
        <f t="shared" si="106"/>
        <v>0</v>
      </c>
      <c r="I774" s="61" t="s">
        <v>43</v>
      </c>
      <c r="J774" s="82" t="s">
        <v>936</v>
      </c>
      <c r="K774" s="30">
        <v>43769.0</v>
      </c>
      <c r="L774" s="30">
        <v>43763.0</v>
      </c>
      <c r="M774" s="50" t="s">
        <v>1537</v>
      </c>
      <c r="N774" s="93">
        <v>2.019100100002E12</v>
      </c>
      <c r="O774" s="408"/>
      <c r="P774" s="408"/>
      <c r="Q774" s="408"/>
      <c r="R774" s="306" t="s">
        <v>3231</v>
      </c>
      <c r="S774" s="724">
        <v>0.0</v>
      </c>
      <c r="T774" s="408"/>
      <c r="U774" s="306"/>
      <c r="V774" s="306"/>
      <c r="W774" s="306"/>
      <c r="X774" s="306"/>
      <c r="Y774" s="306"/>
      <c r="Z774" s="306"/>
      <c r="AA774" s="306"/>
      <c r="AB774" s="306"/>
      <c r="AC774" s="306"/>
      <c r="AD774" s="306"/>
      <c r="AE774" s="298"/>
      <c r="AF774" s="298"/>
      <c r="AG774" s="299"/>
      <c r="AH774" s="539"/>
      <c r="AI774" s="298" t="s">
        <v>1227</v>
      </c>
      <c r="AJ774" s="299"/>
      <c r="AK774" s="298" t="s">
        <v>50</v>
      </c>
      <c r="AL774" s="298" t="s">
        <v>285</v>
      </c>
      <c r="AM774" s="298" t="s">
        <v>286</v>
      </c>
      <c r="AN774" s="298" t="s">
        <v>52</v>
      </c>
      <c r="AO774" s="82" t="s">
        <v>763</v>
      </c>
    </row>
    <row r="775" ht="15.75" customHeight="1">
      <c r="A775" s="69">
        <v>43738.0</v>
      </c>
      <c r="B775" s="144" t="s">
        <v>77</v>
      </c>
      <c r="C775" s="70">
        <v>710.0</v>
      </c>
      <c r="D775" s="71" t="s">
        <v>1709</v>
      </c>
      <c r="E775" s="23" t="s">
        <v>649</v>
      </c>
      <c r="F775" s="130">
        <v>6.0</v>
      </c>
      <c r="G775" s="25">
        <v>0.0</v>
      </c>
      <c r="H775" s="60">
        <f t="shared" si="106"/>
        <v>0</v>
      </c>
      <c r="I775" s="61" t="s">
        <v>43</v>
      </c>
      <c r="J775" s="82" t="s">
        <v>936</v>
      </c>
      <c r="K775" s="30">
        <v>43769.0</v>
      </c>
      <c r="L775" s="30">
        <v>43763.0</v>
      </c>
      <c r="M775" s="50" t="s">
        <v>1537</v>
      </c>
      <c r="N775" s="93">
        <v>2.019100100002E12</v>
      </c>
      <c r="O775" s="408"/>
      <c r="P775" s="408"/>
      <c r="Q775" s="408"/>
      <c r="R775" s="237" t="s">
        <v>3231</v>
      </c>
      <c r="S775" s="724">
        <v>0.0</v>
      </c>
      <c r="T775" s="503"/>
      <c r="U775" s="306"/>
      <c r="V775" s="306"/>
      <c r="W775" s="306"/>
      <c r="X775" s="306"/>
      <c r="Y775" s="306"/>
      <c r="Z775" s="306"/>
      <c r="AA775" s="306"/>
      <c r="AB775" s="306"/>
      <c r="AC775" s="306"/>
      <c r="AD775" s="306"/>
      <c r="AE775" s="298"/>
      <c r="AF775" s="298"/>
      <c r="AG775" s="299"/>
      <c r="AH775" s="539"/>
      <c r="AI775" s="298" t="s">
        <v>1227</v>
      </c>
      <c r="AJ775" s="299"/>
      <c r="AK775" s="298" t="s">
        <v>50</v>
      </c>
      <c r="AL775" s="298" t="s">
        <v>285</v>
      </c>
      <c r="AM775" s="298" t="s">
        <v>286</v>
      </c>
      <c r="AN775" s="298" t="s">
        <v>52</v>
      </c>
      <c r="AO775" s="82" t="s">
        <v>763</v>
      </c>
    </row>
    <row r="776" ht="15.75" customHeight="1">
      <c r="A776" s="69">
        <v>43738.0</v>
      </c>
      <c r="B776" s="144" t="s">
        <v>77</v>
      </c>
      <c r="C776" s="70">
        <v>710.0</v>
      </c>
      <c r="D776" s="71" t="s">
        <v>1709</v>
      </c>
      <c r="E776" s="32" t="s">
        <v>652</v>
      </c>
      <c r="F776" s="130">
        <v>6.0</v>
      </c>
      <c r="G776" s="25">
        <v>0.0</v>
      </c>
      <c r="H776" s="60">
        <f t="shared" si="106"/>
        <v>0</v>
      </c>
      <c r="I776" s="61" t="s">
        <v>43</v>
      </c>
      <c r="J776" s="82" t="s">
        <v>936</v>
      </c>
      <c r="K776" s="30">
        <v>43769.0</v>
      </c>
      <c r="L776" s="30">
        <v>43768.0</v>
      </c>
      <c r="M776" s="50" t="s">
        <v>2039</v>
      </c>
      <c r="N776" s="32" t="s">
        <v>3232</v>
      </c>
      <c r="O776" s="408"/>
      <c r="P776" s="408"/>
      <c r="Q776" s="408"/>
      <c r="R776" s="408">
        <v>92.0</v>
      </c>
      <c r="S776" s="725">
        <v>580.0</v>
      </c>
      <c r="T776" s="20" t="s">
        <v>2194</v>
      </c>
      <c r="U776" s="306"/>
      <c r="V776" s="306"/>
      <c r="W776" s="306"/>
      <c r="X776" s="306"/>
      <c r="Y776" s="306"/>
      <c r="Z776" s="306"/>
      <c r="AA776" s="306"/>
      <c r="AB776" s="306"/>
      <c r="AC776" s="306"/>
      <c r="AD776" s="306"/>
      <c r="AE776" s="298"/>
      <c r="AF776" s="298"/>
      <c r="AG776" s="299"/>
      <c r="AH776" s="539"/>
      <c r="AI776" s="298" t="s">
        <v>1227</v>
      </c>
      <c r="AJ776" s="299"/>
      <c r="AK776" s="298" t="s">
        <v>50</v>
      </c>
      <c r="AL776" s="298" t="s">
        <v>285</v>
      </c>
      <c r="AM776" s="298" t="s">
        <v>286</v>
      </c>
      <c r="AN776" s="298" t="s">
        <v>52</v>
      </c>
      <c r="AO776" s="82" t="s">
        <v>763</v>
      </c>
    </row>
    <row r="777" ht="15.75" customHeight="1">
      <c r="A777" s="69">
        <v>43738.0</v>
      </c>
      <c r="B777" s="144" t="s">
        <v>77</v>
      </c>
      <c r="C777" s="70">
        <v>710.0</v>
      </c>
      <c r="D777" s="71" t="s">
        <v>1709</v>
      </c>
      <c r="E777" s="23" t="s">
        <v>650</v>
      </c>
      <c r="F777" s="130">
        <v>6.0</v>
      </c>
      <c r="G777" s="25">
        <v>2.0</v>
      </c>
      <c r="H777" s="60">
        <f t="shared" si="106"/>
        <v>12</v>
      </c>
      <c r="I777" s="61" t="s">
        <v>43</v>
      </c>
      <c r="J777" s="82" t="s">
        <v>936</v>
      </c>
      <c r="K777" s="30">
        <v>43769.0</v>
      </c>
      <c r="L777" s="30">
        <v>43768.0</v>
      </c>
      <c r="M777" s="50" t="s">
        <v>2039</v>
      </c>
      <c r="N777" s="32" t="s">
        <v>3232</v>
      </c>
      <c r="O777" s="408"/>
      <c r="P777" s="408"/>
      <c r="Q777" s="408"/>
      <c r="R777" s="408">
        <v>24.0</v>
      </c>
      <c r="S777" s="725">
        <v>167.0</v>
      </c>
      <c r="T777" s="20" t="s">
        <v>2194</v>
      </c>
      <c r="U777" s="306"/>
      <c r="V777" s="306"/>
      <c r="W777" s="306"/>
      <c r="X777" s="306"/>
      <c r="Y777" s="306"/>
      <c r="Z777" s="306"/>
      <c r="AA777" s="306"/>
      <c r="AB777" s="306"/>
      <c r="AC777" s="306"/>
      <c r="AD777" s="306"/>
      <c r="AE777" s="298"/>
      <c r="AF777" s="298"/>
      <c r="AG777" s="299"/>
      <c r="AH777" s="539"/>
      <c r="AI777" s="300">
        <v>43803.0</v>
      </c>
      <c r="AJ777" s="299"/>
      <c r="AK777" s="298" t="s">
        <v>50</v>
      </c>
      <c r="AL777" s="298" t="s">
        <v>285</v>
      </c>
      <c r="AM777" s="298" t="s">
        <v>286</v>
      </c>
      <c r="AN777" s="298" t="s">
        <v>52</v>
      </c>
      <c r="AO777" s="82" t="s">
        <v>763</v>
      </c>
    </row>
    <row r="778" ht="15.75" customHeight="1">
      <c r="A778" s="69">
        <v>43738.0</v>
      </c>
      <c r="B778" s="144" t="s">
        <v>77</v>
      </c>
      <c r="C778" s="21">
        <v>710.0</v>
      </c>
      <c r="D778" s="71" t="s">
        <v>1709</v>
      </c>
      <c r="E778" s="23" t="s">
        <v>651</v>
      </c>
      <c r="F778" s="130">
        <v>6.0</v>
      </c>
      <c r="G778" s="25">
        <v>6.0</v>
      </c>
      <c r="H778" s="60">
        <f t="shared" si="106"/>
        <v>36</v>
      </c>
      <c r="I778" s="61" t="s">
        <v>43</v>
      </c>
      <c r="J778" s="82" t="s">
        <v>936</v>
      </c>
      <c r="K778" s="30">
        <v>43769.0</v>
      </c>
      <c r="L778" s="30">
        <v>43768.0</v>
      </c>
      <c r="M778" s="50" t="s">
        <v>2039</v>
      </c>
      <c r="N778" s="32" t="s">
        <v>3232</v>
      </c>
      <c r="O778" s="408"/>
      <c r="P778" s="408"/>
      <c r="Q778" s="408"/>
      <c r="R778" s="408">
        <v>28.0</v>
      </c>
      <c r="S778" s="725">
        <v>188.0</v>
      </c>
      <c r="T778" s="20" t="s">
        <v>2194</v>
      </c>
      <c r="U778" s="306"/>
      <c r="V778" s="306"/>
      <c r="W778" s="306"/>
      <c r="X778" s="306"/>
      <c r="Y778" s="306"/>
      <c r="Z778" s="306"/>
      <c r="AA778" s="306"/>
      <c r="AB778" s="306"/>
      <c r="AC778" s="306"/>
      <c r="AD778" s="306"/>
      <c r="AE778" s="298"/>
      <c r="AF778" s="298"/>
      <c r="AG778" s="299"/>
      <c r="AH778" s="539"/>
      <c r="AI778" s="300">
        <v>43803.0</v>
      </c>
      <c r="AJ778" s="299"/>
      <c r="AK778" s="298" t="s">
        <v>50</v>
      </c>
      <c r="AL778" s="298" t="s">
        <v>285</v>
      </c>
      <c r="AM778" s="298" t="s">
        <v>286</v>
      </c>
      <c r="AN778" s="298" t="s">
        <v>52</v>
      </c>
      <c r="AO778" s="82" t="s">
        <v>763</v>
      </c>
    </row>
    <row r="779" ht="15.75" customHeight="1">
      <c r="A779" s="69">
        <v>43738.0</v>
      </c>
      <c r="B779" s="144" t="s">
        <v>77</v>
      </c>
      <c r="C779" s="21">
        <v>710.0</v>
      </c>
      <c r="D779" s="21" t="s">
        <v>1709</v>
      </c>
      <c r="E779" s="23" t="s">
        <v>646</v>
      </c>
      <c r="F779" s="130">
        <v>3.0</v>
      </c>
      <c r="G779" s="25">
        <v>0.0</v>
      </c>
      <c r="H779" s="60">
        <f t="shared" si="106"/>
        <v>0</v>
      </c>
      <c r="I779" s="61" t="s">
        <v>43</v>
      </c>
      <c r="J779" s="82" t="s">
        <v>936</v>
      </c>
      <c r="K779" s="30">
        <v>43769.0</v>
      </c>
      <c r="L779" s="30">
        <v>43763.0</v>
      </c>
      <c r="M779" s="50" t="s">
        <v>1537</v>
      </c>
      <c r="N779" s="93">
        <v>2.019100100002E12</v>
      </c>
      <c r="O779" s="408">
        <v>2.019102500001E12</v>
      </c>
      <c r="P779" s="408"/>
      <c r="Q779" s="408">
        <f t="shared" ref="Q779:Q791" si="110">(P779*F779)*1.05</f>
        <v>0</v>
      </c>
      <c r="R779" s="306" t="s">
        <v>3231</v>
      </c>
      <c r="S779" s="726">
        <v>0.0</v>
      </c>
      <c r="T779" s="503"/>
      <c r="U779" s="462">
        <v>43774.0</v>
      </c>
      <c r="V779" s="305">
        <v>43761.0</v>
      </c>
      <c r="W779" s="306" t="s">
        <v>1710</v>
      </c>
      <c r="X779" s="306" t="s">
        <v>3230</v>
      </c>
      <c r="Y779" s="306"/>
      <c r="Z779" s="306"/>
      <c r="AA779" s="306"/>
      <c r="AB779" s="306"/>
      <c r="AC779" s="306"/>
      <c r="AD779" s="306"/>
      <c r="AE779" s="298"/>
      <c r="AF779" s="298"/>
      <c r="AG779" s="299"/>
      <c r="AH779" s="539"/>
      <c r="AI779" s="298" t="s">
        <v>1227</v>
      </c>
      <c r="AJ779" s="299"/>
      <c r="AK779" s="298" t="s">
        <v>50</v>
      </c>
      <c r="AL779" s="298" t="s">
        <v>285</v>
      </c>
      <c r="AM779" s="298" t="s">
        <v>286</v>
      </c>
      <c r="AN779" s="298" t="s">
        <v>52</v>
      </c>
      <c r="AO779" s="82" t="s">
        <v>763</v>
      </c>
    </row>
    <row r="780" ht="15.75" customHeight="1">
      <c r="A780" s="69">
        <v>43738.0</v>
      </c>
      <c r="B780" s="144" t="s">
        <v>77</v>
      </c>
      <c r="C780" s="70">
        <v>710.0</v>
      </c>
      <c r="D780" s="71" t="s">
        <v>1709</v>
      </c>
      <c r="E780" s="32" t="s">
        <v>647</v>
      </c>
      <c r="F780" s="130">
        <v>3.0</v>
      </c>
      <c r="G780" s="25">
        <v>0.0</v>
      </c>
      <c r="H780" s="60">
        <f t="shared" si="106"/>
        <v>0</v>
      </c>
      <c r="I780" s="61" t="s">
        <v>43</v>
      </c>
      <c r="J780" s="82" t="s">
        <v>936</v>
      </c>
      <c r="K780" s="30">
        <v>43769.0</v>
      </c>
      <c r="L780" s="30">
        <v>43763.0</v>
      </c>
      <c r="M780" s="50" t="s">
        <v>1537</v>
      </c>
      <c r="N780" s="93">
        <v>2.019100100002E12</v>
      </c>
      <c r="O780" s="408">
        <v>2.019102500001E12</v>
      </c>
      <c r="P780" s="408"/>
      <c r="Q780" s="408">
        <f t="shared" si="110"/>
        <v>0</v>
      </c>
      <c r="R780" s="306" t="s">
        <v>3231</v>
      </c>
      <c r="S780" s="726">
        <v>0.0</v>
      </c>
      <c r="T780" s="503"/>
      <c r="U780" s="462">
        <v>43774.0</v>
      </c>
      <c r="V780" s="305">
        <v>43761.0</v>
      </c>
      <c r="W780" s="306" t="s">
        <v>1710</v>
      </c>
      <c r="X780" s="306" t="s">
        <v>3230</v>
      </c>
      <c r="Y780" s="306"/>
      <c r="Z780" s="306"/>
      <c r="AA780" s="306"/>
      <c r="AB780" s="306"/>
      <c r="AC780" s="306"/>
      <c r="AD780" s="306"/>
      <c r="AE780" s="298"/>
      <c r="AF780" s="298"/>
      <c r="AG780" s="299"/>
      <c r="AH780" s="539"/>
      <c r="AI780" s="298" t="s">
        <v>1227</v>
      </c>
      <c r="AJ780" s="299"/>
      <c r="AK780" s="298" t="s">
        <v>50</v>
      </c>
      <c r="AL780" s="298" t="s">
        <v>285</v>
      </c>
      <c r="AM780" s="298" t="s">
        <v>286</v>
      </c>
      <c r="AN780" s="298" t="s">
        <v>52</v>
      </c>
      <c r="AO780" s="82" t="s">
        <v>763</v>
      </c>
    </row>
    <row r="781" ht="15.75" customHeight="1">
      <c r="A781" s="69">
        <v>43738.0</v>
      </c>
      <c r="B781" s="144" t="s">
        <v>77</v>
      </c>
      <c r="C781" s="70">
        <v>710.0</v>
      </c>
      <c r="D781" s="71" t="s">
        <v>1709</v>
      </c>
      <c r="E781" s="32" t="s">
        <v>648</v>
      </c>
      <c r="F781" s="130">
        <v>3.0</v>
      </c>
      <c r="G781" s="25">
        <v>0.0</v>
      </c>
      <c r="H781" s="60">
        <f t="shared" si="106"/>
        <v>0</v>
      </c>
      <c r="I781" s="61" t="s">
        <v>43</v>
      </c>
      <c r="J781" s="82" t="s">
        <v>936</v>
      </c>
      <c r="K781" s="30">
        <v>43769.0</v>
      </c>
      <c r="L781" s="30">
        <v>43763.0</v>
      </c>
      <c r="M781" s="50" t="s">
        <v>1537</v>
      </c>
      <c r="N781" s="93">
        <v>2.019100100002E12</v>
      </c>
      <c r="O781" s="408"/>
      <c r="P781" s="408"/>
      <c r="Q781" s="408">
        <f t="shared" si="110"/>
        <v>0</v>
      </c>
      <c r="R781" s="306" t="s">
        <v>3231</v>
      </c>
      <c r="S781" s="726">
        <v>0.0</v>
      </c>
      <c r="T781" s="503"/>
      <c r="U781" s="306"/>
      <c r="V781" s="306"/>
      <c r="W781" s="306"/>
      <c r="X781" s="306"/>
      <c r="Y781" s="306"/>
      <c r="Z781" s="306"/>
      <c r="AA781" s="306"/>
      <c r="AB781" s="306"/>
      <c r="AC781" s="306"/>
      <c r="AD781" s="306"/>
      <c r="AE781" s="298"/>
      <c r="AF781" s="298"/>
      <c r="AG781" s="299"/>
      <c r="AH781" s="539"/>
      <c r="AI781" s="298" t="s">
        <v>1227</v>
      </c>
      <c r="AJ781" s="299"/>
      <c r="AK781" s="298" t="s">
        <v>50</v>
      </c>
      <c r="AL781" s="298" t="s">
        <v>285</v>
      </c>
      <c r="AM781" s="298" t="s">
        <v>286</v>
      </c>
      <c r="AN781" s="298" t="s">
        <v>52</v>
      </c>
      <c r="AO781" s="82" t="s">
        <v>763</v>
      </c>
    </row>
    <row r="782" ht="15.75" customHeight="1">
      <c r="A782" s="69">
        <v>43738.0</v>
      </c>
      <c r="B782" s="144" t="s">
        <v>77</v>
      </c>
      <c r="C782" s="70">
        <v>710.0</v>
      </c>
      <c r="D782" s="71" t="s">
        <v>1709</v>
      </c>
      <c r="E782" s="23" t="s">
        <v>649</v>
      </c>
      <c r="F782" s="130">
        <v>3.0</v>
      </c>
      <c r="G782" s="25">
        <v>0.0</v>
      </c>
      <c r="H782" s="60">
        <f t="shared" si="106"/>
        <v>0</v>
      </c>
      <c r="I782" s="61" t="s">
        <v>43</v>
      </c>
      <c r="J782" s="82" t="s">
        <v>936</v>
      </c>
      <c r="K782" s="30">
        <v>43769.0</v>
      </c>
      <c r="L782" s="30">
        <v>43763.0</v>
      </c>
      <c r="M782" s="50" t="s">
        <v>1537</v>
      </c>
      <c r="N782" s="93">
        <v>2.019100100002E12</v>
      </c>
      <c r="O782" s="408"/>
      <c r="P782" s="408"/>
      <c r="Q782" s="408">
        <f t="shared" si="110"/>
        <v>0</v>
      </c>
      <c r="R782" s="306" t="s">
        <v>3231</v>
      </c>
      <c r="S782" s="726">
        <v>0.0</v>
      </c>
      <c r="T782" s="408"/>
      <c r="U782" s="306"/>
      <c r="V782" s="306"/>
      <c r="W782" s="306"/>
      <c r="X782" s="306"/>
      <c r="Y782" s="306"/>
      <c r="Z782" s="306"/>
      <c r="AA782" s="306"/>
      <c r="AB782" s="306"/>
      <c r="AC782" s="306"/>
      <c r="AD782" s="306"/>
      <c r="AE782" s="298"/>
      <c r="AF782" s="298"/>
      <c r="AG782" s="299"/>
      <c r="AH782" s="539"/>
      <c r="AI782" s="298" t="s">
        <v>1227</v>
      </c>
      <c r="AJ782" s="299"/>
      <c r="AK782" s="298" t="s">
        <v>50</v>
      </c>
      <c r="AL782" s="298" t="s">
        <v>285</v>
      </c>
      <c r="AM782" s="298" t="s">
        <v>286</v>
      </c>
      <c r="AN782" s="298" t="s">
        <v>52</v>
      </c>
      <c r="AO782" s="82" t="s">
        <v>763</v>
      </c>
    </row>
    <row r="783" ht="15.75" customHeight="1">
      <c r="A783" s="69">
        <v>43738.0</v>
      </c>
      <c r="B783" s="144" t="s">
        <v>77</v>
      </c>
      <c r="C783" s="70">
        <v>710.0</v>
      </c>
      <c r="D783" s="71" t="s">
        <v>1709</v>
      </c>
      <c r="E783" s="32" t="s">
        <v>652</v>
      </c>
      <c r="F783" s="130">
        <v>3.0</v>
      </c>
      <c r="G783" s="25">
        <v>0.0</v>
      </c>
      <c r="H783" s="60">
        <f t="shared" si="106"/>
        <v>0</v>
      </c>
      <c r="I783" s="61" t="s">
        <v>43</v>
      </c>
      <c r="J783" s="82" t="s">
        <v>936</v>
      </c>
      <c r="K783" s="30">
        <v>43769.0</v>
      </c>
      <c r="L783" s="82" t="s">
        <v>179</v>
      </c>
      <c r="M783" s="82" t="s">
        <v>179</v>
      </c>
      <c r="N783" s="93"/>
      <c r="O783" s="408"/>
      <c r="P783" s="408"/>
      <c r="Q783" s="408">
        <f t="shared" si="110"/>
        <v>0</v>
      </c>
      <c r="R783" s="408">
        <v>92.0</v>
      </c>
      <c r="S783" s="727">
        <v>290.0</v>
      </c>
      <c r="T783" s="408"/>
      <c r="U783" s="306"/>
      <c r="V783" s="306"/>
      <c r="W783" s="306"/>
      <c r="X783" s="306"/>
      <c r="Y783" s="306"/>
      <c r="Z783" s="306"/>
      <c r="AA783" s="306"/>
      <c r="AB783" s="306"/>
      <c r="AC783" s="306"/>
      <c r="AD783" s="306"/>
      <c r="AE783" s="298"/>
      <c r="AF783" s="298"/>
      <c r="AG783" s="299"/>
      <c r="AH783" s="539"/>
      <c r="AI783" s="298" t="s">
        <v>1227</v>
      </c>
      <c r="AJ783" s="299"/>
      <c r="AK783" s="298" t="s">
        <v>50</v>
      </c>
      <c r="AL783" s="298" t="s">
        <v>285</v>
      </c>
      <c r="AM783" s="298" t="s">
        <v>286</v>
      </c>
      <c r="AN783" s="298" t="s">
        <v>52</v>
      </c>
      <c r="AO783" s="82" t="s">
        <v>763</v>
      </c>
    </row>
    <row r="784" ht="15.75" customHeight="1">
      <c r="A784" s="69">
        <v>43738.0</v>
      </c>
      <c r="B784" s="144" t="s">
        <v>77</v>
      </c>
      <c r="C784" s="70">
        <v>710.0</v>
      </c>
      <c r="D784" s="71" t="s">
        <v>1709</v>
      </c>
      <c r="E784" s="32" t="s">
        <v>650</v>
      </c>
      <c r="F784" s="130">
        <v>3.0</v>
      </c>
      <c r="G784" s="25">
        <v>2.0</v>
      </c>
      <c r="H784" s="60">
        <f t="shared" si="106"/>
        <v>6</v>
      </c>
      <c r="I784" s="61" t="s">
        <v>43</v>
      </c>
      <c r="J784" s="82" t="s">
        <v>936</v>
      </c>
      <c r="K784" s="30">
        <v>43769.0</v>
      </c>
      <c r="L784" s="82" t="s">
        <v>179</v>
      </c>
      <c r="M784" s="82" t="s">
        <v>179</v>
      </c>
      <c r="N784" s="93"/>
      <c r="O784" s="408"/>
      <c r="P784" s="408"/>
      <c r="Q784" s="408">
        <f t="shared" si="110"/>
        <v>0</v>
      </c>
      <c r="R784" s="408">
        <v>24.0</v>
      </c>
      <c r="S784" s="727">
        <v>84.0</v>
      </c>
      <c r="T784" s="503"/>
      <c r="U784" s="306"/>
      <c r="V784" s="306"/>
      <c r="W784" s="306"/>
      <c r="X784" s="306"/>
      <c r="Y784" s="306"/>
      <c r="Z784" s="306"/>
      <c r="AA784" s="306"/>
      <c r="AB784" s="306"/>
      <c r="AC784" s="306"/>
      <c r="AD784" s="306"/>
      <c r="AE784" s="298"/>
      <c r="AF784" s="298"/>
      <c r="AG784" s="299"/>
      <c r="AH784" s="539"/>
      <c r="AI784" s="300">
        <v>43803.0</v>
      </c>
      <c r="AJ784" s="299"/>
      <c r="AK784" s="298" t="s">
        <v>50</v>
      </c>
      <c r="AL784" s="298" t="s">
        <v>285</v>
      </c>
      <c r="AM784" s="298" t="s">
        <v>286</v>
      </c>
      <c r="AN784" s="298" t="s">
        <v>52</v>
      </c>
      <c r="AO784" s="82" t="s">
        <v>763</v>
      </c>
    </row>
    <row r="785" ht="15.75" customHeight="1">
      <c r="A785" s="69">
        <v>43738.0</v>
      </c>
      <c r="B785" s="144" t="s">
        <v>77</v>
      </c>
      <c r="C785" s="21">
        <v>710.0</v>
      </c>
      <c r="D785" s="71" t="s">
        <v>1709</v>
      </c>
      <c r="E785" s="23" t="s">
        <v>651</v>
      </c>
      <c r="F785" s="130">
        <v>3.0</v>
      </c>
      <c r="G785" s="25">
        <v>6.0</v>
      </c>
      <c r="H785" s="60">
        <f t="shared" si="106"/>
        <v>18</v>
      </c>
      <c r="I785" s="61" t="s">
        <v>43</v>
      </c>
      <c r="J785" s="82" t="s">
        <v>936</v>
      </c>
      <c r="K785" s="30">
        <v>43769.0</v>
      </c>
      <c r="L785" s="82" t="s">
        <v>179</v>
      </c>
      <c r="M785" s="82" t="s">
        <v>179</v>
      </c>
      <c r="N785" s="93"/>
      <c r="O785" s="408"/>
      <c r="P785" s="408"/>
      <c r="Q785" s="408">
        <f t="shared" si="110"/>
        <v>0</v>
      </c>
      <c r="R785" s="408">
        <v>28.0</v>
      </c>
      <c r="S785" s="727">
        <v>94.0</v>
      </c>
      <c r="T785" s="503"/>
      <c r="U785" s="306"/>
      <c r="V785" s="306"/>
      <c r="W785" s="306"/>
      <c r="X785" s="306"/>
      <c r="Y785" s="306"/>
      <c r="Z785" s="306"/>
      <c r="AA785" s="306"/>
      <c r="AB785" s="306"/>
      <c r="AC785" s="306"/>
      <c r="AD785" s="306"/>
      <c r="AE785" s="298"/>
      <c r="AF785" s="298"/>
      <c r="AG785" s="299"/>
      <c r="AH785" s="539"/>
      <c r="AI785" s="300">
        <v>43803.0</v>
      </c>
      <c r="AJ785" s="299"/>
      <c r="AK785" s="298" t="s">
        <v>50</v>
      </c>
      <c r="AL785" s="298" t="s">
        <v>285</v>
      </c>
      <c r="AM785" s="298" t="s">
        <v>286</v>
      </c>
      <c r="AN785" s="298" t="s">
        <v>52</v>
      </c>
      <c r="AO785" s="82" t="s">
        <v>763</v>
      </c>
    </row>
    <row r="786" ht="15.75" customHeight="1">
      <c r="A786" s="69">
        <v>43738.0</v>
      </c>
      <c r="B786" s="144" t="s">
        <v>77</v>
      </c>
      <c r="C786" s="21">
        <v>710.0</v>
      </c>
      <c r="D786" s="71" t="s">
        <v>1709</v>
      </c>
      <c r="E786" s="23" t="s">
        <v>1711</v>
      </c>
      <c r="F786" s="130">
        <v>3.0</v>
      </c>
      <c r="G786" s="25">
        <v>200.0</v>
      </c>
      <c r="H786" s="60">
        <f t="shared" si="106"/>
        <v>600</v>
      </c>
      <c r="I786" s="61" t="s">
        <v>43</v>
      </c>
      <c r="J786" s="82" t="s">
        <v>936</v>
      </c>
      <c r="K786" s="30">
        <v>43769.0</v>
      </c>
      <c r="L786" s="30">
        <v>43763.0</v>
      </c>
      <c r="M786" s="50" t="s">
        <v>1537</v>
      </c>
      <c r="N786" s="93">
        <v>2.019100100002E12</v>
      </c>
      <c r="O786" s="408">
        <v>2.019102500001E12</v>
      </c>
      <c r="P786" s="408"/>
      <c r="Q786" s="408">
        <f t="shared" si="110"/>
        <v>0</v>
      </c>
      <c r="R786" s="408">
        <v>4788.0</v>
      </c>
      <c r="S786" s="723">
        <v>15082.0</v>
      </c>
      <c r="T786" s="408"/>
      <c r="U786" s="462">
        <v>43774.0</v>
      </c>
      <c r="V786" s="305">
        <v>43761.0</v>
      </c>
      <c r="W786" s="306" t="s">
        <v>1710</v>
      </c>
      <c r="X786" s="306">
        <v>45247.0</v>
      </c>
      <c r="Y786" s="306"/>
      <c r="Z786" s="306"/>
      <c r="AA786" s="306"/>
      <c r="AB786" s="306"/>
      <c r="AC786" s="306"/>
      <c r="AD786" s="306"/>
      <c r="AE786" s="298"/>
      <c r="AF786" s="298"/>
      <c r="AG786" s="299"/>
      <c r="AH786" s="539"/>
      <c r="AI786" s="300">
        <v>43803.0</v>
      </c>
      <c r="AJ786" s="299"/>
      <c r="AK786" s="298" t="s">
        <v>50</v>
      </c>
      <c r="AL786" s="298" t="s">
        <v>285</v>
      </c>
      <c r="AM786" s="298" t="s">
        <v>286</v>
      </c>
      <c r="AN786" s="298" t="s">
        <v>52</v>
      </c>
      <c r="AO786" s="82" t="s">
        <v>763</v>
      </c>
    </row>
    <row r="787" ht="15.75" customHeight="1">
      <c r="A787" s="69">
        <v>43739.0</v>
      </c>
      <c r="B787" s="70" t="s">
        <v>229</v>
      </c>
      <c r="C787" s="21"/>
      <c r="D787" s="71" t="s">
        <v>1712</v>
      </c>
      <c r="E787" s="23" t="s">
        <v>232</v>
      </c>
      <c r="F787" s="130">
        <v>23.0</v>
      </c>
      <c r="G787" s="25">
        <v>407.4</v>
      </c>
      <c r="H787" s="60">
        <f t="shared" si="106"/>
        <v>9370.2</v>
      </c>
      <c r="I787" s="61" t="s">
        <v>171</v>
      </c>
      <c r="J787" s="544" t="s">
        <v>233</v>
      </c>
      <c r="K787" s="30">
        <v>43780.0</v>
      </c>
      <c r="L787" s="30">
        <v>43780.0</v>
      </c>
      <c r="M787" s="50" t="s">
        <v>90</v>
      </c>
      <c r="N787" s="93" t="s">
        <v>3233</v>
      </c>
      <c r="O787" s="408"/>
      <c r="P787" s="408">
        <v>355.0</v>
      </c>
      <c r="Q787" s="408">
        <f t="shared" si="110"/>
        <v>8573.25</v>
      </c>
      <c r="R787" s="408"/>
      <c r="S787" s="408">
        <v>261656.0</v>
      </c>
      <c r="T787" s="35" t="s">
        <v>94</v>
      </c>
      <c r="U787" s="305">
        <v>43830.0</v>
      </c>
      <c r="V787" s="462">
        <v>43777.0</v>
      </c>
      <c r="W787" s="306" t="s">
        <v>1713</v>
      </c>
      <c r="X787" s="306">
        <v>279210.0</v>
      </c>
      <c r="Y787" s="306"/>
      <c r="Z787" s="306" t="s">
        <v>3234</v>
      </c>
      <c r="AA787" s="305"/>
      <c r="AB787" s="306">
        <v>30.375</v>
      </c>
      <c r="AC787" s="306">
        <v>306863.0</v>
      </c>
      <c r="AD787" s="305">
        <v>43780.0</v>
      </c>
      <c r="AE787" s="298"/>
      <c r="AF787" s="298"/>
      <c r="AG787" s="299"/>
      <c r="AH787" s="300">
        <v>43801.0</v>
      </c>
      <c r="AI787" s="299">
        <v>328617.0</v>
      </c>
      <c r="AJ787" s="299">
        <v>30.0</v>
      </c>
      <c r="AK787" s="298" t="s">
        <v>50</v>
      </c>
      <c r="AL787" s="298" t="s">
        <v>285</v>
      </c>
      <c r="AM787" s="298" t="s">
        <v>51</v>
      </c>
      <c r="AN787" s="298" t="s">
        <v>377</v>
      </c>
      <c r="AO787" s="82" t="s">
        <v>763</v>
      </c>
    </row>
    <row r="788" ht="15.75" customHeight="1">
      <c r="A788" s="69">
        <v>43739.0</v>
      </c>
      <c r="B788" s="70" t="s">
        <v>229</v>
      </c>
      <c r="C788" s="21"/>
      <c r="D788" s="71" t="s">
        <v>1712</v>
      </c>
      <c r="E788" s="23" t="s">
        <v>736</v>
      </c>
      <c r="F788" s="130">
        <v>2.0</v>
      </c>
      <c r="G788" s="545">
        <v>336.0</v>
      </c>
      <c r="H788" s="60">
        <f t="shared" si="106"/>
        <v>672</v>
      </c>
      <c r="I788" s="61" t="s">
        <v>171</v>
      </c>
      <c r="J788" s="50" t="s">
        <v>233</v>
      </c>
      <c r="K788" s="30">
        <v>43780.0</v>
      </c>
      <c r="L788" s="30">
        <v>43780.0</v>
      </c>
      <c r="M788" s="50" t="s">
        <v>90</v>
      </c>
      <c r="N788" s="93" t="s">
        <v>3233</v>
      </c>
      <c r="O788" s="408"/>
      <c r="P788" s="408">
        <v>257.0</v>
      </c>
      <c r="Q788" s="408">
        <f t="shared" si="110"/>
        <v>539.7</v>
      </c>
      <c r="R788" s="408"/>
      <c r="S788" s="408">
        <v>16471.0</v>
      </c>
      <c r="T788" s="35" t="s">
        <v>94</v>
      </c>
      <c r="U788" s="305">
        <v>43830.0</v>
      </c>
      <c r="V788" s="462">
        <v>43777.0</v>
      </c>
      <c r="W788" s="306" t="s">
        <v>1713</v>
      </c>
      <c r="X788" s="306" t="s">
        <v>3235</v>
      </c>
      <c r="Y788" s="306"/>
      <c r="Z788" s="306" t="s">
        <v>3234</v>
      </c>
      <c r="AA788" s="305"/>
      <c r="AB788" s="306">
        <v>30.375</v>
      </c>
      <c r="AC788" s="306" t="s">
        <v>3236</v>
      </c>
      <c r="AD788" s="305">
        <v>43780.0</v>
      </c>
      <c r="AE788" s="298"/>
      <c r="AF788" s="298"/>
      <c r="AG788" s="299"/>
      <c r="AH788" s="300">
        <v>43801.0</v>
      </c>
      <c r="AI788" s="299" t="s">
        <v>3237</v>
      </c>
      <c r="AJ788" s="299" t="s">
        <v>3238</v>
      </c>
      <c r="AK788" s="298" t="s">
        <v>50</v>
      </c>
      <c r="AL788" s="298" t="s">
        <v>285</v>
      </c>
      <c r="AM788" s="298" t="s">
        <v>51</v>
      </c>
      <c r="AN788" s="298" t="s">
        <v>377</v>
      </c>
      <c r="AO788" s="82" t="s">
        <v>763</v>
      </c>
    </row>
    <row r="789" ht="15.75" customHeight="1">
      <c r="A789" s="69">
        <v>43739.0</v>
      </c>
      <c r="B789" s="70" t="s">
        <v>229</v>
      </c>
      <c r="C789" s="21"/>
      <c r="D789" s="71" t="s">
        <v>1712</v>
      </c>
      <c r="E789" s="23" t="s">
        <v>737</v>
      </c>
      <c r="F789" s="130">
        <v>2.0</v>
      </c>
      <c r="G789" s="25">
        <v>21.0</v>
      </c>
      <c r="H789" s="60">
        <f t="shared" si="106"/>
        <v>42</v>
      </c>
      <c r="I789" s="61" t="s">
        <v>171</v>
      </c>
      <c r="J789" s="50" t="s">
        <v>233</v>
      </c>
      <c r="K789" s="30">
        <v>43780.0</v>
      </c>
      <c r="L789" s="30">
        <v>43780.0</v>
      </c>
      <c r="M789" s="50" t="s">
        <v>90</v>
      </c>
      <c r="N789" s="93" t="s">
        <v>3233</v>
      </c>
      <c r="O789" s="408"/>
      <c r="P789" s="408">
        <v>16.9</v>
      </c>
      <c r="Q789" s="408">
        <f t="shared" si="110"/>
        <v>35.49</v>
      </c>
      <c r="R789" s="408"/>
      <c r="S789" s="408">
        <v>1083.0</v>
      </c>
      <c r="T789" s="35" t="s">
        <v>94</v>
      </c>
      <c r="U789" s="305">
        <v>43830.0</v>
      </c>
      <c r="V789" s="462">
        <v>43777.0</v>
      </c>
      <c r="W789" s="306" t="s">
        <v>1713</v>
      </c>
      <c r="X789" s="306" t="s">
        <v>3235</v>
      </c>
      <c r="Y789" s="306"/>
      <c r="Z789" s="306" t="s">
        <v>3234</v>
      </c>
      <c r="AA789" s="305"/>
      <c r="AB789" s="306">
        <v>30.375</v>
      </c>
      <c r="AC789" s="306" t="s">
        <v>3236</v>
      </c>
      <c r="AD789" s="305">
        <v>43780.0</v>
      </c>
      <c r="AE789" s="298"/>
      <c r="AF789" s="298"/>
      <c r="AG789" s="299"/>
      <c r="AH789" s="300">
        <v>43801.0</v>
      </c>
      <c r="AI789" s="299" t="s">
        <v>3237</v>
      </c>
      <c r="AJ789" s="299" t="s">
        <v>3238</v>
      </c>
      <c r="AK789" s="298" t="s">
        <v>50</v>
      </c>
      <c r="AL789" s="298" t="s">
        <v>285</v>
      </c>
      <c r="AM789" s="298" t="s">
        <v>51</v>
      </c>
      <c r="AN789" s="298" t="s">
        <v>377</v>
      </c>
      <c r="AO789" s="82" t="s">
        <v>763</v>
      </c>
    </row>
    <row r="790" ht="15.75" customHeight="1">
      <c r="A790" s="69">
        <v>43739.0</v>
      </c>
      <c r="B790" s="70" t="s">
        <v>229</v>
      </c>
      <c r="C790" s="21"/>
      <c r="D790" s="71" t="s">
        <v>1712</v>
      </c>
      <c r="E790" s="32" t="s">
        <v>232</v>
      </c>
      <c r="F790" s="24">
        <v>12.0</v>
      </c>
      <c r="G790" s="48">
        <v>407.4</v>
      </c>
      <c r="H790" s="60">
        <f t="shared" si="106"/>
        <v>4888.8</v>
      </c>
      <c r="I790" s="61" t="s">
        <v>171</v>
      </c>
      <c r="J790" s="50" t="s">
        <v>233</v>
      </c>
      <c r="K790" s="30">
        <v>43825.0</v>
      </c>
      <c r="L790" s="30">
        <v>43825.0</v>
      </c>
      <c r="M790" s="50" t="s">
        <v>90</v>
      </c>
      <c r="N790" s="93" t="s">
        <v>3233</v>
      </c>
      <c r="O790" s="408"/>
      <c r="P790" s="408">
        <v>355.0</v>
      </c>
      <c r="Q790" s="627">
        <f t="shared" si="110"/>
        <v>4473</v>
      </c>
      <c r="R790" s="408"/>
      <c r="S790" s="728">
        <f>Q790*30.26</f>
        <v>135352.98</v>
      </c>
      <c r="T790" s="51" t="s">
        <v>94</v>
      </c>
      <c r="U790" s="306"/>
      <c r="V790" s="306"/>
      <c r="W790" s="306"/>
      <c r="X790" s="306"/>
      <c r="Y790" s="306"/>
      <c r="Z790" s="306" t="s">
        <v>3239</v>
      </c>
      <c r="AA790" s="306" t="s">
        <v>3240</v>
      </c>
      <c r="AB790" s="306">
        <v>30.1</v>
      </c>
      <c r="AC790" s="306">
        <v>147153.0</v>
      </c>
      <c r="AD790" s="298"/>
      <c r="AE790" s="298"/>
      <c r="AF790" s="299"/>
      <c r="AG790" s="539"/>
      <c r="AH790" s="300">
        <v>43864.0</v>
      </c>
      <c r="AI790" s="299">
        <v>858362.0</v>
      </c>
      <c r="AJ790" s="298">
        <v>0.0</v>
      </c>
      <c r="AK790" s="298" t="s">
        <v>50</v>
      </c>
      <c r="AL790" s="82" t="s">
        <v>285</v>
      </c>
      <c r="AM790" s="298" t="s">
        <v>51</v>
      </c>
      <c r="AN790" s="298" t="s">
        <v>377</v>
      </c>
      <c r="AO790" s="298" t="s">
        <v>1371</v>
      </c>
    </row>
    <row r="791" ht="15.75" customHeight="1">
      <c r="A791" s="69">
        <v>43739.0</v>
      </c>
      <c r="B791" s="70" t="s">
        <v>1714</v>
      </c>
      <c r="C791" s="21" t="s">
        <v>1454</v>
      </c>
      <c r="D791" s="71" t="s">
        <v>1715</v>
      </c>
      <c r="E791" s="546" t="s">
        <v>1716</v>
      </c>
      <c r="F791" s="130">
        <v>18.0</v>
      </c>
      <c r="G791" s="25">
        <v>305.0</v>
      </c>
      <c r="H791" s="60">
        <f t="shared" si="106"/>
        <v>5490</v>
      </c>
      <c r="I791" s="61" t="s">
        <v>105</v>
      </c>
      <c r="J791" s="50" t="s">
        <v>934</v>
      </c>
      <c r="K791" s="29">
        <v>43767.0</v>
      </c>
      <c r="L791" s="29">
        <v>43753.0</v>
      </c>
      <c r="M791" s="50" t="s">
        <v>2034</v>
      </c>
      <c r="N791" s="93" t="s">
        <v>3241</v>
      </c>
      <c r="O791" s="408">
        <v>2.019101500004E12</v>
      </c>
      <c r="P791" s="408">
        <v>270.0</v>
      </c>
      <c r="Q791" s="408">
        <f t="shared" si="110"/>
        <v>5103</v>
      </c>
      <c r="R791" s="408"/>
      <c r="S791" s="408">
        <v>157632.0</v>
      </c>
      <c r="T791" s="20" t="s">
        <v>2036</v>
      </c>
      <c r="U791" s="305">
        <v>43799.0</v>
      </c>
      <c r="V791" s="305">
        <v>43752.0</v>
      </c>
      <c r="W791" s="306" t="s">
        <v>1717</v>
      </c>
      <c r="X791" s="306">
        <v>201224.0</v>
      </c>
      <c r="Y791" s="306"/>
      <c r="Z791" s="306" t="s">
        <v>3242</v>
      </c>
      <c r="AA791" s="306">
        <v>1.60523869E8</v>
      </c>
      <c r="AB791" s="306">
        <v>30.62</v>
      </c>
      <c r="AC791" s="306"/>
      <c r="AD791" s="306"/>
      <c r="AE791" s="298"/>
      <c r="AF791" s="298"/>
      <c r="AG791" s="299"/>
      <c r="AH791" s="300">
        <v>43747.0</v>
      </c>
      <c r="AI791" s="299">
        <f>6956.51*30.8</f>
        <v>214260.508</v>
      </c>
      <c r="AJ791" s="299">
        <f>(6974-6956.51)*30.8</f>
        <v>538.692</v>
      </c>
      <c r="AK791" s="298" t="s">
        <v>50</v>
      </c>
      <c r="AL791" s="298" t="s">
        <v>285</v>
      </c>
      <c r="AM791" s="298" t="s">
        <v>51</v>
      </c>
      <c r="AN791" s="298" t="s">
        <v>52</v>
      </c>
      <c r="AO791" s="82" t="s">
        <v>763</v>
      </c>
    </row>
    <row r="792" ht="15.75" customHeight="1">
      <c r="A792" s="69">
        <v>43739.0</v>
      </c>
      <c r="B792" s="70" t="s">
        <v>1714</v>
      </c>
      <c r="C792" s="21" t="s">
        <v>1454</v>
      </c>
      <c r="D792" s="71" t="s">
        <v>1715</v>
      </c>
      <c r="E792" s="546" t="s">
        <v>1718</v>
      </c>
      <c r="F792" s="130">
        <v>14.0</v>
      </c>
      <c r="G792" s="25">
        <v>106.0</v>
      </c>
      <c r="H792" s="60">
        <f t="shared" si="106"/>
        <v>1484</v>
      </c>
      <c r="I792" s="61" t="s">
        <v>105</v>
      </c>
      <c r="J792" s="50" t="s">
        <v>934</v>
      </c>
      <c r="K792" s="29">
        <v>43767.0</v>
      </c>
      <c r="L792" s="29">
        <v>43753.0</v>
      </c>
      <c r="M792" s="82" t="s">
        <v>2034</v>
      </c>
      <c r="N792" s="93" t="s">
        <v>3241</v>
      </c>
      <c r="O792" s="408">
        <v>2.019101500004E12</v>
      </c>
      <c r="P792" s="408">
        <v>96.0</v>
      </c>
      <c r="Q792" s="408"/>
      <c r="R792" s="408"/>
      <c r="S792" s="408">
        <v>43592.0</v>
      </c>
      <c r="T792" s="22" t="s">
        <v>2036</v>
      </c>
      <c r="U792" s="305">
        <v>43799.0</v>
      </c>
      <c r="V792" s="305">
        <v>43752.0</v>
      </c>
      <c r="W792" s="306" t="s">
        <v>1717</v>
      </c>
      <c r="X792" s="306" t="s">
        <v>3243</v>
      </c>
      <c r="Y792" s="306"/>
      <c r="Z792" s="306" t="s">
        <v>3242</v>
      </c>
      <c r="AA792" s="306">
        <v>1.60523869E8</v>
      </c>
      <c r="AB792" s="306">
        <v>30.62</v>
      </c>
      <c r="AC792" s="306"/>
      <c r="AD792" s="306"/>
      <c r="AE792" s="298"/>
      <c r="AF792" s="298"/>
      <c r="AG792" s="299"/>
      <c r="AH792" s="300">
        <v>43747.0</v>
      </c>
      <c r="AI792" s="299" t="s">
        <v>3244</v>
      </c>
      <c r="AJ792" s="299" t="s">
        <v>3245</v>
      </c>
      <c r="AK792" s="298" t="s">
        <v>50</v>
      </c>
      <c r="AL792" s="298" t="s">
        <v>285</v>
      </c>
      <c r="AM792" s="298" t="s">
        <v>51</v>
      </c>
      <c r="AN792" s="298" t="s">
        <v>52</v>
      </c>
      <c r="AO792" s="82" t="s">
        <v>763</v>
      </c>
    </row>
    <row r="793" ht="15.75" customHeight="1">
      <c r="A793" s="69">
        <v>43739.0</v>
      </c>
      <c r="B793" s="70" t="s">
        <v>1000</v>
      </c>
      <c r="C793" s="21" t="s">
        <v>1719</v>
      </c>
      <c r="D793" s="71" t="s">
        <v>1720</v>
      </c>
      <c r="E793" s="23" t="s">
        <v>1721</v>
      </c>
      <c r="F793" s="130">
        <v>1.0</v>
      </c>
      <c r="G793" s="25">
        <v>260.0</v>
      </c>
      <c r="H793" s="60">
        <f t="shared" si="106"/>
        <v>260</v>
      </c>
      <c r="I793" s="61" t="s">
        <v>1722</v>
      </c>
      <c r="J793" s="50" t="s">
        <v>71</v>
      </c>
      <c r="K793" s="29">
        <v>43811.0</v>
      </c>
      <c r="L793" s="30">
        <v>43797.0</v>
      </c>
      <c r="M793" s="50" t="s">
        <v>90</v>
      </c>
      <c r="N793" s="93" t="s">
        <v>3246</v>
      </c>
      <c r="O793" s="408"/>
      <c r="P793" s="408">
        <v>233.0</v>
      </c>
      <c r="Q793" s="408">
        <f t="shared" ref="Q793:Q803" si="111">(P793*F793)*1.05</f>
        <v>244.65</v>
      </c>
      <c r="R793" s="408"/>
      <c r="S793" s="728">
        <f t="shared" ref="S793:S794" si="112">Q793*30.465</f>
        <v>7453.26225</v>
      </c>
      <c r="T793" s="35" t="s">
        <v>94</v>
      </c>
      <c r="U793" s="306"/>
      <c r="V793" s="306"/>
      <c r="W793" s="306"/>
      <c r="X793" s="306"/>
      <c r="Y793" s="306"/>
      <c r="Z793" s="306" t="s">
        <v>3247</v>
      </c>
      <c r="AA793" s="306">
        <v>1.14309262E8</v>
      </c>
      <c r="AB793" s="306">
        <v>30.42</v>
      </c>
      <c r="AC793" s="306"/>
      <c r="AD793" s="306"/>
      <c r="AE793" s="298"/>
      <c r="AF793" s="298"/>
      <c r="AG793" s="299"/>
      <c r="AH793" s="300">
        <v>43839.0</v>
      </c>
      <c r="AI793" s="299">
        <f>1590*29.915</f>
        <v>47564.85</v>
      </c>
      <c r="AJ793" s="299">
        <v>0.0</v>
      </c>
      <c r="AK793" s="298" t="s">
        <v>50</v>
      </c>
      <c r="AL793" s="82" t="s">
        <v>285</v>
      </c>
      <c r="AM793" s="298" t="s">
        <v>51</v>
      </c>
      <c r="AN793" s="298" t="s">
        <v>52</v>
      </c>
      <c r="AO793" s="298" t="s">
        <v>1371</v>
      </c>
    </row>
    <row r="794" ht="15.75" customHeight="1">
      <c r="A794" s="69">
        <v>43739.0</v>
      </c>
      <c r="B794" s="70" t="s">
        <v>1000</v>
      </c>
      <c r="C794" s="21" t="s">
        <v>1719</v>
      </c>
      <c r="D794" s="71" t="s">
        <v>1720</v>
      </c>
      <c r="E794" s="23" t="s">
        <v>1723</v>
      </c>
      <c r="F794" s="130">
        <v>2.0</v>
      </c>
      <c r="G794" s="25">
        <v>125.0</v>
      </c>
      <c r="H794" s="60">
        <f t="shared" si="106"/>
        <v>250</v>
      </c>
      <c r="I794" s="61" t="s">
        <v>1722</v>
      </c>
      <c r="J794" s="50" t="s">
        <v>71</v>
      </c>
      <c r="K794" s="29">
        <v>43811.0</v>
      </c>
      <c r="L794" s="30">
        <v>43797.0</v>
      </c>
      <c r="M794" s="50" t="s">
        <v>90</v>
      </c>
      <c r="N794" s="93" t="s">
        <v>3246</v>
      </c>
      <c r="O794" s="408"/>
      <c r="P794" s="408">
        <v>110.0</v>
      </c>
      <c r="Q794" s="408">
        <f t="shared" si="111"/>
        <v>231</v>
      </c>
      <c r="R794" s="408"/>
      <c r="S794" s="728">
        <f t="shared" si="112"/>
        <v>7037.415</v>
      </c>
      <c r="T794" s="35" t="s">
        <v>94</v>
      </c>
      <c r="U794" s="306"/>
      <c r="V794" s="306"/>
      <c r="W794" s="306"/>
      <c r="X794" s="306"/>
      <c r="Y794" s="306"/>
      <c r="Z794" s="306" t="s">
        <v>3247</v>
      </c>
      <c r="AA794" s="306">
        <v>1.14309262E8</v>
      </c>
      <c r="AB794" s="306">
        <v>30.42</v>
      </c>
      <c r="AC794" s="306"/>
      <c r="AD794" s="306"/>
      <c r="AE794" s="298"/>
      <c r="AF794" s="298"/>
      <c r="AG794" s="299"/>
      <c r="AH794" s="300">
        <v>43839.0</v>
      </c>
      <c r="AI794" s="299" t="s">
        <v>3248</v>
      </c>
      <c r="AJ794" s="299" t="s">
        <v>3249</v>
      </c>
      <c r="AK794" s="298" t="s">
        <v>50</v>
      </c>
      <c r="AL794" s="298" t="s">
        <v>285</v>
      </c>
      <c r="AM794" s="298" t="s">
        <v>51</v>
      </c>
      <c r="AN794" s="298" t="s">
        <v>52</v>
      </c>
      <c r="AO794" s="298" t="s">
        <v>1371</v>
      </c>
    </row>
    <row r="795" ht="15.75" customHeight="1">
      <c r="A795" s="69">
        <v>43739.0</v>
      </c>
      <c r="B795" s="70" t="s">
        <v>1000</v>
      </c>
      <c r="C795" s="21" t="s">
        <v>1719</v>
      </c>
      <c r="D795" s="71" t="s">
        <v>1720</v>
      </c>
      <c r="E795" s="23" t="s">
        <v>1724</v>
      </c>
      <c r="F795" s="130">
        <v>10.0</v>
      </c>
      <c r="G795" s="25">
        <v>108.0</v>
      </c>
      <c r="H795" s="216">
        <f t="shared" si="106"/>
        <v>1080</v>
      </c>
      <c r="I795" s="61" t="s">
        <v>1722</v>
      </c>
      <c r="J795" s="50" t="s">
        <v>71</v>
      </c>
      <c r="K795" s="29">
        <v>43811.0</v>
      </c>
      <c r="L795" s="29">
        <v>43810.0</v>
      </c>
      <c r="M795" s="50" t="s">
        <v>90</v>
      </c>
      <c r="N795" s="93" t="s">
        <v>3246</v>
      </c>
      <c r="O795" s="408"/>
      <c r="P795" s="408">
        <v>95.0</v>
      </c>
      <c r="Q795" s="408">
        <f t="shared" si="111"/>
        <v>997.5</v>
      </c>
      <c r="R795" s="408"/>
      <c r="S795" s="728">
        <f>Q795*30.45</f>
        <v>30373.875</v>
      </c>
      <c r="T795" s="51" t="s">
        <v>94</v>
      </c>
      <c r="U795" s="306"/>
      <c r="V795" s="306"/>
      <c r="W795" s="306"/>
      <c r="X795" s="306"/>
      <c r="Y795" s="306"/>
      <c r="Z795" s="306" t="s">
        <v>3247</v>
      </c>
      <c r="AA795" s="306">
        <v>1.14309262E8</v>
      </c>
      <c r="AB795" s="306">
        <v>30.42</v>
      </c>
      <c r="AC795" s="306"/>
      <c r="AD795" s="306"/>
      <c r="AE795" s="298"/>
      <c r="AF795" s="298"/>
      <c r="AG795" s="299"/>
      <c r="AH795" s="300">
        <v>43839.0</v>
      </c>
      <c r="AI795" s="299" t="s">
        <v>3248</v>
      </c>
      <c r="AJ795" s="299" t="s">
        <v>3249</v>
      </c>
      <c r="AK795" s="298" t="s">
        <v>50</v>
      </c>
      <c r="AL795" s="82" t="s">
        <v>285</v>
      </c>
      <c r="AM795" s="298" t="s">
        <v>51</v>
      </c>
      <c r="AN795" s="298" t="s">
        <v>52</v>
      </c>
      <c r="AO795" s="298" t="s">
        <v>1371</v>
      </c>
    </row>
    <row r="796" ht="15.75" customHeight="1">
      <c r="A796" s="69">
        <v>43740.0</v>
      </c>
      <c r="B796" s="23" t="s">
        <v>213</v>
      </c>
      <c r="C796" s="21" t="s">
        <v>1725</v>
      </c>
      <c r="D796" s="71" t="s">
        <v>1726</v>
      </c>
      <c r="E796" s="23" t="s">
        <v>1727</v>
      </c>
      <c r="F796" s="130">
        <v>3.0</v>
      </c>
      <c r="G796" s="25">
        <v>207.0</v>
      </c>
      <c r="H796" s="60">
        <f t="shared" si="106"/>
        <v>621</v>
      </c>
      <c r="I796" s="27" t="s">
        <v>248</v>
      </c>
      <c r="J796" s="58" t="s">
        <v>217</v>
      </c>
      <c r="K796" s="30">
        <v>43780.0</v>
      </c>
      <c r="L796" s="30">
        <v>43776.0</v>
      </c>
      <c r="M796" s="50" t="s">
        <v>90</v>
      </c>
      <c r="N796" s="93" t="s">
        <v>3250</v>
      </c>
      <c r="O796" s="408">
        <v>2.019110700002E12</v>
      </c>
      <c r="P796" s="408">
        <v>182.0</v>
      </c>
      <c r="Q796" s="408">
        <f t="shared" si="111"/>
        <v>573.3</v>
      </c>
      <c r="R796" s="408"/>
      <c r="S796" s="408">
        <v>17498.0</v>
      </c>
      <c r="T796" s="35" t="s">
        <v>94</v>
      </c>
      <c r="U796" s="305">
        <v>43830.0</v>
      </c>
      <c r="V796" s="462">
        <v>43775.0</v>
      </c>
      <c r="W796" s="306" t="s">
        <v>1728</v>
      </c>
      <c r="X796" s="306">
        <v>21439.0</v>
      </c>
      <c r="Y796" s="306"/>
      <c r="Z796" s="306" t="s">
        <v>3251</v>
      </c>
      <c r="AA796" s="306" t="s">
        <v>3252</v>
      </c>
      <c r="AB796" s="306">
        <v>30.295</v>
      </c>
      <c r="AC796" s="306"/>
      <c r="AD796" s="306"/>
      <c r="AE796" s="298"/>
      <c r="AF796" s="298"/>
      <c r="AG796" s="299"/>
      <c r="AH796" s="300">
        <v>43745.0</v>
      </c>
      <c r="AI796" s="299">
        <f>794.52*30.85</f>
        <v>24510.942</v>
      </c>
      <c r="AJ796" s="299">
        <f>(801-794.52)*30.85</f>
        <v>199.908</v>
      </c>
      <c r="AK796" s="298" t="s">
        <v>50</v>
      </c>
      <c r="AL796" s="298" t="s">
        <v>285</v>
      </c>
      <c r="AM796" s="298" t="s">
        <v>51</v>
      </c>
      <c r="AN796" s="298" t="s">
        <v>52</v>
      </c>
      <c r="AO796" s="82" t="s">
        <v>763</v>
      </c>
    </row>
    <row r="797" ht="15.75" customHeight="1">
      <c r="A797" s="69">
        <v>43740.0</v>
      </c>
      <c r="B797" s="23" t="s">
        <v>213</v>
      </c>
      <c r="C797" s="21" t="s">
        <v>1725</v>
      </c>
      <c r="D797" s="71" t="s">
        <v>1726</v>
      </c>
      <c r="E797" s="23" t="s">
        <v>133</v>
      </c>
      <c r="F797" s="130">
        <v>1.0</v>
      </c>
      <c r="G797" s="25">
        <v>109.0</v>
      </c>
      <c r="H797" s="60">
        <f t="shared" si="106"/>
        <v>109</v>
      </c>
      <c r="I797" s="27" t="s">
        <v>248</v>
      </c>
      <c r="J797" s="58" t="s">
        <v>217</v>
      </c>
      <c r="K797" s="30">
        <v>43780.0</v>
      </c>
      <c r="L797" s="30">
        <v>43776.0</v>
      </c>
      <c r="M797" s="50" t="s">
        <v>90</v>
      </c>
      <c r="N797" s="93" t="s">
        <v>3250</v>
      </c>
      <c r="O797" s="408">
        <v>2.019110700002E12</v>
      </c>
      <c r="P797" s="408">
        <v>96.0</v>
      </c>
      <c r="Q797" s="408">
        <f t="shared" si="111"/>
        <v>100.8</v>
      </c>
      <c r="R797" s="408"/>
      <c r="S797" s="408">
        <v>3076.0</v>
      </c>
      <c r="T797" s="51" t="s">
        <v>94</v>
      </c>
      <c r="U797" s="305">
        <v>43830.0</v>
      </c>
      <c r="V797" s="462">
        <v>43775.0</v>
      </c>
      <c r="W797" s="306" t="s">
        <v>1728</v>
      </c>
      <c r="X797" s="306" t="s">
        <v>3253</v>
      </c>
      <c r="Y797" s="306"/>
      <c r="Z797" s="306" t="s">
        <v>3251</v>
      </c>
      <c r="AA797" s="306" t="s">
        <v>3252</v>
      </c>
      <c r="AB797" s="306">
        <v>30.295</v>
      </c>
      <c r="AC797" s="306"/>
      <c r="AD797" s="306"/>
      <c r="AE797" s="298"/>
      <c r="AF797" s="298"/>
      <c r="AG797" s="299"/>
      <c r="AH797" s="300">
        <v>43745.0</v>
      </c>
      <c r="AI797" s="299" t="s">
        <v>3254</v>
      </c>
      <c r="AJ797" s="299" t="s">
        <v>3255</v>
      </c>
      <c r="AK797" s="298" t="s">
        <v>50</v>
      </c>
      <c r="AL797" s="298" t="s">
        <v>285</v>
      </c>
      <c r="AM797" s="298" t="s">
        <v>51</v>
      </c>
      <c r="AN797" s="298" t="s">
        <v>52</v>
      </c>
      <c r="AO797" s="82" t="s">
        <v>763</v>
      </c>
    </row>
    <row r="798" ht="15.75" customHeight="1">
      <c r="A798" s="69">
        <v>43740.0</v>
      </c>
      <c r="B798" s="23" t="s">
        <v>213</v>
      </c>
      <c r="C798" s="21" t="s">
        <v>1725</v>
      </c>
      <c r="D798" s="71" t="s">
        <v>1726</v>
      </c>
      <c r="E798" s="23" t="s">
        <v>137</v>
      </c>
      <c r="F798" s="130">
        <v>1.0</v>
      </c>
      <c r="G798" s="25">
        <v>31.0</v>
      </c>
      <c r="H798" s="60">
        <f t="shared" si="106"/>
        <v>31</v>
      </c>
      <c r="I798" s="27" t="s">
        <v>248</v>
      </c>
      <c r="J798" s="58" t="s">
        <v>217</v>
      </c>
      <c r="K798" s="30">
        <v>43780.0</v>
      </c>
      <c r="L798" s="30">
        <v>43776.0</v>
      </c>
      <c r="M798" s="50" t="s">
        <v>90</v>
      </c>
      <c r="N798" s="93" t="s">
        <v>3250</v>
      </c>
      <c r="O798" s="408">
        <v>2.019110700002E12</v>
      </c>
      <c r="P798" s="408">
        <v>27.0</v>
      </c>
      <c r="Q798" s="408">
        <f t="shared" si="111"/>
        <v>28.35</v>
      </c>
      <c r="R798" s="408"/>
      <c r="S798" s="408">
        <v>865.0</v>
      </c>
      <c r="T798" s="51" t="s">
        <v>94</v>
      </c>
      <c r="U798" s="305">
        <v>43830.0</v>
      </c>
      <c r="V798" s="462">
        <v>43775.0</v>
      </c>
      <c r="W798" s="306" t="s">
        <v>1728</v>
      </c>
      <c r="X798" s="306" t="s">
        <v>3253</v>
      </c>
      <c r="Y798" s="306"/>
      <c r="Z798" s="306" t="s">
        <v>3251</v>
      </c>
      <c r="AA798" s="306" t="s">
        <v>3252</v>
      </c>
      <c r="AB798" s="306">
        <v>30.295</v>
      </c>
      <c r="AC798" s="306"/>
      <c r="AD798" s="306"/>
      <c r="AE798" s="298"/>
      <c r="AF798" s="298"/>
      <c r="AG798" s="299"/>
      <c r="AH798" s="300">
        <v>43745.0</v>
      </c>
      <c r="AI798" s="299" t="s">
        <v>3254</v>
      </c>
      <c r="AJ798" s="299" t="s">
        <v>3255</v>
      </c>
      <c r="AK798" s="298" t="s">
        <v>50</v>
      </c>
      <c r="AL798" s="298" t="s">
        <v>285</v>
      </c>
      <c r="AM798" s="298" t="s">
        <v>51</v>
      </c>
      <c r="AN798" s="298" t="s">
        <v>52</v>
      </c>
      <c r="AO798" s="82" t="s">
        <v>763</v>
      </c>
    </row>
    <row r="799" ht="15.75" customHeight="1">
      <c r="A799" s="69">
        <v>43740.0</v>
      </c>
      <c r="B799" s="23" t="s">
        <v>213</v>
      </c>
      <c r="C799" s="21" t="s">
        <v>1725</v>
      </c>
      <c r="D799" s="71" t="s">
        <v>1726</v>
      </c>
      <c r="E799" s="23" t="s">
        <v>700</v>
      </c>
      <c r="F799" s="130">
        <v>1.0</v>
      </c>
      <c r="G799" s="25">
        <v>40.0</v>
      </c>
      <c r="H799" s="60">
        <f t="shared" si="106"/>
        <v>40</v>
      </c>
      <c r="I799" s="27" t="s">
        <v>248</v>
      </c>
      <c r="J799" s="161" t="s">
        <v>217</v>
      </c>
      <c r="K799" s="30">
        <v>43780.0</v>
      </c>
      <c r="L799" s="673"/>
      <c r="M799" s="63" t="s">
        <v>220</v>
      </c>
      <c r="N799" s="64"/>
      <c r="O799" s="34"/>
      <c r="P799" s="34"/>
      <c r="Q799" s="34">
        <f t="shared" si="111"/>
        <v>0</v>
      </c>
      <c r="R799" s="34"/>
      <c r="S799" s="34">
        <f>(R799*F800)*1.05</f>
        <v>0</v>
      </c>
      <c r="T799" s="66"/>
      <c r="U799" s="52"/>
      <c r="V799" s="53"/>
      <c r="W799" s="53"/>
      <c r="X799" s="53"/>
      <c r="Y799" s="53"/>
      <c r="Z799" s="53" t="s">
        <v>3251</v>
      </c>
      <c r="AA799" s="53" t="s">
        <v>3252</v>
      </c>
      <c r="AB799" s="53">
        <v>30.295</v>
      </c>
      <c r="AC799" s="53"/>
      <c r="AD799" s="53"/>
      <c r="AE799" s="54"/>
      <c r="AF799" s="54"/>
      <c r="AG799" s="55"/>
      <c r="AH799" s="56">
        <v>43745.0</v>
      </c>
      <c r="AI799" s="55" t="s">
        <v>3254</v>
      </c>
      <c r="AJ799" s="55" t="s">
        <v>3255</v>
      </c>
      <c r="AK799" s="54" t="s">
        <v>50</v>
      </c>
      <c r="AL799" s="54" t="s">
        <v>285</v>
      </c>
      <c r="AM799" s="54" t="s">
        <v>51</v>
      </c>
      <c r="AN799" s="54" t="s">
        <v>52</v>
      </c>
      <c r="AO799" s="54"/>
    </row>
    <row r="800" ht="15.75" customHeight="1">
      <c r="A800" s="69">
        <v>43741.0</v>
      </c>
      <c r="B800" s="23" t="s">
        <v>406</v>
      </c>
      <c r="C800" s="21">
        <v>7.000150659E9</v>
      </c>
      <c r="D800" s="71" t="s">
        <v>1729</v>
      </c>
      <c r="E800" s="32" t="s">
        <v>481</v>
      </c>
      <c r="F800" s="24">
        <v>1.0</v>
      </c>
      <c r="G800" s="48">
        <v>137.0</v>
      </c>
      <c r="H800" s="60">
        <f t="shared" si="106"/>
        <v>137</v>
      </c>
      <c r="I800" s="61" t="s">
        <v>43</v>
      </c>
      <c r="J800" s="82" t="s">
        <v>520</v>
      </c>
      <c r="K800" s="145">
        <v>43756.0</v>
      </c>
      <c r="L800" s="30">
        <v>43753.0</v>
      </c>
      <c r="M800" s="58" t="s">
        <v>2078</v>
      </c>
      <c r="N800" s="93" t="s">
        <v>3256</v>
      </c>
      <c r="O800" s="408"/>
      <c r="P800" s="408"/>
      <c r="Q800" s="408">
        <f t="shared" si="111"/>
        <v>0</v>
      </c>
      <c r="R800" s="408">
        <v>3594.0</v>
      </c>
      <c r="S800" s="408">
        <v>3774.0</v>
      </c>
      <c r="T800" s="503" t="s">
        <v>2080</v>
      </c>
      <c r="U800" s="305">
        <v>43830.0</v>
      </c>
      <c r="V800" s="305">
        <v>43752.0</v>
      </c>
      <c r="W800" s="306" t="s">
        <v>1730</v>
      </c>
      <c r="X800" s="306">
        <v>3774.0</v>
      </c>
      <c r="Y800" s="306"/>
      <c r="Z800" s="306" t="s">
        <v>3224</v>
      </c>
      <c r="AA800" s="306" t="s">
        <v>3225</v>
      </c>
      <c r="AB800" s="306">
        <v>30.89</v>
      </c>
      <c r="AC800" s="306"/>
      <c r="AD800" s="306"/>
      <c r="AE800" s="298"/>
      <c r="AF800" s="298"/>
      <c r="AG800" s="299"/>
      <c r="AH800" s="29">
        <v>43789.0</v>
      </c>
      <c r="AI800" s="299" t="s">
        <v>3226</v>
      </c>
      <c r="AJ800" s="299" t="s">
        <v>3227</v>
      </c>
      <c r="AK800" s="298" t="s">
        <v>50</v>
      </c>
      <c r="AL800" s="298" t="s">
        <v>285</v>
      </c>
      <c r="AM800" s="298" t="s">
        <v>51</v>
      </c>
      <c r="AN800" s="298" t="s">
        <v>52</v>
      </c>
      <c r="AO800" s="82" t="s">
        <v>763</v>
      </c>
    </row>
    <row r="801" ht="15.75" customHeight="1">
      <c r="A801" s="69">
        <v>43743.0</v>
      </c>
      <c r="B801" s="23" t="s">
        <v>406</v>
      </c>
      <c r="C801" s="21">
        <v>7.000150764E9</v>
      </c>
      <c r="D801" s="71" t="s">
        <v>1731</v>
      </c>
      <c r="E801" s="23" t="s">
        <v>587</v>
      </c>
      <c r="F801" s="24">
        <v>1.0</v>
      </c>
      <c r="G801" s="48">
        <v>15.0</v>
      </c>
      <c r="H801" s="60">
        <f t="shared" si="106"/>
        <v>15</v>
      </c>
      <c r="I801" s="61" t="s">
        <v>43</v>
      </c>
      <c r="J801" s="82" t="s">
        <v>520</v>
      </c>
      <c r="K801" s="145">
        <v>43756.0</v>
      </c>
      <c r="L801" s="29">
        <v>43754.0</v>
      </c>
      <c r="M801" s="58" t="s">
        <v>2078</v>
      </c>
      <c r="N801" s="93" t="s">
        <v>3257</v>
      </c>
      <c r="O801" s="408"/>
      <c r="P801" s="408"/>
      <c r="Q801" s="408">
        <f t="shared" si="111"/>
        <v>0</v>
      </c>
      <c r="R801" s="408">
        <v>304.0</v>
      </c>
      <c r="S801" s="408">
        <v>319.0</v>
      </c>
      <c r="T801" s="408" t="s">
        <v>2080</v>
      </c>
      <c r="U801" s="305">
        <v>43830.0</v>
      </c>
      <c r="V801" s="305">
        <v>43754.0</v>
      </c>
      <c r="W801" s="306" t="s">
        <v>1732</v>
      </c>
      <c r="X801" s="306" t="s">
        <v>3258</v>
      </c>
      <c r="Y801" s="306"/>
      <c r="Z801" s="306" t="s">
        <v>3224</v>
      </c>
      <c r="AA801" s="306" t="s">
        <v>3225</v>
      </c>
      <c r="AB801" s="306">
        <v>30.89</v>
      </c>
      <c r="AC801" s="306"/>
      <c r="AD801" s="306"/>
      <c r="AE801" s="298"/>
      <c r="AF801" s="298"/>
      <c r="AG801" s="299"/>
      <c r="AH801" s="29">
        <v>43789.0</v>
      </c>
      <c r="AI801" s="299" t="s">
        <v>3226</v>
      </c>
      <c r="AJ801" s="299" t="s">
        <v>3227</v>
      </c>
      <c r="AK801" s="298" t="s">
        <v>50</v>
      </c>
      <c r="AL801" s="298" t="s">
        <v>285</v>
      </c>
      <c r="AM801" s="298" t="s">
        <v>51</v>
      </c>
      <c r="AN801" s="298" t="s">
        <v>52</v>
      </c>
      <c r="AO801" s="82" t="s">
        <v>763</v>
      </c>
    </row>
    <row r="802" ht="15.75" customHeight="1">
      <c r="A802" s="69">
        <v>43743.0</v>
      </c>
      <c r="B802" s="23" t="s">
        <v>406</v>
      </c>
      <c r="C802" s="21">
        <v>7.000150764E9</v>
      </c>
      <c r="D802" s="71" t="s">
        <v>1731</v>
      </c>
      <c r="E802" s="23" t="s">
        <v>1733</v>
      </c>
      <c r="F802" s="24">
        <v>1.0</v>
      </c>
      <c r="G802" s="48">
        <v>671.0</v>
      </c>
      <c r="H802" s="60">
        <f t="shared" si="106"/>
        <v>671</v>
      </c>
      <c r="I802" s="61" t="s">
        <v>43</v>
      </c>
      <c r="J802" s="82" t="s">
        <v>520</v>
      </c>
      <c r="K802" s="145">
        <v>43756.0</v>
      </c>
      <c r="L802" s="29">
        <v>43754.0</v>
      </c>
      <c r="M802" s="58" t="s">
        <v>2078</v>
      </c>
      <c r="N802" s="93" t="s">
        <v>3257</v>
      </c>
      <c r="O802" s="408"/>
      <c r="P802" s="408"/>
      <c r="Q802" s="408">
        <f t="shared" si="111"/>
        <v>0</v>
      </c>
      <c r="R802" s="408">
        <v>17777.0</v>
      </c>
      <c r="S802" s="408">
        <v>18666.0</v>
      </c>
      <c r="T802" s="503" t="s">
        <v>2080</v>
      </c>
      <c r="U802" s="305">
        <v>43830.0</v>
      </c>
      <c r="V802" s="305">
        <v>43754.0</v>
      </c>
      <c r="W802" s="306" t="s">
        <v>1732</v>
      </c>
      <c r="X802" s="306" t="s">
        <v>3258</v>
      </c>
      <c r="Y802" s="306"/>
      <c r="Z802" s="306" t="s">
        <v>3224</v>
      </c>
      <c r="AA802" s="306" t="s">
        <v>3225</v>
      </c>
      <c r="AB802" s="306">
        <v>30.89</v>
      </c>
      <c r="AC802" s="306"/>
      <c r="AD802" s="306"/>
      <c r="AE802" s="298"/>
      <c r="AF802" s="298"/>
      <c r="AG802" s="299"/>
      <c r="AH802" s="29">
        <v>43789.0</v>
      </c>
      <c r="AI802" s="299" t="s">
        <v>3226</v>
      </c>
      <c r="AJ802" s="299" t="s">
        <v>3227</v>
      </c>
      <c r="AK802" s="298" t="s">
        <v>50</v>
      </c>
      <c r="AL802" s="298" t="s">
        <v>285</v>
      </c>
      <c r="AM802" s="298" t="s">
        <v>51</v>
      </c>
      <c r="AN802" s="298" t="s">
        <v>52</v>
      </c>
      <c r="AO802" s="82" t="s">
        <v>763</v>
      </c>
    </row>
    <row r="803" ht="15.75" customHeight="1">
      <c r="A803" s="69">
        <v>43743.0</v>
      </c>
      <c r="B803" s="23" t="s">
        <v>406</v>
      </c>
      <c r="C803" s="21">
        <v>7.000150764E9</v>
      </c>
      <c r="D803" s="71" t="s">
        <v>1731</v>
      </c>
      <c r="E803" s="23" t="s">
        <v>585</v>
      </c>
      <c r="F803" s="24">
        <v>1.0</v>
      </c>
      <c r="G803" s="48">
        <v>1069.0</v>
      </c>
      <c r="H803" s="60">
        <f t="shared" si="106"/>
        <v>1069</v>
      </c>
      <c r="I803" s="61" t="s">
        <v>43</v>
      </c>
      <c r="J803" s="82" t="s">
        <v>520</v>
      </c>
      <c r="K803" s="145">
        <v>43756.0</v>
      </c>
      <c r="L803" s="29">
        <v>43754.0</v>
      </c>
      <c r="M803" s="58" t="s">
        <v>2078</v>
      </c>
      <c r="N803" s="93" t="s">
        <v>3257</v>
      </c>
      <c r="O803" s="408"/>
      <c r="P803" s="408"/>
      <c r="Q803" s="408">
        <f t="shared" si="111"/>
        <v>0</v>
      </c>
      <c r="R803" s="408">
        <v>28265.0</v>
      </c>
      <c r="S803" s="408">
        <v>29678.0</v>
      </c>
      <c r="T803" s="503" t="s">
        <v>2080</v>
      </c>
      <c r="U803" s="305">
        <v>43830.0</v>
      </c>
      <c r="V803" s="305">
        <v>43754.0</v>
      </c>
      <c r="W803" s="306" t="s">
        <v>1732</v>
      </c>
      <c r="X803" s="306">
        <v>48663.0</v>
      </c>
      <c r="Y803" s="306"/>
      <c r="Z803" s="306" t="s">
        <v>3224</v>
      </c>
      <c r="AA803" s="306" t="s">
        <v>3225</v>
      </c>
      <c r="AB803" s="306">
        <v>30.89</v>
      </c>
      <c r="AC803" s="306"/>
      <c r="AD803" s="306"/>
      <c r="AE803" s="298"/>
      <c r="AF803" s="298"/>
      <c r="AG803" s="299"/>
      <c r="AH803" s="29">
        <v>43789.0</v>
      </c>
      <c r="AI803" s="299" t="s">
        <v>3226</v>
      </c>
      <c r="AJ803" s="299" t="s">
        <v>3227</v>
      </c>
      <c r="AK803" s="298" t="s">
        <v>50</v>
      </c>
      <c r="AL803" s="298" t="s">
        <v>285</v>
      </c>
      <c r="AM803" s="298" t="s">
        <v>51</v>
      </c>
      <c r="AN803" s="298" t="s">
        <v>52</v>
      </c>
      <c r="AO803" s="82" t="s">
        <v>763</v>
      </c>
    </row>
    <row r="804" ht="15.75" customHeight="1">
      <c r="A804" s="69">
        <v>43746.0</v>
      </c>
      <c r="B804" s="144" t="s">
        <v>378</v>
      </c>
      <c r="C804" s="21">
        <v>8998.0</v>
      </c>
      <c r="D804" s="71" t="s">
        <v>1734</v>
      </c>
      <c r="E804" s="23" t="s">
        <v>1735</v>
      </c>
      <c r="F804" s="24">
        <v>1.0</v>
      </c>
      <c r="G804" s="48">
        <v>52.59</v>
      </c>
      <c r="H804" s="60">
        <f t="shared" si="106"/>
        <v>52.59</v>
      </c>
      <c r="I804" s="61" t="s">
        <v>144</v>
      </c>
      <c r="J804" s="58" t="s">
        <v>1122</v>
      </c>
      <c r="K804" s="30">
        <v>43781.0</v>
      </c>
      <c r="L804" s="30"/>
      <c r="M804" s="82" t="s">
        <v>3259</v>
      </c>
      <c r="N804" s="93"/>
      <c r="O804" s="408"/>
      <c r="P804" s="408"/>
      <c r="Q804" s="22"/>
      <c r="R804" s="22"/>
      <c r="S804" s="729">
        <v>1634.0</v>
      </c>
      <c r="T804" s="503"/>
      <c r="U804" s="306"/>
      <c r="V804" s="306"/>
      <c r="W804" s="306"/>
      <c r="X804" s="306"/>
      <c r="Y804" s="306"/>
      <c r="Z804" s="306"/>
      <c r="AA804" s="306"/>
      <c r="AB804" s="306"/>
      <c r="AC804" s="306"/>
      <c r="AD804" s="306"/>
      <c r="AE804" s="298"/>
      <c r="AF804" s="298"/>
      <c r="AG804" s="299"/>
      <c r="AH804" s="29">
        <v>43766.0</v>
      </c>
      <c r="AI804" s="299">
        <f>46.02*30.45</f>
        <v>1401.309</v>
      </c>
      <c r="AJ804" s="299">
        <f>(52.59-46.02)*30.45</f>
        <v>200.0565</v>
      </c>
      <c r="AK804" s="298" t="s">
        <v>50</v>
      </c>
      <c r="AL804" s="298" t="s">
        <v>285</v>
      </c>
      <c r="AM804" s="298" t="s">
        <v>51</v>
      </c>
      <c r="AN804" s="298" t="s">
        <v>52</v>
      </c>
      <c r="AO804" s="82" t="s">
        <v>763</v>
      </c>
    </row>
    <row r="805" ht="15.75" customHeight="1">
      <c r="A805" s="69">
        <v>43746.0</v>
      </c>
      <c r="B805" s="144" t="s">
        <v>167</v>
      </c>
      <c r="C805" s="504" t="s">
        <v>0</v>
      </c>
      <c r="D805" s="71" t="s">
        <v>1736</v>
      </c>
      <c r="E805" s="23" t="s">
        <v>177</v>
      </c>
      <c r="F805" s="58">
        <v>1.0</v>
      </c>
      <c r="G805" s="47">
        <v>105.0</v>
      </c>
      <c r="H805" s="60">
        <f t="shared" si="106"/>
        <v>105</v>
      </c>
      <c r="I805" s="27" t="s">
        <v>105</v>
      </c>
      <c r="J805" s="58" t="s">
        <v>172</v>
      </c>
      <c r="K805" s="29">
        <v>43769.0</v>
      </c>
      <c r="L805" s="445">
        <v>43768.0</v>
      </c>
      <c r="M805" s="50" t="s">
        <v>179</v>
      </c>
      <c r="N805" s="93"/>
      <c r="O805" s="408"/>
      <c r="P805" s="408"/>
      <c r="Q805" s="408">
        <f>(P805*F805)*1.05</f>
        <v>0</v>
      </c>
      <c r="R805" s="408"/>
      <c r="S805" s="725">
        <v>1484.0</v>
      </c>
      <c r="T805" s="51" t="s">
        <v>1983</v>
      </c>
      <c r="U805" s="306"/>
      <c r="V805" s="306"/>
      <c r="W805" s="306"/>
      <c r="X805" s="306"/>
      <c r="Y805" s="306"/>
      <c r="Z805" s="306" t="s">
        <v>3260</v>
      </c>
      <c r="AA805" s="306">
        <v>7.1228682E9</v>
      </c>
      <c r="AB805" s="537"/>
      <c r="AC805" s="306"/>
      <c r="AD805" s="306"/>
      <c r="AE805" s="298"/>
      <c r="AF805" s="306">
        <v>30.62</v>
      </c>
      <c r="AG805" s="299"/>
      <c r="AH805" s="29">
        <v>43762.0</v>
      </c>
      <c r="AI805" s="299" t="s">
        <v>3261</v>
      </c>
      <c r="AJ805" s="299" t="s">
        <v>3262</v>
      </c>
      <c r="AK805" s="298" t="s">
        <v>50</v>
      </c>
      <c r="AL805" s="298" t="s">
        <v>285</v>
      </c>
      <c r="AM805" s="298" t="s">
        <v>286</v>
      </c>
      <c r="AN805" s="298" t="s">
        <v>52</v>
      </c>
      <c r="AO805" s="82" t="s">
        <v>763</v>
      </c>
    </row>
    <row r="806" ht="15.75" customHeight="1">
      <c r="A806" s="69">
        <v>43746.0</v>
      </c>
      <c r="B806" s="144" t="s">
        <v>167</v>
      </c>
      <c r="C806" s="21"/>
      <c r="D806" s="71" t="s">
        <v>1736</v>
      </c>
      <c r="E806" s="32" t="s">
        <v>174</v>
      </c>
      <c r="F806" s="58">
        <v>1.0</v>
      </c>
      <c r="G806" s="47">
        <v>78.0</v>
      </c>
      <c r="H806" s="165">
        <f t="shared" si="106"/>
        <v>78</v>
      </c>
      <c r="I806" s="27" t="s">
        <v>171</v>
      </c>
      <c r="J806" s="58" t="s">
        <v>172</v>
      </c>
      <c r="K806" s="29">
        <v>43769.0</v>
      </c>
      <c r="L806" s="445"/>
      <c r="M806" s="50" t="s">
        <v>3116</v>
      </c>
      <c r="N806" s="93"/>
      <c r="O806" s="408"/>
      <c r="P806" s="408"/>
      <c r="Q806" s="408"/>
      <c r="R806" s="408"/>
      <c r="S806" s="717">
        <v>0.0</v>
      </c>
      <c r="T806" s="51"/>
      <c r="U806" s="306"/>
      <c r="V806" s="306"/>
      <c r="W806" s="306"/>
      <c r="X806" s="306"/>
      <c r="Y806" s="306"/>
      <c r="Z806" s="306"/>
      <c r="AA806" s="306"/>
      <c r="AB806" s="537"/>
      <c r="AC806" s="306"/>
      <c r="AD806" s="306"/>
      <c r="AE806" s="298"/>
      <c r="AF806" s="306"/>
      <c r="AG806" s="299"/>
      <c r="AH806" s="29">
        <v>43797.0</v>
      </c>
      <c r="AI806" s="299">
        <f>7801.93*30.443</f>
        <v>237514.155</v>
      </c>
      <c r="AJ806" s="299">
        <f>(7843-7801.93)*30.443</f>
        <v>1250.29401</v>
      </c>
      <c r="AK806" s="298" t="s">
        <v>50</v>
      </c>
      <c r="AL806" s="298" t="s">
        <v>285</v>
      </c>
      <c r="AM806" s="298" t="s">
        <v>286</v>
      </c>
      <c r="AN806" s="298" t="s">
        <v>52</v>
      </c>
      <c r="AO806" s="298" t="s">
        <v>1371</v>
      </c>
    </row>
    <row r="807" ht="15.75" customHeight="1">
      <c r="A807" s="69">
        <v>43746.0</v>
      </c>
      <c r="B807" s="144" t="s">
        <v>167</v>
      </c>
      <c r="C807" s="21"/>
      <c r="D807" s="21" t="s">
        <v>1736</v>
      </c>
      <c r="E807" s="23" t="s">
        <v>1737</v>
      </c>
      <c r="F807" s="24">
        <v>1.0</v>
      </c>
      <c r="G807" s="48">
        <v>1552.0</v>
      </c>
      <c r="H807" s="165">
        <f t="shared" si="106"/>
        <v>1552</v>
      </c>
      <c r="I807" s="27" t="s">
        <v>105</v>
      </c>
      <c r="J807" s="58" t="s">
        <v>172</v>
      </c>
      <c r="K807" s="29">
        <v>43769.0</v>
      </c>
      <c r="L807" s="445">
        <v>43768.0</v>
      </c>
      <c r="M807" s="50" t="s">
        <v>3116</v>
      </c>
      <c r="N807" s="21" t="s">
        <v>3263</v>
      </c>
      <c r="O807" s="408"/>
      <c r="P807" s="408"/>
      <c r="Q807" s="408" t="str">
        <f>(P807*#REF!)*1.05</f>
        <v>#REF!</v>
      </c>
      <c r="R807" s="408"/>
      <c r="S807" s="724">
        <v>34974.0</v>
      </c>
      <c r="T807" s="408"/>
      <c r="U807" s="306"/>
      <c r="V807" s="306"/>
      <c r="W807" s="306"/>
      <c r="X807" s="306"/>
      <c r="Y807" s="306"/>
      <c r="Z807" s="306" t="s">
        <v>3260</v>
      </c>
      <c r="AA807" s="306">
        <v>7.1228682E9</v>
      </c>
      <c r="AB807" s="537"/>
      <c r="AC807" s="306"/>
      <c r="AD807" s="306"/>
      <c r="AE807" s="298"/>
      <c r="AF807" s="306">
        <v>30.62</v>
      </c>
      <c r="AG807" s="299"/>
      <c r="AH807" s="29">
        <v>43762.0</v>
      </c>
      <c r="AI807" s="299">
        <f>13249.38*30.53</f>
        <v>404503.5714</v>
      </c>
      <c r="AJ807" s="299">
        <f>(13256-13249.38)*30.53</f>
        <v>202.1086</v>
      </c>
      <c r="AK807" s="298" t="s">
        <v>50</v>
      </c>
      <c r="AL807" s="298" t="s">
        <v>285</v>
      </c>
      <c r="AM807" s="298" t="s">
        <v>286</v>
      </c>
      <c r="AN807" s="298" t="s">
        <v>52</v>
      </c>
      <c r="AO807" s="82" t="s">
        <v>763</v>
      </c>
    </row>
    <row r="808" ht="15.75" customHeight="1">
      <c r="A808" s="69">
        <v>43746.0</v>
      </c>
      <c r="B808" s="144" t="s">
        <v>167</v>
      </c>
      <c r="C808" s="21"/>
      <c r="D808" s="21" t="s">
        <v>1738</v>
      </c>
      <c r="E808" s="547" t="s">
        <v>1739</v>
      </c>
      <c r="F808" s="24">
        <v>7.0</v>
      </c>
      <c r="G808" s="48">
        <v>1552.0</v>
      </c>
      <c r="H808" s="165">
        <f t="shared" si="106"/>
        <v>10864</v>
      </c>
      <c r="I808" s="27" t="s">
        <v>105</v>
      </c>
      <c r="J808" s="58" t="s">
        <v>172</v>
      </c>
      <c r="K808" s="29">
        <v>43804.0</v>
      </c>
      <c r="L808" s="29">
        <v>43801.0</v>
      </c>
      <c r="M808" s="50" t="s">
        <v>3116</v>
      </c>
      <c r="N808" s="21" t="s">
        <v>3264</v>
      </c>
      <c r="O808" s="408"/>
      <c r="P808" s="408"/>
      <c r="Q808" s="408">
        <f>(P808*F808)*1.05</f>
        <v>0</v>
      </c>
      <c r="R808" s="408"/>
      <c r="S808" s="730">
        <v>256845.75</v>
      </c>
      <c r="T808" s="408"/>
      <c r="U808" s="306"/>
      <c r="V808" s="306"/>
      <c r="W808" s="306"/>
      <c r="X808" s="306"/>
      <c r="Y808" s="306"/>
      <c r="Z808" s="306" t="s">
        <v>3265</v>
      </c>
      <c r="AA808" s="306">
        <v>7.368444893E9</v>
      </c>
      <c r="AB808" s="408">
        <v>30.45</v>
      </c>
      <c r="AC808" s="306"/>
      <c r="AD808" s="306"/>
      <c r="AE808" s="298"/>
      <c r="AF808" s="306"/>
      <c r="AG808" s="299"/>
      <c r="AH808" s="29">
        <v>43762.0</v>
      </c>
      <c r="AI808" s="299" t="s">
        <v>3261</v>
      </c>
      <c r="AJ808" s="299" t="s">
        <v>3262</v>
      </c>
      <c r="AK808" s="298" t="s">
        <v>50</v>
      </c>
      <c r="AL808" s="82" t="s">
        <v>285</v>
      </c>
      <c r="AM808" s="298" t="s">
        <v>286</v>
      </c>
      <c r="AN808" s="298" t="s">
        <v>52</v>
      </c>
      <c r="AO808" s="298" t="s">
        <v>1371</v>
      </c>
    </row>
    <row r="809" ht="15.75" customHeight="1">
      <c r="A809" s="69">
        <v>43746.0</v>
      </c>
      <c r="B809" s="144" t="s">
        <v>167</v>
      </c>
      <c r="C809" s="548"/>
      <c r="D809" s="71" t="s">
        <v>1738</v>
      </c>
      <c r="E809" s="32" t="s">
        <v>174</v>
      </c>
      <c r="F809" s="58">
        <v>7.0</v>
      </c>
      <c r="G809" s="47">
        <v>78.0</v>
      </c>
      <c r="H809" s="60">
        <f>F809*G809</f>
        <v>546</v>
      </c>
      <c r="I809" s="27" t="s">
        <v>171</v>
      </c>
      <c r="J809" s="58" t="s">
        <v>172</v>
      </c>
      <c r="K809" s="29">
        <v>43804.0</v>
      </c>
      <c r="L809" s="298"/>
      <c r="M809" s="50"/>
      <c r="N809" s="93"/>
      <c r="O809" s="408"/>
      <c r="P809" s="408"/>
      <c r="Q809" s="408"/>
      <c r="R809" s="408"/>
      <c r="S809" s="731">
        <v>0.0</v>
      </c>
      <c r="T809" s="51"/>
      <c r="U809" s="306"/>
      <c r="V809" s="306"/>
      <c r="W809" s="306"/>
      <c r="X809" s="306"/>
      <c r="Y809" s="306"/>
      <c r="Z809" s="306" t="s">
        <v>3265</v>
      </c>
      <c r="AA809" s="306">
        <v>7.368444893E9</v>
      </c>
      <c r="AB809" s="408">
        <v>30.45</v>
      </c>
      <c r="AC809" s="306"/>
      <c r="AD809" s="306"/>
      <c r="AE809" s="298"/>
      <c r="AF809" s="306"/>
      <c r="AG809" s="299"/>
      <c r="AH809" s="29">
        <v>43797.0</v>
      </c>
      <c r="AI809" s="299" t="s">
        <v>3266</v>
      </c>
      <c r="AJ809" s="299" t="s">
        <v>3267</v>
      </c>
      <c r="AK809" s="298" t="s">
        <v>50</v>
      </c>
      <c r="AL809" s="82" t="s">
        <v>285</v>
      </c>
      <c r="AM809" s="298" t="s">
        <v>286</v>
      </c>
      <c r="AN809" s="298" t="s">
        <v>52</v>
      </c>
      <c r="AO809" s="298" t="s">
        <v>1371</v>
      </c>
    </row>
    <row r="810" ht="15.75" customHeight="1">
      <c r="A810" s="69">
        <v>43746.0</v>
      </c>
      <c r="B810" s="144" t="s">
        <v>167</v>
      </c>
      <c r="C810" s="548" t="s">
        <v>0</v>
      </c>
      <c r="D810" s="71" t="s">
        <v>1738</v>
      </c>
      <c r="E810" s="32" t="s">
        <v>177</v>
      </c>
      <c r="F810" s="58">
        <v>7.0</v>
      </c>
      <c r="G810" s="47">
        <v>61.0</v>
      </c>
      <c r="H810" s="60">
        <f t="shared" ref="H810:H816" si="113">G810*F810</f>
        <v>427</v>
      </c>
      <c r="I810" s="27" t="s">
        <v>105</v>
      </c>
      <c r="J810" s="58" t="s">
        <v>172</v>
      </c>
      <c r="K810" s="29">
        <v>43804.0</v>
      </c>
      <c r="L810" s="298" t="s">
        <v>71</v>
      </c>
      <c r="M810" s="50" t="s">
        <v>179</v>
      </c>
      <c r="N810" s="93"/>
      <c r="O810" s="408"/>
      <c r="P810" s="408"/>
      <c r="Q810" s="408">
        <f t="shared" ref="Q810:Q814" si="114">(P810*F810)*1.05</f>
        <v>0</v>
      </c>
      <c r="R810" s="408"/>
      <c r="S810" s="730">
        <v>1483.65</v>
      </c>
      <c r="T810" s="51" t="s">
        <v>1983</v>
      </c>
      <c r="U810" s="306"/>
      <c r="V810" s="306"/>
      <c r="W810" s="306"/>
      <c r="X810" s="306"/>
      <c r="Y810" s="306"/>
      <c r="Z810" s="306" t="s">
        <v>3265</v>
      </c>
      <c r="AA810" s="306">
        <v>7.368444893E9</v>
      </c>
      <c r="AB810" s="408">
        <v>30.45</v>
      </c>
      <c r="AC810" s="306"/>
      <c r="AD810" s="306"/>
      <c r="AE810" s="298"/>
      <c r="AF810" s="306"/>
      <c r="AG810" s="299"/>
      <c r="AH810" s="29">
        <v>43762.0</v>
      </c>
      <c r="AI810" s="299" t="s">
        <v>3261</v>
      </c>
      <c r="AJ810" s="299" t="s">
        <v>3262</v>
      </c>
      <c r="AK810" s="298" t="s">
        <v>50</v>
      </c>
      <c r="AL810" s="82" t="s">
        <v>285</v>
      </c>
      <c r="AM810" s="298" t="s">
        <v>286</v>
      </c>
      <c r="AN810" s="298" t="s">
        <v>52</v>
      </c>
      <c r="AO810" s="298" t="s">
        <v>1371</v>
      </c>
    </row>
    <row r="811" ht="15.75" customHeight="1">
      <c r="A811" s="69">
        <v>43746.0</v>
      </c>
      <c r="B811" s="70" t="s">
        <v>1112</v>
      </c>
      <c r="C811" s="70" t="s">
        <v>0</v>
      </c>
      <c r="D811" s="71" t="s">
        <v>1740</v>
      </c>
      <c r="E811" s="32" t="s">
        <v>1741</v>
      </c>
      <c r="F811" s="24">
        <v>3.0</v>
      </c>
      <c r="G811" s="48">
        <v>157.0</v>
      </c>
      <c r="H811" s="60">
        <f t="shared" si="113"/>
        <v>471</v>
      </c>
      <c r="I811" s="61" t="s">
        <v>144</v>
      </c>
      <c r="J811" s="50" t="s">
        <v>263</v>
      </c>
      <c r="K811" s="29">
        <v>43760.0</v>
      </c>
      <c r="L811" s="30">
        <v>43756.0</v>
      </c>
      <c r="M811" s="82" t="s">
        <v>2034</v>
      </c>
      <c r="N811" s="93" t="s">
        <v>3268</v>
      </c>
      <c r="O811" s="408">
        <v>2.019102100002E12</v>
      </c>
      <c r="P811" s="408">
        <v>138.0</v>
      </c>
      <c r="Q811" s="408">
        <f t="shared" si="114"/>
        <v>434.7</v>
      </c>
      <c r="R811" s="408"/>
      <c r="S811" s="408">
        <v>13427.0</v>
      </c>
      <c r="T811" s="20" t="s">
        <v>2036</v>
      </c>
      <c r="U811" s="305">
        <v>43799.0</v>
      </c>
      <c r="V811" s="305">
        <v>43755.0</v>
      </c>
      <c r="W811" s="306" t="s">
        <v>1742</v>
      </c>
      <c r="X811" s="306">
        <v>13427.0</v>
      </c>
      <c r="Y811" s="306"/>
      <c r="Z811" s="306" t="s">
        <v>3269</v>
      </c>
      <c r="AA811" s="306">
        <v>6.387150626E9</v>
      </c>
      <c r="AB811" s="537"/>
      <c r="AC811" s="306"/>
      <c r="AD811" s="306"/>
      <c r="AE811" s="298"/>
      <c r="AF811" s="306">
        <v>30.62</v>
      </c>
      <c r="AG811" s="299"/>
      <c r="AH811" s="29">
        <v>43752.0</v>
      </c>
      <c r="AI811" s="299">
        <f>539.47*30.645</f>
        <v>16532.05815</v>
      </c>
      <c r="AJ811" s="299">
        <f>(557-539.47)*30.645</f>
        <v>537.20685</v>
      </c>
      <c r="AK811" s="298" t="s">
        <v>50</v>
      </c>
      <c r="AL811" s="298" t="s">
        <v>285</v>
      </c>
      <c r="AM811" s="298" t="s">
        <v>51</v>
      </c>
      <c r="AN811" s="298" t="s">
        <v>52</v>
      </c>
      <c r="AO811" s="82" t="s">
        <v>763</v>
      </c>
    </row>
    <row r="812" ht="15.75" customHeight="1">
      <c r="A812" s="69">
        <v>43746.0</v>
      </c>
      <c r="B812" s="70" t="s">
        <v>1112</v>
      </c>
      <c r="C812" s="21"/>
      <c r="D812" s="71" t="s">
        <v>1740</v>
      </c>
      <c r="E812" s="32" t="s">
        <v>1743</v>
      </c>
      <c r="F812" s="24">
        <v>1.0</v>
      </c>
      <c r="G812" s="48">
        <v>46.0</v>
      </c>
      <c r="H812" s="60">
        <f t="shared" si="113"/>
        <v>46</v>
      </c>
      <c r="I812" s="61" t="s">
        <v>144</v>
      </c>
      <c r="J812" s="50" t="s">
        <v>263</v>
      </c>
      <c r="K812" s="29">
        <v>43760.0</v>
      </c>
      <c r="L812" s="29">
        <v>43756.0</v>
      </c>
      <c r="M812" s="50" t="s">
        <v>2125</v>
      </c>
      <c r="N812" s="93" t="s">
        <v>3270</v>
      </c>
      <c r="O812" s="408">
        <v>2.019102100001E12</v>
      </c>
      <c r="P812" s="408">
        <v>40.3</v>
      </c>
      <c r="Q812" s="408">
        <f t="shared" si="114"/>
        <v>42.315</v>
      </c>
      <c r="R812" s="408"/>
      <c r="S812" s="408">
        <v>1298.0</v>
      </c>
      <c r="T812" s="20" t="s">
        <v>2127</v>
      </c>
      <c r="U812" s="305">
        <v>43755.0</v>
      </c>
      <c r="V812" s="305">
        <v>43755.0</v>
      </c>
      <c r="W812" s="306" t="s">
        <v>1744</v>
      </c>
      <c r="X812" s="306">
        <v>1298.0</v>
      </c>
      <c r="Y812" s="306"/>
      <c r="Z812" s="306" t="s">
        <v>3269</v>
      </c>
      <c r="AA812" s="306">
        <v>6.387150626E9</v>
      </c>
      <c r="AB812" s="537"/>
      <c r="AC812" s="306"/>
      <c r="AD812" s="306"/>
      <c r="AE812" s="298"/>
      <c r="AF812" s="306">
        <v>30.62</v>
      </c>
      <c r="AG812" s="299"/>
      <c r="AH812" s="29">
        <v>43752.0</v>
      </c>
      <c r="AI812" s="299" t="s">
        <v>3271</v>
      </c>
      <c r="AJ812" s="299" t="s">
        <v>3272</v>
      </c>
      <c r="AK812" s="298" t="s">
        <v>50</v>
      </c>
      <c r="AL812" s="298" t="s">
        <v>285</v>
      </c>
      <c r="AM812" s="298" t="s">
        <v>51</v>
      </c>
      <c r="AN812" s="298" t="s">
        <v>52</v>
      </c>
      <c r="AO812" s="82" t="s">
        <v>763</v>
      </c>
    </row>
    <row r="813" ht="15.75" customHeight="1">
      <c r="A813" s="69">
        <v>43746.0</v>
      </c>
      <c r="B813" s="70" t="s">
        <v>1112</v>
      </c>
      <c r="C813" s="21"/>
      <c r="D813" s="71" t="s">
        <v>1740</v>
      </c>
      <c r="E813" s="32" t="s">
        <v>700</v>
      </c>
      <c r="F813" s="24">
        <v>1.0</v>
      </c>
      <c r="G813" s="48">
        <v>40.0</v>
      </c>
      <c r="H813" s="60">
        <f t="shared" si="113"/>
        <v>40</v>
      </c>
      <c r="I813" s="61" t="s">
        <v>144</v>
      </c>
      <c r="J813" s="63" t="s">
        <v>263</v>
      </c>
      <c r="K813" s="29">
        <v>43760.0</v>
      </c>
      <c r="L813" s="673"/>
      <c r="M813" s="63" t="s">
        <v>220</v>
      </c>
      <c r="N813" s="64"/>
      <c r="O813" s="34"/>
      <c r="P813" s="34"/>
      <c r="Q813" s="34">
        <f t="shared" si="114"/>
        <v>0</v>
      </c>
      <c r="R813" s="34"/>
      <c r="S813" s="34">
        <v>0.0</v>
      </c>
      <c r="T813" s="66"/>
      <c r="U813" s="52"/>
      <c r="V813" s="53"/>
      <c r="W813" s="53"/>
      <c r="X813" s="53"/>
      <c r="Y813" s="53"/>
      <c r="Z813" s="53" t="s">
        <v>3269</v>
      </c>
      <c r="AA813" s="53">
        <v>6.387150626E9</v>
      </c>
      <c r="AB813" s="67"/>
      <c r="AC813" s="53"/>
      <c r="AD813" s="53"/>
      <c r="AE813" s="54"/>
      <c r="AF813" s="53">
        <v>30.62</v>
      </c>
      <c r="AG813" s="55"/>
      <c r="AH813" s="146">
        <v>43752.0</v>
      </c>
      <c r="AI813" s="55" t="s">
        <v>3271</v>
      </c>
      <c r="AJ813" s="55" t="s">
        <v>3272</v>
      </c>
      <c r="AK813" s="54" t="s">
        <v>50</v>
      </c>
      <c r="AL813" s="54" t="s">
        <v>285</v>
      </c>
      <c r="AM813" s="54"/>
      <c r="AN813" s="54"/>
      <c r="AO813" s="54"/>
    </row>
    <row r="814" ht="15.75" customHeight="1">
      <c r="A814" s="465">
        <v>43747.0</v>
      </c>
      <c r="B814" s="144" t="s">
        <v>1745</v>
      </c>
      <c r="C814" s="21" t="s">
        <v>1746</v>
      </c>
      <c r="D814" s="71" t="s">
        <v>1747</v>
      </c>
      <c r="E814" s="32" t="s">
        <v>1748</v>
      </c>
      <c r="F814" s="24">
        <v>20.0</v>
      </c>
      <c r="G814" s="48">
        <f>75+29+5</f>
        <v>109</v>
      </c>
      <c r="H814" s="60">
        <f t="shared" si="113"/>
        <v>2180</v>
      </c>
      <c r="I814" s="27" t="s">
        <v>105</v>
      </c>
      <c r="J814" s="58" t="s">
        <v>1749</v>
      </c>
      <c r="K814" s="29">
        <v>43774.0</v>
      </c>
      <c r="L814" s="30">
        <v>43773.0</v>
      </c>
      <c r="M814" s="333" t="s">
        <v>3273</v>
      </c>
      <c r="N814" s="93"/>
      <c r="O814" s="408"/>
      <c r="P814" s="408">
        <v>72.0</v>
      </c>
      <c r="Q814" s="408">
        <f t="shared" si="114"/>
        <v>1512</v>
      </c>
      <c r="R814" s="408"/>
      <c r="S814" s="723">
        <v>46146.0</v>
      </c>
      <c r="T814" s="503"/>
      <c r="U814" s="462"/>
      <c r="V814" s="462"/>
      <c r="W814" s="306"/>
      <c r="X814" s="306"/>
      <c r="Y814" s="306"/>
      <c r="Z814" s="306" t="s">
        <v>3274</v>
      </c>
      <c r="AA814" s="306">
        <v>1.63521045E8</v>
      </c>
      <c r="AB814" s="537"/>
      <c r="AC814" s="306"/>
      <c r="AD814" s="306"/>
      <c r="AE814" s="298"/>
      <c r="AF814" s="306">
        <v>30.52</v>
      </c>
      <c r="AG814" s="299"/>
      <c r="AH814" s="29"/>
      <c r="AI814" s="299"/>
      <c r="AJ814" s="299"/>
      <c r="AK814" s="298" t="s">
        <v>50</v>
      </c>
      <c r="AL814" s="298" t="s">
        <v>285</v>
      </c>
      <c r="AM814" s="298" t="s">
        <v>286</v>
      </c>
      <c r="AN814" s="298" t="s">
        <v>52</v>
      </c>
      <c r="AO814" s="82" t="s">
        <v>763</v>
      </c>
    </row>
    <row r="815" ht="15.75" customHeight="1">
      <c r="A815" s="465">
        <v>43747.0</v>
      </c>
      <c r="B815" s="144" t="s">
        <v>1745</v>
      </c>
      <c r="C815" s="21" t="s">
        <v>1746</v>
      </c>
      <c r="D815" s="71" t="s">
        <v>1747</v>
      </c>
      <c r="E815" s="35" t="s">
        <v>1750</v>
      </c>
      <c r="F815" s="24">
        <v>20.0</v>
      </c>
      <c r="G815" s="48">
        <v>0.0</v>
      </c>
      <c r="H815" s="60">
        <f t="shared" si="113"/>
        <v>0</v>
      </c>
      <c r="I815" s="61"/>
      <c r="J815" s="58"/>
      <c r="K815" s="29"/>
      <c r="L815" s="30"/>
      <c r="M815" s="333" t="s">
        <v>2218</v>
      </c>
      <c r="N815" s="93">
        <v>2.019102100003E12</v>
      </c>
      <c r="O815" s="408"/>
      <c r="P815" s="408"/>
      <c r="Q815" s="408"/>
      <c r="R815" s="408">
        <v>1030.0</v>
      </c>
      <c r="S815" s="408">
        <f>(R815*F815)*1.05</f>
        <v>21630</v>
      </c>
      <c r="T815" s="503"/>
      <c r="U815" s="306"/>
      <c r="V815" s="306"/>
      <c r="W815" s="306"/>
      <c r="X815" s="306"/>
      <c r="Y815" s="306"/>
      <c r="Z815" s="306"/>
      <c r="AA815" s="306"/>
      <c r="AB815" s="537"/>
      <c r="AC815" s="306"/>
      <c r="AD815" s="306"/>
      <c r="AE815" s="298"/>
      <c r="AF815" s="306"/>
      <c r="AG815" s="299"/>
      <c r="AH815" s="539"/>
      <c r="AI815" s="299"/>
      <c r="AJ815" s="299"/>
      <c r="AK815" s="298" t="s">
        <v>50</v>
      </c>
      <c r="AL815" s="298" t="s">
        <v>285</v>
      </c>
      <c r="AM815" s="298" t="s">
        <v>286</v>
      </c>
      <c r="AN815" s="298" t="s">
        <v>52</v>
      </c>
      <c r="AO815" s="298" t="s">
        <v>1371</v>
      </c>
    </row>
    <row r="816" ht="15.75" customHeight="1">
      <c r="A816" s="465">
        <v>43747.0</v>
      </c>
      <c r="B816" s="144" t="s">
        <v>1745</v>
      </c>
      <c r="C816" s="21" t="s">
        <v>1746</v>
      </c>
      <c r="D816" s="71" t="s">
        <v>1747</v>
      </c>
      <c r="E816" s="549" t="s">
        <v>1751</v>
      </c>
      <c r="F816" s="24">
        <v>20.0</v>
      </c>
      <c r="G816" s="48">
        <v>0.0</v>
      </c>
      <c r="H816" s="60">
        <f t="shared" si="113"/>
        <v>0</v>
      </c>
      <c r="I816" s="61"/>
      <c r="J816" s="58"/>
      <c r="K816" s="29"/>
      <c r="L816" s="30"/>
      <c r="M816" s="333" t="s">
        <v>1537</v>
      </c>
      <c r="N816" s="93">
        <v>2.019102100004E12</v>
      </c>
      <c r="O816" s="408"/>
      <c r="P816" s="408"/>
      <c r="Q816" s="408">
        <f>(P816*F816)*1.05</f>
        <v>0</v>
      </c>
      <c r="R816" s="408"/>
      <c r="S816" s="723">
        <v>2556.0</v>
      </c>
      <c r="T816" s="503"/>
      <c r="U816" s="462">
        <v>43804.0</v>
      </c>
      <c r="V816" s="462">
        <v>43773.0</v>
      </c>
      <c r="W816" s="306" t="s">
        <v>1752</v>
      </c>
      <c r="X816" s="306">
        <v>2556.0</v>
      </c>
      <c r="Y816" s="306"/>
      <c r="Z816" s="306" t="s">
        <v>3274</v>
      </c>
      <c r="AA816" s="306">
        <v>1.63521045E8</v>
      </c>
      <c r="AB816" s="537"/>
      <c r="AC816" s="306"/>
      <c r="AD816" s="306"/>
      <c r="AE816" s="298"/>
      <c r="AF816" s="306">
        <v>30.52</v>
      </c>
      <c r="AG816" s="299"/>
      <c r="AH816" s="29">
        <v>43753.0</v>
      </c>
      <c r="AI816" s="299">
        <f>2413.47*30.62</f>
        <v>73900.4514</v>
      </c>
      <c r="AJ816" s="299">
        <f>(2440-2413.47)*30.62</f>
        <v>812.3486</v>
      </c>
      <c r="AK816" s="298" t="s">
        <v>50</v>
      </c>
      <c r="AL816" s="298" t="s">
        <v>285</v>
      </c>
      <c r="AM816" s="298" t="s">
        <v>286</v>
      </c>
      <c r="AN816" s="298" t="s">
        <v>52</v>
      </c>
      <c r="AO816" s="82" t="s">
        <v>763</v>
      </c>
    </row>
    <row r="817" ht="15.75" customHeight="1">
      <c r="A817" s="465">
        <v>43747.0</v>
      </c>
      <c r="B817" s="144" t="s">
        <v>1745</v>
      </c>
      <c r="C817" s="21" t="s">
        <v>1746</v>
      </c>
      <c r="D817" s="71" t="s">
        <v>1747</v>
      </c>
      <c r="E817" s="22" t="s">
        <v>1753</v>
      </c>
      <c r="F817" s="24">
        <v>20.0</v>
      </c>
      <c r="G817" s="48">
        <v>13.0</v>
      </c>
      <c r="H817" s="60">
        <f>F817*G817</f>
        <v>260</v>
      </c>
      <c r="I817" s="61" t="s">
        <v>144</v>
      </c>
      <c r="J817" s="58" t="s">
        <v>1749</v>
      </c>
      <c r="K817" s="29">
        <v>43774.0</v>
      </c>
      <c r="L817" s="30">
        <v>43773.0</v>
      </c>
      <c r="M817" s="333" t="s">
        <v>2218</v>
      </c>
      <c r="N817" s="93">
        <v>2.019102100003E12</v>
      </c>
      <c r="O817" s="408"/>
      <c r="P817" s="408"/>
      <c r="Q817" s="408"/>
      <c r="R817" s="306" t="s">
        <v>3275</v>
      </c>
      <c r="S817" s="723">
        <v>21630.0</v>
      </c>
      <c r="T817" s="503"/>
      <c r="U817" s="306"/>
      <c r="V817" s="306"/>
      <c r="W817" s="306"/>
      <c r="X817" s="306"/>
      <c r="Y817" s="306"/>
      <c r="Z817" s="306"/>
      <c r="AA817" s="306"/>
      <c r="AB817" s="537"/>
      <c r="AC817" s="306"/>
      <c r="AD817" s="306"/>
      <c r="AE817" s="298"/>
      <c r="AF817" s="306"/>
      <c r="AG817" s="299"/>
      <c r="AH817" s="539"/>
      <c r="AI817" s="299"/>
      <c r="AJ817" s="299"/>
      <c r="AK817" s="298" t="s">
        <v>50</v>
      </c>
      <c r="AL817" s="298" t="s">
        <v>285</v>
      </c>
      <c r="AM817" s="298" t="s">
        <v>286</v>
      </c>
      <c r="AN817" s="298" t="s">
        <v>52</v>
      </c>
      <c r="AO817" s="82" t="s">
        <v>763</v>
      </c>
    </row>
    <row r="818" ht="15.75" customHeight="1">
      <c r="A818" s="69">
        <v>43752.0</v>
      </c>
      <c r="B818" s="23" t="s">
        <v>213</v>
      </c>
      <c r="C818" s="21" t="s">
        <v>1754</v>
      </c>
      <c r="D818" s="71" t="s">
        <v>1755</v>
      </c>
      <c r="E818" s="32" t="s">
        <v>137</v>
      </c>
      <c r="F818" s="24">
        <v>9.0</v>
      </c>
      <c r="G818" s="48">
        <v>31.0</v>
      </c>
      <c r="H818" s="60">
        <f t="shared" ref="H818:H826" si="115">G818*F818</f>
        <v>279</v>
      </c>
      <c r="I818" s="61" t="s">
        <v>144</v>
      </c>
      <c r="J818" s="58" t="s">
        <v>217</v>
      </c>
      <c r="K818" s="30">
        <v>43782.0</v>
      </c>
      <c r="L818" s="30">
        <v>43782.0</v>
      </c>
      <c r="M818" s="50" t="s">
        <v>90</v>
      </c>
      <c r="N818" s="93" t="s">
        <v>3276</v>
      </c>
      <c r="O818" s="408"/>
      <c r="P818" s="408">
        <v>27.0</v>
      </c>
      <c r="Q818" s="408">
        <f t="shared" ref="Q818:Q822" si="116">(P818*F818)*1.05</f>
        <v>255.15</v>
      </c>
      <c r="R818" s="408"/>
      <c r="S818" s="408">
        <v>7730.0</v>
      </c>
      <c r="T818" s="51" t="s">
        <v>94</v>
      </c>
      <c r="U818" s="305">
        <v>43830.0</v>
      </c>
      <c r="V818" s="305">
        <v>43781.0</v>
      </c>
      <c r="W818" s="306" t="s">
        <v>1756</v>
      </c>
      <c r="X818" s="306">
        <v>35213.0</v>
      </c>
      <c r="Y818" s="306"/>
      <c r="Z818" s="306"/>
      <c r="AA818" s="306" t="s">
        <v>3277</v>
      </c>
      <c r="AB818" s="537"/>
      <c r="AC818" s="306"/>
      <c r="AD818" s="306"/>
      <c r="AE818" s="298"/>
      <c r="AF818" s="306"/>
      <c r="AG818" s="299"/>
      <c r="AH818" s="29">
        <v>43754.0</v>
      </c>
      <c r="AI818" s="299">
        <f>1278.47*30.64</f>
        <v>39172.3208</v>
      </c>
      <c r="AJ818" s="299">
        <f>(1285-1278.47)*30.64</f>
        <v>200.0792</v>
      </c>
      <c r="AK818" s="298" t="s">
        <v>50</v>
      </c>
      <c r="AL818" s="298" t="s">
        <v>285</v>
      </c>
      <c r="AM818" s="298" t="s">
        <v>51</v>
      </c>
      <c r="AN818" s="298" t="s">
        <v>52</v>
      </c>
      <c r="AO818" s="82" t="s">
        <v>763</v>
      </c>
    </row>
    <row r="819" ht="15.75" customHeight="1">
      <c r="A819" s="69">
        <v>43752.0</v>
      </c>
      <c r="B819" s="23" t="s">
        <v>213</v>
      </c>
      <c r="C819" s="21" t="s">
        <v>1754</v>
      </c>
      <c r="D819" s="71" t="s">
        <v>1755</v>
      </c>
      <c r="E819" s="32" t="s">
        <v>133</v>
      </c>
      <c r="F819" s="24">
        <v>9.0</v>
      </c>
      <c r="G819" s="48">
        <v>109.0</v>
      </c>
      <c r="H819" s="60">
        <f t="shared" si="115"/>
        <v>981</v>
      </c>
      <c r="I819" s="61" t="s">
        <v>144</v>
      </c>
      <c r="J819" s="58" t="s">
        <v>217</v>
      </c>
      <c r="K819" s="30">
        <v>43782.0</v>
      </c>
      <c r="L819" s="30">
        <v>43782.0</v>
      </c>
      <c r="M819" s="50" t="s">
        <v>90</v>
      </c>
      <c r="N819" s="93" t="s">
        <v>3276</v>
      </c>
      <c r="O819" s="408"/>
      <c r="P819" s="408">
        <v>96.0</v>
      </c>
      <c r="Q819" s="408">
        <f t="shared" si="116"/>
        <v>907.2</v>
      </c>
      <c r="R819" s="408"/>
      <c r="S819" s="408">
        <v>27483.0</v>
      </c>
      <c r="T819" s="51" t="s">
        <v>94</v>
      </c>
      <c r="U819" s="305">
        <v>43830.0</v>
      </c>
      <c r="V819" s="305">
        <v>43781.0</v>
      </c>
      <c r="W819" s="306" t="s">
        <v>1756</v>
      </c>
      <c r="X819" s="306" t="s">
        <v>3278</v>
      </c>
      <c r="Y819" s="306"/>
      <c r="Z819" s="306"/>
      <c r="AA819" s="306" t="s">
        <v>3277</v>
      </c>
      <c r="AB819" s="537"/>
      <c r="AC819" s="306"/>
      <c r="AD819" s="306"/>
      <c r="AE819" s="298"/>
      <c r="AF819" s="306"/>
      <c r="AG819" s="299"/>
      <c r="AH819" s="29">
        <v>43754.0</v>
      </c>
      <c r="AI819" s="299" t="s">
        <v>3279</v>
      </c>
      <c r="AJ819" s="299" t="s">
        <v>3280</v>
      </c>
      <c r="AK819" s="298" t="s">
        <v>50</v>
      </c>
      <c r="AL819" s="298" t="s">
        <v>285</v>
      </c>
      <c r="AM819" s="298" t="s">
        <v>51</v>
      </c>
      <c r="AN819" s="298" t="s">
        <v>52</v>
      </c>
      <c r="AO819" s="82" t="s">
        <v>763</v>
      </c>
    </row>
    <row r="820" ht="15.75" customHeight="1">
      <c r="A820" s="69">
        <v>43752.0</v>
      </c>
      <c r="B820" s="23" t="s">
        <v>213</v>
      </c>
      <c r="C820" s="21" t="s">
        <v>1754</v>
      </c>
      <c r="D820" s="71" t="s">
        <v>1755</v>
      </c>
      <c r="E820" s="32" t="s">
        <v>700</v>
      </c>
      <c r="F820" s="24">
        <v>1.0</v>
      </c>
      <c r="G820" s="48">
        <v>25.0</v>
      </c>
      <c r="H820" s="60">
        <f t="shared" si="115"/>
        <v>25</v>
      </c>
      <c r="I820" s="61" t="s">
        <v>144</v>
      </c>
      <c r="J820" s="161" t="s">
        <v>217</v>
      </c>
      <c r="K820" s="30">
        <v>43782.0</v>
      </c>
      <c r="L820" s="673"/>
      <c r="M820" s="63" t="s">
        <v>220</v>
      </c>
      <c r="N820" s="64"/>
      <c r="O820" s="34"/>
      <c r="P820" s="34"/>
      <c r="Q820" s="34">
        <f t="shared" si="116"/>
        <v>0</v>
      </c>
      <c r="R820" s="34"/>
      <c r="S820" s="34" t="str">
        <f>(R820*#REF!)*1.05</f>
        <v>#REF!</v>
      </c>
      <c r="T820" s="66"/>
      <c r="U820" s="52"/>
      <c r="V820" s="53"/>
      <c r="W820" s="53"/>
      <c r="X820" s="53"/>
      <c r="Y820" s="53"/>
      <c r="Z820" s="53"/>
      <c r="AA820" s="53"/>
      <c r="AB820" s="67"/>
      <c r="AC820" s="53"/>
      <c r="AD820" s="53"/>
      <c r="AE820" s="54"/>
      <c r="AF820" s="53"/>
      <c r="AG820" s="55"/>
      <c r="AH820" s="146">
        <v>43754.0</v>
      </c>
      <c r="AI820" s="55" t="s">
        <v>3279</v>
      </c>
      <c r="AJ820" s="55" t="s">
        <v>3280</v>
      </c>
      <c r="AK820" s="54" t="s">
        <v>50</v>
      </c>
      <c r="AL820" s="54" t="s">
        <v>285</v>
      </c>
      <c r="AM820" s="54"/>
      <c r="AN820" s="54"/>
      <c r="AO820" s="54"/>
    </row>
    <row r="821" ht="15.75" customHeight="1">
      <c r="A821" s="69">
        <v>43752.0</v>
      </c>
      <c r="B821" s="70" t="s">
        <v>77</v>
      </c>
      <c r="C821" s="21">
        <v>760.0</v>
      </c>
      <c r="D821" s="71" t="s">
        <v>1757</v>
      </c>
      <c r="E821" s="22" t="s">
        <v>1758</v>
      </c>
      <c r="F821" s="435">
        <v>50.0</v>
      </c>
      <c r="G821" s="48">
        <v>3.0</v>
      </c>
      <c r="H821" s="26">
        <f t="shared" si="115"/>
        <v>150</v>
      </c>
      <c r="I821" s="61" t="s">
        <v>43</v>
      </c>
      <c r="J821" s="82" t="s">
        <v>936</v>
      </c>
      <c r="K821" s="30">
        <v>43769.0</v>
      </c>
      <c r="L821" s="82" t="s">
        <v>179</v>
      </c>
      <c r="M821" s="82" t="s">
        <v>179</v>
      </c>
      <c r="N821" s="93"/>
      <c r="O821" s="408"/>
      <c r="P821" s="408"/>
      <c r="Q821" s="408">
        <f t="shared" si="116"/>
        <v>0</v>
      </c>
      <c r="R821" s="408"/>
      <c r="S821" s="408">
        <v>3413.0</v>
      </c>
      <c r="T821" s="503"/>
      <c r="U821" s="306"/>
      <c r="V821" s="306"/>
      <c r="W821" s="306"/>
      <c r="X821" s="306"/>
      <c r="Y821" s="306"/>
      <c r="Z821" s="306"/>
      <c r="AA821" s="306"/>
      <c r="AB821" s="537"/>
      <c r="AC821" s="306"/>
      <c r="AD821" s="306"/>
      <c r="AE821" s="298"/>
      <c r="AF821" s="306"/>
      <c r="AG821" s="299"/>
      <c r="AH821" s="539"/>
      <c r="AI821" s="300">
        <v>43803.0</v>
      </c>
      <c r="AJ821" s="299"/>
      <c r="AK821" s="298" t="s">
        <v>50</v>
      </c>
      <c r="AL821" s="298" t="s">
        <v>285</v>
      </c>
      <c r="AM821" s="298" t="s">
        <v>51</v>
      </c>
      <c r="AN821" s="298" t="s">
        <v>52</v>
      </c>
      <c r="AO821" s="82" t="s">
        <v>763</v>
      </c>
    </row>
    <row r="822" ht="15.75" customHeight="1">
      <c r="A822" s="69">
        <v>43753.0</v>
      </c>
      <c r="B822" s="70" t="s">
        <v>631</v>
      </c>
      <c r="C822" s="550" t="s">
        <v>1759</v>
      </c>
      <c r="D822" s="112" t="s">
        <v>3281</v>
      </c>
      <c r="E822" s="32" t="s">
        <v>634</v>
      </c>
      <c r="F822" s="24">
        <v>14.0</v>
      </c>
      <c r="G822" s="48">
        <v>173.25</v>
      </c>
      <c r="H822" s="60">
        <f t="shared" si="115"/>
        <v>2425.5</v>
      </c>
      <c r="I822" s="61" t="s">
        <v>144</v>
      </c>
      <c r="J822" s="50" t="s">
        <v>1089</v>
      </c>
      <c r="K822" s="30">
        <v>43784.0</v>
      </c>
      <c r="L822" s="30">
        <v>43783.0</v>
      </c>
      <c r="M822" s="50" t="s">
        <v>2263</v>
      </c>
      <c r="N822" s="93" t="s">
        <v>3282</v>
      </c>
      <c r="O822" s="408"/>
      <c r="P822" s="408"/>
      <c r="Q822" s="408">
        <f t="shared" si="116"/>
        <v>0</v>
      </c>
      <c r="R822" s="408">
        <v>4850.0</v>
      </c>
      <c r="S822" s="627">
        <f t="shared" ref="S822:S823" si="117">(R822*F822)*1.05</f>
        <v>71295</v>
      </c>
      <c r="T822" s="503"/>
      <c r="U822" s="462">
        <v>43804.0</v>
      </c>
      <c r="V822" s="305">
        <v>43783.0</v>
      </c>
      <c r="W822" s="306" t="s">
        <v>1761</v>
      </c>
      <c r="X822" s="306">
        <v>127313.0</v>
      </c>
      <c r="Y822" s="306"/>
      <c r="Z822" s="306" t="s">
        <v>3283</v>
      </c>
      <c r="AA822" s="306"/>
      <c r="AB822" s="537">
        <v>30.5</v>
      </c>
      <c r="AC822" s="306">
        <v>132103.0</v>
      </c>
      <c r="AD822" s="306" t="s">
        <v>1762</v>
      </c>
      <c r="AE822" s="298"/>
      <c r="AF822" s="306" t="s">
        <v>1762</v>
      </c>
      <c r="AG822" s="299"/>
      <c r="AH822" s="29">
        <v>43811.0</v>
      </c>
      <c r="AI822" s="299">
        <v>132075.0</v>
      </c>
      <c r="AJ822" s="299">
        <v>28.0</v>
      </c>
      <c r="AK822" s="298" t="s">
        <v>50</v>
      </c>
      <c r="AL822" s="298" t="s">
        <v>285</v>
      </c>
      <c r="AM822" s="298" t="s">
        <v>51</v>
      </c>
      <c r="AN822" s="298" t="s">
        <v>377</v>
      </c>
      <c r="AO822" s="82" t="s">
        <v>763</v>
      </c>
    </row>
    <row r="823" ht="15.75" customHeight="1">
      <c r="A823" s="69">
        <v>43753.0</v>
      </c>
      <c r="B823" s="70" t="s">
        <v>631</v>
      </c>
      <c r="C823" s="550" t="s">
        <v>1759</v>
      </c>
      <c r="D823" s="112" t="s">
        <v>3284</v>
      </c>
      <c r="E823" s="32" t="s">
        <v>634</v>
      </c>
      <c r="F823" s="24">
        <v>11.0</v>
      </c>
      <c r="G823" s="48">
        <v>173.25</v>
      </c>
      <c r="H823" s="60">
        <f t="shared" si="115"/>
        <v>1905.75</v>
      </c>
      <c r="I823" s="61" t="s">
        <v>144</v>
      </c>
      <c r="J823" s="50" t="s">
        <v>1089</v>
      </c>
      <c r="K823" s="30">
        <v>43784.0</v>
      </c>
      <c r="L823" s="30">
        <v>43783.0</v>
      </c>
      <c r="M823" s="50" t="s">
        <v>2263</v>
      </c>
      <c r="N823" s="93" t="s">
        <v>3282</v>
      </c>
      <c r="O823" s="408"/>
      <c r="P823" s="408"/>
      <c r="Q823" s="408"/>
      <c r="R823" s="408">
        <v>4850.0</v>
      </c>
      <c r="S823" s="627">
        <f t="shared" si="117"/>
        <v>56017.5</v>
      </c>
      <c r="T823" s="503"/>
      <c r="U823" s="462">
        <v>43804.0</v>
      </c>
      <c r="V823" s="305">
        <v>43783.0</v>
      </c>
      <c r="W823" s="306" t="s">
        <v>1761</v>
      </c>
      <c r="X823" s="306" t="s">
        <v>3285</v>
      </c>
      <c r="Y823" s="306"/>
      <c r="Z823" s="306" t="s">
        <v>3283</v>
      </c>
      <c r="AA823" s="306"/>
      <c r="AB823" s="537">
        <v>30.5</v>
      </c>
      <c r="AC823" s="306" t="s">
        <v>3286</v>
      </c>
      <c r="AD823" s="306" t="s">
        <v>1762</v>
      </c>
      <c r="AE823" s="298"/>
      <c r="AF823" s="306" t="s">
        <v>1762</v>
      </c>
      <c r="AG823" s="299"/>
      <c r="AH823" s="29">
        <v>43811.0</v>
      </c>
      <c r="AI823" s="299" t="s">
        <v>3287</v>
      </c>
      <c r="AJ823" s="299" t="s">
        <v>3288</v>
      </c>
      <c r="AK823" s="298" t="s">
        <v>50</v>
      </c>
      <c r="AL823" s="298" t="s">
        <v>285</v>
      </c>
      <c r="AM823" s="298" t="s">
        <v>51</v>
      </c>
      <c r="AN823" s="298" t="s">
        <v>377</v>
      </c>
      <c r="AO823" s="82" t="s">
        <v>763</v>
      </c>
    </row>
    <row r="824" ht="15.75" customHeight="1">
      <c r="A824" s="69">
        <v>43753.0</v>
      </c>
      <c r="B824" s="70" t="s">
        <v>130</v>
      </c>
      <c r="C824" s="21" t="s">
        <v>1764</v>
      </c>
      <c r="D824" s="71" t="s">
        <v>1765</v>
      </c>
      <c r="E824" s="21" t="s">
        <v>133</v>
      </c>
      <c r="F824" s="24">
        <v>5.0</v>
      </c>
      <c r="G824" s="48">
        <v>103.0</v>
      </c>
      <c r="H824" s="60">
        <f t="shared" si="115"/>
        <v>515</v>
      </c>
      <c r="I824" s="61" t="s">
        <v>144</v>
      </c>
      <c r="J824" s="50" t="s">
        <v>134</v>
      </c>
      <c r="K824" s="30">
        <v>43782.0</v>
      </c>
      <c r="L824" s="30">
        <v>43782.0</v>
      </c>
      <c r="M824" s="50" t="s">
        <v>90</v>
      </c>
      <c r="N824" s="93" t="s">
        <v>3289</v>
      </c>
      <c r="O824" s="408"/>
      <c r="P824" s="408">
        <v>96.0</v>
      </c>
      <c r="Q824" s="408">
        <f t="shared" ref="Q824:Q834" si="118">(P824*F824)*1.05</f>
        <v>504</v>
      </c>
      <c r="R824" s="408"/>
      <c r="S824" s="408">
        <v>15269.0</v>
      </c>
      <c r="T824" s="51" t="s">
        <v>94</v>
      </c>
      <c r="U824" s="305">
        <v>43830.0</v>
      </c>
      <c r="V824" s="305">
        <v>43781.0</v>
      </c>
      <c r="W824" s="306" t="s">
        <v>1766</v>
      </c>
      <c r="X824" s="306">
        <v>19563.0</v>
      </c>
      <c r="Y824" s="306"/>
      <c r="Z824" s="306"/>
      <c r="AA824" s="306">
        <v>5.017292066E9</v>
      </c>
      <c r="AB824" s="537"/>
      <c r="AC824" s="306"/>
      <c r="AD824" s="306"/>
      <c r="AE824" s="298"/>
      <c r="AF824" s="306"/>
      <c r="AG824" s="299"/>
      <c r="AH824" s="29">
        <v>43797.0</v>
      </c>
      <c r="AI824" s="299" t="s">
        <v>3290</v>
      </c>
      <c r="AJ824" s="299" t="s">
        <v>3290</v>
      </c>
      <c r="AK824" s="298" t="s">
        <v>50</v>
      </c>
      <c r="AL824" s="298" t="s">
        <v>285</v>
      </c>
      <c r="AM824" s="298" t="s">
        <v>51</v>
      </c>
      <c r="AN824" s="298" t="s">
        <v>52</v>
      </c>
      <c r="AO824" s="82" t="s">
        <v>763</v>
      </c>
    </row>
    <row r="825" ht="15.75" customHeight="1">
      <c r="A825" s="69">
        <v>43753.0</v>
      </c>
      <c r="B825" s="70" t="s">
        <v>130</v>
      </c>
      <c r="C825" s="21" t="s">
        <v>1764</v>
      </c>
      <c r="D825" s="21" t="s">
        <v>1765</v>
      </c>
      <c r="E825" s="32" t="s">
        <v>137</v>
      </c>
      <c r="F825" s="24">
        <v>5.0</v>
      </c>
      <c r="G825" s="48">
        <v>29.0</v>
      </c>
      <c r="H825" s="60">
        <f t="shared" si="115"/>
        <v>145</v>
      </c>
      <c r="I825" s="61" t="s">
        <v>144</v>
      </c>
      <c r="J825" s="50" t="s">
        <v>134</v>
      </c>
      <c r="K825" s="30">
        <v>43782.0</v>
      </c>
      <c r="L825" s="30">
        <v>43782.0</v>
      </c>
      <c r="M825" s="50" t="s">
        <v>90</v>
      </c>
      <c r="N825" s="93" t="s">
        <v>3289</v>
      </c>
      <c r="O825" s="408"/>
      <c r="P825" s="408">
        <v>27.0</v>
      </c>
      <c r="Q825" s="408">
        <f t="shared" si="118"/>
        <v>141.75</v>
      </c>
      <c r="R825" s="408"/>
      <c r="S825" s="408">
        <v>4294.0</v>
      </c>
      <c r="T825" s="35" t="s">
        <v>94</v>
      </c>
      <c r="U825" s="305">
        <v>43830.0</v>
      </c>
      <c r="V825" s="305">
        <v>43781.0</v>
      </c>
      <c r="W825" s="306" t="s">
        <v>1766</v>
      </c>
      <c r="X825" s="306" t="s">
        <v>3291</v>
      </c>
      <c r="Y825" s="306"/>
      <c r="Z825" s="306"/>
      <c r="AA825" s="306">
        <v>5.017292066E9</v>
      </c>
      <c r="AB825" s="537"/>
      <c r="AC825" s="306"/>
      <c r="AD825" s="306"/>
      <c r="AE825" s="298"/>
      <c r="AF825" s="306"/>
      <c r="AG825" s="299"/>
      <c r="AH825" s="29">
        <v>43797.0</v>
      </c>
      <c r="AI825" s="299" t="s">
        <v>3290</v>
      </c>
      <c r="AJ825" s="299" t="s">
        <v>3290</v>
      </c>
      <c r="AK825" s="298" t="s">
        <v>50</v>
      </c>
      <c r="AL825" s="298" t="s">
        <v>285</v>
      </c>
      <c r="AM825" s="298" t="s">
        <v>51</v>
      </c>
      <c r="AN825" s="298" t="s">
        <v>52</v>
      </c>
      <c r="AO825" s="82" t="s">
        <v>763</v>
      </c>
    </row>
    <row r="826" ht="15.75" customHeight="1">
      <c r="A826" s="69">
        <v>43754.0</v>
      </c>
      <c r="B826" s="70" t="s">
        <v>223</v>
      </c>
      <c r="C826" s="21" t="s">
        <v>1767</v>
      </c>
      <c r="D826" s="71" t="s">
        <v>1768</v>
      </c>
      <c r="E826" s="32" t="s">
        <v>1769</v>
      </c>
      <c r="F826" s="24">
        <v>5.0</v>
      </c>
      <c r="G826" s="48">
        <v>10.5</v>
      </c>
      <c r="H826" s="60">
        <f t="shared" si="115"/>
        <v>52.5</v>
      </c>
      <c r="I826" s="61" t="s">
        <v>248</v>
      </c>
      <c r="J826" s="50" t="s">
        <v>90</v>
      </c>
      <c r="K826" s="30">
        <v>43768.0</v>
      </c>
      <c r="L826" s="30">
        <v>43768.0</v>
      </c>
      <c r="M826" s="50" t="s">
        <v>90</v>
      </c>
      <c r="N826" s="93" t="s">
        <v>3292</v>
      </c>
      <c r="O826" s="408"/>
      <c r="P826" s="408">
        <v>8.0</v>
      </c>
      <c r="Q826" s="408">
        <f t="shared" si="118"/>
        <v>42</v>
      </c>
      <c r="R826" s="408"/>
      <c r="S826" s="408">
        <v>1286.0</v>
      </c>
      <c r="T826" s="51" t="s">
        <v>94</v>
      </c>
      <c r="U826" s="305">
        <v>43830.0</v>
      </c>
      <c r="V826" s="305">
        <v>43768.0</v>
      </c>
      <c r="W826" s="306" t="s">
        <v>1770</v>
      </c>
      <c r="X826" s="306">
        <v>1286.0</v>
      </c>
      <c r="Y826" s="306"/>
      <c r="Z826" s="306" t="s">
        <v>3293</v>
      </c>
      <c r="AA826" s="306"/>
      <c r="AB826" s="537">
        <v>30.5</v>
      </c>
      <c r="AC826" s="306">
        <v>1601.0</v>
      </c>
      <c r="AD826" s="305">
        <v>43774.0</v>
      </c>
      <c r="AE826" s="298"/>
      <c r="AF826" s="306">
        <v>30.5</v>
      </c>
      <c r="AG826" s="299"/>
      <c r="AH826" s="29">
        <v>43809.0</v>
      </c>
      <c r="AI826" s="299">
        <v>86152.0</v>
      </c>
      <c r="AJ826" s="299">
        <v>15.0</v>
      </c>
      <c r="AK826" s="298" t="s">
        <v>50</v>
      </c>
      <c r="AL826" s="298" t="s">
        <v>285</v>
      </c>
      <c r="AM826" s="298" t="s">
        <v>51</v>
      </c>
      <c r="AN826" s="298" t="s">
        <v>377</v>
      </c>
      <c r="AO826" s="82" t="s">
        <v>763</v>
      </c>
    </row>
    <row r="827" ht="15.75" customHeight="1">
      <c r="A827" s="469">
        <v>43755.0</v>
      </c>
      <c r="B827" s="144" t="s">
        <v>378</v>
      </c>
      <c r="C827" s="21">
        <v>9109.0</v>
      </c>
      <c r="D827" s="551" t="s">
        <v>3294</v>
      </c>
      <c r="E827" s="246" t="s">
        <v>1772</v>
      </c>
      <c r="F827" s="24">
        <v>10.0</v>
      </c>
      <c r="G827" s="48">
        <v>0.0</v>
      </c>
      <c r="H827" s="60">
        <v>0.0</v>
      </c>
      <c r="I827" s="61" t="s">
        <v>248</v>
      </c>
      <c r="J827" s="58" t="s">
        <v>1122</v>
      </c>
      <c r="K827" s="58" t="s">
        <v>3295</v>
      </c>
      <c r="L827" s="30">
        <v>43756.0</v>
      </c>
      <c r="M827" s="82" t="s">
        <v>1970</v>
      </c>
      <c r="N827" s="93"/>
      <c r="O827" s="408"/>
      <c r="P827" s="408"/>
      <c r="Q827" s="408">
        <f t="shared" si="118"/>
        <v>0</v>
      </c>
      <c r="R827" s="408"/>
      <c r="S827" s="408">
        <f>(R827*F827)*1.05</f>
        <v>0</v>
      </c>
      <c r="T827" s="503"/>
      <c r="U827" s="306"/>
      <c r="V827" s="306"/>
      <c r="W827" s="306"/>
      <c r="X827" s="306"/>
      <c r="Y827" s="306"/>
      <c r="Z827" s="306" t="s">
        <v>3216</v>
      </c>
      <c r="AA827" s="306" t="s">
        <v>3296</v>
      </c>
      <c r="AB827" s="537"/>
      <c r="AC827" s="306"/>
      <c r="AD827" s="462"/>
      <c r="AE827" s="298"/>
      <c r="AF827" s="306"/>
      <c r="AG827" s="299"/>
      <c r="AH827" s="298" t="s">
        <v>1227</v>
      </c>
      <c r="AI827" s="299"/>
      <c r="AJ827" s="299"/>
      <c r="AK827" s="298" t="s">
        <v>1227</v>
      </c>
      <c r="AL827" s="82" t="s">
        <v>285</v>
      </c>
      <c r="AM827" s="298" t="s">
        <v>286</v>
      </c>
      <c r="AN827" s="298" t="s">
        <v>52</v>
      </c>
      <c r="AO827" s="298" t="s">
        <v>1371</v>
      </c>
    </row>
    <row r="828" ht="15.75" customHeight="1">
      <c r="A828" s="69">
        <v>43755.0</v>
      </c>
      <c r="B828" s="70" t="s">
        <v>223</v>
      </c>
      <c r="C828" s="21" t="s">
        <v>1774</v>
      </c>
      <c r="D828" s="71" t="s">
        <v>1775</v>
      </c>
      <c r="E828" s="32" t="s">
        <v>1776</v>
      </c>
      <c r="F828" s="24">
        <v>4.0</v>
      </c>
      <c r="G828" s="48">
        <v>131.25</v>
      </c>
      <c r="H828" s="60">
        <f t="shared" ref="H828:H844" si="119">G828*F828</f>
        <v>525</v>
      </c>
      <c r="I828" s="61" t="s">
        <v>248</v>
      </c>
      <c r="J828" s="50" t="s">
        <v>90</v>
      </c>
      <c r="K828" s="30">
        <v>43781.0</v>
      </c>
      <c r="L828" s="30">
        <v>43781.0</v>
      </c>
      <c r="M828" s="50" t="s">
        <v>90</v>
      </c>
      <c r="N828" s="93" t="s">
        <v>3297</v>
      </c>
      <c r="O828" s="408"/>
      <c r="P828" s="408">
        <v>114.0</v>
      </c>
      <c r="Q828" s="408">
        <f t="shared" si="118"/>
        <v>478.8</v>
      </c>
      <c r="R828" s="408"/>
      <c r="S828" s="408">
        <v>14505.0</v>
      </c>
      <c r="T828" s="51" t="s">
        <v>94</v>
      </c>
      <c r="U828" s="305">
        <v>43830.0</v>
      </c>
      <c r="V828" s="305">
        <v>43781.0</v>
      </c>
      <c r="W828" s="306" t="s">
        <v>1777</v>
      </c>
      <c r="X828" s="306">
        <v>30665.0</v>
      </c>
      <c r="Y828" s="306"/>
      <c r="Z828" s="306" t="s">
        <v>3298</v>
      </c>
      <c r="AA828" s="306">
        <v>7.60113686911E11</v>
      </c>
      <c r="AB828" s="537">
        <v>30.42</v>
      </c>
      <c r="AC828" s="306">
        <v>33857.0</v>
      </c>
      <c r="AD828" s="305">
        <v>43782.0</v>
      </c>
      <c r="AE828" s="298"/>
      <c r="AF828" s="306">
        <v>30.42</v>
      </c>
      <c r="AG828" s="299"/>
      <c r="AH828" s="29">
        <v>43809.0</v>
      </c>
      <c r="AI828" s="299" t="s">
        <v>3299</v>
      </c>
      <c r="AJ828" s="299" t="s">
        <v>3300</v>
      </c>
      <c r="AK828" s="298" t="s">
        <v>50</v>
      </c>
      <c r="AL828" s="298" t="s">
        <v>285</v>
      </c>
      <c r="AM828" s="298" t="s">
        <v>51</v>
      </c>
      <c r="AN828" s="298" t="s">
        <v>377</v>
      </c>
      <c r="AO828" s="82" t="s">
        <v>763</v>
      </c>
    </row>
    <row r="829" ht="15.75" customHeight="1">
      <c r="A829" s="69">
        <v>43755.0</v>
      </c>
      <c r="B829" s="70" t="s">
        <v>223</v>
      </c>
      <c r="C829" s="21" t="s">
        <v>1774</v>
      </c>
      <c r="D829" s="71" t="s">
        <v>1775</v>
      </c>
      <c r="E829" s="32" t="s">
        <v>1778</v>
      </c>
      <c r="F829" s="24">
        <v>4.0</v>
      </c>
      <c r="G829" s="48">
        <v>147.0</v>
      </c>
      <c r="H829" s="60">
        <f t="shared" si="119"/>
        <v>588</v>
      </c>
      <c r="I829" s="61" t="s">
        <v>248</v>
      </c>
      <c r="J829" s="50" t="s">
        <v>90</v>
      </c>
      <c r="K829" s="30">
        <v>43781.0</v>
      </c>
      <c r="L829" s="30">
        <v>43781.0</v>
      </c>
      <c r="M829" s="50" t="s">
        <v>90</v>
      </c>
      <c r="N829" s="93" t="s">
        <v>3297</v>
      </c>
      <c r="O829" s="408"/>
      <c r="P829" s="408">
        <v>127.0</v>
      </c>
      <c r="Q829" s="408">
        <f t="shared" si="118"/>
        <v>533.4</v>
      </c>
      <c r="R829" s="408"/>
      <c r="S829" s="408">
        <v>16160.0</v>
      </c>
      <c r="T829" s="51" t="s">
        <v>94</v>
      </c>
      <c r="U829" s="305">
        <v>43830.0</v>
      </c>
      <c r="V829" s="305">
        <v>43781.0</v>
      </c>
      <c r="W829" s="306" t="s">
        <v>1777</v>
      </c>
      <c r="X829" s="306" t="s">
        <v>3301</v>
      </c>
      <c r="Y829" s="306"/>
      <c r="Z829" s="306" t="s">
        <v>3298</v>
      </c>
      <c r="AA829" s="306">
        <v>7.60113686911E11</v>
      </c>
      <c r="AB829" s="537">
        <v>30.42</v>
      </c>
      <c r="AC829" s="306" t="s">
        <v>3302</v>
      </c>
      <c r="AD829" s="305">
        <v>43782.0</v>
      </c>
      <c r="AE829" s="298"/>
      <c r="AF829" s="306">
        <v>30.42</v>
      </c>
      <c r="AG829" s="299"/>
      <c r="AH829" s="29">
        <v>43809.0</v>
      </c>
      <c r="AI829" s="299" t="s">
        <v>3299</v>
      </c>
      <c r="AJ829" s="299" t="s">
        <v>3300</v>
      </c>
      <c r="AK829" s="298" t="s">
        <v>50</v>
      </c>
      <c r="AL829" s="298" t="s">
        <v>285</v>
      </c>
      <c r="AM829" s="298" t="s">
        <v>51</v>
      </c>
      <c r="AN829" s="298" t="s">
        <v>377</v>
      </c>
      <c r="AO829" s="82" t="s">
        <v>763</v>
      </c>
    </row>
    <row r="830" ht="15.75" customHeight="1">
      <c r="A830" s="69">
        <v>43755.0</v>
      </c>
      <c r="B830" s="23" t="s">
        <v>406</v>
      </c>
      <c r="C830" s="21">
        <v>7.000151038E9</v>
      </c>
      <c r="D830" s="71" t="s">
        <v>1779</v>
      </c>
      <c r="E830" s="32" t="s">
        <v>1780</v>
      </c>
      <c r="F830" s="24">
        <v>2.0</v>
      </c>
      <c r="G830" s="48">
        <v>160.0</v>
      </c>
      <c r="H830" s="60">
        <f t="shared" si="119"/>
        <v>320</v>
      </c>
      <c r="I830" s="61" t="s">
        <v>43</v>
      </c>
      <c r="J830" s="50" t="s">
        <v>513</v>
      </c>
      <c r="K830" s="30">
        <v>43774.0</v>
      </c>
      <c r="L830" s="29">
        <v>43773.0</v>
      </c>
      <c r="M830" s="58" t="s">
        <v>2078</v>
      </c>
      <c r="N830" s="93" t="s">
        <v>3303</v>
      </c>
      <c r="O830" s="408">
        <v>2.019110600006E12</v>
      </c>
      <c r="P830" s="408"/>
      <c r="Q830" s="408">
        <f t="shared" si="118"/>
        <v>0</v>
      </c>
      <c r="R830" s="408">
        <v>4154.0</v>
      </c>
      <c r="S830" s="408">
        <v>8723.0</v>
      </c>
      <c r="T830" s="503" t="s">
        <v>2080</v>
      </c>
      <c r="U830" s="462">
        <v>43861.0</v>
      </c>
      <c r="V830" s="462">
        <v>43770.0</v>
      </c>
      <c r="W830" s="306" t="s">
        <v>1781</v>
      </c>
      <c r="X830" s="306">
        <v>36910.0</v>
      </c>
      <c r="Y830" s="306"/>
      <c r="Z830" s="306" t="s">
        <v>3304</v>
      </c>
      <c r="AA830" s="306">
        <v>1.921859726E9</v>
      </c>
      <c r="AB830" s="537">
        <v>30.52</v>
      </c>
      <c r="AC830" s="306"/>
      <c r="AD830" s="306"/>
      <c r="AE830" s="298"/>
      <c r="AF830" s="306">
        <v>30.52</v>
      </c>
      <c r="AG830" s="299"/>
      <c r="AH830" s="29">
        <v>43812.0</v>
      </c>
      <c r="AI830" s="299">
        <f>1534.19*30.245</f>
        <v>46401.57655</v>
      </c>
      <c r="AJ830" s="299">
        <f>(1562.8-1534.19)*30.245</f>
        <v>865.30945</v>
      </c>
      <c r="AK830" s="298" t="s">
        <v>50</v>
      </c>
      <c r="AL830" s="298" t="s">
        <v>285</v>
      </c>
      <c r="AM830" s="298" t="s">
        <v>51</v>
      </c>
      <c r="AN830" s="298" t="s">
        <v>52</v>
      </c>
      <c r="AO830" s="82" t="s">
        <v>763</v>
      </c>
    </row>
    <row r="831" ht="15.75" customHeight="1">
      <c r="A831" s="69">
        <v>43755.0</v>
      </c>
      <c r="B831" s="23" t="s">
        <v>406</v>
      </c>
      <c r="C831" s="21">
        <v>7.000151038E9</v>
      </c>
      <c r="D831" s="71" t="s">
        <v>1779</v>
      </c>
      <c r="E831" s="32" t="s">
        <v>1706</v>
      </c>
      <c r="F831" s="24">
        <v>3.0</v>
      </c>
      <c r="G831" s="48">
        <v>300.0</v>
      </c>
      <c r="H831" s="60">
        <f t="shared" si="119"/>
        <v>900</v>
      </c>
      <c r="I831" s="61" t="s">
        <v>43</v>
      </c>
      <c r="J831" s="50" t="s">
        <v>513</v>
      </c>
      <c r="K831" s="30">
        <v>43774.0</v>
      </c>
      <c r="L831" s="29">
        <v>43773.0</v>
      </c>
      <c r="M831" s="58" t="s">
        <v>2078</v>
      </c>
      <c r="N831" s="93" t="s">
        <v>3303</v>
      </c>
      <c r="O831" s="408">
        <v>2.019110600006E12</v>
      </c>
      <c r="P831" s="408"/>
      <c r="Q831" s="408">
        <f t="shared" si="118"/>
        <v>0</v>
      </c>
      <c r="R831" s="408">
        <v>7914.0</v>
      </c>
      <c r="S831" s="408">
        <v>24930.0</v>
      </c>
      <c r="T831" s="503" t="s">
        <v>2080</v>
      </c>
      <c r="U831" s="462">
        <v>43861.0</v>
      </c>
      <c r="V831" s="462">
        <v>43770.0</v>
      </c>
      <c r="W831" s="306" t="s">
        <v>1781</v>
      </c>
      <c r="X831" s="306" t="s">
        <v>2962</v>
      </c>
      <c r="Y831" s="306"/>
      <c r="Z831" s="306" t="s">
        <v>3304</v>
      </c>
      <c r="AA831" s="306">
        <v>1.921859726E9</v>
      </c>
      <c r="AB831" s="537">
        <v>30.52</v>
      </c>
      <c r="AC831" s="306"/>
      <c r="AD831" s="306"/>
      <c r="AE831" s="298"/>
      <c r="AF831" s="306">
        <v>30.52</v>
      </c>
      <c r="AG831" s="299"/>
      <c r="AH831" s="29">
        <v>43812.0</v>
      </c>
      <c r="AI831" s="299" t="s">
        <v>3305</v>
      </c>
      <c r="AJ831" s="299" t="s">
        <v>3306</v>
      </c>
      <c r="AK831" s="298" t="s">
        <v>50</v>
      </c>
      <c r="AL831" s="298" t="s">
        <v>285</v>
      </c>
      <c r="AM831" s="298" t="s">
        <v>51</v>
      </c>
      <c r="AN831" s="298" t="s">
        <v>52</v>
      </c>
      <c r="AO831" s="82" t="s">
        <v>763</v>
      </c>
    </row>
    <row r="832" ht="15.75" customHeight="1">
      <c r="A832" s="69">
        <v>43755.0</v>
      </c>
      <c r="B832" s="32" t="s">
        <v>406</v>
      </c>
      <c r="C832" s="21">
        <v>7.000151038E9</v>
      </c>
      <c r="D832" s="21" t="s">
        <v>1779</v>
      </c>
      <c r="E832" s="23" t="s">
        <v>616</v>
      </c>
      <c r="F832" s="24">
        <v>2.0</v>
      </c>
      <c r="G832" s="48">
        <v>24.0</v>
      </c>
      <c r="H832" s="60">
        <f t="shared" si="119"/>
        <v>48</v>
      </c>
      <c r="I832" s="87" t="s">
        <v>43</v>
      </c>
      <c r="J832" s="439" t="s">
        <v>513</v>
      </c>
      <c r="K832" s="30">
        <v>43774.0</v>
      </c>
      <c r="L832" s="29">
        <v>43773.0</v>
      </c>
      <c r="M832" s="58" t="s">
        <v>2078</v>
      </c>
      <c r="N832" s="93" t="s">
        <v>3303</v>
      </c>
      <c r="O832" s="408">
        <v>2.019110600006E12</v>
      </c>
      <c r="P832" s="408"/>
      <c r="Q832" s="408">
        <f t="shared" si="118"/>
        <v>0</v>
      </c>
      <c r="R832" s="408">
        <v>598.0</v>
      </c>
      <c r="S832" s="408">
        <v>1256.0</v>
      </c>
      <c r="T832" s="503" t="s">
        <v>2080</v>
      </c>
      <c r="U832" s="462">
        <v>43861.0</v>
      </c>
      <c r="V832" s="462">
        <v>43770.0</v>
      </c>
      <c r="W832" s="306" t="s">
        <v>1781</v>
      </c>
      <c r="X832" s="306" t="s">
        <v>2962</v>
      </c>
      <c r="Y832" s="306"/>
      <c r="Z832" s="732" t="s">
        <v>3304</v>
      </c>
      <c r="AA832" s="306">
        <v>1.921859726E9</v>
      </c>
      <c r="AB832" s="537">
        <v>30.52</v>
      </c>
      <c r="AC832" s="306"/>
      <c r="AD832" s="306"/>
      <c r="AE832" s="298"/>
      <c r="AF832" s="306">
        <v>30.52</v>
      </c>
      <c r="AG832" s="299"/>
      <c r="AH832" s="29">
        <v>43812.0</v>
      </c>
      <c r="AI832" s="299" t="s">
        <v>3305</v>
      </c>
      <c r="AJ832" s="299" t="s">
        <v>3306</v>
      </c>
      <c r="AK832" s="298" t="s">
        <v>50</v>
      </c>
      <c r="AL832" s="298" t="s">
        <v>285</v>
      </c>
      <c r="AM832" s="298" t="s">
        <v>51</v>
      </c>
      <c r="AN832" s="298" t="s">
        <v>52</v>
      </c>
      <c r="AO832" s="82" t="s">
        <v>763</v>
      </c>
    </row>
    <row r="833" ht="15.75" customHeight="1">
      <c r="A833" s="69">
        <v>43755.0</v>
      </c>
      <c r="B833" s="23" t="s">
        <v>406</v>
      </c>
      <c r="C833" s="21">
        <v>7.000151038E9</v>
      </c>
      <c r="D833" s="21" t="s">
        <v>1779</v>
      </c>
      <c r="E833" s="23" t="s">
        <v>1782</v>
      </c>
      <c r="F833" s="24">
        <v>4.0</v>
      </c>
      <c r="G833" s="48">
        <v>5.0</v>
      </c>
      <c r="H833" s="60">
        <f t="shared" si="119"/>
        <v>20</v>
      </c>
      <c r="I833" s="61" t="s">
        <v>43</v>
      </c>
      <c r="J833" s="50" t="s">
        <v>513</v>
      </c>
      <c r="K833" s="30">
        <v>43774.0</v>
      </c>
      <c r="L833" s="29">
        <v>43773.0</v>
      </c>
      <c r="M833" s="58" t="s">
        <v>2078</v>
      </c>
      <c r="N833" s="93" t="s">
        <v>3303</v>
      </c>
      <c r="O833" s="408">
        <v>2.019110600006E12</v>
      </c>
      <c r="P833" s="408"/>
      <c r="Q833" s="408">
        <f t="shared" si="118"/>
        <v>0</v>
      </c>
      <c r="R833" s="408">
        <v>100.0</v>
      </c>
      <c r="S833" s="408">
        <v>420.0</v>
      </c>
      <c r="T833" s="503" t="s">
        <v>2080</v>
      </c>
      <c r="U833" s="462">
        <v>43861.0</v>
      </c>
      <c r="V833" s="462">
        <v>43770.0</v>
      </c>
      <c r="W833" s="306" t="s">
        <v>1781</v>
      </c>
      <c r="X833" s="306" t="s">
        <v>2962</v>
      </c>
      <c r="Y833" s="306"/>
      <c r="Z833" s="732" t="s">
        <v>3304</v>
      </c>
      <c r="AA833" s="306">
        <v>1.921859726E9</v>
      </c>
      <c r="AB833" s="537">
        <v>30.52</v>
      </c>
      <c r="AC833" s="306"/>
      <c r="AD833" s="306"/>
      <c r="AE833" s="298"/>
      <c r="AF833" s="306">
        <v>30.52</v>
      </c>
      <c r="AG833" s="299"/>
      <c r="AH833" s="29">
        <v>43812.0</v>
      </c>
      <c r="AI833" s="299" t="s">
        <v>3305</v>
      </c>
      <c r="AJ833" s="299" t="s">
        <v>3306</v>
      </c>
      <c r="AK833" s="298" t="s">
        <v>50</v>
      </c>
      <c r="AL833" s="298" t="s">
        <v>285</v>
      </c>
      <c r="AM833" s="298" t="s">
        <v>51</v>
      </c>
      <c r="AN833" s="298" t="s">
        <v>52</v>
      </c>
      <c r="AO833" s="82" t="s">
        <v>763</v>
      </c>
    </row>
    <row r="834" ht="15.75" customHeight="1">
      <c r="A834" s="69">
        <v>43755.0</v>
      </c>
      <c r="B834" s="32" t="s">
        <v>406</v>
      </c>
      <c r="C834" s="21">
        <v>7.000151038E9</v>
      </c>
      <c r="D834" s="21" t="s">
        <v>1779</v>
      </c>
      <c r="E834" s="23" t="s">
        <v>1679</v>
      </c>
      <c r="F834" s="24">
        <v>1.0</v>
      </c>
      <c r="G834" s="48">
        <v>59.0</v>
      </c>
      <c r="H834" s="60">
        <f t="shared" si="119"/>
        <v>59</v>
      </c>
      <c r="I834" s="87" t="s">
        <v>43</v>
      </c>
      <c r="J834" s="439" t="s">
        <v>513</v>
      </c>
      <c r="K834" s="30">
        <v>43774.0</v>
      </c>
      <c r="L834" s="29">
        <v>43773.0</v>
      </c>
      <c r="M834" s="58" t="s">
        <v>2078</v>
      </c>
      <c r="N834" s="93" t="s">
        <v>3303</v>
      </c>
      <c r="O834" s="408">
        <v>2.019110600006E12</v>
      </c>
      <c r="P834" s="408"/>
      <c r="Q834" s="408">
        <f t="shared" si="118"/>
        <v>0</v>
      </c>
      <c r="R834" s="408">
        <v>1506.0</v>
      </c>
      <c r="S834" s="408">
        <v>1581.0</v>
      </c>
      <c r="T834" s="408" t="s">
        <v>2080</v>
      </c>
      <c r="U834" s="462">
        <v>43861.0</v>
      </c>
      <c r="V834" s="462">
        <v>43770.0</v>
      </c>
      <c r="W834" s="306" t="s">
        <v>1781</v>
      </c>
      <c r="X834" s="306" t="s">
        <v>2962</v>
      </c>
      <c r="Y834" s="306"/>
      <c r="Z834" s="732" t="s">
        <v>3304</v>
      </c>
      <c r="AA834" s="306">
        <v>1.921859726E9</v>
      </c>
      <c r="AB834" s="537">
        <v>30.52</v>
      </c>
      <c r="AC834" s="306"/>
      <c r="AD834" s="306"/>
      <c r="AE834" s="298"/>
      <c r="AF834" s="306">
        <v>30.52</v>
      </c>
      <c r="AG834" s="299"/>
      <c r="AH834" s="29">
        <v>43812.0</v>
      </c>
      <c r="AI834" s="299" t="s">
        <v>3305</v>
      </c>
      <c r="AJ834" s="299" t="s">
        <v>3306</v>
      </c>
      <c r="AK834" s="298" t="s">
        <v>50</v>
      </c>
      <c r="AL834" s="298" t="s">
        <v>285</v>
      </c>
      <c r="AM834" s="298" t="s">
        <v>51</v>
      </c>
      <c r="AN834" s="298" t="s">
        <v>52</v>
      </c>
      <c r="AO834" s="82" t="s">
        <v>763</v>
      </c>
    </row>
    <row r="835" ht="42.0" customHeight="1">
      <c r="A835" s="552">
        <v>43756.0</v>
      </c>
      <c r="B835" s="144" t="s">
        <v>378</v>
      </c>
      <c r="C835" s="21" t="s">
        <v>1368</v>
      </c>
      <c r="D835" s="71" t="s">
        <v>1402</v>
      </c>
      <c r="E835" s="32" t="s">
        <v>1783</v>
      </c>
      <c r="F835" s="24">
        <v>5.0</v>
      </c>
      <c r="G835" s="48">
        <v>26.0</v>
      </c>
      <c r="H835" s="216">
        <f t="shared" si="119"/>
        <v>130</v>
      </c>
      <c r="I835" s="61" t="s">
        <v>144</v>
      </c>
      <c r="J835" s="58" t="s">
        <v>1122</v>
      </c>
      <c r="K835" s="84">
        <v>43781.0</v>
      </c>
      <c r="L835" s="30">
        <v>43763.0</v>
      </c>
      <c r="M835" s="82" t="s">
        <v>2965</v>
      </c>
      <c r="N835" s="93" t="s">
        <v>2966</v>
      </c>
      <c r="O835" s="408"/>
      <c r="P835" s="408"/>
      <c r="Q835" s="408"/>
      <c r="R835" s="22" t="s">
        <v>3307</v>
      </c>
      <c r="S835" s="22" t="s">
        <v>3307</v>
      </c>
      <c r="T835" s="21"/>
      <c r="U835" s="306"/>
      <c r="V835" s="306"/>
      <c r="W835" s="306"/>
      <c r="X835" s="306"/>
      <c r="Y835" s="306"/>
      <c r="Z835" s="306" t="s">
        <v>2802</v>
      </c>
      <c r="AA835" s="306"/>
      <c r="AB835" s="537"/>
      <c r="AC835" s="306"/>
      <c r="AD835" s="306"/>
      <c r="AE835" s="298"/>
      <c r="AF835" s="306"/>
      <c r="AG835" s="299"/>
      <c r="AH835" s="300">
        <v>43837.0</v>
      </c>
      <c r="AI835" s="299" t="s">
        <v>2937</v>
      </c>
      <c r="AJ835" s="299" t="s">
        <v>2938</v>
      </c>
      <c r="AK835" s="298" t="s">
        <v>50</v>
      </c>
      <c r="AL835" s="298" t="s">
        <v>285</v>
      </c>
      <c r="AM835" s="298" t="s">
        <v>286</v>
      </c>
      <c r="AN835" s="298" t="s">
        <v>52</v>
      </c>
      <c r="AO835" s="82" t="s">
        <v>763</v>
      </c>
    </row>
    <row r="836" ht="15.75" customHeight="1">
      <c r="A836" s="69">
        <v>43756.0</v>
      </c>
      <c r="B836" s="144" t="s">
        <v>378</v>
      </c>
      <c r="C836" s="21" t="s">
        <v>1368</v>
      </c>
      <c r="D836" s="71" t="s">
        <v>1784</v>
      </c>
      <c r="E836" s="32" t="s">
        <v>1785</v>
      </c>
      <c r="F836" s="24">
        <v>7.0</v>
      </c>
      <c r="G836" s="48">
        <v>0.0</v>
      </c>
      <c r="H836" s="60">
        <f t="shared" si="119"/>
        <v>0</v>
      </c>
      <c r="I836" s="61" t="s">
        <v>144</v>
      </c>
      <c r="J836" s="58" t="s">
        <v>1122</v>
      </c>
      <c r="K836" s="30">
        <v>43781.0</v>
      </c>
      <c r="L836" s="30">
        <v>43724.0</v>
      </c>
      <c r="M836" s="50" t="s">
        <v>2929</v>
      </c>
      <c r="N836" s="93"/>
      <c r="O836" s="408"/>
      <c r="P836" s="408"/>
      <c r="Q836" s="408"/>
      <c r="R836" s="22"/>
      <c r="S836" s="723">
        <v>0.0</v>
      </c>
      <c r="T836" s="21"/>
      <c r="U836" s="306"/>
      <c r="V836" s="306"/>
      <c r="W836" s="306"/>
      <c r="X836" s="306"/>
      <c r="Y836" s="306"/>
      <c r="Z836" s="306" t="s">
        <v>2802</v>
      </c>
      <c r="AA836" s="306"/>
      <c r="AB836" s="537"/>
      <c r="AC836" s="306"/>
      <c r="AD836" s="306"/>
      <c r="AE836" s="298"/>
      <c r="AF836" s="306"/>
      <c r="AG836" s="299"/>
      <c r="AH836" s="298" t="s">
        <v>1227</v>
      </c>
      <c r="AI836" s="299"/>
      <c r="AJ836" s="299"/>
      <c r="AK836" s="298" t="s">
        <v>1227</v>
      </c>
      <c r="AL836" s="298" t="s">
        <v>285</v>
      </c>
      <c r="AM836" s="298" t="s">
        <v>286</v>
      </c>
      <c r="AN836" s="298" t="s">
        <v>52</v>
      </c>
      <c r="AO836" s="82" t="s">
        <v>763</v>
      </c>
    </row>
    <row r="837" ht="15.75" customHeight="1">
      <c r="A837" s="69">
        <v>43756.0</v>
      </c>
      <c r="B837" s="144" t="s">
        <v>378</v>
      </c>
      <c r="C837" s="21" t="s">
        <v>1368</v>
      </c>
      <c r="D837" s="71" t="s">
        <v>1784</v>
      </c>
      <c r="E837" s="23" t="s">
        <v>1373</v>
      </c>
      <c r="F837" s="24">
        <v>7.0</v>
      </c>
      <c r="G837" s="48">
        <v>76.0</v>
      </c>
      <c r="H837" s="60">
        <f t="shared" si="119"/>
        <v>532</v>
      </c>
      <c r="I837" s="61" t="s">
        <v>144</v>
      </c>
      <c r="J837" s="58" t="s">
        <v>1122</v>
      </c>
      <c r="K837" s="30">
        <v>43781.0</v>
      </c>
      <c r="L837" s="30">
        <v>43756.0</v>
      </c>
      <c r="M837" s="50" t="s">
        <v>255</v>
      </c>
      <c r="N837" s="93" t="s">
        <v>2936</v>
      </c>
      <c r="O837" s="408"/>
      <c r="P837" s="408"/>
      <c r="Q837" s="408"/>
      <c r="R837" s="22">
        <v>1490.0</v>
      </c>
      <c r="S837" s="723">
        <f>(1490*7)*1.05</f>
        <v>10951.5</v>
      </c>
      <c r="T837" s="70" t="s">
        <v>257</v>
      </c>
      <c r="U837" s="306"/>
      <c r="V837" s="306"/>
      <c r="W837" s="306"/>
      <c r="X837" s="306"/>
      <c r="Y837" s="306"/>
      <c r="Z837" s="306" t="s">
        <v>2802</v>
      </c>
      <c r="AA837" s="306"/>
      <c r="AB837" s="537"/>
      <c r="AC837" s="306"/>
      <c r="AD837" s="306"/>
      <c r="AE837" s="298"/>
      <c r="AF837" s="306"/>
      <c r="AG837" s="299"/>
      <c r="AH837" s="300">
        <v>43672.0</v>
      </c>
      <c r="AI837" s="299" t="s">
        <v>2702</v>
      </c>
      <c r="AJ837" s="299" t="s">
        <v>2703</v>
      </c>
      <c r="AK837" s="298" t="s">
        <v>50</v>
      </c>
      <c r="AL837" s="298" t="s">
        <v>285</v>
      </c>
      <c r="AM837" s="298" t="s">
        <v>286</v>
      </c>
      <c r="AN837" s="298" t="s">
        <v>52</v>
      </c>
      <c r="AO837" s="82" t="s">
        <v>763</v>
      </c>
    </row>
    <row r="838" ht="15.75" customHeight="1">
      <c r="A838" s="69">
        <v>43756.0</v>
      </c>
      <c r="B838" s="144" t="s">
        <v>378</v>
      </c>
      <c r="C838" s="21" t="s">
        <v>1368</v>
      </c>
      <c r="D838" s="21" t="s">
        <v>1784</v>
      </c>
      <c r="E838" s="32" t="s">
        <v>1374</v>
      </c>
      <c r="F838" s="24">
        <v>7.0</v>
      </c>
      <c r="G838" s="25">
        <v>100.0</v>
      </c>
      <c r="H838" s="60">
        <f t="shared" si="119"/>
        <v>700</v>
      </c>
      <c r="I838" s="61" t="s">
        <v>144</v>
      </c>
      <c r="J838" s="58" t="s">
        <v>1122</v>
      </c>
      <c r="K838" s="30">
        <v>43781.0</v>
      </c>
      <c r="L838" s="30">
        <v>43781.0</v>
      </c>
      <c r="M838" s="82" t="s">
        <v>2054</v>
      </c>
      <c r="N838" s="93" t="s">
        <v>2961</v>
      </c>
      <c r="O838" s="408"/>
      <c r="P838" s="408"/>
      <c r="Q838" s="408"/>
      <c r="R838" s="22">
        <v>2100.0</v>
      </c>
      <c r="S838" s="733">
        <f>(R838*7)*1.05</f>
        <v>15435</v>
      </c>
      <c r="T838" s="21" t="s">
        <v>2056</v>
      </c>
      <c r="U838" s="462"/>
      <c r="V838" s="462">
        <v>43777.0</v>
      </c>
      <c r="W838" s="306" t="s">
        <v>1786</v>
      </c>
      <c r="X838" s="406">
        <v>24203.0</v>
      </c>
      <c r="Y838" s="306"/>
      <c r="Z838" s="306" t="s">
        <v>2802</v>
      </c>
      <c r="AA838" s="306"/>
      <c r="AB838" s="537"/>
      <c r="AC838" s="306"/>
      <c r="AD838" s="306"/>
      <c r="AE838" s="298"/>
      <c r="AF838" s="306"/>
      <c r="AG838" s="299"/>
      <c r="AH838" s="300">
        <v>43837.0</v>
      </c>
      <c r="AI838" s="299" t="s">
        <v>2937</v>
      </c>
      <c r="AJ838" s="299" t="s">
        <v>2938</v>
      </c>
      <c r="AK838" s="298" t="s">
        <v>50</v>
      </c>
      <c r="AL838" s="298" t="s">
        <v>285</v>
      </c>
      <c r="AM838" s="298" t="s">
        <v>286</v>
      </c>
      <c r="AN838" s="298" t="s">
        <v>52</v>
      </c>
      <c r="AO838" s="82" t="s">
        <v>763</v>
      </c>
    </row>
    <row r="839" ht="15.75" customHeight="1">
      <c r="A839" s="69">
        <v>43756.0</v>
      </c>
      <c r="B839" s="144" t="s">
        <v>378</v>
      </c>
      <c r="C839" s="21" t="s">
        <v>1368</v>
      </c>
      <c r="D839" s="71" t="s">
        <v>1784</v>
      </c>
      <c r="E839" s="23" t="s">
        <v>1787</v>
      </c>
      <c r="F839" s="24">
        <v>7.0</v>
      </c>
      <c r="G839" s="48">
        <v>26.0</v>
      </c>
      <c r="H839" s="60">
        <f t="shared" si="119"/>
        <v>182</v>
      </c>
      <c r="I839" s="61" t="s">
        <v>144</v>
      </c>
      <c r="J839" s="58" t="s">
        <v>1122</v>
      </c>
      <c r="K839" s="30">
        <v>43781.0</v>
      </c>
      <c r="L839" s="30">
        <v>43763.0</v>
      </c>
      <c r="M839" s="82" t="s">
        <v>2965</v>
      </c>
      <c r="N839" s="719" t="s">
        <v>3308</v>
      </c>
      <c r="O839" s="408"/>
      <c r="P839" s="408"/>
      <c r="Q839" s="408"/>
      <c r="R839" s="588">
        <v>300.0</v>
      </c>
      <c r="S839" s="733">
        <f>(R839*9)*1.05</f>
        <v>2835</v>
      </c>
      <c r="T839" s="21"/>
      <c r="U839" s="306"/>
      <c r="V839" s="306"/>
      <c r="W839" s="306"/>
      <c r="X839" s="306"/>
      <c r="Y839" s="306"/>
      <c r="Z839" s="306" t="s">
        <v>2802</v>
      </c>
      <c r="AA839" s="306"/>
      <c r="AB839" s="537"/>
      <c r="AC839" s="306"/>
      <c r="AD839" s="306"/>
      <c r="AE839" s="298"/>
      <c r="AF839" s="306"/>
      <c r="AG839" s="299"/>
      <c r="AH839" s="300">
        <v>43837.0</v>
      </c>
      <c r="AI839" s="299" t="s">
        <v>2937</v>
      </c>
      <c r="AJ839" s="299" t="s">
        <v>2938</v>
      </c>
      <c r="AK839" s="298" t="s">
        <v>50</v>
      </c>
      <c r="AL839" s="298" t="s">
        <v>285</v>
      </c>
      <c r="AM839" s="298" t="s">
        <v>286</v>
      </c>
      <c r="AN839" s="298" t="s">
        <v>52</v>
      </c>
      <c r="AO839" s="82" t="s">
        <v>763</v>
      </c>
    </row>
    <row r="840" ht="15.75" customHeight="1">
      <c r="A840" s="69">
        <v>43756.0</v>
      </c>
      <c r="B840" s="144" t="s">
        <v>378</v>
      </c>
      <c r="C840" s="21" t="s">
        <v>1368</v>
      </c>
      <c r="D840" s="71" t="s">
        <v>3309</v>
      </c>
      <c r="E840" s="23" t="s">
        <v>1789</v>
      </c>
      <c r="F840" s="24">
        <v>7.0</v>
      </c>
      <c r="G840" s="48">
        <v>20.0</v>
      </c>
      <c r="H840" s="60">
        <f t="shared" si="119"/>
        <v>140</v>
      </c>
      <c r="I840" s="61" t="s">
        <v>144</v>
      </c>
      <c r="J840" s="58" t="s">
        <v>1122</v>
      </c>
      <c r="K840" s="30">
        <v>43781.0</v>
      </c>
      <c r="L840" s="30">
        <v>43781.0</v>
      </c>
      <c r="M840" s="82" t="s">
        <v>2969</v>
      </c>
      <c r="N840" s="93" t="s">
        <v>2961</v>
      </c>
      <c r="O840" s="408"/>
      <c r="P840" s="408"/>
      <c r="Q840" s="408"/>
      <c r="R840" s="22">
        <v>350.0</v>
      </c>
      <c r="S840" s="733">
        <f>(R840*7)*1.05</f>
        <v>2572.5</v>
      </c>
      <c r="T840" s="419" t="s">
        <v>2056</v>
      </c>
      <c r="U840" s="462"/>
      <c r="V840" s="462">
        <v>43777.0</v>
      </c>
      <c r="W840" s="306" t="s">
        <v>1786</v>
      </c>
      <c r="X840" s="306" t="s">
        <v>2962</v>
      </c>
      <c r="Y840" s="306"/>
      <c r="Z840" s="306" t="s">
        <v>2802</v>
      </c>
      <c r="AA840" s="306"/>
      <c r="AB840" s="537"/>
      <c r="AC840" s="306"/>
      <c r="AD840" s="306"/>
      <c r="AE840" s="298"/>
      <c r="AF840" s="306"/>
      <c r="AG840" s="299"/>
      <c r="AH840" s="300">
        <v>43837.0</v>
      </c>
      <c r="AI840" s="299" t="s">
        <v>2937</v>
      </c>
      <c r="AJ840" s="299" t="s">
        <v>2938</v>
      </c>
      <c r="AK840" s="298" t="s">
        <v>50</v>
      </c>
      <c r="AL840" s="298" t="s">
        <v>285</v>
      </c>
      <c r="AM840" s="298" t="s">
        <v>286</v>
      </c>
      <c r="AN840" s="298" t="s">
        <v>52</v>
      </c>
      <c r="AO840" s="82" t="s">
        <v>763</v>
      </c>
    </row>
    <row r="841" ht="15.75" customHeight="1">
      <c r="A841" s="69">
        <v>43756.0</v>
      </c>
      <c r="B841" s="144" t="s">
        <v>378</v>
      </c>
      <c r="C841" s="21" t="s">
        <v>1368</v>
      </c>
      <c r="D841" s="71" t="s">
        <v>1790</v>
      </c>
      <c r="E841" s="32" t="s">
        <v>1791</v>
      </c>
      <c r="F841" s="24">
        <v>3.0</v>
      </c>
      <c r="G841" s="48">
        <v>0.0</v>
      </c>
      <c r="H841" s="60">
        <f t="shared" si="119"/>
        <v>0</v>
      </c>
      <c r="I841" s="61" t="s">
        <v>144</v>
      </c>
      <c r="J841" s="58" t="s">
        <v>1122</v>
      </c>
      <c r="K841" s="30">
        <v>43804.0</v>
      </c>
      <c r="L841" s="30">
        <v>43732.0</v>
      </c>
      <c r="M841" s="50" t="s">
        <v>2929</v>
      </c>
      <c r="N841" s="93" t="s">
        <v>1970</v>
      </c>
      <c r="O841" s="408"/>
      <c r="P841" s="408"/>
      <c r="Q841" s="408"/>
      <c r="R841" s="22">
        <v>0.0</v>
      </c>
      <c r="S841" s="730">
        <v>0.0</v>
      </c>
      <c r="T841" s="70"/>
      <c r="U841" s="306"/>
      <c r="V841" s="306"/>
      <c r="W841" s="306"/>
      <c r="X841" s="306"/>
      <c r="Y841" s="306"/>
      <c r="Z841" s="306" t="s">
        <v>2930</v>
      </c>
      <c r="AA841" s="306" t="s">
        <v>2933</v>
      </c>
      <c r="AB841" s="537"/>
      <c r="AC841" s="306"/>
      <c r="AD841" s="306"/>
      <c r="AE841" s="298"/>
      <c r="AF841" s="306"/>
      <c r="AG841" s="299"/>
      <c r="AH841" s="298" t="s">
        <v>1227</v>
      </c>
      <c r="AI841" s="299"/>
      <c r="AJ841" s="299"/>
      <c r="AK841" s="298" t="s">
        <v>1227</v>
      </c>
      <c r="AL841" s="82" t="s">
        <v>285</v>
      </c>
      <c r="AM841" s="298" t="s">
        <v>286</v>
      </c>
      <c r="AN841" s="298" t="s">
        <v>52</v>
      </c>
      <c r="AO841" s="298" t="s">
        <v>1371</v>
      </c>
    </row>
    <row r="842" ht="15.75" customHeight="1">
      <c r="A842" s="69">
        <v>43756.0</v>
      </c>
      <c r="B842" s="144" t="s">
        <v>378</v>
      </c>
      <c r="C842" s="21" t="s">
        <v>1368</v>
      </c>
      <c r="D842" s="71" t="s">
        <v>1792</v>
      </c>
      <c r="E842" s="32" t="s">
        <v>1393</v>
      </c>
      <c r="F842" s="24">
        <v>3.0</v>
      </c>
      <c r="G842" s="48">
        <v>85.0</v>
      </c>
      <c r="H842" s="60">
        <f t="shared" si="119"/>
        <v>255</v>
      </c>
      <c r="I842" s="61" t="s">
        <v>144</v>
      </c>
      <c r="J842" s="58" t="s">
        <v>1122</v>
      </c>
      <c r="K842" s="30">
        <v>43804.0</v>
      </c>
      <c r="L842" s="30">
        <v>43781.0</v>
      </c>
      <c r="M842" s="50" t="s">
        <v>255</v>
      </c>
      <c r="N842" s="93" t="s">
        <v>3310</v>
      </c>
      <c r="O842" s="408"/>
      <c r="P842" s="408"/>
      <c r="Q842" s="408"/>
      <c r="R842" s="22"/>
      <c r="S842" s="720">
        <v>4694.0</v>
      </c>
      <c r="T842" s="419"/>
      <c r="U842" s="306"/>
      <c r="V842" s="306"/>
      <c r="W842" s="306"/>
      <c r="X842" s="306"/>
      <c r="Y842" s="306"/>
      <c r="Z842" s="306" t="s">
        <v>2930</v>
      </c>
      <c r="AA842" s="306" t="s">
        <v>2933</v>
      </c>
      <c r="AB842" s="537"/>
      <c r="AC842" s="306"/>
      <c r="AD842" s="306"/>
      <c r="AE842" s="298"/>
      <c r="AF842" s="306"/>
      <c r="AG842" s="299"/>
      <c r="AH842" s="300">
        <v>43837.0</v>
      </c>
      <c r="AI842" s="299" t="s">
        <v>2937</v>
      </c>
      <c r="AJ842" s="299" t="s">
        <v>2938</v>
      </c>
      <c r="AK842" s="298" t="s">
        <v>50</v>
      </c>
      <c r="AL842" s="82" t="s">
        <v>285</v>
      </c>
      <c r="AM842" s="298" t="s">
        <v>286</v>
      </c>
      <c r="AN842" s="298" t="s">
        <v>52</v>
      </c>
      <c r="AO842" s="298" t="s">
        <v>1371</v>
      </c>
    </row>
    <row r="843" ht="15.75" customHeight="1">
      <c r="A843" s="69">
        <v>43756.0</v>
      </c>
      <c r="B843" s="144" t="s">
        <v>378</v>
      </c>
      <c r="C843" s="21" t="s">
        <v>1368</v>
      </c>
      <c r="D843" s="71" t="s">
        <v>1793</v>
      </c>
      <c r="E843" s="32" t="s">
        <v>1794</v>
      </c>
      <c r="F843" s="24">
        <v>3.0</v>
      </c>
      <c r="G843" s="48">
        <v>25.0</v>
      </c>
      <c r="H843" s="60">
        <f t="shared" si="119"/>
        <v>75</v>
      </c>
      <c r="I843" s="61" t="s">
        <v>144</v>
      </c>
      <c r="J843" s="58" t="s">
        <v>1122</v>
      </c>
      <c r="K843" s="30">
        <v>43804.0</v>
      </c>
      <c r="L843" s="30">
        <v>43781.0</v>
      </c>
      <c r="M843" s="50" t="s">
        <v>255</v>
      </c>
      <c r="N843" s="93" t="s">
        <v>3310</v>
      </c>
      <c r="O843" s="408"/>
      <c r="P843" s="408"/>
      <c r="Q843" s="408"/>
      <c r="R843" s="22"/>
      <c r="S843" s="720">
        <v>1441.0</v>
      </c>
      <c r="T843" s="70"/>
      <c r="U843" s="306"/>
      <c r="V843" s="306"/>
      <c r="W843" s="306"/>
      <c r="X843" s="306"/>
      <c r="Y843" s="306"/>
      <c r="Z843" s="306" t="s">
        <v>2930</v>
      </c>
      <c r="AA843" s="306" t="s">
        <v>2933</v>
      </c>
      <c r="AB843" s="537"/>
      <c r="AC843" s="306"/>
      <c r="AD843" s="306"/>
      <c r="AE843" s="298"/>
      <c r="AF843" s="306"/>
      <c r="AG843" s="299"/>
      <c r="AH843" s="300">
        <v>43837.0</v>
      </c>
      <c r="AI843" s="299" t="s">
        <v>2937</v>
      </c>
      <c r="AJ843" s="299" t="s">
        <v>2938</v>
      </c>
      <c r="AK843" s="298" t="s">
        <v>50</v>
      </c>
      <c r="AL843" s="82" t="s">
        <v>285</v>
      </c>
      <c r="AM843" s="298" t="s">
        <v>286</v>
      </c>
      <c r="AN843" s="298" t="s">
        <v>52</v>
      </c>
      <c r="AO843" s="298" t="s">
        <v>1371</v>
      </c>
    </row>
    <row r="844" ht="15.75" customHeight="1">
      <c r="A844" s="69">
        <v>43756.0</v>
      </c>
      <c r="B844" s="144" t="s">
        <v>378</v>
      </c>
      <c r="C844" s="21" t="s">
        <v>1368</v>
      </c>
      <c r="D844" s="71" t="s">
        <v>3311</v>
      </c>
      <c r="E844" s="32" t="s">
        <v>1374</v>
      </c>
      <c r="F844" s="24">
        <v>3.0</v>
      </c>
      <c r="G844" s="48">
        <v>121.0</v>
      </c>
      <c r="H844" s="60">
        <f t="shared" si="119"/>
        <v>363</v>
      </c>
      <c r="I844" s="61" t="s">
        <v>144</v>
      </c>
      <c r="J844" s="58" t="s">
        <v>1122</v>
      </c>
      <c r="K844" s="30">
        <v>43804.0</v>
      </c>
      <c r="L844" s="30">
        <v>43798.0</v>
      </c>
      <c r="M844" s="82" t="s">
        <v>2054</v>
      </c>
      <c r="N844" s="93" t="s">
        <v>3312</v>
      </c>
      <c r="O844" s="408"/>
      <c r="P844" s="408"/>
      <c r="Q844" s="408"/>
      <c r="R844" s="22">
        <v>2600.0</v>
      </c>
      <c r="S844" s="720">
        <f>(R844*3)*1.05</f>
        <v>8190</v>
      </c>
      <c r="T844" s="21" t="s">
        <v>2056</v>
      </c>
      <c r="U844" s="306"/>
      <c r="V844" s="306"/>
      <c r="W844" s="306"/>
      <c r="X844" s="306"/>
      <c r="Y844" s="306"/>
      <c r="Z844" s="306" t="s">
        <v>2930</v>
      </c>
      <c r="AA844" s="306" t="s">
        <v>2933</v>
      </c>
      <c r="AB844" s="537"/>
      <c r="AC844" s="306"/>
      <c r="AD844" s="306"/>
      <c r="AE844" s="298"/>
      <c r="AF844" s="306"/>
      <c r="AG844" s="299"/>
      <c r="AH844" s="300">
        <v>43837.0</v>
      </c>
      <c r="AI844" s="299" t="s">
        <v>2937</v>
      </c>
      <c r="AJ844" s="299" t="s">
        <v>2938</v>
      </c>
      <c r="AK844" s="298" t="s">
        <v>50</v>
      </c>
      <c r="AL844" s="298" t="s">
        <v>285</v>
      </c>
      <c r="AM844" s="298" t="s">
        <v>286</v>
      </c>
      <c r="AN844" s="298" t="s">
        <v>52</v>
      </c>
      <c r="AO844" s="298" t="s">
        <v>1371</v>
      </c>
    </row>
    <row r="845" ht="15.75" customHeight="1">
      <c r="A845" s="553">
        <v>43756.0</v>
      </c>
      <c r="B845" s="70" t="s">
        <v>1796</v>
      </c>
      <c r="C845" s="21"/>
      <c r="D845" s="71" t="s">
        <v>1797</v>
      </c>
      <c r="E845" s="32" t="s">
        <v>1798</v>
      </c>
      <c r="F845" s="24">
        <v>4.0</v>
      </c>
      <c r="G845" s="48">
        <v>1060.0</v>
      </c>
      <c r="H845" s="60">
        <f>F845*G845</f>
        <v>4240</v>
      </c>
      <c r="I845" s="61" t="s">
        <v>105</v>
      </c>
      <c r="J845" s="50" t="s">
        <v>1799</v>
      </c>
      <c r="K845" s="29">
        <v>43769.0</v>
      </c>
      <c r="L845" s="30">
        <v>43767.0</v>
      </c>
      <c r="M845" s="58" t="s">
        <v>1439</v>
      </c>
      <c r="N845" s="93" t="s">
        <v>3313</v>
      </c>
      <c r="O845" s="408">
        <v>2.019103000007E12</v>
      </c>
      <c r="P845" s="408"/>
      <c r="Q845" s="408"/>
      <c r="R845" s="408">
        <v>28588.0</v>
      </c>
      <c r="S845" s="408">
        <v>120069.0</v>
      </c>
      <c r="T845" s="417"/>
      <c r="U845" s="305">
        <v>43830.0</v>
      </c>
      <c r="V845" s="305">
        <v>43767.0</v>
      </c>
      <c r="W845" s="306" t="s">
        <v>1800</v>
      </c>
      <c r="X845" s="306">
        <v>120069.0</v>
      </c>
      <c r="Y845" s="306"/>
      <c r="Z845" s="306" t="s">
        <v>3314</v>
      </c>
      <c r="AA845" s="306" t="s">
        <v>3315</v>
      </c>
      <c r="AB845" s="537"/>
      <c r="AC845" s="306"/>
      <c r="AD845" s="306"/>
      <c r="AE845" s="298"/>
      <c r="AF845" s="306">
        <v>30.62</v>
      </c>
      <c r="AG845" s="299"/>
      <c r="AH845" s="29">
        <v>43767.0</v>
      </c>
      <c r="AI845" s="299">
        <f>4240*30.47</f>
        <v>129192.8</v>
      </c>
      <c r="AJ845" s="299">
        <v>0.0</v>
      </c>
      <c r="AK845" s="298" t="s">
        <v>50</v>
      </c>
      <c r="AL845" s="298" t="s">
        <v>285</v>
      </c>
      <c r="AM845" s="298" t="s">
        <v>51</v>
      </c>
      <c r="AN845" s="298" t="s">
        <v>52</v>
      </c>
      <c r="AO845" s="459" t="s">
        <v>763</v>
      </c>
    </row>
    <row r="846" ht="15.75" customHeight="1">
      <c r="A846" s="69">
        <v>43762.0</v>
      </c>
      <c r="B846" s="70" t="s">
        <v>130</v>
      </c>
      <c r="C846" s="21" t="s">
        <v>1801</v>
      </c>
      <c r="D846" s="71" t="s">
        <v>1802</v>
      </c>
      <c r="E846" s="21" t="s">
        <v>133</v>
      </c>
      <c r="F846" s="24">
        <v>40.0</v>
      </c>
      <c r="G846" s="48">
        <v>103.0</v>
      </c>
      <c r="H846" s="60">
        <f t="shared" ref="H846:H850" si="120">G846*F846</f>
        <v>4120</v>
      </c>
      <c r="I846" s="61" t="s">
        <v>144</v>
      </c>
      <c r="J846" s="50" t="s">
        <v>134</v>
      </c>
      <c r="K846" s="30">
        <v>43782.0</v>
      </c>
      <c r="L846" s="30">
        <v>43782.0</v>
      </c>
      <c r="M846" s="50" t="s">
        <v>90</v>
      </c>
      <c r="N846" s="93" t="s">
        <v>3316</v>
      </c>
      <c r="O846" s="408"/>
      <c r="P846" s="408">
        <v>96.0</v>
      </c>
      <c r="Q846" s="408">
        <f t="shared" ref="Q846:Q850" si="121">(P846*F846)*1.05</f>
        <v>4032</v>
      </c>
      <c r="R846" s="408"/>
      <c r="S846" s="408">
        <v>122150.0</v>
      </c>
      <c r="T846" s="35" t="s">
        <v>94</v>
      </c>
      <c r="U846" s="305">
        <v>43830.0</v>
      </c>
      <c r="V846" s="305">
        <v>43781.0</v>
      </c>
      <c r="W846" s="306" t="s">
        <v>1803</v>
      </c>
      <c r="X846" s="306">
        <v>177976.0</v>
      </c>
      <c r="Y846" s="306"/>
      <c r="Z846" s="237"/>
      <c r="AA846" s="306">
        <v>5.017292066E9</v>
      </c>
      <c r="AB846" s="537"/>
      <c r="AC846" s="306"/>
      <c r="AD846" s="306"/>
      <c r="AE846" s="298"/>
      <c r="AF846" s="306"/>
      <c r="AG846" s="299"/>
      <c r="AH846" s="29">
        <v>43797.0</v>
      </c>
      <c r="AI846" s="299" t="s">
        <v>3290</v>
      </c>
      <c r="AJ846" s="299" t="s">
        <v>3290</v>
      </c>
      <c r="AK846" s="298" t="s">
        <v>50</v>
      </c>
      <c r="AL846" s="298" t="s">
        <v>285</v>
      </c>
      <c r="AM846" s="298" t="s">
        <v>51</v>
      </c>
      <c r="AN846" s="298" t="s">
        <v>52</v>
      </c>
      <c r="AO846" s="459" t="s">
        <v>763</v>
      </c>
    </row>
    <row r="847" ht="15.75" customHeight="1">
      <c r="A847" s="69">
        <v>43762.0</v>
      </c>
      <c r="B847" s="70" t="s">
        <v>130</v>
      </c>
      <c r="C847" s="21" t="s">
        <v>1801</v>
      </c>
      <c r="D847" s="71" t="s">
        <v>1802</v>
      </c>
      <c r="E847" s="32" t="s">
        <v>137</v>
      </c>
      <c r="F847" s="24">
        <v>65.0</v>
      </c>
      <c r="G847" s="48">
        <v>29.0</v>
      </c>
      <c r="H847" s="60">
        <f t="shared" si="120"/>
        <v>1885</v>
      </c>
      <c r="I847" s="61" t="s">
        <v>144</v>
      </c>
      <c r="J847" s="50" t="s">
        <v>134</v>
      </c>
      <c r="K847" s="30">
        <v>43782.0</v>
      </c>
      <c r="L847" s="30">
        <v>43782.0</v>
      </c>
      <c r="M847" s="50" t="s">
        <v>90</v>
      </c>
      <c r="N847" s="93" t="s">
        <v>3316</v>
      </c>
      <c r="O847" s="408"/>
      <c r="P847" s="408">
        <v>27.0</v>
      </c>
      <c r="Q847" s="408">
        <f t="shared" si="121"/>
        <v>1842.75</v>
      </c>
      <c r="R847" s="408"/>
      <c r="S847" s="408">
        <v>55826.0</v>
      </c>
      <c r="T847" s="35" t="s">
        <v>94</v>
      </c>
      <c r="U847" s="305">
        <v>43830.0</v>
      </c>
      <c r="V847" s="305">
        <v>43781.0</v>
      </c>
      <c r="W847" s="306" t="s">
        <v>1803</v>
      </c>
      <c r="X847" s="306" t="s">
        <v>3317</v>
      </c>
      <c r="Y847" s="306"/>
      <c r="Z847" s="237"/>
      <c r="AA847" s="306">
        <v>5.017292066E9</v>
      </c>
      <c r="AB847" s="537"/>
      <c r="AC847" s="306"/>
      <c r="AD847" s="306"/>
      <c r="AE847" s="298"/>
      <c r="AF847" s="306"/>
      <c r="AG847" s="299"/>
      <c r="AH847" s="29">
        <v>43797.0</v>
      </c>
      <c r="AI847" s="299" t="s">
        <v>3290</v>
      </c>
      <c r="AJ847" s="299" t="s">
        <v>3290</v>
      </c>
      <c r="AK847" s="298" t="s">
        <v>50</v>
      </c>
      <c r="AL847" s="298" t="s">
        <v>285</v>
      </c>
      <c r="AM847" s="298" t="s">
        <v>51</v>
      </c>
      <c r="AN847" s="298" t="s">
        <v>52</v>
      </c>
      <c r="AO847" s="459" t="s">
        <v>763</v>
      </c>
    </row>
    <row r="848" ht="15.75" customHeight="1">
      <c r="A848" s="69">
        <v>43762.0</v>
      </c>
      <c r="B848" s="70" t="s">
        <v>1112</v>
      </c>
      <c r="C848" s="21"/>
      <c r="D848" s="71" t="s">
        <v>1804</v>
      </c>
      <c r="E848" s="554" t="s">
        <v>1805</v>
      </c>
      <c r="F848" s="24">
        <v>2.0</v>
      </c>
      <c r="G848" s="48">
        <v>1049.0</v>
      </c>
      <c r="H848" s="165">
        <f t="shared" si="120"/>
        <v>2098</v>
      </c>
      <c r="I848" s="61" t="s">
        <v>144</v>
      </c>
      <c r="J848" s="50" t="s">
        <v>263</v>
      </c>
      <c r="K848" s="30">
        <v>43790.0</v>
      </c>
      <c r="L848" s="30">
        <v>43788.0</v>
      </c>
      <c r="M848" s="58" t="s">
        <v>2078</v>
      </c>
      <c r="N848" s="93" t="s">
        <v>3318</v>
      </c>
      <c r="O848" s="408"/>
      <c r="P848" s="408">
        <v>976.0</v>
      </c>
      <c r="Q848" s="408">
        <f t="shared" si="121"/>
        <v>2049.6</v>
      </c>
      <c r="R848" s="408"/>
      <c r="S848" s="408">
        <v>62093.0</v>
      </c>
      <c r="T848" s="408" t="s">
        <v>2080</v>
      </c>
      <c r="U848" s="462">
        <v>43861.0</v>
      </c>
      <c r="V848" s="305">
        <v>43787.0</v>
      </c>
      <c r="W848" s="306" t="s">
        <v>1806</v>
      </c>
      <c r="X848" s="306">
        <v>84296.0</v>
      </c>
      <c r="Y848" s="306"/>
      <c r="Z848" s="306" t="s">
        <v>3319</v>
      </c>
      <c r="AA848" s="306">
        <v>4.988762111E9</v>
      </c>
      <c r="AB848" s="537"/>
      <c r="AC848" s="306"/>
      <c r="AD848" s="306"/>
      <c r="AE848" s="298"/>
      <c r="AF848" s="306">
        <v>30.465</v>
      </c>
      <c r="AG848" s="299"/>
      <c r="AH848" s="29">
        <v>43766.0</v>
      </c>
      <c r="AI848" s="299">
        <f>2834.44*30.503</f>
        <v>86458.92332</v>
      </c>
      <c r="AJ848" s="299">
        <f>(2852-2834.44)*30.503</f>
        <v>535.63268</v>
      </c>
      <c r="AK848" s="298" t="s">
        <v>50</v>
      </c>
      <c r="AL848" s="298" t="s">
        <v>285</v>
      </c>
      <c r="AM848" s="298" t="s">
        <v>51</v>
      </c>
      <c r="AN848" s="298" t="s">
        <v>52</v>
      </c>
      <c r="AO848" s="459" t="s">
        <v>763</v>
      </c>
    </row>
    <row r="849" ht="15.75" customHeight="1">
      <c r="A849" s="552">
        <v>43762.0</v>
      </c>
      <c r="B849" s="70" t="s">
        <v>1112</v>
      </c>
      <c r="C849" s="70"/>
      <c r="D849" s="71" t="s">
        <v>1804</v>
      </c>
      <c r="E849" s="554" t="s">
        <v>1807</v>
      </c>
      <c r="F849" s="130">
        <v>2.0</v>
      </c>
      <c r="G849" s="25">
        <v>365.0</v>
      </c>
      <c r="H849" s="165">
        <f t="shared" si="120"/>
        <v>730</v>
      </c>
      <c r="I849" s="61" t="s">
        <v>144</v>
      </c>
      <c r="J849" s="50" t="s">
        <v>263</v>
      </c>
      <c r="K849" s="30">
        <v>43790.0</v>
      </c>
      <c r="L849" s="30">
        <v>43788.0</v>
      </c>
      <c r="M849" s="58" t="s">
        <v>2078</v>
      </c>
      <c r="N849" s="93" t="s">
        <v>3318</v>
      </c>
      <c r="O849" s="408"/>
      <c r="P849" s="408">
        <v>339.0</v>
      </c>
      <c r="Q849" s="408">
        <f t="shared" si="121"/>
        <v>711.9</v>
      </c>
      <c r="R849" s="408"/>
      <c r="S849" s="408">
        <v>21567.0</v>
      </c>
      <c r="T849" s="408" t="s">
        <v>2872</v>
      </c>
      <c r="U849" s="462">
        <v>43861.0</v>
      </c>
      <c r="V849" s="305">
        <v>43787.0</v>
      </c>
      <c r="W849" s="306" t="s">
        <v>1806</v>
      </c>
      <c r="X849" s="306" t="s">
        <v>3320</v>
      </c>
      <c r="Y849" s="306"/>
      <c r="Z849" s="306" t="s">
        <v>3319</v>
      </c>
      <c r="AA849" s="306">
        <v>4.988762111E9</v>
      </c>
      <c r="AB849" s="537"/>
      <c r="AC849" s="306"/>
      <c r="AD849" s="306"/>
      <c r="AE849" s="298"/>
      <c r="AF849" s="306">
        <v>30.465</v>
      </c>
      <c r="AG849" s="299"/>
      <c r="AH849" s="29">
        <v>43766.0</v>
      </c>
      <c r="AI849" s="299" t="s">
        <v>3321</v>
      </c>
      <c r="AJ849" s="299" t="s">
        <v>3322</v>
      </c>
      <c r="AK849" s="298" t="s">
        <v>50</v>
      </c>
      <c r="AL849" s="298" t="s">
        <v>285</v>
      </c>
      <c r="AM849" s="298" t="s">
        <v>51</v>
      </c>
      <c r="AN849" s="298" t="s">
        <v>52</v>
      </c>
      <c r="AO849" s="459" t="s">
        <v>763</v>
      </c>
    </row>
    <row r="850" ht="15.75" customHeight="1">
      <c r="A850" s="69">
        <v>43762.0</v>
      </c>
      <c r="B850" s="70" t="s">
        <v>1112</v>
      </c>
      <c r="C850" s="21"/>
      <c r="D850" s="71" t="s">
        <v>1804</v>
      </c>
      <c r="E850" s="554" t="s">
        <v>1808</v>
      </c>
      <c r="F850" s="24">
        <v>2.0</v>
      </c>
      <c r="G850" s="48">
        <v>12.0</v>
      </c>
      <c r="H850" s="165">
        <f t="shared" si="120"/>
        <v>24</v>
      </c>
      <c r="I850" s="61" t="s">
        <v>144</v>
      </c>
      <c r="J850" s="50" t="s">
        <v>263</v>
      </c>
      <c r="K850" s="30">
        <v>43790.0</v>
      </c>
      <c r="L850" s="30">
        <v>43788.0</v>
      </c>
      <c r="M850" s="58" t="s">
        <v>2078</v>
      </c>
      <c r="N850" s="93" t="s">
        <v>3318</v>
      </c>
      <c r="O850" s="408"/>
      <c r="P850" s="408">
        <v>10.0</v>
      </c>
      <c r="Q850" s="408">
        <f t="shared" si="121"/>
        <v>21</v>
      </c>
      <c r="R850" s="408"/>
      <c r="S850" s="408">
        <v>636.0</v>
      </c>
      <c r="T850" s="503" t="s">
        <v>2080</v>
      </c>
      <c r="U850" s="462">
        <v>43861.0</v>
      </c>
      <c r="V850" s="305">
        <v>43787.0</v>
      </c>
      <c r="W850" s="306" t="s">
        <v>1806</v>
      </c>
      <c r="X850" s="306" t="s">
        <v>3320</v>
      </c>
      <c r="Y850" s="306"/>
      <c r="Z850" s="306" t="s">
        <v>3319</v>
      </c>
      <c r="AA850" s="306">
        <v>4.988762111E9</v>
      </c>
      <c r="AB850" s="537"/>
      <c r="AC850" s="306"/>
      <c r="AD850" s="306"/>
      <c r="AE850" s="298"/>
      <c r="AF850" s="306">
        <v>30.465</v>
      </c>
      <c r="AG850" s="299"/>
      <c r="AH850" s="29">
        <v>43766.0</v>
      </c>
      <c r="AI850" s="299" t="s">
        <v>3321</v>
      </c>
      <c r="AJ850" s="299" t="s">
        <v>3322</v>
      </c>
      <c r="AK850" s="298" t="s">
        <v>50</v>
      </c>
      <c r="AL850" s="298" t="s">
        <v>285</v>
      </c>
      <c r="AM850" s="298" t="s">
        <v>51</v>
      </c>
      <c r="AN850" s="298" t="s">
        <v>52</v>
      </c>
      <c r="AO850" s="459" t="s">
        <v>763</v>
      </c>
    </row>
    <row r="851" ht="15.75" customHeight="1">
      <c r="A851" s="69">
        <v>43763.0</v>
      </c>
      <c r="B851" s="309" t="s">
        <v>464</v>
      </c>
      <c r="C851" s="408" t="s">
        <v>1809</v>
      </c>
      <c r="D851" s="59" t="s">
        <v>1810</v>
      </c>
      <c r="E851" s="555" t="s">
        <v>1811</v>
      </c>
      <c r="F851" s="54">
        <v>1.0</v>
      </c>
      <c r="G851" s="48">
        <v>470.0</v>
      </c>
      <c r="H851" s="26">
        <f>F851*G851</f>
        <v>470</v>
      </c>
      <c r="I851" s="61" t="s">
        <v>105</v>
      </c>
      <c r="J851" s="50" t="s">
        <v>1812</v>
      </c>
      <c r="K851" s="30">
        <v>43795.0</v>
      </c>
      <c r="L851" s="30">
        <v>43794.0</v>
      </c>
      <c r="M851" s="50" t="s">
        <v>1537</v>
      </c>
      <c r="N851" s="93">
        <v>2.019103000001E12</v>
      </c>
      <c r="O851" s="408"/>
      <c r="P851" s="408"/>
      <c r="Q851" s="408"/>
      <c r="R851" s="408"/>
      <c r="S851" s="408">
        <v>11820.0</v>
      </c>
      <c r="T851" s="503"/>
      <c r="U851" s="462">
        <v>43835.0</v>
      </c>
      <c r="V851" s="305">
        <v>43794.0</v>
      </c>
      <c r="W851" s="306" t="s">
        <v>1813</v>
      </c>
      <c r="X851" s="306">
        <v>11820.0</v>
      </c>
      <c r="Y851" s="306"/>
      <c r="Z851" s="306" t="s">
        <v>3323</v>
      </c>
      <c r="AA851" s="306">
        <v>1.04278163E8</v>
      </c>
      <c r="AB851" s="408">
        <v>30.465</v>
      </c>
      <c r="AC851" s="306"/>
      <c r="AD851" s="306"/>
      <c r="AE851" s="298"/>
      <c r="AF851" s="306"/>
      <c r="AG851" s="299"/>
      <c r="AH851" s="539"/>
      <c r="AI851" s="299"/>
      <c r="AJ851" s="299"/>
      <c r="AK851" s="298" t="s">
        <v>50</v>
      </c>
      <c r="AL851" s="298" t="s">
        <v>285</v>
      </c>
      <c r="AM851" s="298" t="s">
        <v>286</v>
      </c>
      <c r="AN851" s="298" t="s">
        <v>52</v>
      </c>
      <c r="AO851" s="459" t="s">
        <v>763</v>
      </c>
    </row>
    <row r="852" ht="15.75" customHeight="1">
      <c r="A852" s="19">
        <v>43763.0</v>
      </c>
      <c r="B852" s="51" t="s">
        <v>77</v>
      </c>
      <c r="C852" s="21">
        <v>792.0</v>
      </c>
      <c r="D852" s="59" t="s">
        <v>1814</v>
      </c>
      <c r="E852" s="32" t="s">
        <v>720</v>
      </c>
      <c r="F852" s="82">
        <v>50.0</v>
      </c>
      <c r="G852" s="47">
        <v>1.9</v>
      </c>
      <c r="H852" s="60">
        <f t="shared" ref="H852:H886" si="122">G852*F852</f>
        <v>95</v>
      </c>
      <c r="I852" s="61" t="s">
        <v>43</v>
      </c>
      <c r="J852" s="82" t="s">
        <v>936</v>
      </c>
      <c r="K852" s="30">
        <v>43769.0</v>
      </c>
      <c r="L852" s="82" t="s">
        <v>179</v>
      </c>
      <c r="M852" s="50" t="s">
        <v>179</v>
      </c>
      <c r="N852" s="93"/>
      <c r="O852" s="408"/>
      <c r="P852" s="408"/>
      <c r="Q852" s="408">
        <f t="shared" ref="Q852:Q855" si="123">(P852*F852)*1.05</f>
        <v>0</v>
      </c>
      <c r="R852" s="408"/>
      <c r="S852" s="408">
        <v>2783.0</v>
      </c>
      <c r="T852" s="503"/>
      <c r="U852" s="306"/>
      <c r="V852" s="306"/>
      <c r="W852" s="306"/>
      <c r="X852" s="306"/>
      <c r="Y852" s="306"/>
      <c r="Z852" s="306"/>
      <c r="AA852" s="306"/>
      <c r="AB852" s="537"/>
      <c r="AC852" s="306"/>
      <c r="AD852" s="306"/>
      <c r="AE852" s="298"/>
      <c r="AF852" s="306"/>
      <c r="AG852" s="299"/>
      <c r="AH852" s="539"/>
      <c r="AI852" s="300">
        <v>43803.0</v>
      </c>
      <c r="AJ852" s="299"/>
      <c r="AK852" s="298" t="s">
        <v>50</v>
      </c>
      <c r="AL852" s="298" t="s">
        <v>285</v>
      </c>
      <c r="AM852" s="298" t="s">
        <v>51</v>
      </c>
      <c r="AN852" s="298" t="s">
        <v>52</v>
      </c>
      <c r="AO852" s="459" t="s">
        <v>763</v>
      </c>
    </row>
    <row r="853" ht="15.75" customHeight="1">
      <c r="A853" s="69">
        <v>43765.0</v>
      </c>
      <c r="B853" s="309" t="s">
        <v>40</v>
      </c>
      <c r="C853" s="21">
        <v>2031536.0</v>
      </c>
      <c r="D853" s="59" t="s">
        <v>1815</v>
      </c>
      <c r="E853" s="32" t="s">
        <v>1816</v>
      </c>
      <c r="F853" s="24">
        <v>3.0</v>
      </c>
      <c r="G853" s="48">
        <v>1335.0</v>
      </c>
      <c r="H853" s="60">
        <f t="shared" si="122"/>
        <v>4005</v>
      </c>
      <c r="I853" s="61" t="s">
        <v>43</v>
      </c>
      <c r="J853" s="50" t="s">
        <v>1817</v>
      </c>
      <c r="K853" s="30">
        <v>43788.0</v>
      </c>
      <c r="L853" s="30">
        <v>43787.0</v>
      </c>
      <c r="M853" s="50" t="s">
        <v>3116</v>
      </c>
      <c r="N853" s="93">
        <v>2.019102800001E12</v>
      </c>
      <c r="O853" s="408"/>
      <c r="P853" s="408"/>
      <c r="Q853" s="408">
        <f t="shared" si="123"/>
        <v>0</v>
      </c>
      <c r="R853" s="408"/>
      <c r="S853" s="723">
        <f>(988*3*30.49)*1.05</f>
        <v>94890.978</v>
      </c>
      <c r="T853" s="503"/>
      <c r="U853" s="306"/>
      <c r="V853" s="306"/>
      <c r="W853" s="306"/>
      <c r="X853" s="306"/>
      <c r="Y853" s="306"/>
      <c r="Z853" s="306" t="s">
        <v>3324</v>
      </c>
      <c r="AA853" s="306" t="s">
        <v>3325</v>
      </c>
      <c r="AB853" s="537"/>
      <c r="AC853" s="306"/>
      <c r="AD853" s="306"/>
      <c r="AE853" s="298"/>
      <c r="AF853" s="306">
        <v>30.295</v>
      </c>
      <c r="AG853" s="299"/>
      <c r="AH853" s="300">
        <v>43808.0</v>
      </c>
      <c r="AI853" s="299">
        <f>4208.43*30.439</f>
        <v>128100.4008</v>
      </c>
      <c r="AJ853" s="299">
        <f>6.57*30.439</f>
        <v>199.98423</v>
      </c>
      <c r="AK853" s="298" t="s">
        <v>50</v>
      </c>
      <c r="AL853" s="298" t="s">
        <v>285</v>
      </c>
      <c r="AM853" s="298" t="s">
        <v>286</v>
      </c>
      <c r="AN853" s="298" t="s">
        <v>52</v>
      </c>
      <c r="AO853" s="459" t="s">
        <v>763</v>
      </c>
    </row>
    <row r="854" ht="15.75" customHeight="1">
      <c r="A854" s="69">
        <v>43765.0</v>
      </c>
      <c r="B854" s="309" t="s">
        <v>40</v>
      </c>
      <c r="C854" s="21">
        <v>2030683.0</v>
      </c>
      <c r="D854" s="59" t="s">
        <v>1815</v>
      </c>
      <c r="E854" s="32" t="s">
        <v>1658</v>
      </c>
      <c r="F854" s="24">
        <v>3.0</v>
      </c>
      <c r="G854" s="48">
        <v>70.0</v>
      </c>
      <c r="H854" s="60">
        <f t="shared" si="122"/>
        <v>210</v>
      </c>
      <c r="I854" s="61" t="s">
        <v>43</v>
      </c>
      <c r="J854" s="50" t="s">
        <v>1817</v>
      </c>
      <c r="K854" s="30">
        <v>43788.0</v>
      </c>
      <c r="L854" s="50" t="s">
        <v>179</v>
      </c>
      <c r="M854" s="50" t="s">
        <v>179</v>
      </c>
      <c r="N854" s="93"/>
      <c r="O854" s="408"/>
      <c r="P854" s="408"/>
      <c r="Q854" s="408">
        <f t="shared" si="123"/>
        <v>0</v>
      </c>
      <c r="R854" s="408"/>
      <c r="S854" s="723">
        <f>(1413*3)*1.05</f>
        <v>4450.95</v>
      </c>
      <c r="T854" s="503"/>
      <c r="U854" s="306"/>
      <c r="V854" s="306"/>
      <c r="W854" s="306"/>
      <c r="X854" s="306"/>
      <c r="Y854" s="306"/>
      <c r="Z854" s="306" t="s">
        <v>3324</v>
      </c>
      <c r="AA854" s="306" t="s">
        <v>3325</v>
      </c>
      <c r="AB854" s="537"/>
      <c r="AC854" s="306"/>
      <c r="AD854" s="306"/>
      <c r="AE854" s="298"/>
      <c r="AF854" s="306">
        <v>30.295</v>
      </c>
      <c r="AG854" s="299"/>
      <c r="AH854" s="300">
        <v>43808.0</v>
      </c>
      <c r="AI854" s="299" t="s">
        <v>3326</v>
      </c>
      <c r="AJ854" s="299" t="s">
        <v>3327</v>
      </c>
      <c r="AK854" s="298" t="s">
        <v>50</v>
      </c>
      <c r="AL854" s="298" t="s">
        <v>285</v>
      </c>
      <c r="AM854" s="298" t="s">
        <v>286</v>
      </c>
      <c r="AN854" s="298" t="s">
        <v>52</v>
      </c>
      <c r="AO854" s="459" t="s">
        <v>763</v>
      </c>
    </row>
    <row r="855" ht="15.75" customHeight="1">
      <c r="A855" s="110">
        <v>43767.0</v>
      </c>
      <c r="B855" s="72" t="s">
        <v>406</v>
      </c>
      <c r="C855" s="71">
        <v>7.000151328E9</v>
      </c>
      <c r="D855" s="71" t="s">
        <v>1818</v>
      </c>
      <c r="E855" s="72" t="s">
        <v>519</v>
      </c>
      <c r="F855" s="114">
        <v>50.0</v>
      </c>
      <c r="G855" s="115">
        <v>141.8</v>
      </c>
      <c r="H855" s="60">
        <f t="shared" si="122"/>
        <v>7090</v>
      </c>
      <c r="I855" s="61" t="s">
        <v>43</v>
      </c>
      <c r="J855" s="50" t="s">
        <v>513</v>
      </c>
      <c r="K855" s="30">
        <v>43769.0</v>
      </c>
      <c r="L855" s="29">
        <v>43769.0</v>
      </c>
      <c r="M855" s="58" t="s">
        <v>2078</v>
      </c>
      <c r="N855" s="93" t="s">
        <v>3328</v>
      </c>
      <c r="O855" s="408">
        <v>2.019103100001E12</v>
      </c>
      <c r="P855" s="408"/>
      <c r="Q855" s="408">
        <f t="shared" si="123"/>
        <v>0</v>
      </c>
      <c r="R855" s="408"/>
      <c r="S855" s="408">
        <v>207585.0</v>
      </c>
      <c r="T855" s="503" t="s">
        <v>2080</v>
      </c>
      <c r="U855" s="462">
        <v>43861.0</v>
      </c>
      <c r="V855" s="305">
        <v>43768.0</v>
      </c>
      <c r="W855" s="306" t="s">
        <v>1819</v>
      </c>
      <c r="X855" s="306">
        <v>207585.0</v>
      </c>
      <c r="Y855" s="306"/>
      <c r="Z855" s="306" t="s">
        <v>3329</v>
      </c>
      <c r="AA855" s="306">
        <v>6.446859506E9</v>
      </c>
      <c r="AB855" s="537"/>
      <c r="AC855" s="306"/>
      <c r="AD855" s="306"/>
      <c r="AE855" s="298"/>
      <c r="AF855" s="306">
        <v>30.62</v>
      </c>
      <c r="AG855" s="299"/>
      <c r="AH855" s="300">
        <v>43805.0</v>
      </c>
      <c r="AI855" s="299">
        <f>7061.43*30.44</f>
        <v>214949.9292</v>
      </c>
      <c r="AJ855" s="299">
        <f>(7090-7061.43)*30.44</f>
        <v>869.6708</v>
      </c>
      <c r="AK855" s="298" t="s">
        <v>50</v>
      </c>
      <c r="AL855" s="298" t="s">
        <v>285</v>
      </c>
      <c r="AM855" s="298" t="s">
        <v>51</v>
      </c>
      <c r="AN855" s="298" t="s">
        <v>52</v>
      </c>
      <c r="AO855" s="459" t="s">
        <v>763</v>
      </c>
    </row>
    <row r="856" ht="15.75" customHeight="1">
      <c r="A856" s="69">
        <v>43767.0</v>
      </c>
      <c r="B856" s="70" t="s">
        <v>101</v>
      </c>
      <c r="C856" s="21" t="s">
        <v>1820</v>
      </c>
      <c r="D856" s="80" t="s">
        <v>1821</v>
      </c>
      <c r="E856" s="23" t="s">
        <v>1822</v>
      </c>
      <c r="F856" s="24">
        <v>5.0</v>
      </c>
      <c r="G856" s="48">
        <v>576.0</v>
      </c>
      <c r="H856" s="60">
        <f t="shared" si="122"/>
        <v>2880</v>
      </c>
      <c r="I856" s="61" t="s">
        <v>105</v>
      </c>
      <c r="J856" s="50" t="s">
        <v>1056</v>
      </c>
      <c r="K856" s="29">
        <v>43790.0</v>
      </c>
      <c r="L856" s="30">
        <v>43781.0</v>
      </c>
      <c r="M856" s="82" t="s">
        <v>3330</v>
      </c>
      <c r="N856" s="93" t="s">
        <v>3331</v>
      </c>
      <c r="O856" s="408"/>
      <c r="P856" s="408"/>
      <c r="Q856" s="408"/>
      <c r="R856" s="408">
        <v>80905.0</v>
      </c>
      <c r="S856" s="408">
        <v>84950.0</v>
      </c>
      <c r="T856" s="503"/>
      <c r="U856" s="305">
        <v>43830.0</v>
      </c>
      <c r="V856" s="305">
        <v>43780.0</v>
      </c>
      <c r="W856" s="306" t="s">
        <v>1823</v>
      </c>
      <c r="X856" s="306">
        <v>150293.0</v>
      </c>
      <c r="Y856" s="306"/>
      <c r="Z856" s="306" t="s">
        <v>3332</v>
      </c>
      <c r="AA856" s="306">
        <v>1.594616741E9</v>
      </c>
      <c r="AB856" s="537"/>
      <c r="AC856" s="306"/>
      <c r="AD856" s="306"/>
      <c r="AE856" s="298"/>
      <c r="AF856" s="306">
        <v>30.465</v>
      </c>
      <c r="AG856" s="299"/>
      <c r="AH856" s="300">
        <v>43845.0</v>
      </c>
      <c r="AI856" s="299">
        <f>8799.3*29.852</f>
        <v>262676.7036</v>
      </c>
      <c r="AJ856" s="299">
        <f>(8853-8799.3)*29.852</f>
        <v>1603.0524</v>
      </c>
      <c r="AK856" s="298" t="s">
        <v>50</v>
      </c>
      <c r="AL856" s="298" t="s">
        <v>285</v>
      </c>
      <c r="AM856" s="298" t="s">
        <v>51</v>
      </c>
      <c r="AN856" s="298" t="s">
        <v>52</v>
      </c>
      <c r="AO856" s="459" t="s">
        <v>763</v>
      </c>
    </row>
    <row r="857" ht="15.75" customHeight="1">
      <c r="A857" s="69">
        <v>43767.0</v>
      </c>
      <c r="B857" s="70" t="s">
        <v>101</v>
      </c>
      <c r="C857" s="21" t="s">
        <v>1820</v>
      </c>
      <c r="D857" s="80" t="s">
        <v>1821</v>
      </c>
      <c r="E857" s="32" t="s">
        <v>1824</v>
      </c>
      <c r="F857" s="24">
        <v>5.0</v>
      </c>
      <c r="G857" s="48">
        <v>225.0</v>
      </c>
      <c r="H857" s="60">
        <f t="shared" si="122"/>
        <v>1125</v>
      </c>
      <c r="I857" s="61" t="s">
        <v>105</v>
      </c>
      <c r="J857" s="50" t="s">
        <v>1056</v>
      </c>
      <c r="K857" s="29">
        <v>43790.0</v>
      </c>
      <c r="L857" s="30">
        <v>43783.0</v>
      </c>
      <c r="M857" s="50" t="s">
        <v>107</v>
      </c>
      <c r="N857" s="93" t="s">
        <v>3333</v>
      </c>
      <c r="O857" s="408"/>
      <c r="P857" s="408">
        <v>195.0</v>
      </c>
      <c r="Q857" s="408">
        <f>(P857*F857)*1.05</f>
        <v>1023.75</v>
      </c>
      <c r="R857" s="627">
        <f>P857*30.5</f>
        <v>5947.5</v>
      </c>
      <c r="S857" s="627">
        <v>31225.0</v>
      </c>
      <c r="T857" s="503"/>
      <c r="U857" s="462">
        <v>43830.0</v>
      </c>
      <c r="V857" s="305">
        <v>43783.0</v>
      </c>
      <c r="W857" s="306" t="s">
        <v>1825</v>
      </c>
      <c r="X857" s="306">
        <v>31225.0</v>
      </c>
      <c r="Y857" s="306"/>
      <c r="Z857" s="306" t="s">
        <v>3332</v>
      </c>
      <c r="AA857" s="306">
        <v>1.594616741E9</v>
      </c>
      <c r="AB857" s="537"/>
      <c r="AC857" s="306"/>
      <c r="AD857" s="306"/>
      <c r="AE857" s="298"/>
      <c r="AF857" s="517">
        <v>30.465</v>
      </c>
      <c r="AG857" s="299"/>
      <c r="AH857" s="300">
        <v>43845.0</v>
      </c>
      <c r="AI857" s="299" t="s">
        <v>3321</v>
      </c>
      <c r="AJ857" s="299" t="s">
        <v>3334</v>
      </c>
      <c r="AK857" s="298" t="s">
        <v>50</v>
      </c>
      <c r="AL857" s="298" t="s">
        <v>285</v>
      </c>
      <c r="AM857" s="298" t="s">
        <v>51</v>
      </c>
      <c r="AN857" s="298" t="s">
        <v>52</v>
      </c>
      <c r="AO857" s="459" t="s">
        <v>763</v>
      </c>
    </row>
    <row r="858" ht="15.75" customHeight="1">
      <c r="A858" s="69">
        <v>43767.0</v>
      </c>
      <c r="B858" s="70" t="s">
        <v>101</v>
      </c>
      <c r="C858" s="21" t="s">
        <v>1820</v>
      </c>
      <c r="D858" s="80" t="s">
        <v>1821</v>
      </c>
      <c r="E858" s="32" t="s">
        <v>1826</v>
      </c>
      <c r="F858" s="24">
        <v>5.0</v>
      </c>
      <c r="G858" s="48">
        <v>54.0</v>
      </c>
      <c r="H858" s="60">
        <f t="shared" si="122"/>
        <v>270</v>
      </c>
      <c r="I858" s="61" t="s">
        <v>105</v>
      </c>
      <c r="J858" s="50" t="s">
        <v>1056</v>
      </c>
      <c r="K858" s="29">
        <v>43790.0</v>
      </c>
      <c r="L858" s="30">
        <v>43769.0</v>
      </c>
      <c r="M858" s="58" t="s">
        <v>3335</v>
      </c>
      <c r="N858" s="93" t="s">
        <v>3336</v>
      </c>
      <c r="O858" s="408"/>
      <c r="P858" s="408"/>
      <c r="Q858" s="408"/>
      <c r="R858" s="408">
        <v>1088.85</v>
      </c>
      <c r="S858" s="408">
        <v>5716.0</v>
      </c>
      <c r="T858" s="51" t="s">
        <v>1983</v>
      </c>
      <c r="U858" s="462">
        <v>43804.0</v>
      </c>
      <c r="V858" s="305">
        <v>43769.0</v>
      </c>
      <c r="W858" s="306" t="s">
        <v>1827</v>
      </c>
      <c r="X858" s="306">
        <v>5716.0</v>
      </c>
      <c r="Y858" s="306"/>
      <c r="Z858" s="306" t="s">
        <v>3332</v>
      </c>
      <c r="AA858" s="306">
        <v>1.594616741E9</v>
      </c>
      <c r="AB858" s="537"/>
      <c r="AC858" s="306"/>
      <c r="AD858" s="306"/>
      <c r="AE858" s="298"/>
      <c r="AF858" s="517">
        <v>30.465</v>
      </c>
      <c r="AG858" s="299"/>
      <c r="AH858" s="300">
        <v>43845.0</v>
      </c>
      <c r="AI858" s="299" t="s">
        <v>3321</v>
      </c>
      <c r="AJ858" s="299" t="s">
        <v>3334</v>
      </c>
      <c r="AK858" s="298" t="s">
        <v>50</v>
      </c>
      <c r="AL858" s="298" t="s">
        <v>285</v>
      </c>
      <c r="AM858" s="298" t="s">
        <v>51</v>
      </c>
      <c r="AN858" s="298" t="s">
        <v>52</v>
      </c>
      <c r="AO858" s="459" t="s">
        <v>763</v>
      </c>
    </row>
    <row r="859" ht="15.75" customHeight="1">
      <c r="A859" s="69">
        <v>43767.0</v>
      </c>
      <c r="B859" s="70" t="s">
        <v>101</v>
      </c>
      <c r="C859" s="21" t="s">
        <v>1828</v>
      </c>
      <c r="D859" s="73" t="s">
        <v>1829</v>
      </c>
      <c r="E859" s="32" t="s">
        <v>1830</v>
      </c>
      <c r="F859" s="24">
        <v>3.0</v>
      </c>
      <c r="G859" s="48">
        <v>339.0</v>
      </c>
      <c r="H859" s="216">
        <f t="shared" si="122"/>
        <v>1017</v>
      </c>
      <c r="I859" s="61" t="s">
        <v>105</v>
      </c>
      <c r="J859" s="50" t="s">
        <v>1056</v>
      </c>
      <c r="K859" s="29">
        <v>43790.0</v>
      </c>
      <c r="L859" s="30">
        <v>43781.0</v>
      </c>
      <c r="M859" s="82" t="s">
        <v>3330</v>
      </c>
      <c r="N859" s="734" t="s">
        <v>3337</v>
      </c>
      <c r="O859" s="556"/>
      <c r="P859" s="82"/>
      <c r="Q859" s="47"/>
      <c r="R859" s="470">
        <v>26835.0</v>
      </c>
      <c r="S859" s="408">
        <v>28177.0</v>
      </c>
      <c r="T859" s="407" t="s">
        <v>0</v>
      </c>
      <c r="U859" s="305">
        <v>43830.0</v>
      </c>
      <c r="V859" s="305">
        <v>43780.0</v>
      </c>
      <c r="W859" s="306" t="s">
        <v>1823</v>
      </c>
      <c r="X859" s="21" t="s">
        <v>3338</v>
      </c>
      <c r="Y859" s="556"/>
      <c r="Z859" s="306" t="s">
        <v>3332</v>
      </c>
      <c r="AA859" s="306">
        <v>1.594616741E9</v>
      </c>
      <c r="AB859" s="537"/>
      <c r="AC859" s="298" t="s">
        <v>0</v>
      </c>
      <c r="AD859" s="50" t="s">
        <v>0</v>
      </c>
      <c r="AE859" s="30"/>
      <c r="AF859" s="517">
        <v>30.465</v>
      </c>
      <c r="AG859" s="21"/>
      <c r="AH859" s="300">
        <v>43845.0</v>
      </c>
      <c r="AI859" s="299" t="s">
        <v>3321</v>
      </c>
      <c r="AJ859" s="299" t="s">
        <v>3334</v>
      </c>
      <c r="AK859" s="298" t="s">
        <v>50</v>
      </c>
      <c r="AL859" s="298" t="s">
        <v>285</v>
      </c>
      <c r="AM859" s="298" t="s">
        <v>51</v>
      </c>
      <c r="AN859" s="298" t="s">
        <v>52</v>
      </c>
      <c r="AO859" s="459" t="s">
        <v>763</v>
      </c>
    </row>
    <row r="860" ht="15.75" customHeight="1">
      <c r="A860" s="69">
        <v>43767.0</v>
      </c>
      <c r="B860" s="70" t="s">
        <v>101</v>
      </c>
      <c r="C860" s="21" t="s">
        <v>1828</v>
      </c>
      <c r="D860" s="73" t="s">
        <v>1829</v>
      </c>
      <c r="E860" s="32" t="s">
        <v>1831</v>
      </c>
      <c r="F860" s="24">
        <v>3.0</v>
      </c>
      <c r="G860" s="48">
        <v>322.0</v>
      </c>
      <c r="H860" s="60">
        <f t="shared" si="122"/>
        <v>966</v>
      </c>
      <c r="I860" s="61" t="s">
        <v>105</v>
      </c>
      <c r="J860" s="50" t="s">
        <v>1056</v>
      </c>
      <c r="K860" s="29">
        <v>43790.0</v>
      </c>
      <c r="L860" s="30">
        <v>43781.0</v>
      </c>
      <c r="M860" s="82" t="s">
        <v>3330</v>
      </c>
      <c r="N860" s="734" t="s">
        <v>3337</v>
      </c>
      <c r="O860" s="408"/>
      <c r="P860" s="408"/>
      <c r="Q860" s="408">
        <f t="shared" ref="Q860:Q871" si="124">(P860*F860)*1.05</f>
        <v>0</v>
      </c>
      <c r="R860" s="408">
        <v>25920.0</v>
      </c>
      <c r="S860" s="408">
        <v>27216.0</v>
      </c>
      <c r="T860" s="503"/>
      <c r="U860" s="305">
        <v>43830.0</v>
      </c>
      <c r="V860" s="305">
        <v>43780.0</v>
      </c>
      <c r="W860" s="306" t="s">
        <v>1823</v>
      </c>
      <c r="X860" s="21" t="s">
        <v>3338</v>
      </c>
      <c r="Y860" s="306"/>
      <c r="Z860" s="306" t="s">
        <v>3332</v>
      </c>
      <c r="AA860" s="306">
        <v>1.594616741E9</v>
      </c>
      <c r="AB860" s="537"/>
      <c r="AC860" s="306"/>
      <c r="AD860" s="306"/>
      <c r="AE860" s="298"/>
      <c r="AF860" s="517">
        <v>30.465</v>
      </c>
      <c r="AG860" s="299"/>
      <c r="AH860" s="300">
        <v>43845.0</v>
      </c>
      <c r="AI860" s="299" t="s">
        <v>3321</v>
      </c>
      <c r="AJ860" s="299" t="s">
        <v>3334</v>
      </c>
      <c r="AK860" s="298" t="s">
        <v>50</v>
      </c>
      <c r="AL860" s="298" t="s">
        <v>285</v>
      </c>
      <c r="AM860" s="298" t="s">
        <v>51</v>
      </c>
      <c r="AN860" s="298" t="s">
        <v>52</v>
      </c>
      <c r="AO860" s="459" t="s">
        <v>763</v>
      </c>
    </row>
    <row r="861" ht="15.75" customHeight="1">
      <c r="A861" s="69">
        <v>43767.0</v>
      </c>
      <c r="B861" s="70" t="s">
        <v>101</v>
      </c>
      <c r="C861" s="21" t="s">
        <v>1828</v>
      </c>
      <c r="D861" s="73" t="s">
        <v>1829</v>
      </c>
      <c r="E861" s="32" t="s">
        <v>1832</v>
      </c>
      <c r="F861" s="24">
        <v>6.0</v>
      </c>
      <c r="G861" s="48">
        <v>42.0</v>
      </c>
      <c r="H861" s="60">
        <f t="shared" si="122"/>
        <v>252</v>
      </c>
      <c r="I861" s="61" t="s">
        <v>105</v>
      </c>
      <c r="J861" s="50" t="s">
        <v>1056</v>
      </c>
      <c r="K861" s="29">
        <v>43790.0</v>
      </c>
      <c r="L861" s="30">
        <v>43770.0</v>
      </c>
      <c r="M861" s="58" t="s">
        <v>3335</v>
      </c>
      <c r="N861" s="21" t="s">
        <v>3339</v>
      </c>
      <c r="O861" s="556"/>
      <c r="P861" s="352">
        <v>39.7</v>
      </c>
      <c r="Q861" s="408">
        <f t="shared" si="124"/>
        <v>250.11</v>
      </c>
      <c r="R861" s="470">
        <v>1210.0</v>
      </c>
      <c r="S861" s="627">
        <v>7623.0</v>
      </c>
      <c r="T861" s="51" t="s">
        <v>1983</v>
      </c>
      <c r="U861" s="30">
        <v>43804.0</v>
      </c>
      <c r="V861" s="557">
        <v>43770.0</v>
      </c>
      <c r="W861" s="21" t="s">
        <v>1833</v>
      </c>
      <c r="X861" s="21">
        <v>7623.0</v>
      </c>
      <c r="Y861" s="556"/>
      <c r="Z861" s="306" t="s">
        <v>3332</v>
      </c>
      <c r="AA861" s="306">
        <v>1.594616741E9</v>
      </c>
      <c r="AB861" s="537"/>
      <c r="AC861" s="298" t="s">
        <v>0</v>
      </c>
      <c r="AD861" s="50" t="s">
        <v>0</v>
      </c>
      <c r="AE861" s="30"/>
      <c r="AF861" s="517">
        <v>30.465</v>
      </c>
      <c r="AG861" s="21"/>
      <c r="AH861" s="300">
        <v>43845.0</v>
      </c>
      <c r="AI861" s="299" t="s">
        <v>3321</v>
      </c>
      <c r="AJ861" s="299" t="s">
        <v>3334</v>
      </c>
      <c r="AK861" s="298" t="s">
        <v>50</v>
      </c>
      <c r="AL861" s="298" t="s">
        <v>285</v>
      </c>
      <c r="AM861" s="298" t="s">
        <v>51</v>
      </c>
      <c r="AN861" s="298" t="s">
        <v>52</v>
      </c>
      <c r="AO861" s="459" t="s">
        <v>763</v>
      </c>
    </row>
    <row r="862" ht="15.75" customHeight="1">
      <c r="A862" s="69">
        <v>43767.0</v>
      </c>
      <c r="B862" s="70" t="s">
        <v>101</v>
      </c>
      <c r="C862" s="21" t="s">
        <v>1834</v>
      </c>
      <c r="D862" s="71" t="s">
        <v>1835</v>
      </c>
      <c r="E862" s="32" t="s">
        <v>1836</v>
      </c>
      <c r="F862" s="24">
        <v>2.0</v>
      </c>
      <c r="G862" s="48">
        <v>994.0</v>
      </c>
      <c r="H862" s="60">
        <f t="shared" si="122"/>
        <v>1988</v>
      </c>
      <c r="I862" s="61" t="s">
        <v>105</v>
      </c>
      <c r="J862" s="50" t="s">
        <v>1056</v>
      </c>
      <c r="K862" s="29">
        <v>43790.0</v>
      </c>
      <c r="L862" s="735">
        <v>43783.0</v>
      </c>
      <c r="M862" s="50" t="s">
        <v>3340</v>
      </c>
      <c r="N862" s="93" t="s">
        <v>3341</v>
      </c>
      <c r="O862" s="408"/>
      <c r="P862" s="408"/>
      <c r="Q862" s="408">
        <f t="shared" si="124"/>
        <v>0</v>
      </c>
      <c r="R862" s="408"/>
      <c r="S862" s="408">
        <v>56612.0</v>
      </c>
      <c r="T862" s="503"/>
      <c r="U862" s="462">
        <v>43804.0</v>
      </c>
      <c r="V862" s="305">
        <v>43782.0</v>
      </c>
      <c r="W862" s="306" t="s">
        <v>1837</v>
      </c>
      <c r="X862" s="306">
        <v>56612.0</v>
      </c>
      <c r="Y862" s="306"/>
      <c r="Z862" s="306" t="s">
        <v>3332</v>
      </c>
      <c r="AA862" s="306">
        <v>1.594616741E9</v>
      </c>
      <c r="AB862" s="537"/>
      <c r="AC862" s="306"/>
      <c r="AD862" s="306"/>
      <c r="AE862" s="298"/>
      <c r="AF862" s="517">
        <v>30.465</v>
      </c>
      <c r="AG862" s="299"/>
      <c r="AH862" s="300">
        <v>43845.0</v>
      </c>
      <c r="AI862" s="299" t="s">
        <v>3321</v>
      </c>
      <c r="AJ862" s="299" t="s">
        <v>3334</v>
      </c>
      <c r="AK862" s="298" t="s">
        <v>50</v>
      </c>
      <c r="AL862" s="298" t="s">
        <v>285</v>
      </c>
      <c r="AM862" s="298" t="s">
        <v>51</v>
      </c>
      <c r="AN862" s="298" t="s">
        <v>52</v>
      </c>
      <c r="AO862" s="459" t="s">
        <v>763</v>
      </c>
    </row>
    <row r="863" ht="15.75" customHeight="1">
      <c r="A863" s="69">
        <v>43768.0</v>
      </c>
      <c r="B863" s="23" t="s">
        <v>406</v>
      </c>
      <c r="C863" s="21">
        <v>7.000151353E9</v>
      </c>
      <c r="D863" s="71" t="s">
        <v>1838</v>
      </c>
      <c r="E863" s="32" t="s">
        <v>519</v>
      </c>
      <c r="F863" s="24">
        <v>1.0</v>
      </c>
      <c r="G863" s="48">
        <v>141.8</v>
      </c>
      <c r="H863" s="216">
        <f t="shared" si="122"/>
        <v>141.8</v>
      </c>
      <c r="I863" s="61" t="s">
        <v>43</v>
      </c>
      <c r="J863" s="50" t="s">
        <v>513</v>
      </c>
      <c r="K863" s="30">
        <v>43774.0</v>
      </c>
      <c r="L863" s="29">
        <v>43773.0</v>
      </c>
      <c r="M863" s="58" t="s">
        <v>2078</v>
      </c>
      <c r="N863" s="93" t="s">
        <v>3342</v>
      </c>
      <c r="O863" s="408">
        <v>2.019110500002E12</v>
      </c>
      <c r="P863" s="408"/>
      <c r="Q863" s="408">
        <f t="shared" si="124"/>
        <v>0</v>
      </c>
      <c r="R863" s="411">
        <v>3954.0</v>
      </c>
      <c r="S863" s="503">
        <v>4152.0</v>
      </c>
      <c r="T863" s="408" t="s">
        <v>2080</v>
      </c>
      <c r="U863" s="558">
        <v>43861.0</v>
      </c>
      <c r="V863" s="559">
        <v>43770.0</v>
      </c>
      <c r="W863" s="306" t="s">
        <v>1839</v>
      </c>
      <c r="X863" s="517">
        <v>6262.0</v>
      </c>
      <c r="Y863" s="306"/>
      <c r="Z863" s="732" t="s">
        <v>3304</v>
      </c>
      <c r="AA863" s="306">
        <v>1.921859726E9</v>
      </c>
      <c r="AB863" s="537">
        <v>30.52</v>
      </c>
      <c r="AC863" s="721"/>
      <c r="AD863" s="306"/>
      <c r="AE863" s="560"/>
      <c r="AF863" s="517">
        <v>30.52</v>
      </c>
      <c r="AG863" s="299"/>
      <c r="AH863" s="29">
        <v>43812.0</v>
      </c>
      <c r="AI863" s="299" t="s">
        <v>3305</v>
      </c>
      <c r="AJ863" s="299" t="s">
        <v>3306</v>
      </c>
      <c r="AK863" s="298" t="s">
        <v>50</v>
      </c>
      <c r="AL863" s="298" t="s">
        <v>285</v>
      </c>
      <c r="AM863" s="298" t="s">
        <v>51</v>
      </c>
      <c r="AN863" s="298" t="s">
        <v>52</v>
      </c>
      <c r="AO863" s="459" t="s">
        <v>763</v>
      </c>
    </row>
    <row r="864" ht="15.75" customHeight="1">
      <c r="A864" s="69">
        <v>43768.0</v>
      </c>
      <c r="B864" s="23" t="s">
        <v>406</v>
      </c>
      <c r="C864" s="21">
        <v>7.000151353E9</v>
      </c>
      <c r="D864" s="71" t="s">
        <v>1838</v>
      </c>
      <c r="E864" s="32" t="s">
        <v>958</v>
      </c>
      <c r="F864" s="24">
        <v>1.0</v>
      </c>
      <c r="G864" s="48">
        <v>74.0</v>
      </c>
      <c r="H864" s="60">
        <f t="shared" si="122"/>
        <v>74</v>
      </c>
      <c r="I864" s="61" t="s">
        <v>43</v>
      </c>
      <c r="J864" s="50" t="s">
        <v>513</v>
      </c>
      <c r="K864" s="30">
        <v>43774.0</v>
      </c>
      <c r="L864" s="29">
        <v>43773.0</v>
      </c>
      <c r="M864" s="58" t="s">
        <v>2078</v>
      </c>
      <c r="N864" s="93" t="s">
        <v>3342</v>
      </c>
      <c r="O864" s="408">
        <v>2.019110500002E12</v>
      </c>
      <c r="P864" s="408"/>
      <c r="Q864" s="408">
        <f t="shared" si="124"/>
        <v>0</v>
      </c>
      <c r="R864" s="408">
        <v>2010.0</v>
      </c>
      <c r="S864" s="408">
        <v>2110.0</v>
      </c>
      <c r="T864" s="503" t="s">
        <v>2080</v>
      </c>
      <c r="U864" s="462">
        <v>43861.0</v>
      </c>
      <c r="V864" s="462">
        <v>43770.0</v>
      </c>
      <c r="W864" s="306" t="s">
        <v>1839</v>
      </c>
      <c r="X864" s="306" t="s">
        <v>3343</v>
      </c>
      <c r="Y864" s="306"/>
      <c r="Z864" s="732" t="s">
        <v>3304</v>
      </c>
      <c r="AA864" s="306">
        <v>1.921859726E9</v>
      </c>
      <c r="AB864" s="537">
        <v>30.52</v>
      </c>
      <c r="AC864" s="306"/>
      <c r="AD864" s="306"/>
      <c r="AE864" s="298"/>
      <c r="AF864" s="306">
        <v>30.52</v>
      </c>
      <c r="AG864" s="299"/>
      <c r="AH864" s="29">
        <v>43812.0</v>
      </c>
      <c r="AI864" s="299" t="s">
        <v>3305</v>
      </c>
      <c r="AJ864" s="299" t="s">
        <v>3306</v>
      </c>
      <c r="AK864" s="298" t="s">
        <v>50</v>
      </c>
      <c r="AL864" s="298" t="s">
        <v>285</v>
      </c>
      <c r="AM864" s="298" t="s">
        <v>51</v>
      </c>
      <c r="AN864" s="298" t="s">
        <v>52</v>
      </c>
      <c r="AO864" s="459" t="s">
        <v>763</v>
      </c>
    </row>
    <row r="865" ht="15.75" customHeight="1">
      <c r="A865" s="69">
        <v>43768.0</v>
      </c>
      <c r="B865" s="70" t="s">
        <v>223</v>
      </c>
      <c r="C865" s="21" t="s">
        <v>1840</v>
      </c>
      <c r="D865" s="71" t="s">
        <v>1841</v>
      </c>
      <c r="E865" s="32" t="s">
        <v>1842</v>
      </c>
      <c r="F865" s="24">
        <v>3.0</v>
      </c>
      <c r="G865" s="48">
        <v>434.7</v>
      </c>
      <c r="H865" s="60">
        <f t="shared" si="122"/>
        <v>1304.1</v>
      </c>
      <c r="I865" s="61" t="s">
        <v>144</v>
      </c>
      <c r="J865" s="50" t="s">
        <v>90</v>
      </c>
      <c r="K865" s="30">
        <v>43788.0</v>
      </c>
      <c r="L865" s="735">
        <v>43788.0</v>
      </c>
      <c r="M865" s="50" t="s">
        <v>90</v>
      </c>
      <c r="N865" s="736" t="s">
        <v>3344</v>
      </c>
      <c r="O865" s="408"/>
      <c r="P865" s="408">
        <v>377.0</v>
      </c>
      <c r="Q865" s="408">
        <f t="shared" si="124"/>
        <v>1187.55</v>
      </c>
      <c r="R865" s="411"/>
      <c r="S865" s="408">
        <v>35976.0</v>
      </c>
      <c r="T865" s="51" t="s">
        <v>94</v>
      </c>
      <c r="U865" s="561">
        <v>43830.0</v>
      </c>
      <c r="V865" s="562">
        <v>43785.0</v>
      </c>
      <c r="W865" s="306" t="s">
        <v>1843</v>
      </c>
      <c r="X865" s="563">
        <v>37885.0</v>
      </c>
      <c r="Y865" s="306"/>
      <c r="Z865" s="306" t="s">
        <v>3345</v>
      </c>
      <c r="AA865" s="306" t="s">
        <v>3346</v>
      </c>
      <c r="AB865" s="537">
        <v>30.49</v>
      </c>
      <c r="AC865" s="728">
        <v>42452.0</v>
      </c>
      <c r="AD865" s="305">
        <v>43787.0</v>
      </c>
      <c r="AE865" s="560"/>
      <c r="AF865" s="517">
        <v>30.49</v>
      </c>
      <c r="AG865" s="299"/>
      <c r="AH865" s="29">
        <v>43809.0</v>
      </c>
      <c r="AI865" s="299" t="s">
        <v>3299</v>
      </c>
      <c r="AJ865" s="299" t="s">
        <v>3300</v>
      </c>
      <c r="AK865" s="298" t="s">
        <v>50</v>
      </c>
      <c r="AL865" s="298" t="s">
        <v>285</v>
      </c>
      <c r="AM865" s="298" t="s">
        <v>51</v>
      </c>
      <c r="AN865" s="298" t="s">
        <v>377</v>
      </c>
      <c r="AO865" s="459" t="s">
        <v>763</v>
      </c>
    </row>
    <row r="866" ht="15.75" customHeight="1">
      <c r="A866" s="69">
        <v>43768.0</v>
      </c>
      <c r="B866" s="70" t="s">
        <v>223</v>
      </c>
      <c r="C866" s="21" t="s">
        <v>1840</v>
      </c>
      <c r="D866" s="71" t="s">
        <v>1841</v>
      </c>
      <c r="E866" s="32" t="s">
        <v>1844</v>
      </c>
      <c r="F866" s="24">
        <v>12.0</v>
      </c>
      <c r="G866" s="48">
        <v>7.35</v>
      </c>
      <c r="H866" s="60">
        <f t="shared" si="122"/>
        <v>88.2</v>
      </c>
      <c r="I866" s="61" t="s">
        <v>144</v>
      </c>
      <c r="J866" s="50" t="s">
        <v>90</v>
      </c>
      <c r="K866" s="30">
        <v>43788.0</v>
      </c>
      <c r="L866" s="30">
        <v>43788.0</v>
      </c>
      <c r="M866" s="50" t="s">
        <v>90</v>
      </c>
      <c r="N866" s="93" t="s">
        <v>3344</v>
      </c>
      <c r="O866" s="408"/>
      <c r="P866" s="408">
        <v>5.0</v>
      </c>
      <c r="Q866" s="408">
        <f t="shared" si="124"/>
        <v>63</v>
      </c>
      <c r="R866" s="408"/>
      <c r="S866" s="408">
        <v>1909.0</v>
      </c>
      <c r="T866" s="51" t="s">
        <v>94</v>
      </c>
      <c r="U866" s="305">
        <v>43830.0</v>
      </c>
      <c r="V866" s="305">
        <v>43785.0</v>
      </c>
      <c r="W866" s="306" t="s">
        <v>1843</v>
      </c>
      <c r="X866" s="406" t="s">
        <v>3347</v>
      </c>
      <c r="Y866" s="306"/>
      <c r="Z866" s="306" t="s">
        <v>3345</v>
      </c>
      <c r="AA866" s="306" t="s">
        <v>3346</v>
      </c>
      <c r="AB866" s="537">
        <v>30.49</v>
      </c>
      <c r="AC866" s="406" t="s">
        <v>3348</v>
      </c>
      <c r="AD866" s="305">
        <v>43787.0</v>
      </c>
      <c r="AE866" s="298"/>
      <c r="AF866" s="306">
        <v>30.49</v>
      </c>
      <c r="AG866" s="299"/>
      <c r="AH866" s="29">
        <v>43809.0</v>
      </c>
      <c r="AI866" s="299" t="s">
        <v>3299</v>
      </c>
      <c r="AJ866" s="299" t="s">
        <v>3300</v>
      </c>
      <c r="AK866" s="298" t="s">
        <v>50</v>
      </c>
      <c r="AL866" s="298" t="s">
        <v>285</v>
      </c>
      <c r="AM866" s="298" t="s">
        <v>51</v>
      </c>
      <c r="AN866" s="298" t="s">
        <v>377</v>
      </c>
      <c r="AO866" s="459" t="s">
        <v>763</v>
      </c>
    </row>
    <row r="867" ht="15.75" customHeight="1">
      <c r="A867" s="69">
        <v>43768.0</v>
      </c>
      <c r="B867" s="23" t="s">
        <v>213</v>
      </c>
      <c r="C867" s="21" t="s">
        <v>1845</v>
      </c>
      <c r="D867" s="71" t="s">
        <v>1846</v>
      </c>
      <c r="E867" s="32" t="s">
        <v>1847</v>
      </c>
      <c r="F867" s="24">
        <v>2.0</v>
      </c>
      <c r="G867" s="48">
        <v>226.0</v>
      </c>
      <c r="H867" s="60">
        <f t="shared" si="122"/>
        <v>452</v>
      </c>
      <c r="I867" s="61" t="s">
        <v>144</v>
      </c>
      <c r="J867" s="58" t="s">
        <v>217</v>
      </c>
      <c r="K867" s="30">
        <v>43780.0</v>
      </c>
      <c r="L867" s="29">
        <v>43775.0</v>
      </c>
      <c r="M867" s="58" t="s">
        <v>2078</v>
      </c>
      <c r="N867" s="93" t="s">
        <v>3349</v>
      </c>
      <c r="O867" s="408"/>
      <c r="P867" s="408">
        <v>201.0</v>
      </c>
      <c r="Q867" s="408">
        <f t="shared" si="124"/>
        <v>422.1</v>
      </c>
      <c r="R867" s="408"/>
      <c r="S867" s="408">
        <v>12882.0</v>
      </c>
      <c r="T867" s="503" t="s">
        <v>2080</v>
      </c>
      <c r="U867" s="462">
        <v>43861.0</v>
      </c>
      <c r="V867" s="462">
        <v>43774.0</v>
      </c>
      <c r="W867" s="306" t="s">
        <v>1848</v>
      </c>
      <c r="X867" s="306">
        <v>42749.0</v>
      </c>
      <c r="Y867" s="306"/>
      <c r="Z867" s="306" t="s">
        <v>3251</v>
      </c>
      <c r="AA867" s="306" t="s">
        <v>3252</v>
      </c>
      <c r="AB867" s="537"/>
      <c r="AC867" s="306"/>
      <c r="AD867" s="306"/>
      <c r="AE867" s="298"/>
      <c r="AF867" s="306">
        <v>30.295</v>
      </c>
      <c r="AG867" s="299"/>
      <c r="AH867" s="300">
        <v>43773.0</v>
      </c>
      <c r="AI867" s="299">
        <f>1516.41</f>
        <v>1516.41</v>
      </c>
      <c r="AJ867" s="299">
        <f>(1523-1516.41)*30.35</f>
        <v>200.0065</v>
      </c>
      <c r="AK867" s="298" t="s">
        <v>50</v>
      </c>
      <c r="AL867" s="298" t="s">
        <v>285</v>
      </c>
      <c r="AM867" s="298" t="s">
        <v>51</v>
      </c>
      <c r="AN867" s="298" t="s">
        <v>52</v>
      </c>
      <c r="AO867" s="459" t="s">
        <v>763</v>
      </c>
    </row>
    <row r="868" ht="15.75" customHeight="1">
      <c r="A868" s="69">
        <v>43768.0</v>
      </c>
      <c r="B868" s="23" t="s">
        <v>213</v>
      </c>
      <c r="C868" s="21" t="s">
        <v>1845</v>
      </c>
      <c r="D868" s="71" t="s">
        <v>1846</v>
      </c>
      <c r="E868" s="32" t="s">
        <v>1849</v>
      </c>
      <c r="F868" s="24">
        <v>2.0</v>
      </c>
      <c r="G868" s="48">
        <v>419.0</v>
      </c>
      <c r="H868" s="60">
        <f t="shared" si="122"/>
        <v>838</v>
      </c>
      <c r="I868" s="61" t="s">
        <v>144</v>
      </c>
      <c r="J868" s="58" t="s">
        <v>217</v>
      </c>
      <c r="K868" s="30">
        <v>43780.0</v>
      </c>
      <c r="L868" s="29">
        <v>43775.0</v>
      </c>
      <c r="M868" s="58" t="s">
        <v>2078</v>
      </c>
      <c r="N868" s="93" t="s">
        <v>3349</v>
      </c>
      <c r="O868" s="408"/>
      <c r="P868" s="408">
        <v>373.0</v>
      </c>
      <c r="Q868" s="408">
        <f t="shared" si="124"/>
        <v>783.3</v>
      </c>
      <c r="R868" s="408"/>
      <c r="S868" s="408">
        <v>23906.0</v>
      </c>
      <c r="T868" s="503" t="s">
        <v>2080</v>
      </c>
      <c r="U868" s="462">
        <v>43861.0</v>
      </c>
      <c r="V868" s="462">
        <v>43774.0</v>
      </c>
      <c r="W868" s="306" t="s">
        <v>1848</v>
      </c>
      <c r="X868" s="306" t="s">
        <v>3350</v>
      </c>
      <c r="Y868" s="306"/>
      <c r="Z868" s="306" t="s">
        <v>3251</v>
      </c>
      <c r="AA868" s="306" t="s">
        <v>3252</v>
      </c>
      <c r="AB868" s="537"/>
      <c r="AC868" s="306"/>
      <c r="AD868" s="306"/>
      <c r="AE868" s="298"/>
      <c r="AF868" s="306">
        <v>30.295</v>
      </c>
      <c r="AG868" s="299"/>
      <c r="AH868" s="300">
        <v>43773.0</v>
      </c>
      <c r="AI868" s="299" t="s">
        <v>3351</v>
      </c>
      <c r="AJ868" s="299" t="s">
        <v>3352</v>
      </c>
      <c r="AK868" s="298" t="s">
        <v>50</v>
      </c>
      <c r="AL868" s="298" t="s">
        <v>285</v>
      </c>
      <c r="AM868" s="298" t="s">
        <v>51</v>
      </c>
      <c r="AN868" s="298" t="s">
        <v>52</v>
      </c>
      <c r="AO868" s="459" t="s">
        <v>763</v>
      </c>
    </row>
    <row r="869" ht="15.75" customHeight="1">
      <c r="A869" s="69">
        <v>43768.0</v>
      </c>
      <c r="B869" s="23" t="s">
        <v>213</v>
      </c>
      <c r="C869" s="21" t="s">
        <v>1845</v>
      </c>
      <c r="D869" s="71" t="s">
        <v>1846</v>
      </c>
      <c r="E869" s="32" t="s">
        <v>1850</v>
      </c>
      <c r="F869" s="24">
        <v>2.0</v>
      </c>
      <c r="G869" s="48">
        <v>104.0</v>
      </c>
      <c r="H869" s="60">
        <f t="shared" si="122"/>
        <v>208</v>
      </c>
      <c r="I869" s="61" t="s">
        <v>144</v>
      </c>
      <c r="J869" s="58" t="s">
        <v>217</v>
      </c>
      <c r="K869" s="30">
        <v>43780.0</v>
      </c>
      <c r="L869" s="29">
        <v>43775.0</v>
      </c>
      <c r="M869" s="58" t="s">
        <v>2078</v>
      </c>
      <c r="N869" s="93" t="s">
        <v>3349</v>
      </c>
      <c r="O869" s="408"/>
      <c r="P869" s="408">
        <v>93.0</v>
      </c>
      <c r="Q869" s="408">
        <f t="shared" si="124"/>
        <v>195.3</v>
      </c>
      <c r="R869" s="408"/>
      <c r="S869" s="408">
        <v>5961.0</v>
      </c>
      <c r="T869" s="503" t="s">
        <v>2080</v>
      </c>
      <c r="U869" s="462">
        <v>43861.0</v>
      </c>
      <c r="V869" s="462">
        <v>43774.0</v>
      </c>
      <c r="W869" s="306" t="s">
        <v>1848</v>
      </c>
      <c r="X869" s="306" t="s">
        <v>3350</v>
      </c>
      <c r="Y869" s="306"/>
      <c r="Z869" s="306" t="s">
        <v>3251</v>
      </c>
      <c r="AA869" s="306" t="s">
        <v>3252</v>
      </c>
      <c r="AB869" s="537"/>
      <c r="AC869" s="306"/>
      <c r="AD869" s="306"/>
      <c r="AE869" s="298"/>
      <c r="AF869" s="306">
        <v>30.295</v>
      </c>
      <c r="AG869" s="299"/>
      <c r="AH869" s="300">
        <v>43773.0</v>
      </c>
      <c r="AI869" s="299" t="s">
        <v>3351</v>
      </c>
      <c r="AJ869" s="299" t="s">
        <v>3352</v>
      </c>
      <c r="AK869" s="298" t="s">
        <v>50</v>
      </c>
      <c r="AL869" s="298" t="s">
        <v>285</v>
      </c>
      <c r="AM869" s="298" t="s">
        <v>51</v>
      </c>
      <c r="AN869" s="298" t="s">
        <v>52</v>
      </c>
      <c r="AO869" s="459" t="s">
        <v>763</v>
      </c>
    </row>
    <row r="870" ht="15.75" customHeight="1">
      <c r="A870" s="69">
        <v>43768.0</v>
      </c>
      <c r="B870" s="23" t="s">
        <v>213</v>
      </c>
      <c r="C870" s="21" t="s">
        <v>1845</v>
      </c>
      <c r="D870" s="71" t="s">
        <v>1846</v>
      </c>
      <c r="E870" s="32" t="s">
        <v>1851</v>
      </c>
      <c r="F870" s="24">
        <v>1.0</v>
      </c>
      <c r="G870" s="48">
        <v>25.0</v>
      </c>
      <c r="H870" s="60">
        <f t="shared" si="122"/>
        <v>25</v>
      </c>
      <c r="I870" s="61" t="s">
        <v>144</v>
      </c>
      <c r="J870" s="58" t="s">
        <v>217</v>
      </c>
      <c r="K870" s="30">
        <v>43780.0</v>
      </c>
      <c r="L870" s="304"/>
      <c r="M870" s="497"/>
      <c r="N870" s="93"/>
      <c r="O870" s="408"/>
      <c r="P870" s="408"/>
      <c r="Q870" s="408">
        <f t="shared" si="124"/>
        <v>0</v>
      </c>
      <c r="R870" s="408"/>
      <c r="S870" s="408">
        <f>(R870*F871)*1.05</f>
        <v>0</v>
      </c>
      <c r="T870" s="503"/>
      <c r="U870" s="306"/>
      <c r="V870" s="306"/>
      <c r="W870" s="306"/>
      <c r="X870" s="306"/>
      <c r="Y870" s="306"/>
      <c r="Z870" s="306" t="s">
        <v>3251</v>
      </c>
      <c r="AA870" s="306" t="s">
        <v>3252</v>
      </c>
      <c r="AB870" s="537"/>
      <c r="AC870" s="306"/>
      <c r="AD870" s="306"/>
      <c r="AE870" s="298"/>
      <c r="AF870" s="306">
        <v>30.295</v>
      </c>
      <c r="AG870" s="299"/>
      <c r="AH870" s="300">
        <v>43773.0</v>
      </c>
      <c r="AI870" s="299" t="s">
        <v>3351</v>
      </c>
      <c r="AJ870" s="299" t="s">
        <v>3352</v>
      </c>
      <c r="AK870" s="298" t="s">
        <v>50</v>
      </c>
      <c r="AL870" s="298" t="s">
        <v>285</v>
      </c>
      <c r="AM870" s="298" t="s">
        <v>51</v>
      </c>
      <c r="AN870" s="298" t="s">
        <v>52</v>
      </c>
      <c r="AO870" s="459" t="s">
        <v>763</v>
      </c>
    </row>
    <row r="871" ht="15.75" customHeight="1">
      <c r="A871" s="69">
        <v>43769.0</v>
      </c>
      <c r="B871" s="70" t="s">
        <v>1537</v>
      </c>
      <c r="C871" s="21" t="s">
        <v>1852</v>
      </c>
      <c r="D871" s="71" t="s">
        <v>1853</v>
      </c>
      <c r="E871" s="32" t="s">
        <v>1854</v>
      </c>
      <c r="F871" s="24">
        <v>2.0</v>
      </c>
      <c r="G871" s="48">
        <v>155.4</v>
      </c>
      <c r="H871" s="60">
        <f t="shared" si="122"/>
        <v>310.8</v>
      </c>
      <c r="I871" s="61" t="s">
        <v>1855</v>
      </c>
      <c r="J871" s="58" t="s">
        <v>1164</v>
      </c>
      <c r="K871" s="145">
        <v>43773.0</v>
      </c>
      <c r="L871" s="29">
        <v>43770.0</v>
      </c>
      <c r="M871" s="50" t="s">
        <v>179</v>
      </c>
      <c r="N871" s="93"/>
      <c r="O871" s="408"/>
      <c r="P871" s="408"/>
      <c r="Q871" s="408">
        <f t="shared" si="124"/>
        <v>0</v>
      </c>
      <c r="R871" s="408"/>
      <c r="S871" s="408">
        <f>(R871*F873)*1.05</f>
        <v>0</v>
      </c>
      <c r="T871" s="503"/>
      <c r="U871" s="306"/>
      <c r="V871" s="306"/>
      <c r="W871" s="306"/>
      <c r="X871" s="306"/>
      <c r="Y871" s="306"/>
      <c r="Z871" s="306" t="s">
        <v>3353</v>
      </c>
      <c r="AA871" s="306"/>
      <c r="AB871" s="537"/>
      <c r="AC871" s="306">
        <v>9461.0</v>
      </c>
      <c r="AD871" s="462">
        <v>43784.0</v>
      </c>
      <c r="AE871" s="298"/>
      <c r="AF871" s="306">
        <v>30.44</v>
      </c>
      <c r="AG871" s="299"/>
      <c r="AH871" s="300">
        <v>43833.0</v>
      </c>
      <c r="AI871" s="299">
        <v>14181.0</v>
      </c>
      <c r="AJ871" s="299">
        <v>15.0</v>
      </c>
      <c r="AK871" s="298" t="s">
        <v>50</v>
      </c>
      <c r="AL871" s="298" t="s">
        <v>285</v>
      </c>
      <c r="AM871" s="298" t="s">
        <v>51</v>
      </c>
      <c r="AN871" s="298" t="s">
        <v>377</v>
      </c>
      <c r="AO871" s="459" t="s">
        <v>763</v>
      </c>
    </row>
    <row r="872" ht="15.75" customHeight="1">
      <c r="A872" s="95">
        <v>43769.0</v>
      </c>
      <c r="B872" s="564" t="s">
        <v>1537</v>
      </c>
      <c r="C872" s="97" t="s">
        <v>1852</v>
      </c>
      <c r="D872" s="98" t="s">
        <v>1853</v>
      </c>
      <c r="E872" s="99" t="s">
        <v>1854</v>
      </c>
      <c r="F872" s="100">
        <v>1.0</v>
      </c>
      <c r="G872" s="101">
        <v>155.4</v>
      </c>
      <c r="H872" s="102">
        <f t="shared" si="122"/>
        <v>155.4</v>
      </c>
      <c r="I872" s="61" t="s">
        <v>1855</v>
      </c>
      <c r="J872" s="58" t="s">
        <v>1164</v>
      </c>
      <c r="K872" s="145">
        <v>43773.0</v>
      </c>
      <c r="L872" s="29">
        <v>43773.0</v>
      </c>
      <c r="M872" s="50" t="s">
        <v>179</v>
      </c>
      <c r="N872" s="93"/>
      <c r="O872" s="408"/>
      <c r="P872" s="408"/>
      <c r="Q872" s="408"/>
      <c r="R872" s="408"/>
      <c r="S872" s="408"/>
      <c r="T872" s="503"/>
      <c r="U872" s="306"/>
      <c r="V872" s="306"/>
      <c r="W872" s="306"/>
      <c r="X872" s="306"/>
      <c r="Y872" s="306"/>
      <c r="Z872" s="306" t="s">
        <v>3354</v>
      </c>
      <c r="AA872" s="306"/>
      <c r="AB872" s="537"/>
      <c r="AC872" s="306">
        <v>4735.0</v>
      </c>
      <c r="AD872" s="462">
        <v>43784.0</v>
      </c>
      <c r="AE872" s="298"/>
      <c r="AF872" s="306">
        <v>30.47</v>
      </c>
      <c r="AG872" s="299"/>
      <c r="AH872" s="300">
        <v>43833.0</v>
      </c>
      <c r="AI872" s="299" t="s">
        <v>3355</v>
      </c>
      <c r="AJ872" s="299" t="s">
        <v>3356</v>
      </c>
      <c r="AK872" s="298" t="s">
        <v>50</v>
      </c>
      <c r="AL872" s="298" t="s">
        <v>285</v>
      </c>
      <c r="AM872" s="298" t="s">
        <v>51</v>
      </c>
      <c r="AN872" s="298" t="s">
        <v>377</v>
      </c>
      <c r="AO872" s="459" t="s">
        <v>763</v>
      </c>
    </row>
    <row r="873" ht="15.75" customHeight="1">
      <c r="A873" s="69">
        <v>43769.0</v>
      </c>
      <c r="B873" s="144" t="s">
        <v>1856</v>
      </c>
      <c r="C873" s="21" t="s">
        <v>1857</v>
      </c>
      <c r="D873" s="71" t="s">
        <v>1858</v>
      </c>
      <c r="E873" s="32" t="s">
        <v>1859</v>
      </c>
      <c r="F873" s="24">
        <v>1.0</v>
      </c>
      <c r="G873" s="48">
        <v>25.0</v>
      </c>
      <c r="H873" s="60">
        <f t="shared" si="122"/>
        <v>25</v>
      </c>
      <c r="I873" s="61" t="s">
        <v>144</v>
      </c>
      <c r="J873" s="58" t="s">
        <v>1860</v>
      </c>
      <c r="K873" s="30">
        <v>43783.0</v>
      </c>
      <c r="L873" s="304"/>
      <c r="M873" s="50" t="s">
        <v>3357</v>
      </c>
      <c r="N873" s="93"/>
      <c r="O873" s="408"/>
      <c r="P873" s="408"/>
      <c r="Q873" s="408">
        <f t="shared" ref="Q873:Q887" si="125">(P873*F873)*1.05</f>
        <v>0</v>
      </c>
      <c r="R873" s="408">
        <v>250.0</v>
      </c>
      <c r="S873" s="408">
        <f t="shared" ref="S873:S874" si="126">(R873*F874)*1.05</f>
        <v>8662.5</v>
      </c>
      <c r="T873" s="408" t="s">
        <v>3358</v>
      </c>
      <c r="U873" s="306"/>
      <c r="V873" s="306"/>
      <c r="W873" s="306"/>
      <c r="X873" s="306"/>
      <c r="Y873" s="306"/>
      <c r="Z873" s="306" t="s">
        <v>3359</v>
      </c>
      <c r="AA873" s="306" t="s">
        <v>3360</v>
      </c>
      <c r="AB873" s="408">
        <v>30.295</v>
      </c>
      <c r="AC873" s="306"/>
      <c r="AD873" s="306"/>
      <c r="AE873" s="298"/>
      <c r="AF873" s="306"/>
      <c r="AG873" s="299"/>
      <c r="AH873" s="300">
        <v>43777.0</v>
      </c>
      <c r="AI873" s="299" t="s">
        <v>3361</v>
      </c>
      <c r="AJ873" s="299" t="s">
        <v>3362</v>
      </c>
      <c r="AK873" s="298" t="s">
        <v>50</v>
      </c>
      <c r="AL873" s="298" t="s">
        <v>285</v>
      </c>
      <c r="AM873" s="298" t="s">
        <v>286</v>
      </c>
      <c r="AN873" s="298" t="s">
        <v>52</v>
      </c>
      <c r="AO873" s="459" t="s">
        <v>763</v>
      </c>
    </row>
    <row r="874" ht="15.75" customHeight="1">
      <c r="A874" s="69">
        <v>43769.0</v>
      </c>
      <c r="B874" s="144" t="s">
        <v>1856</v>
      </c>
      <c r="C874" s="21" t="s">
        <v>1857</v>
      </c>
      <c r="D874" s="72" t="s">
        <v>3363</v>
      </c>
      <c r="E874" s="32" t="s">
        <v>1862</v>
      </c>
      <c r="F874" s="24">
        <v>33.0</v>
      </c>
      <c r="G874" s="48">
        <v>212.0</v>
      </c>
      <c r="H874" s="60">
        <f t="shared" si="122"/>
        <v>6996</v>
      </c>
      <c r="I874" s="61" t="s">
        <v>144</v>
      </c>
      <c r="J874" s="58" t="s">
        <v>1860</v>
      </c>
      <c r="K874" s="565">
        <v>43783.0</v>
      </c>
      <c r="L874" s="304"/>
      <c r="M874" s="50" t="s">
        <v>3364</v>
      </c>
      <c r="N874" s="32" t="s">
        <v>3365</v>
      </c>
      <c r="O874" s="408"/>
      <c r="P874" s="408"/>
      <c r="Q874" s="408">
        <f t="shared" si="125"/>
        <v>0</v>
      </c>
      <c r="R874" s="408"/>
      <c r="S874" s="408">
        <f t="shared" si="126"/>
        <v>0</v>
      </c>
      <c r="T874" s="408"/>
      <c r="U874" s="306"/>
      <c r="V874" s="306"/>
      <c r="W874" s="306"/>
      <c r="X874" s="306"/>
      <c r="Y874" s="306"/>
      <c r="Z874" s="306" t="s">
        <v>3359</v>
      </c>
      <c r="AA874" s="306" t="s">
        <v>3360</v>
      </c>
      <c r="AB874" s="408">
        <v>30.295</v>
      </c>
      <c r="AC874" s="306"/>
      <c r="AD874" s="306"/>
      <c r="AE874" s="298"/>
      <c r="AF874" s="306"/>
      <c r="AG874" s="299"/>
      <c r="AH874" s="300">
        <v>43777.0</v>
      </c>
      <c r="AI874" s="299">
        <f>6979.4*30.3</f>
        <v>211475.82</v>
      </c>
      <c r="AJ874" s="299">
        <f>(7021-6979.4)*30.3</f>
        <v>1260.48</v>
      </c>
      <c r="AK874" s="298" t="s">
        <v>50</v>
      </c>
      <c r="AL874" s="298" t="s">
        <v>285</v>
      </c>
      <c r="AM874" s="298" t="s">
        <v>286</v>
      </c>
      <c r="AN874" s="298" t="s">
        <v>52</v>
      </c>
      <c r="AO874" s="459" t="s">
        <v>763</v>
      </c>
    </row>
    <row r="875" ht="15.75" customHeight="1">
      <c r="A875" s="69">
        <v>43770.0</v>
      </c>
      <c r="B875" s="144" t="s">
        <v>1649</v>
      </c>
      <c r="C875" s="21"/>
      <c r="D875" s="112" t="s">
        <v>1863</v>
      </c>
      <c r="E875" s="32" t="s">
        <v>1864</v>
      </c>
      <c r="F875" s="24">
        <v>1.0</v>
      </c>
      <c r="G875" s="74">
        <v>1450.0</v>
      </c>
      <c r="H875" s="60">
        <f t="shared" si="122"/>
        <v>1450</v>
      </c>
      <c r="I875" s="61" t="s">
        <v>248</v>
      </c>
      <c r="J875" s="50" t="s">
        <v>1663</v>
      </c>
      <c r="K875" s="298" t="s">
        <v>3366</v>
      </c>
      <c r="L875" s="304"/>
      <c r="M875" s="497"/>
      <c r="N875" s="93"/>
      <c r="O875" s="408"/>
      <c r="P875" s="408"/>
      <c r="Q875" s="408">
        <f t="shared" si="125"/>
        <v>0</v>
      </c>
      <c r="R875" s="408"/>
      <c r="S875" s="730">
        <v>36660.75</v>
      </c>
      <c r="T875" s="408"/>
      <c r="U875" s="306"/>
      <c r="V875" s="306"/>
      <c r="W875" s="306"/>
      <c r="X875" s="306"/>
      <c r="Y875" s="306"/>
      <c r="Z875" s="306"/>
      <c r="AA875" s="306"/>
      <c r="AB875" s="537"/>
      <c r="AC875" s="306"/>
      <c r="AD875" s="306"/>
      <c r="AE875" s="298"/>
      <c r="AF875" s="306"/>
      <c r="AG875" s="299"/>
      <c r="AH875" s="300">
        <v>43467.0</v>
      </c>
      <c r="AI875" s="299">
        <f>1428.33*29.988</f>
        <v>42832.76004</v>
      </c>
      <c r="AJ875" s="299">
        <f>(1450-1428.33)*29.988</f>
        <v>649.83996</v>
      </c>
      <c r="AK875" s="298" t="s">
        <v>50</v>
      </c>
      <c r="AL875" s="298" t="s">
        <v>285</v>
      </c>
      <c r="AM875" s="298" t="s">
        <v>286</v>
      </c>
      <c r="AN875" s="298" t="s">
        <v>52</v>
      </c>
      <c r="AO875" s="298" t="s">
        <v>1371</v>
      </c>
    </row>
    <row r="876" ht="15.75" customHeight="1">
      <c r="A876" s="69">
        <v>43773.0</v>
      </c>
      <c r="B876" s="70" t="s">
        <v>1112</v>
      </c>
      <c r="C876" s="21"/>
      <c r="D876" s="71" t="s">
        <v>1865</v>
      </c>
      <c r="E876" s="32" t="s">
        <v>1866</v>
      </c>
      <c r="F876" s="24">
        <v>1.0</v>
      </c>
      <c r="G876" s="48">
        <v>960.0</v>
      </c>
      <c r="H876" s="165">
        <f t="shared" si="122"/>
        <v>960</v>
      </c>
      <c r="I876" s="61" t="s">
        <v>144</v>
      </c>
      <c r="J876" s="50" t="s">
        <v>263</v>
      </c>
      <c r="K876" s="29">
        <v>43790.0</v>
      </c>
      <c r="L876" s="30">
        <v>43787.0</v>
      </c>
      <c r="M876" s="58" t="s">
        <v>2078</v>
      </c>
      <c r="N876" s="93" t="s">
        <v>3367</v>
      </c>
      <c r="O876" s="408"/>
      <c r="P876" s="408">
        <v>893.0</v>
      </c>
      <c r="Q876" s="408">
        <f t="shared" si="125"/>
        <v>937.65</v>
      </c>
      <c r="R876" s="408"/>
      <c r="S876" s="408">
        <v>28406.0</v>
      </c>
      <c r="T876" s="408" t="s">
        <v>2080</v>
      </c>
      <c r="U876" s="462">
        <v>43861.0</v>
      </c>
      <c r="V876" s="305">
        <v>43787.0</v>
      </c>
      <c r="W876" s="306" t="s">
        <v>1867</v>
      </c>
      <c r="X876" s="306">
        <v>28406.0</v>
      </c>
      <c r="Y876" s="306"/>
      <c r="Z876" s="306" t="s">
        <v>3319</v>
      </c>
      <c r="AA876" s="306">
        <v>4.988762111E9</v>
      </c>
      <c r="AB876" s="537"/>
      <c r="AC876" s="306"/>
      <c r="AD876" s="306"/>
      <c r="AE876" s="298"/>
      <c r="AF876" s="306">
        <v>30.465</v>
      </c>
      <c r="AG876" s="299"/>
      <c r="AH876" s="300">
        <v>43774.0</v>
      </c>
      <c r="AI876" s="299">
        <f>942.41*30.366</f>
        <v>28617.22206</v>
      </c>
      <c r="AJ876" s="299">
        <f>(960-942.41)*30.366</f>
        <v>534.13794</v>
      </c>
      <c r="AK876" s="298" t="s">
        <v>50</v>
      </c>
      <c r="AL876" s="298" t="s">
        <v>285</v>
      </c>
      <c r="AM876" s="298" t="s">
        <v>51</v>
      </c>
      <c r="AN876" s="298" t="s">
        <v>52</v>
      </c>
      <c r="AO876" s="459" t="s">
        <v>763</v>
      </c>
    </row>
    <row r="877" ht="15.75" customHeight="1">
      <c r="A877" s="69">
        <v>43774.0</v>
      </c>
      <c r="B877" s="70" t="s">
        <v>631</v>
      </c>
      <c r="C877" s="21" t="s">
        <v>1868</v>
      </c>
      <c r="D877" s="71" t="s">
        <v>3368</v>
      </c>
      <c r="E877" s="32" t="s">
        <v>634</v>
      </c>
      <c r="F877" s="24">
        <v>19.0</v>
      </c>
      <c r="G877" s="48">
        <v>173.25</v>
      </c>
      <c r="H877" s="60">
        <f t="shared" si="122"/>
        <v>3291.75</v>
      </c>
      <c r="I877" s="61" t="s">
        <v>144</v>
      </c>
      <c r="J877" s="50" t="s">
        <v>1089</v>
      </c>
      <c r="K877" s="30">
        <v>43795.0</v>
      </c>
      <c r="L877" s="29">
        <v>43795.0</v>
      </c>
      <c r="M877" s="50" t="s">
        <v>2263</v>
      </c>
      <c r="N877" s="93" t="s">
        <v>3369</v>
      </c>
      <c r="O877" s="408"/>
      <c r="P877" s="408"/>
      <c r="Q877" s="408">
        <f t="shared" si="125"/>
        <v>0</v>
      </c>
      <c r="R877" s="408">
        <v>4850.0</v>
      </c>
      <c r="S877" s="408">
        <v>96758.0</v>
      </c>
      <c r="T877" s="408"/>
      <c r="U877" s="462">
        <v>43835.0</v>
      </c>
      <c r="V877" s="305">
        <v>43795.0</v>
      </c>
      <c r="W877" s="306" t="s">
        <v>1870</v>
      </c>
      <c r="X877" s="306">
        <v>96758.0</v>
      </c>
      <c r="Y877" s="306"/>
      <c r="Z877" s="306" t="s">
        <v>3370</v>
      </c>
      <c r="AA877" s="306" t="s">
        <v>3371</v>
      </c>
      <c r="AB877" s="408">
        <v>30.5</v>
      </c>
      <c r="AC877" s="306">
        <v>100398.0</v>
      </c>
      <c r="AD877" s="305">
        <v>43795.0</v>
      </c>
      <c r="AE877" s="298"/>
      <c r="AF877" s="306"/>
      <c r="AG877" s="299"/>
      <c r="AH877" s="300">
        <v>43840.0</v>
      </c>
      <c r="AI877" s="299">
        <v>100398.0</v>
      </c>
      <c r="AJ877" s="299">
        <v>0.0</v>
      </c>
      <c r="AK877" s="298" t="s">
        <v>50</v>
      </c>
      <c r="AL877" s="298" t="s">
        <v>285</v>
      </c>
      <c r="AM877" s="298" t="s">
        <v>51</v>
      </c>
      <c r="AN877" s="298" t="s">
        <v>377</v>
      </c>
      <c r="AO877" s="459" t="s">
        <v>763</v>
      </c>
    </row>
    <row r="878" ht="15.75" customHeight="1">
      <c r="A878" s="69">
        <v>43774.0</v>
      </c>
      <c r="B878" s="70" t="s">
        <v>101</v>
      </c>
      <c r="C878" s="21" t="s">
        <v>1871</v>
      </c>
      <c r="D878" s="71" t="s">
        <v>1872</v>
      </c>
      <c r="E878" s="32" t="s">
        <v>1873</v>
      </c>
      <c r="F878" s="24">
        <v>1.0</v>
      </c>
      <c r="G878" s="48">
        <v>355.0</v>
      </c>
      <c r="H878" s="60">
        <f t="shared" si="122"/>
        <v>355</v>
      </c>
      <c r="I878" s="61" t="s">
        <v>105</v>
      </c>
      <c r="J878" s="50" t="s">
        <v>1056</v>
      </c>
      <c r="K878" s="29">
        <v>43790.0</v>
      </c>
      <c r="L878" s="30">
        <v>43781.0</v>
      </c>
      <c r="M878" s="50" t="s">
        <v>3330</v>
      </c>
      <c r="N878" s="93" t="s">
        <v>3372</v>
      </c>
      <c r="O878" s="408"/>
      <c r="P878" s="408"/>
      <c r="Q878" s="408">
        <f t="shared" si="125"/>
        <v>0</v>
      </c>
      <c r="R878" s="408">
        <v>9476.0</v>
      </c>
      <c r="S878" s="408">
        <v>9950.0</v>
      </c>
      <c r="T878" s="503"/>
      <c r="U878" s="305">
        <v>43830.0</v>
      </c>
      <c r="V878" s="305">
        <v>43780.0</v>
      </c>
      <c r="W878" s="306" t="s">
        <v>1823</v>
      </c>
      <c r="X878" s="21" t="s">
        <v>3338</v>
      </c>
      <c r="Y878" s="306"/>
      <c r="Z878" s="306" t="s">
        <v>3332</v>
      </c>
      <c r="AA878" s="306">
        <v>1.594616741E9</v>
      </c>
      <c r="AB878" s="537"/>
      <c r="AC878" s="306"/>
      <c r="AD878" s="306"/>
      <c r="AE878" s="298"/>
      <c r="AF878" s="306"/>
      <c r="AG878" s="299"/>
      <c r="AH878" s="300">
        <v>43845.0</v>
      </c>
      <c r="AI878" s="299" t="s">
        <v>3321</v>
      </c>
      <c r="AJ878" s="299" t="s">
        <v>3334</v>
      </c>
      <c r="AK878" s="298" t="s">
        <v>50</v>
      </c>
      <c r="AL878" s="298" t="s">
        <v>285</v>
      </c>
      <c r="AM878" s="298" t="s">
        <v>51</v>
      </c>
      <c r="AN878" s="298" t="s">
        <v>52</v>
      </c>
      <c r="AO878" s="459" t="s">
        <v>763</v>
      </c>
    </row>
    <row r="879" ht="15.75" customHeight="1">
      <c r="A879" s="69">
        <v>43777.0</v>
      </c>
      <c r="B879" s="70" t="s">
        <v>119</v>
      </c>
      <c r="C879" s="21">
        <v>1672019.0</v>
      </c>
      <c r="D879" s="21" t="s">
        <v>120</v>
      </c>
      <c r="E879" s="23" t="s">
        <v>162</v>
      </c>
      <c r="F879" s="24">
        <v>8.0</v>
      </c>
      <c r="G879" s="48">
        <v>738.0</v>
      </c>
      <c r="H879" s="26">
        <f t="shared" si="122"/>
        <v>5904</v>
      </c>
      <c r="I879" s="132" t="s">
        <v>1855</v>
      </c>
      <c r="J879" s="82" t="s">
        <v>122</v>
      </c>
      <c r="K879" s="29">
        <v>43795.0</v>
      </c>
      <c r="L879" s="735">
        <v>43791.0</v>
      </c>
      <c r="M879" s="50" t="s">
        <v>90</v>
      </c>
      <c r="N879" s="93" t="s">
        <v>123</v>
      </c>
      <c r="O879" s="408"/>
      <c r="P879" s="408">
        <v>638.0</v>
      </c>
      <c r="Q879" s="306">
        <f t="shared" si="125"/>
        <v>5359.2</v>
      </c>
      <c r="R879" s="627"/>
      <c r="S879" s="728">
        <f t="shared" ref="S879:S884" si="127">Q879*30.465</f>
        <v>163268.028</v>
      </c>
      <c r="T879" s="35" t="s">
        <v>94</v>
      </c>
      <c r="U879" s="306"/>
      <c r="V879" s="306"/>
      <c r="W879" s="306"/>
      <c r="X879" s="306"/>
      <c r="Y879" s="306"/>
      <c r="Z879" s="306" t="s">
        <v>3373</v>
      </c>
      <c r="AA879" s="306">
        <v>1.6014726033E11</v>
      </c>
      <c r="AB879" s="306">
        <v>30.465</v>
      </c>
      <c r="AC879" s="306"/>
      <c r="AD879" s="306"/>
      <c r="AE879" s="298"/>
      <c r="AF879" s="298"/>
      <c r="AG879" s="299"/>
      <c r="AH879" s="300">
        <v>43840.0</v>
      </c>
      <c r="AI879" s="299">
        <f>36993.49*29.927</f>
        <v>1107104.175</v>
      </c>
      <c r="AJ879" s="299">
        <f>(37024-36993.49)*29.927</f>
        <v>913.07277</v>
      </c>
      <c r="AK879" s="298" t="s">
        <v>50</v>
      </c>
      <c r="AL879" s="298" t="s">
        <v>285</v>
      </c>
      <c r="AM879" s="298" t="s">
        <v>51</v>
      </c>
      <c r="AN879" s="298" t="s">
        <v>52</v>
      </c>
      <c r="AO879" s="298" t="s">
        <v>1371</v>
      </c>
    </row>
    <row r="880" ht="15.75" customHeight="1">
      <c r="A880" s="69">
        <v>43777.0</v>
      </c>
      <c r="B880" s="70" t="s">
        <v>119</v>
      </c>
      <c r="C880" s="21">
        <v>1672019.0</v>
      </c>
      <c r="D880" s="21" t="s">
        <v>120</v>
      </c>
      <c r="E880" s="23" t="s">
        <v>165</v>
      </c>
      <c r="F880" s="24">
        <v>120.0</v>
      </c>
      <c r="G880" s="48">
        <v>105.0</v>
      </c>
      <c r="H880" s="26">
        <f t="shared" si="122"/>
        <v>12600</v>
      </c>
      <c r="I880" s="132" t="s">
        <v>1855</v>
      </c>
      <c r="J880" s="82" t="s">
        <v>122</v>
      </c>
      <c r="K880" s="29">
        <v>43795.0</v>
      </c>
      <c r="L880" s="735">
        <v>43791.0</v>
      </c>
      <c r="M880" s="50" t="s">
        <v>90</v>
      </c>
      <c r="N880" s="93" t="s">
        <v>123</v>
      </c>
      <c r="O880" s="408"/>
      <c r="P880" s="408">
        <v>82.0</v>
      </c>
      <c r="Q880" s="306">
        <f t="shared" si="125"/>
        <v>10332</v>
      </c>
      <c r="R880" s="627"/>
      <c r="S880" s="728">
        <f t="shared" si="127"/>
        <v>314764.38</v>
      </c>
      <c r="T880" s="35" t="s">
        <v>94</v>
      </c>
      <c r="U880" s="306"/>
      <c r="V880" s="306"/>
      <c r="W880" s="306"/>
      <c r="X880" s="306"/>
      <c r="Y880" s="306"/>
      <c r="Z880" s="306" t="s">
        <v>3373</v>
      </c>
      <c r="AA880" s="306">
        <v>1.6014726033E11</v>
      </c>
      <c r="AB880" s="306">
        <v>30.465</v>
      </c>
      <c r="AC880" s="306"/>
      <c r="AD880" s="306"/>
      <c r="AE880" s="298"/>
      <c r="AF880" s="298"/>
      <c r="AG880" s="299"/>
      <c r="AH880" s="298" t="s">
        <v>1874</v>
      </c>
      <c r="AI880" s="299">
        <f>10935.35*30.094</f>
        <v>329088.4229</v>
      </c>
      <c r="AJ880" s="299">
        <f>(10954-10935.35)</f>
        <v>18.65</v>
      </c>
      <c r="AK880" s="298" t="s">
        <v>50</v>
      </c>
      <c r="AL880" s="298" t="s">
        <v>285</v>
      </c>
      <c r="AM880" s="298" t="s">
        <v>51</v>
      </c>
      <c r="AN880" s="298" t="s">
        <v>52</v>
      </c>
      <c r="AO880" s="298" t="s">
        <v>1371</v>
      </c>
    </row>
    <row r="881" ht="15.75" customHeight="1">
      <c r="A881" s="69">
        <v>43777.0</v>
      </c>
      <c r="B881" s="70" t="s">
        <v>119</v>
      </c>
      <c r="C881" s="21">
        <v>1672019.0</v>
      </c>
      <c r="D881" s="71" t="s">
        <v>120</v>
      </c>
      <c r="E881" s="32" t="s">
        <v>1875</v>
      </c>
      <c r="F881" s="24">
        <v>6.0</v>
      </c>
      <c r="G881" s="48">
        <v>335.0</v>
      </c>
      <c r="H881" s="26">
        <f t="shared" si="122"/>
        <v>2010</v>
      </c>
      <c r="I881" s="132" t="s">
        <v>1855</v>
      </c>
      <c r="J881" s="82" t="s">
        <v>122</v>
      </c>
      <c r="K881" s="29">
        <v>43795.0</v>
      </c>
      <c r="L881" s="30">
        <v>43791.0</v>
      </c>
      <c r="M881" s="50" t="s">
        <v>90</v>
      </c>
      <c r="N881" s="93" t="s">
        <v>123</v>
      </c>
      <c r="O881" s="408"/>
      <c r="P881" s="408">
        <v>290.0</v>
      </c>
      <c r="Q881" s="306">
        <f t="shared" si="125"/>
        <v>1827</v>
      </c>
      <c r="R881" s="627"/>
      <c r="S881" s="728">
        <f t="shared" si="127"/>
        <v>55659.555</v>
      </c>
      <c r="T881" s="35" t="s">
        <v>94</v>
      </c>
      <c r="U881" s="306"/>
      <c r="V881" s="306"/>
      <c r="W881" s="306"/>
      <c r="X881" s="306"/>
      <c r="Y881" s="306"/>
      <c r="Z881" s="306" t="s">
        <v>3373</v>
      </c>
      <c r="AA881" s="306">
        <v>1.6014726033E11</v>
      </c>
      <c r="AB881" s="306">
        <v>30.465</v>
      </c>
      <c r="AC881" s="306"/>
      <c r="AD881" s="306"/>
      <c r="AE881" s="298"/>
      <c r="AF881" s="298"/>
      <c r="AG881" s="299"/>
      <c r="AH881" s="300">
        <v>43840.0</v>
      </c>
      <c r="AI881" s="299" t="s">
        <v>3374</v>
      </c>
      <c r="AJ881" s="299" t="s">
        <v>3375</v>
      </c>
      <c r="AK881" s="298" t="s">
        <v>50</v>
      </c>
      <c r="AL881" s="298" t="s">
        <v>285</v>
      </c>
      <c r="AM881" s="298" t="s">
        <v>51</v>
      </c>
      <c r="AN881" s="298" t="s">
        <v>52</v>
      </c>
      <c r="AO881" s="298" t="s">
        <v>1371</v>
      </c>
    </row>
    <row r="882" ht="15.75" customHeight="1">
      <c r="A882" s="69">
        <v>43777.0</v>
      </c>
      <c r="B882" s="70" t="s">
        <v>119</v>
      </c>
      <c r="C882" s="21">
        <v>1672019.0</v>
      </c>
      <c r="D882" s="71" t="s">
        <v>120</v>
      </c>
      <c r="E882" s="32" t="s">
        <v>164</v>
      </c>
      <c r="F882" s="24">
        <v>10.0</v>
      </c>
      <c r="G882" s="48">
        <v>44.0</v>
      </c>
      <c r="H882" s="26">
        <f t="shared" si="122"/>
        <v>440</v>
      </c>
      <c r="I882" s="132" t="s">
        <v>1855</v>
      </c>
      <c r="J882" s="82" t="s">
        <v>122</v>
      </c>
      <c r="K882" s="29">
        <v>43795.0</v>
      </c>
      <c r="L882" s="30">
        <v>43791.0</v>
      </c>
      <c r="M882" s="50" t="s">
        <v>90</v>
      </c>
      <c r="N882" s="93" t="s">
        <v>123</v>
      </c>
      <c r="O882" s="408"/>
      <c r="P882" s="408">
        <v>36.0</v>
      </c>
      <c r="Q882" s="306">
        <f t="shared" si="125"/>
        <v>378</v>
      </c>
      <c r="R882" s="627"/>
      <c r="S882" s="728">
        <f t="shared" si="127"/>
        <v>11515.77</v>
      </c>
      <c r="T882" s="35" t="s">
        <v>94</v>
      </c>
      <c r="U882" s="306"/>
      <c r="V882" s="306"/>
      <c r="W882" s="306"/>
      <c r="X882" s="306"/>
      <c r="Y882" s="306"/>
      <c r="Z882" s="306" t="s">
        <v>3373</v>
      </c>
      <c r="AA882" s="306">
        <v>1.6014726033E11</v>
      </c>
      <c r="AB882" s="306">
        <v>30.465</v>
      </c>
      <c r="AC882" s="306"/>
      <c r="AD882" s="306"/>
      <c r="AE882" s="298"/>
      <c r="AF882" s="298"/>
      <c r="AG882" s="299"/>
      <c r="AH882" s="300">
        <v>43840.0</v>
      </c>
      <c r="AI882" s="299" t="s">
        <v>3374</v>
      </c>
      <c r="AJ882" s="299" t="s">
        <v>3375</v>
      </c>
      <c r="AK882" s="298" t="s">
        <v>50</v>
      </c>
      <c r="AL882" s="298" t="s">
        <v>285</v>
      </c>
      <c r="AM882" s="298" t="s">
        <v>51</v>
      </c>
      <c r="AN882" s="298" t="s">
        <v>52</v>
      </c>
      <c r="AO882" s="298" t="s">
        <v>1371</v>
      </c>
    </row>
    <row r="883" ht="15.75" customHeight="1">
      <c r="A883" s="69">
        <v>43777.0</v>
      </c>
      <c r="B883" s="70" t="s">
        <v>119</v>
      </c>
      <c r="C883" s="21">
        <v>1672019.0</v>
      </c>
      <c r="D883" s="71" t="s">
        <v>120</v>
      </c>
      <c r="E883" s="32" t="s">
        <v>121</v>
      </c>
      <c r="F883" s="24">
        <v>56.0</v>
      </c>
      <c r="G883" s="48">
        <v>359.0</v>
      </c>
      <c r="H883" s="60">
        <f t="shared" si="122"/>
        <v>20104</v>
      </c>
      <c r="I883" s="132" t="s">
        <v>1855</v>
      </c>
      <c r="J883" s="82" t="s">
        <v>122</v>
      </c>
      <c r="K883" s="30">
        <v>43825.0</v>
      </c>
      <c r="L883" s="30">
        <v>43791.0</v>
      </c>
      <c r="M883" s="50" t="s">
        <v>90</v>
      </c>
      <c r="N883" s="32" t="s">
        <v>123</v>
      </c>
      <c r="O883" s="22"/>
      <c r="P883" s="588">
        <v>332.0</v>
      </c>
      <c r="Q883" s="306">
        <f t="shared" si="125"/>
        <v>19521.6</v>
      </c>
      <c r="R883" s="408"/>
      <c r="S883" s="728">
        <f t="shared" si="127"/>
        <v>594725.544</v>
      </c>
      <c r="T883" s="35" t="s">
        <v>94</v>
      </c>
      <c r="U883" s="306"/>
      <c r="V883" s="306"/>
      <c r="W883" s="306"/>
      <c r="X883" s="306"/>
      <c r="Y883" s="306"/>
      <c r="Z883" s="306" t="s">
        <v>3376</v>
      </c>
      <c r="AA883" s="306" t="s">
        <v>3377</v>
      </c>
      <c r="AB883" s="306">
        <v>30.26</v>
      </c>
      <c r="AC883" s="306"/>
      <c r="AD883" s="298"/>
      <c r="AE883" s="306"/>
      <c r="AF883" s="299"/>
      <c r="AG883" s="539"/>
      <c r="AH883" s="300">
        <v>43840.0</v>
      </c>
      <c r="AI883" s="299" t="s">
        <v>3374</v>
      </c>
      <c r="AJ883" s="299" t="s">
        <v>3375</v>
      </c>
      <c r="AK883" s="298" t="s">
        <v>50</v>
      </c>
      <c r="AL883" s="298" t="s">
        <v>285</v>
      </c>
      <c r="AM883" s="298" t="s">
        <v>51</v>
      </c>
      <c r="AN883" s="298" t="s">
        <v>52</v>
      </c>
      <c r="AO883" s="298" t="s">
        <v>1371</v>
      </c>
    </row>
    <row r="884" ht="15.75" customHeight="1">
      <c r="A884" s="69">
        <v>43777.0</v>
      </c>
      <c r="B884" s="70" t="s">
        <v>119</v>
      </c>
      <c r="C884" s="21">
        <v>1672019.0</v>
      </c>
      <c r="D884" s="71" t="s">
        <v>120</v>
      </c>
      <c r="E884" s="32" t="s">
        <v>163</v>
      </c>
      <c r="F884" s="24">
        <v>5.0</v>
      </c>
      <c r="G884" s="48">
        <v>190.0</v>
      </c>
      <c r="H884" s="60">
        <f t="shared" si="122"/>
        <v>950</v>
      </c>
      <c r="I884" s="132" t="s">
        <v>1855</v>
      </c>
      <c r="J884" s="82" t="s">
        <v>122</v>
      </c>
      <c r="K884" s="30">
        <v>43825.0</v>
      </c>
      <c r="L884" s="30">
        <v>43810.0</v>
      </c>
      <c r="M884" s="50" t="s">
        <v>90</v>
      </c>
      <c r="N884" s="32" t="s">
        <v>123</v>
      </c>
      <c r="O884" s="22"/>
      <c r="P884" s="22">
        <v>148.0</v>
      </c>
      <c r="Q884" s="406">
        <f t="shared" si="125"/>
        <v>777</v>
      </c>
      <c r="R884" s="408"/>
      <c r="S884" s="728">
        <f t="shared" si="127"/>
        <v>23671.305</v>
      </c>
      <c r="T884" s="35" t="s">
        <v>94</v>
      </c>
      <c r="U884" s="306"/>
      <c r="V884" s="306"/>
      <c r="W884" s="306"/>
      <c r="X884" s="306"/>
      <c r="Y884" s="306"/>
      <c r="Z884" s="306" t="s">
        <v>3376</v>
      </c>
      <c r="AA884" s="306" t="s">
        <v>3377</v>
      </c>
      <c r="AB884" s="306">
        <v>30.26</v>
      </c>
      <c r="AC884" s="306"/>
      <c r="AD884" s="298"/>
      <c r="AE884" s="306"/>
      <c r="AF884" s="299"/>
      <c r="AG884" s="539"/>
      <c r="AH884" s="300">
        <v>43840.0</v>
      </c>
      <c r="AI884" s="299" t="s">
        <v>3374</v>
      </c>
      <c r="AJ884" s="299" t="s">
        <v>3375</v>
      </c>
      <c r="AK884" s="298" t="s">
        <v>50</v>
      </c>
      <c r="AL884" s="298" t="s">
        <v>285</v>
      </c>
      <c r="AM884" s="298" t="s">
        <v>51</v>
      </c>
      <c r="AN884" s="298" t="s">
        <v>52</v>
      </c>
      <c r="AO884" s="298" t="s">
        <v>1371</v>
      </c>
    </row>
    <row r="885" ht="15.75" customHeight="1">
      <c r="A885" s="69">
        <v>43777.0</v>
      </c>
      <c r="B885" s="70" t="s">
        <v>119</v>
      </c>
      <c r="C885" s="21">
        <v>1672019.0</v>
      </c>
      <c r="D885" s="71" t="s">
        <v>120</v>
      </c>
      <c r="E885" s="32" t="s">
        <v>1876</v>
      </c>
      <c r="F885" s="24">
        <v>20.0</v>
      </c>
      <c r="G885" s="48">
        <v>485.0</v>
      </c>
      <c r="H885" s="60">
        <f t="shared" si="122"/>
        <v>9700</v>
      </c>
      <c r="I885" s="132" t="s">
        <v>1855</v>
      </c>
      <c r="J885" s="82" t="s">
        <v>122</v>
      </c>
      <c r="K885" s="30">
        <v>43825.0</v>
      </c>
      <c r="L885" s="30">
        <v>43822.0</v>
      </c>
      <c r="M885" s="50" t="s">
        <v>90</v>
      </c>
      <c r="N885" s="32" t="s">
        <v>123</v>
      </c>
      <c r="O885" s="588"/>
      <c r="P885" s="588">
        <v>425.0</v>
      </c>
      <c r="Q885" s="406">
        <f t="shared" si="125"/>
        <v>8925</v>
      </c>
      <c r="R885" s="408"/>
      <c r="S885" s="728">
        <f t="shared" ref="S885:S886" si="128">Q885*30.42</f>
        <v>271498.5</v>
      </c>
      <c r="T885" s="35" t="s">
        <v>94</v>
      </c>
      <c r="U885" s="306"/>
      <c r="V885" s="306"/>
      <c r="W885" s="306"/>
      <c r="X885" s="306"/>
      <c r="Y885" s="306"/>
      <c r="Z885" s="306" t="s">
        <v>3376</v>
      </c>
      <c r="AA885" s="306" t="s">
        <v>3377</v>
      </c>
      <c r="AB885" s="306">
        <v>30.26</v>
      </c>
      <c r="AC885" s="306"/>
      <c r="AD885" s="298"/>
      <c r="AE885" s="306"/>
      <c r="AF885" s="299"/>
      <c r="AG885" s="539"/>
      <c r="AH885" s="300">
        <v>43850.0</v>
      </c>
      <c r="AI885" s="299">
        <f>9981.31*29.889</f>
        <v>298331.3746</v>
      </c>
      <c r="AJ885" s="299">
        <f>(10000-9981.31)*29.889</f>
        <v>558.62541</v>
      </c>
      <c r="AK885" s="298" t="s">
        <v>50</v>
      </c>
      <c r="AL885" s="298" t="s">
        <v>285</v>
      </c>
      <c r="AM885" s="298" t="s">
        <v>51</v>
      </c>
      <c r="AN885" s="298" t="s">
        <v>52</v>
      </c>
      <c r="AO885" s="298" t="s">
        <v>1371</v>
      </c>
    </row>
    <row r="886" ht="15.75" customHeight="1">
      <c r="A886" s="69">
        <v>43777.0</v>
      </c>
      <c r="B886" s="70" t="s">
        <v>119</v>
      </c>
      <c r="C886" s="21">
        <v>1672019.0</v>
      </c>
      <c r="D886" s="71" t="s">
        <v>120</v>
      </c>
      <c r="E886" s="32" t="s">
        <v>152</v>
      </c>
      <c r="F886" s="24">
        <v>6.0</v>
      </c>
      <c r="G886" s="48">
        <v>1045.0</v>
      </c>
      <c r="H886" s="60">
        <f t="shared" si="122"/>
        <v>6270</v>
      </c>
      <c r="I886" s="132" t="s">
        <v>1855</v>
      </c>
      <c r="J886" s="82" t="s">
        <v>122</v>
      </c>
      <c r="K886" s="30">
        <v>43825.0</v>
      </c>
      <c r="L886" s="30">
        <v>43822.0</v>
      </c>
      <c r="M886" s="50" t="s">
        <v>90</v>
      </c>
      <c r="N886" s="32" t="s">
        <v>123</v>
      </c>
      <c r="O886" s="588"/>
      <c r="P886" s="588">
        <v>920.0</v>
      </c>
      <c r="Q886" s="406">
        <f t="shared" si="125"/>
        <v>5796</v>
      </c>
      <c r="R886" s="408"/>
      <c r="S886" s="728">
        <f t="shared" si="128"/>
        <v>176314.32</v>
      </c>
      <c r="T886" s="35" t="s">
        <v>94</v>
      </c>
      <c r="U886" s="306"/>
      <c r="V886" s="306"/>
      <c r="W886" s="306"/>
      <c r="X886" s="306"/>
      <c r="Y886" s="306"/>
      <c r="Z886" s="306" t="s">
        <v>3376</v>
      </c>
      <c r="AA886" s="306" t="s">
        <v>3377</v>
      </c>
      <c r="AB886" s="306">
        <v>30.26</v>
      </c>
      <c r="AC886" s="306"/>
      <c r="AD886" s="298"/>
      <c r="AE886" s="306"/>
      <c r="AF886" s="299"/>
      <c r="AG886" s="539"/>
      <c r="AH886" s="300">
        <v>43840.0</v>
      </c>
      <c r="AI886" s="299" t="s">
        <v>3374</v>
      </c>
      <c r="AJ886" s="299" t="s">
        <v>3375</v>
      </c>
      <c r="AK886" s="298" t="s">
        <v>50</v>
      </c>
      <c r="AL886" s="298" t="s">
        <v>285</v>
      </c>
      <c r="AM886" s="298" t="s">
        <v>51</v>
      </c>
      <c r="AN886" s="298" t="s">
        <v>52</v>
      </c>
      <c r="AO886" s="298" t="s">
        <v>1371</v>
      </c>
    </row>
    <row r="887" ht="15.75" customHeight="1">
      <c r="A887" s="69">
        <v>43781.0</v>
      </c>
      <c r="B887" s="144" t="s">
        <v>167</v>
      </c>
      <c r="C887" s="21"/>
      <c r="D887" s="71" t="s">
        <v>1877</v>
      </c>
      <c r="E887" s="566" t="s">
        <v>1878</v>
      </c>
      <c r="F887" s="24">
        <v>3.0</v>
      </c>
      <c r="G887" s="48">
        <v>1429.0</v>
      </c>
      <c r="H887" s="60">
        <f>F887*G887</f>
        <v>4287</v>
      </c>
      <c r="I887" s="27" t="s">
        <v>171</v>
      </c>
      <c r="J887" s="58" t="s">
        <v>172</v>
      </c>
      <c r="K887" s="29">
        <v>43811.0</v>
      </c>
      <c r="L887" s="29">
        <v>43809.0</v>
      </c>
      <c r="M887" s="497"/>
      <c r="N887" s="93">
        <v>2.019111200002E12</v>
      </c>
      <c r="O887" s="408"/>
      <c r="P887" s="408"/>
      <c r="Q887" s="408">
        <f t="shared" si="125"/>
        <v>0</v>
      </c>
      <c r="R887" s="408"/>
      <c r="S887" s="730">
        <v>101281.95</v>
      </c>
      <c r="T887" s="408"/>
      <c r="U887" s="306"/>
      <c r="V887" s="306"/>
      <c r="W887" s="306"/>
      <c r="X887" s="306"/>
      <c r="Y887" s="306"/>
      <c r="Z887" s="306" t="s">
        <v>3378</v>
      </c>
      <c r="AA887" s="306">
        <v>2.41673327E9</v>
      </c>
      <c r="AB887" s="537">
        <v>30.42</v>
      </c>
      <c r="AC887" s="306"/>
      <c r="AD887" s="306"/>
      <c r="AE887" s="298"/>
      <c r="AF887" s="306"/>
      <c r="AG887" s="299"/>
      <c r="AH887" s="29">
        <v>43797.0</v>
      </c>
      <c r="AI887" s="299" t="s">
        <v>3266</v>
      </c>
      <c r="AJ887" s="299" t="s">
        <v>3267</v>
      </c>
      <c r="AK887" s="298" t="s">
        <v>50</v>
      </c>
      <c r="AL887" s="298" t="s">
        <v>285</v>
      </c>
      <c r="AM887" s="298" t="s">
        <v>286</v>
      </c>
      <c r="AN887" s="298" t="s">
        <v>52</v>
      </c>
      <c r="AO887" s="298" t="s">
        <v>1371</v>
      </c>
    </row>
    <row r="888" ht="15.75" customHeight="1">
      <c r="A888" s="69">
        <v>43781.0</v>
      </c>
      <c r="B888" s="144" t="s">
        <v>167</v>
      </c>
      <c r="C888" s="21"/>
      <c r="D888" s="71" t="s">
        <v>1877</v>
      </c>
      <c r="E888" s="32" t="s">
        <v>174</v>
      </c>
      <c r="F888" s="24">
        <v>3.0</v>
      </c>
      <c r="G888" s="48">
        <v>72.0</v>
      </c>
      <c r="H888" s="60">
        <f>F887*G888</f>
        <v>216</v>
      </c>
      <c r="I888" s="27" t="s">
        <v>171</v>
      </c>
      <c r="J888" s="58" t="s">
        <v>172</v>
      </c>
      <c r="K888" s="29">
        <v>43811.0</v>
      </c>
      <c r="L888" s="304"/>
      <c r="M888" s="497"/>
      <c r="N888" s="93"/>
      <c r="O888" s="408"/>
      <c r="P888" s="408"/>
      <c r="Q888" s="408"/>
      <c r="R888" s="408"/>
      <c r="S888" s="731">
        <v>0.0</v>
      </c>
      <c r="T888" s="503"/>
      <c r="U888" s="306"/>
      <c r="V888" s="306"/>
      <c r="W888" s="306"/>
      <c r="X888" s="306"/>
      <c r="Y888" s="306"/>
      <c r="Z888" s="306" t="s">
        <v>3378</v>
      </c>
      <c r="AA888" s="306">
        <v>2.41673327E9</v>
      </c>
      <c r="AB888" s="537">
        <v>30.42</v>
      </c>
      <c r="AC888" s="306"/>
      <c r="AD888" s="306"/>
      <c r="AE888" s="298"/>
      <c r="AF888" s="306"/>
      <c r="AG888" s="299"/>
      <c r="AH888" s="29">
        <v>43797.0</v>
      </c>
      <c r="AI888" s="299" t="s">
        <v>3266</v>
      </c>
      <c r="AJ888" s="299" t="s">
        <v>3267</v>
      </c>
      <c r="AK888" s="298" t="s">
        <v>50</v>
      </c>
      <c r="AL888" s="298" t="s">
        <v>285</v>
      </c>
      <c r="AM888" s="298" t="s">
        <v>286</v>
      </c>
      <c r="AN888" s="298" t="s">
        <v>52</v>
      </c>
      <c r="AO888" s="298" t="s">
        <v>1371</v>
      </c>
    </row>
    <row r="889" ht="15.75" customHeight="1">
      <c r="A889" s="69">
        <v>43781.0</v>
      </c>
      <c r="B889" s="144" t="s">
        <v>167</v>
      </c>
      <c r="C889" s="21"/>
      <c r="D889" s="71" t="s">
        <v>1877</v>
      </c>
      <c r="E889" s="23" t="s">
        <v>177</v>
      </c>
      <c r="F889" s="130">
        <v>3.0</v>
      </c>
      <c r="G889" s="25">
        <v>61.0</v>
      </c>
      <c r="H889" s="60">
        <f t="shared" ref="H889:H890" si="129">F889*G889</f>
        <v>183</v>
      </c>
      <c r="I889" s="27" t="s">
        <v>171</v>
      </c>
      <c r="J889" s="58" t="s">
        <v>172</v>
      </c>
      <c r="K889" s="29">
        <v>43811.0</v>
      </c>
      <c r="L889" s="304"/>
      <c r="M889" s="497"/>
      <c r="N889" s="93"/>
      <c r="O889" s="408"/>
      <c r="P889" s="408"/>
      <c r="Q889" s="408">
        <f t="shared" ref="Q889:Q890" si="130">(P889*F889)*1.05</f>
        <v>0</v>
      </c>
      <c r="R889" s="408"/>
      <c r="S889" s="730">
        <v>1483.65</v>
      </c>
      <c r="T889" s="503"/>
      <c r="U889" s="306"/>
      <c r="V889" s="306"/>
      <c r="W889" s="306"/>
      <c r="X889" s="306"/>
      <c r="Y889" s="306"/>
      <c r="Z889" s="306" t="s">
        <v>3378</v>
      </c>
      <c r="AA889" s="306">
        <v>2.41673327E9</v>
      </c>
      <c r="AB889" s="537">
        <v>30.42</v>
      </c>
      <c r="AC889" s="306"/>
      <c r="AD889" s="306"/>
      <c r="AE889" s="298"/>
      <c r="AF889" s="306"/>
      <c r="AG889" s="299"/>
      <c r="AH889" s="29">
        <v>43797.0</v>
      </c>
      <c r="AI889" s="299" t="s">
        <v>3266</v>
      </c>
      <c r="AJ889" s="299" t="s">
        <v>3267</v>
      </c>
      <c r="AK889" s="298" t="s">
        <v>50</v>
      </c>
      <c r="AL889" s="298" t="s">
        <v>285</v>
      </c>
      <c r="AM889" s="298" t="s">
        <v>286</v>
      </c>
      <c r="AN889" s="298" t="s">
        <v>52</v>
      </c>
      <c r="AO889" s="298" t="s">
        <v>1371</v>
      </c>
    </row>
    <row r="890" ht="15.75" customHeight="1">
      <c r="A890" s="69">
        <v>43781.0</v>
      </c>
      <c r="B890" s="144" t="s">
        <v>167</v>
      </c>
      <c r="C890" s="21"/>
      <c r="D890" s="71" t="s">
        <v>1879</v>
      </c>
      <c r="E890" s="547" t="s">
        <v>1878</v>
      </c>
      <c r="F890" s="130">
        <v>1.0</v>
      </c>
      <c r="G890" s="25">
        <v>1429.0</v>
      </c>
      <c r="H890" s="60">
        <f t="shared" si="129"/>
        <v>1429</v>
      </c>
      <c r="I890" s="27" t="s">
        <v>171</v>
      </c>
      <c r="J890" s="58" t="s">
        <v>172</v>
      </c>
      <c r="K890" s="29">
        <v>43811.0</v>
      </c>
      <c r="L890" s="29">
        <v>43809.0</v>
      </c>
      <c r="M890" s="497"/>
      <c r="N890" s="93">
        <v>2.019111200003E12</v>
      </c>
      <c r="O890" s="408"/>
      <c r="P890" s="408"/>
      <c r="Q890" s="408">
        <f t="shared" si="130"/>
        <v>0</v>
      </c>
      <c r="R890" s="408"/>
      <c r="S890" s="730">
        <v>33760.65</v>
      </c>
      <c r="T890" s="503"/>
      <c r="U890" s="306"/>
      <c r="V890" s="306"/>
      <c r="W890" s="306"/>
      <c r="X890" s="306"/>
      <c r="Y890" s="306"/>
      <c r="Z890" s="306" t="s">
        <v>3378</v>
      </c>
      <c r="AA890" s="306">
        <v>2.41673327E9</v>
      </c>
      <c r="AB890" s="537">
        <v>30.42</v>
      </c>
      <c r="AC890" s="306"/>
      <c r="AD890" s="306"/>
      <c r="AE890" s="298"/>
      <c r="AF890" s="306"/>
      <c r="AG890" s="299"/>
      <c r="AH890" s="29">
        <v>43797.0</v>
      </c>
      <c r="AI890" s="299" t="s">
        <v>3266</v>
      </c>
      <c r="AJ890" s="299" t="s">
        <v>3267</v>
      </c>
      <c r="AK890" s="298" t="s">
        <v>50</v>
      </c>
      <c r="AL890" s="298" t="s">
        <v>285</v>
      </c>
      <c r="AM890" s="298" t="s">
        <v>286</v>
      </c>
      <c r="AN890" s="298" t="s">
        <v>52</v>
      </c>
      <c r="AO890" s="298" t="s">
        <v>1371</v>
      </c>
    </row>
    <row r="891" ht="15.75" customHeight="1">
      <c r="A891" s="69">
        <v>43781.0</v>
      </c>
      <c r="B891" s="144" t="s">
        <v>167</v>
      </c>
      <c r="C891" s="21"/>
      <c r="D891" s="71" t="s">
        <v>1879</v>
      </c>
      <c r="E891" s="23" t="s">
        <v>174</v>
      </c>
      <c r="F891" s="130">
        <v>1.0</v>
      </c>
      <c r="G891" s="25">
        <v>72.0</v>
      </c>
      <c r="H891" s="60">
        <f>F890*G891</f>
        <v>72</v>
      </c>
      <c r="I891" s="27" t="s">
        <v>171</v>
      </c>
      <c r="J891" s="58" t="s">
        <v>172</v>
      </c>
      <c r="K891" s="29">
        <v>43811.0</v>
      </c>
      <c r="L891" s="304"/>
      <c r="M891" s="497"/>
      <c r="N891" s="93"/>
      <c r="O891" s="408"/>
      <c r="P891" s="408"/>
      <c r="Q891" s="408"/>
      <c r="R891" s="408"/>
      <c r="S891" s="408">
        <v>0.0</v>
      </c>
      <c r="T891" s="503"/>
      <c r="U891" s="306"/>
      <c r="V891" s="306"/>
      <c r="W891" s="306"/>
      <c r="X891" s="306"/>
      <c r="Y891" s="306"/>
      <c r="Z891" s="306" t="s">
        <v>3378</v>
      </c>
      <c r="AA891" s="306">
        <v>2.41673327E9</v>
      </c>
      <c r="AB891" s="537">
        <v>30.42</v>
      </c>
      <c r="AC891" s="306"/>
      <c r="AD891" s="306"/>
      <c r="AE891" s="298"/>
      <c r="AF891" s="306"/>
      <c r="AG891" s="299"/>
      <c r="AH891" s="29">
        <v>43797.0</v>
      </c>
      <c r="AI891" s="299" t="s">
        <v>3266</v>
      </c>
      <c r="AJ891" s="299" t="s">
        <v>3267</v>
      </c>
      <c r="AK891" s="298" t="s">
        <v>50</v>
      </c>
      <c r="AL891" s="298" t="s">
        <v>285</v>
      </c>
      <c r="AM891" s="298" t="s">
        <v>286</v>
      </c>
      <c r="AN891" s="298" t="s">
        <v>52</v>
      </c>
      <c r="AO891" s="298" t="s">
        <v>1371</v>
      </c>
    </row>
    <row r="892" ht="15.75" customHeight="1">
      <c r="A892" s="69">
        <v>43781.0</v>
      </c>
      <c r="B892" s="144" t="s">
        <v>167</v>
      </c>
      <c r="C892" s="21"/>
      <c r="D892" s="71" t="s">
        <v>1879</v>
      </c>
      <c r="E892" s="32" t="s">
        <v>177</v>
      </c>
      <c r="F892" s="24">
        <v>1.0</v>
      </c>
      <c r="G892" s="48">
        <v>61.0</v>
      </c>
      <c r="H892" s="60">
        <f>F892*G892</f>
        <v>61</v>
      </c>
      <c r="I892" s="27" t="s">
        <v>171</v>
      </c>
      <c r="J892" s="58" t="s">
        <v>172</v>
      </c>
      <c r="K892" s="29">
        <v>43811.0</v>
      </c>
      <c r="L892" s="304"/>
      <c r="M892" s="497"/>
      <c r="N892" s="93"/>
      <c r="O892" s="408"/>
      <c r="P892" s="408"/>
      <c r="Q892" s="408">
        <f t="shared" ref="Q892:Q893" si="131">(P892*F892)*1.05</f>
        <v>0</v>
      </c>
      <c r="R892" s="408"/>
      <c r="S892" s="503">
        <v>2967.3</v>
      </c>
      <c r="T892" s="408"/>
      <c r="U892" s="306"/>
      <c r="V892" s="306"/>
      <c r="W892" s="306"/>
      <c r="X892" s="306"/>
      <c r="Y892" s="306"/>
      <c r="Z892" s="306" t="s">
        <v>3378</v>
      </c>
      <c r="AA892" s="306">
        <v>2.41673327E9</v>
      </c>
      <c r="AB892" s="537">
        <v>30.42</v>
      </c>
      <c r="AC892" s="306"/>
      <c r="AD892" s="306"/>
      <c r="AE892" s="298"/>
      <c r="AF892" s="306"/>
      <c r="AG892" s="299"/>
      <c r="AH892" s="29">
        <v>43797.0</v>
      </c>
      <c r="AI892" s="299" t="s">
        <v>3266</v>
      </c>
      <c r="AJ892" s="299" t="s">
        <v>3267</v>
      </c>
      <c r="AK892" s="298" t="s">
        <v>50</v>
      </c>
      <c r="AL892" s="298" t="s">
        <v>285</v>
      </c>
      <c r="AM892" s="298" t="s">
        <v>286</v>
      </c>
      <c r="AN892" s="298" t="s">
        <v>52</v>
      </c>
      <c r="AO892" s="298" t="s">
        <v>1371</v>
      </c>
    </row>
    <row r="893" ht="15.75" customHeight="1">
      <c r="A893" s="69">
        <v>43781.0</v>
      </c>
      <c r="B893" s="144" t="s">
        <v>101</v>
      </c>
      <c r="C893" s="21"/>
      <c r="D893" s="71" t="s">
        <v>1880</v>
      </c>
      <c r="E893" s="32" t="s">
        <v>1881</v>
      </c>
      <c r="F893" s="24">
        <v>1.0</v>
      </c>
      <c r="G893" s="48">
        <v>0.0</v>
      </c>
      <c r="H893" s="60">
        <f>G893*F893</f>
        <v>0</v>
      </c>
      <c r="I893" s="61" t="s">
        <v>171</v>
      </c>
      <c r="J893" s="63" t="s">
        <v>1056</v>
      </c>
      <c r="K893" s="29">
        <v>43790.0</v>
      </c>
      <c r="L893" s="29">
        <v>43789.0</v>
      </c>
      <c r="M893" s="626" t="s">
        <v>3379</v>
      </c>
      <c r="N893" s="64">
        <v>2.019111200001E12</v>
      </c>
      <c r="O893" s="34"/>
      <c r="P893" s="34"/>
      <c r="Q893" s="34">
        <f t="shared" si="131"/>
        <v>0</v>
      </c>
      <c r="R893" s="34"/>
      <c r="S893" s="34">
        <f>(R893*F895)*1.05</f>
        <v>0</v>
      </c>
      <c r="T893" s="76"/>
      <c r="U893" s="52"/>
      <c r="V893" s="53"/>
      <c r="W893" s="53"/>
      <c r="X893" s="53"/>
      <c r="Y893" s="53"/>
      <c r="Z893" s="53" t="s">
        <v>3380</v>
      </c>
      <c r="AA893" s="53">
        <v>2.63796617E9</v>
      </c>
      <c r="AB893" s="67"/>
      <c r="AC893" s="53"/>
      <c r="AD893" s="53"/>
      <c r="AE893" s="54"/>
      <c r="AF893" s="53">
        <v>30.465</v>
      </c>
      <c r="AG893" s="55"/>
      <c r="AH893" s="68"/>
      <c r="AI893" s="55"/>
      <c r="AJ893" s="55"/>
      <c r="AK893" s="298" t="s">
        <v>50</v>
      </c>
      <c r="AL893" s="54" t="s">
        <v>1631</v>
      </c>
      <c r="AM893" s="54"/>
      <c r="AN893" s="54"/>
      <c r="AO893" s="57"/>
    </row>
    <row r="894" ht="15.75" customHeight="1">
      <c r="A894" s="69">
        <v>43781.0</v>
      </c>
      <c r="B894" s="144" t="s">
        <v>101</v>
      </c>
      <c r="C894" s="21"/>
      <c r="D894" s="71" t="s">
        <v>1880</v>
      </c>
      <c r="E894" s="32" t="s">
        <v>1882</v>
      </c>
      <c r="F894" s="24">
        <v>1.0</v>
      </c>
      <c r="G894" s="48">
        <v>0.0</v>
      </c>
      <c r="H894" s="165">
        <v>0.0</v>
      </c>
      <c r="I894" s="61" t="s">
        <v>171</v>
      </c>
      <c r="J894" s="63" t="s">
        <v>1883</v>
      </c>
      <c r="K894" s="29">
        <v>43796.0</v>
      </c>
      <c r="L894" s="29">
        <v>43789.0</v>
      </c>
      <c r="M894" s="626" t="s">
        <v>3379</v>
      </c>
      <c r="N894" s="32"/>
      <c r="O894" s="34"/>
      <c r="P894" s="34"/>
      <c r="Q894" s="34"/>
      <c r="R894" s="34"/>
      <c r="S894" s="34"/>
      <c r="T894" s="35"/>
      <c r="U894" s="533"/>
      <c r="V894" s="78"/>
      <c r="W894" s="53"/>
      <c r="X894" s="53"/>
      <c r="Y894" s="53"/>
      <c r="Z894" s="53" t="s">
        <v>3380</v>
      </c>
      <c r="AA894" s="53">
        <v>2.63796617E9</v>
      </c>
      <c r="AB894" s="67"/>
      <c r="AC894" s="53"/>
      <c r="AD894" s="78"/>
      <c r="AE894" s="54"/>
      <c r="AF894" s="53"/>
      <c r="AG894" s="55"/>
      <c r="AH894" s="68"/>
      <c r="AI894" s="55"/>
      <c r="AJ894" s="55"/>
      <c r="AK894" s="298" t="s">
        <v>50</v>
      </c>
      <c r="AL894" s="54" t="s">
        <v>1631</v>
      </c>
      <c r="AM894" s="54"/>
      <c r="AN894" s="54"/>
      <c r="AO894" s="57"/>
    </row>
    <row r="895" ht="15.75" customHeight="1">
      <c r="A895" s="69">
        <v>43781.0</v>
      </c>
      <c r="B895" s="70" t="s">
        <v>223</v>
      </c>
      <c r="C895" s="21" t="s">
        <v>1884</v>
      </c>
      <c r="D895" s="111" t="s">
        <v>1885</v>
      </c>
      <c r="E895" s="32" t="s">
        <v>1886</v>
      </c>
      <c r="F895" s="24">
        <v>2.0</v>
      </c>
      <c r="G895" s="48">
        <f t="shared" ref="G895:G896" si="132">129*1.05</f>
        <v>135.45</v>
      </c>
      <c r="H895" s="165">
        <f t="shared" ref="H895:H914" si="133">G895*F895</f>
        <v>270.9</v>
      </c>
      <c r="I895" s="61" t="s">
        <v>1855</v>
      </c>
      <c r="J895" s="50" t="s">
        <v>90</v>
      </c>
      <c r="K895" s="29">
        <v>43791.0</v>
      </c>
      <c r="L895" s="84">
        <v>43791.0</v>
      </c>
      <c r="M895" s="50" t="s">
        <v>90</v>
      </c>
      <c r="N895" s="32" t="s">
        <v>3381</v>
      </c>
      <c r="O895" s="408"/>
      <c r="P895" s="408">
        <v>117.0</v>
      </c>
      <c r="Q895" s="408">
        <f t="shared" ref="Q895:Q913" si="134">(P895*F895)*1.05</f>
        <v>245.7</v>
      </c>
      <c r="R895" s="408"/>
      <c r="S895" s="408">
        <v>7485.0</v>
      </c>
      <c r="T895" s="35" t="s">
        <v>94</v>
      </c>
      <c r="U895" s="305">
        <v>43830.0</v>
      </c>
      <c r="V895" s="305">
        <v>43790.0</v>
      </c>
      <c r="W895" s="306" t="s">
        <v>1887</v>
      </c>
      <c r="X895" s="306">
        <v>7485.0</v>
      </c>
      <c r="Y895" s="306"/>
      <c r="Z895" s="306" t="s">
        <v>3382</v>
      </c>
      <c r="AA895" s="306" t="s">
        <v>3383</v>
      </c>
      <c r="AB895" s="537">
        <v>30.48</v>
      </c>
      <c r="AC895" s="306">
        <v>8257.0</v>
      </c>
      <c r="AD895" s="305">
        <v>43790.0</v>
      </c>
      <c r="AE895" s="298"/>
      <c r="AF895" s="306">
        <v>30.48</v>
      </c>
      <c r="AG895" s="299"/>
      <c r="AH895" s="29">
        <v>43809.0</v>
      </c>
      <c r="AI895" s="299" t="s">
        <v>3299</v>
      </c>
      <c r="AJ895" s="299" t="s">
        <v>3300</v>
      </c>
      <c r="AK895" s="298" t="s">
        <v>50</v>
      </c>
      <c r="AL895" s="298" t="s">
        <v>285</v>
      </c>
      <c r="AM895" s="298" t="s">
        <v>51</v>
      </c>
      <c r="AN895" s="298" t="s">
        <v>377</v>
      </c>
      <c r="AO895" s="459" t="s">
        <v>763</v>
      </c>
    </row>
    <row r="896" ht="15.75" customHeight="1">
      <c r="A896" s="69">
        <v>43781.0</v>
      </c>
      <c r="B896" s="70" t="s">
        <v>223</v>
      </c>
      <c r="C896" s="21" t="s">
        <v>1884</v>
      </c>
      <c r="D896" s="111" t="s">
        <v>1885</v>
      </c>
      <c r="E896" s="32" t="s">
        <v>1888</v>
      </c>
      <c r="F896" s="24">
        <v>2.0</v>
      </c>
      <c r="G896" s="48">
        <f t="shared" si="132"/>
        <v>135.45</v>
      </c>
      <c r="H896" s="165">
        <f t="shared" si="133"/>
        <v>270.9</v>
      </c>
      <c r="I896" s="61" t="s">
        <v>1855</v>
      </c>
      <c r="J896" s="50" t="s">
        <v>90</v>
      </c>
      <c r="K896" s="84">
        <v>43805.0</v>
      </c>
      <c r="L896" s="84">
        <v>43805.0</v>
      </c>
      <c r="M896" s="50" t="s">
        <v>90</v>
      </c>
      <c r="N896" s="32" t="s">
        <v>3381</v>
      </c>
      <c r="O896" s="229"/>
      <c r="P896" s="408">
        <v>117.0</v>
      </c>
      <c r="Q896" s="408">
        <f t="shared" si="134"/>
        <v>245.7</v>
      </c>
      <c r="R896" s="408"/>
      <c r="S896" s="707">
        <f>Q896*30.45</f>
        <v>7481.565</v>
      </c>
      <c r="T896" s="35" t="s">
        <v>94</v>
      </c>
      <c r="U896" s="306"/>
      <c r="V896" s="306"/>
      <c r="W896" s="306"/>
      <c r="X896" s="306"/>
      <c r="Y896" s="306"/>
      <c r="Z896" s="306" t="s">
        <v>3384</v>
      </c>
      <c r="AA896" s="306">
        <v>7.60113686804E11</v>
      </c>
      <c r="AB896" s="306">
        <v>30.49</v>
      </c>
      <c r="AC896" s="306">
        <v>8260.0</v>
      </c>
      <c r="AD896" s="305">
        <v>43809.0</v>
      </c>
      <c r="AE896" s="306"/>
      <c r="AF896" s="299"/>
      <c r="AG896" s="539"/>
      <c r="AH896" s="300">
        <v>43838.0</v>
      </c>
      <c r="AI896" s="299">
        <v>46486.0</v>
      </c>
      <c r="AJ896" s="298">
        <v>15.0</v>
      </c>
      <c r="AK896" s="298" t="s">
        <v>50</v>
      </c>
      <c r="AL896" s="298" t="s">
        <v>285</v>
      </c>
      <c r="AM896" s="298" t="s">
        <v>51</v>
      </c>
      <c r="AN896" s="298" t="s">
        <v>377</v>
      </c>
      <c r="AO896" s="298" t="s">
        <v>1371</v>
      </c>
    </row>
    <row r="897" ht="15.75" customHeight="1">
      <c r="A897" s="69">
        <v>43781.0</v>
      </c>
      <c r="B897" s="70" t="s">
        <v>229</v>
      </c>
      <c r="C897" s="21" t="s">
        <v>1889</v>
      </c>
      <c r="D897" s="71" t="s">
        <v>1890</v>
      </c>
      <c r="E897" s="32" t="s">
        <v>736</v>
      </c>
      <c r="F897" s="24">
        <v>2.0</v>
      </c>
      <c r="G897" s="436">
        <v>336.0</v>
      </c>
      <c r="H897" s="165">
        <f t="shared" si="133"/>
        <v>672</v>
      </c>
      <c r="I897" s="61" t="s">
        <v>171</v>
      </c>
      <c r="J897" s="50" t="s">
        <v>233</v>
      </c>
      <c r="K897" s="30">
        <v>43789.0</v>
      </c>
      <c r="L897" s="30">
        <v>43789.0</v>
      </c>
      <c r="M897" s="50" t="s">
        <v>90</v>
      </c>
      <c r="N897" s="93" t="s">
        <v>3385</v>
      </c>
      <c r="O897" s="408"/>
      <c r="P897" s="408">
        <v>257.0</v>
      </c>
      <c r="Q897" s="408">
        <f t="shared" si="134"/>
        <v>539.7</v>
      </c>
      <c r="R897" s="408"/>
      <c r="S897" s="408">
        <v>16350.0</v>
      </c>
      <c r="T897" s="51" t="s">
        <v>94</v>
      </c>
      <c r="U897" s="305">
        <v>43830.0</v>
      </c>
      <c r="V897" s="305">
        <v>43789.0</v>
      </c>
      <c r="W897" s="306" t="s">
        <v>1891</v>
      </c>
      <c r="X897" s="306">
        <v>17425.0</v>
      </c>
      <c r="Y897" s="306"/>
      <c r="Z897" s="306" t="s">
        <v>3386</v>
      </c>
      <c r="AA897" s="306"/>
      <c r="AB897" s="537">
        <v>30.51</v>
      </c>
      <c r="AC897" s="306">
        <v>21784.0</v>
      </c>
      <c r="AD897" s="305">
        <v>43781.0</v>
      </c>
      <c r="AE897" s="298"/>
      <c r="AF897" s="306"/>
      <c r="AG897" s="299"/>
      <c r="AH897" s="300">
        <v>43801.0</v>
      </c>
      <c r="AI897" s="299" t="s">
        <v>3237</v>
      </c>
      <c r="AJ897" s="299" t="s">
        <v>3238</v>
      </c>
      <c r="AK897" s="298" t="s">
        <v>50</v>
      </c>
      <c r="AL897" s="298" t="s">
        <v>285</v>
      </c>
      <c r="AM897" s="298" t="s">
        <v>51</v>
      </c>
      <c r="AN897" s="298" t="s">
        <v>377</v>
      </c>
      <c r="AO897" s="459" t="s">
        <v>763</v>
      </c>
    </row>
    <row r="898" ht="15.75" customHeight="1">
      <c r="A898" s="69">
        <v>43781.0</v>
      </c>
      <c r="B898" s="70" t="s">
        <v>229</v>
      </c>
      <c r="C898" s="21" t="s">
        <v>1889</v>
      </c>
      <c r="D898" s="71" t="s">
        <v>1890</v>
      </c>
      <c r="E898" s="32" t="s">
        <v>737</v>
      </c>
      <c r="F898" s="24">
        <v>2.0</v>
      </c>
      <c r="G898" s="48">
        <v>21.0</v>
      </c>
      <c r="H898" s="165">
        <f t="shared" si="133"/>
        <v>42</v>
      </c>
      <c r="I898" s="61" t="s">
        <v>171</v>
      </c>
      <c r="J898" s="50" t="s">
        <v>233</v>
      </c>
      <c r="K898" s="30">
        <v>43789.0</v>
      </c>
      <c r="L898" s="30">
        <v>43789.0</v>
      </c>
      <c r="M898" s="50" t="s">
        <v>90</v>
      </c>
      <c r="N898" s="93" t="s">
        <v>3385</v>
      </c>
      <c r="O898" s="408"/>
      <c r="P898" s="408">
        <v>16.9</v>
      </c>
      <c r="Q898" s="408">
        <f t="shared" si="134"/>
        <v>35.49</v>
      </c>
      <c r="R898" s="408"/>
      <c r="S898" s="408">
        <v>1075.0</v>
      </c>
      <c r="T898" s="51" t="s">
        <v>94</v>
      </c>
      <c r="U898" s="305">
        <v>43830.0</v>
      </c>
      <c r="V898" s="305">
        <v>43789.0</v>
      </c>
      <c r="W898" s="306" t="s">
        <v>1891</v>
      </c>
      <c r="X898" s="306" t="s">
        <v>3387</v>
      </c>
      <c r="Y898" s="306"/>
      <c r="Z898" s="306" t="s">
        <v>3386</v>
      </c>
      <c r="AA898" s="306"/>
      <c r="AB898" s="537">
        <v>30.51</v>
      </c>
      <c r="AC898" s="306" t="s">
        <v>3388</v>
      </c>
      <c r="AD898" s="305">
        <v>43781.0</v>
      </c>
      <c r="AE898" s="298"/>
      <c r="AF898" s="306"/>
      <c r="AG898" s="299"/>
      <c r="AH898" s="300">
        <v>43801.0</v>
      </c>
      <c r="AI898" s="299" t="s">
        <v>3237</v>
      </c>
      <c r="AJ898" s="299" t="s">
        <v>3238</v>
      </c>
      <c r="AK898" s="298" t="s">
        <v>50</v>
      </c>
      <c r="AL898" s="298" t="s">
        <v>285</v>
      </c>
      <c r="AM898" s="298" t="s">
        <v>51</v>
      </c>
      <c r="AN898" s="298" t="s">
        <v>377</v>
      </c>
      <c r="AO898" s="459" t="s">
        <v>763</v>
      </c>
    </row>
    <row r="899" ht="15.75" customHeight="1">
      <c r="A899" s="69">
        <v>43781.0</v>
      </c>
      <c r="B899" s="21" t="s">
        <v>229</v>
      </c>
      <c r="C899" s="21" t="s">
        <v>1889</v>
      </c>
      <c r="D899" s="71" t="s">
        <v>1890</v>
      </c>
      <c r="E899" s="32" t="s">
        <v>232</v>
      </c>
      <c r="F899" s="24">
        <v>58.0</v>
      </c>
      <c r="G899" s="48">
        <v>407.4</v>
      </c>
      <c r="H899" s="165">
        <f t="shared" si="133"/>
        <v>23629.2</v>
      </c>
      <c r="I899" s="61" t="s">
        <v>171</v>
      </c>
      <c r="J899" s="50" t="s">
        <v>233</v>
      </c>
      <c r="K899" s="298" t="s">
        <v>71</v>
      </c>
      <c r="L899" s="30">
        <v>43825.0</v>
      </c>
      <c r="M899" s="50" t="s">
        <v>90</v>
      </c>
      <c r="N899" s="93" t="s">
        <v>3385</v>
      </c>
      <c r="O899" s="408"/>
      <c r="P899" s="408">
        <v>355.0</v>
      </c>
      <c r="Q899" s="408">
        <f t="shared" si="134"/>
        <v>21619.5</v>
      </c>
      <c r="R899" s="737"/>
      <c r="S899" s="707">
        <f>Q899*30.26</f>
        <v>654206.07</v>
      </c>
      <c r="T899" s="35" t="s">
        <v>94</v>
      </c>
      <c r="U899" s="306"/>
      <c r="V899" s="306"/>
      <c r="W899" s="306"/>
      <c r="X899" s="306"/>
      <c r="Y899" s="306"/>
      <c r="Z899" s="306" t="s">
        <v>3389</v>
      </c>
      <c r="AA899" s="408" t="s">
        <v>3240</v>
      </c>
      <c r="AB899" s="306">
        <v>30.1</v>
      </c>
      <c r="AC899" s="406">
        <v>711239.0</v>
      </c>
      <c r="AD899" s="29">
        <v>43825.0</v>
      </c>
      <c r="AE899" s="306"/>
      <c r="AF899" s="299"/>
      <c r="AG899" s="539"/>
      <c r="AH899" s="300">
        <v>43864.0</v>
      </c>
      <c r="AI899" s="299" t="s">
        <v>3390</v>
      </c>
      <c r="AJ899" s="298">
        <v>0.0</v>
      </c>
      <c r="AK899" s="298" t="s">
        <v>50</v>
      </c>
      <c r="AL899" s="298" t="s">
        <v>285</v>
      </c>
      <c r="AM899" s="298" t="s">
        <v>51</v>
      </c>
      <c r="AN899" s="298" t="s">
        <v>377</v>
      </c>
      <c r="AO899" s="298" t="s">
        <v>1371</v>
      </c>
    </row>
    <row r="900" ht="15.75" customHeight="1">
      <c r="A900" s="399">
        <v>43783.0</v>
      </c>
      <c r="B900" s="275" t="s">
        <v>1892</v>
      </c>
      <c r="C900" s="567"/>
      <c r="D900" s="184" t="s">
        <v>1893</v>
      </c>
      <c r="E900" s="185" t="s">
        <v>1894</v>
      </c>
      <c r="F900" s="186"/>
      <c r="G900" s="187">
        <v>1838.0</v>
      </c>
      <c r="H900" s="568">
        <f t="shared" si="133"/>
        <v>0</v>
      </c>
      <c r="I900" s="483" t="s">
        <v>171</v>
      </c>
      <c r="J900" s="402" t="s">
        <v>71</v>
      </c>
      <c r="K900" s="87" t="s">
        <v>71</v>
      </c>
      <c r="L900" s="673"/>
      <c r="M900" s="626"/>
      <c r="N900" s="64"/>
      <c r="O900" s="34"/>
      <c r="P900" s="34"/>
      <c r="Q900" s="34">
        <f t="shared" si="134"/>
        <v>0</v>
      </c>
      <c r="R900" s="34"/>
      <c r="S900" s="34">
        <f t="shared" ref="S900:S902" si="135">(R900*F901)*1.05</f>
        <v>0</v>
      </c>
      <c r="T900" s="66"/>
      <c r="U900" s="52"/>
      <c r="V900" s="53"/>
      <c r="W900" s="53"/>
      <c r="X900" s="53"/>
      <c r="Y900" s="53"/>
      <c r="Z900" s="53"/>
      <c r="AA900" s="53"/>
      <c r="AB900" s="67"/>
      <c r="AC900" s="53"/>
      <c r="AD900" s="53"/>
      <c r="AE900" s="54"/>
      <c r="AF900" s="53"/>
      <c r="AG900" s="55"/>
      <c r="AH900" s="68"/>
      <c r="AI900" s="55"/>
      <c r="AJ900" s="55"/>
      <c r="AK900" s="298" t="s">
        <v>50</v>
      </c>
      <c r="AL900" s="54" t="s">
        <v>296</v>
      </c>
      <c r="AM900" s="54"/>
      <c r="AN900" s="54"/>
      <c r="AO900" s="57"/>
    </row>
    <row r="901" ht="15.75" customHeight="1">
      <c r="A901" s="399">
        <v>43783.0</v>
      </c>
      <c r="B901" s="275" t="s">
        <v>1892</v>
      </c>
      <c r="C901" s="567"/>
      <c r="D901" s="184" t="s">
        <v>1893</v>
      </c>
      <c r="E901" s="185" t="s">
        <v>1611</v>
      </c>
      <c r="F901" s="186"/>
      <c r="G901" s="187">
        <v>48.0</v>
      </c>
      <c r="H901" s="568">
        <f t="shared" si="133"/>
        <v>0</v>
      </c>
      <c r="I901" s="483" t="s">
        <v>171</v>
      </c>
      <c r="J901" s="402" t="s">
        <v>71</v>
      </c>
      <c r="K901" s="87" t="s">
        <v>71</v>
      </c>
      <c r="L901" s="673"/>
      <c r="M901" s="63" t="s">
        <v>178</v>
      </c>
      <c r="N901" s="64"/>
      <c r="O901" s="34"/>
      <c r="P901" s="34"/>
      <c r="Q901" s="34">
        <f t="shared" si="134"/>
        <v>0</v>
      </c>
      <c r="R901" s="34"/>
      <c r="S901" s="34">
        <f t="shared" si="135"/>
        <v>0</v>
      </c>
      <c r="T901" s="66"/>
      <c r="U901" s="52"/>
      <c r="V901" s="53"/>
      <c r="W901" s="53"/>
      <c r="X901" s="53"/>
      <c r="Y901" s="53"/>
      <c r="Z901" s="53"/>
      <c r="AA901" s="53"/>
      <c r="AB901" s="67"/>
      <c r="AC901" s="53"/>
      <c r="AD901" s="53"/>
      <c r="AE901" s="54"/>
      <c r="AF901" s="53"/>
      <c r="AG901" s="55"/>
      <c r="AH901" s="68"/>
      <c r="AI901" s="55"/>
      <c r="AJ901" s="55"/>
      <c r="AK901" s="298" t="s">
        <v>50</v>
      </c>
      <c r="AL901" s="54" t="s">
        <v>296</v>
      </c>
      <c r="AM901" s="54"/>
      <c r="AN901" s="54"/>
      <c r="AO901" s="57"/>
    </row>
    <row r="902" ht="15.75" customHeight="1">
      <c r="A902" s="399">
        <v>43783.0</v>
      </c>
      <c r="B902" s="275" t="s">
        <v>1892</v>
      </c>
      <c r="C902" s="567"/>
      <c r="D902" s="184" t="s">
        <v>1893</v>
      </c>
      <c r="E902" s="185" t="s">
        <v>1895</v>
      </c>
      <c r="F902" s="186"/>
      <c r="G902" s="187">
        <v>79.0</v>
      </c>
      <c r="H902" s="568">
        <f t="shared" si="133"/>
        <v>0</v>
      </c>
      <c r="I902" s="483" t="s">
        <v>171</v>
      </c>
      <c r="J902" s="402" t="s">
        <v>71</v>
      </c>
      <c r="K902" s="87" t="s">
        <v>71</v>
      </c>
      <c r="L902" s="673"/>
      <c r="M902" s="63" t="s">
        <v>178</v>
      </c>
      <c r="N902" s="64"/>
      <c r="O902" s="34"/>
      <c r="P902" s="34"/>
      <c r="Q902" s="34">
        <f t="shared" si="134"/>
        <v>0</v>
      </c>
      <c r="R902" s="34"/>
      <c r="S902" s="34">
        <f t="shared" si="135"/>
        <v>0</v>
      </c>
      <c r="T902" s="66"/>
      <c r="U902" s="52"/>
      <c r="V902" s="53"/>
      <c r="W902" s="53"/>
      <c r="X902" s="53"/>
      <c r="Y902" s="53"/>
      <c r="Z902" s="53"/>
      <c r="AA902" s="53"/>
      <c r="AB902" s="67"/>
      <c r="AC902" s="53"/>
      <c r="AD902" s="53"/>
      <c r="AE902" s="54"/>
      <c r="AF902" s="53"/>
      <c r="AG902" s="55"/>
      <c r="AH902" s="68"/>
      <c r="AI902" s="55"/>
      <c r="AJ902" s="55"/>
      <c r="AK902" s="298" t="s">
        <v>50</v>
      </c>
      <c r="AL902" s="54" t="s">
        <v>296</v>
      </c>
      <c r="AM902" s="54"/>
      <c r="AN902" s="54"/>
      <c r="AO902" s="57"/>
    </row>
    <row r="903" ht="15.75" customHeight="1">
      <c r="A903" s="69">
        <v>43783.0</v>
      </c>
      <c r="B903" s="70" t="s">
        <v>1112</v>
      </c>
      <c r="C903" s="92"/>
      <c r="D903" s="71" t="s">
        <v>1896</v>
      </c>
      <c r="E903" s="32" t="s">
        <v>1897</v>
      </c>
      <c r="F903" s="24">
        <v>1.0</v>
      </c>
      <c r="G903" s="48">
        <v>498.0</v>
      </c>
      <c r="H903" s="60">
        <f t="shared" si="133"/>
        <v>498</v>
      </c>
      <c r="I903" s="61" t="s">
        <v>144</v>
      </c>
      <c r="J903" s="50" t="s">
        <v>263</v>
      </c>
      <c r="K903" s="30">
        <v>43790.0</v>
      </c>
      <c r="L903" s="30">
        <v>43788.0</v>
      </c>
      <c r="M903" s="58" t="s">
        <v>2078</v>
      </c>
      <c r="N903" s="93" t="s">
        <v>3391</v>
      </c>
      <c r="O903" s="408"/>
      <c r="P903" s="408"/>
      <c r="Q903" s="408">
        <f t="shared" si="134"/>
        <v>0</v>
      </c>
      <c r="R903" s="687">
        <v>14152.0</v>
      </c>
      <c r="S903" s="627">
        <f>(R903*F903)*1.05</f>
        <v>14859.6</v>
      </c>
      <c r="T903" s="503" t="s">
        <v>2080</v>
      </c>
      <c r="U903" s="462">
        <v>43861.0</v>
      </c>
      <c r="V903" s="305">
        <v>43788.0</v>
      </c>
      <c r="W903" s="306" t="s">
        <v>1898</v>
      </c>
      <c r="X903" s="306">
        <v>31250.0</v>
      </c>
      <c r="Y903" s="306"/>
      <c r="Z903" s="306" t="s">
        <v>3319</v>
      </c>
      <c r="AA903" s="306">
        <v>4.988762111E9</v>
      </c>
      <c r="AB903" s="537"/>
      <c r="AC903" s="306"/>
      <c r="AD903" s="306"/>
      <c r="AE903" s="298"/>
      <c r="AF903" s="306">
        <v>30.465</v>
      </c>
      <c r="AG903" s="299"/>
      <c r="AH903" s="29">
        <v>43783.0</v>
      </c>
      <c r="AI903" s="299" t="s">
        <v>3392</v>
      </c>
      <c r="AJ903" s="299" t="s">
        <v>3392</v>
      </c>
      <c r="AK903" s="298" t="s">
        <v>50</v>
      </c>
      <c r="AL903" s="298" t="s">
        <v>285</v>
      </c>
      <c r="AM903" s="298" t="s">
        <v>51</v>
      </c>
      <c r="AN903" s="298" t="s">
        <v>52</v>
      </c>
      <c r="AO903" s="459" t="s">
        <v>763</v>
      </c>
    </row>
    <row r="904" ht="15.75" customHeight="1">
      <c r="A904" s="69">
        <v>43783.0</v>
      </c>
      <c r="B904" s="70" t="s">
        <v>1112</v>
      </c>
      <c r="C904" s="92"/>
      <c r="D904" s="71" t="s">
        <v>1896</v>
      </c>
      <c r="E904" s="32" t="s">
        <v>1899</v>
      </c>
      <c r="F904" s="24">
        <v>1.0</v>
      </c>
      <c r="G904" s="48">
        <v>31.0</v>
      </c>
      <c r="H904" s="60">
        <f t="shared" si="133"/>
        <v>31</v>
      </c>
      <c r="I904" s="61" t="s">
        <v>144</v>
      </c>
      <c r="J904" s="50" t="s">
        <v>263</v>
      </c>
      <c r="K904" s="30">
        <v>43790.0</v>
      </c>
      <c r="L904" s="30">
        <v>43788.0</v>
      </c>
      <c r="M904" s="58" t="s">
        <v>2078</v>
      </c>
      <c r="N904" s="32" t="s">
        <v>3391</v>
      </c>
      <c r="O904" s="408"/>
      <c r="P904" s="408"/>
      <c r="Q904" s="408">
        <f t="shared" si="134"/>
        <v>0</v>
      </c>
      <c r="R904" s="408">
        <v>838.0</v>
      </c>
      <c r="S904" s="627">
        <f>(R904*F905)*1.05</f>
        <v>879.9</v>
      </c>
      <c r="T904" s="503" t="s">
        <v>2080</v>
      </c>
      <c r="U904" s="462">
        <v>43861.0</v>
      </c>
      <c r="V904" s="305">
        <v>43788.0</v>
      </c>
      <c r="W904" s="306" t="s">
        <v>1898</v>
      </c>
      <c r="X904" s="306" t="s">
        <v>3393</v>
      </c>
      <c r="Y904" s="569"/>
      <c r="Z904" s="306" t="s">
        <v>3319</v>
      </c>
      <c r="AA904" s="306">
        <v>4.988762111E9</v>
      </c>
      <c r="AB904" s="537"/>
      <c r="AC904" s="306"/>
      <c r="AD904" s="306"/>
      <c r="AE904" s="298"/>
      <c r="AF904" s="306">
        <v>30.465</v>
      </c>
      <c r="AG904" s="299"/>
      <c r="AH904" s="29">
        <v>43783.0</v>
      </c>
      <c r="AI904" s="299" t="s">
        <v>3392</v>
      </c>
      <c r="AJ904" s="299" t="s">
        <v>3392</v>
      </c>
      <c r="AK904" s="298" t="s">
        <v>50</v>
      </c>
      <c r="AL904" s="298" t="s">
        <v>285</v>
      </c>
      <c r="AM904" s="298" t="s">
        <v>51</v>
      </c>
      <c r="AN904" s="298" t="s">
        <v>52</v>
      </c>
      <c r="AO904" s="459" t="s">
        <v>763</v>
      </c>
    </row>
    <row r="905" ht="15.75" customHeight="1">
      <c r="A905" s="399">
        <v>43783.0</v>
      </c>
      <c r="B905" s="377" t="s">
        <v>1112</v>
      </c>
      <c r="C905" s="567"/>
      <c r="D905" s="184" t="s">
        <v>1896</v>
      </c>
      <c r="E905" s="185" t="s">
        <v>1900</v>
      </c>
      <c r="F905" s="186">
        <v>1.0</v>
      </c>
      <c r="G905" s="187">
        <v>0.0</v>
      </c>
      <c r="H905" s="188">
        <f t="shared" si="133"/>
        <v>0</v>
      </c>
      <c r="I905" s="483" t="s">
        <v>144</v>
      </c>
      <c r="J905" s="190" t="s">
        <v>263</v>
      </c>
      <c r="K905" s="384">
        <v>43790.0</v>
      </c>
      <c r="L905" s="384">
        <v>43850.0</v>
      </c>
      <c r="M905" s="400" t="s">
        <v>2078</v>
      </c>
      <c r="N905" s="185" t="s">
        <v>3394</v>
      </c>
      <c r="O905" s="738"/>
      <c r="P905" s="194"/>
      <c r="Q905" s="194">
        <f t="shared" si="134"/>
        <v>0</v>
      </c>
      <c r="R905" s="739">
        <v>0.0</v>
      </c>
      <c r="S905" s="739">
        <f t="shared" ref="S905:S911" si="136">(R905*F905)*1.05</f>
        <v>0</v>
      </c>
      <c r="T905" s="622" t="s">
        <v>2080</v>
      </c>
      <c r="U905" s="52" t="s">
        <v>1653</v>
      </c>
      <c r="V905" s="199"/>
      <c r="W905" s="199"/>
      <c r="X905" s="199"/>
      <c r="Y905" s="199" t="s">
        <v>1653</v>
      </c>
      <c r="Z905" s="53"/>
      <c r="AA905" s="53"/>
      <c r="AB905" s="199"/>
      <c r="AC905" s="199"/>
      <c r="AD905" s="199"/>
      <c r="AE905" s="200"/>
      <c r="AF905" s="200"/>
      <c r="AG905" s="201"/>
      <c r="AH905" s="570">
        <v>43783.0</v>
      </c>
      <c r="AI905" s="201" t="s">
        <v>3392</v>
      </c>
      <c r="AJ905" s="201" t="s">
        <v>3392</v>
      </c>
      <c r="AK905" s="200" t="s">
        <v>50</v>
      </c>
      <c r="AL905" s="298" t="s">
        <v>285</v>
      </c>
      <c r="AM905" s="200"/>
      <c r="AN905" s="200"/>
      <c r="AO905" s="203"/>
    </row>
    <row r="906" ht="15.75" customHeight="1">
      <c r="A906" s="69">
        <v>43783.0</v>
      </c>
      <c r="B906" s="70" t="s">
        <v>1112</v>
      </c>
      <c r="C906" s="92"/>
      <c r="D906" s="71" t="s">
        <v>1896</v>
      </c>
      <c r="E906" s="32" t="s">
        <v>1901</v>
      </c>
      <c r="F906" s="24">
        <v>4.0</v>
      </c>
      <c r="G906" s="48">
        <v>137.0</v>
      </c>
      <c r="H906" s="60">
        <f t="shared" si="133"/>
        <v>548</v>
      </c>
      <c r="I906" s="61" t="s">
        <v>144</v>
      </c>
      <c r="J906" s="50" t="s">
        <v>263</v>
      </c>
      <c r="K906" s="30">
        <v>43790.0</v>
      </c>
      <c r="L906" s="30">
        <v>43788.0</v>
      </c>
      <c r="M906" s="58" t="s">
        <v>2078</v>
      </c>
      <c r="N906" s="32" t="s">
        <v>3391</v>
      </c>
      <c r="O906" s="408"/>
      <c r="P906" s="408"/>
      <c r="Q906" s="408">
        <f t="shared" si="134"/>
        <v>0</v>
      </c>
      <c r="R906" s="627">
        <v>3693.0</v>
      </c>
      <c r="S906" s="627">
        <f t="shared" si="136"/>
        <v>15510.6</v>
      </c>
      <c r="T906" s="503" t="s">
        <v>2080</v>
      </c>
      <c r="U906" s="462">
        <v>43861.0</v>
      </c>
      <c r="V906" s="305">
        <v>43788.0</v>
      </c>
      <c r="W906" s="306" t="s">
        <v>1898</v>
      </c>
      <c r="X906" s="306" t="s">
        <v>3393</v>
      </c>
      <c r="Y906" s="306"/>
      <c r="Z906" s="306" t="s">
        <v>3319</v>
      </c>
      <c r="AA906" s="306">
        <v>4.988762111E9</v>
      </c>
      <c r="AB906" s="306"/>
      <c r="AC906" s="306"/>
      <c r="AD906" s="306"/>
      <c r="AE906" s="298"/>
      <c r="AF906" s="306">
        <v>30.465</v>
      </c>
      <c r="AG906" s="299"/>
      <c r="AH906" s="29">
        <v>43783.0</v>
      </c>
      <c r="AI906" s="299" t="s">
        <v>3392</v>
      </c>
      <c r="AJ906" s="299" t="s">
        <v>3392</v>
      </c>
      <c r="AK906" s="298" t="s">
        <v>50</v>
      </c>
      <c r="AL906" s="298" t="s">
        <v>285</v>
      </c>
      <c r="AM906" s="298" t="s">
        <v>51</v>
      </c>
      <c r="AN906" s="298" t="s">
        <v>52</v>
      </c>
      <c r="AO906" s="459" t="s">
        <v>763</v>
      </c>
    </row>
    <row r="907" ht="15.75" customHeight="1">
      <c r="A907" s="69">
        <v>43784.0</v>
      </c>
      <c r="B907" s="23" t="s">
        <v>406</v>
      </c>
      <c r="C907" s="21">
        <v>7.000151827E9</v>
      </c>
      <c r="D907" s="71" t="s">
        <v>1902</v>
      </c>
      <c r="E907" s="32" t="s">
        <v>519</v>
      </c>
      <c r="F907" s="24">
        <v>5.0</v>
      </c>
      <c r="G907" s="48">
        <v>141.8</v>
      </c>
      <c r="H907" s="60">
        <f t="shared" si="133"/>
        <v>709</v>
      </c>
      <c r="I907" s="61" t="s">
        <v>43</v>
      </c>
      <c r="J907" s="50" t="s">
        <v>513</v>
      </c>
      <c r="K907" s="30">
        <v>43790.0</v>
      </c>
      <c r="L907" s="29">
        <v>43788.0</v>
      </c>
      <c r="M907" s="58" t="s">
        <v>2078</v>
      </c>
      <c r="N907" s="93" t="s">
        <v>3395</v>
      </c>
      <c r="O907" s="408"/>
      <c r="P907" s="408"/>
      <c r="Q907" s="408">
        <f t="shared" si="134"/>
        <v>0</v>
      </c>
      <c r="R907" s="627">
        <v>3954.0</v>
      </c>
      <c r="S907" s="627">
        <f t="shared" si="136"/>
        <v>20758.5</v>
      </c>
      <c r="T907" s="503" t="s">
        <v>2080</v>
      </c>
      <c r="U907" s="462">
        <v>43861.0</v>
      </c>
      <c r="V907" s="305">
        <v>43787.0</v>
      </c>
      <c r="W907" s="306" t="s">
        <v>1903</v>
      </c>
      <c r="X907" s="306">
        <v>20759.0</v>
      </c>
      <c r="Y907" s="306"/>
      <c r="Z907" s="306" t="s">
        <v>3396</v>
      </c>
      <c r="AA907" s="306">
        <v>8.661623821E9</v>
      </c>
      <c r="AB907" s="306"/>
      <c r="AC907" s="306"/>
      <c r="AD907" s="306"/>
      <c r="AE907" s="298"/>
      <c r="AF907" s="306">
        <v>30.465</v>
      </c>
      <c r="AG907" s="299"/>
      <c r="AH907" s="300">
        <v>43860.0</v>
      </c>
      <c r="AI907" s="299">
        <f>2325.38*30.213</f>
        <v>70256.70594</v>
      </c>
      <c r="AJ907" s="299">
        <f>(2352-2325.38)*30.213</f>
        <v>804.27006</v>
      </c>
      <c r="AK907" s="298" t="s">
        <v>50</v>
      </c>
      <c r="AL907" s="298" t="s">
        <v>285</v>
      </c>
      <c r="AM907" s="298" t="s">
        <v>51</v>
      </c>
      <c r="AN907" s="298" t="s">
        <v>52</v>
      </c>
      <c r="AO907" s="459" t="s">
        <v>763</v>
      </c>
    </row>
    <row r="908" ht="15.75" customHeight="1">
      <c r="A908" s="69">
        <v>43784.0</v>
      </c>
      <c r="B908" s="23" t="s">
        <v>406</v>
      </c>
      <c r="C908" s="21">
        <v>7.000151848E9</v>
      </c>
      <c r="D908" s="71" t="s">
        <v>1904</v>
      </c>
      <c r="E908" s="32" t="s">
        <v>1905</v>
      </c>
      <c r="F908" s="24">
        <v>1.0</v>
      </c>
      <c r="G908" s="48">
        <v>75.0</v>
      </c>
      <c r="H908" s="60">
        <f t="shared" si="133"/>
        <v>75</v>
      </c>
      <c r="I908" s="61" t="s">
        <v>43</v>
      </c>
      <c r="J908" s="50" t="s">
        <v>513</v>
      </c>
      <c r="K908" s="30">
        <v>43809.0</v>
      </c>
      <c r="L908" s="30">
        <v>43805.0</v>
      </c>
      <c r="M908" s="58" t="s">
        <v>2078</v>
      </c>
      <c r="N908" s="93" t="s">
        <v>3397</v>
      </c>
      <c r="O908" s="408"/>
      <c r="P908" s="408"/>
      <c r="Q908" s="408">
        <f t="shared" si="134"/>
        <v>0</v>
      </c>
      <c r="R908" s="627">
        <v>1978.0</v>
      </c>
      <c r="S908" s="627">
        <f t="shared" si="136"/>
        <v>2076.9</v>
      </c>
      <c r="T908" s="408" t="s">
        <v>2080</v>
      </c>
      <c r="U908" s="306"/>
      <c r="V908" s="306"/>
      <c r="W908" s="306"/>
      <c r="X908" s="306"/>
      <c r="Y908" s="306"/>
      <c r="Z908" s="306" t="s">
        <v>3398</v>
      </c>
      <c r="AA908" s="306">
        <v>9.489690243E9</v>
      </c>
      <c r="AB908" s="306">
        <v>30.45</v>
      </c>
      <c r="AC908" s="306"/>
      <c r="AD908" s="306"/>
      <c r="AE908" s="298"/>
      <c r="AF908" s="298"/>
      <c r="AG908" s="299"/>
      <c r="AH908" s="300">
        <v>43860.0</v>
      </c>
      <c r="AI908" s="299" t="s">
        <v>3399</v>
      </c>
      <c r="AJ908" s="299" t="s">
        <v>3400</v>
      </c>
      <c r="AK908" s="298" t="s">
        <v>50</v>
      </c>
      <c r="AL908" s="298" t="s">
        <v>285</v>
      </c>
      <c r="AM908" s="298" t="s">
        <v>51</v>
      </c>
      <c r="AN908" s="298" t="s">
        <v>52</v>
      </c>
      <c r="AO908" s="298" t="s">
        <v>1371</v>
      </c>
    </row>
    <row r="909" ht="15.75" customHeight="1">
      <c r="A909" s="69">
        <v>43787.0</v>
      </c>
      <c r="B909" s="70" t="s">
        <v>1112</v>
      </c>
      <c r="C909" s="21"/>
      <c r="D909" s="71" t="s">
        <v>1896</v>
      </c>
      <c r="E909" s="32" t="s">
        <v>1906</v>
      </c>
      <c r="F909" s="24">
        <v>3.0</v>
      </c>
      <c r="G909" s="48">
        <v>72.0</v>
      </c>
      <c r="H909" s="60">
        <f t="shared" si="133"/>
        <v>216</v>
      </c>
      <c r="I909" s="61" t="s">
        <v>144</v>
      </c>
      <c r="J909" s="50" t="s">
        <v>263</v>
      </c>
      <c r="K909" s="30">
        <v>43790.0</v>
      </c>
      <c r="L909" s="30">
        <v>43790.0</v>
      </c>
      <c r="M909" s="58" t="s">
        <v>2078</v>
      </c>
      <c r="N909" s="93" t="s">
        <v>3401</v>
      </c>
      <c r="O909" s="408"/>
      <c r="P909" s="408"/>
      <c r="Q909" s="408">
        <f t="shared" si="134"/>
        <v>0</v>
      </c>
      <c r="R909" s="588">
        <v>1893.0</v>
      </c>
      <c r="S909" s="627">
        <f t="shared" si="136"/>
        <v>5962.95</v>
      </c>
      <c r="T909" s="408" t="s">
        <v>2080</v>
      </c>
      <c r="U909" s="462">
        <v>43861.0</v>
      </c>
      <c r="V909" s="305">
        <v>43789.0</v>
      </c>
      <c r="W909" s="306" t="s">
        <v>1907</v>
      </c>
      <c r="X909" s="306">
        <v>16787.0</v>
      </c>
      <c r="Y909" s="306"/>
      <c r="Z909" s="306" t="s">
        <v>3319</v>
      </c>
      <c r="AA909" s="306">
        <v>4.988762111E9</v>
      </c>
      <c r="AB909" s="306"/>
      <c r="AC909" s="306"/>
      <c r="AD909" s="306"/>
      <c r="AE909" s="298"/>
      <c r="AF909" s="306">
        <v>30.465</v>
      </c>
      <c r="AG909" s="299"/>
      <c r="AH909" s="29">
        <v>43783.0</v>
      </c>
      <c r="AI909" s="299" t="s">
        <v>3392</v>
      </c>
      <c r="AJ909" s="299" t="s">
        <v>3392</v>
      </c>
      <c r="AK909" s="298" t="s">
        <v>50</v>
      </c>
      <c r="AL909" s="298" t="s">
        <v>285</v>
      </c>
      <c r="AM909" s="298" t="s">
        <v>51</v>
      </c>
      <c r="AN909" s="298" t="s">
        <v>52</v>
      </c>
      <c r="AO909" s="459" t="s">
        <v>763</v>
      </c>
    </row>
    <row r="910" ht="15.75" customHeight="1">
      <c r="A910" s="69">
        <v>43787.0</v>
      </c>
      <c r="B910" s="70" t="s">
        <v>1112</v>
      </c>
      <c r="C910" s="21"/>
      <c r="D910" s="71" t="s">
        <v>1896</v>
      </c>
      <c r="E910" s="32" t="s">
        <v>408</v>
      </c>
      <c r="F910" s="24">
        <v>6.0</v>
      </c>
      <c r="G910" s="48">
        <v>55.0</v>
      </c>
      <c r="H910" s="60">
        <f t="shared" si="133"/>
        <v>330</v>
      </c>
      <c r="I910" s="61" t="s">
        <v>144</v>
      </c>
      <c r="J910" s="50" t="s">
        <v>263</v>
      </c>
      <c r="K910" s="30">
        <v>43790.0</v>
      </c>
      <c r="L910" s="30">
        <v>43790.0</v>
      </c>
      <c r="M910" s="58" t="s">
        <v>2078</v>
      </c>
      <c r="N910" s="93" t="s">
        <v>3401</v>
      </c>
      <c r="O910" s="408"/>
      <c r="P910" s="408"/>
      <c r="Q910" s="408">
        <f t="shared" si="134"/>
        <v>0</v>
      </c>
      <c r="R910" s="627">
        <v>1483.0</v>
      </c>
      <c r="S910" s="627">
        <f t="shared" si="136"/>
        <v>9342.9</v>
      </c>
      <c r="T910" s="408" t="s">
        <v>2080</v>
      </c>
      <c r="U910" s="462">
        <v>43861.0</v>
      </c>
      <c r="V910" s="305">
        <v>43789.0</v>
      </c>
      <c r="W910" s="306" t="s">
        <v>1907</v>
      </c>
      <c r="X910" s="306" t="s">
        <v>3402</v>
      </c>
      <c r="Y910" s="306"/>
      <c r="Z910" s="306" t="s">
        <v>3319</v>
      </c>
      <c r="AA910" s="306">
        <v>4.988762111E9</v>
      </c>
      <c r="AB910" s="306"/>
      <c r="AC910" s="306"/>
      <c r="AD910" s="306"/>
      <c r="AE910" s="298"/>
      <c r="AF910" s="306">
        <v>30.465</v>
      </c>
      <c r="AG910" s="299"/>
      <c r="AH910" s="29">
        <v>43783.0</v>
      </c>
      <c r="AI910" s="299" t="s">
        <v>3392</v>
      </c>
      <c r="AJ910" s="299" t="s">
        <v>3392</v>
      </c>
      <c r="AK910" s="298" t="s">
        <v>50</v>
      </c>
      <c r="AL910" s="298" t="s">
        <v>285</v>
      </c>
      <c r="AM910" s="298" t="s">
        <v>51</v>
      </c>
      <c r="AN910" s="298" t="s">
        <v>52</v>
      </c>
      <c r="AO910" s="459" t="s">
        <v>763</v>
      </c>
    </row>
    <row r="911" ht="15.75" customHeight="1">
      <c r="A911" s="69">
        <v>43787.0</v>
      </c>
      <c r="B911" s="70" t="s">
        <v>1112</v>
      </c>
      <c r="C911" s="21"/>
      <c r="D911" s="71" t="s">
        <v>1896</v>
      </c>
      <c r="E911" s="32" t="s">
        <v>1908</v>
      </c>
      <c r="F911" s="24">
        <v>1.0</v>
      </c>
      <c r="G911" s="48">
        <v>53.0</v>
      </c>
      <c r="H911" s="60">
        <f t="shared" si="133"/>
        <v>53</v>
      </c>
      <c r="I911" s="61" t="s">
        <v>144</v>
      </c>
      <c r="J911" s="50" t="s">
        <v>263</v>
      </c>
      <c r="K911" s="30">
        <v>43790.0</v>
      </c>
      <c r="L911" s="30">
        <v>43790.0</v>
      </c>
      <c r="M911" s="58" t="s">
        <v>2078</v>
      </c>
      <c r="N911" s="93" t="s">
        <v>3401</v>
      </c>
      <c r="O911" s="408"/>
      <c r="P911" s="408"/>
      <c r="Q911" s="408">
        <f t="shared" si="134"/>
        <v>0</v>
      </c>
      <c r="R911" s="627">
        <v>1411.0</v>
      </c>
      <c r="S911" s="627">
        <f t="shared" si="136"/>
        <v>1481.55</v>
      </c>
      <c r="T911" s="408" t="s">
        <v>2080</v>
      </c>
      <c r="U911" s="462">
        <v>43861.0</v>
      </c>
      <c r="V911" s="305">
        <v>43789.0</v>
      </c>
      <c r="W911" s="306" t="s">
        <v>1907</v>
      </c>
      <c r="X911" s="306" t="s">
        <v>3402</v>
      </c>
      <c r="Y911" s="306"/>
      <c r="Z911" s="306" t="s">
        <v>3319</v>
      </c>
      <c r="AA911" s="306">
        <v>4.988762111E9</v>
      </c>
      <c r="AB911" s="306"/>
      <c r="AC911" s="306"/>
      <c r="AD911" s="306"/>
      <c r="AE911" s="298"/>
      <c r="AF911" s="306">
        <v>30.465</v>
      </c>
      <c r="AG911" s="299"/>
      <c r="AH911" s="29">
        <v>43783.0</v>
      </c>
      <c r="AI911" s="299" t="s">
        <v>3392</v>
      </c>
      <c r="AJ911" s="299" t="s">
        <v>3392</v>
      </c>
      <c r="AK911" s="298" t="s">
        <v>50</v>
      </c>
      <c r="AL911" s="298" t="s">
        <v>285</v>
      </c>
      <c r="AM911" s="298" t="s">
        <v>51</v>
      </c>
      <c r="AN911" s="298" t="s">
        <v>52</v>
      </c>
      <c r="AO911" s="459" t="s">
        <v>763</v>
      </c>
    </row>
    <row r="912" ht="15.75" customHeight="1">
      <c r="A912" s="69">
        <v>43788.0</v>
      </c>
      <c r="B912" s="70" t="s">
        <v>721</v>
      </c>
      <c r="C912" s="92"/>
      <c r="D912" s="71" t="s">
        <v>1909</v>
      </c>
      <c r="E912" s="32" t="s">
        <v>1910</v>
      </c>
      <c r="F912" s="24">
        <v>4.0</v>
      </c>
      <c r="G912" s="48">
        <v>320.0</v>
      </c>
      <c r="H912" s="60">
        <f t="shared" si="133"/>
        <v>1280</v>
      </c>
      <c r="I912" s="61" t="s">
        <v>1542</v>
      </c>
      <c r="J912" s="58" t="s">
        <v>1138</v>
      </c>
      <c r="K912" s="30">
        <v>43804.0</v>
      </c>
      <c r="L912" s="30">
        <v>43801.0</v>
      </c>
      <c r="M912" s="50" t="s">
        <v>90</v>
      </c>
      <c r="N912" s="93" t="s">
        <v>3403</v>
      </c>
      <c r="O912" s="408"/>
      <c r="P912" s="408">
        <v>257.0</v>
      </c>
      <c r="Q912" s="408">
        <f t="shared" si="134"/>
        <v>1079.4</v>
      </c>
      <c r="R912" s="627"/>
      <c r="S912" s="707">
        <f>Q912*30.465</f>
        <v>32883.921</v>
      </c>
      <c r="T912" s="35" t="s">
        <v>94</v>
      </c>
      <c r="U912" s="306"/>
      <c r="V912" s="306"/>
      <c r="W912" s="306"/>
      <c r="X912" s="306"/>
      <c r="Y912" s="306"/>
      <c r="Z912" s="306" t="s">
        <v>3404</v>
      </c>
      <c r="AA912" s="306">
        <v>7.432001194E9</v>
      </c>
      <c r="AB912" s="306">
        <v>30.45</v>
      </c>
      <c r="AC912" s="306"/>
      <c r="AD912" s="306"/>
      <c r="AE912" s="298"/>
      <c r="AF912" s="298"/>
      <c r="AG912" s="299"/>
      <c r="AH912" s="29">
        <v>43790.0</v>
      </c>
      <c r="AI912" s="299">
        <f>1288.44*30.465</f>
        <v>39252.3246</v>
      </c>
      <c r="AJ912" s="299">
        <f>16.56*30.465</f>
        <v>504.5004</v>
      </c>
      <c r="AK912" s="298" t="s">
        <v>50</v>
      </c>
      <c r="AL912" s="298" t="s">
        <v>285</v>
      </c>
      <c r="AM912" s="298" t="s">
        <v>51</v>
      </c>
      <c r="AN912" s="298" t="s">
        <v>52</v>
      </c>
      <c r="AO912" s="298" t="s">
        <v>1371</v>
      </c>
    </row>
    <row r="913" ht="15.75" customHeight="1">
      <c r="A913" s="69">
        <v>43788.0</v>
      </c>
      <c r="B913" s="70" t="s">
        <v>721</v>
      </c>
      <c r="C913" s="92"/>
      <c r="D913" s="71" t="s">
        <v>1909</v>
      </c>
      <c r="E913" s="23" t="s">
        <v>1911</v>
      </c>
      <c r="F913" s="24">
        <v>1.0</v>
      </c>
      <c r="G913" s="48">
        <v>25.0</v>
      </c>
      <c r="H913" s="60">
        <f t="shared" si="133"/>
        <v>25</v>
      </c>
      <c r="I913" s="61" t="s">
        <v>1542</v>
      </c>
      <c r="J913" s="58" t="s">
        <v>1138</v>
      </c>
      <c r="K913" s="30">
        <v>43804.0</v>
      </c>
      <c r="L913" s="30"/>
      <c r="M913" s="50" t="s">
        <v>220</v>
      </c>
      <c r="N913" s="93"/>
      <c r="O913" s="408"/>
      <c r="P913" s="408"/>
      <c r="Q913" s="740">
        <f t="shared" si="134"/>
        <v>0</v>
      </c>
      <c r="R913" s="741"/>
      <c r="S913" s="728">
        <f>(R913*F913)*1.05</f>
        <v>0</v>
      </c>
      <c r="T913" s="503"/>
      <c r="U913" s="306"/>
      <c r="V913" s="306"/>
      <c r="W913" s="306"/>
      <c r="X913" s="306"/>
      <c r="Y913" s="306"/>
      <c r="Z913" s="306" t="s">
        <v>3404</v>
      </c>
      <c r="AA913" s="306">
        <v>7.432001194E9</v>
      </c>
      <c r="AB913" s="306">
        <v>30.45</v>
      </c>
      <c r="AC913" s="306"/>
      <c r="AD913" s="306"/>
      <c r="AE913" s="298"/>
      <c r="AF913" s="298"/>
      <c r="AG913" s="299"/>
      <c r="AH913" s="29">
        <v>43790.0</v>
      </c>
      <c r="AI913" s="299" t="s">
        <v>3405</v>
      </c>
      <c r="AJ913" s="299" t="s">
        <v>3406</v>
      </c>
      <c r="AK913" s="298" t="s">
        <v>50</v>
      </c>
      <c r="AL913" s="298" t="s">
        <v>285</v>
      </c>
      <c r="AM913" s="298" t="s">
        <v>51</v>
      </c>
      <c r="AN913" s="298" t="s">
        <v>52</v>
      </c>
      <c r="AO913" s="298" t="s">
        <v>1371</v>
      </c>
    </row>
    <row r="914" ht="15.75" customHeight="1">
      <c r="A914" s="69">
        <v>43789.0</v>
      </c>
      <c r="B914" s="23" t="s">
        <v>406</v>
      </c>
      <c r="C914" s="21">
        <v>7.000151941E9</v>
      </c>
      <c r="D914" s="71" t="s">
        <v>1912</v>
      </c>
      <c r="E914" s="23" t="s">
        <v>1913</v>
      </c>
      <c r="F914" s="24">
        <v>2.0</v>
      </c>
      <c r="G914" s="48">
        <v>75.0</v>
      </c>
      <c r="H914" s="60">
        <f t="shared" si="133"/>
        <v>150</v>
      </c>
      <c r="I914" s="61" t="s">
        <v>43</v>
      </c>
      <c r="J914" s="50" t="s">
        <v>513</v>
      </c>
      <c r="K914" s="30">
        <v>43809.0</v>
      </c>
      <c r="L914" s="30">
        <v>43801.0</v>
      </c>
      <c r="M914" s="50" t="s">
        <v>3407</v>
      </c>
      <c r="N914" s="93" t="s">
        <v>3408</v>
      </c>
      <c r="O914" s="408"/>
      <c r="P914" s="408">
        <v>41.0</v>
      </c>
      <c r="Q914" s="740">
        <f>(P914*F914)</f>
        <v>82</v>
      </c>
      <c r="R914" s="741"/>
      <c r="S914" s="707">
        <f>(Q914*30.53)+1000</f>
        <v>3503.46</v>
      </c>
      <c r="T914" s="503" t="s">
        <v>3409</v>
      </c>
      <c r="U914" s="305">
        <v>43795.0</v>
      </c>
      <c r="V914" s="306" t="s">
        <v>1914</v>
      </c>
      <c r="W914" s="306" t="s">
        <v>1914</v>
      </c>
      <c r="X914" s="306">
        <v>2503.0</v>
      </c>
      <c r="Y914" s="305">
        <v>43795.0</v>
      </c>
      <c r="Z914" s="306" t="s">
        <v>3398</v>
      </c>
      <c r="AA914" s="306">
        <v>9.489690243E9</v>
      </c>
      <c r="AB914" s="306">
        <v>30.45</v>
      </c>
      <c r="AC914" s="306"/>
      <c r="AD914" s="306"/>
      <c r="AE914" s="298"/>
      <c r="AF914" s="298"/>
      <c r="AG914" s="299"/>
      <c r="AH914" s="300">
        <v>43860.0</v>
      </c>
      <c r="AI914" s="299" t="s">
        <v>3399</v>
      </c>
      <c r="AJ914" s="299" t="s">
        <v>3400</v>
      </c>
      <c r="AK914" s="298" t="s">
        <v>50</v>
      </c>
      <c r="AL914" s="298" t="s">
        <v>285</v>
      </c>
      <c r="AM914" s="298" t="s">
        <v>51</v>
      </c>
      <c r="AN914" s="298" t="s">
        <v>52</v>
      </c>
      <c r="AO914" s="298" t="s">
        <v>1371</v>
      </c>
    </row>
    <row r="915" ht="15.75" customHeight="1">
      <c r="A915" s="69">
        <v>43791.0</v>
      </c>
      <c r="B915" s="144" t="s">
        <v>167</v>
      </c>
      <c r="C915" s="128"/>
      <c r="D915" s="70" t="s">
        <v>1915</v>
      </c>
      <c r="E915" s="23" t="s">
        <v>1916</v>
      </c>
      <c r="F915" s="421">
        <v>1.0</v>
      </c>
      <c r="G915" s="25">
        <v>1218.0</v>
      </c>
      <c r="H915" s="60">
        <f t="shared" ref="H915:H916" si="137">F915*G915</f>
        <v>1218</v>
      </c>
      <c r="I915" s="61" t="s">
        <v>171</v>
      </c>
      <c r="J915" s="58" t="s">
        <v>172</v>
      </c>
      <c r="K915" s="29">
        <v>43811.0</v>
      </c>
      <c r="L915" s="29">
        <v>43809.0</v>
      </c>
      <c r="M915" s="50"/>
      <c r="N915" s="93">
        <v>2.019112700002E12</v>
      </c>
      <c r="O915" s="408"/>
      <c r="P915" s="408"/>
      <c r="Q915" s="408">
        <f t="shared" ref="Q915:Q932" si="138">(P915*F915)*1.05</f>
        <v>0</v>
      </c>
      <c r="R915" s="627"/>
      <c r="S915" s="720">
        <v>27885.0</v>
      </c>
      <c r="T915" s="408"/>
      <c r="U915" s="306"/>
      <c r="V915" s="306"/>
      <c r="W915" s="306"/>
      <c r="X915" s="306"/>
      <c r="Y915" s="306"/>
      <c r="Z915" s="306" t="s">
        <v>3378</v>
      </c>
      <c r="AA915" s="306">
        <v>2.41673327E9</v>
      </c>
      <c r="AB915" s="537">
        <v>30.42</v>
      </c>
      <c r="AC915" s="306"/>
      <c r="AD915" s="306"/>
      <c r="AE915" s="298"/>
      <c r="AF915" s="298"/>
      <c r="AG915" s="299"/>
      <c r="AH915" s="29">
        <v>43797.0</v>
      </c>
      <c r="AI915" s="299" t="s">
        <v>3266</v>
      </c>
      <c r="AJ915" s="299" t="s">
        <v>3267</v>
      </c>
      <c r="AK915" s="298" t="s">
        <v>50</v>
      </c>
      <c r="AL915" s="298" t="s">
        <v>285</v>
      </c>
      <c r="AM915" s="298" t="s">
        <v>286</v>
      </c>
      <c r="AN915" s="298" t="s">
        <v>52</v>
      </c>
      <c r="AO915" s="298" t="s">
        <v>1371</v>
      </c>
    </row>
    <row r="916" ht="15.75" customHeight="1">
      <c r="A916" s="69">
        <v>43791.0</v>
      </c>
      <c r="B916" s="144" t="s">
        <v>167</v>
      </c>
      <c r="C916" s="128"/>
      <c r="D916" s="70" t="s">
        <v>1915</v>
      </c>
      <c r="E916" s="23" t="s">
        <v>177</v>
      </c>
      <c r="F916" s="130">
        <v>1.0</v>
      </c>
      <c r="G916" s="25">
        <v>61.0</v>
      </c>
      <c r="H916" s="60">
        <f t="shared" si="137"/>
        <v>61</v>
      </c>
      <c r="I916" s="61" t="s">
        <v>171</v>
      </c>
      <c r="J916" s="58" t="s">
        <v>172</v>
      </c>
      <c r="K916" s="29">
        <v>43811.0</v>
      </c>
      <c r="L916" s="298" t="s">
        <v>3410</v>
      </c>
      <c r="M916" s="50"/>
      <c r="N916" s="93"/>
      <c r="O916" s="408"/>
      <c r="P916" s="408"/>
      <c r="Q916" s="740">
        <f t="shared" si="138"/>
        <v>0</v>
      </c>
      <c r="R916" s="741"/>
      <c r="S916" s="741">
        <v>1484.0</v>
      </c>
      <c r="T916" s="408"/>
      <c r="U916" s="306"/>
      <c r="V916" s="306"/>
      <c r="W916" s="306"/>
      <c r="X916" s="306"/>
      <c r="Y916" s="306"/>
      <c r="Z916" s="306" t="s">
        <v>3378</v>
      </c>
      <c r="AA916" s="306">
        <v>2.41673327E9</v>
      </c>
      <c r="AB916" s="537">
        <v>30.42</v>
      </c>
      <c r="AC916" s="306"/>
      <c r="AD916" s="306"/>
      <c r="AE916" s="298"/>
      <c r="AF916" s="298"/>
      <c r="AG916" s="299"/>
      <c r="AH916" s="539" t="s">
        <v>1917</v>
      </c>
      <c r="AI916" s="299"/>
      <c r="AJ916" s="299"/>
      <c r="AK916" s="298" t="s">
        <v>50</v>
      </c>
      <c r="AL916" s="298" t="s">
        <v>285</v>
      </c>
      <c r="AM916" s="298" t="s">
        <v>286</v>
      </c>
      <c r="AN916" s="298" t="s">
        <v>52</v>
      </c>
      <c r="AO916" s="298" t="s">
        <v>1371</v>
      </c>
    </row>
    <row r="917" ht="15.75" customHeight="1">
      <c r="A917" s="69">
        <v>43792.0</v>
      </c>
      <c r="B917" s="70" t="s">
        <v>621</v>
      </c>
      <c r="C917" s="70"/>
      <c r="D917" s="70" t="s">
        <v>1918</v>
      </c>
      <c r="E917" s="23" t="s">
        <v>1919</v>
      </c>
      <c r="F917" s="431">
        <v>1.0</v>
      </c>
      <c r="G917" s="25">
        <v>1417.5</v>
      </c>
      <c r="H917" s="26">
        <f t="shared" ref="H917:H932" si="139">G917*F917</f>
        <v>1417.5</v>
      </c>
      <c r="I917" s="27" t="s">
        <v>43</v>
      </c>
      <c r="J917" s="58" t="s">
        <v>90</v>
      </c>
      <c r="K917" s="29">
        <v>43805.0</v>
      </c>
      <c r="L917" s="29">
        <v>43805.0</v>
      </c>
      <c r="M917" s="50" t="s">
        <v>90</v>
      </c>
      <c r="N917" s="93" t="s">
        <v>3411</v>
      </c>
      <c r="O917" s="408"/>
      <c r="P917" s="408">
        <v>1238.0</v>
      </c>
      <c r="Q917" s="740">
        <f t="shared" si="138"/>
        <v>1299.9</v>
      </c>
      <c r="R917" s="741"/>
      <c r="S917" s="707">
        <f>Q917*30.45</f>
        <v>39581.955</v>
      </c>
      <c r="T917" s="35" t="s">
        <v>94</v>
      </c>
      <c r="U917" s="306"/>
      <c r="V917" s="306"/>
      <c r="W917" s="306"/>
      <c r="X917" s="306"/>
      <c r="Y917" s="306"/>
      <c r="Z917" s="306" t="s">
        <v>3412</v>
      </c>
      <c r="AA917" s="306">
        <v>7.60113686797E11</v>
      </c>
      <c r="AB917" s="306">
        <v>30.47</v>
      </c>
      <c r="AC917" s="306">
        <v>43191.0</v>
      </c>
      <c r="AD917" s="306"/>
      <c r="AE917" s="298"/>
      <c r="AF917" s="298"/>
      <c r="AG917" s="299"/>
      <c r="AH917" s="29">
        <v>43829.0</v>
      </c>
      <c r="AI917" s="299">
        <v>43191.0</v>
      </c>
      <c r="AJ917" s="299">
        <v>0.0</v>
      </c>
      <c r="AK917" s="298" t="s">
        <v>50</v>
      </c>
      <c r="AL917" s="298" t="s">
        <v>285</v>
      </c>
      <c r="AM917" s="298" t="s">
        <v>51</v>
      </c>
      <c r="AN917" s="298" t="s">
        <v>377</v>
      </c>
      <c r="AO917" s="298" t="s">
        <v>1371</v>
      </c>
    </row>
    <row r="918" ht="15.75" customHeight="1">
      <c r="A918" s="69">
        <v>43792.0</v>
      </c>
      <c r="B918" s="23" t="s">
        <v>406</v>
      </c>
      <c r="C918" s="70">
        <v>7.000152002E9</v>
      </c>
      <c r="D918" s="70" t="s">
        <v>1920</v>
      </c>
      <c r="E918" s="23" t="s">
        <v>481</v>
      </c>
      <c r="F918" s="130">
        <v>4.0</v>
      </c>
      <c r="G918" s="25">
        <v>137.0</v>
      </c>
      <c r="H918" s="60">
        <f t="shared" si="139"/>
        <v>548</v>
      </c>
      <c r="I918" s="61" t="s">
        <v>43</v>
      </c>
      <c r="J918" s="50" t="s">
        <v>513</v>
      </c>
      <c r="K918" s="30">
        <v>43809.0</v>
      </c>
      <c r="L918" s="29">
        <v>43801.0</v>
      </c>
      <c r="M918" s="50" t="s">
        <v>3413</v>
      </c>
      <c r="N918" s="93" t="s">
        <v>3414</v>
      </c>
      <c r="O918" s="408"/>
      <c r="P918" s="408">
        <v>118.0</v>
      </c>
      <c r="Q918" s="740">
        <f t="shared" si="138"/>
        <v>495.6</v>
      </c>
      <c r="R918" s="741"/>
      <c r="S918" s="720">
        <v>15091.0</v>
      </c>
      <c r="T918" s="408"/>
      <c r="U918" s="306"/>
      <c r="V918" s="306"/>
      <c r="W918" s="306"/>
      <c r="X918" s="306"/>
      <c r="Y918" s="306"/>
      <c r="Z918" s="306" t="s">
        <v>3398</v>
      </c>
      <c r="AA918" s="306">
        <v>9.489690243E9</v>
      </c>
      <c r="AB918" s="306">
        <v>30.45</v>
      </c>
      <c r="AC918" s="306"/>
      <c r="AD918" s="306"/>
      <c r="AE918" s="298"/>
      <c r="AF918" s="298"/>
      <c r="AG918" s="299"/>
      <c r="AH918" s="300">
        <v>43860.0</v>
      </c>
      <c r="AI918" s="299" t="s">
        <v>3399</v>
      </c>
      <c r="AJ918" s="299" t="s">
        <v>3400</v>
      </c>
      <c r="AK918" s="298" t="s">
        <v>50</v>
      </c>
      <c r="AL918" s="298" t="s">
        <v>285</v>
      </c>
      <c r="AM918" s="298" t="s">
        <v>51</v>
      </c>
      <c r="AN918" s="298" t="s">
        <v>52</v>
      </c>
      <c r="AO918" s="298" t="s">
        <v>1371</v>
      </c>
    </row>
    <row r="919" ht="15.75" customHeight="1">
      <c r="A919" s="69">
        <v>43792.0</v>
      </c>
      <c r="B919" s="23" t="s">
        <v>406</v>
      </c>
      <c r="C919" s="70">
        <v>7.000152002E9</v>
      </c>
      <c r="D919" s="70" t="s">
        <v>1920</v>
      </c>
      <c r="E919" s="23" t="s">
        <v>558</v>
      </c>
      <c r="F919" s="130">
        <v>2.0</v>
      </c>
      <c r="G919" s="25">
        <v>161.0</v>
      </c>
      <c r="H919" s="60">
        <f t="shared" si="139"/>
        <v>322</v>
      </c>
      <c r="I919" s="61" t="s">
        <v>43</v>
      </c>
      <c r="J919" s="50" t="s">
        <v>513</v>
      </c>
      <c r="K919" s="30">
        <v>43809.0</v>
      </c>
      <c r="L919" s="29">
        <v>43801.0</v>
      </c>
      <c r="M919" s="50" t="s">
        <v>3413</v>
      </c>
      <c r="N919" s="93" t="s">
        <v>3414</v>
      </c>
      <c r="O919" s="408"/>
      <c r="P919" s="408">
        <v>130.0</v>
      </c>
      <c r="Q919" s="408">
        <f t="shared" si="138"/>
        <v>273</v>
      </c>
      <c r="R919" s="737"/>
      <c r="S919" s="737">
        <v>8313.0</v>
      </c>
      <c r="T919" s="408"/>
      <c r="U919" s="306"/>
      <c r="V919" s="306"/>
      <c r="W919" s="306"/>
      <c r="X919" s="306"/>
      <c r="Y919" s="306"/>
      <c r="Z919" s="306" t="s">
        <v>3398</v>
      </c>
      <c r="AA919" s="306">
        <v>9.489690243E9</v>
      </c>
      <c r="AB919" s="306">
        <v>30.45</v>
      </c>
      <c r="AC919" s="306"/>
      <c r="AD919" s="306"/>
      <c r="AE919" s="298"/>
      <c r="AF919" s="298"/>
      <c r="AG919" s="299"/>
      <c r="AH919" s="300">
        <v>43860.0</v>
      </c>
      <c r="AI919" s="299" t="s">
        <v>3399</v>
      </c>
      <c r="AJ919" s="299" t="s">
        <v>3400</v>
      </c>
      <c r="AK919" s="298" t="s">
        <v>50</v>
      </c>
      <c r="AL919" s="298" t="s">
        <v>285</v>
      </c>
      <c r="AM919" s="298" t="s">
        <v>51</v>
      </c>
      <c r="AN919" s="298" t="s">
        <v>52</v>
      </c>
      <c r="AO919" s="298" t="s">
        <v>1371</v>
      </c>
    </row>
    <row r="920" ht="15.75" customHeight="1">
      <c r="A920" s="69">
        <v>43793.0</v>
      </c>
      <c r="B920" s="70" t="s">
        <v>229</v>
      </c>
      <c r="C920" s="128"/>
      <c r="D920" s="129" t="s">
        <v>1921</v>
      </c>
      <c r="E920" s="23" t="s">
        <v>1922</v>
      </c>
      <c r="F920" s="130">
        <v>1.0</v>
      </c>
      <c r="G920" s="25">
        <v>525.0</v>
      </c>
      <c r="H920" s="60">
        <f t="shared" si="139"/>
        <v>525</v>
      </c>
      <c r="I920" s="61" t="s">
        <v>171</v>
      </c>
      <c r="J920" s="50" t="s">
        <v>90</v>
      </c>
      <c r="K920" s="29">
        <v>43805.0</v>
      </c>
      <c r="L920" s="29">
        <v>43805.0</v>
      </c>
      <c r="M920" s="50" t="s">
        <v>90</v>
      </c>
      <c r="N920" s="93" t="s">
        <v>3415</v>
      </c>
      <c r="O920" s="408"/>
      <c r="P920" s="408">
        <v>450.0</v>
      </c>
      <c r="Q920" s="740">
        <f t="shared" si="138"/>
        <v>472.5</v>
      </c>
      <c r="R920" s="741"/>
      <c r="S920" s="707">
        <f t="shared" ref="S920:S921" si="140">Q920*30.45</f>
        <v>14387.625</v>
      </c>
      <c r="T920" s="35" t="s">
        <v>94</v>
      </c>
      <c r="U920" s="306"/>
      <c r="V920" s="306"/>
      <c r="W920" s="306"/>
      <c r="X920" s="306"/>
      <c r="Y920" s="306"/>
      <c r="Z920" s="306" t="s">
        <v>3416</v>
      </c>
      <c r="AA920" s="306">
        <v>7.60113686788E11</v>
      </c>
      <c r="AB920" s="306">
        <v>30.49</v>
      </c>
      <c r="AC920" s="306">
        <v>16007.0</v>
      </c>
      <c r="AD920" s="306"/>
      <c r="AE920" s="298"/>
      <c r="AF920" s="298"/>
      <c r="AG920" s="299"/>
      <c r="AH920" s="300">
        <v>43837.0</v>
      </c>
      <c r="AI920" s="299">
        <v>37761.0</v>
      </c>
      <c r="AJ920" s="299">
        <v>30.0</v>
      </c>
      <c r="AK920" s="298" t="s">
        <v>50</v>
      </c>
      <c r="AL920" s="298" t="s">
        <v>285</v>
      </c>
      <c r="AM920" s="298" t="s">
        <v>51</v>
      </c>
      <c r="AN920" s="298" t="s">
        <v>377</v>
      </c>
      <c r="AO920" s="298" t="s">
        <v>1371</v>
      </c>
    </row>
    <row r="921" ht="15.75" customHeight="1">
      <c r="A921" s="69">
        <v>43794.0</v>
      </c>
      <c r="B921" s="70" t="s">
        <v>77</v>
      </c>
      <c r="C921" s="453">
        <v>877.0</v>
      </c>
      <c r="D921" s="453" t="s">
        <v>1923</v>
      </c>
      <c r="E921" s="23" t="s">
        <v>429</v>
      </c>
      <c r="F921" s="137">
        <v>3.0</v>
      </c>
      <c r="G921" s="25">
        <v>133.0</v>
      </c>
      <c r="H921" s="60">
        <f t="shared" si="139"/>
        <v>399</v>
      </c>
      <c r="I921" s="61" t="s">
        <v>43</v>
      </c>
      <c r="J921" s="58" t="s">
        <v>1924</v>
      </c>
      <c r="K921" s="30">
        <v>43816.0</v>
      </c>
      <c r="L921" s="30">
        <v>43805.0</v>
      </c>
      <c r="M921" s="58" t="s">
        <v>90</v>
      </c>
      <c r="N921" s="93" t="s">
        <v>3417</v>
      </c>
      <c r="O921" s="408"/>
      <c r="P921" s="408">
        <v>117.0</v>
      </c>
      <c r="Q921" s="740">
        <f t="shared" si="138"/>
        <v>368.55</v>
      </c>
      <c r="R921" s="741"/>
      <c r="S921" s="707">
        <f t="shared" si="140"/>
        <v>11222.3475</v>
      </c>
      <c r="T921" s="35" t="s">
        <v>94</v>
      </c>
      <c r="U921" s="306"/>
      <c r="V921" s="306"/>
      <c r="W921" s="306"/>
      <c r="X921" s="306"/>
      <c r="Y921" s="306"/>
      <c r="Z921" s="306" t="s">
        <v>3418</v>
      </c>
      <c r="AA921" s="306">
        <v>7.367469222E9</v>
      </c>
      <c r="AB921" s="306">
        <v>30.42</v>
      </c>
      <c r="AC921" s="306"/>
      <c r="AD921" s="306"/>
      <c r="AE921" s="298"/>
      <c r="AF921" s="298"/>
      <c r="AG921" s="299"/>
      <c r="AH921" s="300">
        <v>43850.0</v>
      </c>
      <c r="AI921" s="299">
        <f>1308*29.884</f>
        <v>39088.272</v>
      </c>
      <c r="AJ921" s="299">
        <v>0.0</v>
      </c>
      <c r="AK921" s="298" t="s">
        <v>50</v>
      </c>
      <c r="AL921" s="298" t="s">
        <v>285</v>
      </c>
      <c r="AM921" s="298" t="s">
        <v>51</v>
      </c>
      <c r="AN921" s="298" t="s">
        <v>52</v>
      </c>
      <c r="AO921" s="298" t="s">
        <v>1371</v>
      </c>
    </row>
    <row r="922" ht="15.75" customHeight="1">
      <c r="A922" s="69">
        <v>43794.0</v>
      </c>
      <c r="B922" s="70" t="s">
        <v>77</v>
      </c>
      <c r="C922" s="292">
        <v>877.0</v>
      </c>
      <c r="D922" s="571" t="s">
        <v>1923</v>
      </c>
      <c r="E922" s="23" t="s">
        <v>1925</v>
      </c>
      <c r="F922" s="24">
        <v>4.0</v>
      </c>
      <c r="G922" s="48">
        <v>200.0</v>
      </c>
      <c r="H922" s="60">
        <f t="shared" si="139"/>
        <v>800</v>
      </c>
      <c r="I922" s="61" t="s">
        <v>43</v>
      </c>
      <c r="J922" s="58" t="s">
        <v>1924</v>
      </c>
      <c r="K922" s="30">
        <v>43816.0</v>
      </c>
      <c r="L922" s="29">
        <v>43812.0</v>
      </c>
      <c r="M922" s="50" t="s">
        <v>1537</v>
      </c>
      <c r="N922" s="93" t="s">
        <v>3419</v>
      </c>
      <c r="O922" s="408"/>
      <c r="P922" s="408"/>
      <c r="Q922" s="742">
        <f t="shared" si="138"/>
        <v>0</v>
      </c>
      <c r="R922" s="743"/>
      <c r="S922" s="720">
        <v>11340.0</v>
      </c>
      <c r="T922" s="408"/>
      <c r="U922" s="306"/>
      <c r="V922" s="306"/>
      <c r="W922" s="306"/>
      <c r="X922" s="306"/>
      <c r="Y922" s="306"/>
      <c r="Z922" s="306" t="s">
        <v>3418</v>
      </c>
      <c r="AA922" s="306">
        <v>7.367469222E9</v>
      </c>
      <c r="AB922" s="306">
        <v>30.42</v>
      </c>
      <c r="AC922" s="306"/>
      <c r="AD922" s="306"/>
      <c r="AE922" s="298"/>
      <c r="AF922" s="298"/>
      <c r="AG922" s="299"/>
      <c r="AH922" s="300">
        <v>43850.0</v>
      </c>
      <c r="AI922" s="299" t="s">
        <v>3420</v>
      </c>
      <c r="AJ922" s="299" t="s">
        <v>3421</v>
      </c>
      <c r="AK922" s="298" t="s">
        <v>50</v>
      </c>
      <c r="AL922" s="298" t="s">
        <v>285</v>
      </c>
      <c r="AM922" s="298" t="s">
        <v>51</v>
      </c>
      <c r="AN922" s="298" t="s">
        <v>52</v>
      </c>
      <c r="AO922" s="298" t="s">
        <v>1371</v>
      </c>
    </row>
    <row r="923" ht="15.75" customHeight="1">
      <c r="A923" s="69">
        <v>43794.0</v>
      </c>
      <c r="B923" s="70" t="s">
        <v>77</v>
      </c>
      <c r="C923" s="453">
        <v>877.0</v>
      </c>
      <c r="D923" s="453" t="s">
        <v>1923</v>
      </c>
      <c r="E923" s="23" t="s">
        <v>646</v>
      </c>
      <c r="F923" s="130">
        <v>4.0</v>
      </c>
      <c r="G923" s="25">
        <v>0.0</v>
      </c>
      <c r="H923" s="60">
        <f t="shared" si="139"/>
        <v>0</v>
      </c>
      <c r="I923" s="61" t="s">
        <v>43</v>
      </c>
      <c r="J923" s="58" t="s">
        <v>1924</v>
      </c>
      <c r="K923" s="30">
        <v>43816.0</v>
      </c>
      <c r="L923" s="29">
        <v>43812.0</v>
      </c>
      <c r="M923" s="50" t="s">
        <v>1537</v>
      </c>
      <c r="N923" s="93" t="s">
        <v>3419</v>
      </c>
      <c r="O923" s="408"/>
      <c r="P923" s="408"/>
      <c r="Q923" s="742">
        <f t="shared" si="138"/>
        <v>0</v>
      </c>
      <c r="R923" s="743"/>
      <c r="S923" s="720">
        <v>4200.0</v>
      </c>
      <c r="T923" s="408"/>
      <c r="U923" s="306"/>
      <c r="V923" s="306"/>
      <c r="W923" s="306"/>
      <c r="X923" s="306"/>
      <c r="Y923" s="306"/>
      <c r="Z923" s="306" t="s">
        <v>3418</v>
      </c>
      <c r="AA923" s="306">
        <v>7.367469222E9</v>
      </c>
      <c r="AB923" s="306">
        <v>30.42</v>
      </c>
      <c r="AC923" s="306"/>
      <c r="AD923" s="306"/>
      <c r="AE923" s="298"/>
      <c r="AF923" s="298"/>
      <c r="AG923" s="299"/>
      <c r="AH923" s="300">
        <v>43850.0</v>
      </c>
      <c r="AI923" s="299" t="s">
        <v>3420</v>
      </c>
      <c r="AJ923" s="299" t="s">
        <v>3421</v>
      </c>
      <c r="AK923" s="298" t="s">
        <v>50</v>
      </c>
      <c r="AL923" s="298" t="s">
        <v>285</v>
      </c>
      <c r="AM923" s="298" t="s">
        <v>51</v>
      </c>
      <c r="AN923" s="298" t="s">
        <v>52</v>
      </c>
      <c r="AO923" s="298" t="s">
        <v>1371</v>
      </c>
    </row>
    <row r="924" ht="15.75" customHeight="1">
      <c r="A924" s="69">
        <v>43794.0</v>
      </c>
      <c r="B924" s="70" t="s">
        <v>77</v>
      </c>
      <c r="C924" s="453">
        <v>877.0</v>
      </c>
      <c r="D924" s="453" t="s">
        <v>1923</v>
      </c>
      <c r="E924" s="23" t="s">
        <v>647</v>
      </c>
      <c r="F924" s="130">
        <v>4.0</v>
      </c>
      <c r="G924" s="25">
        <v>0.0</v>
      </c>
      <c r="H924" s="60">
        <f t="shared" si="139"/>
        <v>0</v>
      </c>
      <c r="I924" s="61" t="s">
        <v>43</v>
      </c>
      <c r="J924" s="58" t="s">
        <v>1924</v>
      </c>
      <c r="K924" s="30">
        <v>43816.0</v>
      </c>
      <c r="L924" s="29">
        <v>43812.0</v>
      </c>
      <c r="M924" s="50" t="s">
        <v>1537</v>
      </c>
      <c r="N924" s="93" t="s">
        <v>3419</v>
      </c>
      <c r="O924" s="408"/>
      <c r="P924" s="408"/>
      <c r="Q924" s="742">
        <f t="shared" si="138"/>
        <v>0</v>
      </c>
      <c r="R924" s="743"/>
      <c r="S924" s="744">
        <v>1260.0</v>
      </c>
      <c r="T924" s="408"/>
      <c r="U924" s="306"/>
      <c r="V924" s="306"/>
      <c r="W924" s="306"/>
      <c r="X924" s="306"/>
      <c r="Y924" s="306"/>
      <c r="Z924" s="306" t="s">
        <v>3418</v>
      </c>
      <c r="AA924" s="306">
        <v>7.367469222E9</v>
      </c>
      <c r="AB924" s="306">
        <v>30.42</v>
      </c>
      <c r="AC924" s="306"/>
      <c r="AD924" s="306"/>
      <c r="AE924" s="298"/>
      <c r="AF924" s="298"/>
      <c r="AG924" s="299"/>
      <c r="AH924" s="300">
        <v>43850.0</v>
      </c>
      <c r="AI924" s="299" t="s">
        <v>3420</v>
      </c>
      <c r="AJ924" s="299" t="s">
        <v>3421</v>
      </c>
      <c r="AK924" s="298" t="s">
        <v>50</v>
      </c>
      <c r="AL924" s="298" t="s">
        <v>285</v>
      </c>
      <c r="AM924" s="298" t="s">
        <v>51</v>
      </c>
      <c r="AN924" s="298" t="s">
        <v>52</v>
      </c>
      <c r="AO924" s="298" t="s">
        <v>1371</v>
      </c>
    </row>
    <row r="925" ht="15.75" customHeight="1">
      <c r="A925" s="69">
        <v>43794.0</v>
      </c>
      <c r="B925" s="70" t="s">
        <v>77</v>
      </c>
      <c r="C925" s="292">
        <v>877.0</v>
      </c>
      <c r="D925" s="571" t="s">
        <v>1923</v>
      </c>
      <c r="E925" s="23" t="s">
        <v>648</v>
      </c>
      <c r="F925" s="24">
        <v>4.0</v>
      </c>
      <c r="G925" s="48">
        <v>0.0</v>
      </c>
      <c r="H925" s="60">
        <f t="shared" si="139"/>
        <v>0</v>
      </c>
      <c r="I925" s="61" t="s">
        <v>43</v>
      </c>
      <c r="J925" s="58" t="s">
        <v>1924</v>
      </c>
      <c r="K925" s="30">
        <v>43816.0</v>
      </c>
      <c r="L925" s="29">
        <v>43812.0</v>
      </c>
      <c r="M925" s="50" t="s">
        <v>1537</v>
      </c>
      <c r="N925" s="93" t="s">
        <v>3419</v>
      </c>
      <c r="O925" s="408"/>
      <c r="P925" s="408"/>
      <c r="Q925" s="742">
        <f t="shared" si="138"/>
        <v>0</v>
      </c>
      <c r="R925" s="743"/>
      <c r="S925" s="720">
        <v>2100.0</v>
      </c>
      <c r="T925" s="408"/>
      <c r="U925" s="306"/>
      <c r="V925" s="306"/>
      <c r="W925" s="306"/>
      <c r="X925" s="306"/>
      <c r="Y925" s="306"/>
      <c r="Z925" s="306" t="s">
        <v>3418</v>
      </c>
      <c r="AA925" s="306">
        <v>7.367469222E9</v>
      </c>
      <c r="AB925" s="306">
        <v>30.42</v>
      </c>
      <c r="AC925" s="306"/>
      <c r="AD925" s="306"/>
      <c r="AE925" s="298"/>
      <c r="AF925" s="298"/>
      <c r="AG925" s="299"/>
      <c r="AH925" s="300">
        <v>43850.0</v>
      </c>
      <c r="AI925" s="299" t="s">
        <v>3420</v>
      </c>
      <c r="AJ925" s="299" t="s">
        <v>3421</v>
      </c>
      <c r="AK925" s="298" t="s">
        <v>50</v>
      </c>
      <c r="AL925" s="298" t="s">
        <v>285</v>
      </c>
      <c r="AM925" s="298" t="s">
        <v>51</v>
      </c>
      <c r="AN925" s="298" t="s">
        <v>52</v>
      </c>
      <c r="AO925" s="298" t="s">
        <v>1371</v>
      </c>
    </row>
    <row r="926" ht="30.75" customHeight="1">
      <c r="A926" s="69">
        <v>43794.0</v>
      </c>
      <c r="B926" s="70" t="s">
        <v>77</v>
      </c>
      <c r="C926" s="292">
        <v>877.0</v>
      </c>
      <c r="D926" s="571" t="s">
        <v>1923</v>
      </c>
      <c r="E926" s="23" t="s">
        <v>649</v>
      </c>
      <c r="F926" s="24">
        <v>4.0</v>
      </c>
      <c r="G926" s="48">
        <v>0.0</v>
      </c>
      <c r="H926" s="60">
        <f t="shared" si="139"/>
        <v>0</v>
      </c>
      <c r="I926" s="61" t="s">
        <v>43</v>
      </c>
      <c r="J926" s="58" t="s">
        <v>1924</v>
      </c>
      <c r="K926" s="30">
        <v>43816.0</v>
      </c>
      <c r="L926" s="29">
        <v>43812.0</v>
      </c>
      <c r="M926" s="50" t="s">
        <v>1537</v>
      </c>
      <c r="N926" s="93" t="s">
        <v>3419</v>
      </c>
      <c r="O926" s="408"/>
      <c r="P926" s="408"/>
      <c r="Q926" s="513">
        <f t="shared" si="138"/>
        <v>0</v>
      </c>
      <c r="R926" s="745"/>
      <c r="S926" s="746">
        <v>1210.0</v>
      </c>
      <c r="T926" s="408"/>
      <c r="U926" s="306"/>
      <c r="V926" s="306"/>
      <c r="W926" s="306"/>
      <c r="X926" s="306"/>
      <c r="Y926" s="306"/>
      <c r="Z926" s="306" t="s">
        <v>3418</v>
      </c>
      <c r="AA926" s="306">
        <v>7.367469222E9</v>
      </c>
      <c r="AB926" s="306">
        <v>30.42</v>
      </c>
      <c r="AC926" s="306"/>
      <c r="AD926" s="306"/>
      <c r="AE926" s="298"/>
      <c r="AF926" s="298"/>
      <c r="AG926" s="299"/>
      <c r="AH926" s="300">
        <v>43850.0</v>
      </c>
      <c r="AI926" s="299" t="s">
        <v>3420</v>
      </c>
      <c r="AJ926" s="299" t="s">
        <v>3421</v>
      </c>
      <c r="AK926" s="298" t="s">
        <v>50</v>
      </c>
      <c r="AL926" s="298" t="s">
        <v>285</v>
      </c>
      <c r="AM926" s="298" t="s">
        <v>51</v>
      </c>
      <c r="AN926" s="298" t="s">
        <v>52</v>
      </c>
      <c r="AO926" s="298" t="s">
        <v>1371</v>
      </c>
    </row>
    <row r="927" ht="15.75" customHeight="1">
      <c r="A927" s="69">
        <v>43794.0</v>
      </c>
      <c r="B927" s="70" t="s">
        <v>77</v>
      </c>
      <c r="C927" s="292">
        <v>877.0</v>
      </c>
      <c r="D927" s="571" t="s">
        <v>1923</v>
      </c>
      <c r="E927" s="32" t="s">
        <v>652</v>
      </c>
      <c r="F927" s="24">
        <v>4.0</v>
      </c>
      <c r="G927" s="48">
        <v>0.0</v>
      </c>
      <c r="H927" s="60">
        <f t="shared" si="139"/>
        <v>0</v>
      </c>
      <c r="I927" s="61" t="s">
        <v>43</v>
      </c>
      <c r="J927" s="58" t="s">
        <v>1924</v>
      </c>
      <c r="K927" s="30">
        <v>43816.0</v>
      </c>
      <c r="L927" s="82" t="s">
        <v>179</v>
      </c>
      <c r="M927" s="50" t="s">
        <v>179</v>
      </c>
      <c r="N927" s="93"/>
      <c r="O927" s="408"/>
      <c r="P927" s="408"/>
      <c r="Q927" s="742">
        <f t="shared" si="138"/>
        <v>0</v>
      </c>
      <c r="R927" s="743"/>
      <c r="S927" s="720">
        <v>386.0</v>
      </c>
      <c r="T927" s="408"/>
      <c r="U927" s="306"/>
      <c r="V927" s="306"/>
      <c r="W927" s="306"/>
      <c r="X927" s="306"/>
      <c r="Y927" s="306"/>
      <c r="Z927" s="306" t="s">
        <v>3418</v>
      </c>
      <c r="AA927" s="306">
        <v>7.367469222E9</v>
      </c>
      <c r="AB927" s="306">
        <v>30.42</v>
      </c>
      <c r="AC927" s="306"/>
      <c r="AD927" s="306"/>
      <c r="AE927" s="298"/>
      <c r="AF927" s="298"/>
      <c r="AG927" s="299"/>
      <c r="AH927" s="300">
        <v>43850.0</v>
      </c>
      <c r="AI927" s="299" t="s">
        <v>3420</v>
      </c>
      <c r="AJ927" s="299" t="s">
        <v>3421</v>
      </c>
      <c r="AK927" s="298" t="s">
        <v>50</v>
      </c>
      <c r="AL927" s="298" t="s">
        <v>285</v>
      </c>
      <c r="AM927" s="298" t="s">
        <v>51</v>
      </c>
      <c r="AN927" s="298" t="s">
        <v>52</v>
      </c>
      <c r="AO927" s="298" t="s">
        <v>1371</v>
      </c>
    </row>
    <row r="928" ht="15.75" customHeight="1">
      <c r="A928" s="69">
        <v>43794.0</v>
      </c>
      <c r="B928" s="70" t="s">
        <v>77</v>
      </c>
      <c r="C928" s="292">
        <v>877.0</v>
      </c>
      <c r="D928" s="571" t="s">
        <v>1923</v>
      </c>
      <c r="E928" s="32" t="s">
        <v>1926</v>
      </c>
      <c r="F928" s="24">
        <v>4.0</v>
      </c>
      <c r="G928" s="48">
        <v>2.0</v>
      </c>
      <c r="H928" s="60">
        <f t="shared" si="139"/>
        <v>8</v>
      </c>
      <c r="I928" s="61" t="s">
        <v>43</v>
      </c>
      <c r="J928" s="58" t="s">
        <v>1924</v>
      </c>
      <c r="K928" s="30">
        <v>43816.0</v>
      </c>
      <c r="L928" s="82" t="s">
        <v>179</v>
      </c>
      <c r="M928" s="50" t="s">
        <v>179</v>
      </c>
      <c r="N928" s="93"/>
      <c r="O928" s="408"/>
      <c r="P928" s="408"/>
      <c r="Q928" s="742">
        <f t="shared" si="138"/>
        <v>0</v>
      </c>
      <c r="R928" s="743"/>
      <c r="S928" s="744">
        <v>133.0</v>
      </c>
      <c r="T928" s="408"/>
      <c r="U928" s="306"/>
      <c r="V928" s="306"/>
      <c r="W928" s="306"/>
      <c r="X928" s="306"/>
      <c r="Y928" s="306"/>
      <c r="Z928" s="306" t="s">
        <v>3418</v>
      </c>
      <c r="AA928" s="306">
        <v>7.367469222E9</v>
      </c>
      <c r="AB928" s="306">
        <v>30.42</v>
      </c>
      <c r="AC928" s="306"/>
      <c r="AD928" s="306"/>
      <c r="AE928" s="298"/>
      <c r="AF928" s="298"/>
      <c r="AG928" s="299"/>
      <c r="AH928" s="300">
        <v>43850.0</v>
      </c>
      <c r="AI928" s="299" t="s">
        <v>3420</v>
      </c>
      <c r="AJ928" s="299" t="s">
        <v>3421</v>
      </c>
      <c r="AK928" s="298" t="s">
        <v>50</v>
      </c>
      <c r="AL928" s="298" t="s">
        <v>285</v>
      </c>
      <c r="AM928" s="298" t="s">
        <v>51</v>
      </c>
      <c r="AN928" s="298" t="s">
        <v>52</v>
      </c>
      <c r="AO928" s="298" t="s">
        <v>1371</v>
      </c>
    </row>
    <row r="929" ht="15.75" customHeight="1">
      <c r="A929" s="69">
        <v>43794.0</v>
      </c>
      <c r="B929" s="70" t="s">
        <v>77</v>
      </c>
      <c r="C929" s="292">
        <v>877.0</v>
      </c>
      <c r="D929" s="571" t="s">
        <v>1923</v>
      </c>
      <c r="E929" s="23" t="s">
        <v>1927</v>
      </c>
      <c r="F929" s="24">
        <v>4.0</v>
      </c>
      <c r="G929" s="48">
        <v>6.0</v>
      </c>
      <c r="H929" s="60">
        <f t="shared" si="139"/>
        <v>24</v>
      </c>
      <c r="I929" s="61" t="s">
        <v>43</v>
      </c>
      <c r="J929" s="58" t="s">
        <v>1924</v>
      </c>
      <c r="K929" s="30">
        <v>43816.0</v>
      </c>
      <c r="L929" s="459" t="s">
        <v>179</v>
      </c>
      <c r="M929" s="50" t="s">
        <v>179</v>
      </c>
      <c r="N929" s="93"/>
      <c r="O929" s="408"/>
      <c r="P929" s="408"/>
      <c r="Q929" s="742">
        <f t="shared" si="138"/>
        <v>0</v>
      </c>
      <c r="R929" s="743"/>
      <c r="S929" s="744">
        <v>142.0</v>
      </c>
      <c r="T929" s="408"/>
      <c r="U929" s="306"/>
      <c r="V929" s="306"/>
      <c r="W929" s="306"/>
      <c r="X929" s="306"/>
      <c r="Y929" s="306"/>
      <c r="Z929" s="306" t="s">
        <v>3418</v>
      </c>
      <c r="AA929" s="306">
        <v>7.367469222E9</v>
      </c>
      <c r="AB929" s="306">
        <v>30.42</v>
      </c>
      <c r="AC929" s="306"/>
      <c r="AD929" s="306"/>
      <c r="AE929" s="298"/>
      <c r="AF929" s="298"/>
      <c r="AG929" s="299"/>
      <c r="AH929" s="300">
        <v>43850.0</v>
      </c>
      <c r="AI929" s="299" t="s">
        <v>3420</v>
      </c>
      <c r="AJ929" s="299" t="s">
        <v>3421</v>
      </c>
      <c r="AK929" s="298" t="s">
        <v>50</v>
      </c>
      <c r="AL929" s="298" t="s">
        <v>285</v>
      </c>
      <c r="AM929" s="298" t="s">
        <v>51</v>
      </c>
      <c r="AN929" s="298" t="s">
        <v>52</v>
      </c>
      <c r="AO929" s="298" t="s">
        <v>1371</v>
      </c>
    </row>
    <row r="930" ht="15.75" customHeight="1">
      <c r="A930" s="69">
        <v>43794.0</v>
      </c>
      <c r="B930" s="147" t="s">
        <v>101</v>
      </c>
      <c r="C930" s="21" t="s">
        <v>1928</v>
      </c>
      <c r="D930" s="71" t="s">
        <v>1929</v>
      </c>
      <c r="E930" s="23" t="s">
        <v>1586</v>
      </c>
      <c r="F930" s="24">
        <v>8.0</v>
      </c>
      <c r="G930" s="436">
        <v>71.0</v>
      </c>
      <c r="H930" s="60">
        <f t="shared" si="139"/>
        <v>568</v>
      </c>
      <c r="I930" s="61" t="s">
        <v>171</v>
      </c>
      <c r="J930" s="50" t="s">
        <v>534</v>
      </c>
      <c r="K930" s="29">
        <v>43829.0</v>
      </c>
      <c r="L930" s="298" t="s">
        <v>3422</v>
      </c>
      <c r="M930" s="50" t="s">
        <v>178</v>
      </c>
      <c r="N930" s="93">
        <v>2.0191128005E10</v>
      </c>
      <c r="O930" s="408"/>
      <c r="P930" s="408">
        <v>35.9</v>
      </c>
      <c r="Q930" s="747">
        <f t="shared" si="138"/>
        <v>301.56</v>
      </c>
      <c r="R930" s="741"/>
      <c r="S930" s="720">
        <v>9195.0</v>
      </c>
      <c r="T930" s="408"/>
      <c r="U930" s="306"/>
      <c r="V930" s="306"/>
      <c r="W930" s="306"/>
      <c r="X930" s="306"/>
      <c r="Y930" s="306"/>
      <c r="Z930" s="306" t="s">
        <v>3423</v>
      </c>
      <c r="AA930" s="306">
        <v>1.012999982E9</v>
      </c>
      <c r="AB930" s="306">
        <v>30.26</v>
      </c>
      <c r="AC930" s="306"/>
      <c r="AD930" s="306"/>
      <c r="AE930" s="298"/>
      <c r="AF930" s="298"/>
      <c r="AG930" s="299"/>
      <c r="AH930" s="300">
        <v>43885.0</v>
      </c>
      <c r="AI930" s="299"/>
      <c r="AJ930" s="299"/>
      <c r="AK930" s="298" t="s">
        <v>50</v>
      </c>
      <c r="AL930" s="298" t="s">
        <v>285</v>
      </c>
      <c r="AM930" s="298" t="s">
        <v>286</v>
      </c>
      <c r="AN930" s="298" t="s">
        <v>52</v>
      </c>
      <c r="AO930" s="298" t="s">
        <v>1371</v>
      </c>
    </row>
    <row r="931" ht="15.75" customHeight="1">
      <c r="A931" s="69">
        <v>43794.0</v>
      </c>
      <c r="B931" s="147" t="s">
        <v>101</v>
      </c>
      <c r="C931" s="21" t="s">
        <v>1928</v>
      </c>
      <c r="D931" s="71" t="s">
        <v>1929</v>
      </c>
      <c r="E931" s="23" t="s">
        <v>1587</v>
      </c>
      <c r="F931" s="24">
        <v>8.0</v>
      </c>
      <c r="G931" s="436">
        <v>60.0</v>
      </c>
      <c r="H931" s="60">
        <f t="shared" si="139"/>
        <v>480</v>
      </c>
      <c r="I931" s="61" t="s">
        <v>171</v>
      </c>
      <c r="J931" s="50" t="s">
        <v>534</v>
      </c>
      <c r="K931" s="29">
        <v>43829.0</v>
      </c>
      <c r="L931" s="29">
        <v>43798.0</v>
      </c>
      <c r="M931" s="298" t="s">
        <v>179</v>
      </c>
      <c r="N931" s="93"/>
      <c r="O931" s="408"/>
      <c r="P931" s="408"/>
      <c r="Q931" s="742">
        <f t="shared" si="138"/>
        <v>0</v>
      </c>
      <c r="R931" s="743"/>
      <c r="S931" s="720">
        <v>10387.0</v>
      </c>
      <c r="T931" s="408"/>
      <c r="U931" s="306"/>
      <c r="V931" s="306"/>
      <c r="W931" s="306"/>
      <c r="X931" s="306"/>
      <c r="Y931" s="306"/>
      <c r="Z931" s="306" t="s">
        <v>3423</v>
      </c>
      <c r="AA931" s="306">
        <v>1.012999982E9</v>
      </c>
      <c r="AB931" s="306">
        <v>30.26</v>
      </c>
      <c r="AC931" s="306"/>
      <c r="AD931" s="306"/>
      <c r="AE931" s="298"/>
      <c r="AF931" s="298"/>
      <c r="AG931" s="299"/>
      <c r="AH931" s="300">
        <v>43885.0</v>
      </c>
      <c r="AI931" s="299"/>
      <c r="AJ931" s="299"/>
      <c r="AK931" s="298" t="s">
        <v>50</v>
      </c>
      <c r="AL931" s="298" t="s">
        <v>285</v>
      </c>
      <c r="AM931" s="298" t="s">
        <v>286</v>
      </c>
      <c r="AN931" s="298" t="s">
        <v>52</v>
      </c>
      <c r="AO931" s="298" t="s">
        <v>1371</v>
      </c>
    </row>
    <row r="932" ht="15.75" customHeight="1">
      <c r="A932" s="69">
        <v>43794.0</v>
      </c>
      <c r="B932" s="144" t="s">
        <v>101</v>
      </c>
      <c r="C932" s="21" t="s">
        <v>1928</v>
      </c>
      <c r="D932" s="71" t="s">
        <v>1929</v>
      </c>
      <c r="E932" s="23" t="s">
        <v>1590</v>
      </c>
      <c r="F932" s="24">
        <v>8.0</v>
      </c>
      <c r="G932" s="436">
        <v>47.0</v>
      </c>
      <c r="H932" s="60">
        <f t="shared" si="139"/>
        <v>376</v>
      </c>
      <c r="I932" s="61" t="s">
        <v>171</v>
      </c>
      <c r="J932" s="50" t="s">
        <v>534</v>
      </c>
      <c r="K932" s="29">
        <v>43829.0</v>
      </c>
      <c r="L932" s="30">
        <v>43817.0</v>
      </c>
      <c r="M932" s="50" t="s">
        <v>2272</v>
      </c>
      <c r="N932" s="93" t="s">
        <v>3424</v>
      </c>
      <c r="O932" s="408"/>
      <c r="P932" s="408">
        <v>35.0</v>
      </c>
      <c r="Q932" s="742">
        <f t="shared" si="138"/>
        <v>294</v>
      </c>
      <c r="R932" s="743">
        <v>1059.205</v>
      </c>
      <c r="S932" s="720">
        <v>8897.0</v>
      </c>
      <c r="T932" s="408"/>
      <c r="U932" s="306"/>
      <c r="V932" s="306"/>
      <c r="W932" s="306"/>
      <c r="X932" s="306"/>
      <c r="Y932" s="306"/>
      <c r="Z932" s="306" t="s">
        <v>3423</v>
      </c>
      <c r="AA932" s="306">
        <v>1.012999982E9</v>
      </c>
      <c r="AB932" s="306">
        <v>30.26</v>
      </c>
      <c r="AC932" s="306"/>
      <c r="AD932" s="306"/>
      <c r="AE932" s="298"/>
      <c r="AF932" s="298"/>
      <c r="AG932" s="299"/>
      <c r="AH932" s="300">
        <v>43885.0</v>
      </c>
      <c r="AI932" s="299"/>
      <c r="AJ932" s="299"/>
      <c r="AK932" s="298" t="s">
        <v>50</v>
      </c>
      <c r="AL932" s="298" t="s">
        <v>285</v>
      </c>
      <c r="AM932" s="298" t="s">
        <v>286</v>
      </c>
      <c r="AN932" s="298" t="s">
        <v>52</v>
      </c>
      <c r="AO932" s="298" t="s">
        <v>1371</v>
      </c>
    </row>
    <row r="933" ht="15.75" customHeight="1">
      <c r="A933" s="69">
        <v>43794.0</v>
      </c>
      <c r="B933" s="144" t="s">
        <v>101</v>
      </c>
      <c r="C933" s="21" t="s">
        <v>1928</v>
      </c>
      <c r="D933" s="71" t="s">
        <v>1929</v>
      </c>
      <c r="E933" s="23" t="s">
        <v>1930</v>
      </c>
      <c r="F933" s="24">
        <v>1.0</v>
      </c>
      <c r="G933" s="48">
        <v>8.0</v>
      </c>
      <c r="H933" s="60">
        <v>8.0</v>
      </c>
      <c r="I933" s="61" t="s">
        <v>171</v>
      </c>
      <c r="J933" s="50" t="s">
        <v>534</v>
      </c>
      <c r="K933" s="29">
        <v>43829.0</v>
      </c>
      <c r="L933" s="29">
        <v>43803.0</v>
      </c>
      <c r="M933" s="50" t="s">
        <v>3425</v>
      </c>
      <c r="N933" s="93"/>
      <c r="O933" s="408"/>
      <c r="P933" s="408"/>
      <c r="Q933" s="742"/>
      <c r="R933" s="743"/>
      <c r="S933" s="720">
        <v>126.0</v>
      </c>
      <c r="T933" s="408"/>
      <c r="U933" s="306"/>
      <c r="V933" s="306"/>
      <c r="W933" s="306"/>
      <c r="X933" s="306"/>
      <c r="Y933" s="306"/>
      <c r="Z933" s="306" t="s">
        <v>3423</v>
      </c>
      <c r="AA933" s="306">
        <v>1.012999982E9</v>
      </c>
      <c r="AB933" s="306">
        <v>30.26</v>
      </c>
      <c r="AC933" s="306"/>
      <c r="AD933" s="306"/>
      <c r="AE933" s="298"/>
      <c r="AF933" s="298"/>
      <c r="AG933" s="299"/>
      <c r="AH933" s="300">
        <v>43885.0</v>
      </c>
      <c r="AI933" s="299"/>
      <c r="AJ933" s="299"/>
      <c r="AK933" s="298" t="s">
        <v>50</v>
      </c>
      <c r="AL933" s="298" t="s">
        <v>285</v>
      </c>
      <c r="AM933" s="298" t="s">
        <v>286</v>
      </c>
      <c r="AN933" s="298" t="s">
        <v>52</v>
      </c>
      <c r="AO933" s="298" t="s">
        <v>1371</v>
      </c>
    </row>
    <row r="934" ht="15.75" customHeight="1">
      <c r="A934" s="69">
        <v>43795.0</v>
      </c>
      <c r="B934" s="144" t="s">
        <v>101</v>
      </c>
      <c r="C934" s="21" t="s">
        <v>1928</v>
      </c>
      <c r="D934" s="71" t="s">
        <v>1929</v>
      </c>
      <c r="E934" s="23" t="s">
        <v>1931</v>
      </c>
      <c r="F934" s="24">
        <v>8.0</v>
      </c>
      <c r="G934" s="436">
        <v>669.0</v>
      </c>
      <c r="H934" s="60">
        <f t="shared" ref="H934:H935" si="141">G934*F934</f>
        <v>5352</v>
      </c>
      <c r="I934" s="61" t="s">
        <v>171</v>
      </c>
      <c r="J934" s="50" t="s">
        <v>534</v>
      </c>
      <c r="K934" s="29">
        <v>43829.0</v>
      </c>
      <c r="L934" s="30">
        <v>43829.0</v>
      </c>
      <c r="M934" s="298" t="s">
        <v>3116</v>
      </c>
      <c r="N934" s="93"/>
      <c r="O934" s="408"/>
      <c r="P934" s="408"/>
      <c r="Q934" s="742">
        <f>(P934*F934)*1.05</f>
        <v>0</v>
      </c>
      <c r="R934" s="743"/>
      <c r="S934" s="720">
        <v>134190.0</v>
      </c>
      <c r="T934" s="408"/>
      <c r="U934" s="306"/>
      <c r="V934" s="306"/>
      <c r="W934" s="306"/>
      <c r="X934" s="306"/>
      <c r="Y934" s="306"/>
      <c r="Z934" s="306" t="s">
        <v>3423</v>
      </c>
      <c r="AA934" s="306">
        <v>1.012999982E9</v>
      </c>
      <c r="AB934" s="306">
        <v>30.26</v>
      </c>
      <c r="AC934" s="306"/>
      <c r="AD934" s="306"/>
      <c r="AE934" s="298"/>
      <c r="AF934" s="298"/>
      <c r="AG934" s="299"/>
      <c r="AH934" s="300">
        <v>43885.0</v>
      </c>
      <c r="AI934" s="299"/>
      <c r="AJ934" s="299"/>
      <c r="AK934" s="298" t="s">
        <v>50</v>
      </c>
      <c r="AL934" s="298" t="s">
        <v>285</v>
      </c>
      <c r="AM934" s="298" t="s">
        <v>286</v>
      </c>
      <c r="AN934" s="298" t="s">
        <v>52</v>
      </c>
      <c r="AO934" s="298" t="s">
        <v>1371</v>
      </c>
    </row>
    <row r="935" ht="15.75" customHeight="1">
      <c r="A935" s="69">
        <v>43797.0</v>
      </c>
      <c r="B935" s="70" t="s">
        <v>378</v>
      </c>
      <c r="C935" s="92"/>
      <c r="D935" s="71" t="s">
        <v>1932</v>
      </c>
      <c r="E935" s="23" t="s">
        <v>1933</v>
      </c>
      <c r="F935" s="24">
        <v>1.0</v>
      </c>
      <c r="G935" s="48">
        <v>20.0</v>
      </c>
      <c r="H935" s="60">
        <f t="shared" si="141"/>
        <v>20</v>
      </c>
      <c r="I935" s="61" t="s">
        <v>144</v>
      </c>
      <c r="J935" s="58" t="s">
        <v>1122</v>
      </c>
      <c r="K935" s="30">
        <v>43797.0</v>
      </c>
      <c r="L935" s="537"/>
      <c r="M935" s="50"/>
      <c r="N935" s="93"/>
      <c r="O935" s="408"/>
      <c r="P935" s="408"/>
      <c r="Q935" s="742"/>
      <c r="R935" s="743"/>
      <c r="S935" s="720">
        <v>0.0</v>
      </c>
      <c r="T935" s="408"/>
      <c r="U935" s="306"/>
      <c r="V935" s="306"/>
      <c r="W935" s="306"/>
      <c r="X935" s="306"/>
      <c r="Y935" s="306"/>
      <c r="Z935" s="306"/>
      <c r="AA935" s="306"/>
      <c r="AB935" s="306"/>
      <c r="AC935" s="306"/>
      <c r="AD935" s="306"/>
      <c r="AE935" s="298"/>
      <c r="AF935" s="298"/>
      <c r="AG935" s="299"/>
      <c r="AH935" s="300">
        <v>43837.0</v>
      </c>
      <c r="AI935" s="299" t="s">
        <v>2937</v>
      </c>
      <c r="AJ935" s="299" t="s">
        <v>2938</v>
      </c>
      <c r="AK935" s="298" t="s">
        <v>50</v>
      </c>
      <c r="AL935" s="298" t="s">
        <v>285</v>
      </c>
      <c r="AM935" s="298" t="s">
        <v>51</v>
      </c>
      <c r="AN935" s="298" t="s">
        <v>52</v>
      </c>
      <c r="AO935" s="298" t="s">
        <v>1371</v>
      </c>
    </row>
    <row r="936" ht="15.75" customHeight="1">
      <c r="A936" s="110">
        <v>43798.0</v>
      </c>
      <c r="B936" s="21" t="s">
        <v>119</v>
      </c>
      <c r="C936" s="92"/>
      <c r="D936" s="21" t="s">
        <v>1934</v>
      </c>
      <c r="E936" s="23" t="s">
        <v>1859</v>
      </c>
      <c r="F936" s="24">
        <v>1.0</v>
      </c>
      <c r="G936" s="48">
        <v>25.0</v>
      </c>
      <c r="H936" s="81">
        <v>25.0</v>
      </c>
      <c r="I936" s="61" t="s">
        <v>87</v>
      </c>
      <c r="J936" s="50" t="s">
        <v>513</v>
      </c>
      <c r="K936" s="300">
        <v>43803.0</v>
      </c>
      <c r="L936" s="300">
        <v>43802.0</v>
      </c>
      <c r="M936" s="50" t="s">
        <v>259</v>
      </c>
      <c r="N936" s="93"/>
      <c r="O936" s="408"/>
      <c r="P936" s="408"/>
      <c r="Q936" s="742"/>
      <c r="R936" s="741" t="s">
        <v>0</v>
      </c>
      <c r="S936" s="720">
        <v>355.0</v>
      </c>
      <c r="T936" s="408"/>
      <c r="U936" s="306"/>
      <c r="V936" s="306"/>
      <c r="W936" s="306"/>
      <c r="X936" s="306"/>
      <c r="Y936" s="306"/>
      <c r="Z936" s="306"/>
      <c r="AA936" s="306"/>
      <c r="AB936" s="537"/>
      <c r="AC936" s="306"/>
      <c r="AD936" s="306"/>
      <c r="AE936" s="298"/>
      <c r="AF936" s="298"/>
      <c r="AG936" s="299"/>
      <c r="AH936" s="539"/>
      <c r="AI936" s="299"/>
      <c r="AJ936" s="299"/>
      <c r="AK936" s="298"/>
      <c r="AL936" s="298" t="s">
        <v>285</v>
      </c>
      <c r="AM936" s="298" t="s">
        <v>51</v>
      </c>
      <c r="AN936" s="298" t="s">
        <v>52</v>
      </c>
      <c r="AO936" s="298" t="s">
        <v>1371</v>
      </c>
    </row>
    <row r="937" ht="15.75" customHeight="1">
      <c r="A937" s="110">
        <v>43798.0</v>
      </c>
      <c r="B937" s="21" t="s">
        <v>119</v>
      </c>
      <c r="C937" s="92"/>
      <c r="D937" s="71" t="s">
        <v>1934</v>
      </c>
      <c r="E937" s="23" t="s">
        <v>1935</v>
      </c>
      <c r="F937" s="24">
        <v>1.0</v>
      </c>
      <c r="G937" s="48">
        <v>15.0</v>
      </c>
      <c r="H937" s="81">
        <v>15.0</v>
      </c>
      <c r="I937" s="61" t="s">
        <v>87</v>
      </c>
      <c r="J937" s="50" t="s">
        <v>513</v>
      </c>
      <c r="K937" s="300">
        <v>43803.0</v>
      </c>
      <c r="L937" s="300"/>
      <c r="M937" s="50" t="s">
        <v>263</v>
      </c>
      <c r="N937" s="93"/>
      <c r="O937" s="408"/>
      <c r="P937" s="408"/>
      <c r="Q937" s="742"/>
      <c r="R937" s="743"/>
      <c r="S937" s="720">
        <v>0.0</v>
      </c>
      <c r="T937" s="503"/>
      <c r="U937" s="306"/>
      <c r="V937" s="306"/>
      <c r="W937" s="306"/>
      <c r="X937" s="306"/>
      <c r="Y937" s="306"/>
      <c r="Z937" s="306"/>
      <c r="AA937" s="306">
        <v>7.983139312E9</v>
      </c>
      <c r="AB937" s="306"/>
      <c r="AC937" s="306"/>
      <c r="AD937" s="306"/>
      <c r="AE937" s="298"/>
      <c r="AF937" s="298"/>
      <c r="AG937" s="299"/>
      <c r="AH937" s="539"/>
      <c r="AI937" s="299"/>
      <c r="AJ937" s="299"/>
      <c r="AK937" s="298"/>
      <c r="AL937" s="298" t="s">
        <v>285</v>
      </c>
      <c r="AM937" s="298" t="s">
        <v>51</v>
      </c>
      <c r="AN937" s="298" t="s">
        <v>52</v>
      </c>
      <c r="AO937" s="298" t="s">
        <v>1371</v>
      </c>
    </row>
    <row r="938" ht="15.75" customHeight="1">
      <c r="A938" s="69">
        <v>43801.0</v>
      </c>
      <c r="B938" s="70" t="s">
        <v>250</v>
      </c>
      <c r="C938" s="92"/>
      <c r="D938" s="71" t="s">
        <v>1936</v>
      </c>
      <c r="E938" s="23" t="s">
        <v>1937</v>
      </c>
      <c r="F938" s="24">
        <v>1.0</v>
      </c>
      <c r="G938" s="48">
        <v>0.0</v>
      </c>
      <c r="H938" s="60">
        <v>0.0</v>
      </c>
      <c r="I938" s="61" t="s">
        <v>171</v>
      </c>
      <c r="J938" s="63"/>
      <c r="K938" s="29">
        <v>43801.0</v>
      </c>
      <c r="L938" s="146"/>
      <c r="M938" s="63"/>
      <c r="N938" s="64"/>
      <c r="O938" s="408"/>
      <c r="P938" s="34"/>
      <c r="Q938" s="217"/>
      <c r="R938" s="218"/>
      <c r="S938" s="219"/>
      <c r="T938" s="66"/>
      <c r="U938" s="52"/>
      <c r="V938" s="53"/>
      <c r="W938" s="53"/>
      <c r="X938" s="53"/>
      <c r="Y938" s="53"/>
      <c r="Z938" s="53" t="s">
        <v>3426</v>
      </c>
      <c r="AA938" s="53">
        <v>3.282759642E9</v>
      </c>
      <c r="AB938" s="53">
        <v>30.45</v>
      </c>
      <c r="AC938" s="53"/>
      <c r="AD938" s="53"/>
      <c r="AE938" s="54"/>
      <c r="AF938" s="54"/>
      <c r="AG938" s="55"/>
      <c r="AH938" s="68"/>
      <c r="AI938" s="55"/>
      <c r="AJ938" s="55"/>
      <c r="AK938" s="54"/>
      <c r="AL938" s="54" t="s">
        <v>1631</v>
      </c>
      <c r="AM938" s="54"/>
      <c r="AN938" s="54"/>
      <c r="AO938" s="57"/>
    </row>
    <row r="939" ht="15.75" customHeight="1">
      <c r="A939" s="69">
        <v>43801.0</v>
      </c>
      <c r="B939" s="70" t="s">
        <v>250</v>
      </c>
      <c r="C939" s="128"/>
      <c r="D939" s="71" t="s">
        <v>1936</v>
      </c>
      <c r="E939" s="572" t="s">
        <v>1938</v>
      </c>
      <c r="F939" s="130">
        <v>1.0</v>
      </c>
      <c r="G939" s="25">
        <v>0.0</v>
      </c>
      <c r="H939" s="60">
        <v>0.0</v>
      </c>
      <c r="I939" s="61" t="s">
        <v>171</v>
      </c>
      <c r="J939" s="63"/>
      <c r="K939" s="29">
        <v>43801.0</v>
      </c>
      <c r="L939" s="146"/>
      <c r="M939" s="63"/>
      <c r="N939" s="64"/>
      <c r="O939" s="408"/>
      <c r="P939" s="142"/>
      <c r="Q939" s="748"/>
      <c r="R939" s="218"/>
      <c r="S939" s="106"/>
      <c r="T939" s="76"/>
      <c r="U939" s="52"/>
      <c r="V939" s="53"/>
      <c r="W939" s="53"/>
      <c r="X939" s="53"/>
      <c r="Y939" s="53"/>
      <c r="Z939" s="53" t="s">
        <v>3426</v>
      </c>
      <c r="AA939" s="53">
        <v>3.282759642E9</v>
      </c>
      <c r="AB939" s="53">
        <v>30.45</v>
      </c>
      <c r="AC939" s="53"/>
      <c r="AD939" s="53"/>
      <c r="AE939" s="54"/>
      <c r="AF939" s="54"/>
      <c r="AG939" s="55"/>
      <c r="AH939" s="68"/>
      <c r="AI939" s="55"/>
      <c r="AJ939" s="55"/>
      <c r="AK939" s="54"/>
      <c r="AL939" s="54" t="s">
        <v>1631</v>
      </c>
      <c r="AM939" s="54"/>
      <c r="AN939" s="57"/>
      <c r="AO939" s="57"/>
    </row>
    <row r="940" ht="15.75" customHeight="1">
      <c r="A940" s="69">
        <v>43801.0</v>
      </c>
      <c r="B940" s="70" t="s">
        <v>250</v>
      </c>
      <c r="C940" s="92"/>
      <c r="D940" s="71" t="s">
        <v>1936</v>
      </c>
      <c r="E940" s="572" t="s">
        <v>1939</v>
      </c>
      <c r="F940" s="24">
        <v>1.0</v>
      </c>
      <c r="G940" s="48">
        <v>0.0</v>
      </c>
      <c r="H940" s="470">
        <v>0.0</v>
      </c>
      <c r="I940" s="61" t="s">
        <v>171</v>
      </c>
      <c r="J940" s="63"/>
      <c r="K940" s="29">
        <v>43801.0</v>
      </c>
      <c r="L940" s="146"/>
      <c r="M940" s="63"/>
      <c r="N940" s="64"/>
      <c r="O940" s="408"/>
      <c r="P940" s="34"/>
      <c r="Q940" s="217"/>
      <c r="R940" s="218"/>
      <c r="S940" s="219"/>
      <c r="T940" s="66"/>
      <c r="U940" s="52"/>
      <c r="V940" s="53"/>
      <c r="W940" s="53"/>
      <c r="X940" s="53"/>
      <c r="Y940" s="53"/>
      <c r="Z940" s="53" t="s">
        <v>3426</v>
      </c>
      <c r="AA940" s="53">
        <v>3.282759642E9</v>
      </c>
      <c r="AB940" s="53">
        <v>30.45</v>
      </c>
      <c r="AC940" s="53"/>
      <c r="AD940" s="53"/>
      <c r="AE940" s="54"/>
      <c r="AF940" s="54"/>
      <c r="AG940" s="55"/>
      <c r="AH940" s="68"/>
      <c r="AI940" s="55"/>
      <c r="AJ940" s="55"/>
      <c r="AK940" s="54"/>
      <c r="AL940" s="54" t="s">
        <v>1631</v>
      </c>
      <c r="AM940" s="54"/>
      <c r="AN940" s="54"/>
      <c r="AO940" s="57"/>
    </row>
    <row r="941" ht="15.75" customHeight="1">
      <c r="A941" s="69">
        <v>43801.0</v>
      </c>
      <c r="B941" s="70" t="s">
        <v>250</v>
      </c>
      <c r="C941" s="92"/>
      <c r="D941" s="71" t="s">
        <v>1936</v>
      </c>
      <c r="E941" s="23" t="s">
        <v>1940</v>
      </c>
      <c r="F941" s="24">
        <v>1.0</v>
      </c>
      <c r="G941" s="48">
        <v>0.0</v>
      </c>
      <c r="H941" s="470">
        <v>0.0</v>
      </c>
      <c r="I941" s="61" t="s">
        <v>171</v>
      </c>
      <c r="J941" s="63"/>
      <c r="K941" s="29">
        <v>43801.0</v>
      </c>
      <c r="L941" s="146"/>
      <c r="M941" s="63"/>
      <c r="N941" s="64"/>
      <c r="O941" s="408"/>
      <c r="P941" s="34"/>
      <c r="Q941" s="217"/>
      <c r="R941" s="218"/>
      <c r="S941" s="219"/>
      <c r="T941" s="66"/>
      <c r="U941" s="52"/>
      <c r="V941" s="53"/>
      <c r="W941" s="53"/>
      <c r="X941" s="53"/>
      <c r="Y941" s="53"/>
      <c r="Z941" s="53" t="s">
        <v>3426</v>
      </c>
      <c r="AA941" s="53">
        <v>3.282759642E9</v>
      </c>
      <c r="AB941" s="53">
        <v>30.45</v>
      </c>
      <c r="AC941" s="53"/>
      <c r="AD941" s="53"/>
      <c r="AE941" s="54"/>
      <c r="AF941" s="54"/>
      <c r="AG941" s="55"/>
      <c r="AH941" s="68"/>
      <c r="AI941" s="55"/>
      <c r="AJ941" s="55"/>
      <c r="AK941" s="54"/>
      <c r="AL941" s="54" t="s">
        <v>1631</v>
      </c>
      <c r="AM941" s="54"/>
      <c r="AN941" s="54"/>
      <c r="AO941" s="57"/>
    </row>
    <row r="942" ht="15.75" customHeight="1">
      <c r="A942" s="69">
        <v>43802.0</v>
      </c>
      <c r="B942" s="32" t="s">
        <v>77</v>
      </c>
      <c r="C942" s="21">
        <v>913.0</v>
      </c>
      <c r="D942" s="32" t="s">
        <v>181</v>
      </c>
      <c r="E942" s="23" t="s">
        <v>589</v>
      </c>
      <c r="F942" s="130">
        <v>1.0</v>
      </c>
      <c r="G942" s="25">
        <v>77.0</v>
      </c>
      <c r="H942" s="26">
        <f t="shared" ref="H942:H944" si="142">G942*F942</f>
        <v>77</v>
      </c>
      <c r="I942" s="61" t="s">
        <v>43</v>
      </c>
      <c r="J942" s="58" t="s">
        <v>1924</v>
      </c>
      <c r="K942" s="30">
        <v>43816.0</v>
      </c>
      <c r="L942" s="30">
        <v>43812.0</v>
      </c>
      <c r="M942" s="50" t="s">
        <v>1537</v>
      </c>
      <c r="N942" s="93" t="s">
        <v>3427</v>
      </c>
      <c r="O942" s="408"/>
      <c r="P942" s="740"/>
      <c r="Q942" s="749"/>
      <c r="R942" s="741">
        <v>1000.0</v>
      </c>
      <c r="S942" s="720">
        <f>(R942*F942)*1.05</f>
        <v>1050</v>
      </c>
      <c r="T942" s="408"/>
      <c r="U942" s="306"/>
      <c r="V942" s="306"/>
      <c r="W942" s="306"/>
      <c r="X942" s="306"/>
      <c r="Y942" s="306"/>
      <c r="Z942" s="306" t="s">
        <v>3418</v>
      </c>
      <c r="AA942" s="306">
        <v>7.367469222E9</v>
      </c>
      <c r="AB942" s="306">
        <v>30.42</v>
      </c>
      <c r="AC942" s="306"/>
      <c r="AD942" s="306"/>
      <c r="AE942" s="298"/>
      <c r="AF942" s="298"/>
      <c r="AG942" s="299"/>
      <c r="AH942" s="300">
        <v>43850.0</v>
      </c>
      <c r="AI942" s="299" t="s">
        <v>3420</v>
      </c>
      <c r="AJ942" s="299" t="s">
        <v>3421</v>
      </c>
      <c r="AK942" s="298" t="s">
        <v>50</v>
      </c>
      <c r="AL942" s="298" t="s">
        <v>285</v>
      </c>
      <c r="AM942" s="298" t="s">
        <v>51</v>
      </c>
      <c r="AN942" s="234" t="s">
        <v>52</v>
      </c>
      <c r="AO942" s="298" t="s">
        <v>1371</v>
      </c>
    </row>
    <row r="943" ht="15.75" customHeight="1">
      <c r="A943" s="69">
        <v>43804.0</v>
      </c>
      <c r="B943" s="70" t="s">
        <v>223</v>
      </c>
      <c r="C943" s="21" t="s">
        <v>1941</v>
      </c>
      <c r="D943" s="111" t="s">
        <v>1942</v>
      </c>
      <c r="E943" s="23" t="s">
        <v>1943</v>
      </c>
      <c r="F943" s="24">
        <v>4.0</v>
      </c>
      <c r="G943" s="48">
        <f>31*1.05</f>
        <v>32.55</v>
      </c>
      <c r="H943" s="60">
        <f t="shared" si="142"/>
        <v>130.2</v>
      </c>
      <c r="I943" s="132" t="s">
        <v>87</v>
      </c>
      <c r="J943" s="50" t="s">
        <v>90</v>
      </c>
      <c r="K943" s="30">
        <v>43818.0</v>
      </c>
      <c r="L943" s="30">
        <v>43818.0</v>
      </c>
      <c r="M943" s="58" t="s">
        <v>90</v>
      </c>
      <c r="N943" s="93" t="s">
        <v>3428</v>
      </c>
      <c r="O943" s="408"/>
      <c r="P943" s="408">
        <v>28.0</v>
      </c>
      <c r="Q943" s="306">
        <f t="shared" ref="Q943:Q950" si="143">(P943*F943)*1.05</f>
        <v>117.6</v>
      </c>
      <c r="R943" s="728"/>
      <c r="S943" s="728">
        <f>Q943*30.42</f>
        <v>3577.392</v>
      </c>
      <c r="T943" s="51" t="s">
        <v>94</v>
      </c>
      <c r="U943" s="306"/>
      <c r="V943" s="306"/>
      <c r="W943" s="306"/>
      <c r="X943" s="306"/>
      <c r="Y943" s="306"/>
      <c r="Z943" s="306" t="s">
        <v>3429</v>
      </c>
      <c r="AA943" s="306" t="s">
        <v>3430</v>
      </c>
      <c r="AB943" s="306">
        <v>30.24</v>
      </c>
      <c r="AC943" s="306">
        <v>3937.0</v>
      </c>
      <c r="AD943" s="29">
        <v>43818.0</v>
      </c>
      <c r="AE943" s="298"/>
      <c r="AF943" s="299"/>
      <c r="AG943" s="539"/>
      <c r="AH943" s="300">
        <v>43838.0</v>
      </c>
      <c r="AI943" s="299" t="s">
        <v>3431</v>
      </c>
      <c r="AJ943" s="298" t="s">
        <v>3432</v>
      </c>
      <c r="AK943" s="298" t="s">
        <v>50</v>
      </c>
      <c r="AL943" s="298" t="s">
        <v>285</v>
      </c>
      <c r="AM943" s="298" t="s">
        <v>51</v>
      </c>
      <c r="AN943" s="234" t="s">
        <v>377</v>
      </c>
      <c r="AO943" s="298" t="s">
        <v>1371</v>
      </c>
    </row>
    <row r="944" ht="15.75" customHeight="1">
      <c r="A944" s="69">
        <v>43804.0</v>
      </c>
      <c r="B944" s="70" t="s">
        <v>223</v>
      </c>
      <c r="C944" s="21" t="s">
        <v>1941</v>
      </c>
      <c r="D944" s="111" t="s">
        <v>1942</v>
      </c>
      <c r="E944" s="23" t="s">
        <v>1944</v>
      </c>
      <c r="F944" s="24">
        <v>2.0</v>
      </c>
      <c r="G944" s="48">
        <v>519.75</v>
      </c>
      <c r="H944" s="60">
        <f t="shared" si="142"/>
        <v>1039.5</v>
      </c>
      <c r="I944" s="132" t="s">
        <v>87</v>
      </c>
      <c r="J944" s="50" t="s">
        <v>90</v>
      </c>
      <c r="K944" s="29">
        <v>43822.0</v>
      </c>
      <c r="L944" s="30">
        <v>43822.0</v>
      </c>
      <c r="M944" s="58" t="s">
        <v>3433</v>
      </c>
      <c r="N944" s="93" t="s">
        <v>3434</v>
      </c>
      <c r="O944" s="408"/>
      <c r="P944" s="408">
        <v>408.0</v>
      </c>
      <c r="Q944" s="306">
        <f t="shared" si="143"/>
        <v>856.8</v>
      </c>
      <c r="R944" s="728"/>
      <c r="S944" s="720">
        <v>25883.0</v>
      </c>
      <c r="T944" s="20" t="s">
        <v>3435</v>
      </c>
      <c r="U944" s="306"/>
      <c r="V944" s="306"/>
      <c r="W944" s="306"/>
      <c r="X944" s="306"/>
      <c r="Y944" s="306"/>
      <c r="Z944" s="306" t="s">
        <v>3436</v>
      </c>
      <c r="AA944" s="306" t="s">
        <v>3437</v>
      </c>
      <c r="AB944" s="306">
        <v>30.165</v>
      </c>
      <c r="AC944" s="306">
        <v>31357.0</v>
      </c>
      <c r="AD944" s="29">
        <v>43822.0</v>
      </c>
      <c r="AE944" s="298"/>
      <c r="AF944" s="299"/>
      <c r="AG944" s="539"/>
      <c r="AH944" s="300">
        <v>43838.0</v>
      </c>
      <c r="AI944" s="299" t="s">
        <v>3431</v>
      </c>
      <c r="AJ944" s="298" t="s">
        <v>3432</v>
      </c>
      <c r="AK944" s="298" t="s">
        <v>50</v>
      </c>
      <c r="AL944" s="298" t="s">
        <v>285</v>
      </c>
      <c r="AM944" s="298" t="s">
        <v>51</v>
      </c>
      <c r="AN944" s="234" t="s">
        <v>377</v>
      </c>
      <c r="AO944" s="298" t="s">
        <v>1371</v>
      </c>
    </row>
    <row r="945" ht="15.75" customHeight="1">
      <c r="A945" s="69">
        <v>43810.0</v>
      </c>
      <c r="B945" s="70" t="s">
        <v>1479</v>
      </c>
      <c r="C945" s="21" t="s">
        <v>1480</v>
      </c>
      <c r="D945" s="71" t="s">
        <v>1945</v>
      </c>
      <c r="E945" s="23" t="s">
        <v>1946</v>
      </c>
      <c r="F945" s="24">
        <v>1.0</v>
      </c>
      <c r="G945" s="48">
        <v>667.374</v>
      </c>
      <c r="H945" s="26">
        <v>667.37</v>
      </c>
      <c r="I945" s="61" t="s">
        <v>144</v>
      </c>
      <c r="J945" s="63" t="s">
        <v>1483</v>
      </c>
      <c r="K945" s="298" t="s">
        <v>3438</v>
      </c>
      <c r="L945" s="146"/>
      <c r="M945" s="63"/>
      <c r="N945" s="64"/>
      <c r="O945" s="408"/>
      <c r="P945" s="34"/>
      <c r="Q945" s="152">
        <f t="shared" si="143"/>
        <v>0</v>
      </c>
      <c r="R945" s="107"/>
      <c r="S945" s="106">
        <f t="shared" ref="S945:S946" si="144">(R945*F945)*1.05</f>
        <v>0</v>
      </c>
      <c r="T945" s="66"/>
      <c r="U945" s="52"/>
      <c r="V945" s="53"/>
      <c r="W945" s="53"/>
      <c r="X945" s="53"/>
      <c r="Y945" s="53"/>
      <c r="Z945" s="53" t="s">
        <v>3439</v>
      </c>
      <c r="AA945" s="53" t="s">
        <v>3440</v>
      </c>
      <c r="AB945" s="53"/>
      <c r="AC945" s="53">
        <v>65019.0</v>
      </c>
      <c r="AD945" s="53"/>
      <c r="AE945" s="54"/>
      <c r="AF945" s="54"/>
      <c r="AG945" s="55"/>
      <c r="AH945" s="68"/>
      <c r="AI945" s="55"/>
      <c r="AJ945" s="55"/>
      <c r="AK945" s="298" t="s">
        <v>50</v>
      </c>
      <c r="AL945" s="54" t="s">
        <v>285</v>
      </c>
      <c r="AM945" s="54"/>
      <c r="AN945" s="54"/>
      <c r="AO945" s="57"/>
    </row>
    <row r="946" ht="15.75" customHeight="1">
      <c r="A946" s="69">
        <v>43810.0</v>
      </c>
      <c r="B946" s="70" t="s">
        <v>1479</v>
      </c>
      <c r="C946" s="21" t="s">
        <v>1480</v>
      </c>
      <c r="D946" s="71" t="s">
        <v>1945</v>
      </c>
      <c r="E946" s="23" t="s">
        <v>1947</v>
      </c>
      <c r="F946" s="24">
        <v>1.0</v>
      </c>
      <c r="G946" s="48">
        <v>1283.82</v>
      </c>
      <c r="H946" s="26">
        <v>1283.82</v>
      </c>
      <c r="I946" s="61" t="s">
        <v>144</v>
      </c>
      <c r="J946" s="63" t="s">
        <v>1483</v>
      </c>
      <c r="K946" s="298" t="s">
        <v>3438</v>
      </c>
      <c r="L946" s="146"/>
      <c r="M946" s="63"/>
      <c r="N946" s="64"/>
      <c r="O946" s="408"/>
      <c r="P946" s="34"/>
      <c r="Q946" s="217">
        <f t="shared" si="143"/>
        <v>0</v>
      </c>
      <c r="R946" s="218"/>
      <c r="S946" s="219">
        <f t="shared" si="144"/>
        <v>0</v>
      </c>
      <c r="T946" s="66"/>
      <c r="U946" s="52"/>
      <c r="V946" s="53"/>
      <c r="W946" s="53"/>
      <c r="X946" s="53"/>
      <c r="Y946" s="53"/>
      <c r="Z946" s="53" t="s">
        <v>3439</v>
      </c>
      <c r="AA946" s="53" t="s">
        <v>3440</v>
      </c>
      <c r="AB946" s="53"/>
      <c r="AC946" s="53" t="s">
        <v>3441</v>
      </c>
      <c r="AD946" s="53"/>
      <c r="AE946" s="54"/>
      <c r="AF946" s="54"/>
      <c r="AG946" s="55"/>
      <c r="AH946" s="68"/>
      <c r="AI946" s="55"/>
      <c r="AJ946" s="55"/>
      <c r="AK946" s="298" t="s">
        <v>50</v>
      </c>
      <c r="AL946" s="54" t="s">
        <v>285</v>
      </c>
      <c r="AM946" s="54"/>
      <c r="AN946" s="54"/>
      <c r="AO946" s="57"/>
    </row>
    <row r="947" ht="15.75" customHeight="1">
      <c r="A947" s="69">
        <v>43810.0</v>
      </c>
      <c r="B947" s="70" t="s">
        <v>223</v>
      </c>
      <c r="C947" s="21" t="s">
        <v>1948</v>
      </c>
      <c r="D947" s="112" t="s">
        <v>1949</v>
      </c>
      <c r="E947" s="23" t="s">
        <v>1950</v>
      </c>
      <c r="F947" s="24">
        <v>1.0</v>
      </c>
      <c r="G947" s="48">
        <v>97.65</v>
      </c>
      <c r="H947" s="60">
        <v>97.65</v>
      </c>
      <c r="I947" s="61" t="s">
        <v>87</v>
      </c>
      <c r="J947" s="50" t="s">
        <v>227</v>
      </c>
      <c r="K947" s="30">
        <v>43822.0</v>
      </c>
      <c r="L947" s="30">
        <v>43822.0</v>
      </c>
      <c r="M947" s="50" t="s">
        <v>90</v>
      </c>
      <c r="N947" s="408" t="s">
        <v>3442</v>
      </c>
      <c r="O947" s="408"/>
      <c r="P947" s="408">
        <v>85.0</v>
      </c>
      <c r="Q947" s="747">
        <f t="shared" si="143"/>
        <v>89.25</v>
      </c>
      <c r="R947" s="741"/>
      <c r="S947" s="728">
        <f>Q947*30.42</f>
        <v>2714.985</v>
      </c>
      <c r="T947" s="51" t="s">
        <v>94</v>
      </c>
      <c r="U947" s="306"/>
      <c r="V947" s="306"/>
      <c r="W947" s="306"/>
      <c r="X947" s="306"/>
      <c r="Y947" s="306"/>
      <c r="Z947" s="306" t="s">
        <v>3443</v>
      </c>
      <c r="AA947" s="306" t="s">
        <v>3444</v>
      </c>
      <c r="AB947" s="306">
        <v>30.18</v>
      </c>
      <c r="AC947" s="306">
        <v>2947.0</v>
      </c>
      <c r="AD947" s="305">
        <v>43823.0</v>
      </c>
      <c r="AE947" s="298"/>
      <c r="AF947" s="298"/>
      <c r="AG947" s="299"/>
      <c r="AH947" s="300">
        <v>43838.0</v>
      </c>
      <c r="AI947" s="299" t="s">
        <v>3431</v>
      </c>
      <c r="AJ947" s="298" t="s">
        <v>3432</v>
      </c>
      <c r="AK947" s="298" t="s">
        <v>50</v>
      </c>
      <c r="AL947" s="298" t="s">
        <v>285</v>
      </c>
      <c r="AM947" s="298" t="s">
        <v>51</v>
      </c>
      <c r="AN947" s="234" t="s">
        <v>377</v>
      </c>
      <c r="AO947" s="298" t="s">
        <v>1371</v>
      </c>
    </row>
    <row r="948" ht="15.75" customHeight="1">
      <c r="A948" s="69">
        <v>43812.0</v>
      </c>
      <c r="B948" s="70" t="s">
        <v>101</v>
      </c>
      <c r="C948" s="21" t="s">
        <v>1951</v>
      </c>
      <c r="D948" s="112" t="s">
        <v>1952</v>
      </c>
      <c r="E948" s="23" t="s">
        <v>3445</v>
      </c>
      <c r="F948" s="24">
        <v>3.0</v>
      </c>
      <c r="G948" s="48">
        <v>550.0</v>
      </c>
      <c r="H948" s="60">
        <f t="shared" ref="H948:H954" si="145">G948*F948</f>
        <v>1650</v>
      </c>
      <c r="I948" s="61" t="s">
        <v>87</v>
      </c>
      <c r="J948" s="50" t="s">
        <v>1056</v>
      </c>
      <c r="K948" s="29">
        <v>43829.0</v>
      </c>
      <c r="L948" s="30">
        <v>43824.0</v>
      </c>
      <c r="M948" s="58" t="s">
        <v>3446</v>
      </c>
      <c r="N948" s="32" t="s">
        <v>3447</v>
      </c>
      <c r="O948" s="408"/>
      <c r="P948" s="408">
        <v>495.0</v>
      </c>
      <c r="Q948" s="750">
        <f t="shared" si="143"/>
        <v>1559.25</v>
      </c>
      <c r="R948" s="741"/>
      <c r="S948" s="720">
        <v>47074.0</v>
      </c>
      <c r="T948" s="503"/>
      <c r="U948" s="306"/>
      <c r="V948" s="306"/>
      <c r="W948" s="306"/>
      <c r="X948" s="306"/>
      <c r="Y948" s="306"/>
      <c r="Z948" s="306" t="s">
        <v>3423</v>
      </c>
      <c r="AA948" s="306">
        <v>1.012999982E9</v>
      </c>
      <c r="AB948" s="306">
        <v>30.26</v>
      </c>
      <c r="AC948" s="306"/>
      <c r="AD948" s="306"/>
      <c r="AE948" s="298"/>
      <c r="AF948" s="298"/>
      <c r="AG948" s="299"/>
      <c r="AH948" s="300">
        <v>43885.0</v>
      </c>
      <c r="AI948" s="299"/>
      <c r="AJ948" s="299"/>
      <c r="AK948" s="298" t="s">
        <v>50</v>
      </c>
      <c r="AL948" s="298" t="s">
        <v>285</v>
      </c>
      <c r="AM948" s="298" t="s">
        <v>51</v>
      </c>
      <c r="AN948" s="234" t="s">
        <v>52</v>
      </c>
      <c r="AO948" s="298" t="s">
        <v>1371</v>
      </c>
    </row>
    <row r="949" ht="15.75" customHeight="1">
      <c r="A949" s="69">
        <v>43812.0</v>
      </c>
      <c r="B949" s="70" t="s">
        <v>101</v>
      </c>
      <c r="C949" s="21" t="s">
        <v>1951</v>
      </c>
      <c r="D949" s="112" t="s">
        <v>1952</v>
      </c>
      <c r="E949" s="23" t="s">
        <v>1954</v>
      </c>
      <c r="F949" s="24">
        <v>3.0</v>
      </c>
      <c r="G949" s="48">
        <v>352.0</v>
      </c>
      <c r="H949" s="60">
        <f t="shared" si="145"/>
        <v>1056</v>
      </c>
      <c r="I949" s="61" t="s">
        <v>87</v>
      </c>
      <c r="J949" s="50" t="s">
        <v>1056</v>
      </c>
      <c r="K949" s="29">
        <v>43829.0</v>
      </c>
      <c r="L949" s="30">
        <v>43825.0</v>
      </c>
      <c r="M949" s="58" t="s">
        <v>3448</v>
      </c>
      <c r="N949" s="93" t="s">
        <v>3449</v>
      </c>
      <c r="O949" s="408"/>
      <c r="P949" s="408">
        <v>285.0</v>
      </c>
      <c r="Q949" s="750">
        <f t="shared" si="143"/>
        <v>897.75</v>
      </c>
      <c r="R949" s="741">
        <f>P949*30.15</f>
        <v>8592.75</v>
      </c>
      <c r="S949" s="728">
        <f>(R949*F949)*1.05</f>
        <v>27067.1625</v>
      </c>
      <c r="T949" s="642" t="s">
        <v>3450</v>
      </c>
      <c r="U949" s="306"/>
      <c r="V949" s="306"/>
      <c r="W949" s="306"/>
      <c r="X949" s="306"/>
      <c r="Y949" s="306"/>
      <c r="Z949" s="306" t="s">
        <v>3423</v>
      </c>
      <c r="AA949" s="306">
        <v>1.012999982E9</v>
      </c>
      <c r="AB949" s="306">
        <v>30.26</v>
      </c>
      <c r="AC949" s="306"/>
      <c r="AD949" s="306"/>
      <c r="AE949" s="298"/>
      <c r="AF949" s="298"/>
      <c r="AG949" s="299"/>
      <c r="AH949" s="300">
        <v>43885.0</v>
      </c>
      <c r="AI949" s="299"/>
      <c r="AJ949" s="299"/>
      <c r="AK949" s="298" t="s">
        <v>50</v>
      </c>
      <c r="AL949" s="298" t="s">
        <v>285</v>
      </c>
      <c r="AM949" s="298" t="s">
        <v>51</v>
      </c>
      <c r="AN949" s="234" t="s">
        <v>52</v>
      </c>
      <c r="AO949" s="298" t="s">
        <v>1371</v>
      </c>
    </row>
    <row r="950" ht="15.75" customHeight="1">
      <c r="A950" s="69">
        <v>43812.0</v>
      </c>
      <c r="B950" s="70" t="s">
        <v>101</v>
      </c>
      <c r="C950" s="21" t="s">
        <v>1951</v>
      </c>
      <c r="D950" s="112" t="s">
        <v>1952</v>
      </c>
      <c r="E950" s="23" t="s">
        <v>1955</v>
      </c>
      <c r="F950" s="130">
        <v>3.0</v>
      </c>
      <c r="G950" s="25">
        <v>38.0</v>
      </c>
      <c r="H950" s="212">
        <f t="shared" si="145"/>
        <v>114</v>
      </c>
      <c r="I950" s="61" t="s">
        <v>87</v>
      </c>
      <c r="J950" s="50" t="s">
        <v>1056</v>
      </c>
      <c r="K950" s="29">
        <v>43829.0</v>
      </c>
      <c r="L950" s="29"/>
      <c r="M950" s="50" t="s">
        <v>179</v>
      </c>
      <c r="N950" s="93"/>
      <c r="O950" s="408"/>
      <c r="P950" s="408"/>
      <c r="Q950" s="408">
        <f t="shared" si="143"/>
        <v>0</v>
      </c>
      <c r="R950" s="408"/>
      <c r="S950" s="408">
        <v>2598.0</v>
      </c>
      <c r="T950" s="408"/>
      <c r="U950" s="306"/>
      <c r="V950" s="306"/>
      <c r="W950" s="306"/>
      <c r="X950" s="306"/>
      <c r="Y950" s="306"/>
      <c r="Z950" s="306" t="s">
        <v>3423</v>
      </c>
      <c r="AA950" s="306">
        <v>1.012999982E9</v>
      </c>
      <c r="AB950" s="306">
        <v>30.26</v>
      </c>
      <c r="AC950" s="306"/>
      <c r="AD950" s="306"/>
      <c r="AE950" s="298"/>
      <c r="AF950" s="298"/>
      <c r="AG950" s="299"/>
      <c r="AH950" s="300">
        <v>43885.0</v>
      </c>
      <c r="AI950" s="299"/>
      <c r="AJ950" s="299"/>
      <c r="AK950" s="298" t="s">
        <v>50</v>
      </c>
      <c r="AL950" s="298" t="s">
        <v>285</v>
      </c>
      <c r="AM950" s="298" t="s">
        <v>51</v>
      </c>
      <c r="AN950" s="234" t="s">
        <v>52</v>
      </c>
      <c r="AO950" s="298" t="s">
        <v>1371</v>
      </c>
    </row>
    <row r="951" ht="15.75" customHeight="1">
      <c r="A951" s="69">
        <v>43812.0</v>
      </c>
      <c r="B951" s="70" t="s">
        <v>101</v>
      </c>
      <c r="C951" s="70" t="s">
        <v>1951</v>
      </c>
      <c r="D951" s="112" t="s">
        <v>1952</v>
      </c>
      <c r="E951" s="23" t="s">
        <v>1956</v>
      </c>
      <c r="F951" s="421">
        <v>3.0</v>
      </c>
      <c r="G951" s="25">
        <v>15.0</v>
      </c>
      <c r="H951" s="60">
        <f t="shared" si="145"/>
        <v>45</v>
      </c>
      <c r="I951" s="61" t="s">
        <v>87</v>
      </c>
      <c r="J951" s="50" t="s">
        <v>1056</v>
      </c>
      <c r="K951" s="29">
        <v>43829.0</v>
      </c>
      <c r="L951" s="82" t="s">
        <v>3451</v>
      </c>
      <c r="M951" s="50" t="s">
        <v>3452</v>
      </c>
      <c r="N951" s="32"/>
      <c r="O951" s="408"/>
      <c r="P951" s="408"/>
      <c r="Q951" s="747"/>
      <c r="R951" s="741"/>
      <c r="S951" s="728">
        <v>476.0</v>
      </c>
      <c r="T951" s="503"/>
      <c r="U951" s="306"/>
      <c r="V951" s="306"/>
      <c r="W951" s="306"/>
      <c r="X951" s="306"/>
      <c r="Y951" s="306"/>
      <c r="Z951" s="306" t="s">
        <v>3423</v>
      </c>
      <c r="AA951" s="306">
        <v>1.012999982E9</v>
      </c>
      <c r="AB951" s="306">
        <v>30.26</v>
      </c>
      <c r="AC951" s="306"/>
      <c r="AD951" s="306"/>
      <c r="AE951" s="298"/>
      <c r="AF951" s="298"/>
      <c r="AG951" s="299"/>
      <c r="AH951" s="300">
        <v>43885.0</v>
      </c>
      <c r="AI951" s="299"/>
      <c r="AJ951" s="299"/>
      <c r="AK951" s="298" t="s">
        <v>50</v>
      </c>
      <c r="AL951" s="298" t="s">
        <v>285</v>
      </c>
      <c r="AM951" s="298" t="s">
        <v>51</v>
      </c>
      <c r="AN951" s="234" t="s">
        <v>52</v>
      </c>
      <c r="AO951" s="298" t="s">
        <v>1371</v>
      </c>
    </row>
    <row r="952" ht="15.75" customHeight="1">
      <c r="A952" s="69">
        <v>43812.0</v>
      </c>
      <c r="B952" s="70" t="s">
        <v>101</v>
      </c>
      <c r="C952" s="21" t="s">
        <v>1951</v>
      </c>
      <c r="D952" s="112" t="s">
        <v>1952</v>
      </c>
      <c r="E952" s="23" t="s">
        <v>1957</v>
      </c>
      <c r="F952" s="24">
        <v>3.0</v>
      </c>
      <c r="G952" s="48">
        <v>10.0</v>
      </c>
      <c r="H952" s="60">
        <f t="shared" si="145"/>
        <v>30</v>
      </c>
      <c r="I952" s="61" t="s">
        <v>87</v>
      </c>
      <c r="J952" s="50" t="s">
        <v>1056</v>
      </c>
      <c r="K952" s="29">
        <v>43829.0</v>
      </c>
      <c r="L952" s="29">
        <v>43823.0</v>
      </c>
      <c r="M952" s="50" t="s">
        <v>184</v>
      </c>
      <c r="N952" s="93" t="s">
        <v>3453</v>
      </c>
      <c r="O952" s="408"/>
      <c r="P952" s="408">
        <v>92.0</v>
      </c>
      <c r="Q952" s="747">
        <f>(P952*1)*1.05</f>
        <v>96.6</v>
      </c>
      <c r="R952" s="741"/>
      <c r="S952" s="720">
        <v>96.6</v>
      </c>
      <c r="T952" s="503"/>
      <c r="U952" s="306"/>
      <c r="V952" s="306"/>
      <c r="W952" s="306"/>
      <c r="X952" s="306"/>
      <c r="Y952" s="306"/>
      <c r="Z952" s="306" t="s">
        <v>3423</v>
      </c>
      <c r="AA952" s="306">
        <v>1.012999982E9</v>
      </c>
      <c r="AB952" s="306">
        <v>30.26</v>
      </c>
      <c r="AC952" s="306"/>
      <c r="AD952" s="306"/>
      <c r="AE952" s="298"/>
      <c r="AF952" s="298"/>
      <c r="AG952" s="299"/>
      <c r="AH952" s="300">
        <v>43885.0</v>
      </c>
      <c r="AI952" s="299"/>
      <c r="AJ952" s="299"/>
      <c r="AK952" s="298" t="s">
        <v>50</v>
      </c>
      <c r="AL952" s="298" t="s">
        <v>285</v>
      </c>
      <c r="AM952" s="298" t="s">
        <v>51</v>
      </c>
      <c r="AN952" s="234" t="s">
        <v>52</v>
      </c>
      <c r="AO952" s="298" t="s">
        <v>1371</v>
      </c>
    </row>
    <row r="953" ht="15.75" customHeight="1">
      <c r="A953" s="69">
        <v>43812.0</v>
      </c>
      <c r="B953" s="70" t="s">
        <v>101</v>
      </c>
      <c r="C953" s="21" t="s">
        <v>1951</v>
      </c>
      <c r="D953" s="112" t="s">
        <v>1952</v>
      </c>
      <c r="E953" s="23" t="s">
        <v>1958</v>
      </c>
      <c r="F953" s="24">
        <v>3.0</v>
      </c>
      <c r="G953" s="48">
        <v>79.0</v>
      </c>
      <c r="H953" s="60">
        <f t="shared" si="145"/>
        <v>237</v>
      </c>
      <c r="I953" s="61" t="s">
        <v>87</v>
      </c>
      <c r="J953" s="50" t="s">
        <v>1056</v>
      </c>
      <c r="K953" s="29">
        <v>43829.0</v>
      </c>
      <c r="L953" s="29">
        <v>43822.0</v>
      </c>
      <c r="M953" s="298" t="s">
        <v>3454</v>
      </c>
      <c r="N953" s="93" t="s">
        <v>3455</v>
      </c>
      <c r="O953" s="408"/>
      <c r="P953" s="408">
        <v>980.0</v>
      </c>
      <c r="Q953" s="751">
        <f t="shared" ref="Q953:Q954" si="146">(P953*F953)*1.05</f>
        <v>3087</v>
      </c>
      <c r="R953" s="741"/>
      <c r="S953" s="720">
        <v>3087.0</v>
      </c>
      <c r="T953" s="503"/>
      <c r="U953" s="306"/>
      <c r="V953" s="306"/>
      <c r="W953" s="306"/>
      <c r="X953" s="306"/>
      <c r="Y953" s="306"/>
      <c r="Z953" s="306" t="s">
        <v>3423</v>
      </c>
      <c r="AA953" s="306">
        <v>1.012999982E9</v>
      </c>
      <c r="AB953" s="306">
        <v>30.26</v>
      </c>
      <c r="AC953" s="306"/>
      <c r="AD953" s="306"/>
      <c r="AE953" s="298"/>
      <c r="AF953" s="298"/>
      <c r="AG953" s="299"/>
      <c r="AH953" s="300">
        <v>43885.0</v>
      </c>
      <c r="AI953" s="299"/>
      <c r="AJ953" s="299"/>
      <c r="AK953" s="298" t="s">
        <v>50</v>
      </c>
      <c r="AL953" s="298" t="s">
        <v>285</v>
      </c>
      <c r="AM953" s="298" t="s">
        <v>51</v>
      </c>
      <c r="AN953" s="234" t="s">
        <v>52</v>
      </c>
      <c r="AO953" s="298" t="s">
        <v>1371</v>
      </c>
    </row>
    <row r="954" ht="15.75" customHeight="1">
      <c r="A954" s="69">
        <v>43812.0</v>
      </c>
      <c r="B954" s="70" t="s">
        <v>101</v>
      </c>
      <c r="C954" s="21" t="s">
        <v>1951</v>
      </c>
      <c r="D954" s="112" t="s">
        <v>1952</v>
      </c>
      <c r="E954" s="23" t="s">
        <v>1959</v>
      </c>
      <c r="F954" s="24">
        <v>3.0</v>
      </c>
      <c r="G954" s="48">
        <v>58.0</v>
      </c>
      <c r="H954" s="60">
        <f t="shared" si="145"/>
        <v>174</v>
      </c>
      <c r="I954" s="61" t="s">
        <v>87</v>
      </c>
      <c r="J954" s="50" t="s">
        <v>1056</v>
      </c>
      <c r="K954" s="29">
        <v>43829.0</v>
      </c>
      <c r="L954" s="30">
        <v>43824.0</v>
      </c>
      <c r="M954" s="50" t="s">
        <v>3446</v>
      </c>
      <c r="N954" s="32" t="s">
        <v>3447</v>
      </c>
      <c r="O954" s="408"/>
      <c r="P954" s="408">
        <v>49.0</v>
      </c>
      <c r="Q954" s="747">
        <f t="shared" si="146"/>
        <v>154.35</v>
      </c>
      <c r="R954" s="741"/>
      <c r="S954" s="720">
        <v>4659.0</v>
      </c>
      <c r="T954" s="503"/>
      <c r="U954" s="306"/>
      <c r="V954" s="306"/>
      <c r="W954" s="306"/>
      <c r="X954" s="306"/>
      <c r="Y954" s="306"/>
      <c r="Z954" s="306" t="s">
        <v>3423</v>
      </c>
      <c r="AA954" s="306">
        <v>1.012999982E9</v>
      </c>
      <c r="AB954" s="306">
        <v>30.26</v>
      </c>
      <c r="AC954" s="306"/>
      <c r="AD954" s="306"/>
      <c r="AE954" s="298"/>
      <c r="AF954" s="298"/>
      <c r="AG954" s="299"/>
      <c r="AH954" s="300">
        <v>43885.0</v>
      </c>
      <c r="AI954" s="299"/>
      <c r="AJ954" s="299"/>
      <c r="AK954" s="298" t="s">
        <v>50</v>
      </c>
      <c r="AL954" s="298" t="s">
        <v>285</v>
      </c>
      <c r="AM954" s="298" t="s">
        <v>51</v>
      </c>
      <c r="AN954" s="234" t="s">
        <v>52</v>
      </c>
      <c r="AO954" s="298" t="s">
        <v>1371</v>
      </c>
    </row>
    <row r="955" ht="15.75" customHeight="1">
      <c r="A955" s="69">
        <v>43812.0</v>
      </c>
      <c r="B955" s="70" t="s">
        <v>1479</v>
      </c>
      <c r="C955" s="21" t="s">
        <v>1480</v>
      </c>
      <c r="D955" s="71" t="s">
        <v>1960</v>
      </c>
      <c r="E955" s="23" t="s">
        <v>1961</v>
      </c>
      <c r="F955" s="24">
        <v>1.0</v>
      </c>
      <c r="G955" s="48">
        <v>2404.72</v>
      </c>
      <c r="H955" s="26">
        <v>2404.72</v>
      </c>
      <c r="I955" s="132" t="s">
        <v>144</v>
      </c>
      <c r="J955" s="63" t="s">
        <v>1483</v>
      </c>
      <c r="K955" s="298" t="s">
        <v>3438</v>
      </c>
      <c r="L955" s="146"/>
      <c r="M955" s="63"/>
      <c r="N955" s="64"/>
      <c r="O955" s="34"/>
      <c r="P955" s="34">
        <f>(O955*F955)*1.05</f>
        <v>0</v>
      </c>
      <c r="Q955" s="142"/>
      <c r="R955" s="75">
        <f>(Q955*F955)*1.05</f>
        <v>0</v>
      </c>
      <c r="S955" s="66"/>
      <c r="T955" s="52"/>
      <c r="U955" s="53"/>
      <c r="V955" s="53"/>
      <c r="W955" s="53"/>
      <c r="X955" s="53"/>
      <c r="Y955" s="53"/>
      <c r="Z955" s="53" t="s">
        <v>3456</v>
      </c>
      <c r="AA955" s="53" t="s">
        <v>3440</v>
      </c>
      <c r="AB955" s="53"/>
      <c r="AC955" s="53">
        <v>73332.0</v>
      </c>
      <c r="AD955" s="54"/>
      <c r="AE955" s="54"/>
      <c r="AF955" s="55"/>
      <c r="AG955" s="68"/>
      <c r="AH955" s="55"/>
      <c r="AI955" s="55"/>
      <c r="AJ955" s="54"/>
      <c r="AK955" s="298" t="s">
        <v>50</v>
      </c>
      <c r="AL955" s="54" t="s">
        <v>285</v>
      </c>
      <c r="AM955" s="54"/>
      <c r="AN955" s="54"/>
      <c r="AO955" s="57"/>
    </row>
    <row r="956" ht="15.75" customHeight="1">
      <c r="A956" s="69">
        <v>43815.0</v>
      </c>
      <c r="B956" s="23" t="s">
        <v>406</v>
      </c>
      <c r="C956" s="21">
        <v>7.000152702E9</v>
      </c>
      <c r="D956" s="71" t="s">
        <v>1962</v>
      </c>
      <c r="E956" s="32" t="s">
        <v>481</v>
      </c>
      <c r="F956" s="24">
        <v>1.0</v>
      </c>
      <c r="G956" s="48">
        <v>137.0</v>
      </c>
      <c r="H956" s="60">
        <f t="shared" ref="H956:H961" si="147">G956*F956</f>
        <v>137</v>
      </c>
      <c r="I956" s="61" t="s">
        <v>43</v>
      </c>
      <c r="J956" s="50" t="s">
        <v>513</v>
      </c>
      <c r="K956" s="30">
        <v>43826.0</v>
      </c>
      <c r="L956" s="29">
        <v>43822.0</v>
      </c>
      <c r="M956" s="50" t="s">
        <v>3413</v>
      </c>
      <c r="N956" s="93" t="s">
        <v>3457</v>
      </c>
      <c r="O956" s="408"/>
      <c r="P956" s="408"/>
      <c r="Q956" s="747">
        <f t="shared" ref="Q956:Q969" si="148">(P956*F956)*1.05</f>
        <v>0</v>
      </c>
      <c r="R956" s="741"/>
      <c r="S956" s="728">
        <v>3770.0</v>
      </c>
      <c r="T956" s="408"/>
      <c r="U956" s="306"/>
      <c r="V956" s="306"/>
      <c r="W956" s="306"/>
      <c r="X956" s="306"/>
      <c r="Y956" s="306"/>
      <c r="Z956" s="306" t="s">
        <v>3458</v>
      </c>
      <c r="AA956" s="306">
        <v>5.875200774E9</v>
      </c>
      <c r="AB956" s="306">
        <v>30.26</v>
      </c>
      <c r="AC956" s="306"/>
      <c r="AD956" s="306"/>
      <c r="AE956" s="298"/>
      <c r="AF956" s="298"/>
      <c r="AG956" s="299"/>
      <c r="AH956" s="300">
        <v>43860.0</v>
      </c>
      <c r="AI956" s="299" t="s">
        <v>3399</v>
      </c>
      <c r="AJ956" s="299" t="s">
        <v>3400</v>
      </c>
      <c r="AK956" s="298" t="s">
        <v>50</v>
      </c>
      <c r="AL956" s="298" t="s">
        <v>285</v>
      </c>
      <c r="AM956" s="298" t="s">
        <v>51</v>
      </c>
      <c r="AN956" s="234" t="s">
        <v>52</v>
      </c>
      <c r="AO956" s="298" t="s">
        <v>1371</v>
      </c>
    </row>
    <row r="957" ht="15.75" customHeight="1">
      <c r="A957" s="69">
        <v>43817.0</v>
      </c>
      <c r="B957" s="21" t="s">
        <v>1494</v>
      </c>
      <c r="C957" s="92"/>
      <c r="D957" s="21" t="s">
        <v>1963</v>
      </c>
      <c r="E957" s="23" t="s">
        <v>1964</v>
      </c>
      <c r="F957" s="130">
        <v>2.0</v>
      </c>
      <c r="G957" s="25">
        <v>431.0</v>
      </c>
      <c r="H957" s="60">
        <f t="shared" si="147"/>
        <v>862</v>
      </c>
      <c r="I957" s="132" t="s">
        <v>144</v>
      </c>
      <c r="J957" s="407" t="s">
        <v>1497</v>
      </c>
      <c r="K957" s="30">
        <v>43826.0</v>
      </c>
      <c r="L957" s="29">
        <v>43825.0</v>
      </c>
      <c r="M957" s="50" t="s">
        <v>127</v>
      </c>
      <c r="N957" s="93" t="s">
        <v>3459</v>
      </c>
      <c r="O957" s="408"/>
      <c r="P957" s="740"/>
      <c r="Q957" s="721">
        <f t="shared" si="148"/>
        <v>0</v>
      </c>
      <c r="R957" s="741"/>
      <c r="S957" s="720">
        <f t="shared" ref="S957:S959" si="149">(R957*F957)*1.05</f>
        <v>0</v>
      </c>
      <c r="T957" s="408"/>
      <c r="U957" s="306"/>
      <c r="V957" s="306"/>
      <c r="W957" s="306"/>
      <c r="X957" s="306"/>
      <c r="Y957" s="306"/>
      <c r="Z957" s="306" t="s">
        <v>3460</v>
      </c>
      <c r="AA957" s="306">
        <v>1.21781778E8</v>
      </c>
      <c r="AB957" s="306">
        <v>30.26</v>
      </c>
      <c r="AC957" s="306"/>
      <c r="AD957" s="306"/>
      <c r="AE957" s="298"/>
      <c r="AF957" s="298"/>
      <c r="AG957" s="299"/>
      <c r="AH957" s="29">
        <v>43823.0</v>
      </c>
      <c r="AI957" s="299" t="s">
        <v>2660</v>
      </c>
      <c r="AJ957" s="299" t="s">
        <v>2660</v>
      </c>
      <c r="AK957" s="298" t="s">
        <v>50</v>
      </c>
      <c r="AL957" s="298" t="s">
        <v>285</v>
      </c>
      <c r="AM957" s="298" t="s">
        <v>51</v>
      </c>
      <c r="AN957" s="234" t="s">
        <v>52</v>
      </c>
      <c r="AO957" s="298" t="s">
        <v>1371</v>
      </c>
    </row>
    <row r="958" ht="15.75" customHeight="1">
      <c r="A958" s="69">
        <v>43817.0</v>
      </c>
      <c r="B958" s="21" t="s">
        <v>1494</v>
      </c>
      <c r="C958" s="92"/>
      <c r="D958" s="71" t="s">
        <v>1963</v>
      </c>
      <c r="E958" s="32" t="s">
        <v>1965</v>
      </c>
      <c r="F958" s="24">
        <v>2.0</v>
      </c>
      <c r="G958" s="48">
        <v>16.0</v>
      </c>
      <c r="H958" s="60">
        <f t="shared" si="147"/>
        <v>32</v>
      </c>
      <c r="I958" s="132" t="s">
        <v>144</v>
      </c>
      <c r="J958" s="50" t="s">
        <v>1497</v>
      </c>
      <c r="K958" s="30">
        <v>43826.0</v>
      </c>
      <c r="L958" s="29">
        <v>43825.0</v>
      </c>
      <c r="M958" s="50" t="s">
        <v>127</v>
      </c>
      <c r="N958" s="93" t="s">
        <v>3459</v>
      </c>
      <c r="O958" s="408"/>
      <c r="P958" s="408"/>
      <c r="Q958" s="306">
        <f t="shared" si="148"/>
        <v>0</v>
      </c>
      <c r="R958" s="627"/>
      <c r="S958" s="720">
        <f t="shared" si="149"/>
        <v>0</v>
      </c>
      <c r="T958" s="408"/>
      <c r="U958" s="306"/>
      <c r="V958" s="306"/>
      <c r="W958" s="306"/>
      <c r="X958" s="306"/>
      <c r="Y958" s="306"/>
      <c r="Z958" s="306" t="s">
        <v>3460</v>
      </c>
      <c r="AA958" s="306">
        <v>1.21781778E8</v>
      </c>
      <c r="AB958" s="306">
        <v>30.26</v>
      </c>
      <c r="AC958" s="306"/>
      <c r="AD958" s="306"/>
      <c r="AE958" s="298"/>
      <c r="AF958" s="298"/>
      <c r="AG958" s="299"/>
      <c r="AH958" s="29">
        <v>43823.0</v>
      </c>
      <c r="AI958" s="299" t="s">
        <v>2660</v>
      </c>
      <c r="AJ958" s="299" t="s">
        <v>2660</v>
      </c>
      <c r="AK958" s="298" t="s">
        <v>50</v>
      </c>
      <c r="AL958" s="298" t="s">
        <v>285</v>
      </c>
      <c r="AM958" s="298" t="s">
        <v>51</v>
      </c>
      <c r="AN958" s="234" t="s">
        <v>52</v>
      </c>
      <c r="AO958" s="298" t="s">
        <v>1371</v>
      </c>
    </row>
    <row r="959" ht="15.75" customHeight="1">
      <c r="A959" s="69">
        <v>43817.0</v>
      </c>
      <c r="B959" s="21" t="s">
        <v>1494</v>
      </c>
      <c r="C959" s="92"/>
      <c r="D959" s="71" t="s">
        <v>1963</v>
      </c>
      <c r="E959" s="32" t="s">
        <v>1966</v>
      </c>
      <c r="F959" s="24">
        <v>1.0</v>
      </c>
      <c r="G959" s="48">
        <v>30.0</v>
      </c>
      <c r="H959" s="81">
        <f t="shared" si="147"/>
        <v>30</v>
      </c>
      <c r="I959" s="132" t="s">
        <v>144</v>
      </c>
      <c r="J959" s="50" t="s">
        <v>1497</v>
      </c>
      <c r="K959" s="29">
        <v>43830.0</v>
      </c>
      <c r="L959" s="29">
        <v>43826.0</v>
      </c>
      <c r="M959" s="50" t="s">
        <v>220</v>
      </c>
      <c r="N959" s="93"/>
      <c r="O959" s="408"/>
      <c r="P959" s="408"/>
      <c r="Q959" s="306">
        <f t="shared" si="148"/>
        <v>0</v>
      </c>
      <c r="R959" s="627"/>
      <c r="S959" s="720">
        <f t="shared" si="149"/>
        <v>0</v>
      </c>
      <c r="T959" s="408"/>
      <c r="U959" s="306"/>
      <c r="V959" s="306"/>
      <c r="W959" s="306"/>
      <c r="X959" s="306"/>
      <c r="Y959" s="306"/>
      <c r="Z959" s="306" t="s">
        <v>3460</v>
      </c>
      <c r="AA959" s="306">
        <v>1.21781778E8</v>
      </c>
      <c r="AB959" s="306">
        <v>30.26</v>
      </c>
      <c r="AC959" s="306"/>
      <c r="AD959" s="306"/>
      <c r="AE959" s="298"/>
      <c r="AF959" s="298"/>
      <c r="AG959" s="299"/>
      <c r="AH959" s="29">
        <v>43823.0</v>
      </c>
      <c r="AI959" s="299" t="s">
        <v>2660</v>
      </c>
      <c r="AJ959" s="299" t="s">
        <v>2660</v>
      </c>
      <c r="AK959" s="298"/>
      <c r="AL959" s="298" t="s">
        <v>285</v>
      </c>
      <c r="AM959" s="298" t="s">
        <v>51</v>
      </c>
      <c r="AN959" s="234" t="s">
        <v>52</v>
      </c>
      <c r="AO959" s="298" t="s">
        <v>1371</v>
      </c>
    </row>
    <row r="960" ht="15.75" customHeight="1">
      <c r="A960" s="204">
        <v>43823.0</v>
      </c>
      <c r="B960" s="23" t="s">
        <v>406</v>
      </c>
      <c r="C960" s="21">
        <v>7.000152921E9</v>
      </c>
      <c r="D960" s="71" t="s">
        <v>1967</v>
      </c>
      <c r="E960" s="32" t="s">
        <v>1968</v>
      </c>
      <c r="F960" s="24">
        <v>1.0</v>
      </c>
      <c r="G960" s="48">
        <v>137.0</v>
      </c>
      <c r="H960" s="216">
        <f t="shared" si="147"/>
        <v>137</v>
      </c>
      <c r="I960" s="61" t="s">
        <v>43</v>
      </c>
      <c r="J960" s="50" t="s">
        <v>513</v>
      </c>
      <c r="K960" s="29">
        <v>43826.0</v>
      </c>
      <c r="L960" s="29">
        <v>43826.0</v>
      </c>
      <c r="M960" s="50" t="s">
        <v>3413</v>
      </c>
      <c r="N960" s="93" t="s">
        <v>3461</v>
      </c>
      <c r="O960" s="408"/>
      <c r="P960" s="408">
        <v>118.0</v>
      </c>
      <c r="Q960" s="747">
        <f t="shared" si="148"/>
        <v>123.9</v>
      </c>
      <c r="R960" s="741"/>
      <c r="S960" s="720">
        <v>3749.0</v>
      </c>
      <c r="T960" s="408"/>
      <c r="U960" s="306"/>
      <c r="V960" s="306"/>
      <c r="W960" s="306"/>
      <c r="X960" s="306"/>
      <c r="Y960" s="306"/>
      <c r="Z960" s="306" t="s">
        <v>3458</v>
      </c>
      <c r="AA960" s="306">
        <v>5.875200774E9</v>
      </c>
      <c r="AB960" s="306">
        <v>30.26</v>
      </c>
      <c r="AC960" s="306"/>
      <c r="AD960" s="306"/>
      <c r="AE960" s="298"/>
      <c r="AF960" s="298"/>
      <c r="AG960" s="299"/>
      <c r="AH960" s="300">
        <v>43860.0</v>
      </c>
      <c r="AI960" s="299" t="s">
        <v>3399</v>
      </c>
      <c r="AJ960" s="299" t="s">
        <v>3400</v>
      </c>
      <c r="AK960" s="298" t="s">
        <v>50</v>
      </c>
      <c r="AL960" s="298" t="s">
        <v>285</v>
      </c>
      <c r="AM960" s="298" t="s">
        <v>51</v>
      </c>
      <c r="AN960" s="234" t="s">
        <v>52</v>
      </c>
      <c r="AO960" s="298" t="s">
        <v>1371</v>
      </c>
    </row>
    <row r="961" ht="15.75" customHeight="1">
      <c r="A961" s="204">
        <v>43823.0</v>
      </c>
      <c r="B961" s="23" t="s">
        <v>406</v>
      </c>
      <c r="C961" s="21">
        <v>7.000152921E9</v>
      </c>
      <c r="D961" s="21" t="s">
        <v>1967</v>
      </c>
      <c r="E961" s="32" t="s">
        <v>481</v>
      </c>
      <c r="F961" s="24">
        <v>2.0</v>
      </c>
      <c r="G961" s="48">
        <v>137.0</v>
      </c>
      <c r="H961" s="60">
        <f t="shared" si="147"/>
        <v>274</v>
      </c>
      <c r="I961" s="61" t="s">
        <v>43</v>
      </c>
      <c r="J961" s="50" t="s">
        <v>513</v>
      </c>
      <c r="K961" s="29">
        <v>43826.0</v>
      </c>
      <c r="L961" s="29">
        <v>43826.0</v>
      </c>
      <c r="M961" s="50" t="s">
        <v>3413</v>
      </c>
      <c r="N961" s="93" t="s">
        <v>3461</v>
      </c>
      <c r="O961" s="408"/>
      <c r="P961" s="408">
        <v>118.0</v>
      </c>
      <c r="Q961" s="306">
        <f t="shared" si="148"/>
        <v>247.8</v>
      </c>
      <c r="R961" s="627"/>
      <c r="S961" s="720">
        <v>7498.0</v>
      </c>
      <c r="T961" s="408"/>
      <c r="U961" s="306"/>
      <c r="V961" s="306"/>
      <c r="W961" s="306"/>
      <c r="X961" s="306"/>
      <c r="Y961" s="306"/>
      <c r="Z961" s="306" t="s">
        <v>3458</v>
      </c>
      <c r="AA961" s="306">
        <v>5.875200774E9</v>
      </c>
      <c r="AB961" s="306">
        <v>30.26</v>
      </c>
      <c r="AC961" s="306"/>
      <c r="AD961" s="306"/>
      <c r="AE961" s="298"/>
      <c r="AF961" s="298"/>
      <c r="AG961" s="299"/>
      <c r="AH961" s="300">
        <v>43860.0</v>
      </c>
      <c r="AI961" s="299" t="s">
        <v>3399</v>
      </c>
      <c r="AJ961" s="299" t="s">
        <v>3400</v>
      </c>
      <c r="AK961" s="298" t="s">
        <v>50</v>
      </c>
      <c r="AL961" s="298" t="s">
        <v>285</v>
      </c>
      <c r="AM961" s="298" t="s">
        <v>51</v>
      </c>
      <c r="AN961" s="234" t="s">
        <v>52</v>
      </c>
      <c r="AO961" s="298" t="s">
        <v>1371</v>
      </c>
    </row>
    <row r="962" ht="15.75" customHeight="1">
      <c r="A962" s="204"/>
      <c r="B962" s="70"/>
      <c r="C962" s="92"/>
      <c r="D962" s="21"/>
      <c r="E962" s="32"/>
      <c r="F962" s="24"/>
      <c r="G962" s="48"/>
      <c r="H962" s="216"/>
      <c r="I962" s="61"/>
      <c r="J962" s="63"/>
      <c r="K962" s="43"/>
      <c r="L962" s="146"/>
      <c r="M962" s="63"/>
      <c r="N962" s="64"/>
      <c r="O962" s="408"/>
      <c r="P962" s="34"/>
      <c r="Q962" s="52">
        <f t="shared" si="148"/>
        <v>0</v>
      </c>
      <c r="R962" s="89"/>
      <c r="S962" s="86">
        <f t="shared" ref="S962:S969" si="150">(R962*F962)*1.05</f>
        <v>0</v>
      </c>
      <c r="T962" s="76"/>
      <c r="U962" s="52"/>
      <c r="V962" s="53"/>
      <c r="W962" s="53"/>
      <c r="X962" s="53"/>
      <c r="Y962" s="53"/>
      <c r="Z962" s="53"/>
      <c r="AA962" s="53"/>
      <c r="AB962" s="53"/>
      <c r="AC962" s="53"/>
      <c r="AD962" s="53"/>
      <c r="AE962" s="54"/>
      <c r="AF962" s="54"/>
      <c r="AG962" s="55"/>
      <c r="AH962" s="68"/>
      <c r="AI962" s="55"/>
      <c r="AJ962" s="55"/>
      <c r="AK962" s="54"/>
      <c r="AL962" s="54"/>
      <c r="AM962" s="54"/>
      <c r="AN962" s="54"/>
      <c r="AO962" s="57"/>
    </row>
    <row r="963" ht="15.75" customHeight="1">
      <c r="A963" s="204"/>
      <c r="B963" s="70"/>
      <c r="C963" s="92"/>
      <c r="D963" s="21"/>
      <c r="E963" s="32"/>
      <c r="F963" s="24"/>
      <c r="G963" s="48"/>
      <c r="H963" s="216"/>
      <c r="I963" s="61"/>
      <c r="J963" s="63"/>
      <c r="K963" s="43"/>
      <c r="L963" s="146"/>
      <c r="M963" s="63"/>
      <c r="N963" s="64"/>
      <c r="O963" s="408"/>
      <c r="P963" s="34"/>
      <c r="Q963" s="158">
        <f t="shared" si="148"/>
        <v>0</v>
      </c>
      <c r="R963" s="159"/>
      <c r="S963" s="160">
        <f t="shared" si="150"/>
        <v>0</v>
      </c>
      <c r="T963" s="76"/>
      <c r="U963" s="52"/>
      <c r="V963" s="53"/>
      <c r="W963" s="53"/>
      <c r="X963" s="53"/>
      <c r="Y963" s="53"/>
      <c r="Z963" s="53"/>
      <c r="AA963" s="53"/>
      <c r="AB963" s="53"/>
      <c r="AC963" s="53"/>
      <c r="AD963" s="53"/>
      <c r="AE963" s="54"/>
      <c r="AF963" s="54"/>
      <c r="AG963" s="55"/>
      <c r="AH963" s="68"/>
      <c r="AI963" s="55"/>
      <c r="AJ963" s="55"/>
      <c r="AK963" s="54"/>
      <c r="AL963" s="54"/>
      <c r="AM963" s="54"/>
      <c r="AN963" s="54"/>
      <c r="AO963" s="57"/>
    </row>
    <row r="964" ht="15.75" customHeight="1">
      <c r="A964" s="204"/>
      <c r="B964" s="70"/>
      <c r="C964" s="92"/>
      <c r="D964" s="21"/>
      <c r="E964" s="32"/>
      <c r="F964" s="24"/>
      <c r="G964" s="48"/>
      <c r="H964" s="216"/>
      <c r="I964" s="61"/>
      <c r="J964" s="63"/>
      <c r="K964" s="43"/>
      <c r="L964" s="146"/>
      <c r="M964" s="63"/>
      <c r="N964" s="64"/>
      <c r="O964" s="408"/>
      <c r="P964" s="34"/>
      <c r="Q964" s="135">
        <f t="shared" si="148"/>
        <v>0</v>
      </c>
      <c r="R964" s="159"/>
      <c r="S964" s="86">
        <f t="shared" si="150"/>
        <v>0</v>
      </c>
      <c r="T964" s="76"/>
      <c r="U964" s="52"/>
      <c r="V964" s="53"/>
      <c r="W964" s="53"/>
      <c r="X964" s="53"/>
      <c r="Y964" s="53"/>
      <c r="Z964" s="53"/>
      <c r="AA964" s="53"/>
      <c r="AB964" s="53"/>
      <c r="AC964" s="53"/>
      <c r="AD964" s="53"/>
      <c r="AE964" s="54"/>
      <c r="AF964" s="54"/>
      <c r="AG964" s="55"/>
      <c r="AH964" s="68"/>
      <c r="AI964" s="55"/>
      <c r="AJ964" s="55"/>
      <c r="AK964" s="54"/>
      <c r="AL964" s="54"/>
      <c r="AM964" s="54"/>
      <c r="AN964" s="54"/>
      <c r="AO964" s="57"/>
    </row>
    <row r="965" ht="15.75" customHeight="1">
      <c r="A965" s="204"/>
      <c r="B965" s="70"/>
      <c r="C965" s="92"/>
      <c r="D965" s="21"/>
      <c r="E965" s="32"/>
      <c r="F965" s="24"/>
      <c r="G965" s="48"/>
      <c r="H965" s="216"/>
      <c r="I965" s="61"/>
      <c r="J965" s="63"/>
      <c r="K965" s="43"/>
      <c r="L965" s="146"/>
      <c r="M965" s="63"/>
      <c r="N965" s="64"/>
      <c r="O965" s="408"/>
      <c r="P965" s="34"/>
      <c r="Q965" s="52">
        <f t="shared" si="148"/>
        <v>0</v>
      </c>
      <c r="R965" s="89"/>
      <c r="S965" s="86">
        <f t="shared" si="150"/>
        <v>0</v>
      </c>
      <c r="T965" s="76"/>
      <c r="U965" s="52"/>
      <c r="V965" s="53"/>
      <c r="W965" s="53"/>
      <c r="X965" s="53"/>
      <c r="Y965" s="53"/>
      <c r="Z965" s="53"/>
      <c r="AA965" s="53"/>
      <c r="AB965" s="53"/>
      <c r="AC965" s="53"/>
      <c r="AD965" s="53"/>
      <c r="AE965" s="54"/>
      <c r="AF965" s="54"/>
      <c r="AG965" s="55"/>
      <c r="AH965" s="68"/>
      <c r="AI965" s="55"/>
      <c r="AJ965" s="55"/>
      <c r="AK965" s="54"/>
      <c r="AL965" s="54"/>
      <c r="AM965" s="54"/>
      <c r="AN965" s="54"/>
      <c r="AO965" s="57"/>
    </row>
    <row r="966" ht="15.75" customHeight="1">
      <c r="A966" s="204"/>
      <c r="B966" s="70"/>
      <c r="C966" s="92"/>
      <c r="D966" s="21"/>
      <c r="E966" s="32"/>
      <c r="F966" s="24"/>
      <c r="G966" s="48"/>
      <c r="H966" s="216"/>
      <c r="I966" s="61"/>
      <c r="J966" s="63"/>
      <c r="K966" s="43"/>
      <c r="L966" s="146"/>
      <c r="M966" s="63"/>
      <c r="N966" s="64"/>
      <c r="O966" s="408"/>
      <c r="P966" s="34"/>
      <c r="Q966" s="52">
        <f t="shared" si="148"/>
        <v>0</v>
      </c>
      <c r="R966" s="89"/>
      <c r="S966" s="86">
        <f t="shared" si="150"/>
        <v>0</v>
      </c>
      <c r="T966" s="76"/>
      <c r="U966" s="52"/>
      <c r="V966" s="53"/>
      <c r="W966" s="53"/>
      <c r="X966" s="53"/>
      <c r="Y966" s="53"/>
      <c r="Z966" s="53"/>
      <c r="AA966" s="53"/>
      <c r="AB966" s="53"/>
      <c r="AC966" s="53"/>
      <c r="AD966" s="53"/>
      <c r="AE966" s="54"/>
      <c r="AF966" s="54"/>
      <c r="AG966" s="55"/>
      <c r="AH966" s="68"/>
      <c r="AI966" s="55"/>
      <c r="AJ966" s="55"/>
      <c r="AK966" s="54"/>
      <c r="AL966" s="54"/>
      <c r="AM966" s="54"/>
      <c r="AN966" s="54"/>
      <c r="AO966" s="57"/>
    </row>
    <row r="967" ht="15.75" customHeight="1">
      <c r="A967" s="204"/>
      <c r="B967" s="70"/>
      <c r="C967" s="92"/>
      <c r="D967" s="21"/>
      <c r="E967" s="32"/>
      <c r="F967" s="24"/>
      <c r="G967" s="48"/>
      <c r="H967" s="216"/>
      <c r="I967" s="61"/>
      <c r="J967" s="63"/>
      <c r="K967" s="43"/>
      <c r="L967" s="146"/>
      <c r="M967" s="63"/>
      <c r="N967" s="64"/>
      <c r="O967" s="408"/>
      <c r="P967" s="34"/>
      <c r="Q967" s="158">
        <f t="shared" si="148"/>
        <v>0</v>
      </c>
      <c r="R967" s="159"/>
      <c r="S967" s="160">
        <f t="shared" si="150"/>
        <v>0</v>
      </c>
      <c r="T967" s="76"/>
      <c r="U967" s="52"/>
      <c r="V967" s="53"/>
      <c r="W967" s="53"/>
      <c r="X967" s="53"/>
      <c r="Y967" s="53"/>
      <c r="Z967" s="53"/>
      <c r="AA967" s="53"/>
      <c r="AB967" s="53"/>
      <c r="AC967" s="53"/>
      <c r="AD967" s="53"/>
      <c r="AE967" s="54"/>
      <c r="AF967" s="54"/>
      <c r="AG967" s="55"/>
      <c r="AH967" s="68"/>
      <c r="AI967" s="55"/>
      <c r="AJ967" s="55"/>
      <c r="AK967" s="54"/>
      <c r="AL967" s="54"/>
      <c r="AM967" s="54"/>
      <c r="AN967" s="54"/>
      <c r="AO967" s="57"/>
    </row>
    <row r="968" ht="15.75" customHeight="1">
      <c r="A968" s="204"/>
      <c r="B968" s="70"/>
      <c r="C968" s="92"/>
      <c r="D968" s="21"/>
      <c r="E968" s="32"/>
      <c r="F968" s="24"/>
      <c r="G968" s="48"/>
      <c r="H968" s="216"/>
      <c r="I968" s="61"/>
      <c r="J968" s="63"/>
      <c r="K968" s="43"/>
      <c r="L968" s="146"/>
      <c r="M968" s="63"/>
      <c r="N968" s="64"/>
      <c r="O968" s="408"/>
      <c r="P968" s="34"/>
      <c r="Q968" s="52">
        <f t="shared" si="148"/>
        <v>0</v>
      </c>
      <c r="R968" s="89"/>
      <c r="S968" s="86">
        <f t="shared" si="150"/>
        <v>0</v>
      </c>
      <c r="T968" s="76"/>
      <c r="U968" s="52"/>
      <c r="V968" s="53"/>
      <c r="W968" s="53"/>
      <c r="X968" s="53"/>
      <c r="Y968" s="53"/>
      <c r="Z968" s="53"/>
      <c r="AA968" s="53"/>
      <c r="AB968" s="53"/>
      <c r="AC968" s="53"/>
      <c r="AD968" s="53"/>
      <c r="AE968" s="54"/>
      <c r="AF968" s="54"/>
      <c r="AG968" s="55"/>
      <c r="AH968" s="68"/>
      <c r="AI968" s="55"/>
      <c r="AJ968" s="55"/>
      <c r="AK968" s="54"/>
      <c r="AL968" s="54"/>
      <c r="AM968" s="54"/>
      <c r="AN968" s="54"/>
      <c r="AO968" s="57"/>
    </row>
    <row r="969" ht="15.75" customHeight="1">
      <c r="A969" s="205"/>
      <c r="B969" s="21"/>
      <c r="C969" s="92"/>
      <c r="D969" s="21"/>
      <c r="E969" s="32"/>
      <c r="F969" s="24"/>
      <c r="G969" s="48"/>
      <c r="H969" s="464"/>
      <c r="I969" s="87"/>
      <c r="J969" s="63"/>
      <c r="K969" s="43"/>
      <c r="L969" s="146"/>
      <c r="M969" s="63"/>
      <c r="N969" s="64"/>
      <c r="O969" s="408"/>
      <c r="P969" s="34"/>
      <c r="Q969" s="34">
        <f t="shared" si="148"/>
        <v>0</v>
      </c>
      <c r="R969" s="34"/>
      <c r="S969" s="34">
        <f t="shared" si="150"/>
        <v>0</v>
      </c>
      <c r="T969" s="76"/>
      <c r="U969" s="52"/>
      <c r="V969" s="53"/>
      <c r="W969" s="53"/>
      <c r="X969" s="53"/>
      <c r="Y969" s="53"/>
      <c r="Z969" s="53"/>
      <c r="AA969" s="53"/>
      <c r="AB969" s="53"/>
      <c r="AC969" s="53"/>
      <c r="AD969" s="53"/>
      <c r="AE969" s="54"/>
      <c r="AF969" s="54"/>
      <c r="AG969" s="55"/>
      <c r="AH969" s="68"/>
      <c r="AI969" s="55"/>
      <c r="AJ969" s="55"/>
      <c r="AK969" s="54"/>
      <c r="AL969" s="54"/>
      <c r="AM969" s="54"/>
      <c r="AN969" s="54"/>
      <c r="AO969" s="54"/>
    </row>
    <row r="970" ht="15.75" customHeight="1">
      <c r="A970" s="91"/>
      <c r="B970" s="91"/>
      <c r="C970" s="220"/>
      <c r="D970" s="91"/>
      <c r="E970" s="221" t="s">
        <v>0</v>
      </c>
      <c r="F970" s="91"/>
      <c r="G970" s="91"/>
      <c r="H970" s="222">
        <f>SUM(H4:H969)</f>
        <v>1459272.278</v>
      </c>
      <c r="I970" s="91"/>
      <c r="J970" s="57"/>
      <c r="K970" s="153"/>
      <c r="L970" s="153"/>
      <c r="M970" s="57"/>
      <c r="N970" s="224"/>
      <c r="O970" s="236"/>
      <c r="P970" s="91"/>
      <c r="Q970" s="91"/>
      <c r="R970" s="91"/>
      <c r="S970" s="91"/>
      <c r="T970" s="91"/>
      <c r="U970" s="225"/>
      <c r="V970" s="226"/>
      <c r="W970" s="226"/>
      <c r="X970" s="226"/>
      <c r="Y970" s="226"/>
      <c r="Z970" s="226"/>
      <c r="AA970" s="226"/>
      <c r="AB970" s="226"/>
      <c r="AC970" s="226"/>
      <c r="AD970" s="226"/>
      <c r="AE970" s="57"/>
      <c r="AF970" s="57"/>
      <c r="AG970" s="227"/>
      <c r="AH970" s="228"/>
      <c r="AI970" s="227"/>
      <c r="AJ970" s="227"/>
      <c r="AK970" s="57"/>
      <c r="AL970" s="57"/>
      <c r="AM970" s="57"/>
      <c r="AN970" s="57"/>
      <c r="AO970" s="57"/>
    </row>
    <row r="971" ht="15.75" customHeight="1">
      <c r="A971" s="91"/>
      <c r="B971" s="91"/>
      <c r="C971" s="220"/>
      <c r="D971" s="57"/>
      <c r="E971" s="240" t="s">
        <v>264</v>
      </c>
      <c r="F971" s="241" t="s">
        <v>265</v>
      </c>
      <c r="G971" s="91"/>
      <c r="H971" s="242"/>
      <c r="I971" s="91"/>
      <c r="J971" s="234"/>
      <c r="K971" s="243"/>
      <c r="L971" s="234" t="s">
        <v>266</v>
      </c>
      <c r="M971" s="234"/>
      <c r="N971" s="235"/>
      <c r="O971" s="236"/>
      <c r="P971" s="236"/>
      <c r="Q971" s="236"/>
      <c r="R971" s="236"/>
      <c r="S971" s="236"/>
      <c r="T971" s="236"/>
      <c r="U971" s="236"/>
      <c r="V971" s="237"/>
      <c r="W971" s="237"/>
      <c r="X971" s="237"/>
      <c r="Y971" s="237"/>
      <c r="Z971" s="237"/>
      <c r="AA971" s="237"/>
      <c r="AB971" s="237"/>
      <c r="AC971" s="237"/>
      <c r="AD971" s="237"/>
      <c r="AE971" s="234"/>
      <c r="AF971" s="234"/>
      <c r="AG971" s="238"/>
      <c r="AH971" s="239"/>
      <c r="AI971" s="238"/>
      <c r="AJ971" s="238"/>
      <c r="AK971" s="234"/>
      <c r="AL971" s="234"/>
      <c r="AM971" s="234"/>
      <c r="AN971" s="234"/>
      <c r="AO971" s="234"/>
    </row>
    <row r="972" ht="15.75" customHeight="1">
      <c r="A972" s="91"/>
      <c r="B972" s="91"/>
      <c r="C972" s="220"/>
      <c r="D972" s="54" t="s">
        <v>267</v>
      </c>
      <c r="E972" s="21">
        <v>30.715</v>
      </c>
      <c r="F972" s="148">
        <v>30.815</v>
      </c>
      <c r="G972" s="91"/>
      <c r="H972" s="242"/>
      <c r="I972" s="91"/>
      <c r="J972" s="234"/>
      <c r="K972" s="243"/>
      <c r="L972" s="243"/>
      <c r="M972" s="234"/>
      <c r="N972" s="235"/>
      <c r="O972" s="236"/>
      <c r="P972" s="236"/>
      <c r="Q972" s="236"/>
      <c r="R972" s="236"/>
      <c r="S972" s="236"/>
      <c r="T972" s="236"/>
      <c r="U972" s="236"/>
      <c r="V972" s="236"/>
      <c r="W972" s="236"/>
      <c r="X972" s="244"/>
      <c r="Y972" s="244"/>
      <c r="Z972" s="237"/>
      <c r="AA972" s="244"/>
      <c r="AB972" s="244"/>
      <c r="AC972" s="244"/>
      <c r="AD972" s="244"/>
      <c r="AE972" s="234"/>
      <c r="AF972" s="234"/>
      <c r="AG972" s="238"/>
      <c r="AH972" s="239"/>
      <c r="AI972" s="238"/>
      <c r="AJ972" s="238"/>
      <c r="AK972" s="234"/>
      <c r="AL972" s="234"/>
      <c r="AM972" s="234"/>
      <c r="AN972" s="234"/>
      <c r="AO972" s="234"/>
    </row>
    <row r="973" ht="15.75" customHeight="1">
      <c r="A973" s="91"/>
      <c r="B973" s="91"/>
      <c r="C973" s="220"/>
      <c r="D973" s="54" t="s">
        <v>268</v>
      </c>
      <c r="E973" s="21">
        <v>30.735</v>
      </c>
      <c r="F973" s="148">
        <v>30.85</v>
      </c>
      <c r="G973" s="91"/>
      <c r="H973" s="242"/>
      <c r="I973" s="91"/>
      <c r="J973" s="234"/>
      <c r="K973" s="243"/>
      <c r="L973" s="243"/>
      <c r="M973" s="234"/>
      <c r="N973" s="235"/>
      <c r="O973" s="236"/>
      <c r="P973" s="236"/>
      <c r="Q973" s="236"/>
      <c r="R973" s="236"/>
      <c r="S973" s="236"/>
      <c r="T973" s="236"/>
      <c r="U973" s="236"/>
      <c r="V973" s="236"/>
      <c r="W973" s="236"/>
      <c r="X973" s="244"/>
      <c r="Y973" s="244"/>
      <c r="Z973" s="237"/>
      <c r="AA973" s="244"/>
      <c r="AB973" s="244"/>
      <c r="AC973" s="244"/>
      <c r="AD973" s="244"/>
      <c r="AE973" s="234"/>
      <c r="AF973" s="234"/>
      <c r="AG973" s="238"/>
      <c r="AH973" s="239"/>
      <c r="AI973" s="238"/>
      <c r="AJ973" s="238"/>
      <c r="AK973" s="234"/>
      <c r="AL973" s="234"/>
      <c r="AM973" s="234"/>
      <c r="AN973" s="234"/>
      <c r="AO973" s="234"/>
    </row>
    <row r="974" ht="15.75" customHeight="1">
      <c r="A974" s="91"/>
      <c r="B974" s="91"/>
      <c r="C974" s="220"/>
      <c r="D974" s="54" t="s">
        <v>269</v>
      </c>
      <c r="E974" s="21">
        <v>30.82</v>
      </c>
      <c r="F974" s="148">
        <v>30.875</v>
      </c>
      <c r="G974" s="91"/>
      <c r="H974" s="242"/>
      <c r="J974" s="234"/>
      <c r="K974" s="243"/>
      <c r="L974" s="243"/>
      <c r="M974" s="234"/>
      <c r="N974" s="235"/>
      <c r="O974" s="236"/>
      <c r="P974" s="236"/>
      <c r="Q974" s="236"/>
      <c r="R974" s="236"/>
      <c r="S974" s="236"/>
      <c r="T974" s="236"/>
      <c r="U974" s="236"/>
      <c r="V974" s="236"/>
      <c r="W974" s="236"/>
      <c r="X974" s="244"/>
      <c r="Y974" s="244"/>
      <c r="Z974" s="237"/>
      <c r="AA974" s="244"/>
      <c r="AB974" s="244"/>
      <c r="AC974" s="244"/>
      <c r="AD974" s="244"/>
      <c r="AE974" s="234"/>
      <c r="AF974" s="234"/>
      <c r="AG974" s="238"/>
      <c r="AH974" s="239"/>
      <c r="AI974" s="238"/>
      <c r="AJ974" s="238"/>
      <c r="AK974" s="234"/>
      <c r="AL974" s="234"/>
      <c r="AM974" s="234"/>
      <c r="AN974" s="234"/>
      <c r="AO974" s="234"/>
    </row>
    <row r="975" ht="15.75" customHeight="1">
      <c r="A975" s="91"/>
      <c r="B975" s="91"/>
      <c r="C975" s="220"/>
      <c r="D975" s="54" t="s">
        <v>270</v>
      </c>
      <c r="E975" s="32">
        <v>30.795</v>
      </c>
      <c r="F975" s="246">
        <v>30.87</v>
      </c>
      <c r="G975" s="91"/>
      <c r="H975" s="242"/>
      <c r="I975" s="91"/>
      <c r="J975" s="234"/>
      <c r="K975" s="243"/>
      <c r="L975" s="243"/>
      <c r="M975" s="234"/>
      <c r="N975" s="235"/>
      <c r="O975" s="236"/>
      <c r="P975" s="236"/>
      <c r="Q975" s="236"/>
      <c r="R975" s="236"/>
      <c r="S975" s="236"/>
      <c r="T975" s="236"/>
      <c r="U975" s="236"/>
      <c r="V975" s="236"/>
      <c r="W975" s="236"/>
      <c r="X975" s="244"/>
      <c r="Y975" s="244"/>
      <c r="Z975" s="237"/>
      <c r="AA975" s="244"/>
      <c r="AB975" s="244"/>
      <c r="AC975" s="244"/>
      <c r="AD975" s="244"/>
      <c r="AE975" s="234"/>
      <c r="AF975" s="234"/>
      <c r="AG975" s="238"/>
      <c r="AH975" s="239"/>
      <c r="AI975" s="238"/>
      <c r="AJ975" s="238"/>
      <c r="AK975" s="234"/>
      <c r="AL975" s="234"/>
      <c r="AM975" s="234"/>
      <c r="AN975" s="234"/>
      <c r="AO975" s="234"/>
    </row>
    <row r="976" ht="15.75" customHeight="1">
      <c r="A976" s="91"/>
      <c r="B976" s="91"/>
      <c r="C976" s="220"/>
      <c r="D976" s="54" t="s">
        <v>271</v>
      </c>
      <c r="E976" s="32">
        <v>30.9</v>
      </c>
      <c r="F976" s="148">
        <v>31.16</v>
      </c>
      <c r="G976" s="91"/>
      <c r="H976" s="242"/>
      <c r="I976" s="91"/>
      <c r="J976" s="234"/>
      <c r="K976" s="243"/>
      <c r="L976" s="243"/>
      <c r="M976" s="234"/>
      <c r="N976" s="235"/>
      <c r="O976" s="236"/>
      <c r="P976" s="236"/>
      <c r="Q976" s="236"/>
      <c r="R976" s="236"/>
      <c r="S976" s="236"/>
      <c r="T976" s="236"/>
      <c r="U976" s="236"/>
      <c r="V976" s="236"/>
      <c r="W976" s="236"/>
      <c r="X976" s="244"/>
      <c r="Y976" s="244"/>
      <c r="Z976" s="237"/>
      <c r="AA976" s="244"/>
      <c r="AB976" s="244"/>
      <c r="AC976" s="244"/>
      <c r="AD976" s="244"/>
      <c r="AE976" s="234"/>
      <c r="AF976" s="234"/>
      <c r="AG976" s="238"/>
      <c r="AH976" s="239"/>
      <c r="AI976" s="238"/>
      <c r="AJ976" s="238"/>
      <c r="AK976" s="234"/>
      <c r="AL976" s="234"/>
      <c r="AM976" s="234"/>
      <c r="AN976" s="234"/>
      <c r="AO976" s="234"/>
    </row>
    <row r="977" ht="15.75" customHeight="1">
      <c r="A977" s="91"/>
      <c r="B977" s="91"/>
      <c r="C977" s="220"/>
      <c r="D977" s="54" t="s">
        <v>272</v>
      </c>
      <c r="E977" s="32">
        <v>31.495</v>
      </c>
      <c r="F977" s="148">
        <v>31.52</v>
      </c>
      <c r="G977" s="91"/>
      <c r="H977" s="242"/>
      <c r="I977" s="91"/>
      <c r="J977" s="234"/>
      <c r="K977" s="243"/>
      <c r="L977" s="243"/>
      <c r="M977" s="234"/>
      <c r="N977" s="235"/>
      <c r="O977" s="236"/>
      <c r="P977" s="236"/>
      <c r="Q977" s="236"/>
      <c r="R977" s="236"/>
      <c r="S977" s="236"/>
      <c r="T977" s="236"/>
      <c r="U977" s="236"/>
      <c r="V977" s="236"/>
      <c r="W977" s="236"/>
      <c r="X977" s="244"/>
      <c r="Y977" s="244"/>
      <c r="Z977" s="237"/>
      <c r="AA977" s="244"/>
      <c r="AB977" s="244"/>
      <c r="AC977" s="244"/>
      <c r="AD977" s="244"/>
      <c r="AE977" s="234"/>
      <c r="AF977" s="234"/>
      <c r="AG977" s="238"/>
      <c r="AH977" s="239"/>
      <c r="AI977" s="238"/>
      <c r="AJ977" s="238"/>
      <c r="AK977" s="234"/>
      <c r="AL977" s="234"/>
      <c r="AM977" s="234"/>
      <c r="AN977" s="234"/>
      <c r="AO977" s="234"/>
    </row>
    <row r="978" ht="15.75" customHeight="1">
      <c r="A978" s="91"/>
      <c r="B978" s="91"/>
      <c r="C978" s="220"/>
      <c r="D978" s="54" t="s">
        <v>273</v>
      </c>
      <c r="E978" s="32">
        <v>30.98</v>
      </c>
      <c r="F978" s="148">
        <v>31.03</v>
      </c>
      <c r="G978" s="91"/>
      <c r="H978" s="242"/>
      <c r="I978" s="91"/>
      <c r="J978" s="234"/>
      <c r="K978" s="243"/>
      <c r="L978" s="243"/>
      <c r="M978" s="234"/>
      <c r="N978" s="240"/>
      <c r="O978" s="236"/>
      <c r="P978" s="236"/>
      <c r="Q978" s="236"/>
      <c r="R978" s="236"/>
      <c r="S978" s="236"/>
      <c r="T978" s="236"/>
      <c r="U978" s="236"/>
      <c r="V978" s="236"/>
      <c r="W978" s="236"/>
      <c r="X978" s="244"/>
      <c r="Y978" s="244"/>
      <c r="Z978" s="237"/>
      <c r="AA978" s="244"/>
      <c r="AB978" s="244"/>
      <c r="AC978" s="244"/>
      <c r="AD978" s="244"/>
      <c r="AE978" s="234"/>
      <c r="AF978" s="234"/>
      <c r="AG978" s="238"/>
      <c r="AH978" s="239"/>
      <c r="AI978" s="238"/>
      <c r="AJ978" s="238"/>
      <c r="AK978" s="234"/>
      <c r="AL978" s="234"/>
      <c r="AM978" s="234"/>
      <c r="AN978" s="234"/>
      <c r="AO978" s="234"/>
    </row>
    <row r="979" ht="15.75" customHeight="1">
      <c r="A979" s="91"/>
      <c r="B979" s="91"/>
      <c r="C979" s="220"/>
      <c r="D979" s="54" t="s">
        <v>274</v>
      </c>
      <c r="E979" s="32">
        <v>31.09</v>
      </c>
      <c r="F979" s="148">
        <v>31.36</v>
      </c>
      <c r="G979" s="91"/>
      <c r="H979" s="242"/>
      <c r="I979" s="91"/>
      <c r="J979" s="234"/>
      <c r="K979" s="243"/>
      <c r="L979" s="243"/>
      <c r="M979" s="247"/>
      <c r="N979" s="235"/>
      <c r="O979" s="236"/>
      <c r="P979" s="236"/>
      <c r="Q979" s="236"/>
      <c r="R979" s="236"/>
      <c r="S979" s="236"/>
      <c r="T979" s="236"/>
      <c r="U979" s="236"/>
      <c r="V979" s="236"/>
      <c r="W979" s="236"/>
      <c r="X979" s="244"/>
      <c r="Y979" s="244"/>
      <c r="Z979" s="237"/>
      <c r="AA979" s="244"/>
      <c r="AB979" s="244"/>
      <c r="AC979" s="244"/>
      <c r="AD979" s="244"/>
      <c r="AE979" s="234"/>
      <c r="AF979" s="234"/>
      <c r="AG979" s="238"/>
      <c r="AH979" s="239"/>
      <c r="AI979" s="238"/>
      <c r="AJ979" s="238"/>
      <c r="AK979" s="234"/>
      <c r="AL979" s="234"/>
      <c r="AM979" s="234"/>
      <c r="AN979" s="234"/>
      <c r="AO979" s="234"/>
    </row>
    <row r="980" ht="15.75" customHeight="1">
      <c r="A980" s="91"/>
      <c r="B980" s="91"/>
      <c r="C980" s="220"/>
      <c r="D980" s="54" t="s">
        <v>275</v>
      </c>
      <c r="E980" s="32">
        <v>31.375</v>
      </c>
      <c r="F980" s="32">
        <v>30.97</v>
      </c>
      <c r="G980" s="91"/>
      <c r="H980" s="242"/>
      <c r="I980" s="91"/>
      <c r="J980" s="234"/>
      <c r="K980" s="243"/>
      <c r="L980" s="243"/>
      <c r="M980" s="234"/>
      <c r="N980" s="235"/>
      <c r="O980" s="236"/>
      <c r="P980" s="236"/>
      <c r="Q980" s="236"/>
      <c r="R980" s="236"/>
      <c r="S980" s="236"/>
      <c r="T980" s="236"/>
      <c r="U980" s="236"/>
      <c r="V980" s="236"/>
      <c r="W980" s="236"/>
      <c r="X980" s="244"/>
      <c r="Y980" s="244"/>
      <c r="Z980" s="237"/>
      <c r="AA980" s="244"/>
      <c r="AB980" s="244"/>
      <c r="AC980" s="244"/>
      <c r="AD980" s="244"/>
      <c r="AE980" s="234"/>
      <c r="AF980" s="234"/>
      <c r="AG980" s="238"/>
      <c r="AH980" s="239"/>
      <c r="AI980" s="238"/>
      <c r="AJ980" s="238"/>
      <c r="AK980" s="234"/>
      <c r="AL980" s="234"/>
      <c r="AM980" s="234"/>
      <c r="AN980" s="234"/>
      <c r="AO980" s="234"/>
    </row>
    <row r="981" ht="15.75" customHeight="1">
      <c r="A981" s="91"/>
      <c r="B981" s="91"/>
      <c r="C981" s="220"/>
      <c r="D981" s="54" t="s">
        <v>276</v>
      </c>
      <c r="E981" s="32">
        <v>31.035</v>
      </c>
      <c r="F981" s="148">
        <v>30.71</v>
      </c>
      <c r="G981" s="91"/>
      <c r="H981" s="242"/>
      <c r="I981" s="91"/>
      <c r="J981" s="234"/>
      <c r="K981" s="243"/>
      <c r="L981" s="243"/>
      <c r="M981" s="234"/>
      <c r="N981" s="235"/>
      <c r="O981" s="236"/>
      <c r="P981" s="236"/>
      <c r="Q981" s="236"/>
      <c r="R981" s="236"/>
      <c r="S981" s="236"/>
      <c r="T981" s="236"/>
      <c r="U981" s="236"/>
      <c r="V981" s="236"/>
      <c r="W981" s="236"/>
      <c r="X981" s="244"/>
      <c r="Y981" s="244"/>
      <c r="Z981" s="237"/>
      <c r="AA981" s="244"/>
      <c r="AB981" s="244"/>
      <c r="AC981" s="244"/>
      <c r="AD981" s="244"/>
      <c r="AE981" s="234"/>
      <c r="AF981" s="234"/>
      <c r="AG981" s="238"/>
      <c r="AH981" s="239"/>
      <c r="AI981" s="238"/>
      <c r="AJ981" s="238"/>
      <c r="AK981" s="234"/>
      <c r="AL981" s="234"/>
      <c r="AM981" s="234"/>
      <c r="AN981" s="234"/>
      <c r="AO981" s="234"/>
    </row>
    <row r="982" ht="15.75" customHeight="1">
      <c r="A982" s="248"/>
      <c r="B982" s="91"/>
      <c r="C982" s="220"/>
      <c r="D982" s="54" t="s">
        <v>277</v>
      </c>
      <c r="E982" s="32">
        <v>30.47</v>
      </c>
      <c r="F982" s="246">
        <v>30.49</v>
      </c>
      <c r="G982" s="91"/>
      <c r="H982" s="242"/>
      <c r="I982" s="91"/>
      <c r="J982" s="234"/>
      <c r="K982" s="243"/>
      <c r="L982" s="243"/>
      <c r="M982" s="234"/>
      <c r="N982" s="235"/>
      <c r="O982" s="236"/>
      <c r="P982" s="236"/>
      <c r="Q982" s="236"/>
      <c r="R982" s="236"/>
      <c r="S982" s="236"/>
      <c r="T982" s="236"/>
      <c r="U982" s="236"/>
      <c r="V982" s="236"/>
      <c r="W982" s="236"/>
      <c r="X982" s="244"/>
      <c r="Y982" s="244"/>
      <c r="Z982" s="237"/>
      <c r="AA982" s="244"/>
      <c r="AB982" s="244"/>
      <c r="AC982" s="244"/>
      <c r="AD982" s="244"/>
      <c r="AE982" s="234"/>
      <c r="AF982" s="234"/>
      <c r="AG982" s="238"/>
      <c r="AH982" s="239"/>
      <c r="AI982" s="238"/>
      <c r="AJ982" s="238"/>
      <c r="AK982" s="234"/>
      <c r="AL982" s="234"/>
      <c r="AM982" s="234"/>
      <c r="AN982" s="234"/>
      <c r="AO982" s="234"/>
    </row>
    <row r="983" ht="15.75" customHeight="1">
      <c r="A983" s="91"/>
      <c r="B983" s="91"/>
      <c r="C983" s="220"/>
      <c r="D983" s="54" t="s">
        <v>278</v>
      </c>
      <c r="E983" s="32">
        <v>30.495</v>
      </c>
      <c r="F983" s="148"/>
      <c r="G983" s="91"/>
      <c r="H983" s="242"/>
      <c r="I983" s="91"/>
      <c r="J983" s="234"/>
      <c r="K983" s="243"/>
      <c r="L983" s="243"/>
      <c r="M983" s="234"/>
      <c r="N983" s="235"/>
      <c r="O983" s="236"/>
      <c r="P983" s="236"/>
      <c r="R983" s="236"/>
      <c r="S983" s="236"/>
      <c r="T983" s="236"/>
      <c r="U983" s="236"/>
      <c r="V983" s="236"/>
      <c r="W983" s="236"/>
      <c r="X983" s="244"/>
      <c r="Y983" s="244"/>
      <c r="Z983" s="237"/>
      <c r="AA983" s="244"/>
      <c r="AB983" s="244"/>
      <c r="AC983" s="244"/>
      <c r="AD983" s="244"/>
      <c r="AE983" s="234"/>
      <c r="AF983" s="234"/>
      <c r="AG983" s="238"/>
      <c r="AH983" s="239"/>
      <c r="AI983" s="238"/>
      <c r="AJ983" s="238"/>
      <c r="AK983" s="234"/>
      <c r="AL983" s="234"/>
      <c r="AM983" s="234"/>
      <c r="AN983" s="234"/>
      <c r="AO983" s="234"/>
    </row>
    <row r="984" ht="15.75" customHeight="1">
      <c r="A984" s="91"/>
      <c r="B984" s="91"/>
      <c r="C984" s="220"/>
      <c r="D984" s="91"/>
      <c r="E984" s="221"/>
      <c r="F984" s="91"/>
      <c r="G984" s="91"/>
      <c r="H984" s="242"/>
      <c r="I984" s="91"/>
      <c r="J984" s="234"/>
      <c r="K984" s="243"/>
      <c r="L984" s="243"/>
      <c r="M984" s="234"/>
      <c r="N984" s="235"/>
      <c r="O984" s="236"/>
      <c r="P984" s="236"/>
      <c r="Q984" s="236"/>
      <c r="R984" s="236"/>
      <c r="S984" s="236"/>
      <c r="T984" s="236"/>
      <c r="U984" s="236"/>
      <c r="V984" s="236"/>
      <c r="W984" s="236"/>
      <c r="X984" s="244"/>
      <c r="Y984" s="244"/>
      <c r="Z984" s="237"/>
      <c r="AA984" s="244"/>
      <c r="AB984" s="244"/>
      <c r="AC984" s="244"/>
      <c r="AD984" s="244"/>
      <c r="AE984" s="234"/>
      <c r="AF984" s="234"/>
      <c r="AG984" s="238"/>
      <c r="AH984" s="239"/>
      <c r="AI984" s="238"/>
      <c r="AJ984" s="238"/>
      <c r="AK984" s="234"/>
      <c r="AL984" s="234"/>
      <c r="AM984" s="234"/>
      <c r="AN984" s="234"/>
      <c r="AO984" s="234"/>
    </row>
    <row r="985" ht="15.75" customHeight="1">
      <c r="A985" s="91"/>
      <c r="B985" s="57"/>
      <c r="C985" s="240" t="s">
        <v>264</v>
      </c>
      <c r="D985" s="241" t="s">
        <v>265</v>
      </c>
      <c r="E985" s="221"/>
      <c r="F985" s="91"/>
      <c r="G985" s="91"/>
      <c r="H985" s="242"/>
      <c r="I985" s="91"/>
      <c r="J985" s="234"/>
      <c r="K985" s="243"/>
      <c r="L985" s="243"/>
      <c r="M985" s="234"/>
      <c r="N985" s="235"/>
      <c r="O985" s="236"/>
      <c r="P985" s="236"/>
      <c r="Q985" s="236"/>
      <c r="R985" s="236"/>
      <c r="S985" s="236"/>
      <c r="T985" s="236"/>
      <c r="U985" s="236"/>
      <c r="V985" s="236"/>
      <c r="W985" s="236"/>
      <c r="X985" s="244"/>
      <c r="Y985" s="244"/>
      <c r="Z985" s="237"/>
      <c r="AA985" s="244"/>
      <c r="AB985" s="244"/>
      <c r="AC985" s="244"/>
      <c r="AD985" s="244"/>
      <c r="AE985" s="234"/>
      <c r="AF985" s="234"/>
      <c r="AG985" s="238"/>
      <c r="AH985" s="239"/>
      <c r="AI985" s="238"/>
      <c r="AJ985" s="238"/>
      <c r="AK985" s="234"/>
      <c r="AL985" s="234"/>
      <c r="AM985" s="234"/>
      <c r="AN985" s="234"/>
      <c r="AO985" s="234"/>
    </row>
    <row r="986" ht="15.75" customHeight="1">
      <c r="A986" s="91"/>
      <c r="B986" s="54" t="s">
        <v>267</v>
      </c>
      <c r="C986" s="21">
        <v>30.715</v>
      </c>
      <c r="D986" s="148">
        <v>30.815</v>
      </c>
      <c r="E986" s="221"/>
      <c r="F986" s="91"/>
      <c r="G986" s="91"/>
      <c r="H986" s="242"/>
      <c r="I986" s="91"/>
      <c r="J986" s="234"/>
      <c r="K986" s="243"/>
      <c r="L986" s="243"/>
      <c r="M986" s="234"/>
      <c r="N986" s="235"/>
      <c r="O986" s="236"/>
      <c r="P986" s="236"/>
      <c r="Q986" s="236"/>
      <c r="R986" s="236"/>
      <c r="S986" s="236"/>
      <c r="T986" s="236"/>
      <c r="U986" s="236"/>
      <c r="V986" s="236"/>
      <c r="W986" s="236"/>
      <c r="X986" s="244"/>
      <c r="Y986" s="244"/>
      <c r="Z986" s="237"/>
      <c r="AA986" s="244"/>
      <c r="AB986" s="244"/>
      <c r="AC986" s="244"/>
      <c r="AD986" s="244"/>
      <c r="AE986" s="234"/>
      <c r="AF986" s="234"/>
      <c r="AG986" s="238"/>
      <c r="AH986" s="239"/>
      <c r="AI986" s="238"/>
      <c r="AJ986" s="238"/>
      <c r="AK986" s="234"/>
      <c r="AL986" s="234"/>
      <c r="AM986" s="234"/>
      <c r="AN986" s="234"/>
      <c r="AO986" s="234"/>
    </row>
    <row r="987" ht="15.75" customHeight="1">
      <c r="A987" s="91"/>
      <c r="B987" s="54" t="s">
        <v>268</v>
      </c>
      <c r="C987" s="21">
        <v>30.735</v>
      </c>
      <c r="D987" s="148">
        <v>30.85</v>
      </c>
      <c r="E987" s="221"/>
      <c r="F987" s="91"/>
      <c r="G987" s="91"/>
      <c r="H987" s="242"/>
      <c r="I987" s="91"/>
      <c r="J987" s="234"/>
      <c r="K987" s="243"/>
      <c r="L987" s="243"/>
      <c r="M987" s="234"/>
      <c r="N987" s="235"/>
      <c r="O987" s="236"/>
      <c r="P987" s="236"/>
      <c r="Q987" s="236"/>
      <c r="R987" s="236"/>
      <c r="S987" s="236"/>
      <c r="T987" s="236"/>
      <c r="U987" s="236"/>
      <c r="V987" s="236"/>
      <c r="W987" s="236"/>
      <c r="X987" s="244"/>
      <c r="Y987" s="244"/>
      <c r="Z987" s="237"/>
      <c r="AA987" s="244"/>
      <c r="AB987" s="244"/>
      <c r="AC987" s="244"/>
      <c r="AD987" s="244"/>
      <c r="AE987" s="234"/>
      <c r="AF987" s="234"/>
      <c r="AG987" s="238"/>
      <c r="AH987" s="239"/>
      <c r="AI987" s="238"/>
      <c r="AJ987" s="238"/>
      <c r="AK987" s="234"/>
      <c r="AL987" s="234"/>
      <c r="AM987" s="234"/>
      <c r="AN987" s="234"/>
      <c r="AO987" s="234"/>
    </row>
    <row r="988" ht="15.75" customHeight="1">
      <c r="A988" s="91"/>
      <c r="B988" s="54" t="s">
        <v>269</v>
      </c>
      <c r="C988" s="21">
        <v>30.82</v>
      </c>
      <c r="D988" s="148">
        <v>30.875</v>
      </c>
      <c r="E988" s="221"/>
      <c r="F988" s="91"/>
      <c r="G988" s="91"/>
      <c r="H988" s="242"/>
      <c r="I988" s="91"/>
      <c r="J988" s="234"/>
      <c r="K988" s="243"/>
      <c r="L988" s="243"/>
      <c r="M988" s="234"/>
      <c r="N988" s="235"/>
      <c r="O988" s="236"/>
      <c r="P988" s="236"/>
      <c r="Q988" s="236"/>
      <c r="R988" s="236"/>
      <c r="S988" s="236"/>
      <c r="T988" s="236"/>
      <c r="U988" s="236"/>
      <c r="V988" s="236"/>
      <c r="W988" s="236"/>
      <c r="X988" s="244"/>
      <c r="Y988" s="244"/>
      <c r="Z988" s="237"/>
      <c r="AA988" s="244"/>
      <c r="AB988" s="244"/>
      <c r="AC988" s="244"/>
      <c r="AD988" s="244"/>
      <c r="AE988" s="234"/>
      <c r="AF988" s="234"/>
      <c r="AG988" s="238"/>
      <c r="AH988" s="239"/>
      <c r="AI988" s="238"/>
      <c r="AJ988" s="238"/>
      <c r="AK988" s="234"/>
      <c r="AL988" s="234"/>
      <c r="AM988" s="234"/>
      <c r="AN988" s="234"/>
      <c r="AO988" s="234"/>
    </row>
    <row r="989" ht="15.75" customHeight="1">
      <c r="A989" s="91"/>
      <c r="B989" s="54" t="s">
        <v>270</v>
      </c>
      <c r="C989" s="32">
        <v>30.795</v>
      </c>
      <c r="D989" s="246">
        <v>30.87</v>
      </c>
      <c r="E989" s="249"/>
      <c r="F989" s="91"/>
      <c r="G989" s="91"/>
      <c r="H989" s="242"/>
      <c r="I989" s="91"/>
      <c r="J989" s="234"/>
      <c r="K989" s="243"/>
      <c r="L989" s="243"/>
      <c r="M989" s="234"/>
      <c r="N989" s="235"/>
      <c r="O989" s="236"/>
      <c r="P989" s="236"/>
      <c r="Q989" s="236"/>
      <c r="R989" s="236"/>
      <c r="S989" s="236"/>
      <c r="T989" s="236"/>
      <c r="U989" s="236"/>
      <c r="V989" s="236"/>
      <c r="W989" s="236"/>
      <c r="X989" s="244"/>
      <c r="Y989" s="244"/>
      <c r="Z989" s="237"/>
      <c r="AA989" s="244"/>
      <c r="AB989" s="244"/>
      <c r="AC989" s="244"/>
      <c r="AD989" s="244"/>
      <c r="AE989" s="234"/>
      <c r="AF989" s="234"/>
      <c r="AG989" s="238"/>
      <c r="AH989" s="239"/>
      <c r="AI989" s="238"/>
      <c r="AJ989" s="238"/>
      <c r="AK989" s="234"/>
      <c r="AL989" s="234"/>
      <c r="AM989" s="234"/>
      <c r="AN989" s="234"/>
      <c r="AO989" s="234"/>
    </row>
    <row r="990" ht="15.75" customHeight="1">
      <c r="A990" s="91"/>
      <c r="B990" s="54" t="s">
        <v>271</v>
      </c>
      <c r="C990" s="32">
        <v>30.9</v>
      </c>
      <c r="D990" s="148">
        <v>31.16</v>
      </c>
      <c r="E990" s="221"/>
      <c r="F990" s="91"/>
      <c r="G990" s="91"/>
      <c r="H990" s="242"/>
      <c r="I990" s="91"/>
      <c r="J990" s="234"/>
      <c r="K990" s="243"/>
      <c r="L990" s="243"/>
      <c r="M990" s="234"/>
      <c r="N990" s="235"/>
      <c r="O990" s="236"/>
      <c r="P990" s="236"/>
      <c r="Q990" s="236"/>
      <c r="R990" s="236"/>
      <c r="S990" s="236"/>
      <c r="T990" s="236"/>
      <c r="U990" s="236"/>
      <c r="V990" s="236"/>
      <c r="W990" s="236"/>
      <c r="X990" s="244"/>
      <c r="Y990" s="244"/>
      <c r="Z990" s="237"/>
      <c r="AA990" s="244"/>
      <c r="AB990" s="244"/>
      <c r="AC990" s="244"/>
      <c r="AD990" s="244"/>
      <c r="AE990" s="234"/>
      <c r="AF990" s="234"/>
      <c r="AG990" s="238"/>
      <c r="AH990" s="239"/>
      <c r="AI990" s="238"/>
      <c r="AJ990" s="238"/>
      <c r="AK990" s="234"/>
      <c r="AL990" s="234"/>
      <c r="AM990" s="234"/>
      <c r="AN990" s="234"/>
      <c r="AO990" s="234"/>
    </row>
    <row r="991" ht="15.75" customHeight="1">
      <c r="A991" s="91"/>
      <c r="B991" s="54" t="s">
        <v>272</v>
      </c>
      <c r="C991" s="32">
        <v>31.495</v>
      </c>
      <c r="D991" s="148">
        <v>31.52</v>
      </c>
      <c r="E991" s="221"/>
      <c r="F991" s="91"/>
      <c r="G991" s="91"/>
      <c r="H991" s="242"/>
      <c r="I991" s="91"/>
      <c r="J991" s="234"/>
      <c r="K991" s="243"/>
      <c r="L991" s="243"/>
      <c r="M991" s="234"/>
      <c r="N991" s="244"/>
      <c r="O991" s="236"/>
      <c r="P991" s="236"/>
      <c r="Q991" s="236"/>
      <c r="R991" s="236"/>
      <c r="S991" s="236"/>
      <c r="T991" s="236"/>
      <c r="U991" s="236"/>
      <c r="V991" s="236"/>
      <c r="W991" s="236"/>
      <c r="X991" s="244"/>
      <c r="Y991" s="244"/>
      <c r="Z991" s="237"/>
      <c r="AA991" s="244"/>
      <c r="AB991" s="244"/>
      <c r="AC991" s="244"/>
      <c r="AD991" s="244"/>
      <c r="AE991" s="234"/>
      <c r="AF991" s="234"/>
      <c r="AG991" s="238"/>
      <c r="AH991" s="239"/>
      <c r="AI991" s="238"/>
      <c r="AJ991" s="238"/>
      <c r="AK991" s="234"/>
      <c r="AL991" s="234"/>
      <c r="AM991" s="234"/>
      <c r="AN991" s="234"/>
      <c r="AO991" s="234"/>
    </row>
    <row r="992" ht="15.75" customHeight="1">
      <c r="A992" s="91"/>
      <c r="B992" s="54" t="s">
        <v>273</v>
      </c>
      <c r="C992" s="32">
        <v>30.98</v>
      </c>
      <c r="D992" s="148">
        <v>31.03</v>
      </c>
      <c r="E992" s="221"/>
      <c r="F992" s="91"/>
      <c r="G992" s="91"/>
      <c r="H992" s="242"/>
      <c r="I992" s="91"/>
      <c r="J992" s="234"/>
      <c r="K992" s="243"/>
      <c r="L992" s="243"/>
      <c r="M992" s="234"/>
      <c r="N992" s="235"/>
      <c r="O992" s="236"/>
      <c r="P992" s="236"/>
      <c r="Q992" s="236"/>
      <c r="R992" s="236"/>
      <c r="S992" s="236"/>
      <c r="T992" s="236"/>
      <c r="U992" s="236"/>
      <c r="V992" s="236"/>
      <c r="W992" s="236"/>
      <c r="X992" s="244"/>
      <c r="Y992" s="244"/>
      <c r="Z992" s="237"/>
      <c r="AA992" s="244"/>
      <c r="AB992" s="244"/>
      <c r="AC992" s="244"/>
      <c r="AD992" s="244"/>
      <c r="AE992" s="234"/>
      <c r="AF992" s="234"/>
      <c r="AG992" s="238"/>
      <c r="AH992" s="239"/>
      <c r="AI992" s="238"/>
      <c r="AJ992" s="238"/>
      <c r="AK992" s="234"/>
      <c r="AL992" s="234"/>
      <c r="AM992" s="234"/>
      <c r="AN992" s="234"/>
      <c r="AO992" s="234"/>
    </row>
    <row r="993" ht="15.75" customHeight="1">
      <c r="A993" s="91"/>
      <c r="B993" s="54" t="s">
        <v>274</v>
      </c>
      <c r="C993" s="32">
        <v>31.09</v>
      </c>
      <c r="D993" s="148">
        <v>31.36</v>
      </c>
      <c r="E993" s="221"/>
      <c r="F993" s="91"/>
      <c r="G993" s="91"/>
      <c r="H993" s="242"/>
      <c r="I993" s="91"/>
      <c r="J993" s="234"/>
      <c r="K993" s="243"/>
      <c r="L993" s="243"/>
      <c r="M993" s="234"/>
      <c r="N993" s="235"/>
      <c r="O993" s="236"/>
      <c r="P993" s="236"/>
      <c r="Q993" s="236"/>
      <c r="R993" s="236"/>
      <c r="S993" s="236"/>
      <c r="T993" s="236"/>
      <c r="U993" s="236"/>
      <c r="V993" s="236"/>
      <c r="W993" s="236"/>
      <c r="X993" s="244"/>
      <c r="Y993" s="244"/>
      <c r="Z993" s="237"/>
      <c r="AA993" s="244"/>
      <c r="AB993" s="244"/>
      <c r="AC993" s="244"/>
      <c r="AD993" s="244"/>
      <c r="AE993" s="234"/>
      <c r="AF993" s="234"/>
      <c r="AG993" s="238"/>
      <c r="AH993" s="239"/>
      <c r="AI993" s="238"/>
      <c r="AJ993" s="238"/>
      <c r="AK993" s="234"/>
      <c r="AL993" s="234"/>
      <c r="AM993" s="234"/>
      <c r="AN993" s="234"/>
      <c r="AO993" s="234"/>
    </row>
    <row r="994" ht="15.75" customHeight="1">
      <c r="A994" s="91"/>
      <c r="B994" s="54" t="s">
        <v>275</v>
      </c>
      <c r="C994" s="32">
        <v>31.375</v>
      </c>
      <c r="D994" s="32">
        <v>30.97</v>
      </c>
      <c r="E994" s="221"/>
      <c r="F994" s="91"/>
      <c r="G994" s="91"/>
      <c r="H994" s="242"/>
      <c r="I994" s="91"/>
      <c r="J994" s="234"/>
      <c r="K994" s="243"/>
      <c r="L994" s="243"/>
      <c r="M994" s="234"/>
      <c r="N994" s="235"/>
      <c r="O994" s="236"/>
      <c r="P994" s="236"/>
      <c r="Q994" s="236"/>
      <c r="R994" s="236"/>
      <c r="S994" s="236"/>
      <c r="T994" s="236"/>
      <c r="U994" s="236"/>
      <c r="V994" s="236"/>
      <c r="W994" s="236"/>
      <c r="X994" s="244"/>
      <c r="Y994" s="244"/>
      <c r="Z994" s="237"/>
      <c r="AA994" s="244"/>
      <c r="AB994" s="244"/>
      <c r="AC994" s="244"/>
      <c r="AD994" s="244"/>
      <c r="AE994" s="234"/>
      <c r="AF994" s="234"/>
      <c r="AG994" s="238"/>
      <c r="AH994" s="239"/>
      <c r="AI994" s="238"/>
      <c r="AJ994" s="238"/>
      <c r="AK994" s="234"/>
      <c r="AL994" s="234"/>
      <c r="AM994" s="234"/>
      <c r="AN994" s="234"/>
      <c r="AO994" s="234"/>
    </row>
    <row r="995" ht="15.75" customHeight="1">
      <c r="A995" s="91"/>
      <c r="B995" s="54" t="s">
        <v>276</v>
      </c>
      <c r="C995" s="32">
        <v>31.035</v>
      </c>
      <c r="D995" s="148">
        <v>30.71</v>
      </c>
      <c r="E995" s="221"/>
      <c r="F995" s="91"/>
      <c r="G995" s="91"/>
      <c r="H995" s="242"/>
      <c r="I995" s="91"/>
      <c r="J995" s="234"/>
      <c r="K995" s="243"/>
      <c r="L995" s="243"/>
      <c r="M995" s="234"/>
      <c r="N995" s="235"/>
      <c r="O995" s="236"/>
      <c r="P995" s="236"/>
      <c r="Q995" s="236"/>
      <c r="R995" s="236"/>
      <c r="S995" s="236"/>
      <c r="T995" s="236"/>
      <c r="U995" s="236"/>
      <c r="V995" s="236"/>
      <c r="W995" s="236"/>
      <c r="X995" s="244"/>
      <c r="Y995" s="244"/>
      <c r="Z995" s="237"/>
      <c r="AA995" s="244"/>
      <c r="AB995" s="244"/>
      <c r="AC995" s="244"/>
      <c r="AD995" s="244"/>
      <c r="AE995" s="234"/>
      <c r="AF995" s="234"/>
      <c r="AG995" s="238"/>
      <c r="AH995" s="239"/>
      <c r="AI995" s="238"/>
      <c r="AJ995" s="238"/>
      <c r="AK995" s="234"/>
      <c r="AL995" s="234"/>
      <c r="AM995" s="234"/>
      <c r="AN995" s="234"/>
      <c r="AO995" s="234"/>
    </row>
    <row r="996" ht="15.75" customHeight="1">
      <c r="A996" s="91"/>
      <c r="B996" s="54" t="s">
        <v>277</v>
      </c>
      <c r="C996" s="32">
        <v>30.47</v>
      </c>
      <c r="D996" s="246">
        <v>30.49</v>
      </c>
      <c r="E996" s="221"/>
      <c r="F996" s="91"/>
      <c r="G996" s="91"/>
      <c r="H996" s="242"/>
      <c r="I996" s="91"/>
      <c r="J996" s="234"/>
      <c r="K996" s="243"/>
      <c r="L996" s="243"/>
      <c r="M996" s="234"/>
      <c r="N996" s="235"/>
      <c r="O996" s="236"/>
      <c r="P996" s="236"/>
      <c r="Q996" s="236"/>
      <c r="R996" s="236"/>
      <c r="S996" s="236"/>
      <c r="T996" s="236"/>
      <c r="U996" s="236"/>
      <c r="V996" s="236"/>
      <c r="W996" s="236"/>
      <c r="X996" s="244"/>
      <c r="Y996" s="244"/>
      <c r="Z996" s="237"/>
      <c r="AA996" s="244"/>
      <c r="AB996" s="244"/>
      <c r="AC996" s="244"/>
      <c r="AD996" s="244"/>
      <c r="AE996" s="234"/>
      <c r="AF996" s="234"/>
      <c r="AG996" s="238"/>
      <c r="AH996" s="239"/>
      <c r="AI996" s="238"/>
      <c r="AJ996" s="238"/>
      <c r="AK996" s="234"/>
      <c r="AL996" s="234"/>
      <c r="AM996" s="234"/>
      <c r="AN996" s="234"/>
      <c r="AO996" s="234"/>
    </row>
    <row r="997" ht="15.75" customHeight="1">
      <c r="A997" s="91"/>
      <c r="B997" s="54" t="s">
        <v>278</v>
      </c>
      <c r="C997" s="32">
        <v>30.495</v>
      </c>
      <c r="D997" s="32">
        <v>30.22</v>
      </c>
      <c r="E997" s="221"/>
      <c r="F997" s="91"/>
      <c r="G997" s="91"/>
      <c r="H997" s="242"/>
      <c r="I997" s="91"/>
      <c r="J997" s="234"/>
      <c r="K997" s="243"/>
      <c r="L997" s="243"/>
      <c r="M997" s="234"/>
      <c r="N997" s="235"/>
      <c r="O997" s="236"/>
      <c r="P997" s="229"/>
      <c r="Q997" s="236"/>
      <c r="R997" s="236"/>
      <c r="S997" s="236"/>
      <c r="T997" s="236"/>
      <c r="U997" s="236"/>
      <c r="V997" s="236"/>
      <c r="W997" s="236"/>
      <c r="X997" s="244"/>
      <c r="Y997" s="244"/>
      <c r="Z997" s="237"/>
      <c r="AA997" s="244"/>
      <c r="AB997" s="244"/>
      <c r="AC997" s="244"/>
      <c r="AD997" s="244"/>
      <c r="AE997" s="234"/>
      <c r="AF997" s="234"/>
      <c r="AG997" s="238"/>
      <c r="AH997" s="239"/>
      <c r="AI997" s="238"/>
      <c r="AJ997" s="238"/>
      <c r="AK997" s="234"/>
      <c r="AL997" s="234"/>
      <c r="AM997" s="234"/>
      <c r="AN997" s="234"/>
      <c r="AO997" s="234"/>
    </row>
    <row r="998" ht="15.75" customHeight="1">
      <c r="A998" s="91"/>
      <c r="B998" s="91"/>
      <c r="C998" s="220"/>
      <c r="D998" s="91"/>
      <c r="E998" s="221"/>
      <c r="F998" s="91"/>
      <c r="G998" s="91"/>
      <c r="H998" s="242"/>
      <c r="I998" s="91"/>
      <c r="J998" s="234"/>
      <c r="K998" s="243"/>
      <c r="L998" s="243"/>
      <c r="M998" s="234"/>
      <c r="N998" s="235"/>
      <c r="O998" s="236"/>
      <c r="P998" s="236"/>
      <c r="Q998" s="236"/>
      <c r="R998" s="236"/>
      <c r="S998" s="236"/>
      <c r="T998" s="236"/>
      <c r="U998" s="236"/>
      <c r="V998" s="236"/>
      <c r="W998" s="236"/>
      <c r="X998" s="244"/>
      <c r="Y998" s="244"/>
      <c r="Z998" s="237"/>
      <c r="AA998" s="244"/>
      <c r="AB998" s="244"/>
      <c r="AC998" s="244"/>
      <c r="AD998" s="244"/>
      <c r="AE998" s="234"/>
      <c r="AF998" s="234"/>
      <c r="AG998" s="238"/>
      <c r="AH998" s="239"/>
      <c r="AI998" s="238"/>
      <c r="AJ998" s="238"/>
      <c r="AK998" s="234"/>
      <c r="AL998" s="234"/>
      <c r="AM998" s="234"/>
      <c r="AN998" s="234"/>
      <c r="AO998" s="234"/>
    </row>
    <row r="999" ht="15.75" customHeight="1">
      <c r="A999" s="91"/>
      <c r="B999" s="91"/>
      <c r="C999" s="220"/>
      <c r="D999" s="91"/>
      <c r="E999" s="221"/>
      <c r="F999" s="91"/>
      <c r="G999" s="91"/>
      <c r="H999" s="242"/>
      <c r="I999" s="91"/>
      <c r="J999" s="234"/>
      <c r="K999" s="243"/>
      <c r="L999" s="243"/>
      <c r="M999" s="234"/>
      <c r="N999" s="235"/>
      <c r="O999" s="236"/>
      <c r="P999" s="236"/>
      <c r="Q999" s="236"/>
      <c r="R999" s="236"/>
      <c r="S999" s="236"/>
      <c r="T999" s="236"/>
      <c r="U999" s="236"/>
      <c r="V999" s="236"/>
      <c r="W999" s="236"/>
      <c r="X999" s="244"/>
      <c r="Y999" s="244"/>
      <c r="Z999" s="237"/>
      <c r="AA999" s="244"/>
      <c r="AB999" s="244"/>
      <c r="AC999" s="244"/>
      <c r="AD999" s="244"/>
      <c r="AE999" s="234"/>
      <c r="AF999" s="234"/>
      <c r="AG999" s="238"/>
      <c r="AH999" s="239"/>
      <c r="AI999" s="238"/>
      <c r="AJ999" s="238"/>
      <c r="AK999" s="234"/>
      <c r="AL999" s="234"/>
      <c r="AM999" s="234"/>
      <c r="AN999" s="234"/>
      <c r="AO999" s="234"/>
    </row>
    <row r="1000" ht="15.75" customHeight="1">
      <c r="A1000" s="91"/>
      <c r="B1000" s="91"/>
      <c r="C1000" s="220"/>
      <c r="D1000" s="91"/>
      <c r="E1000" s="221"/>
      <c r="F1000" s="91"/>
      <c r="G1000" s="91"/>
      <c r="H1000" s="242"/>
      <c r="I1000" s="91"/>
      <c r="J1000" s="234"/>
      <c r="K1000" s="243"/>
      <c r="L1000" s="243"/>
      <c r="M1000" s="234"/>
      <c r="N1000" s="235"/>
      <c r="O1000" s="236"/>
      <c r="P1000" s="236"/>
      <c r="Q1000" s="236"/>
      <c r="R1000" s="236"/>
      <c r="S1000" s="236"/>
      <c r="T1000" s="236"/>
      <c r="U1000" s="236"/>
      <c r="V1000" s="236"/>
      <c r="W1000" s="236"/>
      <c r="X1000" s="244"/>
      <c r="Y1000" s="244"/>
      <c r="Z1000" s="237"/>
      <c r="AA1000" s="244"/>
      <c r="AB1000" s="244"/>
      <c r="AC1000" s="244"/>
      <c r="AD1000" s="244"/>
      <c r="AE1000" s="234"/>
      <c r="AF1000" s="234"/>
      <c r="AG1000" s="238"/>
      <c r="AH1000" s="239"/>
      <c r="AI1000" s="238"/>
      <c r="AJ1000" s="238"/>
      <c r="AK1000" s="234"/>
      <c r="AL1000" s="234"/>
      <c r="AM1000" s="234"/>
      <c r="AN1000" s="234"/>
      <c r="AO1000" s="234"/>
    </row>
    <row r="1001" ht="15.75" customHeight="1">
      <c r="A1001" s="91"/>
      <c r="B1001" s="91"/>
      <c r="C1001" s="220"/>
      <c r="D1001" s="91"/>
      <c r="E1001" s="221"/>
      <c r="F1001" s="91"/>
      <c r="G1001" s="91"/>
      <c r="H1001" s="242"/>
      <c r="I1001" s="91"/>
      <c r="J1001" s="234"/>
      <c r="K1001" s="243"/>
      <c r="L1001" s="243"/>
      <c r="M1001" s="234"/>
      <c r="N1001" s="235"/>
      <c r="O1001" s="236"/>
      <c r="P1001" s="236"/>
      <c r="Q1001" s="236"/>
      <c r="R1001" s="236"/>
      <c r="S1001" s="236"/>
      <c r="T1001" s="236"/>
      <c r="U1001" s="236"/>
      <c r="V1001" s="236"/>
      <c r="W1001" s="236"/>
      <c r="X1001" s="244"/>
      <c r="Y1001" s="244"/>
      <c r="Z1001" s="237"/>
      <c r="AA1001" s="244"/>
      <c r="AB1001" s="244"/>
      <c r="AC1001" s="244"/>
      <c r="AD1001" s="244"/>
      <c r="AE1001" s="234"/>
      <c r="AF1001" s="234"/>
      <c r="AG1001" s="238"/>
      <c r="AH1001" s="239"/>
      <c r="AI1001" s="238"/>
      <c r="AJ1001" s="238"/>
      <c r="AK1001" s="234"/>
      <c r="AL1001" s="234"/>
      <c r="AM1001" s="234"/>
      <c r="AN1001" s="234"/>
      <c r="AO1001" s="234"/>
    </row>
    <row r="1002" ht="15.75" customHeight="1">
      <c r="A1002" s="91"/>
      <c r="B1002" s="91"/>
      <c r="C1002" s="220"/>
      <c r="D1002" s="91"/>
      <c r="E1002" s="221"/>
      <c r="F1002" s="91"/>
      <c r="G1002" s="91"/>
      <c r="H1002" s="242"/>
      <c r="I1002" s="91"/>
      <c r="J1002" s="234"/>
      <c r="K1002" s="243"/>
      <c r="L1002" s="243"/>
      <c r="M1002" s="234"/>
      <c r="N1002" s="235"/>
      <c r="O1002" s="236"/>
      <c r="P1002" s="236"/>
      <c r="Q1002" s="236"/>
      <c r="R1002" s="236"/>
      <c r="S1002" s="236"/>
      <c r="T1002" s="236"/>
      <c r="U1002" s="236"/>
      <c r="V1002" s="236"/>
      <c r="W1002" s="236"/>
      <c r="X1002" s="244"/>
      <c r="Y1002" s="244"/>
      <c r="Z1002" s="237"/>
      <c r="AA1002" s="244"/>
      <c r="AB1002" s="244"/>
      <c r="AC1002" s="244"/>
      <c r="AD1002" s="244"/>
      <c r="AE1002" s="234"/>
      <c r="AF1002" s="234"/>
      <c r="AG1002" s="238"/>
      <c r="AH1002" s="239"/>
      <c r="AI1002" s="238"/>
      <c r="AJ1002" s="238"/>
      <c r="AK1002" s="234"/>
      <c r="AL1002" s="234"/>
      <c r="AM1002" s="234"/>
      <c r="AN1002" s="234"/>
      <c r="AO1002" s="234"/>
    </row>
    <row r="1003" ht="15.75" customHeight="1">
      <c r="A1003" s="91"/>
      <c r="B1003" s="91"/>
      <c r="C1003" s="220"/>
      <c r="D1003" s="91"/>
      <c r="E1003" s="221"/>
      <c r="F1003" s="91"/>
      <c r="G1003" s="91"/>
      <c r="H1003" s="242"/>
      <c r="I1003" s="91"/>
      <c r="J1003" s="234"/>
      <c r="K1003" s="243"/>
      <c r="L1003" s="243"/>
      <c r="M1003" s="234"/>
      <c r="N1003" s="235"/>
      <c r="O1003" s="236"/>
      <c r="P1003" s="236"/>
      <c r="Q1003" s="236"/>
      <c r="R1003" s="236"/>
      <c r="S1003" s="236"/>
      <c r="T1003" s="236"/>
      <c r="U1003" s="236"/>
      <c r="V1003" s="236"/>
      <c r="W1003" s="236"/>
      <c r="X1003" s="244"/>
      <c r="Y1003" s="244"/>
      <c r="Z1003" s="237"/>
      <c r="AA1003" s="244"/>
      <c r="AB1003" s="244"/>
      <c r="AC1003" s="244"/>
      <c r="AD1003" s="244"/>
      <c r="AE1003" s="234"/>
      <c r="AF1003" s="234"/>
      <c r="AG1003" s="238"/>
      <c r="AH1003" s="239"/>
      <c r="AI1003" s="238"/>
      <c r="AJ1003" s="238"/>
      <c r="AK1003" s="234"/>
      <c r="AL1003" s="234"/>
      <c r="AM1003" s="234"/>
      <c r="AN1003" s="234"/>
      <c r="AO1003" s="234"/>
    </row>
    <row r="1004" ht="15.75" customHeight="1">
      <c r="A1004" s="91"/>
      <c r="B1004" s="91"/>
      <c r="C1004" s="220"/>
      <c r="D1004" s="91"/>
      <c r="E1004" s="221"/>
      <c r="F1004" s="91"/>
      <c r="G1004" s="91"/>
      <c r="H1004" s="242"/>
      <c r="I1004" s="91"/>
      <c r="J1004" s="234"/>
      <c r="K1004" s="243"/>
      <c r="L1004" s="243"/>
      <c r="M1004" s="234"/>
      <c r="N1004" s="235"/>
      <c r="O1004" s="236"/>
      <c r="P1004" s="236"/>
      <c r="Q1004" s="236"/>
      <c r="R1004" s="236"/>
      <c r="S1004" s="236"/>
      <c r="T1004" s="236"/>
      <c r="U1004" s="236"/>
      <c r="V1004" s="236"/>
      <c r="W1004" s="236"/>
      <c r="X1004" s="244"/>
      <c r="Y1004" s="244"/>
      <c r="Z1004" s="237"/>
      <c r="AA1004" s="244"/>
      <c r="AB1004" s="244"/>
      <c r="AC1004" s="244"/>
      <c r="AD1004" s="244"/>
      <c r="AE1004" s="234"/>
      <c r="AF1004" s="234"/>
      <c r="AG1004" s="238"/>
      <c r="AH1004" s="239"/>
      <c r="AI1004" s="238"/>
      <c r="AJ1004" s="238"/>
      <c r="AK1004" s="234"/>
      <c r="AL1004" s="234"/>
      <c r="AM1004" s="234"/>
      <c r="AN1004" s="234"/>
      <c r="AO1004" s="234"/>
    </row>
    <row r="1005" ht="15.75" customHeight="1">
      <c r="A1005" s="91"/>
      <c r="B1005" s="91"/>
      <c r="C1005" s="220"/>
      <c r="D1005" s="91"/>
      <c r="E1005" s="221"/>
      <c r="F1005" s="91"/>
      <c r="G1005" s="91"/>
      <c r="H1005" s="242"/>
      <c r="I1005" s="91"/>
      <c r="J1005" s="234"/>
      <c r="K1005" s="243"/>
      <c r="L1005" s="243"/>
      <c r="M1005" s="234"/>
      <c r="N1005" s="235"/>
      <c r="O1005" s="236"/>
      <c r="P1005" s="236"/>
      <c r="Q1005" s="236"/>
      <c r="R1005" s="236"/>
      <c r="S1005" s="236"/>
      <c r="T1005" s="236"/>
      <c r="U1005" s="236"/>
      <c r="V1005" s="236"/>
      <c r="W1005" s="236"/>
      <c r="X1005" s="244"/>
      <c r="Y1005" s="244"/>
      <c r="Z1005" s="237"/>
      <c r="AA1005" s="244"/>
      <c r="AB1005" s="244"/>
      <c r="AC1005" s="244"/>
      <c r="AD1005" s="244"/>
      <c r="AE1005" s="234"/>
      <c r="AF1005" s="234"/>
      <c r="AG1005" s="238"/>
      <c r="AH1005" s="239"/>
      <c r="AI1005" s="238"/>
      <c r="AJ1005" s="238"/>
      <c r="AK1005" s="234"/>
      <c r="AL1005" s="234"/>
      <c r="AM1005" s="234"/>
      <c r="AN1005" s="234"/>
      <c r="AO1005" s="234"/>
    </row>
    <row r="1006" ht="15.75" customHeight="1">
      <c r="A1006" s="91"/>
      <c r="B1006" s="91"/>
      <c r="C1006" s="220"/>
      <c r="D1006" s="91"/>
      <c r="E1006" s="221"/>
      <c r="F1006" s="91"/>
      <c r="G1006" s="91"/>
      <c r="H1006" s="242"/>
      <c r="I1006" s="91"/>
      <c r="J1006" s="234"/>
      <c r="K1006" s="243"/>
      <c r="L1006" s="243"/>
      <c r="M1006" s="234"/>
      <c r="N1006" s="235"/>
      <c r="O1006" s="236"/>
      <c r="P1006" s="236"/>
      <c r="Q1006" s="236"/>
      <c r="R1006" s="236"/>
      <c r="S1006" s="236"/>
      <c r="T1006" s="236"/>
      <c r="U1006" s="236"/>
      <c r="V1006" s="236"/>
      <c r="W1006" s="236"/>
      <c r="X1006" s="244"/>
      <c r="Y1006" s="244"/>
      <c r="Z1006" s="237"/>
      <c r="AA1006" s="244"/>
      <c r="AB1006" s="244"/>
      <c r="AC1006" s="244"/>
      <c r="AD1006" s="244"/>
      <c r="AE1006" s="234"/>
      <c r="AF1006" s="234"/>
      <c r="AG1006" s="238"/>
      <c r="AH1006" s="239"/>
      <c r="AI1006" s="238"/>
      <c r="AJ1006" s="238"/>
      <c r="AK1006" s="234"/>
      <c r="AL1006" s="234"/>
      <c r="AM1006" s="234"/>
      <c r="AN1006" s="234"/>
      <c r="AO1006" s="234"/>
    </row>
    <row r="1007" ht="15.75" customHeight="1">
      <c r="A1007" s="91"/>
      <c r="B1007" s="91"/>
      <c r="C1007" s="220"/>
      <c r="D1007" s="91"/>
      <c r="E1007" s="221"/>
      <c r="F1007" s="91"/>
      <c r="G1007" s="91"/>
      <c r="H1007" s="242"/>
      <c r="I1007" s="91"/>
      <c r="J1007" s="234"/>
      <c r="K1007" s="243"/>
      <c r="L1007" s="243"/>
      <c r="M1007" s="234"/>
      <c r="N1007" s="235"/>
      <c r="O1007" s="236"/>
      <c r="P1007" s="236"/>
      <c r="Q1007" s="236"/>
      <c r="R1007" s="236"/>
      <c r="S1007" s="236"/>
      <c r="T1007" s="236"/>
      <c r="U1007" s="236"/>
      <c r="V1007" s="236"/>
      <c r="W1007" s="236"/>
      <c r="X1007" s="244"/>
      <c r="Y1007" s="244"/>
      <c r="Z1007" s="237"/>
      <c r="AA1007" s="244"/>
      <c r="AB1007" s="244"/>
      <c r="AC1007" s="244"/>
      <c r="AD1007" s="244"/>
      <c r="AE1007" s="234"/>
      <c r="AF1007" s="234"/>
      <c r="AG1007" s="238"/>
      <c r="AH1007" s="239"/>
      <c r="AI1007" s="238"/>
      <c r="AJ1007" s="238"/>
      <c r="AK1007" s="234"/>
      <c r="AL1007" s="234"/>
      <c r="AM1007" s="234"/>
      <c r="AN1007" s="234"/>
      <c r="AO1007" s="234"/>
    </row>
    <row r="1008" ht="15.75" customHeight="1">
      <c r="A1008" s="91"/>
      <c r="B1008" s="91"/>
      <c r="C1008" s="220"/>
      <c r="D1008" s="91"/>
      <c r="E1008" s="221"/>
      <c r="F1008" s="91"/>
      <c r="G1008" s="91"/>
      <c r="H1008" s="242"/>
      <c r="I1008" s="91"/>
      <c r="J1008" s="234"/>
      <c r="K1008" s="243"/>
      <c r="L1008" s="243"/>
      <c r="M1008" s="234"/>
      <c r="N1008" s="235"/>
      <c r="O1008" s="236"/>
      <c r="P1008" s="236"/>
      <c r="Q1008" s="236"/>
      <c r="R1008" s="236"/>
      <c r="S1008" s="236"/>
      <c r="T1008" s="236"/>
      <c r="U1008" s="236"/>
      <c r="V1008" s="236"/>
      <c r="W1008" s="236"/>
      <c r="X1008" s="244"/>
      <c r="Y1008" s="244"/>
      <c r="Z1008" s="237"/>
      <c r="AA1008" s="244"/>
      <c r="AB1008" s="244"/>
      <c r="AC1008" s="244"/>
      <c r="AD1008" s="244"/>
      <c r="AE1008" s="234"/>
      <c r="AF1008" s="234"/>
      <c r="AG1008" s="238"/>
      <c r="AH1008" s="239"/>
      <c r="AI1008" s="238"/>
      <c r="AJ1008" s="238"/>
      <c r="AK1008" s="234"/>
      <c r="AL1008" s="234"/>
      <c r="AM1008" s="234"/>
      <c r="AN1008" s="234"/>
      <c r="AO1008" s="234"/>
    </row>
    <row r="1009" ht="15.75" customHeight="1">
      <c r="A1009" s="91"/>
      <c r="B1009" s="91"/>
      <c r="C1009" s="220"/>
      <c r="D1009" s="91"/>
      <c r="E1009" s="221"/>
      <c r="F1009" s="91"/>
      <c r="G1009" s="91"/>
      <c r="H1009" s="242"/>
      <c r="I1009" s="91"/>
      <c r="J1009" s="234"/>
      <c r="K1009" s="243"/>
      <c r="L1009" s="243"/>
      <c r="M1009" s="234"/>
      <c r="N1009" s="235"/>
      <c r="O1009" s="236"/>
      <c r="P1009" s="236"/>
      <c r="Q1009" s="236"/>
      <c r="R1009" s="236"/>
      <c r="S1009" s="236"/>
      <c r="T1009" s="236"/>
      <c r="U1009" s="236"/>
      <c r="V1009" s="236"/>
      <c r="W1009" s="236"/>
      <c r="X1009" s="244"/>
      <c r="Y1009" s="244"/>
      <c r="Z1009" s="237"/>
      <c r="AA1009" s="244"/>
      <c r="AB1009" s="244"/>
      <c r="AC1009" s="244"/>
      <c r="AD1009" s="244"/>
      <c r="AE1009" s="234"/>
      <c r="AF1009" s="234"/>
      <c r="AG1009" s="238"/>
      <c r="AH1009" s="239"/>
      <c r="AI1009" s="238"/>
      <c r="AJ1009" s="238"/>
      <c r="AK1009" s="234"/>
      <c r="AL1009" s="234"/>
      <c r="AM1009" s="234"/>
      <c r="AN1009" s="234"/>
      <c r="AO1009" s="234"/>
    </row>
    <row r="1010" ht="15.75" customHeight="1">
      <c r="A1010" s="91"/>
      <c r="B1010" s="91"/>
      <c r="C1010" s="220"/>
      <c r="D1010" s="91"/>
      <c r="E1010" s="221"/>
      <c r="F1010" s="91"/>
      <c r="G1010" s="91"/>
      <c r="H1010" s="242"/>
      <c r="I1010" s="91"/>
      <c r="J1010" s="234"/>
      <c r="K1010" s="243"/>
      <c r="L1010" s="243"/>
      <c r="M1010" s="234"/>
      <c r="N1010" s="235"/>
      <c r="O1010" s="236"/>
      <c r="P1010" s="236"/>
      <c r="Q1010" s="236"/>
      <c r="R1010" s="236"/>
      <c r="S1010" s="236"/>
      <c r="T1010" s="236"/>
      <c r="U1010" s="236"/>
      <c r="V1010" s="236"/>
      <c r="W1010" s="236"/>
      <c r="X1010" s="244"/>
      <c r="Y1010" s="244"/>
      <c r="Z1010" s="237"/>
      <c r="AA1010" s="244"/>
      <c r="AB1010" s="244"/>
      <c r="AC1010" s="244"/>
      <c r="AD1010" s="244"/>
      <c r="AE1010" s="234"/>
      <c r="AF1010" s="234"/>
      <c r="AG1010" s="238"/>
      <c r="AH1010" s="239"/>
      <c r="AI1010" s="238"/>
      <c r="AJ1010" s="238"/>
      <c r="AK1010" s="234"/>
      <c r="AL1010" s="234"/>
      <c r="AM1010" s="234"/>
      <c r="AN1010" s="234"/>
      <c r="AO1010" s="234"/>
    </row>
    <row r="1011" ht="15.75" customHeight="1">
      <c r="A1011" s="91"/>
      <c r="B1011" s="91"/>
      <c r="C1011" s="220"/>
      <c r="D1011" s="91"/>
      <c r="E1011" s="221"/>
      <c r="F1011" s="91"/>
      <c r="G1011" s="91"/>
      <c r="H1011" s="242"/>
      <c r="I1011" s="91"/>
      <c r="J1011" s="234"/>
      <c r="K1011" s="243"/>
      <c r="L1011" s="243"/>
      <c r="M1011" s="234"/>
      <c r="N1011" s="235"/>
      <c r="O1011" s="236"/>
      <c r="P1011" s="236"/>
      <c r="Q1011" s="236"/>
      <c r="R1011" s="236"/>
      <c r="S1011" s="236"/>
      <c r="T1011" s="236"/>
      <c r="U1011" s="236"/>
      <c r="V1011" s="236"/>
      <c r="W1011" s="236"/>
      <c r="X1011" s="244"/>
      <c r="Y1011" s="244"/>
      <c r="Z1011" s="237"/>
      <c r="AA1011" s="244"/>
      <c r="AB1011" s="244"/>
      <c r="AC1011" s="244"/>
      <c r="AD1011" s="244"/>
      <c r="AE1011" s="234"/>
      <c r="AF1011" s="234"/>
      <c r="AG1011" s="238"/>
      <c r="AH1011" s="239"/>
      <c r="AI1011" s="238"/>
      <c r="AJ1011" s="238"/>
      <c r="AK1011" s="234"/>
      <c r="AL1011" s="234"/>
      <c r="AM1011" s="234"/>
      <c r="AN1011" s="234"/>
      <c r="AO1011" s="234"/>
    </row>
    <row r="1012" ht="15.75" customHeight="1">
      <c r="A1012" s="91"/>
      <c r="B1012" s="91"/>
      <c r="C1012" s="220"/>
      <c r="D1012" s="91"/>
      <c r="E1012" s="221"/>
      <c r="F1012" s="91"/>
      <c r="G1012" s="91"/>
      <c r="H1012" s="242"/>
      <c r="I1012" s="91"/>
      <c r="J1012" s="234"/>
      <c r="K1012" s="243"/>
      <c r="L1012" s="243"/>
      <c r="M1012" s="234"/>
      <c r="N1012" s="235"/>
      <c r="O1012" s="236"/>
      <c r="P1012" s="236"/>
      <c r="Q1012" s="236"/>
      <c r="R1012" s="236"/>
      <c r="S1012" s="236"/>
      <c r="T1012" s="236"/>
      <c r="U1012" s="236"/>
      <c r="V1012" s="236"/>
      <c r="W1012" s="236"/>
      <c r="X1012" s="244"/>
      <c r="Y1012" s="244"/>
      <c r="Z1012" s="237"/>
      <c r="AA1012" s="244"/>
      <c r="AB1012" s="244"/>
      <c r="AC1012" s="244"/>
      <c r="AD1012" s="244"/>
      <c r="AE1012" s="234"/>
      <c r="AF1012" s="234"/>
      <c r="AG1012" s="238"/>
      <c r="AH1012" s="239"/>
      <c r="AI1012" s="238"/>
      <c r="AJ1012" s="238"/>
      <c r="AK1012" s="234"/>
      <c r="AL1012" s="234"/>
      <c r="AM1012" s="234"/>
      <c r="AN1012" s="234"/>
      <c r="AO1012" s="234"/>
    </row>
    <row r="1013" ht="15.75" customHeight="1">
      <c r="A1013" s="91"/>
      <c r="B1013" s="91"/>
      <c r="C1013" s="220"/>
      <c r="D1013" s="91"/>
      <c r="E1013" s="221"/>
      <c r="F1013" s="91"/>
      <c r="G1013" s="91"/>
      <c r="H1013" s="242"/>
      <c r="I1013" s="91"/>
      <c r="J1013" s="234"/>
      <c r="K1013" s="243"/>
      <c r="L1013" s="243"/>
      <c r="M1013" s="234"/>
      <c r="N1013" s="235"/>
      <c r="O1013" s="236"/>
      <c r="P1013" s="236"/>
      <c r="Q1013" s="236"/>
      <c r="R1013" s="236"/>
      <c r="S1013" s="236"/>
      <c r="T1013" s="236"/>
      <c r="U1013" s="236"/>
      <c r="V1013" s="236"/>
      <c r="W1013" s="236"/>
      <c r="X1013" s="244"/>
      <c r="Y1013" s="244"/>
      <c r="Z1013" s="237"/>
      <c r="AA1013" s="244"/>
      <c r="AB1013" s="244"/>
      <c r="AC1013" s="244"/>
      <c r="AD1013" s="244"/>
      <c r="AE1013" s="234"/>
      <c r="AF1013" s="234"/>
      <c r="AG1013" s="238"/>
      <c r="AH1013" s="239"/>
      <c r="AI1013" s="238"/>
      <c r="AJ1013" s="238"/>
      <c r="AK1013" s="234"/>
      <c r="AL1013" s="234"/>
      <c r="AM1013" s="234"/>
      <c r="AN1013" s="234"/>
      <c r="AO1013" s="234"/>
    </row>
    <row r="1014" ht="15.75" customHeight="1">
      <c r="A1014" s="91"/>
      <c r="B1014" s="91"/>
      <c r="C1014" s="220"/>
      <c r="D1014" s="91"/>
      <c r="E1014" s="221"/>
      <c r="F1014" s="91"/>
      <c r="G1014" s="91"/>
      <c r="H1014" s="242"/>
      <c r="I1014" s="91"/>
      <c r="J1014" s="234"/>
      <c r="K1014" s="243"/>
      <c r="L1014" s="243"/>
      <c r="M1014" s="234"/>
      <c r="N1014" s="235"/>
      <c r="O1014" s="236"/>
      <c r="P1014" s="236"/>
      <c r="Q1014" s="236"/>
      <c r="R1014" s="236"/>
      <c r="S1014" s="236"/>
      <c r="T1014" s="236"/>
      <c r="U1014" s="236"/>
      <c r="V1014" s="236"/>
      <c r="W1014" s="236"/>
      <c r="X1014" s="244"/>
      <c r="Y1014" s="244"/>
      <c r="Z1014" s="237"/>
      <c r="AA1014" s="244"/>
      <c r="AB1014" s="244"/>
      <c r="AC1014" s="244"/>
      <c r="AD1014" s="244"/>
      <c r="AE1014" s="234"/>
      <c r="AF1014" s="234"/>
      <c r="AG1014" s="238"/>
      <c r="AH1014" s="239"/>
      <c r="AI1014" s="238"/>
      <c r="AJ1014" s="238"/>
      <c r="AK1014" s="234"/>
      <c r="AL1014" s="234"/>
      <c r="AM1014" s="234"/>
      <c r="AN1014" s="234"/>
      <c r="AO1014" s="234"/>
    </row>
    <row r="1015" ht="15.75" customHeight="1">
      <c r="A1015" s="91"/>
      <c r="B1015" s="91"/>
      <c r="C1015" s="220"/>
      <c r="D1015" s="91"/>
      <c r="E1015" s="221"/>
      <c r="F1015" s="91"/>
      <c r="G1015" s="91"/>
      <c r="H1015" s="242"/>
      <c r="I1015" s="91"/>
      <c r="J1015" s="234"/>
      <c r="K1015" s="243"/>
      <c r="L1015" s="243"/>
      <c r="M1015" s="234"/>
      <c r="N1015" s="235"/>
      <c r="O1015" s="236"/>
      <c r="P1015" s="236"/>
      <c r="Q1015" s="236"/>
      <c r="R1015" s="236"/>
      <c r="S1015" s="236"/>
      <c r="T1015" s="236"/>
      <c r="U1015" s="236"/>
      <c r="V1015" s="236"/>
      <c r="W1015" s="236"/>
      <c r="X1015" s="244"/>
      <c r="Y1015" s="244"/>
      <c r="Z1015" s="237"/>
      <c r="AA1015" s="244"/>
      <c r="AB1015" s="244"/>
      <c r="AC1015" s="244"/>
      <c r="AD1015" s="244"/>
      <c r="AE1015" s="234"/>
      <c r="AF1015" s="234"/>
      <c r="AG1015" s="238"/>
      <c r="AH1015" s="239"/>
      <c r="AI1015" s="238"/>
      <c r="AJ1015" s="238"/>
      <c r="AK1015" s="234"/>
      <c r="AL1015" s="234"/>
      <c r="AM1015" s="234"/>
      <c r="AN1015" s="234"/>
      <c r="AO1015" s="234"/>
    </row>
    <row r="1016" ht="15.75" customHeight="1">
      <c r="A1016" s="91"/>
      <c r="B1016" s="91"/>
      <c r="C1016" s="220"/>
      <c r="D1016" s="91"/>
      <c r="E1016" s="221"/>
      <c r="F1016" s="91"/>
      <c r="G1016" s="91"/>
      <c r="H1016" s="242"/>
      <c r="I1016" s="91"/>
      <c r="J1016" s="234"/>
      <c r="K1016" s="243"/>
      <c r="L1016" s="243"/>
      <c r="M1016" s="234"/>
      <c r="N1016" s="235"/>
      <c r="O1016" s="236"/>
      <c r="P1016" s="236"/>
      <c r="Q1016" s="236"/>
      <c r="R1016" s="236"/>
      <c r="S1016" s="236"/>
      <c r="T1016" s="236"/>
      <c r="U1016" s="236"/>
      <c r="V1016" s="236"/>
      <c r="W1016" s="236"/>
      <c r="X1016" s="244"/>
      <c r="Y1016" s="244"/>
      <c r="Z1016" s="237"/>
      <c r="AA1016" s="244"/>
      <c r="AB1016" s="244"/>
      <c r="AC1016" s="244"/>
      <c r="AD1016" s="244"/>
      <c r="AE1016" s="234"/>
      <c r="AF1016" s="234"/>
      <c r="AG1016" s="238"/>
      <c r="AH1016" s="239"/>
      <c r="AI1016" s="238"/>
      <c r="AJ1016" s="238"/>
      <c r="AK1016" s="234"/>
      <c r="AL1016" s="234"/>
      <c r="AM1016" s="234"/>
      <c r="AN1016" s="234"/>
      <c r="AO1016" s="234"/>
    </row>
    <row r="1017" ht="15.75" customHeight="1">
      <c r="A1017" s="91"/>
      <c r="B1017" s="91"/>
      <c r="C1017" s="220"/>
      <c r="D1017" s="91"/>
      <c r="E1017" s="221"/>
      <c r="F1017" s="91"/>
      <c r="G1017" s="91"/>
      <c r="H1017" s="242"/>
      <c r="I1017" s="91"/>
      <c r="J1017" s="234"/>
      <c r="K1017" s="243"/>
      <c r="L1017" s="243"/>
      <c r="M1017" s="234"/>
      <c r="N1017" s="235"/>
      <c r="O1017" s="236"/>
      <c r="P1017" s="236"/>
      <c r="Q1017" s="236"/>
      <c r="R1017" s="236"/>
      <c r="S1017" s="236"/>
      <c r="T1017" s="236"/>
      <c r="U1017" s="236"/>
      <c r="V1017" s="236"/>
      <c r="W1017" s="236"/>
      <c r="X1017" s="244"/>
      <c r="Y1017" s="244"/>
      <c r="Z1017" s="237"/>
      <c r="AA1017" s="244"/>
      <c r="AB1017" s="244"/>
      <c r="AC1017" s="244"/>
      <c r="AD1017" s="244"/>
      <c r="AE1017" s="234"/>
      <c r="AF1017" s="234"/>
      <c r="AG1017" s="238"/>
      <c r="AH1017" s="239"/>
      <c r="AI1017" s="238"/>
      <c r="AJ1017" s="238"/>
      <c r="AK1017" s="234"/>
      <c r="AL1017" s="234"/>
      <c r="AM1017" s="234"/>
      <c r="AN1017" s="234"/>
      <c r="AO1017" s="234"/>
    </row>
    <row r="1018" ht="15.75" customHeight="1">
      <c r="A1018" s="91"/>
      <c r="B1018" s="91"/>
      <c r="C1018" s="220"/>
      <c r="D1018" s="91"/>
      <c r="E1018" s="221"/>
      <c r="F1018" s="91"/>
      <c r="G1018" s="91"/>
      <c r="H1018" s="242"/>
      <c r="I1018" s="91"/>
      <c r="J1018" s="234"/>
      <c r="K1018" s="243"/>
      <c r="L1018" s="243"/>
      <c r="M1018" s="234"/>
      <c r="N1018" s="235"/>
      <c r="O1018" s="236"/>
      <c r="P1018" s="236"/>
      <c r="Q1018" s="236"/>
      <c r="R1018" s="236"/>
      <c r="S1018" s="236"/>
      <c r="T1018" s="236"/>
      <c r="U1018" s="236"/>
      <c r="V1018" s="236"/>
      <c r="W1018" s="236"/>
      <c r="X1018" s="244"/>
      <c r="Y1018" s="244"/>
      <c r="Z1018" s="237"/>
      <c r="AA1018" s="244"/>
      <c r="AB1018" s="244"/>
      <c r="AC1018" s="244"/>
      <c r="AD1018" s="244"/>
      <c r="AE1018" s="234"/>
      <c r="AF1018" s="234"/>
      <c r="AG1018" s="238"/>
      <c r="AH1018" s="239"/>
      <c r="AI1018" s="238"/>
      <c r="AJ1018" s="238"/>
      <c r="AK1018" s="234"/>
      <c r="AL1018" s="234"/>
      <c r="AM1018" s="234"/>
      <c r="AN1018" s="234"/>
      <c r="AO1018" s="234"/>
    </row>
    <row r="1019" ht="15.75" customHeight="1">
      <c r="A1019" s="91"/>
      <c r="B1019" s="91"/>
      <c r="C1019" s="220"/>
      <c r="D1019" s="91"/>
      <c r="E1019" s="221"/>
      <c r="F1019" s="91"/>
      <c r="G1019" s="91"/>
      <c r="H1019" s="242"/>
      <c r="I1019" s="91"/>
      <c r="J1019" s="234"/>
      <c r="K1019" s="243"/>
      <c r="L1019" s="243"/>
      <c r="M1019" s="234"/>
      <c r="N1019" s="235"/>
      <c r="O1019" s="236"/>
      <c r="P1019" s="236"/>
      <c r="Q1019" s="236"/>
      <c r="R1019" s="236"/>
      <c r="S1019" s="236"/>
      <c r="T1019" s="236"/>
      <c r="U1019" s="236"/>
      <c r="V1019" s="236"/>
      <c r="W1019" s="236"/>
      <c r="X1019" s="244"/>
      <c r="Y1019" s="244"/>
      <c r="Z1019" s="237"/>
      <c r="AA1019" s="244"/>
      <c r="AB1019" s="244"/>
      <c r="AC1019" s="244"/>
      <c r="AD1019" s="244"/>
      <c r="AE1019" s="234"/>
      <c r="AF1019" s="234"/>
      <c r="AG1019" s="238"/>
      <c r="AH1019" s="239"/>
      <c r="AI1019" s="238"/>
      <c r="AJ1019" s="238"/>
      <c r="AK1019" s="234"/>
      <c r="AL1019" s="234"/>
      <c r="AM1019" s="234"/>
      <c r="AN1019" s="234"/>
      <c r="AO1019" s="234"/>
    </row>
    <row r="1020" ht="15.75" customHeight="1">
      <c r="A1020" s="91"/>
      <c r="B1020" s="91"/>
      <c r="C1020" s="220"/>
      <c r="D1020" s="91"/>
      <c r="E1020" s="221"/>
      <c r="F1020" s="91"/>
      <c r="G1020" s="91"/>
      <c r="H1020" s="242"/>
      <c r="I1020" s="91"/>
      <c r="J1020" s="234"/>
      <c r="K1020" s="243"/>
      <c r="L1020" s="243"/>
      <c r="M1020" s="234"/>
      <c r="N1020" s="235"/>
      <c r="O1020" s="236"/>
      <c r="P1020" s="236"/>
      <c r="Q1020" s="236"/>
      <c r="R1020" s="236"/>
      <c r="S1020" s="236"/>
      <c r="T1020" s="236"/>
      <c r="U1020" s="236"/>
      <c r="V1020" s="236"/>
      <c r="W1020" s="236"/>
      <c r="X1020" s="244"/>
      <c r="Y1020" s="244"/>
      <c r="Z1020" s="237"/>
      <c r="AA1020" s="244"/>
      <c r="AB1020" s="244"/>
      <c r="AC1020" s="244"/>
      <c r="AD1020" s="244"/>
      <c r="AE1020" s="234"/>
      <c r="AF1020" s="234"/>
      <c r="AG1020" s="238"/>
      <c r="AH1020" s="239"/>
      <c r="AI1020" s="238"/>
      <c r="AJ1020" s="238"/>
      <c r="AK1020" s="234"/>
      <c r="AL1020" s="234"/>
      <c r="AM1020" s="234"/>
      <c r="AN1020" s="234"/>
      <c r="AO1020" s="234"/>
    </row>
    <row r="1021" ht="15.75" customHeight="1">
      <c r="A1021" s="91"/>
      <c r="B1021" s="91"/>
      <c r="C1021" s="220"/>
      <c r="D1021" s="91"/>
      <c r="E1021" s="221"/>
      <c r="F1021" s="91"/>
      <c r="G1021" s="91"/>
      <c r="H1021" s="242"/>
      <c r="I1021" s="91"/>
      <c r="J1021" s="234"/>
      <c r="K1021" s="243"/>
      <c r="L1021" s="243"/>
      <c r="M1021" s="234"/>
      <c r="N1021" s="235"/>
      <c r="O1021" s="236"/>
      <c r="P1021" s="236"/>
      <c r="Q1021" s="236"/>
      <c r="R1021" s="236"/>
      <c r="S1021" s="236"/>
      <c r="T1021" s="236"/>
      <c r="U1021" s="236"/>
      <c r="V1021" s="236"/>
      <c r="W1021" s="236"/>
      <c r="X1021" s="244"/>
      <c r="Y1021" s="244"/>
      <c r="Z1021" s="237"/>
      <c r="AA1021" s="244"/>
      <c r="AB1021" s="244"/>
      <c r="AC1021" s="244"/>
      <c r="AD1021" s="244"/>
      <c r="AE1021" s="234"/>
      <c r="AF1021" s="234"/>
      <c r="AG1021" s="238"/>
      <c r="AH1021" s="239"/>
      <c r="AI1021" s="238"/>
      <c r="AJ1021" s="238"/>
      <c r="AK1021" s="234"/>
      <c r="AL1021" s="234"/>
      <c r="AM1021" s="234"/>
      <c r="AN1021" s="234"/>
      <c r="AO1021" s="234"/>
    </row>
    <row r="1022" ht="15.75" customHeight="1">
      <c r="A1022" s="91"/>
      <c r="B1022" s="91"/>
      <c r="C1022" s="220"/>
      <c r="D1022" s="91"/>
      <c r="E1022" s="221"/>
      <c r="F1022" s="91"/>
      <c r="G1022" s="91"/>
      <c r="H1022" s="242"/>
      <c r="I1022" s="91"/>
      <c r="J1022" s="234"/>
      <c r="K1022" s="243"/>
      <c r="L1022" s="243"/>
      <c r="M1022" s="234"/>
      <c r="N1022" s="235"/>
      <c r="O1022" s="236"/>
      <c r="P1022" s="236"/>
      <c r="Q1022" s="236"/>
      <c r="R1022" s="236"/>
      <c r="S1022" s="236"/>
      <c r="T1022" s="236"/>
      <c r="U1022" s="236"/>
      <c r="V1022" s="236"/>
      <c r="W1022" s="236"/>
      <c r="X1022" s="244"/>
      <c r="Y1022" s="244"/>
      <c r="Z1022" s="237"/>
      <c r="AA1022" s="244"/>
      <c r="AB1022" s="244"/>
      <c r="AC1022" s="244"/>
      <c r="AD1022" s="244"/>
      <c r="AE1022" s="234"/>
      <c r="AF1022" s="234"/>
      <c r="AG1022" s="238"/>
      <c r="AH1022" s="239"/>
      <c r="AI1022" s="238"/>
      <c r="AJ1022" s="238"/>
      <c r="AK1022" s="234"/>
      <c r="AL1022" s="234"/>
      <c r="AM1022" s="234"/>
      <c r="AN1022" s="234"/>
      <c r="AO1022" s="234"/>
    </row>
    <row r="1023" ht="15.75" customHeight="1">
      <c r="A1023" s="91"/>
      <c r="B1023" s="91"/>
      <c r="C1023" s="220"/>
      <c r="D1023" s="91"/>
      <c r="E1023" s="221"/>
      <c r="F1023" s="91"/>
      <c r="G1023" s="91"/>
      <c r="H1023" s="242"/>
      <c r="I1023" s="91"/>
      <c r="J1023" s="234"/>
      <c r="K1023" s="243"/>
      <c r="L1023" s="243"/>
      <c r="M1023" s="234"/>
      <c r="N1023" s="235"/>
      <c r="O1023" s="236"/>
      <c r="P1023" s="236"/>
      <c r="Q1023" s="236"/>
      <c r="R1023" s="236"/>
      <c r="S1023" s="236"/>
      <c r="T1023" s="236"/>
      <c r="U1023" s="236"/>
      <c r="V1023" s="236"/>
      <c r="W1023" s="236"/>
      <c r="X1023" s="244"/>
      <c r="Y1023" s="244"/>
      <c r="Z1023" s="237"/>
      <c r="AA1023" s="244"/>
      <c r="AB1023" s="244"/>
      <c r="AC1023" s="244"/>
      <c r="AD1023" s="244"/>
      <c r="AE1023" s="234"/>
      <c r="AF1023" s="234"/>
      <c r="AG1023" s="238"/>
      <c r="AH1023" s="239"/>
      <c r="AI1023" s="238"/>
      <c r="AJ1023" s="238"/>
      <c r="AK1023" s="234"/>
      <c r="AL1023" s="234"/>
      <c r="AM1023" s="234"/>
      <c r="AN1023" s="234"/>
      <c r="AO1023" s="234"/>
    </row>
    <row r="1024" ht="15.75" customHeight="1">
      <c r="A1024" s="91"/>
      <c r="B1024" s="91"/>
      <c r="C1024" s="220"/>
      <c r="D1024" s="91"/>
      <c r="E1024" s="221"/>
      <c r="F1024" s="91"/>
      <c r="G1024" s="91"/>
      <c r="H1024" s="242"/>
      <c r="I1024" s="91"/>
      <c r="J1024" s="234"/>
      <c r="K1024" s="243"/>
      <c r="L1024" s="243"/>
      <c r="M1024" s="234"/>
      <c r="N1024" s="235"/>
      <c r="O1024" s="236"/>
      <c r="P1024" s="236"/>
      <c r="Q1024" s="236"/>
      <c r="R1024" s="236"/>
      <c r="S1024" s="236"/>
      <c r="T1024" s="236"/>
      <c r="U1024" s="236"/>
      <c r="V1024" s="236"/>
      <c r="W1024" s="236"/>
      <c r="X1024" s="244"/>
      <c r="Y1024" s="244"/>
      <c r="Z1024" s="237"/>
      <c r="AA1024" s="244"/>
      <c r="AB1024" s="244"/>
      <c r="AC1024" s="244"/>
      <c r="AD1024" s="244"/>
      <c r="AE1024" s="234"/>
      <c r="AF1024" s="234"/>
      <c r="AG1024" s="238"/>
      <c r="AH1024" s="239"/>
      <c r="AI1024" s="238"/>
      <c r="AJ1024" s="238"/>
      <c r="AK1024" s="234"/>
      <c r="AL1024" s="234"/>
      <c r="AM1024" s="234"/>
      <c r="AN1024" s="234"/>
      <c r="AO1024" s="234"/>
    </row>
    <row r="1025" ht="15.75" customHeight="1">
      <c r="A1025" s="91"/>
      <c r="B1025" s="91"/>
      <c r="C1025" s="220"/>
      <c r="D1025" s="91"/>
      <c r="E1025" s="221"/>
      <c r="F1025" s="91"/>
      <c r="G1025" s="91"/>
      <c r="H1025" s="242"/>
      <c r="I1025" s="91"/>
      <c r="J1025" s="234"/>
      <c r="K1025" s="243"/>
      <c r="L1025" s="243"/>
      <c r="M1025" s="234"/>
      <c r="N1025" s="235"/>
      <c r="O1025" s="236"/>
      <c r="P1025" s="236"/>
      <c r="Q1025" s="236"/>
      <c r="R1025" s="236"/>
      <c r="S1025" s="236"/>
      <c r="T1025" s="236"/>
      <c r="U1025" s="236"/>
      <c r="V1025" s="236"/>
      <c r="W1025" s="236"/>
      <c r="X1025" s="244"/>
      <c r="Y1025" s="244"/>
      <c r="Z1025" s="237"/>
      <c r="AA1025" s="244"/>
      <c r="AB1025" s="244"/>
      <c r="AC1025" s="244"/>
      <c r="AD1025" s="244"/>
      <c r="AE1025" s="234"/>
      <c r="AF1025" s="234"/>
      <c r="AG1025" s="238"/>
      <c r="AH1025" s="239"/>
      <c r="AI1025" s="238"/>
      <c r="AJ1025" s="238"/>
      <c r="AK1025" s="234"/>
      <c r="AL1025" s="234"/>
      <c r="AM1025" s="234"/>
      <c r="AN1025" s="234"/>
      <c r="AO1025" s="234"/>
    </row>
    <row r="1026" ht="15.75" customHeight="1">
      <c r="A1026" s="91"/>
      <c r="B1026" s="91"/>
      <c r="C1026" s="220"/>
      <c r="D1026" s="91"/>
      <c r="E1026" s="221"/>
      <c r="F1026" s="91"/>
      <c r="G1026" s="91"/>
      <c r="H1026" s="242"/>
      <c r="I1026" s="91"/>
      <c r="J1026" s="234"/>
      <c r="K1026" s="243"/>
      <c r="L1026" s="243"/>
      <c r="M1026" s="234"/>
      <c r="N1026" s="235"/>
      <c r="O1026" s="236"/>
      <c r="P1026" s="236"/>
      <c r="Q1026" s="236"/>
      <c r="R1026" s="236"/>
      <c r="S1026" s="236"/>
      <c r="T1026" s="236"/>
      <c r="U1026" s="236"/>
      <c r="V1026" s="236"/>
      <c r="W1026" s="236"/>
      <c r="X1026" s="244"/>
      <c r="Y1026" s="244"/>
      <c r="Z1026" s="237"/>
      <c r="AA1026" s="244"/>
      <c r="AB1026" s="244"/>
      <c r="AC1026" s="244"/>
      <c r="AD1026" s="244"/>
      <c r="AE1026" s="234"/>
      <c r="AF1026" s="234"/>
      <c r="AG1026" s="238"/>
      <c r="AH1026" s="239"/>
      <c r="AI1026" s="238"/>
      <c r="AJ1026" s="238"/>
      <c r="AK1026" s="234"/>
      <c r="AL1026" s="234"/>
      <c r="AM1026" s="234"/>
      <c r="AN1026" s="234"/>
      <c r="AO1026" s="234"/>
    </row>
    <row r="1027" ht="15.75" customHeight="1">
      <c r="A1027" s="91"/>
      <c r="B1027" s="91"/>
      <c r="C1027" s="220"/>
      <c r="D1027" s="91"/>
      <c r="E1027" s="221"/>
      <c r="F1027" s="91"/>
      <c r="G1027" s="91"/>
      <c r="H1027" s="242"/>
      <c r="I1027" s="91"/>
      <c r="J1027" s="234"/>
      <c r="K1027" s="243"/>
      <c r="L1027" s="243"/>
      <c r="M1027" s="234"/>
      <c r="N1027" s="235"/>
      <c r="O1027" s="236"/>
      <c r="P1027" s="236"/>
      <c r="Q1027" s="236"/>
      <c r="R1027" s="236"/>
      <c r="S1027" s="236"/>
      <c r="T1027" s="236"/>
      <c r="U1027" s="236"/>
      <c r="V1027" s="236"/>
      <c r="W1027" s="236"/>
      <c r="X1027" s="244"/>
      <c r="Y1027" s="244"/>
      <c r="Z1027" s="237"/>
      <c r="AA1027" s="244"/>
      <c r="AB1027" s="244"/>
      <c r="AC1027" s="244"/>
      <c r="AD1027" s="244"/>
      <c r="AE1027" s="234"/>
      <c r="AF1027" s="234"/>
      <c r="AG1027" s="238"/>
      <c r="AH1027" s="239"/>
      <c r="AI1027" s="238"/>
      <c r="AJ1027" s="238"/>
      <c r="AK1027" s="234"/>
      <c r="AL1027" s="234"/>
      <c r="AM1027" s="234"/>
      <c r="AN1027" s="234"/>
      <c r="AO1027" s="234"/>
    </row>
    <row r="1028" ht="15.75" customHeight="1">
      <c r="A1028" s="91"/>
      <c r="B1028" s="91"/>
      <c r="C1028" s="220"/>
      <c r="D1028" s="91"/>
      <c r="E1028" s="221"/>
      <c r="F1028" s="91"/>
      <c r="G1028" s="91"/>
      <c r="H1028" s="242"/>
      <c r="I1028" s="91"/>
      <c r="J1028" s="234"/>
      <c r="K1028" s="243"/>
      <c r="L1028" s="243"/>
      <c r="M1028" s="234"/>
      <c r="N1028" s="235"/>
      <c r="O1028" s="236"/>
      <c r="P1028" s="236"/>
      <c r="Q1028" s="236"/>
      <c r="R1028" s="236"/>
      <c r="S1028" s="236"/>
      <c r="T1028" s="236"/>
      <c r="U1028" s="236"/>
      <c r="V1028" s="236"/>
      <c r="W1028" s="236"/>
      <c r="X1028" s="244"/>
      <c r="Y1028" s="244"/>
      <c r="Z1028" s="237"/>
      <c r="AA1028" s="244"/>
      <c r="AB1028" s="244"/>
      <c r="AC1028" s="244"/>
      <c r="AD1028" s="244"/>
      <c r="AE1028" s="234"/>
      <c r="AF1028" s="234"/>
      <c r="AG1028" s="238"/>
      <c r="AH1028" s="239"/>
      <c r="AI1028" s="238"/>
      <c r="AJ1028" s="238"/>
      <c r="AK1028" s="234"/>
      <c r="AL1028" s="234"/>
      <c r="AM1028" s="234"/>
      <c r="AN1028" s="234"/>
      <c r="AO1028" s="234"/>
    </row>
    <row r="1029" ht="15.75" customHeight="1">
      <c r="A1029" s="91"/>
      <c r="B1029" s="91"/>
      <c r="C1029" s="220"/>
      <c r="D1029" s="91"/>
      <c r="E1029" s="221"/>
      <c r="F1029" s="91"/>
      <c r="G1029" s="91"/>
      <c r="H1029" s="242"/>
      <c r="I1029" s="91"/>
      <c r="J1029" s="234"/>
      <c r="K1029" s="243"/>
      <c r="L1029" s="243"/>
      <c r="M1029" s="234"/>
      <c r="N1029" s="235"/>
      <c r="O1029" s="236"/>
      <c r="P1029" s="236"/>
      <c r="Q1029" s="236"/>
      <c r="R1029" s="236"/>
      <c r="S1029" s="236"/>
      <c r="T1029" s="236"/>
      <c r="U1029" s="236"/>
      <c r="V1029" s="236"/>
      <c r="W1029" s="236"/>
      <c r="X1029" s="244"/>
      <c r="Y1029" s="244"/>
      <c r="Z1029" s="237"/>
      <c r="AA1029" s="244"/>
      <c r="AB1029" s="244"/>
      <c r="AC1029" s="244"/>
      <c r="AD1029" s="244"/>
      <c r="AE1029" s="234"/>
      <c r="AF1029" s="234"/>
      <c r="AG1029" s="238"/>
      <c r="AH1029" s="239"/>
      <c r="AI1029" s="238"/>
      <c r="AJ1029" s="238"/>
      <c r="AK1029" s="234"/>
      <c r="AL1029" s="234"/>
      <c r="AM1029" s="234"/>
      <c r="AN1029" s="234"/>
      <c r="AO1029" s="234"/>
    </row>
    <row r="1030" ht="15.75" customHeight="1">
      <c r="A1030" s="91"/>
      <c r="B1030" s="91"/>
      <c r="C1030" s="220"/>
      <c r="D1030" s="91"/>
      <c r="E1030" s="221"/>
      <c r="F1030" s="91"/>
      <c r="G1030" s="91"/>
      <c r="H1030" s="242"/>
      <c r="I1030" s="91"/>
      <c r="J1030" s="234"/>
      <c r="K1030" s="243"/>
      <c r="L1030" s="243"/>
      <c r="M1030" s="234"/>
      <c r="N1030" s="235"/>
      <c r="O1030" s="236"/>
      <c r="P1030" s="236"/>
      <c r="Q1030" s="236"/>
      <c r="R1030" s="236"/>
      <c r="S1030" s="236"/>
      <c r="T1030" s="236"/>
      <c r="U1030" s="236"/>
      <c r="V1030" s="236"/>
      <c r="W1030" s="236"/>
      <c r="X1030" s="244"/>
      <c r="Y1030" s="244"/>
      <c r="Z1030" s="237"/>
      <c r="AA1030" s="244"/>
      <c r="AB1030" s="244"/>
      <c r="AC1030" s="244"/>
      <c r="AD1030" s="244"/>
      <c r="AE1030" s="234"/>
      <c r="AF1030" s="234"/>
      <c r="AG1030" s="238"/>
      <c r="AH1030" s="239"/>
      <c r="AI1030" s="238"/>
      <c r="AJ1030" s="238"/>
      <c r="AK1030" s="234"/>
      <c r="AL1030" s="234"/>
      <c r="AM1030" s="234"/>
      <c r="AN1030" s="234"/>
      <c r="AO1030" s="234"/>
    </row>
    <row r="1031" ht="15.75" customHeight="1">
      <c r="A1031" s="91"/>
      <c r="B1031" s="91"/>
      <c r="C1031" s="220"/>
      <c r="D1031" s="91"/>
      <c r="E1031" s="221"/>
      <c r="F1031" s="91"/>
      <c r="G1031" s="91"/>
      <c r="H1031" s="242"/>
      <c r="I1031" s="91"/>
      <c r="J1031" s="234"/>
      <c r="K1031" s="243"/>
      <c r="L1031" s="243"/>
      <c r="M1031" s="234"/>
      <c r="N1031" s="235"/>
      <c r="O1031" s="236"/>
      <c r="P1031" s="236"/>
      <c r="Q1031" s="236"/>
      <c r="R1031" s="236"/>
      <c r="S1031" s="236"/>
      <c r="T1031" s="236"/>
      <c r="U1031" s="236"/>
      <c r="V1031" s="236"/>
      <c r="W1031" s="236"/>
      <c r="X1031" s="244"/>
      <c r="Y1031" s="244"/>
      <c r="Z1031" s="237"/>
      <c r="AA1031" s="244"/>
      <c r="AB1031" s="244"/>
      <c r="AC1031" s="244"/>
      <c r="AD1031" s="244"/>
      <c r="AE1031" s="234"/>
      <c r="AF1031" s="234"/>
      <c r="AG1031" s="238"/>
      <c r="AH1031" s="239"/>
      <c r="AI1031" s="238"/>
      <c r="AJ1031" s="238"/>
      <c r="AK1031" s="234"/>
      <c r="AL1031" s="234"/>
      <c r="AM1031" s="234"/>
      <c r="AN1031" s="234"/>
      <c r="AO1031" s="234"/>
    </row>
    <row r="1032" ht="15.75" customHeight="1">
      <c r="A1032" s="91"/>
      <c r="B1032" s="91"/>
      <c r="C1032" s="220"/>
      <c r="D1032" s="91"/>
      <c r="E1032" s="221"/>
      <c r="F1032" s="91"/>
      <c r="G1032" s="91"/>
      <c r="H1032" s="242"/>
      <c r="I1032" s="91"/>
      <c r="J1032" s="234"/>
      <c r="K1032" s="243"/>
      <c r="L1032" s="243"/>
      <c r="M1032" s="234"/>
      <c r="N1032" s="235"/>
      <c r="O1032" s="236"/>
      <c r="P1032" s="236"/>
      <c r="Q1032" s="236"/>
      <c r="R1032" s="236"/>
      <c r="S1032" s="236"/>
      <c r="T1032" s="236"/>
      <c r="U1032" s="236"/>
      <c r="V1032" s="236"/>
      <c r="W1032" s="236"/>
      <c r="X1032" s="244"/>
      <c r="Y1032" s="244"/>
      <c r="Z1032" s="237"/>
      <c r="AA1032" s="244"/>
      <c r="AB1032" s="244"/>
      <c r="AC1032" s="244"/>
      <c r="AD1032" s="244"/>
      <c r="AE1032" s="234"/>
      <c r="AF1032" s="234"/>
      <c r="AG1032" s="238"/>
      <c r="AH1032" s="239"/>
      <c r="AI1032" s="238"/>
      <c r="AJ1032" s="238"/>
      <c r="AK1032" s="234"/>
      <c r="AL1032" s="234"/>
      <c r="AM1032" s="234"/>
      <c r="AN1032" s="234"/>
      <c r="AO1032" s="234"/>
    </row>
    <row r="1033" ht="15.75" customHeight="1">
      <c r="A1033" s="91"/>
      <c r="B1033" s="91"/>
      <c r="C1033" s="220"/>
      <c r="D1033" s="91"/>
      <c r="E1033" s="221"/>
      <c r="F1033" s="91"/>
      <c r="G1033" s="91"/>
      <c r="H1033" s="242"/>
      <c r="I1033" s="91"/>
      <c r="J1033" s="234"/>
      <c r="K1033" s="243"/>
      <c r="L1033" s="243"/>
      <c r="M1033" s="234"/>
      <c r="N1033" s="235"/>
      <c r="O1033" s="236"/>
      <c r="P1033" s="236"/>
      <c r="Q1033" s="236"/>
      <c r="R1033" s="236"/>
      <c r="S1033" s="236"/>
      <c r="T1033" s="236"/>
      <c r="U1033" s="236"/>
      <c r="V1033" s="236"/>
      <c r="W1033" s="236"/>
      <c r="X1033" s="244"/>
      <c r="Y1033" s="244"/>
      <c r="Z1033" s="237"/>
      <c r="AA1033" s="244"/>
      <c r="AB1033" s="244"/>
      <c r="AC1033" s="244"/>
      <c r="AD1033" s="244"/>
      <c r="AE1033" s="234"/>
      <c r="AF1033" s="234"/>
      <c r="AG1033" s="238"/>
      <c r="AH1033" s="239"/>
      <c r="AI1033" s="238"/>
      <c r="AJ1033" s="238"/>
      <c r="AK1033" s="234"/>
      <c r="AL1033" s="234"/>
      <c r="AM1033" s="234"/>
      <c r="AN1033" s="234"/>
      <c r="AO1033" s="234"/>
    </row>
    <row r="1034" ht="15.75" customHeight="1">
      <c r="A1034" s="91"/>
      <c r="B1034" s="91"/>
      <c r="C1034" s="220"/>
      <c r="D1034" s="91"/>
      <c r="E1034" s="221"/>
      <c r="F1034" s="91"/>
      <c r="G1034" s="91"/>
      <c r="H1034" s="242"/>
      <c r="I1034" s="91"/>
      <c r="J1034" s="234"/>
      <c r="K1034" s="243"/>
      <c r="L1034" s="243"/>
      <c r="M1034" s="234"/>
      <c r="N1034" s="235"/>
      <c r="O1034" s="236"/>
      <c r="P1034" s="236"/>
      <c r="Q1034" s="236"/>
      <c r="R1034" s="236"/>
      <c r="S1034" s="236"/>
      <c r="T1034" s="236"/>
      <c r="U1034" s="236"/>
      <c r="V1034" s="236"/>
      <c r="W1034" s="236"/>
      <c r="X1034" s="244"/>
      <c r="Y1034" s="244"/>
      <c r="Z1034" s="237"/>
      <c r="AA1034" s="244"/>
      <c r="AB1034" s="244"/>
      <c r="AC1034" s="244"/>
      <c r="AD1034" s="244"/>
      <c r="AE1034" s="234"/>
      <c r="AF1034" s="234"/>
      <c r="AG1034" s="238"/>
      <c r="AH1034" s="239"/>
      <c r="AI1034" s="238"/>
      <c r="AJ1034" s="238"/>
      <c r="AK1034" s="234"/>
      <c r="AL1034" s="234"/>
      <c r="AM1034" s="234"/>
      <c r="AN1034" s="234"/>
      <c r="AO1034" s="234"/>
    </row>
    <row r="1035" ht="15.75" customHeight="1">
      <c r="A1035" s="91"/>
      <c r="B1035" s="91"/>
      <c r="C1035" s="220"/>
      <c r="D1035" s="91"/>
      <c r="E1035" s="221"/>
      <c r="F1035" s="91"/>
      <c r="G1035" s="91"/>
      <c r="H1035" s="242"/>
      <c r="I1035" s="91"/>
      <c r="J1035" s="234"/>
      <c r="K1035" s="243"/>
      <c r="L1035" s="243"/>
      <c r="M1035" s="234"/>
      <c r="N1035" s="235"/>
      <c r="O1035" s="236"/>
      <c r="P1035" s="236"/>
      <c r="Q1035" s="236"/>
      <c r="R1035" s="236"/>
      <c r="S1035" s="236"/>
      <c r="T1035" s="236"/>
      <c r="U1035" s="236"/>
      <c r="V1035" s="236"/>
      <c r="W1035" s="236"/>
      <c r="X1035" s="244"/>
      <c r="Y1035" s="244"/>
      <c r="Z1035" s="237"/>
      <c r="AA1035" s="244"/>
      <c r="AB1035" s="244"/>
      <c r="AC1035" s="244"/>
      <c r="AD1035" s="244"/>
      <c r="AE1035" s="234"/>
      <c r="AF1035" s="234"/>
      <c r="AG1035" s="238"/>
      <c r="AH1035" s="239"/>
      <c r="AI1035" s="238"/>
      <c r="AJ1035" s="238"/>
      <c r="AK1035" s="234"/>
      <c r="AL1035" s="234"/>
      <c r="AM1035" s="234"/>
      <c r="AN1035" s="234"/>
      <c r="AO1035" s="234"/>
    </row>
    <row r="1036" ht="15.75" customHeight="1">
      <c r="A1036" s="91"/>
      <c r="B1036" s="91"/>
      <c r="C1036" s="220"/>
      <c r="D1036" s="91"/>
      <c r="E1036" s="221"/>
      <c r="F1036" s="91"/>
      <c r="G1036" s="91"/>
      <c r="H1036" s="242"/>
      <c r="I1036" s="91"/>
      <c r="J1036" s="234"/>
      <c r="K1036" s="243"/>
      <c r="L1036" s="243"/>
      <c r="M1036" s="234"/>
      <c r="N1036" s="235"/>
      <c r="O1036" s="236"/>
      <c r="P1036" s="236"/>
      <c r="Q1036" s="236"/>
      <c r="R1036" s="236"/>
      <c r="S1036" s="236"/>
      <c r="T1036" s="236"/>
      <c r="U1036" s="236"/>
      <c r="V1036" s="236"/>
      <c r="W1036" s="236"/>
      <c r="X1036" s="244"/>
      <c r="Y1036" s="244"/>
      <c r="Z1036" s="237"/>
      <c r="AA1036" s="244"/>
      <c r="AB1036" s="244"/>
      <c r="AC1036" s="244"/>
      <c r="AD1036" s="244"/>
      <c r="AE1036" s="234"/>
      <c r="AF1036" s="234"/>
      <c r="AG1036" s="238"/>
      <c r="AH1036" s="239"/>
      <c r="AI1036" s="238"/>
      <c r="AJ1036" s="238"/>
      <c r="AK1036" s="234"/>
      <c r="AL1036" s="234"/>
      <c r="AM1036" s="234"/>
      <c r="AN1036" s="234"/>
      <c r="AO1036" s="234"/>
    </row>
    <row r="1037" ht="15.75" customHeight="1">
      <c r="A1037" s="91"/>
      <c r="B1037" s="91"/>
      <c r="C1037" s="220"/>
      <c r="D1037" s="91"/>
      <c r="E1037" s="221"/>
      <c r="F1037" s="91"/>
      <c r="G1037" s="91"/>
      <c r="H1037" s="242"/>
      <c r="I1037" s="91"/>
      <c r="J1037" s="234"/>
      <c r="K1037" s="243"/>
      <c r="L1037" s="243"/>
      <c r="M1037" s="234"/>
      <c r="N1037" s="235"/>
      <c r="O1037" s="236"/>
      <c r="P1037" s="236"/>
      <c r="Q1037" s="236"/>
      <c r="R1037" s="236"/>
      <c r="S1037" s="236"/>
      <c r="T1037" s="236"/>
      <c r="U1037" s="236"/>
      <c r="V1037" s="236"/>
      <c r="W1037" s="236"/>
      <c r="X1037" s="244"/>
      <c r="Y1037" s="244"/>
      <c r="Z1037" s="237"/>
      <c r="AA1037" s="244"/>
      <c r="AB1037" s="244"/>
      <c r="AC1037" s="244"/>
      <c r="AD1037" s="244"/>
      <c r="AE1037" s="234"/>
      <c r="AF1037" s="234"/>
      <c r="AG1037" s="238"/>
      <c r="AH1037" s="239"/>
      <c r="AI1037" s="238"/>
      <c r="AJ1037" s="238"/>
      <c r="AK1037" s="234"/>
      <c r="AL1037" s="234"/>
      <c r="AM1037" s="234"/>
      <c r="AN1037" s="234"/>
      <c r="AO1037" s="234"/>
    </row>
    <row r="1038" ht="15.75" customHeight="1">
      <c r="A1038" s="91"/>
      <c r="B1038" s="91"/>
      <c r="C1038" s="220"/>
      <c r="D1038" s="91"/>
      <c r="E1038" s="221"/>
      <c r="F1038" s="91"/>
      <c r="G1038" s="91"/>
      <c r="H1038" s="242"/>
      <c r="I1038" s="91"/>
      <c r="J1038" s="234"/>
      <c r="K1038" s="243"/>
      <c r="L1038" s="243"/>
      <c r="M1038" s="234"/>
      <c r="N1038" s="235"/>
      <c r="O1038" s="236"/>
      <c r="P1038" s="236"/>
      <c r="Q1038" s="236"/>
      <c r="R1038" s="236"/>
      <c r="S1038" s="236"/>
      <c r="T1038" s="236"/>
      <c r="U1038" s="236"/>
      <c r="V1038" s="236"/>
      <c r="W1038" s="236"/>
      <c r="X1038" s="244"/>
      <c r="Y1038" s="244"/>
      <c r="Z1038" s="237"/>
      <c r="AA1038" s="244"/>
      <c r="AB1038" s="244"/>
      <c r="AC1038" s="244"/>
      <c r="AD1038" s="244"/>
      <c r="AE1038" s="234"/>
      <c r="AF1038" s="234"/>
      <c r="AG1038" s="238"/>
      <c r="AH1038" s="239"/>
      <c r="AI1038" s="238"/>
      <c r="AJ1038" s="238"/>
      <c r="AK1038" s="234"/>
      <c r="AL1038" s="234"/>
      <c r="AM1038" s="234"/>
      <c r="AN1038" s="234"/>
      <c r="AO1038" s="234"/>
    </row>
    <row r="1039" ht="15.75" customHeight="1">
      <c r="A1039" s="91"/>
      <c r="B1039" s="91"/>
      <c r="C1039" s="220"/>
      <c r="D1039" s="91"/>
      <c r="E1039" s="221"/>
      <c r="F1039" s="91"/>
      <c r="G1039" s="91"/>
      <c r="H1039" s="242"/>
      <c r="I1039" s="91"/>
      <c r="J1039" s="234"/>
      <c r="K1039" s="243"/>
      <c r="L1039" s="243"/>
      <c r="M1039" s="234"/>
      <c r="N1039" s="235"/>
      <c r="O1039" s="236"/>
      <c r="P1039" s="236"/>
      <c r="Q1039" s="236"/>
      <c r="R1039" s="236"/>
      <c r="S1039" s="236"/>
      <c r="T1039" s="236"/>
      <c r="U1039" s="236"/>
      <c r="V1039" s="236"/>
      <c r="W1039" s="236"/>
      <c r="X1039" s="244"/>
      <c r="Y1039" s="244"/>
      <c r="Z1039" s="237"/>
      <c r="AA1039" s="244"/>
      <c r="AB1039" s="244"/>
      <c r="AC1039" s="244"/>
      <c r="AD1039" s="244"/>
      <c r="AE1039" s="234"/>
      <c r="AF1039" s="234"/>
      <c r="AG1039" s="238"/>
      <c r="AH1039" s="239"/>
      <c r="AI1039" s="238"/>
      <c r="AJ1039" s="238"/>
      <c r="AK1039" s="234"/>
      <c r="AL1039" s="234"/>
      <c r="AM1039" s="234"/>
      <c r="AN1039" s="234"/>
      <c r="AO1039" s="234"/>
    </row>
    <row r="1040" ht="15.75" customHeight="1">
      <c r="A1040" s="91"/>
      <c r="B1040" s="91"/>
      <c r="C1040" s="220"/>
      <c r="D1040" s="91"/>
      <c r="E1040" s="221"/>
      <c r="F1040" s="91"/>
      <c r="G1040" s="91"/>
      <c r="H1040" s="242"/>
      <c r="I1040" s="91"/>
      <c r="J1040" s="234"/>
      <c r="K1040" s="243"/>
      <c r="L1040" s="243"/>
      <c r="M1040" s="234"/>
      <c r="N1040" s="235"/>
      <c r="O1040" s="236"/>
      <c r="P1040" s="236"/>
      <c r="Q1040" s="236"/>
      <c r="R1040" s="236"/>
      <c r="S1040" s="236"/>
      <c r="T1040" s="236"/>
      <c r="U1040" s="236"/>
      <c r="V1040" s="236"/>
      <c r="W1040" s="236"/>
      <c r="X1040" s="244"/>
      <c r="Y1040" s="244"/>
      <c r="Z1040" s="237"/>
      <c r="AA1040" s="244"/>
      <c r="AB1040" s="244"/>
      <c r="AC1040" s="244"/>
      <c r="AD1040" s="244"/>
      <c r="AE1040" s="234"/>
      <c r="AF1040" s="234"/>
      <c r="AG1040" s="238"/>
      <c r="AH1040" s="239"/>
      <c r="AI1040" s="238"/>
      <c r="AJ1040" s="238"/>
      <c r="AK1040" s="234"/>
      <c r="AL1040" s="234"/>
      <c r="AM1040" s="234"/>
      <c r="AN1040" s="234"/>
      <c r="AO1040" s="234"/>
    </row>
    <row r="1041" ht="15.75" customHeight="1">
      <c r="A1041" s="91"/>
      <c r="B1041" s="91"/>
      <c r="C1041" s="220"/>
      <c r="D1041" s="91"/>
      <c r="E1041" s="221"/>
      <c r="F1041" s="91"/>
      <c r="G1041" s="91"/>
      <c r="H1041" s="242"/>
      <c r="I1041" s="91"/>
      <c r="J1041" s="234"/>
      <c r="K1041" s="243"/>
      <c r="L1041" s="243"/>
      <c r="M1041" s="234"/>
      <c r="N1041" s="235"/>
      <c r="O1041" s="236"/>
      <c r="P1041" s="236"/>
      <c r="Q1041" s="236"/>
      <c r="R1041" s="236"/>
      <c r="S1041" s="236"/>
      <c r="T1041" s="236"/>
      <c r="U1041" s="236"/>
      <c r="V1041" s="236"/>
      <c r="W1041" s="236"/>
      <c r="X1041" s="244"/>
      <c r="Y1041" s="244"/>
      <c r="Z1041" s="237"/>
      <c r="AA1041" s="244"/>
      <c r="AB1041" s="244"/>
      <c r="AC1041" s="244"/>
      <c r="AD1041" s="244"/>
      <c r="AE1041" s="234"/>
      <c r="AF1041" s="234"/>
      <c r="AG1041" s="238"/>
      <c r="AH1041" s="239"/>
      <c r="AI1041" s="238"/>
      <c r="AJ1041" s="238"/>
      <c r="AK1041" s="234"/>
      <c r="AL1041" s="234"/>
      <c r="AM1041" s="234"/>
      <c r="AN1041" s="234"/>
      <c r="AO1041" s="234"/>
    </row>
    <row r="1042" ht="15.75" customHeight="1">
      <c r="A1042" s="91"/>
      <c r="B1042" s="91"/>
      <c r="C1042" s="220"/>
      <c r="D1042" s="91"/>
      <c r="E1042" s="221"/>
      <c r="F1042" s="91"/>
      <c r="G1042" s="91"/>
      <c r="H1042" s="242"/>
      <c r="I1042" s="91"/>
      <c r="J1042" s="234"/>
      <c r="K1042" s="243"/>
      <c r="L1042" s="243"/>
      <c r="M1042" s="234"/>
      <c r="N1042" s="235"/>
      <c r="O1042" s="236"/>
      <c r="P1042" s="236"/>
      <c r="Q1042" s="236"/>
      <c r="R1042" s="236"/>
      <c r="S1042" s="236"/>
      <c r="T1042" s="236"/>
      <c r="U1042" s="236"/>
      <c r="V1042" s="236"/>
      <c r="W1042" s="236"/>
      <c r="X1042" s="244"/>
      <c r="Y1042" s="244"/>
      <c r="Z1042" s="237"/>
      <c r="AA1042" s="244"/>
      <c r="AB1042" s="244"/>
      <c r="AC1042" s="244"/>
      <c r="AD1042" s="244"/>
      <c r="AE1042" s="234"/>
      <c r="AF1042" s="234"/>
      <c r="AG1042" s="238"/>
      <c r="AH1042" s="239"/>
      <c r="AI1042" s="238"/>
      <c r="AJ1042" s="238"/>
      <c r="AK1042" s="234"/>
      <c r="AL1042" s="234"/>
      <c r="AM1042" s="234"/>
      <c r="AN1042" s="234"/>
      <c r="AO1042" s="234"/>
    </row>
    <row r="1043" ht="15.75" customHeight="1">
      <c r="A1043" s="91"/>
      <c r="B1043" s="91"/>
      <c r="C1043" s="220"/>
      <c r="D1043" s="91"/>
      <c r="E1043" s="221"/>
      <c r="F1043" s="91"/>
      <c r="G1043" s="91"/>
      <c r="H1043" s="242"/>
      <c r="I1043" s="91"/>
      <c r="J1043" s="234"/>
      <c r="K1043" s="243"/>
      <c r="L1043" s="243"/>
      <c r="M1043" s="234"/>
      <c r="N1043" s="235"/>
      <c r="O1043" s="236"/>
      <c r="P1043" s="236"/>
      <c r="Q1043" s="236"/>
      <c r="R1043" s="236"/>
      <c r="S1043" s="236"/>
      <c r="T1043" s="236"/>
      <c r="U1043" s="236"/>
      <c r="V1043" s="236"/>
      <c r="W1043" s="236"/>
      <c r="X1043" s="244"/>
      <c r="Y1043" s="244"/>
      <c r="Z1043" s="237"/>
      <c r="AA1043" s="244"/>
      <c r="AB1043" s="244"/>
      <c r="AC1043" s="244"/>
      <c r="AD1043" s="244"/>
      <c r="AE1043" s="234"/>
      <c r="AF1043" s="234"/>
      <c r="AG1043" s="238"/>
      <c r="AH1043" s="239"/>
      <c r="AI1043" s="238"/>
      <c r="AJ1043" s="238"/>
      <c r="AK1043" s="234"/>
      <c r="AL1043" s="234"/>
      <c r="AM1043" s="234"/>
      <c r="AN1043" s="234"/>
      <c r="AO1043" s="234"/>
    </row>
    <row r="1044" ht="15.75" customHeight="1">
      <c r="A1044" s="91"/>
      <c r="B1044" s="91"/>
      <c r="C1044" s="220"/>
      <c r="D1044" s="91"/>
      <c r="E1044" s="221"/>
      <c r="F1044" s="91"/>
      <c r="G1044" s="91"/>
      <c r="H1044" s="242"/>
      <c r="I1044" s="91"/>
      <c r="J1044" s="234"/>
      <c r="K1044" s="243"/>
      <c r="L1044" s="243"/>
      <c r="M1044" s="234"/>
      <c r="N1044" s="235"/>
      <c r="O1044" s="236"/>
      <c r="P1044" s="236"/>
      <c r="Q1044" s="236"/>
      <c r="R1044" s="236"/>
      <c r="S1044" s="236"/>
      <c r="T1044" s="236"/>
      <c r="U1044" s="236"/>
      <c r="V1044" s="236"/>
      <c r="W1044" s="236"/>
      <c r="X1044" s="244"/>
      <c r="Y1044" s="244"/>
      <c r="Z1044" s="237"/>
      <c r="AA1044" s="244"/>
      <c r="AB1044" s="244"/>
      <c r="AC1044" s="244"/>
      <c r="AD1044" s="244"/>
      <c r="AE1044" s="234"/>
      <c r="AF1044" s="234"/>
      <c r="AG1044" s="238"/>
      <c r="AH1044" s="239"/>
      <c r="AI1044" s="238"/>
      <c r="AJ1044" s="238"/>
      <c r="AK1044" s="234"/>
      <c r="AL1044" s="234"/>
      <c r="AM1044" s="234"/>
      <c r="AN1044" s="234"/>
      <c r="AO1044" s="234"/>
    </row>
    <row r="1045" ht="15.75" customHeight="1">
      <c r="A1045" s="91"/>
      <c r="B1045" s="91"/>
      <c r="C1045" s="220"/>
      <c r="D1045" s="91"/>
      <c r="E1045" s="221"/>
      <c r="F1045" s="91"/>
      <c r="G1045" s="91"/>
      <c r="H1045" s="242"/>
      <c r="I1045" s="91"/>
      <c r="J1045" s="234"/>
      <c r="K1045" s="243"/>
      <c r="L1045" s="243"/>
      <c r="M1045" s="234"/>
      <c r="N1045" s="235"/>
      <c r="O1045" s="236"/>
      <c r="P1045" s="236"/>
      <c r="Q1045" s="236"/>
      <c r="R1045" s="236"/>
      <c r="S1045" s="236"/>
      <c r="T1045" s="236"/>
      <c r="U1045" s="236"/>
      <c r="V1045" s="236"/>
      <c r="W1045" s="236"/>
      <c r="X1045" s="244"/>
      <c r="Y1045" s="244"/>
      <c r="Z1045" s="237"/>
      <c r="AA1045" s="244"/>
      <c r="AB1045" s="244"/>
      <c r="AC1045" s="244"/>
      <c r="AD1045" s="244"/>
      <c r="AE1045" s="234"/>
      <c r="AF1045" s="234"/>
      <c r="AG1045" s="238"/>
      <c r="AH1045" s="239"/>
      <c r="AI1045" s="238"/>
      <c r="AJ1045" s="238"/>
      <c r="AK1045" s="234"/>
      <c r="AL1045" s="234"/>
      <c r="AM1045" s="234"/>
      <c r="AN1045" s="234"/>
      <c r="AO1045" s="234"/>
    </row>
    <row r="1046" ht="15.75" customHeight="1">
      <c r="A1046" s="91"/>
      <c r="B1046" s="91"/>
      <c r="C1046" s="220"/>
      <c r="D1046" s="91"/>
      <c r="E1046" s="221"/>
      <c r="F1046" s="91"/>
      <c r="G1046" s="91"/>
      <c r="H1046" s="242"/>
      <c r="I1046" s="91"/>
      <c r="J1046" s="234"/>
      <c r="K1046" s="243"/>
      <c r="L1046" s="243"/>
      <c r="M1046" s="234"/>
      <c r="N1046" s="235"/>
      <c r="O1046" s="236"/>
      <c r="P1046" s="236"/>
      <c r="Q1046" s="236"/>
      <c r="R1046" s="236"/>
      <c r="S1046" s="236"/>
      <c r="T1046" s="236"/>
      <c r="U1046" s="236"/>
      <c r="V1046" s="236"/>
      <c r="W1046" s="236"/>
      <c r="X1046" s="244"/>
      <c r="Y1046" s="244"/>
      <c r="Z1046" s="237"/>
      <c r="AA1046" s="244"/>
      <c r="AB1046" s="244"/>
      <c r="AC1046" s="244"/>
      <c r="AD1046" s="244"/>
      <c r="AE1046" s="234"/>
      <c r="AF1046" s="234"/>
      <c r="AG1046" s="238"/>
      <c r="AH1046" s="239"/>
      <c r="AI1046" s="238"/>
      <c r="AJ1046" s="238"/>
      <c r="AK1046" s="234"/>
      <c r="AL1046" s="234"/>
      <c r="AM1046" s="234"/>
      <c r="AN1046" s="234"/>
      <c r="AO1046" s="234"/>
    </row>
    <row r="1047" ht="15.75" customHeight="1">
      <c r="A1047" s="91"/>
      <c r="B1047" s="91"/>
      <c r="C1047" s="220"/>
      <c r="D1047" s="91"/>
      <c r="E1047" s="221"/>
      <c r="F1047" s="91"/>
      <c r="G1047" s="91"/>
      <c r="H1047" s="242"/>
      <c r="I1047" s="91"/>
      <c r="J1047" s="234"/>
      <c r="K1047" s="243"/>
      <c r="L1047" s="243"/>
      <c r="M1047" s="234"/>
      <c r="N1047" s="235"/>
      <c r="O1047" s="236"/>
      <c r="P1047" s="236"/>
      <c r="Q1047" s="236"/>
      <c r="R1047" s="236"/>
      <c r="S1047" s="236"/>
      <c r="T1047" s="236"/>
      <c r="U1047" s="236"/>
      <c r="V1047" s="236"/>
      <c r="W1047" s="236"/>
      <c r="X1047" s="244"/>
      <c r="Y1047" s="244"/>
      <c r="Z1047" s="237"/>
      <c r="AA1047" s="244"/>
      <c r="AB1047" s="244"/>
      <c r="AC1047" s="244"/>
      <c r="AD1047" s="244"/>
      <c r="AE1047" s="234"/>
      <c r="AF1047" s="234"/>
      <c r="AG1047" s="238"/>
      <c r="AH1047" s="239"/>
      <c r="AI1047" s="238"/>
      <c r="AJ1047" s="238"/>
      <c r="AK1047" s="234"/>
      <c r="AL1047" s="234"/>
      <c r="AM1047" s="234"/>
      <c r="AN1047" s="234"/>
      <c r="AO1047" s="234"/>
    </row>
    <row r="1048" ht="15.75" customHeight="1">
      <c r="A1048" s="91"/>
      <c r="B1048" s="91"/>
      <c r="C1048" s="220"/>
      <c r="D1048" s="91"/>
      <c r="E1048" s="221"/>
      <c r="F1048" s="91"/>
      <c r="G1048" s="91"/>
      <c r="H1048" s="242"/>
      <c r="I1048" s="91"/>
      <c r="J1048" s="234"/>
      <c r="K1048" s="243"/>
      <c r="L1048" s="243"/>
      <c r="M1048" s="234"/>
      <c r="N1048" s="235"/>
      <c r="O1048" s="236"/>
      <c r="P1048" s="236"/>
      <c r="Q1048" s="236"/>
      <c r="R1048" s="236"/>
      <c r="S1048" s="236"/>
      <c r="T1048" s="236"/>
      <c r="U1048" s="236"/>
      <c r="V1048" s="236"/>
      <c r="W1048" s="236"/>
      <c r="X1048" s="244"/>
      <c r="Y1048" s="244"/>
      <c r="Z1048" s="237"/>
      <c r="AA1048" s="244"/>
      <c r="AB1048" s="244"/>
      <c r="AC1048" s="244"/>
      <c r="AD1048" s="244"/>
      <c r="AE1048" s="234"/>
      <c r="AF1048" s="234"/>
      <c r="AG1048" s="238"/>
      <c r="AH1048" s="239"/>
      <c r="AI1048" s="238"/>
      <c r="AJ1048" s="238"/>
      <c r="AK1048" s="234"/>
      <c r="AL1048" s="234"/>
      <c r="AM1048" s="234"/>
      <c r="AN1048" s="234"/>
      <c r="AO1048" s="234"/>
    </row>
    <row r="1049" ht="15.75" customHeight="1">
      <c r="A1049" s="91"/>
      <c r="B1049" s="91"/>
      <c r="C1049" s="220"/>
      <c r="D1049" s="91"/>
      <c r="E1049" s="221"/>
      <c r="F1049" s="91"/>
      <c r="G1049" s="91"/>
      <c r="H1049" s="242"/>
      <c r="I1049" s="91"/>
      <c r="J1049" s="234"/>
      <c r="K1049" s="243"/>
      <c r="L1049" s="243"/>
      <c r="M1049" s="234"/>
      <c r="N1049" s="235"/>
      <c r="O1049" s="236"/>
      <c r="P1049" s="236"/>
      <c r="Q1049" s="236"/>
      <c r="R1049" s="236"/>
      <c r="S1049" s="236"/>
      <c r="T1049" s="236"/>
      <c r="U1049" s="236"/>
      <c r="V1049" s="236"/>
      <c r="W1049" s="236"/>
      <c r="X1049" s="244"/>
      <c r="Y1049" s="244"/>
      <c r="Z1049" s="237"/>
      <c r="AA1049" s="244"/>
      <c r="AB1049" s="244"/>
      <c r="AC1049" s="244"/>
      <c r="AD1049" s="244"/>
      <c r="AE1049" s="234"/>
      <c r="AF1049" s="234"/>
      <c r="AG1049" s="238"/>
      <c r="AH1049" s="239"/>
      <c r="AI1049" s="238"/>
      <c r="AJ1049" s="238"/>
      <c r="AK1049" s="234"/>
      <c r="AL1049" s="234"/>
      <c r="AM1049" s="234"/>
      <c r="AN1049" s="234"/>
      <c r="AO1049" s="234"/>
    </row>
    <row r="1050" ht="15.75" customHeight="1">
      <c r="A1050" s="91"/>
      <c r="B1050" s="91"/>
      <c r="C1050" s="220"/>
      <c r="D1050" s="91"/>
      <c r="E1050" s="221"/>
      <c r="F1050" s="91"/>
      <c r="G1050" s="91"/>
      <c r="H1050" s="242"/>
      <c r="I1050" s="91"/>
      <c r="J1050" s="234"/>
      <c r="K1050" s="243"/>
      <c r="L1050" s="243"/>
      <c r="M1050" s="234"/>
      <c r="N1050" s="235"/>
      <c r="O1050" s="236"/>
      <c r="P1050" s="236"/>
      <c r="Q1050" s="236"/>
      <c r="R1050" s="236"/>
      <c r="S1050" s="236"/>
      <c r="T1050" s="236"/>
      <c r="U1050" s="236"/>
      <c r="V1050" s="236"/>
      <c r="W1050" s="236"/>
      <c r="X1050" s="244"/>
      <c r="Y1050" s="244"/>
      <c r="Z1050" s="237"/>
      <c r="AA1050" s="244"/>
      <c r="AB1050" s="244"/>
      <c r="AC1050" s="244"/>
      <c r="AD1050" s="244"/>
      <c r="AE1050" s="234"/>
      <c r="AF1050" s="234"/>
      <c r="AG1050" s="238"/>
      <c r="AH1050" s="239"/>
      <c r="AI1050" s="238"/>
      <c r="AJ1050" s="238"/>
      <c r="AK1050" s="234"/>
      <c r="AL1050" s="234"/>
      <c r="AM1050" s="234"/>
      <c r="AN1050" s="234"/>
      <c r="AO1050" s="234"/>
    </row>
    <row r="1051" ht="15.75" customHeight="1">
      <c r="A1051" s="91"/>
      <c r="B1051" s="91"/>
      <c r="C1051" s="220"/>
      <c r="D1051" s="91"/>
      <c r="E1051" s="221"/>
      <c r="F1051" s="91"/>
      <c r="G1051" s="91"/>
      <c r="H1051" s="242"/>
      <c r="I1051" s="91"/>
      <c r="J1051" s="234"/>
      <c r="K1051" s="243"/>
      <c r="L1051" s="243"/>
      <c r="M1051" s="234"/>
      <c r="N1051" s="235"/>
      <c r="O1051" s="236"/>
      <c r="P1051" s="236"/>
      <c r="Q1051" s="236"/>
      <c r="R1051" s="236"/>
      <c r="S1051" s="236"/>
      <c r="T1051" s="236"/>
      <c r="U1051" s="236"/>
      <c r="V1051" s="236"/>
      <c r="W1051" s="236"/>
      <c r="X1051" s="244"/>
      <c r="Y1051" s="244"/>
      <c r="Z1051" s="237"/>
      <c r="AA1051" s="244"/>
      <c r="AB1051" s="244"/>
      <c r="AC1051" s="244"/>
      <c r="AD1051" s="244"/>
      <c r="AE1051" s="234"/>
      <c r="AF1051" s="234"/>
      <c r="AG1051" s="238"/>
      <c r="AH1051" s="239"/>
      <c r="AI1051" s="238"/>
      <c r="AJ1051" s="238"/>
      <c r="AK1051" s="234"/>
      <c r="AL1051" s="234"/>
      <c r="AM1051" s="234"/>
      <c r="AN1051" s="234"/>
      <c r="AO1051" s="234"/>
    </row>
    <row r="1052" ht="15.75" customHeight="1">
      <c r="A1052" s="91"/>
      <c r="B1052" s="91"/>
      <c r="C1052" s="220"/>
      <c r="D1052" s="91"/>
      <c r="E1052" s="221"/>
      <c r="F1052" s="91"/>
      <c r="G1052" s="91"/>
      <c r="H1052" s="242"/>
      <c r="I1052" s="91"/>
      <c r="J1052" s="234"/>
      <c r="K1052" s="243"/>
      <c r="L1052" s="243"/>
      <c r="M1052" s="234"/>
      <c r="N1052" s="235"/>
      <c r="O1052" s="236"/>
      <c r="P1052" s="236"/>
      <c r="Q1052" s="236"/>
      <c r="R1052" s="236"/>
      <c r="S1052" s="236"/>
      <c r="T1052" s="236"/>
      <c r="U1052" s="236"/>
      <c r="V1052" s="236"/>
      <c r="W1052" s="236"/>
      <c r="X1052" s="244"/>
      <c r="Y1052" s="244"/>
      <c r="Z1052" s="237"/>
      <c r="AA1052" s="244"/>
      <c r="AB1052" s="244"/>
      <c r="AC1052" s="244"/>
      <c r="AD1052" s="244"/>
      <c r="AE1052" s="234"/>
      <c r="AF1052" s="234"/>
      <c r="AG1052" s="238"/>
      <c r="AH1052" s="239"/>
      <c r="AI1052" s="238"/>
      <c r="AJ1052" s="238"/>
      <c r="AK1052" s="234"/>
      <c r="AL1052" s="234"/>
      <c r="AM1052" s="234"/>
      <c r="AN1052" s="234"/>
      <c r="AO1052" s="234"/>
    </row>
    <row r="1053" ht="15.75" customHeight="1">
      <c r="A1053" s="91"/>
      <c r="B1053" s="91"/>
      <c r="C1053" s="220"/>
      <c r="D1053" s="91"/>
      <c r="E1053" s="221"/>
      <c r="F1053" s="91"/>
      <c r="G1053" s="91"/>
      <c r="H1053" s="242"/>
      <c r="I1053" s="91"/>
      <c r="J1053" s="234"/>
      <c r="K1053" s="243"/>
      <c r="L1053" s="243"/>
      <c r="M1053" s="234"/>
      <c r="N1053" s="235"/>
      <c r="O1053" s="236"/>
      <c r="P1053" s="236"/>
      <c r="Q1053" s="236"/>
      <c r="R1053" s="236"/>
      <c r="S1053" s="236"/>
      <c r="T1053" s="236"/>
      <c r="U1053" s="236"/>
      <c r="V1053" s="236"/>
      <c r="W1053" s="236"/>
      <c r="X1053" s="244"/>
      <c r="Y1053" s="244"/>
      <c r="Z1053" s="237"/>
      <c r="AA1053" s="244"/>
      <c r="AB1053" s="244"/>
      <c r="AC1053" s="244"/>
      <c r="AD1053" s="244"/>
      <c r="AE1053" s="234"/>
      <c r="AF1053" s="234"/>
      <c r="AG1053" s="238"/>
      <c r="AH1053" s="239"/>
      <c r="AI1053" s="238"/>
      <c r="AJ1053" s="238"/>
      <c r="AK1053" s="234"/>
      <c r="AL1053" s="234"/>
      <c r="AM1053" s="234"/>
      <c r="AN1053" s="234"/>
      <c r="AO1053" s="234"/>
    </row>
    <row r="1054" ht="15.75" customHeight="1">
      <c r="A1054" s="91"/>
      <c r="B1054" s="91"/>
      <c r="C1054" s="220"/>
      <c r="D1054" s="91"/>
      <c r="E1054" s="221"/>
      <c r="F1054" s="91"/>
      <c r="G1054" s="91"/>
      <c r="H1054" s="242"/>
      <c r="I1054" s="91"/>
      <c r="J1054" s="234"/>
      <c r="K1054" s="243"/>
      <c r="L1054" s="243"/>
      <c r="M1054" s="234"/>
      <c r="N1054" s="235"/>
      <c r="O1054" s="236"/>
      <c r="P1054" s="236"/>
      <c r="Q1054" s="236"/>
      <c r="R1054" s="236"/>
      <c r="S1054" s="236"/>
      <c r="T1054" s="236"/>
      <c r="U1054" s="236"/>
      <c r="V1054" s="236"/>
      <c r="W1054" s="236"/>
      <c r="X1054" s="244"/>
      <c r="Y1054" s="244"/>
      <c r="Z1054" s="237"/>
      <c r="AA1054" s="244"/>
      <c r="AB1054" s="244"/>
      <c r="AC1054" s="244"/>
      <c r="AD1054" s="244"/>
      <c r="AE1054" s="234"/>
      <c r="AF1054" s="234"/>
      <c r="AG1054" s="238"/>
      <c r="AH1054" s="239"/>
      <c r="AI1054" s="238"/>
      <c r="AJ1054" s="238"/>
      <c r="AK1054" s="234"/>
      <c r="AL1054" s="234"/>
      <c r="AM1054" s="234"/>
      <c r="AN1054" s="234"/>
      <c r="AO1054" s="234"/>
    </row>
    <row r="1055" ht="15.75" customHeight="1">
      <c r="A1055" s="91"/>
      <c r="B1055" s="91"/>
      <c r="C1055" s="220"/>
      <c r="D1055" s="91"/>
      <c r="E1055" s="221"/>
      <c r="F1055" s="91"/>
      <c r="G1055" s="91"/>
      <c r="H1055" s="242"/>
      <c r="I1055" s="91"/>
      <c r="J1055" s="234"/>
      <c r="K1055" s="243"/>
      <c r="L1055" s="243"/>
      <c r="M1055" s="234"/>
      <c r="N1055" s="235"/>
      <c r="O1055" s="236"/>
      <c r="P1055" s="236"/>
      <c r="Q1055" s="236"/>
      <c r="R1055" s="236"/>
      <c r="S1055" s="236"/>
      <c r="T1055" s="236"/>
      <c r="U1055" s="236"/>
      <c r="V1055" s="236"/>
      <c r="W1055" s="236"/>
      <c r="X1055" s="244"/>
      <c r="Y1055" s="244"/>
      <c r="Z1055" s="237"/>
      <c r="AA1055" s="244"/>
      <c r="AB1055" s="244"/>
      <c r="AC1055" s="244"/>
      <c r="AD1055" s="244"/>
      <c r="AE1055" s="234"/>
      <c r="AF1055" s="234"/>
      <c r="AG1055" s="238"/>
      <c r="AH1055" s="239"/>
      <c r="AI1055" s="238"/>
      <c r="AJ1055" s="238"/>
      <c r="AK1055" s="234"/>
      <c r="AL1055" s="234"/>
      <c r="AM1055" s="234"/>
      <c r="AN1055" s="234"/>
      <c r="AO1055" s="234"/>
    </row>
    <row r="1056" ht="15.75" customHeight="1">
      <c r="A1056" s="91"/>
      <c r="B1056" s="91"/>
      <c r="C1056" s="220"/>
      <c r="D1056" s="91"/>
      <c r="E1056" s="221"/>
      <c r="F1056" s="91"/>
      <c r="G1056" s="91"/>
      <c r="H1056" s="242"/>
      <c r="I1056" s="91"/>
      <c r="J1056" s="234"/>
      <c r="K1056" s="243"/>
      <c r="L1056" s="243"/>
      <c r="M1056" s="234"/>
      <c r="N1056" s="235"/>
      <c r="O1056" s="236"/>
      <c r="P1056" s="236"/>
      <c r="Q1056" s="236"/>
      <c r="R1056" s="236"/>
      <c r="S1056" s="236"/>
      <c r="T1056" s="236"/>
      <c r="U1056" s="236"/>
      <c r="V1056" s="236"/>
      <c r="W1056" s="236"/>
      <c r="X1056" s="244"/>
      <c r="Y1056" s="244"/>
      <c r="Z1056" s="237"/>
      <c r="AA1056" s="244"/>
      <c r="AB1056" s="244"/>
      <c r="AC1056" s="244"/>
      <c r="AD1056" s="244"/>
      <c r="AE1056" s="234"/>
      <c r="AF1056" s="234"/>
      <c r="AG1056" s="238"/>
      <c r="AH1056" s="239"/>
      <c r="AI1056" s="238"/>
      <c r="AJ1056" s="238"/>
      <c r="AK1056" s="234"/>
      <c r="AL1056" s="234"/>
      <c r="AM1056" s="234"/>
      <c r="AN1056" s="234"/>
      <c r="AO1056" s="234"/>
    </row>
    <row r="1057" ht="15.75" customHeight="1">
      <c r="A1057" s="91"/>
      <c r="B1057" s="91"/>
      <c r="C1057" s="220"/>
      <c r="D1057" s="91"/>
      <c r="E1057" s="221"/>
      <c r="F1057" s="91"/>
      <c r="G1057" s="91"/>
      <c r="H1057" s="242"/>
      <c r="I1057" s="91"/>
      <c r="J1057" s="234"/>
      <c r="K1057" s="243"/>
      <c r="L1057" s="243"/>
      <c r="M1057" s="234"/>
      <c r="N1057" s="235"/>
      <c r="O1057" s="236"/>
      <c r="P1057" s="236"/>
      <c r="Q1057" s="236"/>
      <c r="R1057" s="236"/>
      <c r="S1057" s="236"/>
      <c r="T1057" s="236"/>
      <c r="U1057" s="236"/>
      <c r="V1057" s="236"/>
      <c r="W1057" s="236"/>
      <c r="X1057" s="244"/>
      <c r="Y1057" s="244"/>
      <c r="Z1057" s="237"/>
      <c r="AA1057" s="244"/>
      <c r="AB1057" s="244"/>
      <c r="AC1057" s="244"/>
      <c r="AD1057" s="244"/>
      <c r="AE1057" s="234"/>
      <c r="AF1057" s="234"/>
      <c r="AG1057" s="238"/>
      <c r="AH1057" s="239"/>
      <c r="AI1057" s="238"/>
      <c r="AJ1057" s="238"/>
      <c r="AK1057" s="234"/>
      <c r="AL1057" s="234"/>
      <c r="AM1057" s="234"/>
      <c r="AN1057" s="234"/>
      <c r="AO1057" s="234"/>
    </row>
    <row r="1058" ht="15.75" customHeight="1">
      <c r="A1058" s="91"/>
      <c r="B1058" s="91"/>
      <c r="C1058" s="220"/>
      <c r="D1058" s="91"/>
      <c r="E1058" s="221"/>
      <c r="F1058" s="91"/>
      <c r="G1058" s="91"/>
      <c r="H1058" s="242"/>
      <c r="I1058" s="91"/>
      <c r="J1058" s="234"/>
      <c r="K1058" s="243"/>
      <c r="L1058" s="243"/>
      <c r="M1058" s="234"/>
      <c r="N1058" s="235"/>
      <c r="O1058" s="236"/>
      <c r="P1058" s="236"/>
      <c r="Q1058" s="236"/>
      <c r="R1058" s="236"/>
      <c r="S1058" s="236"/>
      <c r="T1058" s="236"/>
      <c r="U1058" s="236"/>
      <c r="V1058" s="236"/>
      <c r="W1058" s="236"/>
      <c r="X1058" s="244"/>
      <c r="Y1058" s="244"/>
      <c r="Z1058" s="237"/>
      <c r="AA1058" s="244"/>
      <c r="AB1058" s="244"/>
      <c r="AC1058" s="244"/>
      <c r="AD1058" s="244"/>
      <c r="AE1058" s="234"/>
      <c r="AF1058" s="234"/>
      <c r="AG1058" s="238"/>
      <c r="AH1058" s="239"/>
      <c r="AI1058" s="238"/>
      <c r="AJ1058" s="238"/>
      <c r="AK1058" s="234"/>
      <c r="AL1058" s="234"/>
      <c r="AM1058" s="234"/>
      <c r="AN1058" s="234"/>
      <c r="AO1058" s="234"/>
    </row>
    <row r="1059" ht="15.75" customHeight="1">
      <c r="A1059" s="91"/>
      <c r="B1059" s="91"/>
      <c r="C1059" s="220"/>
      <c r="D1059" s="91"/>
      <c r="E1059" s="221"/>
      <c r="F1059" s="91"/>
      <c r="G1059" s="91"/>
      <c r="H1059" s="242"/>
      <c r="I1059" s="91"/>
      <c r="J1059" s="234"/>
      <c r="K1059" s="243"/>
      <c r="L1059" s="243"/>
      <c r="M1059" s="234"/>
      <c r="N1059" s="235"/>
      <c r="O1059" s="236"/>
      <c r="P1059" s="236"/>
      <c r="Q1059" s="236"/>
      <c r="R1059" s="236"/>
      <c r="S1059" s="236"/>
      <c r="T1059" s="236"/>
      <c r="U1059" s="236"/>
      <c r="V1059" s="236"/>
      <c r="W1059" s="236"/>
      <c r="X1059" s="244"/>
      <c r="Y1059" s="244"/>
      <c r="Z1059" s="237"/>
      <c r="AA1059" s="244"/>
      <c r="AB1059" s="244"/>
      <c r="AC1059" s="244"/>
      <c r="AD1059" s="244"/>
      <c r="AE1059" s="234"/>
      <c r="AF1059" s="234"/>
      <c r="AG1059" s="238"/>
      <c r="AH1059" s="239"/>
      <c r="AI1059" s="238"/>
      <c r="AJ1059" s="238"/>
      <c r="AK1059" s="234"/>
      <c r="AL1059" s="234"/>
      <c r="AM1059" s="234"/>
      <c r="AN1059" s="234"/>
      <c r="AO1059" s="234"/>
    </row>
    <row r="1060" ht="15.75" customHeight="1">
      <c r="A1060" s="91"/>
      <c r="B1060" s="91"/>
      <c r="C1060" s="220"/>
      <c r="D1060" s="91"/>
      <c r="E1060" s="221"/>
      <c r="F1060" s="91"/>
      <c r="G1060" s="91"/>
      <c r="H1060" s="242"/>
      <c r="I1060" s="91"/>
      <c r="J1060" s="234"/>
      <c r="K1060" s="243"/>
      <c r="L1060" s="243"/>
      <c r="M1060" s="234"/>
      <c r="N1060" s="235"/>
      <c r="O1060" s="236"/>
      <c r="P1060" s="236"/>
      <c r="Q1060" s="236"/>
      <c r="R1060" s="236"/>
      <c r="S1060" s="236"/>
      <c r="T1060" s="236"/>
      <c r="U1060" s="236"/>
      <c r="V1060" s="236"/>
      <c r="W1060" s="236"/>
      <c r="X1060" s="244"/>
      <c r="Y1060" s="244"/>
      <c r="Z1060" s="237"/>
      <c r="AA1060" s="244"/>
      <c r="AB1060" s="244"/>
      <c r="AC1060" s="244"/>
      <c r="AD1060" s="244"/>
      <c r="AE1060" s="234"/>
      <c r="AF1060" s="234"/>
      <c r="AG1060" s="238"/>
      <c r="AH1060" s="239"/>
      <c r="AI1060" s="238"/>
      <c r="AJ1060" s="238"/>
      <c r="AK1060" s="234"/>
      <c r="AL1060" s="234"/>
      <c r="AM1060" s="234"/>
      <c r="AN1060" s="234"/>
      <c r="AO1060" s="234"/>
    </row>
    <row r="1061" ht="15.75" customHeight="1">
      <c r="A1061" s="91"/>
      <c r="B1061" s="91"/>
      <c r="C1061" s="220"/>
      <c r="D1061" s="91"/>
      <c r="E1061" s="221"/>
      <c r="F1061" s="91"/>
      <c r="G1061" s="91"/>
      <c r="H1061" s="242"/>
      <c r="I1061" s="91"/>
      <c r="J1061" s="234"/>
      <c r="K1061" s="243"/>
      <c r="L1061" s="243"/>
      <c r="M1061" s="234"/>
      <c r="N1061" s="235"/>
      <c r="O1061" s="236"/>
      <c r="P1061" s="236"/>
      <c r="Q1061" s="236"/>
      <c r="R1061" s="236"/>
      <c r="S1061" s="236"/>
      <c r="T1061" s="236"/>
      <c r="U1061" s="236"/>
      <c r="V1061" s="236"/>
      <c r="W1061" s="236"/>
      <c r="X1061" s="244"/>
      <c r="Y1061" s="244"/>
      <c r="Z1061" s="237"/>
      <c r="AA1061" s="244"/>
      <c r="AB1061" s="244"/>
      <c r="AC1061" s="244"/>
      <c r="AD1061" s="244"/>
      <c r="AE1061" s="234"/>
      <c r="AF1061" s="234"/>
      <c r="AG1061" s="238"/>
      <c r="AH1061" s="239"/>
      <c r="AI1061" s="238"/>
      <c r="AJ1061" s="238"/>
      <c r="AK1061" s="234"/>
      <c r="AL1061" s="234"/>
      <c r="AM1061" s="234"/>
      <c r="AN1061" s="234"/>
      <c r="AO1061" s="234"/>
    </row>
    <row r="1062" ht="15.75" customHeight="1">
      <c r="A1062" s="91"/>
      <c r="B1062" s="91"/>
      <c r="C1062" s="220"/>
      <c r="D1062" s="91"/>
      <c r="E1062" s="221"/>
      <c r="F1062" s="91"/>
      <c r="G1062" s="91"/>
      <c r="H1062" s="242"/>
      <c r="I1062" s="91"/>
      <c r="J1062" s="234"/>
      <c r="K1062" s="243"/>
      <c r="L1062" s="243"/>
      <c r="M1062" s="234"/>
      <c r="N1062" s="235"/>
      <c r="O1062" s="236"/>
      <c r="P1062" s="236"/>
      <c r="Q1062" s="236"/>
      <c r="R1062" s="236"/>
      <c r="S1062" s="236"/>
      <c r="T1062" s="236"/>
      <c r="U1062" s="236"/>
      <c r="V1062" s="236"/>
      <c r="W1062" s="236"/>
      <c r="X1062" s="244"/>
      <c r="Y1062" s="244"/>
      <c r="Z1062" s="237"/>
      <c r="AA1062" s="244"/>
      <c r="AB1062" s="244"/>
      <c r="AC1062" s="244"/>
      <c r="AD1062" s="244"/>
      <c r="AE1062" s="234"/>
      <c r="AF1062" s="234"/>
      <c r="AG1062" s="238"/>
      <c r="AH1062" s="239"/>
      <c r="AI1062" s="238"/>
      <c r="AJ1062" s="238"/>
      <c r="AK1062" s="234"/>
      <c r="AL1062" s="234"/>
      <c r="AM1062" s="234"/>
      <c r="AN1062" s="234"/>
      <c r="AO1062" s="234"/>
    </row>
    <row r="1063" ht="15.75" customHeight="1">
      <c r="A1063" s="91"/>
      <c r="B1063" s="91"/>
      <c r="C1063" s="220"/>
      <c r="D1063" s="91"/>
      <c r="E1063" s="221"/>
      <c r="F1063" s="91"/>
      <c r="G1063" s="91"/>
      <c r="H1063" s="242"/>
      <c r="I1063" s="91"/>
      <c r="J1063" s="234"/>
      <c r="K1063" s="243"/>
      <c r="L1063" s="243"/>
      <c r="M1063" s="234"/>
      <c r="N1063" s="235"/>
      <c r="O1063" s="236"/>
      <c r="P1063" s="236"/>
      <c r="Q1063" s="236"/>
      <c r="R1063" s="236"/>
      <c r="S1063" s="236"/>
      <c r="T1063" s="236"/>
      <c r="U1063" s="236"/>
      <c r="V1063" s="236"/>
      <c r="W1063" s="236"/>
      <c r="X1063" s="244"/>
      <c r="Y1063" s="244"/>
      <c r="Z1063" s="237"/>
      <c r="AA1063" s="244"/>
      <c r="AB1063" s="244"/>
      <c r="AC1063" s="244"/>
      <c r="AD1063" s="244"/>
      <c r="AE1063" s="234"/>
      <c r="AF1063" s="234"/>
      <c r="AG1063" s="238"/>
      <c r="AH1063" s="239"/>
      <c r="AI1063" s="238"/>
      <c r="AJ1063" s="238"/>
      <c r="AK1063" s="234"/>
      <c r="AL1063" s="234"/>
      <c r="AM1063" s="234"/>
      <c r="AN1063" s="234"/>
      <c r="AO1063" s="234"/>
    </row>
    <row r="1064" ht="15.75" customHeight="1">
      <c r="A1064" s="91"/>
      <c r="B1064" s="91"/>
      <c r="C1064" s="220"/>
      <c r="D1064" s="91"/>
      <c r="E1064" s="221"/>
      <c r="F1064" s="91"/>
      <c r="G1064" s="91"/>
      <c r="H1064" s="242"/>
      <c r="I1064" s="91"/>
      <c r="J1064" s="234"/>
      <c r="K1064" s="243"/>
      <c r="L1064" s="243"/>
      <c r="M1064" s="234"/>
      <c r="N1064" s="235"/>
      <c r="O1064" s="236"/>
      <c r="P1064" s="236"/>
      <c r="Q1064" s="236"/>
      <c r="R1064" s="236"/>
      <c r="S1064" s="236"/>
      <c r="T1064" s="236"/>
      <c r="U1064" s="236"/>
      <c r="V1064" s="236"/>
      <c r="W1064" s="236"/>
      <c r="X1064" s="244"/>
      <c r="Y1064" s="244"/>
      <c r="Z1064" s="237"/>
      <c r="AA1064" s="244"/>
      <c r="AB1064" s="244"/>
      <c r="AC1064" s="244"/>
      <c r="AD1064" s="244"/>
      <c r="AE1064" s="234"/>
      <c r="AF1064" s="234"/>
      <c r="AG1064" s="238"/>
      <c r="AH1064" s="239"/>
      <c r="AI1064" s="238"/>
      <c r="AJ1064" s="238"/>
      <c r="AK1064" s="234"/>
      <c r="AL1064" s="234"/>
      <c r="AM1064" s="234"/>
      <c r="AN1064" s="234"/>
      <c r="AO1064" s="234"/>
    </row>
    <row r="1065" ht="15.75" customHeight="1">
      <c r="A1065" s="91"/>
      <c r="B1065" s="91"/>
      <c r="C1065" s="220"/>
      <c r="D1065" s="91"/>
      <c r="E1065" s="221"/>
      <c r="F1065" s="91"/>
      <c r="G1065" s="91"/>
      <c r="H1065" s="242"/>
      <c r="I1065" s="91"/>
      <c r="J1065" s="234"/>
      <c r="K1065" s="243"/>
      <c r="L1065" s="243"/>
      <c r="M1065" s="234"/>
      <c r="N1065" s="235"/>
      <c r="O1065" s="236"/>
      <c r="P1065" s="236"/>
      <c r="Q1065" s="236"/>
      <c r="R1065" s="236"/>
      <c r="S1065" s="236"/>
      <c r="T1065" s="236"/>
      <c r="U1065" s="236"/>
      <c r="V1065" s="236"/>
      <c r="W1065" s="236"/>
      <c r="X1065" s="244"/>
      <c r="Y1065" s="244"/>
      <c r="Z1065" s="237"/>
      <c r="AA1065" s="244"/>
      <c r="AB1065" s="244"/>
      <c r="AC1065" s="244"/>
      <c r="AD1065" s="244"/>
      <c r="AE1065" s="234"/>
      <c r="AF1065" s="234"/>
      <c r="AG1065" s="238"/>
      <c r="AH1065" s="239"/>
      <c r="AI1065" s="238"/>
      <c r="AJ1065" s="238"/>
      <c r="AK1065" s="234"/>
      <c r="AL1065" s="234"/>
      <c r="AM1065" s="234"/>
      <c r="AN1065" s="234"/>
      <c r="AO1065" s="234"/>
    </row>
    <row r="1066" ht="15.75" customHeight="1">
      <c r="A1066" s="91"/>
      <c r="B1066" s="91"/>
      <c r="C1066" s="220"/>
      <c r="D1066" s="91"/>
      <c r="E1066" s="221"/>
      <c r="F1066" s="91"/>
      <c r="G1066" s="91"/>
      <c r="H1066" s="242"/>
      <c r="I1066" s="91"/>
      <c r="J1066" s="234"/>
      <c r="K1066" s="243"/>
      <c r="L1066" s="243"/>
      <c r="M1066" s="234"/>
      <c r="N1066" s="235"/>
      <c r="O1066" s="236"/>
      <c r="P1066" s="236"/>
      <c r="Q1066" s="236"/>
      <c r="R1066" s="236"/>
      <c r="S1066" s="236"/>
      <c r="T1066" s="236"/>
      <c r="U1066" s="236"/>
      <c r="V1066" s="236"/>
      <c r="W1066" s="236"/>
      <c r="X1066" s="244"/>
      <c r="Y1066" s="244"/>
      <c r="Z1066" s="237"/>
      <c r="AA1066" s="244"/>
      <c r="AB1066" s="244"/>
      <c r="AC1066" s="244"/>
      <c r="AD1066" s="244"/>
      <c r="AE1066" s="234"/>
      <c r="AF1066" s="234"/>
      <c r="AG1066" s="238"/>
      <c r="AH1066" s="239"/>
      <c r="AI1066" s="238"/>
      <c r="AJ1066" s="238"/>
      <c r="AK1066" s="234"/>
      <c r="AL1066" s="234"/>
      <c r="AM1066" s="234"/>
      <c r="AN1066" s="234"/>
      <c r="AO1066" s="234"/>
    </row>
    <row r="1067" ht="15.75" customHeight="1">
      <c r="A1067" s="91"/>
      <c r="B1067" s="91"/>
      <c r="C1067" s="220"/>
      <c r="D1067" s="91"/>
      <c r="E1067" s="221"/>
      <c r="F1067" s="91"/>
      <c r="G1067" s="91"/>
      <c r="H1067" s="242"/>
      <c r="I1067" s="91"/>
      <c r="J1067" s="234"/>
      <c r="K1067" s="243"/>
      <c r="L1067" s="243"/>
      <c r="M1067" s="234"/>
      <c r="N1067" s="235"/>
      <c r="O1067" s="236"/>
      <c r="P1067" s="236"/>
      <c r="Q1067" s="236"/>
      <c r="R1067" s="236"/>
      <c r="S1067" s="236"/>
      <c r="T1067" s="236"/>
      <c r="U1067" s="236"/>
      <c r="V1067" s="236"/>
      <c r="W1067" s="236"/>
      <c r="X1067" s="244"/>
      <c r="Y1067" s="244"/>
      <c r="Z1067" s="237"/>
      <c r="AA1067" s="244"/>
      <c r="AB1067" s="244"/>
      <c r="AC1067" s="244"/>
      <c r="AD1067" s="244"/>
      <c r="AE1067" s="234"/>
      <c r="AF1067" s="234"/>
      <c r="AG1067" s="238"/>
      <c r="AH1067" s="239"/>
      <c r="AI1067" s="238"/>
      <c r="AJ1067" s="238"/>
      <c r="AK1067" s="234"/>
      <c r="AL1067" s="234"/>
      <c r="AM1067" s="234"/>
      <c r="AN1067" s="234"/>
      <c r="AO1067" s="234"/>
    </row>
    <row r="1068" ht="15.75" customHeight="1">
      <c r="A1068" s="91"/>
      <c r="B1068" s="91"/>
      <c r="C1068" s="220"/>
      <c r="D1068" s="91"/>
      <c r="E1068" s="221"/>
      <c r="F1068" s="91"/>
      <c r="G1068" s="91"/>
      <c r="H1068" s="242"/>
      <c r="I1068" s="91"/>
      <c r="J1068" s="234"/>
      <c r="K1068" s="243"/>
      <c r="L1068" s="243"/>
      <c r="M1068" s="234"/>
      <c r="N1068" s="235"/>
      <c r="O1068" s="236"/>
      <c r="P1068" s="236"/>
      <c r="Q1068" s="236"/>
      <c r="R1068" s="236"/>
      <c r="S1068" s="236"/>
      <c r="T1068" s="236"/>
      <c r="U1068" s="236"/>
      <c r="V1068" s="236"/>
      <c r="W1068" s="236"/>
      <c r="X1068" s="244"/>
      <c r="Y1068" s="244"/>
      <c r="Z1068" s="237"/>
      <c r="AA1068" s="244"/>
      <c r="AB1068" s="244"/>
      <c r="AC1068" s="244"/>
      <c r="AD1068" s="244"/>
      <c r="AE1068" s="234"/>
      <c r="AF1068" s="234"/>
      <c r="AG1068" s="238"/>
      <c r="AH1068" s="239"/>
      <c r="AI1068" s="238"/>
      <c r="AJ1068" s="238"/>
      <c r="AK1068" s="234"/>
      <c r="AL1068" s="234"/>
      <c r="AM1068" s="234"/>
      <c r="AN1068" s="234"/>
      <c r="AO1068" s="234"/>
    </row>
    <row r="1069" ht="15.75" customHeight="1">
      <c r="A1069" s="91"/>
      <c r="B1069" s="91"/>
      <c r="C1069" s="220"/>
      <c r="D1069" s="91"/>
      <c r="E1069" s="221"/>
      <c r="F1069" s="91"/>
      <c r="G1069" s="91"/>
      <c r="H1069" s="242"/>
      <c r="I1069" s="91"/>
      <c r="J1069" s="234"/>
      <c r="K1069" s="243"/>
      <c r="L1069" s="243"/>
      <c r="M1069" s="234"/>
      <c r="N1069" s="235"/>
      <c r="O1069" s="236"/>
      <c r="P1069" s="236"/>
      <c r="Q1069" s="236"/>
      <c r="R1069" s="236"/>
      <c r="S1069" s="236"/>
      <c r="T1069" s="236"/>
      <c r="U1069" s="236"/>
      <c r="V1069" s="236"/>
      <c r="W1069" s="236"/>
      <c r="X1069" s="244"/>
      <c r="Y1069" s="244"/>
      <c r="Z1069" s="237"/>
      <c r="AA1069" s="244"/>
      <c r="AB1069" s="244"/>
      <c r="AC1069" s="244"/>
      <c r="AD1069" s="244"/>
      <c r="AE1069" s="234"/>
      <c r="AF1069" s="234"/>
      <c r="AG1069" s="238"/>
      <c r="AH1069" s="239"/>
      <c r="AI1069" s="238"/>
      <c r="AJ1069" s="238"/>
      <c r="AK1069" s="234"/>
      <c r="AL1069" s="234"/>
      <c r="AM1069" s="234"/>
      <c r="AN1069" s="234"/>
      <c r="AO1069" s="234"/>
    </row>
    <row r="1070" ht="15.75" customHeight="1">
      <c r="A1070" s="91"/>
      <c r="B1070" s="91"/>
      <c r="C1070" s="220"/>
      <c r="D1070" s="91"/>
      <c r="E1070" s="221"/>
      <c r="F1070" s="91"/>
      <c r="G1070" s="91"/>
      <c r="H1070" s="242"/>
      <c r="I1070" s="91"/>
      <c r="J1070" s="234"/>
      <c r="K1070" s="243"/>
      <c r="L1070" s="243"/>
      <c r="M1070" s="234"/>
      <c r="N1070" s="235"/>
      <c r="O1070" s="236"/>
      <c r="P1070" s="236"/>
      <c r="Q1070" s="236"/>
      <c r="R1070" s="236"/>
      <c r="S1070" s="236"/>
      <c r="T1070" s="236"/>
      <c r="U1070" s="236"/>
      <c r="V1070" s="236"/>
      <c r="W1070" s="236"/>
      <c r="X1070" s="244"/>
      <c r="Y1070" s="244"/>
      <c r="Z1070" s="237"/>
      <c r="AA1070" s="244"/>
      <c r="AB1070" s="244"/>
      <c r="AC1070" s="244"/>
      <c r="AD1070" s="244"/>
      <c r="AE1070" s="234"/>
      <c r="AF1070" s="234"/>
      <c r="AG1070" s="238"/>
      <c r="AH1070" s="239"/>
      <c r="AI1070" s="238"/>
      <c r="AJ1070" s="238"/>
      <c r="AK1070" s="234"/>
      <c r="AL1070" s="234"/>
      <c r="AM1070" s="234"/>
      <c r="AN1070" s="234"/>
      <c r="AO1070" s="234"/>
    </row>
    <row r="1071" ht="15.75" customHeight="1">
      <c r="A1071" s="91"/>
      <c r="B1071" s="91"/>
      <c r="C1071" s="220"/>
      <c r="D1071" s="91"/>
      <c r="E1071" s="221"/>
      <c r="F1071" s="91"/>
      <c r="G1071" s="91"/>
      <c r="H1071" s="242"/>
      <c r="I1071" s="91"/>
      <c r="J1071" s="234"/>
      <c r="K1071" s="243"/>
      <c r="L1071" s="243"/>
      <c r="M1071" s="234"/>
      <c r="N1071" s="235"/>
      <c r="O1071" s="236"/>
      <c r="P1071" s="236"/>
      <c r="Q1071" s="236"/>
      <c r="R1071" s="236"/>
      <c r="S1071" s="236"/>
      <c r="T1071" s="236"/>
      <c r="U1071" s="236"/>
      <c r="V1071" s="236"/>
      <c r="W1071" s="236"/>
      <c r="X1071" s="244"/>
      <c r="Y1071" s="244"/>
      <c r="Z1071" s="237"/>
      <c r="AA1071" s="244"/>
      <c r="AB1071" s="244"/>
      <c r="AC1071" s="244"/>
      <c r="AD1071" s="244"/>
      <c r="AE1071" s="234"/>
      <c r="AF1071" s="234"/>
      <c r="AG1071" s="238"/>
      <c r="AH1071" s="239"/>
      <c r="AI1071" s="238"/>
      <c r="AJ1071" s="238"/>
      <c r="AK1071" s="234"/>
      <c r="AL1071" s="234"/>
      <c r="AM1071" s="234"/>
      <c r="AN1071" s="234"/>
      <c r="AO1071" s="234"/>
    </row>
    <row r="1072" ht="15.75" customHeight="1">
      <c r="A1072" s="91"/>
      <c r="B1072" s="91"/>
      <c r="C1072" s="220"/>
      <c r="D1072" s="91"/>
      <c r="E1072" s="221"/>
      <c r="F1072" s="91"/>
      <c r="G1072" s="91"/>
      <c r="H1072" s="242"/>
      <c r="I1072" s="91"/>
      <c r="J1072" s="234"/>
      <c r="K1072" s="243"/>
      <c r="L1072" s="243"/>
      <c r="M1072" s="234"/>
      <c r="N1072" s="235"/>
      <c r="O1072" s="236"/>
      <c r="P1072" s="236"/>
      <c r="Q1072" s="236"/>
      <c r="R1072" s="236"/>
      <c r="S1072" s="236"/>
      <c r="T1072" s="236"/>
      <c r="U1072" s="236"/>
      <c r="V1072" s="236"/>
      <c r="W1072" s="236"/>
      <c r="X1072" s="244"/>
      <c r="Y1072" s="244"/>
      <c r="Z1072" s="237"/>
      <c r="AA1072" s="244"/>
      <c r="AB1072" s="244"/>
      <c r="AC1072" s="244"/>
      <c r="AD1072" s="244"/>
      <c r="AE1072" s="234"/>
      <c r="AF1072" s="234"/>
      <c r="AG1072" s="238"/>
      <c r="AH1072" s="239"/>
      <c r="AI1072" s="238"/>
      <c r="AJ1072" s="238"/>
      <c r="AK1072" s="234"/>
      <c r="AL1072" s="234"/>
      <c r="AM1072" s="234"/>
      <c r="AN1072" s="234"/>
      <c r="AO1072" s="234"/>
    </row>
    <row r="1073" ht="15.75" customHeight="1">
      <c r="A1073" s="91"/>
      <c r="B1073" s="91"/>
      <c r="C1073" s="220"/>
      <c r="D1073" s="91"/>
      <c r="E1073" s="221"/>
      <c r="F1073" s="91"/>
      <c r="G1073" s="91"/>
      <c r="H1073" s="242"/>
      <c r="I1073" s="91"/>
      <c r="J1073" s="234"/>
      <c r="K1073" s="243"/>
      <c r="L1073" s="243"/>
      <c r="M1073" s="234"/>
      <c r="N1073" s="235"/>
      <c r="O1073" s="236"/>
      <c r="P1073" s="236"/>
      <c r="Q1073" s="236"/>
      <c r="R1073" s="236"/>
      <c r="S1073" s="236"/>
      <c r="T1073" s="236"/>
      <c r="U1073" s="236"/>
      <c r="V1073" s="236"/>
      <c r="W1073" s="236"/>
      <c r="X1073" s="244"/>
      <c r="Y1073" s="244"/>
      <c r="Z1073" s="237"/>
      <c r="AA1073" s="244"/>
      <c r="AB1073" s="244"/>
      <c r="AC1073" s="244"/>
      <c r="AD1073" s="244"/>
      <c r="AE1073" s="234"/>
      <c r="AF1073" s="234"/>
      <c r="AG1073" s="238"/>
      <c r="AH1073" s="239"/>
      <c r="AI1073" s="238"/>
      <c r="AJ1073" s="238"/>
      <c r="AK1073" s="234"/>
      <c r="AL1073" s="234"/>
      <c r="AM1073" s="234"/>
      <c r="AN1073" s="234"/>
      <c r="AO1073" s="234"/>
    </row>
    <row r="1074" ht="15.75" customHeight="1">
      <c r="A1074" s="91"/>
      <c r="B1074" s="91"/>
      <c r="C1074" s="220"/>
      <c r="D1074" s="91"/>
      <c r="E1074" s="221"/>
      <c r="F1074" s="91"/>
      <c r="G1074" s="91"/>
      <c r="H1074" s="242"/>
      <c r="I1074" s="91"/>
      <c r="J1074" s="234"/>
      <c r="K1074" s="243"/>
      <c r="L1074" s="243"/>
      <c r="M1074" s="234"/>
      <c r="N1074" s="235"/>
      <c r="O1074" s="236"/>
      <c r="P1074" s="236"/>
      <c r="Q1074" s="236"/>
      <c r="R1074" s="236"/>
      <c r="S1074" s="236"/>
      <c r="T1074" s="236"/>
      <c r="U1074" s="236"/>
      <c r="V1074" s="236"/>
      <c r="W1074" s="236"/>
      <c r="X1074" s="244"/>
      <c r="Y1074" s="244"/>
      <c r="Z1074" s="237"/>
      <c r="AA1074" s="244"/>
      <c r="AB1074" s="244"/>
      <c r="AC1074" s="244"/>
      <c r="AD1074" s="244"/>
      <c r="AE1074" s="234"/>
      <c r="AF1074" s="234"/>
      <c r="AG1074" s="238"/>
      <c r="AH1074" s="239"/>
      <c r="AI1074" s="238"/>
      <c r="AJ1074" s="238"/>
      <c r="AK1074" s="234"/>
      <c r="AL1074" s="234"/>
      <c r="AM1074" s="234"/>
      <c r="AN1074" s="234"/>
      <c r="AO1074" s="234"/>
    </row>
    <row r="1075" ht="15.75" customHeight="1">
      <c r="A1075" s="91"/>
      <c r="B1075" s="91"/>
      <c r="C1075" s="220"/>
      <c r="D1075" s="91"/>
      <c r="E1075" s="221"/>
      <c r="F1075" s="91"/>
      <c r="G1075" s="91"/>
      <c r="H1075" s="242"/>
      <c r="I1075" s="91"/>
      <c r="J1075" s="234"/>
      <c r="K1075" s="243"/>
      <c r="L1075" s="243"/>
      <c r="M1075" s="234"/>
      <c r="N1075" s="235"/>
      <c r="O1075" s="236"/>
      <c r="P1075" s="236"/>
      <c r="Q1075" s="236"/>
      <c r="R1075" s="236"/>
      <c r="S1075" s="236"/>
      <c r="T1075" s="236"/>
      <c r="U1075" s="236"/>
      <c r="V1075" s="236"/>
      <c r="W1075" s="236"/>
      <c r="X1075" s="244"/>
      <c r="Y1075" s="244"/>
      <c r="Z1075" s="237"/>
      <c r="AA1075" s="244"/>
      <c r="AB1075" s="244"/>
      <c r="AC1075" s="244"/>
      <c r="AD1075" s="244"/>
      <c r="AE1075" s="234"/>
      <c r="AF1075" s="234"/>
      <c r="AG1075" s="238"/>
      <c r="AH1075" s="239"/>
      <c r="AI1075" s="238"/>
      <c r="AJ1075" s="238"/>
      <c r="AK1075" s="234"/>
      <c r="AL1075" s="234"/>
      <c r="AM1075" s="234"/>
      <c r="AN1075" s="234"/>
      <c r="AO1075" s="234"/>
    </row>
    <row r="1076" ht="15.75" customHeight="1">
      <c r="A1076" s="91"/>
      <c r="B1076" s="91"/>
      <c r="C1076" s="220"/>
      <c r="D1076" s="91"/>
      <c r="E1076" s="221"/>
      <c r="F1076" s="91"/>
      <c r="G1076" s="91"/>
      <c r="H1076" s="242"/>
      <c r="I1076" s="91"/>
      <c r="J1076" s="234"/>
      <c r="K1076" s="243"/>
      <c r="L1076" s="243"/>
      <c r="M1076" s="234"/>
      <c r="N1076" s="235"/>
      <c r="O1076" s="236"/>
      <c r="P1076" s="236"/>
      <c r="Q1076" s="236"/>
      <c r="R1076" s="236"/>
      <c r="S1076" s="236"/>
      <c r="T1076" s="236"/>
      <c r="U1076" s="236"/>
      <c r="V1076" s="236"/>
      <c r="W1076" s="236"/>
      <c r="X1076" s="244"/>
      <c r="Y1076" s="244"/>
      <c r="Z1076" s="237"/>
      <c r="AA1076" s="244"/>
      <c r="AB1076" s="244"/>
      <c r="AC1076" s="244"/>
      <c r="AD1076" s="244"/>
      <c r="AE1076" s="234"/>
      <c r="AF1076" s="234"/>
      <c r="AG1076" s="238"/>
      <c r="AH1076" s="239"/>
      <c r="AI1076" s="238"/>
      <c r="AJ1076" s="238"/>
      <c r="AK1076" s="234"/>
      <c r="AL1076" s="234"/>
      <c r="AM1076" s="234"/>
      <c r="AN1076" s="234"/>
      <c r="AO1076" s="234"/>
    </row>
    <row r="1077" ht="15.75" customHeight="1">
      <c r="A1077" s="91"/>
      <c r="B1077" s="91"/>
      <c r="C1077" s="220"/>
      <c r="D1077" s="91"/>
      <c r="E1077" s="221"/>
      <c r="F1077" s="91"/>
      <c r="G1077" s="91"/>
      <c r="H1077" s="242"/>
      <c r="I1077" s="91"/>
      <c r="J1077" s="234"/>
      <c r="K1077" s="243"/>
      <c r="L1077" s="243"/>
      <c r="M1077" s="234"/>
      <c r="N1077" s="235"/>
      <c r="O1077" s="236"/>
      <c r="P1077" s="236"/>
      <c r="Q1077" s="236"/>
      <c r="R1077" s="236"/>
      <c r="S1077" s="236"/>
      <c r="T1077" s="236"/>
      <c r="U1077" s="236"/>
      <c r="V1077" s="236"/>
      <c r="W1077" s="236"/>
      <c r="X1077" s="244"/>
      <c r="Y1077" s="244"/>
      <c r="Z1077" s="237"/>
      <c r="AA1077" s="244"/>
      <c r="AB1077" s="244"/>
      <c r="AC1077" s="244"/>
      <c r="AD1077" s="244"/>
      <c r="AE1077" s="234"/>
      <c r="AF1077" s="234"/>
      <c r="AG1077" s="238"/>
      <c r="AH1077" s="239"/>
      <c r="AI1077" s="238"/>
      <c r="AJ1077" s="238"/>
      <c r="AK1077" s="234"/>
      <c r="AL1077" s="234"/>
      <c r="AM1077" s="234"/>
      <c r="AN1077" s="234"/>
      <c r="AO1077" s="234"/>
    </row>
    <row r="1078" ht="15.75" customHeight="1">
      <c r="A1078" s="91"/>
      <c r="B1078" s="91"/>
      <c r="C1078" s="220"/>
      <c r="D1078" s="91"/>
      <c r="E1078" s="221"/>
      <c r="F1078" s="91"/>
      <c r="G1078" s="91"/>
      <c r="H1078" s="242"/>
      <c r="I1078" s="91"/>
      <c r="J1078" s="234"/>
      <c r="K1078" s="243"/>
      <c r="L1078" s="243"/>
      <c r="M1078" s="234"/>
      <c r="N1078" s="235"/>
      <c r="O1078" s="236"/>
      <c r="P1078" s="236"/>
      <c r="Q1078" s="236"/>
      <c r="R1078" s="236"/>
      <c r="S1078" s="236"/>
      <c r="T1078" s="236"/>
      <c r="U1078" s="236"/>
      <c r="V1078" s="236"/>
      <c r="W1078" s="236"/>
      <c r="X1078" s="244"/>
      <c r="Y1078" s="244"/>
      <c r="Z1078" s="237"/>
      <c r="AA1078" s="244"/>
      <c r="AB1078" s="244"/>
      <c r="AC1078" s="244"/>
      <c r="AD1078" s="244"/>
      <c r="AE1078" s="234"/>
      <c r="AF1078" s="234"/>
      <c r="AG1078" s="238"/>
      <c r="AH1078" s="239"/>
      <c r="AI1078" s="238"/>
      <c r="AJ1078" s="238"/>
      <c r="AK1078" s="234"/>
      <c r="AL1078" s="234"/>
      <c r="AM1078" s="234"/>
      <c r="AN1078" s="234"/>
      <c r="AO1078" s="234"/>
    </row>
    <row r="1079" ht="15.75" customHeight="1">
      <c r="A1079" s="91"/>
      <c r="B1079" s="91"/>
      <c r="C1079" s="220"/>
      <c r="D1079" s="91"/>
      <c r="E1079" s="221"/>
      <c r="F1079" s="91"/>
      <c r="G1079" s="91"/>
      <c r="H1079" s="242"/>
      <c r="I1079" s="91"/>
      <c r="J1079" s="234"/>
      <c r="K1079" s="243"/>
      <c r="L1079" s="243"/>
      <c r="M1079" s="234"/>
      <c r="N1079" s="235"/>
      <c r="O1079" s="236"/>
      <c r="P1079" s="236"/>
      <c r="Q1079" s="236"/>
      <c r="R1079" s="236"/>
      <c r="S1079" s="236"/>
      <c r="T1079" s="236"/>
      <c r="U1079" s="236"/>
      <c r="V1079" s="236"/>
      <c r="W1079" s="236"/>
      <c r="X1079" s="244"/>
      <c r="Y1079" s="244"/>
      <c r="Z1079" s="237"/>
      <c r="AA1079" s="244"/>
      <c r="AB1079" s="244"/>
      <c r="AC1079" s="244"/>
      <c r="AD1079" s="244"/>
      <c r="AE1079" s="234"/>
      <c r="AF1079" s="234"/>
      <c r="AG1079" s="238"/>
      <c r="AH1079" s="239"/>
      <c r="AI1079" s="238"/>
      <c r="AJ1079" s="238"/>
      <c r="AK1079" s="234"/>
      <c r="AL1079" s="234"/>
      <c r="AM1079" s="234"/>
      <c r="AN1079" s="234"/>
      <c r="AO1079" s="234"/>
    </row>
    <row r="1080" ht="15.75" customHeight="1">
      <c r="A1080" s="91"/>
      <c r="B1080" s="91"/>
      <c r="C1080" s="220"/>
      <c r="D1080" s="91"/>
      <c r="E1080" s="221"/>
      <c r="F1080" s="91"/>
      <c r="G1080" s="91"/>
      <c r="H1080" s="242"/>
      <c r="I1080" s="91"/>
      <c r="J1080" s="234"/>
      <c r="K1080" s="243"/>
      <c r="L1080" s="243"/>
      <c r="M1080" s="234"/>
      <c r="N1080" s="235"/>
      <c r="O1080" s="236"/>
      <c r="P1080" s="236"/>
      <c r="Q1080" s="236"/>
      <c r="R1080" s="236"/>
      <c r="S1080" s="236"/>
      <c r="T1080" s="236"/>
      <c r="U1080" s="236"/>
      <c r="V1080" s="236"/>
      <c r="W1080" s="236"/>
      <c r="X1080" s="244"/>
      <c r="Y1080" s="244"/>
      <c r="Z1080" s="237"/>
      <c r="AA1080" s="244"/>
      <c r="AB1080" s="244"/>
      <c r="AC1080" s="244"/>
      <c r="AD1080" s="244"/>
      <c r="AE1080" s="234"/>
      <c r="AF1080" s="234"/>
      <c r="AG1080" s="238"/>
      <c r="AH1080" s="239"/>
      <c r="AI1080" s="238"/>
      <c r="AJ1080" s="238"/>
      <c r="AK1080" s="234"/>
      <c r="AL1080" s="234"/>
      <c r="AM1080" s="234"/>
      <c r="AN1080" s="234"/>
      <c r="AO1080" s="234"/>
    </row>
    <row r="1081" ht="15.75" customHeight="1">
      <c r="A1081" s="91"/>
      <c r="B1081" s="91"/>
      <c r="C1081" s="220"/>
      <c r="D1081" s="91"/>
      <c r="E1081" s="221"/>
      <c r="F1081" s="91"/>
      <c r="G1081" s="91"/>
      <c r="H1081" s="242"/>
      <c r="I1081" s="91"/>
      <c r="J1081" s="234"/>
      <c r="K1081" s="243"/>
      <c r="L1081" s="243"/>
      <c r="M1081" s="234"/>
      <c r="N1081" s="235"/>
      <c r="O1081" s="236"/>
      <c r="P1081" s="236"/>
      <c r="Q1081" s="236"/>
      <c r="R1081" s="236"/>
      <c r="S1081" s="236"/>
      <c r="T1081" s="236"/>
      <c r="U1081" s="236"/>
      <c r="V1081" s="236"/>
      <c r="W1081" s="236"/>
      <c r="X1081" s="244"/>
      <c r="Y1081" s="244"/>
      <c r="Z1081" s="237"/>
      <c r="AA1081" s="244"/>
      <c r="AB1081" s="244"/>
      <c r="AC1081" s="244"/>
      <c r="AD1081" s="244"/>
      <c r="AE1081" s="234"/>
      <c r="AF1081" s="234"/>
      <c r="AG1081" s="238"/>
      <c r="AH1081" s="239"/>
      <c r="AI1081" s="238"/>
      <c r="AJ1081" s="238"/>
      <c r="AK1081" s="234"/>
      <c r="AL1081" s="234"/>
      <c r="AM1081" s="234"/>
      <c r="AN1081" s="234"/>
      <c r="AO1081" s="234"/>
    </row>
    <row r="1082" ht="15.75" customHeight="1">
      <c r="A1082" s="91"/>
      <c r="B1082" s="91"/>
      <c r="C1082" s="220"/>
      <c r="D1082" s="91"/>
      <c r="E1082" s="221"/>
      <c r="F1082" s="91"/>
      <c r="G1082" s="91"/>
      <c r="H1082" s="242"/>
      <c r="I1082" s="91"/>
      <c r="J1082" s="234"/>
      <c r="K1082" s="243"/>
      <c r="L1082" s="243"/>
      <c r="M1082" s="234"/>
      <c r="N1082" s="235"/>
      <c r="O1082" s="236"/>
      <c r="P1082" s="236"/>
      <c r="Q1082" s="236"/>
      <c r="R1082" s="236"/>
      <c r="S1082" s="236"/>
      <c r="T1082" s="236"/>
      <c r="U1082" s="236"/>
      <c r="V1082" s="236"/>
      <c r="W1082" s="236"/>
      <c r="X1082" s="244"/>
      <c r="Y1082" s="244"/>
      <c r="Z1082" s="237"/>
      <c r="AA1082" s="244"/>
      <c r="AB1082" s="244"/>
      <c r="AC1082" s="244"/>
      <c r="AD1082" s="244"/>
      <c r="AE1082" s="234"/>
      <c r="AF1082" s="234"/>
      <c r="AG1082" s="238"/>
      <c r="AH1082" s="239"/>
      <c r="AI1082" s="238"/>
      <c r="AJ1082" s="238"/>
      <c r="AK1082" s="234"/>
      <c r="AL1082" s="234"/>
      <c r="AM1082" s="234"/>
      <c r="AN1082" s="234"/>
      <c r="AO1082" s="234"/>
    </row>
    <row r="1083" ht="15.75" customHeight="1">
      <c r="A1083" s="91"/>
      <c r="B1083" s="91"/>
      <c r="C1083" s="220"/>
      <c r="D1083" s="91"/>
      <c r="E1083" s="221"/>
      <c r="F1083" s="91"/>
      <c r="G1083" s="91"/>
      <c r="H1083" s="242"/>
      <c r="I1083" s="91"/>
      <c r="J1083" s="234"/>
      <c r="K1083" s="243"/>
      <c r="L1083" s="243"/>
      <c r="M1083" s="234"/>
      <c r="N1083" s="235"/>
      <c r="O1083" s="236"/>
      <c r="P1083" s="236"/>
      <c r="Q1083" s="236"/>
      <c r="R1083" s="236"/>
      <c r="S1083" s="236"/>
      <c r="T1083" s="236"/>
      <c r="U1083" s="236"/>
      <c r="V1083" s="236"/>
      <c r="W1083" s="236"/>
      <c r="X1083" s="244"/>
      <c r="Y1083" s="244"/>
      <c r="Z1083" s="237"/>
      <c r="AA1083" s="244"/>
      <c r="AB1083" s="244"/>
      <c r="AC1083" s="244"/>
      <c r="AD1083" s="244"/>
      <c r="AE1083" s="234"/>
      <c r="AF1083" s="234"/>
      <c r="AG1083" s="238"/>
      <c r="AH1083" s="239"/>
      <c r="AI1083" s="238"/>
      <c r="AJ1083" s="238"/>
      <c r="AK1083" s="234"/>
      <c r="AL1083" s="234"/>
      <c r="AM1083" s="234"/>
      <c r="AN1083" s="234"/>
      <c r="AO1083" s="234"/>
    </row>
    <row r="1084" ht="15.75" customHeight="1">
      <c r="A1084" s="91"/>
      <c r="B1084" s="91"/>
      <c r="C1084" s="220"/>
      <c r="D1084" s="91"/>
      <c r="E1084" s="221"/>
      <c r="F1084" s="91"/>
      <c r="G1084" s="91"/>
      <c r="H1084" s="242"/>
      <c r="I1084" s="91"/>
      <c r="J1084" s="234"/>
      <c r="K1084" s="243"/>
      <c r="L1084" s="243"/>
      <c r="M1084" s="234"/>
      <c r="N1084" s="235"/>
      <c r="O1084" s="236"/>
      <c r="P1084" s="236"/>
      <c r="Q1084" s="236"/>
      <c r="R1084" s="236"/>
      <c r="S1084" s="236"/>
      <c r="T1084" s="236"/>
      <c r="U1084" s="236"/>
      <c r="V1084" s="236"/>
      <c r="W1084" s="236"/>
      <c r="X1084" s="244"/>
      <c r="Y1084" s="244"/>
      <c r="Z1084" s="237"/>
      <c r="AA1084" s="244"/>
      <c r="AB1084" s="244"/>
      <c r="AC1084" s="244"/>
      <c r="AD1084" s="244"/>
      <c r="AE1084" s="234"/>
      <c r="AF1084" s="234"/>
      <c r="AG1084" s="238"/>
      <c r="AH1084" s="239"/>
      <c r="AI1084" s="238"/>
      <c r="AJ1084" s="238"/>
      <c r="AK1084" s="234"/>
      <c r="AL1084" s="234"/>
      <c r="AM1084" s="234"/>
      <c r="AN1084" s="234"/>
      <c r="AO1084" s="234"/>
    </row>
    <row r="1085" ht="15.75" customHeight="1">
      <c r="A1085" s="91"/>
      <c r="B1085" s="91"/>
      <c r="C1085" s="220"/>
      <c r="D1085" s="91"/>
      <c r="E1085" s="221"/>
      <c r="F1085" s="91"/>
      <c r="G1085" s="91"/>
      <c r="H1085" s="242"/>
      <c r="I1085" s="91"/>
      <c r="J1085" s="234"/>
      <c r="K1085" s="243"/>
      <c r="L1085" s="243"/>
      <c r="M1085" s="234"/>
      <c r="N1085" s="235"/>
      <c r="O1085" s="236"/>
      <c r="P1085" s="236"/>
      <c r="Q1085" s="236"/>
      <c r="R1085" s="236"/>
      <c r="S1085" s="236"/>
      <c r="T1085" s="236"/>
      <c r="U1085" s="236"/>
      <c r="V1085" s="236"/>
      <c r="W1085" s="236"/>
      <c r="X1085" s="244"/>
      <c r="Y1085" s="244"/>
      <c r="Z1085" s="237"/>
      <c r="AA1085" s="244"/>
      <c r="AB1085" s="244"/>
      <c r="AC1085" s="244"/>
      <c r="AD1085" s="244"/>
      <c r="AE1085" s="234"/>
      <c r="AF1085" s="234"/>
      <c r="AG1085" s="238"/>
      <c r="AH1085" s="239"/>
      <c r="AI1085" s="238"/>
      <c r="AJ1085" s="238"/>
      <c r="AK1085" s="234"/>
      <c r="AL1085" s="234"/>
      <c r="AM1085" s="234"/>
      <c r="AN1085" s="234"/>
      <c r="AO1085" s="234"/>
    </row>
    <row r="1086" ht="15.75" customHeight="1">
      <c r="A1086" s="91"/>
      <c r="B1086" s="91"/>
      <c r="C1086" s="220"/>
      <c r="D1086" s="91"/>
      <c r="E1086" s="221"/>
      <c r="F1086" s="91"/>
      <c r="G1086" s="91"/>
      <c r="H1086" s="242"/>
      <c r="I1086" s="91"/>
      <c r="J1086" s="234"/>
      <c r="K1086" s="243"/>
      <c r="L1086" s="243"/>
      <c r="M1086" s="234"/>
      <c r="N1086" s="235"/>
      <c r="O1086" s="236"/>
      <c r="P1086" s="236"/>
      <c r="Q1086" s="236"/>
      <c r="R1086" s="236"/>
      <c r="S1086" s="236"/>
      <c r="T1086" s="236"/>
      <c r="U1086" s="236"/>
      <c r="V1086" s="236"/>
      <c r="W1086" s="236"/>
      <c r="X1086" s="244"/>
      <c r="Y1086" s="244"/>
      <c r="Z1086" s="237"/>
      <c r="AA1086" s="244"/>
      <c r="AB1086" s="244"/>
      <c r="AC1086" s="244"/>
      <c r="AD1086" s="244"/>
      <c r="AE1086" s="234"/>
      <c r="AF1086" s="234"/>
      <c r="AG1086" s="238"/>
      <c r="AH1086" s="239"/>
      <c r="AI1086" s="238"/>
      <c r="AJ1086" s="238"/>
      <c r="AK1086" s="234"/>
      <c r="AL1086" s="234"/>
      <c r="AM1086" s="234"/>
      <c r="AN1086" s="234"/>
      <c r="AO1086" s="234"/>
    </row>
    <row r="1087" ht="15.75" customHeight="1">
      <c r="A1087" s="91"/>
      <c r="B1087" s="91"/>
      <c r="C1087" s="220"/>
      <c r="D1087" s="91"/>
      <c r="E1087" s="221"/>
      <c r="F1087" s="91"/>
      <c r="G1087" s="91"/>
      <c r="H1087" s="242"/>
      <c r="I1087" s="91"/>
      <c r="J1087" s="234"/>
      <c r="K1087" s="243"/>
      <c r="L1087" s="243"/>
      <c r="M1087" s="234"/>
      <c r="N1087" s="235"/>
      <c r="O1087" s="236"/>
      <c r="P1087" s="236"/>
      <c r="Q1087" s="236"/>
      <c r="R1087" s="236"/>
      <c r="S1087" s="236"/>
      <c r="T1087" s="236"/>
      <c r="U1087" s="236"/>
      <c r="V1087" s="236"/>
      <c r="W1087" s="236"/>
      <c r="X1087" s="244"/>
      <c r="Y1087" s="244"/>
      <c r="Z1087" s="237"/>
      <c r="AA1087" s="244"/>
      <c r="AB1087" s="244"/>
      <c r="AC1087" s="244"/>
      <c r="AD1087" s="244"/>
      <c r="AE1087" s="234"/>
      <c r="AF1087" s="234"/>
      <c r="AG1087" s="238"/>
      <c r="AH1087" s="239"/>
      <c r="AI1087" s="238"/>
      <c r="AJ1087" s="238"/>
      <c r="AK1087" s="234"/>
      <c r="AL1087" s="234"/>
      <c r="AM1087" s="234"/>
      <c r="AN1087" s="234"/>
      <c r="AO1087" s="234"/>
    </row>
    <row r="1088" ht="15.75" customHeight="1">
      <c r="A1088" s="91"/>
      <c r="B1088" s="91"/>
      <c r="C1088" s="220"/>
      <c r="D1088" s="91"/>
      <c r="E1088" s="221"/>
      <c r="F1088" s="91"/>
      <c r="G1088" s="91"/>
      <c r="H1088" s="242"/>
      <c r="I1088" s="91"/>
      <c r="J1088" s="234"/>
      <c r="K1088" s="243"/>
      <c r="L1088" s="243"/>
      <c r="M1088" s="234"/>
      <c r="N1088" s="235"/>
      <c r="O1088" s="236"/>
      <c r="P1088" s="236"/>
      <c r="Q1088" s="236"/>
      <c r="R1088" s="236"/>
      <c r="S1088" s="236"/>
      <c r="T1088" s="236"/>
      <c r="U1088" s="236"/>
      <c r="V1088" s="236"/>
      <c r="W1088" s="236"/>
      <c r="X1088" s="244"/>
      <c r="Y1088" s="244"/>
      <c r="Z1088" s="237"/>
      <c r="AA1088" s="244"/>
      <c r="AB1088" s="244"/>
      <c r="AC1088" s="244"/>
      <c r="AD1088" s="244"/>
      <c r="AE1088" s="234"/>
      <c r="AF1088" s="234"/>
      <c r="AG1088" s="238"/>
      <c r="AH1088" s="239"/>
      <c r="AI1088" s="238"/>
      <c r="AJ1088" s="238"/>
      <c r="AK1088" s="234"/>
      <c r="AL1088" s="234"/>
      <c r="AM1088" s="234"/>
      <c r="AN1088" s="234"/>
      <c r="AO1088" s="234"/>
    </row>
    <row r="1089" ht="15.75" customHeight="1">
      <c r="A1089" s="91"/>
      <c r="B1089" s="91"/>
      <c r="C1089" s="220"/>
      <c r="D1089" s="91"/>
      <c r="E1089" s="221"/>
      <c r="F1089" s="91"/>
      <c r="G1089" s="91"/>
      <c r="H1089" s="242"/>
      <c r="I1089" s="91"/>
      <c r="J1089" s="234"/>
      <c r="K1089" s="243"/>
      <c r="L1089" s="243"/>
      <c r="M1089" s="234"/>
      <c r="N1089" s="235"/>
      <c r="O1089" s="236"/>
      <c r="P1089" s="236"/>
      <c r="Q1089" s="236"/>
      <c r="R1089" s="236"/>
      <c r="S1089" s="236"/>
      <c r="T1089" s="236"/>
      <c r="U1089" s="236"/>
      <c r="V1089" s="236"/>
      <c r="W1089" s="236"/>
      <c r="X1089" s="244"/>
      <c r="Y1089" s="244"/>
      <c r="Z1089" s="237"/>
      <c r="AA1089" s="244"/>
      <c r="AB1089" s="244"/>
      <c r="AC1089" s="244"/>
      <c r="AD1089" s="244"/>
      <c r="AE1089" s="234"/>
      <c r="AF1089" s="234"/>
      <c r="AG1089" s="238"/>
      <c r="AH1089" s="239"/>
      <c r="AI1089" s="238"/>
      <c r="AJ1089" s="238"/>
      <c r="AK1089" s="234"/>
      <c r="AL1089" s="234"/>
      <c r="AM1089" s="234"/>
      <c r="AN1089" s="234"/>
      <c r="AO1089" s="234"/>
    </row>
    <row r="1090" ht="15.75" customHeight="1">
      <c r="A1090" s="91"/>
      <c r="B1090" s="91"/>
      <c r="C1090" s="220"/>
      <c r="D1090" s="91"/>
      <c r="E1090" s="221"/>
      <c r="F1090" s="91"/>
      <c r="G1090" s="91"/>
      <c r="H1090" s="242"/>
      <c r="I1090" s="91"/>
      <c r="J1090" s="234"/>
      <c r="K1090" s="243"/>
      <c r="L1090" s="243"/>
      <c r="M1090" s="234"/>
      <c r="N1090" s="235"/>
      <c r="O1090" s="236"/>
      <c r="P1090" s="236"/>
      <c r="Q1090" s="236"/>
      <c r="R1090" s="236"/>
      <c r="S1090" s="236"/>
      <c r="T1090" s="236"/>
      <c r="U1090" s="236"/>
      <c r="V1090" s="236"/>
      <c r="W1090" s="236"/>
      <c r="X1090" s="244"/>
      <c r="Y1090" s="244"/>
      <c r="Z1090" s="237"/>
      <c r="AA1090" s="244"/>
      <c r="AB1090" s="244"/>
      <c r="AC1090" s="244"/>
      <c r="AD1090" s="244"/>
      <c r="AE1090" s="234"/>
      <c r="AF1090" s="234"/>
      <c r="AG1090" s="238"/>
      <c r="AH1090" s="239"/>
      <c r="AI1090" s="238"/>
      <c r="AJ1090" s="238"/>
      <c r="AK1090" s="234"/>
      <c r="AL1090" s="234"/>
      <c r="AM1090" s="234"/>
      <c r="AN1090" s="234"/>
      <c r="AO1090" s="234"/>
    </row>
    <row r="1091" ht="15.75" customHeight="1">
      <c r="A1091" s="91"/>
      <c r="B1091" s="91"/>
      <c r="C1091" s="220"/>
      <c r="D1091" s="91"/>
      <c r="E1091" s="221"/>
      <c r="F1091" s="91"/>
      <c r="G1091" s="91"/>
      <c r="H1091" s="242"/>
      <c r="I1091" s="91"/>
      <c r="J1091" s="234"/>
      <c r="K1091" s="243"/>
      <c r="L1091" s="243"/>
      <c r="M1091" s="234"/>
      <c r="N1091" s="235"/>
      <c r="O1091" s="236"/>
      <c r="P1091" s="236"/>
      <c r="Q1091" s="236"/>
      <c r="R1091" s="236"/>
      <c r="S1091" s="236"/>
      <c r="T1091" s="236"/>
      <c r="U1091" s="236"/>
      <c r="V1091" s="236"/>
      <c r="W1091" s="236"/>
      <c r="X1091" s="244"/>
      <c r="Y1091" s="244"/>
      <c r="Z1091" s="237"/>
      <c r="AA1091" s="244"/>
      <c r="AB1091" s="244"/>
      <c r="AC1091" s="244"/>
      <c r="AD1091" s="244"/>
      <c r="AE1091" s="234"/>
      <c r="AF1091" s="234"/>
      <c r="AG1091" s="238"/>
      <c r="AH1091" s="239"/>
      <c r="AI1091" s="238"/>
      <c r="AJ1091" s="238"/>
      <c r="AK1091" s="234"/>
      <c r="AL1091" s="234"/>
      <c r="AM1091" s="234"/>
      <c r="AN1091" s="234"/>
      <c r="AO1091" s="234"/>
    </row>
    <row r="1092" ht="15.75" customHeight="1">
      <c r="A1092" s="91"/>
      <c r="B1092" s="91"/>
      <c r="C1092" s="220"/>
      <c r="D1092" s="91"/>
      <c r="E1092" s="221"/>
      <c r="F1092" s="91"/>
      <c r="G1092" s="91"/>
      <c r="H1092" s="242"/>
      <c r="I1092" s="91"/>
      <c r="J1092" s="234"/>
      <c r="K1092" s="243"/>
      <c r="L1092" s="243"/>
      <c r="M1092" s="234"/>
      <c r="N1092" s="235"/>
      <c r="O1092" s="236"/>
      <c r="P1092" s="236"/>
      <c r="Q1092" s="236"/>
      <c r="R1092" s="236"/>
      <c r="S1092" s="236"/>
      <c r="T1092" s="236"/>
      <c r="U1092" s="236"/>
      <c r="V1092" s="236"/>
      <c r="W1092" s="236"/>
      <c r="X1092" s="244"/>
      <c r="Y1092" s="244"/>
      <c r="Z1092" s="237"/>
      <c r="AA1092" s="244"/>
      <c r="AB1092" s="244"/>
      <c r="AC1092" s="244"/>
      <c r="AD1092" s="244"/>
      <c r="AE1092" s="234"/>
      <c r="AF1092" s="234"/>
      <c r="AG1092" s="238"/>
      <c r="AH1092" s="239"/>
      <c r="AI1092" s="238"/>
      <c r="AJ1092" s="238"/>
      <c r="AK1092" s="234"/>
      <c r="AL1092" s="234"/>
      <c r="AM1092" s="234"/>
      <c r="AN1092" s="234"/>
      <c r="AO1092" s="234"/>
    </row>
    <row r="1093" ht="15.75" customHeight="1">
      <c r="A1093" s="91"/>
      <c r="B1093" s="91"/>
      <c r="C1093" s="220"/>
      <c r="D1093" s="91"/>
      <c r="E1093" s="221"/>
      <c r="F1093" s="91"/>
      <c r="G1093" s="91"/>
      <c r="H1093" s="242"/>
      <c r="I1093" s="91"/>
      <c r="J1093" s="234"/>
      <c r="K1093" s="243"/>
      <c r="L1093" s="243"/>
      <c r="M1093" s="234"/>
      <c r="N1093" s="235"/>
      <c r="O1093" s="236"/>
      <c r="P1093" s="236"/>
      <c r="Q1093" s="236"/>
      <c r="R1093" s="236"/>
      <c r="S1093" s="236"/>
      <c r="T1093" s="236"/>
      <c r="U1093" s="236"/>
      <c r="V1093" s="236"/>
      <c r="W1093" s="236"/>
      <c r="X1093" s="244"/>
      <c r="Y1093" s="244"/>
      <c r="Z1093" s="237"/>
      <c r="AA1093" s="244"/>
      <c r="AB1093" s="244"/>
      <c r="AC1093" s="244"/>
      <c r="AD1093" s="244"/>
      <c r="AE1093" s="234"/>
      <c r="AF1093" s="234"/>
      <c r="AG1093" s="238"/>
      <c r="AH1093" s="239"/>
      <c r="AI1093" s="238"/>
      <c r="AJ1093" s="238"/>
      <c r="AK1093" s="234"/>
      <c r="AL1093" s="234"/>
      <c r="AM1093" s="234"/>
      <c r="AN1093" s="234"/>
      <c r="AO1093" s="234"/>
    </row>
    <row r="1094" ht="15.75" customHeight="1">
      <c r="A1094" s="91"/>
      <c r="B1094" s="91"/>
      <c r="C1094" s="220"/>
      <c r="D1094" s="91"/>
      <c r="E1094" s="221"/>
      <c r="F1094" s="91"/>
      <c r="G1094" s="91"/>
      <c r="H1094" s="242"/>
      <c r="I1094" s="91"/>
      <c r="J1094" s="234"/>
      <c r="K1094" s="243"/>
      <c r="L1094" s="243"/>
      <c r="M1094" s="234"/>
      <c r="N1094" s="235"/>
      <c r="O1094" s="236"/>
      <c r="P1094" s="236"/>
      <c r="Q1094" s="236"/>
      <c r="R1094" s="236"/>
      <c r="S1094" s="236"/>
      <c r="T1094" s="236"/>
      <c r="U1094" s="236"/>
      <c r="V1094" s="236"/>
      <c r="W1094" s="236"/>
      <c r="X1094" s="244"/>
      <c r="Y1094" s="244"/>
      <c r="Z1094" s="237"/>
      <c r="AA1094" s="244"/>
      <c r="AB1094" s="244"/>
      <c r="AC1094" s="244"/>
      <c r="AD1094" s="244"/>
      <c r="AE1094" s="234"/>
      <c r="AF1094" s="234"/>
      <c r="AG1094" s="238"/>
      <c r="AH1094" s="239"/>
      <c r="AI1094" s="238"/>
      <c r="AJ1094" s="238"/>
      <c r="AK1094" s="234"/>
      <c r="AL1094" s="234"/>
      <c r="AM1094" s="234"/>
      <c r="AN1094" s="234"/>
      <c r="AO1094" s="234"/>
    </row>
    <row r="1095" ht="15.75" customHeight="1">
      <c r="A1095" s="91"/>
      <c r="B1095" s="91"/>
      <c r="C1095" s="220"/>
      <c r="D1095" s="91"/>
      <c r="E1095" s="221"/>
      <c r="F1095" s="91"/>
      <c r="G1095" s="91"/>
      <c r="H1095" s="242"/>
      <c r="I1095" s="91"/>
      <c r="J1095" s="234"/>
      <c r="K1095" s="243"/>
      <c r="L1095" s="243"/>
      <c r="M1095" s="234"/>
      <c r="N1095" s="235"/>
      <c r="O1095" s="236"/>
      <c r="P1095" s="236"/>
      <c r="Q1095" s="236"/>
      <c r="R1095" s="236"/>
      <c r="S1095" s="236"/>
      <c r="T1095" s="236"/>
      <c r="U1095" s="236"/>
      <c r="V1095" s="236"/>
      <c r="W1095" s="236"/>
      <c r="X1095" s="244"/>
      <c r="Y1095" s="244"/>
      <c r="Z1095" s="237"/>
      <c r="AA1095" s="244"/>
      <c r="AB1095" s="244"/>
      <c r="AC1095" s="244"/>
      <c r="AD1095" s="244"/>
      <c r="AE1095" s="234"/>
      <c r="AF1095" s="234"/>
      <c r="AG1095" s="238"/>
      <c r="AH1095" s="239"/>
      <c r="AI1095" s="238"/>
      <c r="AJ1095" s="238"/>
      <c r="AK1095" s="234"/>
      <c r="AL1095" s="234"/>
      <c r="AM1095" s="234"/>
      <c r="AN1095" s="234"/>
      <c r="AO1095" s="234"/>
    </row>
    <row r="1096" ht="15.75" customHeight="1">
      <c r="A1096" s="91"/>
      <c r="B1096" s="91"/>
      <c r="C1096" s="220"/>
      <c r="D1096" s="91"/>
      <c r="E1096" s="221"/>
      <c r="F1096" s="91"/>
      <c r="G1096" s="91"/>
      <c r="H1096" s="242"/>
      <c r="I1096" s="91"/>
      <c r="J1096" s="234"/>
      <c r="K1096" s="243"/>
      <c r="L1096" s="243"/>
      <c r="M1096" s="234"/>
      <c r="N1096" s="235"/>
      <c r="O1096" s="236"/>
      <c r="P1096" s="236"/>
      <c r="Q1096" s="236"/>
      <c r="R1096" s="236"/>
      <c r="S1096" s="236"/>
      <c r="T1096" s="236"/>
      <c r="U1096" s="236"/>
      <c r="V1096" s="236"/>
      <c r="W1096" s="236"/>
      <c r="X1096" s="244"/>
      <c r="Y1096" s="244"/>
      <c r="Z1096" s="237"/>
      <c r="AA1096" s="244"/>
      <c r="AB1096" s="244"/>
      <c r="AC1096" s="244"/>
      <c r="AD1096" s="244"/>
      <c r="AE1096" s="234"/>
      <c r="AF1096" s="234"/>
      <c r="AG1096" s="238"/>
      <c r="AH1096" s="239"/>
      <c r="AI1096" s="238"/>
      <c r="AJ1096" s="238"/>
      <c r="AK1096" s="234"/>
      <c r="AL1096" s="234"/>
      <c r="AM1096" s="234"/>
      <c r="AN1096" s="234"/>
      <c r="AO1096" s="234"/>
    </row>
    <row r="1097" ht="15.75" customHeight="1">
      <c r="A1097" s="91"/>
      <c r="B1097" s="91"/>
      <c r="C1097" s="220"/>
      <c r="D1097" s="91"/>
      <c r="E1097" s="221"/>
      <c r="F1097" s="91"/>
      <c r="G1097" s="91"/>
      <c r="H1097" s="242"/>
      <c r="I1097" s="91"/>
      <c r="J1097" s="234"/>
      <c r="K1097" s="243"/>
      <c r="L1097" s="243"/>
      <c r="M1097" s="234"/>
      <c r="N1097" s="235"/>
      <c r="O1097" s="236"/>
      <c r="P1097" s="236"/>
      <c r="Q1097" s="236"/>
      <c r="R1097" s="236"/>
      <c r="S1097" s="236"/>
      <c r="T1097" s="236"/>
      <c r="U1097" s="236"/>
      <c r="V1097" s="236"/>
      <c r="W1097" s="236"/>
      <c r="X1097" s="244"/>
      <c r="Y1097" s="244"/>
      <c r="Z1097" s="237"/>
      <c r="AA1097" s="244"/>
      <c r="AB1097" s="244"/>
      <c r="AC1097" s="244"/>
      <c r="AD1097" s="244"/>
      <c r="AE1097" s="234"/>
      <c r="AF1097" s="234"/>
      <c r="AG1097" s="238"/>
      <c r="AH1097" s="239"/>
      <c r="AI1097" s="238"/>
      <c r="AJ1097" s="238"/>
      <c r="AK1097" s="234"/>
      <c r="AL1097" s="234"/>
      <c r="AM1097" s="234"/>
      <c r="AN1097" s="234"/>
      <c r="AO1097" s="234"/>
    </row>
    <row r="1098" ht="15.75" customHeight="1">
      <c r="A1098" s="91"/>
      <c r="B1098" s="91"/>
      <c r="C1098" s="220"/>
      <c r="D1098" s="91"/>
      <c r="E1098" s="221"/>
      <c r="F1098" s="91"/>
      <c r="G1098" s="91"/>
      <c r="H1098" s="242"/>
      <c r="I1098" s="91"/>
      <c r="J1098" s="234"/>
      <c r="K1098" s="243"/>
      <c r="L1098" s="243"/>
      <c r="M1098" s="234"/>
      <c r="N1098" s="235"/>
      <c r="O1098" s="236"/>
      <c r="P1098" s="236"/>
      <c r="Q1098" s="236"/>
      <c r="R1098" s="236"/>
      <c r="S1098" s="236"/>
      <c r="T1098" s="236"/>
      <c r="U1098" s="236"/>
      <c r="V1098" s="236"/>
      <c r="W1098" s="236"/>
      <c r="X1098" s="244"/>
      <c r="Y1098" s="244"/>
      <c r="Z1098" s="237"/>
      <c r="AA1098" s="244"/>
      <c r="AB1098" s="244"/>
      <c r="AC1098" s="244"/>
      <c r="AD1098" s="244"/>
      <c r="AE1098" s="234"/>
      <c r="AF1098" s="234"/>
      <c r="AG1098" s="238"/>
      <c r="AH1098" s="239"/>
      <c r="AI1098" s="238"/>
      <c r="AJ1098" s="238"/>
      <c r="AK1098" s="234"/>
      <c r="AL1098" s="234"/>
      <c r="AM1098" s="234"/>
      <c r="AN1098" s="234"/>
      <c r="AO1098" s="234"/>
    </row>
    <row r="1099" ht="15.75" customHeight="1">
      <c r="A1099" s="91"/>
      <c r="B1099" s="91"/>
      <c r="C1099" s="220"/>
      <c r="D1099" s="91"/>
      <c r="E1099" s="221"/>
      <c r="F1099" s="91"/>
      <c r="G1099" s="91"/>
      <c r="H1099" s="242"/>
      <c r="I1099" s="91"/>
      <c r="J1099" s="234"/>
      <c r="K1099" s="243"/>
      <c r="L1099" s="243"/>
      <c r="M1099" s="234"/>
      <c r="N1099" s="235"/>
      <c r="O1099" s="236"/>
      <c r="P1099" s="236"/>
      <c r="Q1099" s="236"/>
      <c r="R1099" s="236"/>
      <c r="S1099" s="236"/>
      <c r="T1099" s="236"/>
      <c r="U1099" s="236"/>
      <c r="V1099" s="236"/>
      <c r="W1099" s="236"/>
      <c r="X1099" s="244"/>
      <c r="Y1099" s="244"/>
      <c r="Z1099" s="237"/>
      <c r="AA1099" s="244"/>
      <c r="AB1099" s="244"/>
      <c r="AC1099" s="244"/>
      <c r="AD1099" s="244"/>
      <c r="AE1099" s="234"/>
      <c r="AF1099" s="234"/>
      <c r="AG1099" s="238"/>
      <c r="AH1099" s="239"/>
      <c r="AI1099" s="238"/>
      <c r="AJ1099" s="238"/>
      <c r="AK1099" s="234"/>
      <c r="AL1099" s="234"/>
      <c r="AM1099" s="234"/>
      <c r="AN1099" s="234"/>
      <c r="AO1099" s="234"/>
    </row>
    <row r="1100" ht="15.75" customHeight="1">
      <c r="A1100" s="91"/>
      <c r="B1100" s="91"/>
      <c r="C1100" s="220"/>
      <c r="D1100" s="91"/>
      <c r="E1100" s="221"/>
      <c r="F1100" s="91"/>
      <c r="G1100" s="91"/>
      <c r="H1100" s="242"/>
      <c r="I1100" s="91"/>
      <c r="J1100" s="234"/>
      <c r="K1100" s="243"/>
      <c r="L1100" s="243"/>
      <c r="M1100" s="234"/>
      <c r="N1100" s="235"/>
      <c r="O1100" s="236"/>
      <c r="P1100" s="236"/>
      <c r="Q1100" s="236"/>
      <c r="R1100" s="236"/>
      <c r="S1100" s="236"/>
      <c r="T1100" s="236"/>
      <c r="U1100" s="236"/>
      <c r="V1100" s="236"/>
      <c r="W1100" s="236"/>
      <c r="X1100" s="244"/>
      <c r="Y1100" s="244"/>
      <c r="Z1100" s="237"/>
      <c r="AA1100" s="244"/>
      <c r="AB1100" s="244"/>
      <c r="AC1100" s="244"/>
      <c r="AD1100" s="244"/>
      <c r="AE1100" s="234"/>
      <c r="AF1100" s="234"/>
      <c r="AG1100" s="238"/>
      <c r="AH1100" s="239"/>
      <c r="AI1100" s="238"/>
      <c r="AJ1100" s="238"/>
      <c r="AK1100" s="234"/>
      <c r="AL1100" s="234"/>
      <c r="AM1100" s="234"/>
      <c r="AN1100" s="234"/>
      <c r="AO1100" s="234"/>
    </row>
    <row r="1101" ht="15.75" customHeight="1">
      <c r="A1101" s="91"/>
      <c r="B1101" s="91"/>
      <c r="C1101" s="220"/>
      <c r="D1101" s="91"/>
      <c r="E1101" s="221"/>
      <c r="F1101" s="91"/>
      <c r="G1101" s="91"/>
      <c r="H1101" s="242"/>
      <c r="I1101" s="91"/>
      <c r="J1101" s="234"/>
      <c r="K1101" s="243"/>
      <c r="L1101" s="243"/>
      <c r="M1101" s="234"/>
      <c r="N1101" s="235"/>
      <c r="O1101" s="236"/>
      <c r="P1101" s="236"/>
      <c r="Q1101" s="236"/>
      <c r="R1101" s="236"/>
      <c r="S1101" s="236"/>
      <c r="T1101" s="236"/>
      <c r="U1101" s="236"/>
      <c r="V1101" s="236"/>
      <c r="W1101" s="236"/>
      <c r="X1101" s="244"/>
      <c r="Y1101" s="244"/>
      <c r="Z1101" s="237"/>
      <c r="AA1101" s="244"/>
      <c r="AB1101" s="244"/>
      <c r="AC1101" s="244"/>
      <c r="AD1101" s="244"/>
      <c r="AE1101" s="234"/>
      <c r="AF1101" s="234"/>
      <c r="AG1101" s="238"/>
      <c r="AH1101" s="239"/>
      <c r="AI1101" s="238"/>
      <c r="AJ1101" s="238"/>
      <c r="AK1101" s="234"/>
      <c r="AL1101" s="234"/>
      <c r="AM1101" s="234"/>
      <c r="AN1101" s="234"/>
      <c r="AO1101" s="234"/>
    </row>
    <row r="1102" ht="15.75" customHeight="1">
      <c r="A1102" s="91"/>
      <c r="B1102" s="91"/>
      <c r="C1102" s="220"/>
      <c r="D1102" s="91"/>
      <c r="E1102" s="221"/>
      <c r="F1102" s="91"/>
      <c r="G1102" s="91"/>
      <c r="H1102" s="242"/>
      <c r="I1102" s="91"/>
      <c r="J1102" s="234"/>
      <c r="K1102" s="243"/>
      <c r="L1102" s="243"/>
      <c r="M1102" s="234"/>
      <c r="N1102" s="235"/>
      <c r="O1102" s="236"/>
      <c r="P1102" s="236"/>
      <c r="Q1102" s="236"/>
      <c r="R1102" s="236"/>
      <c r="S1102" s="236"/>
      <c r="T1102" s="236"/>
      <c r="U1102" s="236"/>
      <c r="V1102" s="236"/>
      <c r="W1102" s="236"/>
      <c r="X1102" s="244"/>
      <c r="Y1102" s="244"/>
      <c r="Z1102" s="237"/>
      <c r="AA1102" s="244"/>
      <c r="AB1102" s="244"/>
      <c r="AC1102" s="244"/>
      <c r="AD1102" s="244"/>
      <c r="AE1102" s="234"/>
      <c r="AF1102" s="234"/>
      <c r="AG1102" s="238"/>
      <c r="AH1102" s="239"/>
      <c r="AI1102" s="238"/>
      <c r="AJ1102" s="238"/>
      <c r="AK1102" s="234"/>
      <c r="AL1102" s="234"/>
      <c r="AM1102" s="234"/>
      <c r="AN1102" s="234"/>
      <c r="AO1102" s="234"/>
    </row>
    <row r="1103" ht="15.75" customHeight="1">
      <c r="A1103" s="91"/>
      <c r="B1103" s="91"/>
      <c r="C1103" s="220"/>
      <c r="D1103" s="91"/>
      <c r="E1103" s="221"/>
      <c r="F1103" s="91"/>
      <c r="G1103" s="91"/>
      <c r="H1103" s="242"/>
      <c r="I1103" s="91"/>
      <c r="J1103" s="234"/>
      <c r="K1103" s="243"/>
      <c r="L1103" s="243"/>
      <c r="M1103" s="234"/>
      <c r="N1103" s="235"/>
      <c r="O1103" s="236"/>
      <c r="P1103" s="236"/>
      <c r="Q1103" s="236"/>
      <c r="R1103" s="236"/>
      <c r="S1103" s="236"/>
      <c r="T1103" s="236"/>
      <c r="U1103" s="236"/>
      <c r="V1103" s="236"/>
      <c r="W1103" s="236"/>
      <c r="X1103" s="244"/>
      <c r="Y1103" s="244"/>
      <c r="Z1103" s="237"/>
      <c r="AA1103" s="244"/>
      <c r="AB1103" s="244"/>
      <c r="AC1103" s="244"/>
      <c r="AD1103" s="244"/>
      <c r="AE1103" s="234"/>
      <c r="AF1103" s="234"/>
      <c r="AG1103" s="238"/>
      <c r="AH1103" s="239"/>
      <c r="AI1103" s="238"/>
      <c r="AJ1103" s="238"/>
      <c r="AK1103" s="234"/>
      <c r="AL1103" s="234"/>
      <c r="AM1103" s="234"/>
      <c r="AN1103" s="234"/>
      <c r="AO1103" s="234"/>
    </row>
    <row r="1104" ht="15.75" customHeight="1">
      <c r="A1104" s="91"/>
      <c r="C1104" s="220"/>
      <c r="D1104" s="91"/>
      <c r="E1104" s="221"/>
      <c r="F1104" s="91"/>
      <c r="G1104" s="91"/>
      <c r="H1104" s="242"/>
      <c r="I1104" s="91"/>
      <c r="J1104" s="234"/>
      <c r="K1104" s="243"/>
      <c r="L1104" s="243"/>
      <c r="M1104" s="234"/>
      <c r="N1104" s="235"/>
      <c r="O1104" s="236"/>
      <c r="P1104" s="236"/>
      <c r="Q1104" s="236"/>
      <c r="R1104" s="236"/>
      <c r="S1104" s="236"/>
      <c r="T1104" s="236"/>
      <c r="U1104" s="236"/>
      <c r="V1104" s="236"/>
      <c r="W1104" s="236"/>
      <c r="X1104" s="244"/>
      <c r="Y1104" s="244"/>
      <c r="Z1104" s="237"/>
      <c r="AA1104" s="244"/>
      <c r="AB1104" s="244"/>
      <c r="AC1104" s="244"/>
      <c r="AD1104" s="244"/>
      <c r="AE1104" s="234"/>
      <c r="AF1104" s="234"/>
      <c r="AG1104" s="238"/>
      <c r="AH1104" s="239"/>
      <c r="AI1104" s="238"/>
      <c r="AJ1104" s="238"/>
      <c r="AK1104" s="234"/>
      <c r="AL1104" s="234"/>
      <c r="AM1104" s="234"/>
      <c r="AN1104" s="234"/>
      <c r="AO1104" s="234"/>
    </row>
    <row r="1105" ht="15.75" customHeight="1">
      <c r="A1105" s="91"/>
      <c r="B1105" s="91"/>
      <c r="C1105" s="220"/>
      <c r="D1105" s="91"/>
      <c r="E1105" s="221"/>
      <c r="F1105" s="91"/>
      <c r="G1105" s="91"/>
      <c r="H1105" s="242"/>
      <c r="I1105" s="91"/>
      <c r="J1105" s="234"/>
      <c r="K1105" s="243"/>
      <c r="L1105" s="243"/>
      <c r="M1105" s="234"/>
      <c r="N1105" s="235"/>
      <c r="O1105" s="236"/>
      <c r="P1105" s="236"/>
      <c r="Q1105" s="236"/>
      <c r="R1105" s="236"/>
      <c r="S1105" s="236"/>
      <c r="T1105" s="236"/>
      <c r="U1105" s="236"/>
      <c r="V1105" s="236"/>
      <c r="W1105" s="236"/>
      <c r="X1105" s="244"/>
      <c r="Y1105" s="244"/>
      <c r="Z1105" s="237"/>
      <c r="AA1105" s="244"/>
      <c r="AB1105" s="244"/>
      <c r="AC1105" s="244"/>
      <c r="AD1105" s="244"/>
      <c r="AE1105" s="234"/>
      <c r="AF1105" s="234"/>
      <c r="AG1105" s="238"/>
      <c r="AH1105" s="239"/>
      <c r="AI1105" s="238"/>
      <c r="AJ1105" s="238"/>
      <c r="AK1105" s="234"/>
      <c r="AL1105" s="234"/>
      <c r="AM1105" s="234"/>
      <c r="AN1105" s="234"/>
      <c r="AO1105" s="234"/>
    </row>
    <row r="1106" ht="15.75" customHeight="1">
      <c r="A1106" s="91"/>
      <c r="B1106" s="91"/>
      <c r="C1106" s="220"/>
      <c r="D1106" s="91"/>
      <c r="E1106" s="221"/>
      <c r="F1106" s="91"/>
      <c r="G1106" s="91"/>
      <c r="H1106" s="242"/>
      <c r="I1106" s="91"/>
      <c r="J1106" s="234"/>
      <c r="K1106" s="243"/>
      <c r="L1106" s="243"/>
      <c r="M1106" s="234"/>
      <c r="N1106" s="235"/>
      <c r="O1106" s="236"/>
      <c r="P1106" s="236"/>
      <c r="Q1106" s="236"/>
      <c r="R1106" s="236"/>
      <c r="S1106" s="236"/>
      <c r="T1106" s="236"/>
      <c r="U1106" s="236"/>
      <c r="V1106" s="236"/>
      <c r="W1106" s="236"/>
      <c r="X1106" s="244"/>
      <c r="Y1106" s="244"/>
      <c r="Z1106" s="237"/>
      <c r="AA1106" s="244"/>
      <c r="AB1106" s="244"/>
      <c r="AC1106" s="244"/>
      <c r="AD1106" s="244"/>
      <c r="AE1106" s="234"/>
      <c r="AF1106" s="234"/>
      <c r="AG1106" s="238"/>
      <c r="AH1106" s="239"/>
      <c r="AI1106" s="238"/>
      <c r="AJ1106" s="238"/>
      <c r="AK1106" s="234"/>
      <c r="AL1106" s="234"/>
      <c r="AM1106" s="234"/>
      <c r="AN1106" s="234"/>
      <c r="AO1106" s="234"/>
    </row>
    <row r="1107" ht="15.75" customHeight="1">
      <c r="A1107" s="91"/>
      <c r="B1107" s="91"/>
      <c r="C1107" s="220"/>
      <c r="D1107" s="91"/>
      <c r="E1107" s="221"/>
      <c r="F1107" s="91"/>
      <c r="G1107" s="91"/>
      <c r="H1107" s="242"/>
      <c r="I1107" s="91"/>
      <c r="J1107" s="234"/>
      <c r="K1107" s="243"/>
      <c r="L1107" s="243"/>
      <c r="M1107" s="234"/>
      <c r="N1107" s="235"/>
      <c r="O1107" s="236"/>
      <c r="P1107" s="236"/>
      <c r="Q1107" s="236"/>
      <c r="R1107" s="236"/>
      <c r="S1107" s="236"/>
      <c r="T1107" s="236"/>
      <c r="U1107" s="236"/>
      <c r="V1107" s="236"/>
      <c r="W1107" s="236"/>
      <c r="X1107" s="244"/>
      <c r="Y1107" s="244"/>
      <c r="Z1107" s="237"/>
      <c r="AA1107" s="244"/>
      <c r="AB1107" s="244"/>
      <c r="AC1107" s="244"/>
      <c r="AD1107" s="244"/>
      <c r="AE1107" s="234"/>
      <c r="AF1107" s="234"/>
      <c r="AG1107" s="238"/>
      <c r="AH1107" s="239"/>
      <c r="AI1107" s="238"/>
      <c r="AJ1107" s="238"/>
      <c r="AK1107" s="234"/>
      <c r="AL1107" s="234"/>
      <c r="AM1107" s="234"/>
      <c r="AN1107" s="234"/>
      <c r="AO1107" s="234"/>
    </row>
    <row r="1108" ht="15.75" customHeight="1">
      <c r="A1108" s="91"/>
      <c r="B1108" s="91"/>
      <c r="C1108" s="220"/>
      <c r="D1108" s="91"/>
      <c r="E1108" s="221"/>
      <c r="F1108" s="91"/>
      <c r="G1108" s="91"/>
      <c r="H1108" s="242"/>
      <c r="I1108" s="91"/>
      <c r="J1108" s="234"/>
      <c r="K1108" s="243"/>
      <c r="L1108" s="243"/>
      <c r="M1108" s="234"/>
      <c r="N1108" s="235"/>
      <c r="O1108" s="236"/>
      <c r="P1108" s="236"/>
      <c r="Q1108" s="236"/>
      <c r="R1108" s="236"/>
      <c r="S1108" s="236"/>
      <c r="T1108" s="236"/>
      <c r="U1108" s="236"/>
      <c r="V1108" s="236"/>
      <c r="W1108" s="236"/>
      <c r="X1108" s="244"/>
      <c r="Y1108" s="244"/>
      <c r="Z1108" s="237"/>
      <c r="AA1108" s="244"/>
      <c r="AB1108" s="244"/>
      <c r="AC1108" s="244"/>
      <c r="AD1108" s="244"/>
      <c r="AE1108" s="234"/>
      <c r="AF1108" s="234"/>
      <c r="AG1108" s="238"/>
      <c r="AH1108" s="239"/>
      <c r="AI1108" s="238"/>
      <c r="AJ1108" s="238"/>
      <c r="AK1108" s="234"/>
      <c r="AL1108" s="234"/>
      <c r="AM1108" s="234"/>
      <c r="AN1108" s="234"/>
      <c r="AO1108" s="234"/>
    </row>
    <row r="1109" ht="15.75" customHeight="1">
      <c r="A1109" s="91"/>
      <c r="B1109" s="91"/>
      <c r="C1109" s="220"/>
      <c r="D1109" s="91"/>
      <c r="E1109" s="221"/>
      <c r="F1109" s="91"/>
      <c r="G1109" s="91"/>
      <c r="H1109" s="242"/>
      <c r="I1109" s="91"/>
      <c r="J1109" s="234"/>
      <c r="K1109" s="243"/>
      <c r="L1109" s="243"/>
      <c r="M1109" s="234"/>
      <c r="N1109" s="235"/>
      <c r="O1109" s="236"/>
      <c r="P1109" s="236"/>
      <c r="Q1109" s="236"/>
      <c r="R1109" s="236"/>
      <c r="S1109" s="236"/>
      <c r="T1109" s="236"/>
      <c r="U1109" s="236"/>
      <c r="V1109" s="236"/>
      <c r="W1109" s="236"/>
      <c r="X1109" s="244"/>
      <c r="Y1109" s="244"/>
      <c r="Z1109" s="237"/>
      <c r="AA1109" s="244"/>
      <c r="AB1109" s="244"/>
      <c r="AC1109" s="244"/>
      <c r="AD1109" s="244"/>
      <c r="AE1109" s="234"/>
      <c r="AF1109" s="234"/>
      <c r="AG1109" s="238"/>
      <c r="AH1109" s="239"/>
      <c r="AI1109" s="238"/>
      <c r="AJ1109" s="238"/>
      <c r="AK1109" s="234"/>
      <c r="AL1109" s="234"/>
      <c r="AM1109" s="234"/>
      <c r="AN1109" s="234"/>
      <c r="AO1109" s="234"/>
    </row>
    <row r="1110" ht="15.75" customHeight="1">
      <c r="A1110" s="91"/>
      <c r="B1110" s="91"/>
      <c r="C1110" s="220"/>
      <c r="D1110" s="91"/>
      <c r="E1110" s="221"/>
      <c r="F1110" s="91"/>
      <c r="G1110" s="91"/>
      <c r="H1110" s="242"/>
      <c r="I1110" s="91"/>
      <c r="J1110" s="234"/>
      <c r="K1110" s="243"/>
      <c r="L1110" s="243"/>
      <c r="M1110" s="234"/>
      <c r="N1110" s="235"/>
      <c r="O1110" s="236"/>
      <c r="P1110" s="236"/>
      <c r="Q1110" s="236"/>
      <c r="R1110" s="236"/>
      <c r="S1110" s="236"/>
      <c r="T1110" s="236"/>
      <c r="U1110" s="236"/>
      <c r="V1110" s="236"/>
      <c r="W1110" s="236"/>
      <c r="X1110" s="244"/>
      <c r="Y1110" s="244"/>
      <c r="Z1110" s="237"/>
      <c r="AA1110" s="244"/>
      <c r="AB1110" s="244"/>
      <c r="AC1110" s="244"/>
      <c r="AD1110" s="244"/>
      <c r="AE1110" s="234"/>
      <c r="AF1110" s="234"/>
      <c r="AG1110" s="238"/>
      <c r="AH1110" s="239"/>
      <c r="AI1110" s="238"/>
      <c r="AJ1110" s="238"/>
      <c r="AK1110" s="234"/>
      <c r="AL1110" s="234"/>
      <c r="AM1110" s="234"/>
      <c r="AN1110" s="234"/>
      <c r="AO1110" s="234"/>
    </row>
    <row r="1111" ht="15.75" customHeight="1">
      <c r="A1111" s="91"/>
      <c r="B1111" s="91"/>
      <c r="C1111" s="220"/>
      <c r="D1111" s="91"/>
      <c r="E1111" s="221"/>
      <c r="F1111" s="91"/>
      <c r="G1111" s="91"/>
      <c r="H1111" s="242"/>
      <c r="I1111" s="91"/>
      <c r="J1111" s="234"/>
      <c r="K1111" s="243"/>
      <c r="L1111" s="243"/>
      <c r="M1111" s="234"/>
      <c r="N1111" s="235"/>
      <c r="O1111" s="236"/>
      <c r="P1111" s="236"/>
      <c r="Q1111" s="236"/>
      <c r="R1111" s="236"/>
      <c r="S1111" s="236"/>
      <c r="T1111" s="236"/>
      <c r="U1111" s="236"/>
      <c r="V1111" s="236"/>
      <c r="W1111" s="236"/>
      <c r="X1111" s="244"/>
      <c r="Y1111" s="244"/>
      <c r="Z1111" s="237"/>
      <c r="AA1111" s="244"/>
      <c r="AB1111" s="244"/>
      <c r="AC1111" s="244"/>
      <c r="AD1111" s="244"/>
      <c r="AE1111" s="234"/>
      <c r="AF1111" s="234"/>
      <c r="AG1111" s="238"/>
      <c r="AH1111" s="239"/>
      <c r="AI1111" s="238"/>
      <c r="AJ1111" s="238"/>
      <c r="AK1111" s="234"/>
      <c r="AL1111" s="234"/>
      <c r="AM1111" s="234"/>
      <c r="AN1111" s="234"/>
      <c r="AO1111" s="234"/>
    </row>
    <row r="1112" ht="15.75" customHeight="1">
      <c r="A1112" s="91"/>
      <c r="B1112" s="91"/>
      <c r="C1112" s="220"/>
      <c r="D1112" s="91"/>
      <c r="E1112" s="221"/>
      <c r="F1112" s="91"/>
      <c r="G1112" s="91"/>
      <c r="H1112" s="242"/>
      <c r="I1112" s="91"/>
      <c r="J1112" s="234"/>
      <c r="K1112" s="243"/>
      <c r="L1112" s="243"/>
      <c r="M1112" s="234"/>
      <c r="N1112" s="235"/>
      <c r="O1112" s="236"/>
      <c r="P1112" s="236"/>
      <c r="Q1112" s="236"/>
      <c r="R1112" s="236"/>
      <c r="S1112" s="236"/>
      <c r="T1112" s="236"/>
      <c r="U1112" s="236"/>
      <c r="V1112" s="236"/>
      <c r="W1112" s="236"/>
      <c r="X1112" s="244"/>
      <c r="Y1112" s="244"/>
      <c r="Z1112" s="237"/>
      <c r="AA1112" s="244"/>
      <c r="AB1112" s="244"/>
      <c r="AC1112" s="244"/>
      <c r="AD1112" s="244"/>
      <c r="AE1112" s="234"/>
      <c r="AF1112" s="234"/>
      <c r="AG1112" s="238"/>
      <c r="AH1112" s="239"/>
      <c r="AI1112" s="238"/>
      <c r="AJ1112" s="238"/>
      <c r="AK1112" s="234"/>
      <c r="AL1112" s="234"/>
      <c r="AM1112" s="234"/>
      <c r="AN1112" s="234"/>
      <c r="AO1112" s="234"/>
    </row>
    <row r="1113" ht="15.75" customHeight="1">
      <c r="A1113" s="91"/>
      <c r="B1113" s="91"/>
      <c r="C1113" s="220"/>
      <c r="D1113" s="91"/>
      <c r="E1113" s="221"/>
      <c r="F1113" s="91"/>
      <c r="G1113" s="91"/>
      <c r="H1113" s="242"/>
      <c r="I1113" s="91"/>
      <c r="J1113" s="234"/>
      <c r="K1113" s="243"/>
      <c r="L1113" s="243"/>
      <c r="M1113" s="234"/>
      <c r="N1113" s="235"/>
      <c r="O1113" s="236"/>
      <c r="P1113" s="236"/>
      <c r="Q1113" s="236"/>
      <c r="R1113" s="236"/>
      <c r="S1113" s="236"/>
      <c r="T1113" s="236"/>
      <c r="U1113" s="236"/>
      <c r="V1113" s="236"/>
      <c r="W1113" s="236"/>
      <c r="X1113" s="244"/>
      <c r="Y1113" s="244"/>
      <c r="Z1113" s="237"/>
      <c r="AA1113" s="244"/>
      <c r="AB1113" s="244"/>
      <c r="AC1113" s="244"/>
      <c r="AD1113" s="244"/>
      <c r="AE1113" s="234"/>
      <c r="AF1113" s="234"/>
      <c r="AG1113" s="238"/>
      <c r="AH1113" s="239"/>
      <c r="AI1113" s="238"/>
      <c r="AJ1113" s="238"/>
      <c r="AK1113" s="234"/>
      <c r="AL1113" s="234"/>
      <c r="AM1113" s="234"/>
      <c r="AN1113" s="234"/>
      <c r="AO1113" s="234"/>
    </row>
    <row r="1114" ht="15.75" customHeight="1">
      <c r="A1114" s="91"/>
      <c r="B1114" s="91"/>
      <c r="C1114" s="220"/>
      <c r="D1114" s="91"/>
      <c r="E1114" s="221"/>
      <c r="F1114" s="91"/>
      <c r="G1114" s="91"/>
      <c r="H1114" s="242"/>
      <c r="I1114" s="91"/>
      <c r="J1114" s="234"/>
      <c r="K1114" s="243"/>
      <c r="L1114" s="243"/>
      <c r="M1114" s="234"/>
      <c r="N1114" s="235"/>
      <c r="O1114" s="236"/>
      <c r="P1114" s="236"/>
      <c r="Q1114" s="236"/>
      <c r="R1114" s="236"/>
      <c r="S1114" s="236"/>
      <c r="T1114" s="236"/>
      <c r="U1114" s="236"/>
      <c r="V1114" s="236"/>
      <c r="W1114" s="236"/>
      <c r="X1114" s="244"/>
      <c r="Y1114" s="244"/>
      <c r="Z1114" s="237"/>
      <c r="AA1114" s="244"/>
      <c r="AB1114" s="244"/>
      <c r="AC1114" s="244"/>
      <c r="AD1114" s="244"/>
      <c r="AE1114" s="234"/>
      <c r="AF1114" s="234"/>
      <c r="AG1114" s="238"/>
      <c r="AH1114" s="239"/>
      <c r="AI1114" s="238"/>
      <c r="AJ1114" s="238"/>
      <c r="AK1114" s="234"/>
      <c r="AL1114" s="234"/>
      <c r="AM1114" s="234"/>
      <c r="AN1114" s="234"/>
      <c r="AO1114" s="234"/>
    </row>
    <row r="1115" ht="15.75" customHeight="1">
      <c r="A1115" s="91"/>
      <c r="B1115" s="91"/>
      <c r="C1115" s="220"/>
      <c r="D1115" s="91"/>
      <c r="E1115" s="221"/>
      <c r="F1115" s="91"/>
      <c r="G1115" s="91"/>
      <c r="H1115" s="242"/>
      <c r="I1115" s="91"/>
      <c r="J1115" s="234"/>
      <c r="K1115" s="243"/>
      <c r="L1115" s="243"/>
      <c r="M1115" s="234"/>
      <c r="N1115" s="235"/>
      <c r="O1115" s="236"/>
      <c r="P1115" s="236"/>
      <c r="Q1115" s="236"/>
      <c r="R1115" s="236"/>
      <c r="S1115" s="236"/>
      <c r="T1115" s="236"/>
      <c r="U1115" s="236"/>
      <c r="V1115" s="236"/>
      <c r="W1115" s="236"/>
      <c r="X1115" s="244"/>
      <c r="Y1115" s="244"/>
      <c r="Z1115" s="237"/>
      <c r="AA1115" s="244"/>
      <c r="AB1115" s="244"/>
      <c r="AC1115" s="244"/>
      <c r="AD1115" s="244"/>
      <c r="AE1115" s="234"/>
      <c r="AF1115" s="234"/>
      <c r="AG1115" s="238"/>
      <c r="AH1115" s="239"/>
      <c r="AI1115" s="238"/>
      <c r="AJ1115" s="238"/>
      <c r="AK1115" s="234"/>
      <c r="AL1115" s="234"/>
      <c r="AM1115" s="234"/>
      <c r="AN1115" s="234"/>
      <c r="AO1115" s="234"/>
    </row>
    <row r="1116" ht="15.75" customHeight="1">
      <c r="A1116" s="91"/>
      <c r="B1116" s="91"/>
      <c r="C1116" s="220"/>
      <c r="D1116" s="91"/>
      <c r="E1116" s="221"/>
      <c r="F1116" s="91"/>
      <c r="G1116" s="91"/>
      <c r="H1116" s="242"/>
      <c r="I1116" s="91"/>
      <c r="J1116" s="234"/>
      <c r="K1116" s="243"/>
      <c r="L1116" s="243"/>
      <c r="M1116" s="234"/>
      <c r="N1116" s="235"/>
      <c r="O1116" s="236"/>
      <c r="P1116" s="236"/>
      <c r="Q1116" s="236"/>
      <c r="R1116" s="236"/>
      <c r="S1116" s="236"/>
      <c r="T1116" s="236"/>
      <c r="U1116" s="236"/>
      <c r="V1116" s="236"/>
      <c r="W1116" s="236"/>
      <c r="X1116" s="244"/>
      <c r="Y1116" s="244"/>
      <c r="Z1116" s="237"/>
      <c r="AA1116" s="244"/>
      <c r="AB1116" s="244"/>
      <c r="AC1116" s="244"/>
      <c r="AD1116" s="244"/>
      <c r="AE1116" s="234"/>
      <c r="AF1116" s="234"/>
      <c r="AG1116" s="238"/>
      <c r="AH1116" s="239"/>
      <c r="AI1116" s="238"/>
      <c r="AJ1116" s="238"/>
      <c r="AK1116" s="234"/>
      <c r="AL1116" s="234"/>
      <c r="AM1116" s="234"/>
      <c r="AN1116" s="234"/>
      <c r="AO1116" s="234"/>
    </row>
    <row r="1117" ht="15.75" customHeight="1">
      <c r="A1117" s="91"/>
      <c r="B1117" s="91"/>
      <c r="C1117" s="220"/>
      <c r="D1117" s="91"/>
      <c r="E1117" s="221"/>
      <c r="F1117" s="91"/>
      <c r="G1117" s="91"/>
      <c r="H1117" s="242"/>
      <c r="I1117" s="91"/>
      <c r="J1117" s="234"/>
      <c r="K1117" s="243"/>
      <c r="L1117" s="243"/>
      <c r="M1117" s="234"/>
      <c r="N1117" s="235"/>
      <c r="O1117" s="236"/>
      <c r="P1117" s="236"/>
      <c r="Q1117" s="236"/>
      <c r="R1117" s="236"/>
      <c r="S1117" s="236"/>
      <c r="T1117" s="236"/>
      <c r="U1117" s="236"/>
      <c r="V1117" s="236"/>
      <c r="W1117" s="236"/>
      <c r="X1117" s="244"/>
      <c r="Y1117" s="244"/>
      <c r="Z1117" s="237"/>
      <c r="AA1117" s="244"/>
      <c r="AB1117" s="244"/>
      <c r="AC1117" s="244"/>
      <c r="AD1117" s="244"/>
      <c r="AE1117" s="234"/>
      <c r="AF1117" s="234"/>
      <c r="AG1117" s="238"/>
      <c r="AH1117" s="239"/>
      <c r="AI1117" s="238"/>
      <c r="AJ1117" s="238"/>
      <c r="AK1117" s="234"/>
      <c r="AL1117" s="234"/>
      <c r="AM1117" s="234"/>
      <c r="AN1117" s="234"/>
      <c r="AO1117" s="234"/>
    </row>
    <row r="1118" ht="15.75" customHeight="1">
      <c r="A1118" s="91"/>
      <c r="B1118" s="91"/>
      <c r="C1118" s="220"/>
      <c r="D1118" s="91"/>
      <c r="E1118" s="221"/>
      <c r="F1118" s="91"/>
      <c r="G1118" s="91"/>
      <c r="H1118" s="242"/>
      <c r="I1118" s="91"/>
      <c r="J1118" s="234"/>
      <c r="K1118" s="243"/>
      <c r="L1118" s="243"/>
      <c r="M1118" s="234"/>
      <c r="N1118" s="235"/>
      <c r="O1118" s="236"/>
      <c r="P1118" s="236"/>
      <c r="Q1118" s="236"/>
      <c r="R1118" s="236"/>
      <c r="S1118" s="236"/>
      <c r="T1118" s="236"/>
      <c r="U1118" s="236"/>
      <c r="V1118" s="236"/>
      <c r="W1118" s="236"/>
      <c r="X1118" s="244"/>
      <c r="Y1118" s="244"/>
      <c r="Z1118" s="237"/>
      <c r="AA1118" s="244"/>
      <c r="AB1118" s="244"/>
      <c r="AC1118" s="244"/>
      <c r="AD1118" s="244"/>
      <c r="AE1118" s="234"/>
      <c r="AF1118" s="234"/>
      <c r="AG1118" s="238"/>
      <c r="AH1118" s="239"/>
      <c r="AI1118" s="238"/>
      <c r="AJ1118" s="238"/>
      <c r="AK1118" s="234"/>
      <c r="AL1118" s="234"/>
      <c r="AM1118" s="234"/>
      <c r="AN1118" s="234"/>
      <c r="AO1118" s="234"/>
    </row>
    <row r="1119" ht="15.75" customHeight="1">
      <c r="A1119" s="91"/>
      <c r="B1119" s="91"/>
      <c r="C1119" s="220"/>
      <c r="D1119" s="91"/>
      <c r="E1119" s="221"/>
      <c r="F1119" s="91"/>
      <c r="G1119" s="91"/>
      <c r="H1119" s="242"/>
      <c r="I1119" s="91"/>
      <c r="J1119" s="234"/>
      <c r="K1119" s="243"/>
      <c r="L1119" s="243"/>
      <c r="M1119" s="234"/>
      <c r="N1119" s="235"/>
      <c r="O1119" s="236"/>
      <c r="P1119" s="236"/>
      <c r="Q1119" s="236"/>
      <c r="R1119" s="236"/>
      <c r="S1119" s="236"/>
      <c r="T1119" s="236"/>
      <c r="U1119" s="236"/>
      <c r="V1119" s="236"/>
      <c r="W1119" s="236"/>
      <c r="X1119" s="244"/>
      <c r="Y1119" s="244"/>
      <c r="Z1119" s="237"/>
      <c r="AA1119" s="244"/>
      <c r="AB1119" s="244"/>
      <c r="AC1119" s="244"/>
      <c r="AD1119" s="244"/>
      <c r="AE1119" s="234"/>
      <c r="AF1119" s="234"/>
      <c r="AG1119" s="238"/>
      <c r="AH1119" s="239"/>
      <c r="AI1119" s="238"/>
      <c r="AJ1119" s="238"/>
      <c r="AK1119" s="234"/>
      <c r="AL1119" s="234"/>
      <c r="AM1119" s="234"/>
      <c r="AN1119" s="234"/>
      <c r="AO1119" s="234"/>
    </row>
    <row r="1120" ht="15.75" customHeight="1">
      <c r="A1120" s="91"/>
      <c r="B1120" s="91"/>
      <c r="C1120" s="220"/>
      <c r="D1120" s="91"/>
      <c r="E1120" s="221"/>
      <c r="F1120" s="91"/>
      <c r="G1120" s="91"/>
      <c r="H1120" s="242"/>
      <c r="I1120" s="91"/>
      <c r="J1120" s="234"/>
      <c r="K1120" s="243"/>
      <c r="L1120" s="243"/>
      <c r="M1120" s="234"/>
      <c r="N1120" s="235"/>
      <c r="O1120" s="236"/>
      <c r="P1120" s="236"/>
      <c r="Q1120" s="236"/>
      <c r="R1120" s="236"/>
      <c r="S1120" s="236"/>
      <c r="T1120" s="236"/>
      <c r="U1120" s="236"/>
      <c r="V1120" s="236"/>
      <c r="W1120" s="236"/>
      <c r="X1120" s="244"/>
      <c r="Y1120" s="244"/>
      <c r="Z1120" s="237"/>
      <c r="AA1120" s="244"/>
      <c r="AB1120" s="244"/>
      <c r="AC1120" s="244"/>
      <c r="AD1120" s="244"/>
      <c r="AE1120" s="234"/>
      <c r="AF1120" s="234"/>
      <c r="AG1120" s="238"/>
      <c r="AH1120" s="239"/>
      <c r="AI1120" s="238"/>
      <c r="AJ1120" s="238"/>
      <c r="AK1120" s="234"/>
      <c r="AL1120" s="234"/>
      <c r="AM1120" s="234"/>
      <c r="AN1120" s="234"/>
      <c r="AO1120" s="234"/>
    </row>
    <row r="1121" ht="15.75" customHeight="1">
      <c r="A1121" s="91"/>
      <c r="B1121" s="91"/>
      <c r="C1121" s="220"/>
      <c r="D1121" s="91"/>
      <c r="E1121" s="221"/>
      <c r="F1121" s="91"/>
      <c r="G1121" s="91"/>
      <c r="H1121" s="242"/>
      <c r="I1121" s="91"/>
      <c r="J1121" s="234"/>
      <c r="K1121" s="243"/>
      <c r="L1121" s="243"/>
      <c r="M1121" s="234"/>
      <c r="N1121" s="235"/>
      <c r="O1121" s="236"/>
      <c r="P1121" s="236"/>
      <c r="Q1121" s="236"/>
      <c r="R1121" s="236"/>
      <c r="S1121" s="236"/>
      <c r="T1121" s="236"/>
      <c r="U1121" s="236"/>
      <c r="V1121" s="236"/>
      <c r="W1121" s="236"/>
      <c r="X1121" s="244"/>
      <c r="Y1121" s="244"/>
      <c r="Z1121" s="237"/>
      <c r="AA1121" s="244"/>
      <c r="AB1121" s="244"/>
      <c r="AC1121" s="244"/>
      <c r="AD1121" s="244"/>
      <c r="AE1121" s="234"/>
      <c r="AF1121" s="234"/>
      <c r="AG1121" s="238"/>
      <c r="AH1121" s="239"/>
      <c r="AI1121" s="238"/>
      <c r="AJ1121" s="238"/>
      <c r="AK1121" s="234"/>
      <c r="AL1121" s="234"/>
      <c r="AM1121" s="234"/>
      <c r="AN1121" s="234"/>
      <c r="AO1121" s="234"/>
    </row>
    <row r="1122" ht="15.75" customHeight="1">
      <c r="A1122" s="91"/>
      <c r="B1122" s="91"/>
      <c r="C1122" s="220"/>
      <c r="D1122" s="91"/>
      <c r="E1122" s="221"/>
      <c r="F1122" s="91"/>
      <c r="G1122" s="91"/>
      <c r="H1122" s="242"/>
      <c r="I1122" s="91"/>
      <c r="J1122" s="234"/>
      <c r="K1122" s="243"/>
      <c r="L1122" s="243"/>
      <c r="M1122" s="234"/>
      <c r="N1122" s="235"/>
      <c r="O1122" s="236"/>
      <c r="P1122" s="236"/>
      <c r="Q1122" s="236"/>
      <c r="R1122" s="236"/>
      <c r="S1122" s="236"/>
      <c r="T1122" s="236"/>
      <c r="U1122" s="236"/>
      <c r="V1122" s="236"/>
      <c r="W1122" s="236"/>
      <c r="X1122" s="244"/>
      <c r="Y1122" s="244"/>
      <c r="Z1122" s="237"/>
      <c r="AA1122" s="244"/>
      <c r="AB1122" s="244"/>
      <c r="AC1122" s="244"/>
      <c r="AD1122" s="244"/>
      <c r="AE1122" s="234"/>
      <c r="AF1122" s="234"/>
      <c r="AG1122" s="238"/>
      <c r="AH1122" s="239"/>
      <c r="AI1122" s="238"/>
      <c r="AJ1122" s="238"/>
      <c r="AK1122" s="234"/>
      <c r="AL1122" s="234"/>
      <c r="AM1122" s="234"/>
      <c r="AN1122" s="234"/>
      <c r="AO1122" s="234"/>
    </row>
    <row r="1123" ht="15.75" customHeight="1">
      <c r="A1123" s="91"/>
      <c r="B1123" s="91"/>
      <c r="C1123" s="220"/>
      <c r="D1123" s="91"/>
      <c r="E1123" s="221"/>
      <c r="F1123" s="91"/>
      <c r="G1123" s="91"/>
      <c r="H1123" s="242"/>
      <c r="I1123" s="91"/>
      <c r="J1123" s="234"/>
      <c r="K1123" s="243"/>
      <c r="L1123" s="243"/>
      <c r="M1123" s="234"/>
      <c r="N1123" s="235"/>
      <c r="O1123" s="236"/>
      <c r="P1123" s="236"/>
      <c r="Q1123" s="236"/>
      <c r="R1123" s="236"/>
      <c r="S1123" s="236"/>
      <c r="T1123" s="236"/>
      <c r="U1123" s="236"/>
      <c r="V1123" s="236"/>
      <c r="W1123" s="236"/>
      <c r="X1123" s="244"/>
      <c r="Y1123" s="244"/>
      <c r="Z1123" s="237"/>
      <c r="AA1123" s="244"/>
      <c r="AB1123" s="244"/>
      <c r="AC1123" s="244"/>
      <c r="AD1123" s="244"/>
      <c r="AE1123" s="234"/>
      <c r="AF1123" s="234"/>
      <c r="AG1123" s="238"/>
      <c r="AH1123" s="239"/>
      <c r="AI1123" s="238"/>
      <c r="AJ1123" s="238"/>
      <c r="AK1123" s="234"/>
      <c r="AL1123" s="234"/>
      <c r="AM1123" s="234"/>
      <c r="AN1123" s="234"/>
      <c r="AO1123" s="234"/>
    </row>
    <row r="1124" ht="15.75" customHeight="1">
      <c r="A1124" s="91"/>
      <c r="B1124" s="91"/>
      <c r="C1124" s="220"/>
      <c r="D1124" s="91"/>
      <c r="E1124" s="221"/>
      <c r="F1124" s="91"/>
      <c r="G1124" s="91"/>
      <c r="H1124" s="242"/>
      <c r="I1124" s="91"/>
      <c r="J1124" s="234"/>
      <c r="K1124" s="243"/>
      <c r="L1124" s="243"/>
      <c r="M1124" s="234"/>
      <c r="N1124" s="235"/>
      <c r="O1124" s="236"/>
      <c r="P1124" s="236"/>
      <c r="Q1124" s="236"/>
      <c r="R1124" s="236"/>
      <c r="S1124" s="236"/>
      <c r="T1124" s="236"/>
      <c r="U1124" s="236"/>
      <c r="V1124" s="236"/>
      <c r="W1124" s="236"/>
      <c r="X1124" s="244"/>
      <c r="Y1124" s="244"/>
      <c r="Z1124" s="237"/>
      <c r="AA1124" s="244"/>
      <c r="AB1124" s="244"/>
      <c r="AC1124" s="244"/>
      <c r="AD1124" s="244"/>
      <c r="AE1124" s="234"/>
      <c r="AF1124" s="234"/>
      <c r="AG1124" s="238"/>
      <c r="AH1124" s="239"/>
      <c r="AI1124" s="238"/>
      <c r="AJ1124" s="238"/>
      <c r="AK1124" s="234"/>
      <c r="AL1124" s="234"/>
      <c r="AM1124" s="234"/>
      <c r="AN1124" s="234"/>
      <c r="AO1124" s="234"/>
    </row>
    <row r="1125" ht="15.75" customHeight="1">
      <c r="A1125" s="91"/>
      <c r="B1125" s="91"/>
      <c r="C1125" s="220"/>
      <c r="D1125" s="91"/>
      <c r="E1125" s="221"/>
      <c r="F1125" s="91"/>
      <c r="G1125" s="91"/>
      <c r="H1125" s="242"/>
      <c r="I1125" s="91"/>
      <c r="J1125" s="234"/>
      <c r="K1125" s="243"/>
      <c r="L1125" s="243"/>
      <c r="M1125" s="234"/>
      <c r="N1125" s="235"/>
      <c r="O1125" s="236"/>
      <c r="P1125" s="236"/>
      <c r="Q1125" s="236"/>
      <c r="R1125" s="236"/>
      <c r="S1125" s="236"/>
      <c r="T1125" s="236"/>
      <c r="U1125" s="236"/>
      <c r="V1125" s="236"/>
      <c r="W1125" s="236"/>
      <c r="X1125" s="244"/>
      <c r="Y1125" s="244"/>
      <c r="Z1125" s="237"/>
      <c r="AA1125" s="244"/>
      <c r="AB1125" s="244"/>
      <c r="AC1125" s="244"/>
      <c r="AD1125" s="244"/>
      <c r="AE1125" s="234"/>
      <c r="AF1125" s="234"/>
      <c r="AG1125" s="238"/>
      <c r="AH1125" s="239"/>
      <c r="AI1125" s="238"/>
      <c r="AJ1125" s="238"/>
      <c r="AK1125" s="234"/>
      <c r="AL1125" s="234"/>
      <c r="AM1125" s="234"/>
      <c r="AN1125" s="234"/>
      <c r="AO1125" s="234"/>
    </row>
    <row r="1126" ht="15.75" customHeight="1">
      <c r="A1126" s="91"/>
      <c r="B1126" s="91"/>
      <c r="C1126" s="220"/>
      <c r="D1126" s="91"/>
      <c r="E1126" s="221"/>
      <c r="F1126" s="91"/>
      <c r="G1126" s="91"/>
      <c r="H1126" s="242"/>
      <c r="I1126" s="91"/>
      <c r="J1126" s="234"/>
      <c r="K1126" s="243"/>
      <c r="L1126" s="243"/>
      <c r="M1126" s="234"/>
      <c r="N1126" s="235"/>
      <c r="O1126" s="236"/>
      <c r="P1126" s="236"/>
      <c r="Q1126" s="236"/>
      <c r="R1126" s="236"/>
      <c r="S1126" s="236"/>
      <c r="T1126" s="236"/>
      <c r="U1126" s="236"/>
      <c r="V1126" s="236"/>
      <c r="W1126" s="236"/>
      <c r="X1126" s="244"/>
      <c r="Y1126" s="244"/>
      <c r="Z1126" s="237"/>
      <c r="AA1126" s="244"/>
      <c r="AB1126" s="244"/>
      <c r="AC1126" s="244"/>
      <c r="AD1126" s="244"/>
      <c r="AE1126" s="234"/>
      <c r="AF1126" s="234"/>
      <c r="AG1126" s="238"/>
      <c r="AH1126" s="239"/>
      <c r="AI1126" s="238"/>
      <c r="AJ1126" s="238"/>
      <c r="AK1126" s="234"/>
      <c r="AL1126" s="234"/>
      <c r="AM1126" s="234"/>
      <c r="AN1126" s="234"/>
      <c r="AO1126" s="234"/>
    </row>
    <row r="1127" ht="15.75" customHeight="1">
      <c r="A1127" s="91"/>
      <c r="B1127" s="91"/>
      <c r="C1127" s="220"/>
      <c r="D1127" s="91"/>
      <c r="E1127" s="221"/>
      <c r="F1127" s="91"/>
      <c r="G1127" s="91"/>
      <c r="H1127" s="242"/>
      <c r="I1127" s="91"/>
      <c r="J1127" s="234"/>
      <c r="K1127" s="243"/>
      <c r="L1127" s="243"/>
      <c r="M1127" s="234"/>
      <c r="N1127" s="235"/>
      <c r="O1127" s="236"/>
      <c r="P1127" s="236"/>
      <c r="Q1127" s="236"/>
      <c r="R1127" s="236"/>
      <c r="S1127" s="236"/>
      <c r="T1127" s="236"/>
      <c r="U1127" s="236"/>
      <c r="V1127" s="236"/>
      <c r="W1127" s="236"/>
      <c r="X1127" s="244"/>
      <c r="Y1127" s="244"/>
      <c r="Z1127" s="237"/>
      <c r="AA1127" s="244"/>
      <c r="AB1127" s="244"/>
      <c r="AC1127" s="244"/>
      <c r="AD1127" s="244"/>
      <c r="AE1127" s="234"/>
      <c r="AF1127" s="234"/>
      <c r="AG1127" s="238"/>
      <c r="AH1127" s="239"/>
      <c r="AI1127" s="238"/>
      <c r="AJ1127" s="238"/>
      <c r="AK1127" s="234"/>
      <c r="AL1127" s="234"/>
      <c r="AM1127" s="234"/>
      <c r="AN1127" s="234"/>
      <c r="AO1127" s="234"/>
    </row>
    <row r="1128" ht="15.75" customHeight="1">
      <c r="A1128" s="91"/>
      <c r="B1128" s="91"/>
      <c r="C1128" s="220"/>
      <c r="D1128" s="91"/>
      <c r="E1128" s="221"/>
      <c r="F1128" s="91"/>
      <c r="G1128" s="91"/>
      <c r="H1128" s="242"/>
      <c r="I1128" s="91"/>
      <c r="J1128" s="234"/>
      <c r="K1128" s="243"/>
      <c r="L1128" s="243"/>
      <c r="M1128" s="234"/>
      <c r="N1128" s="235"/>
      <c r="O1128" s="236"/>
      <c r="P1128" s="236"/>
      <c r="Q1128" s="236"/>
      <c r="R1128" s="236"/>
      <c r="S1128" s="236"/>
      <c r="T1128" s="236"/>
      <c r="U1128" s="236"/>
      <c r="V1128" s="236"/>
      <c r="W1128" s="236"/>
      <c r="X1128" s="244"/>
      <c r="Y1128" s="244"/>
      <c r="Z1128" s="237"/>
      <c r="AA1128" s="244"/>
      <c r="AB1128" s="244"/>
      <c r="AC1128" s="244"/>
      <c r="AD1128" s="244"/>
      <c r="AE1128" s="234"/>
      <c r="AF1128" s="234"/>
      <c r="AG1128" s="238"/>
      <c r="AH1128" s="239"/>
      <c r="AI1128" s="238"/>
      <c r="AJ1128" s="238"/>
      <c r="AK1128" s="234"/>
      <c r="AL1128" s="234"/>
      <c r="AM1128" s="234"/>
      <c r="AN1128" s="234"/>
      <c r="AO1128" s="234"/>
    </row>
    <row r="1129" ht="15.75" customHeight="1">
      <c r="A1129" s="91"/>
      <c r="B1129" s="91"/>
      <c r="C1129" s="220"/>
      <c r="D1129" s="91"/>
      <c r="E1129" s="221"/>
      <c r="F1129" s="91"/>
      <c r="G1129" s="91"/>
      <c r="H1129" s="242"/>
      <c r="I1129" s="91"/>
      <c r="J1129" s="234"/>
      <c r="K1129" s="243"/>
      <c r="L1129" s="243"/>
      <c r="M1129" s="234"/>
      <c r="N1129" s="235"/>
      <c r="O1129" s="236"/>
      <c r="P1129" s="236"/>
      <c r="Q1129" s="236"/>
      <c r="R1129" s="236"/>
      <c r="S1129" s="236"/>
      <c r="T1129" s="236"/>
      <c r="U1129" s="236"/>
      <c r="V1129" s="236"/>
      <c r="W1129" s="236"/>
      <c r="X1129" s="244"/>
      <c r="Y1129" s="244"/>
      <c r="Z1129" s="237"/>
      <c r="AA1129" s="244"/>
      <c r="AB1129" s="244"/>
      <c r="AC1129" s="244"/>
      <c r="AD1129" s="244"/>
      <c r="AE1129" s="234"/>
      <c r="AF1129" s="234"/>
      <c r="AG1129" s="238"/>
      <c r="AH1129" s="239"/>
      <c r="AI1129" s="238"/>
      <c r="AJ1129" s="238"/>
      <c r="AK1129" s="234"/>
      <c r="AL1129" s="234"/>
      <c r="AM1129" s="234"/>
      <c r="AN1129" s="234"/>
      <c r="AO1129" s="234"/>
    </row>
    <row r="1130" ht="15.75" customHeight="1">
      <c r="A1130" s="91"/>
      <c r="B1130" s="91"/>
      <c r="C1130" s="220"/>
      <c r="D1130" s="91"/>
      <c r="E1130" s="221"/>
      <c r="F1130" s="91"/>
      <c r="G1130" s="91"/>
      <c r="H1130" s="242"/>
      <c r="I1130" s="91"/>
      <c r="J1130" s="234"/>
      <c r="K1130" s="243"/>
      <c r="L1130" s="243"/>
      <c r="M1130" s="234"/>
      <c r="N1130" s="235"/>
      <c r="O1130" s="236"/>
      <c r="P1130" s="236"/>
      <c r="Q1130" s="236"/>
      <c r="R1130" s="236"/>
      <c r="S1130" s="236"/>
      <c r="T1130" s="236"/>
      <c r="U1130" s="236"/>
      <c r="V1130" s="236"/>
      <c r="W1130" s="236"/>
      <c r="X1130" s="244"/>
      <c r="Y1130" s="244"/>
      <c r="Z1130" s="237"/>
      <c r="AA1130" s="244"/>
      <c r="AB1130" s="244"/>
      <c r="AC1130" s="244"/>
      <c r="AD1130" s="244"/>
      <c r="AE1130" s="234"/>
      <c r="AF1130" s="234"/>
      <c r="AG1130" s="238"/>
      <c r="AH1130" s="239"/>
      <c r="AI1130" s="238"/>
      <c r="AJ1130" s="238"/>
      <c r="AK1130" s="234"/>
      <c r="AL1130" s="234"/>
      <c r="AM1130" s="234"/>
      <c r="AN1130" s="234"/>
      <c r="AO1130" s="234"/>
    </row>
    <row r="1131" ht="15.75" customHeight="1">
      <c r="A1131" s="91"/>
      <c r="B1131" s="91"/>
      <c r="C1131" s="220"/>
      <c r="D1131" s="91"/>
      <c r="E1131" s="221"/>
      <c r="F1131" s="91"/>
      <c r="G1131" s="91"/>
      <c r="H1131" s="242"/>
      <c r="I1131" s="91"/>
      <c r="J1131" s="234"/>
      <c r="K1131" s="243"/>
      <c r="L1131" s="243"/>
      <c r="M1131" s="234"/>
      <c r="N1131" s="235"/>
      <c r="O1131" s="236"/>
      <c r="P1131" s="236"/>
      <c r="Q1131" s="236"/>
      <c r="R1131" s="236"/>
      <c r="S1131" s="236"/>
      <c r="T1131" s="236"/>
      <c r="U1131" s="236"/>
      <c r="V1131" s="236"/>
      <c r="W1131" s="236"/>
      <c r="X1131" s="244"/>
      <c r="Y1131" s="244"/>
      <c r="Z1131" s="237"/>
      <c r="AA1131" s="244"/>
      <c r="AB1131" s="244"/>
      <c r="AC1131" s="244"/>
      <c r="AD1131" s="244"/>
      <c r="AE1131" s="234"/>
      <c r="AF1131" s="234"/>
      <c r="AG1131" s="238"/>
      <c r="AH1131" s="239"/>
      <c r="AI1131" s="238"/>
      <c r="AJ1131" s="238"/>
      <c r="AK1131" s="234"/>
      <c r="AL1131" s="234"/>
      <c r="AM1131" s="234"/>
      <c r="AN1131" s="234"/>
      <c r="AO1131" s="234"/>
    </row>
    <row r="1132" ht="15.75" customHeight="1">
      <c r="A1132" s="91"/>
      <c r="B1132" s="91"/>
      <c r="C1132" s="220"/>
      <c r="D1132" s="91"/>
      <c r="E1132" s="221"/>
      <c r="F1132" s="91"/>
      <c r="G1132" s="91"/>
      <c r="H1132" s="242"/>
      <c r="I1132" s="91"/>
      <c r="J1132" s="234"/>
      <c r="K1132" s="243"/>
      <c r="L1132" s="243"/>
      <c r="M1132" s="234"/>
      <c r="N1132" s="235"/>
      <c r="O1132" s="236"/>
      <c r="P1132" s="236"/>
      <c r="Q1132" s="236"/>
      <c r="R1132" s="236"/>
      <c r="S1132" s="236"/>
      <c r="T1132" s="236"/>
      <c r="U1132" s="236"/>
      <c r="V1132" s="236"/>
      <c r="W1132" s="236"/>
      <c r="X1132" s="244"/>
      <c r="Y1132" s="244"/>
      <c r="Z1132" s="237"/>
      <c r="AA1132" s="244"/>
      <c r="AB1132" s="244"/>
      <c r="AC1132" s="244"/>
      <c r="AD1132" s="244"/>
      <c r="AE1132" s="234"/>
      <c r="AF1132" s="234"/>
      <c r="AG1132" s="238"/>
      <c r="AH1132" s="239"/>
      <c r="AI1132" s="238"/>
      <c r="AJ1132" s="238"/>
      <c r="AK1132" s="234"/>
      <c r="AL1132" s="234"/>
      <c r="AM1132" s="234"/>
      <c r="AN1132" s="234"/>
      <c r="AO1132" s="234"/>
    </row>
    <row r="1133" ht="15.75" customHeight="1">
      <c r="A1133" s="91"/>
      <c r="B1133" s="91"/>
      <c r="C1133" s="220"/>
      <c r="D1133" s="91"/>
      <c r="E1133" s="221"/>
      <c r="F1133" s="91"/>
      <c r="G1133" s="91"/>
      <c r="H1133" s="242"/>
      <c r="I1133" s="91"/>
      <c r="J1133" s="234"/>
      <c r="K1133" s="243"/>
      <c r="L1133" s="243"/>
      <c r="M1133" s="234"/>
      <c r="N1133" s="235"/>
      <c r="O1133" s="236"/>
      <c r="P1133" s="236"/>
      <c r="Q1133" s="236"/>
      <c r="R1133" s="236"/>
      <c r="S1133" s="236"/>
      <c r="T1133" s="236"/>
      <c r="U1133" s="236"/>
      <c r="V1133" s="236"/>
      <c r="W1133" s="236"/>
      <c r="X1133" s="244"/>
      <c r="Y1133" s="244"/>
      <c r="Z1133" s="237"/>
      <c r="AA1133" s="244"/>
      <c r="AB1133" s="244"/>
      <c r="AC1133" s="244"/>
      <c r="AD1133" s="244"/>
      <c r="AE1133" s="234"/>
      <c r="AF1133" s="234"/>
      <c r="AG1133" s="238"/>
      <c r="AH1133" s="239"/>
      <c r="AI1133" s="238"/>
      <c r="AJ1133" s="238"/>
      <c r="AK1133" s="234"/>
      <c r="AL1133" s="234"/>
      <c r="AM1133" s="234"/>
      <c r="AN1133" s="234"/>
      <c r="AO1133" s="234"/>
    </row>
    <row r="1134" ht="15.75" customHeight="1">
      <c r="A1134" s="91"/>
      <c r="B1134" s="91"/>
      <c r="C1134" s="220"/>
      <c r="D1134" s="91"/>
      <c r="E1134" s="221"/>
      <c r="F1134" s="91"/>
      <c r="G1134" s="91"/>
      <c r="H1134" s="242"/>
      <c r="I1134" s="91"/>
      <c r="J1134" s="234"/>
      <c r="K1134" s="243"/>
      <c r="L1134" s="243"/>
      <c r="M1134" s="234"/>
      <c r="N1134" s="235"/>
      <c r="O1134" s="236"/>
      <c r="P1134" s="236"/>
      <c r="Q1134" s="236"/>
      <c r="R1134" s="236"/>
      <c r="S1134" s="236"/>
      <c r="T1134" s="236"/>
      <c r="U1134" s="236"/>
      <c r="V1134" s="236"/>
      <c r="W1134" s="236"/>
      <c r="X1134" s="244"/>
      <c r="Y1134" s="244"/>
      <c r="Z1134" s="237"/>
      <c r="AA1134" s="244"/>
      <c r="AB1134" s="244"/>
      <c r="AC1134" s="244"/>
      <c r="AD1134" s="244"/>
      <c r="AE1134" s="234"/>
      <c r="AF1134" s="234"/>
      <c r="AG1134" s="238"/>
      <c r="AH1134" s="239"/>
      <c r="AI1134" s="238"/>
      <c r="AJ1134" s="238"/>
      <c r="AK1134" s="234"/>
      <c r="AL1134" s="234"/>
      <c r="AM1134" s="234"/>
      <c r="AN1134" s="234"/>
      <c r="AO1134" s="234"/>
    </row>
    <row r="1135" ht="15.75" customHeight="1">
      <c r="A1135" s="91"/>
      <c r="B1135" s="91"/>
      <c r="C1135" s="220"/>
      <c r="D1135" s="91"/>
      <c r="E1135" s="221"/>
      <c r="F1135" s="91"/>
      <c r="G1135" s="91"/>
      <c r="H1135" s="242"/>
      <c r="I1135" s="91"/>
      <c r="J1135" s="234"/>
      <c r="K1135" s="243"/>
      <c r="L1135" s="243"/>
      <c r="M1135" s="234"/>
      <c r="N1135" s="235"/>
      <c r="O1135" s="236"/>
      <c r="P1135" s="236"/>
      <c r="Q1135" s="236"/>
      <c r="R1135" s="236"/>
      <c r="S1135" s="236"/>
      <c r="T1135" s="236"/>
      <c r="U1135" s="236"/>
      <c r="V1135" s="236"/>
      <c r="W1135" s="236"/>
      <c r="X1135" s="244"/>
      <c r="Y1135" s="244"/>
      <c r="Z1135" s="237"/>
      <c r="AA1135" s="244"/>
      <c r="AB1135" s="244"/>
      <c r="AC1135" s="244"/>
      <c r="AD1135" s="244"/>
      <c r="AE1135" s="234"/>
      <c r="AF1135" s="234"/>
      <c r="AG1135" s="238"/>
      <c r="AH1135" s="239"/>
      <c r="AI1135" s="238"/>
      <c r="AJ1135" s="238"/>
      <c r="AK1135" s="234"/>
      <c r="AL1135" s="234"/>
      <c r="AM1135" s="234"/>
      <c r="AN1135" s="234"/>
      <c r="AO1135" s="234"/>
    </row>
    <row r="1136" ht="15.75" customHeight="1">
      <c r="A1136" s="91"/>
      <c r="B1136" s="91"/>
      <c r="C1136" s="220"/>
      <c r="D1136" s="91"/>
      <c r="E1136" s="221"/>
      <c r="F1136" s="91"/>
      <c r="G1136" s="91"/>
      <c r="H1136" s="242"/>
      <c r="I1136" s="91"/>
      <c r="J1136" s="234"/>
      <c r="K1136" s="243"/>
      <c r="L1136" s="243"/>
      <c r="M1136" s="234"/>
      <c r="N1136" s="235"/>
      <c r="O1136" s="236"/>
      <c r="P1136" s="236"/>
      <c r="Q1136" s="236"/>
      <c r="R1136" s="236"/>
      <c r="S1136" s="236"/>
      <c r="T1136" s="236"/>
      <c r="U1136" s="236"/>
      <c r="V1136" s="236"/>
      <c r="W1136" s="236"/>
      <c r="X1136" s="244"/>
      <c r="Y1136" s="244"/>
      <c r="Z1136" s="237"/>
      <c r="AA1136" s="244"/>
      <c r="AB1136" s="244"/>
      <c r="AC1136" s="244"/>
      <c r="AD1136" s="244"/>
      <c r="AE1136" s="234"/>
      <c r="AF1136" s="234"/>
      <c r="AG1136" s="238"/>
      <c r="AH1136" s="239"/>
      <c r="AI1136" s="238"/>
      <c r="AJ1136" s="238"/>
      <c r="AK1136" s="234"/>
      <c r="AL1136" s="234"/>
      <c r="AM1136" s="234"/>
      <c r="AN1136" s="234"/>
      <c r="AO1136" s="234"/>
    </row>
    <row r="1137" ht="15.75" customHeight="1">
      <c r="A1137" s="91"/>
      <c r="B1137" s="91"/>
      <c r="C1137" s="220"/>
      <c r="D1137" s="91"/>
      <c r="E1137" s="221"/>
      <c r="F1137" s="91"/>
      <c r="G1137" s="91"/>
      <c r="H1137" s="242"/>
      <c r="I1137" s="91"/>
      <c r="J1137" s="234"/>
      <c r="K1137" s="243"/>
      <c r="L1137" s="243"/>
      <c r="M1137" s="234"/>
      <c r="N1137" s="235"/>
      <c r="O1137" s="236"/>
      <c r="P1137" s="236"/>
      <c r="Q1137" s="236"/>
      <c r="R1137" s="236"/>
      <c r="S1137" s="236"/>
      <c r="T1137" s="236"/>
      <c r="U1137" s="236"/>
      <c r="V1137" s="236"/>
      <c r="W1137" s="236"/>
      <c r="X1137" s="244"/>
      <c r="Y1137" s="244"/>
      <c r="Z1137" s="237"/>
      <c r="AA1137" s="244"/>
      <c r="AB1137" s="244"/>
      <c r="AC1137" s="244"/>
      <c r="AD1137" s="244"/>
      <c r="AE1137" s="234"/>
      <c r="AF1137" s="234"/>
      <c r="AG1137" s="238"/>
      <c r="AH1137" s="239"/>
      <c r="AI1137" s="238"/>
      <c r="AJ1137" s="238"/>
      <c r="AK1137" s="234"/>
      <c r="AL1137" s="234"/>
      <c r="AM1137" s="234"/>
      <c r="AN1137" s="234"/>
      <c r="AO1137" s="234"/>
    </row>
    <row r="1138" ht="15.75" customHeight="1">
      <c r="A1138" s="91"/>
      <c r="B1138" s="91"/>
      <c r="C1138" s="220"/>
      <c r="D1138" s="91"/>
      <c r="E1138" s="221"/>
      <c r="F1138" s="91"/>
      <c r="G1138" s="91"/>
      <c r="H1138" s="242"/>
      <c r="I1138" s="91"/>
      <c r="J1138" s="234"/>
      <c r="K1138" s="243"/>
      <c r="L1138" s="243"/>
      <c r="M1138" s="234"/>
      <c r="N1138" s="235"/>
      <c r="O1138" s="236"/>
      <c r="P1138" s="236"/>
      <c r="Q1138" s="236"/>
      <c r="R1138" s="236"/>
      <c r="S1138" s="236"/>
      <c r="T1138" s="236"/>
      <c r="U1138" s="236"/>
      <c r="V1138" s="236"/>
      <c r="W1138" s="236"/>
      <c r="X1138" s="244"/>
      <c r="Y1138" s="244"/>
      <c r="Z1138" s="237"/>
      <c r="AA1138" s="244"/>
      <c r="AB1138" s="244"/>
      <c r="AC1138" s="244"/>
      <c r="AD1138" s="244"/>
      <c r="AE1138" s="234"/>
      <c r="AF1138" s="234"/>
      <c r="AG1138" s="238"/>
      <c r="AH1138" s="239"/>
      <c r="AI1138" s="238"/>
      <c r="AJ1138" s="238"/>
      <c r="AK1138" s="234"/>
      <c r="AL1138" s="234"/>
      <c r="AM1138" s="234"/>
      <c r="AN1138" s="234"/>
      <c r="AO1138" s="234"/>
    </row>
    <row r="1139" ht="15.75" customHeight="1">
      <c r="A1139" s="91"/>
      <c r="B1139" s="91"/>
      <c r="C1139" s="220"/>
      <c r="D1139" s="91"/>
      <c r="E1139" s="221"/>
      <c r="F1139" s="91"/>
      <c r="G1139" s="91"/>
      <c r="H1139" s="242"/>
      <c r="I1139" s="91"/>
      <c r="J1139" s="234"/>
      <c r="K1139" s="243"/>
      <c r="L1139" s="243"/>
      <c r="M1139" s="234"/>
      <c r="N1139" s="235"/>
      <c r="O1139" s="236"/>
      <c r="P1139" s="236"/>
      <c r="Q1139" s="236"/>
      <c r="R1139" s="236"/>
      <c r="S1139" s="236"/>
      <c r="T1139" s="236"/>
      <c r="U1139" s="236"/>
      <c r="V1139" s="236"/>
      <c r="W1139" s="236"/>
      <c r="X1139" s="244"/>
      <c r="Y1139" s="244"/>
      <c r="Z1139" s="237"/>
      <c r="AA1139" s="244"/>
      <c r="AB1139" s="244"/>
      <c r="AC1139" s="244"/>
      <c r="AD1139" s="244"/>
      <c r="AE1139" s="234"/>
      <c r="AF1139" s="234"/>
      <c r="AG1139" s="238"/>
      <c r="AH1139" s="239"/>
      <c r="AI1139" s="238"/>
      <c r="AJ1139" s="238"/>
      <c r="AK1139" s="234"/>
      <c r="AL1139" s="234"/>
      <c r="AM1139" s="234"/>
      <c r="AN1139" s="234"/>
      <c r="AO1139" s="234"/>
    </row>
    <row r="1140" ht="15.75" customHeight="1">
      <c r="A1140" s="91"/>
      <c r="B1140" s="91"/>
      <c r="C1140" s="220"/>
      <c r="D1140" s="91"/>
      <c r="E1140" s="221"/>
      <c r="F1140" s="91"/>
      <c r="G1140" s="91"/>
      <c r="H1140" s="242"/>
      <c r="I1140" s="91"/>
      <c r="J1140" s="234"/>
      <c r="K1140" s="243"/>
      <c r="L1140" s="243"/>
      <c r="M1140" s="234"/>
      <c r="N1140" s="235"/>
      <c r="O1140" s="236"/>
      <c r="P1140" s="236"/>
      <c r="Q1140" s="236"/>
      <c r="R1140" s="236"/>
      <c r="S1140" s="236"/>
      <c r="T1140" s="236"/>
      <c r="U1140" s="236"/>
      <c r="V1140" s="236"/>
      <c r="W1140" s="236"/>
      <c r="X1140" s="244"/>
      <c r="Y1140" s="244"/>
      <c r="Z1140" s="237"/>
      <c r="AA1140" s="244"/>
      <c r="AB1140" s="244"/>
      <c r="AC1140" s="244"/>
      <c r="AD1140" s="244"/>
      <c r="AE1140" s="234"/>
      <c r="AF1140" s="234"/>
      <c r="AG1140" s="238"/>
      <c r="AH1140" s="239"/>
      <c r="AI1140" s="238"/>
      <c r="AJ1140" s="238"/>
      <c r="AK1140" s="234"/>
      <c r="AL1140" s="234"/>
      <c r="AM1140" s="234"/>
      <c r="AN1140" s="234"/>
      <c r="AO1140" s="234"/>
    </row>
    <row r="1141" ht="15.75" customHeight="1">
      <c r="A1141" s="91"/>
      <c r="B1141" s="91"/>
      <c r="C1141" s="220"/>
      <c r="D1141" s="91"/>
      <c r="E1141" s="221"/>
      <c r="F1141" s="91"/>
      <c r="G1141" s="91"/>
      <c r="H1141" s="242"/>
      <c r="I1141" s="91"/>
      <c r="J1141" s="234"/>
      <c r="K1141" s="243"/>
      <c r="L1141" s="243"/>
      <c r="M1141" s="234"/>
      <c r="N1141" s="235"/>
      <c r="O1141" s="236"/>
      <c r="P1141" s="236"/>
      <c r="Q1141" s="236"/>
      <c r="R1141" s="236"/>
      <c r="S1141" s="236"/>
      <c r="T1141" s="236"/>
      <c r="U1141" s="236"/>
      <c r="V1141" s="236"/>
      <c r="W1141" s="236"/>
      <c r="X1141" s="244"/>
      <c r="Y1141" s="244"/>
      <c r="Z1141" s="237"/>
      <c r="AA1141" s="244"/>
      <c r="AB1141" s="244"/>
      <c r="AC1141" s="244"/>
      <c r="AD1141" s="244"/>
      <c r="AE1141" s="234"/>
      <c r="AF1141" s="234"/>
      <c r="AG1141" s="238"/>
      <c r="AH1141" s="239"/>
      <c r="AI1141" s="238"/>
      <c r="AJ1141" s="238"/>
      <c r="AK1141" s="234"/>
      <c r="AL1141" s="234"/>
      <c r="AM1141" s="234"/>
      <c r="AN1141" s="234"/>
      <c r="AO1141" s="234"/>
    </row>
    <row r="1142" ht="15.75" customHeight="1">
      <c r="A1142" s="91"/>
      <c r="B1142" s="91"/>
      <c r="C1142" s="220"/>
      <c r="D1142" s="91"/>
      <c r="E1142" s="221"/>
      <c r="F1142" s="91"/>
      <c r="G1142" s="91"/>
      <c r="H1142" s="242"/>
      <c r="I1142" s="91"/>
      <c r="J1142" s="234"/>
      <c r="K1142" s="243"/>
      <c r="L1142" s="243"/>
      <c r="M1142" s="234"/>
      <c r="N1142" s="235"/>
      <c r="O1142" s="236"/>
      <c r="P1142" s="236"/>
      <c r="Q1142" s="236"/>
      <c r="R1142" s="236"/>
      <c r="S1142" s="236"/>
      <c r="T1142" s="236"/>
      <c r="U1142" s="236"/>
      <c r="V1142" s="236"/>
      <c r="W1142" s="236"/>
      <c r="X1142" s="244"/>
      <c r="Y1142" s="244"/>
      <c r="Z1142" s="237"/>
      <c r="AA1142" s="244"/>
      <c r="AB1142" s="244"/>
      <c r="AC1142" s="244"/>
      <c r="AD1142" s="244"/>
      <c r="AE1142" s="234"/>
      <c r="AF1142" s="234"/>
      <c r="AG1142" s="238"/>
      <c r="AH1142" s="239"/>
      <c r="AI1142" s="238"/>
      <c r="AJ1142" s="238"/>
      <c r="AK1142" s="234"/>
      <c r="AL1142" s="234"/>
      <c r="AM1142" s="234"/>
      <c r="AN1142" s="234"/>
      <c r="AO1142" s="234"/>
    </row>
    <row r="1143" ht="15.75" customHeight="1">
      <c r="A1143" s="91"/>
      <c r="B1143" s="91"/>
      <c r="C1143" s="220"/>
      <c r="D1143" s="91"/>
      <c r="E1143" s="221"/>
      <c r="F1143" s="91"/>
      <c r="G1143" s="91"/>
      <c r="H1143" s="242"/>
      <c r="I1143" s="91"/>
      <c r="J1143" s="234"/>
      <c r="K1143" s="243"/>
      <c r="L1143" s="243"/>
      <c r="M1143" s="234"/>
      <c r="N1143" s="235"/>
      <c r="O1143" s="236"/>
      <c r="P1143" s="236"/>
      <c r="Q1143" s="236"/>
      <c r="R1143" s="236"/>
      <c r="S1143" s="236"/>
      <c r="T1143" s="236"/>
      <c r="U1143" s="236"/>
      <c r="V1143" s="236"/>
      <c r="W1143" s="236"/>
      <c r="X1143" s="244"/>
      <c r="Y1143" s="244"/>
      <c r="Z1143" s="237"/>
      <c r="AA1143" s="244"/>
      <c r="AB1143" s="244"/>
      <c r="AC1143" s="244"/>
      <c r="AD1143" s="244"/>
      <c r="AE1143" s="234"/>
      <c r="AF1143" s="234"/>
      <c r="AG1143" s="238"/>
      <c r="AH1143" s="239"/>
      <c r="AI1143" s="238"/>
      <c r="AJ1143" s="238"/>
      <c r="AK1143" s="234"/>
      <c r="AL1143" s="234"/>
      <c r="AM1143" s="234"/>
      <c r="AN1143" s="234"/>
      <c r="AO1143" s="234"/>
    </row>
    <row r="1144" ht="15.75" customHeight="1">
      <c r="A1144" s="91"/>
      <c r="B1144" s="91"/>
      <c r="C1144" s="220"/>
      <c r="D1144" s="91"/>
      <c r="E1144" s="221"/>
      <c r="F1144" s="91"/>
      <c r="G1144" s="91"/>
      <c r="H1144" s="242"/>
      <c r="I1144" s="91"/>
      <c r="J1144" s="234"/>
      <c r="K1144" s="243"/>
      <c r="L1144" s="243"/>
      <c r="M1144" s="234"/>
      <c r="N1144" s="235"/>
      <c r="O1144" s="236"/>
      <c r="P1144" s="236"/>
      <c r="Q1144" s="236"/>
      <c r="R1144" s="236"/>
      <c r="S1144" s="236"/>
      <c r="T1144" s="236"/>
      <c r="U1144" s="236"/>
      <c r="V1144" s="236"/>
      <c r="W1144" s="236"/>
      <c r="X1144" s="244"/>
      <c r="Y1144" s="244"/>
      <c r="Z1144" s="237"/>
      <c r="AA1144" s="244"/>
      <c r="AB1144" s="244"/>
      <c r="AC1144" s="244"/>
      <c r="AD1144" s="244"/>
      <c r="AE1144" s="234"/>
      <c r="AF1144" s="234"/>
      <c r="AG1144" s="238"/>
      <c r="AH1144" s="239"/>
      <c r="AI1144" s="238"/>
      <c r="AJ1144" s="238"/>
      <c r="AK1144" s="234"/>
      <c r="AL1144" s="234"/>
      <c r="AM1144" s="234"/>
      <c r="AN1144" s="234"/>
      <c r="AO1144" s="234"/>
    </row>
    <row r="1145" ht="15.75" customHeight="1">
      <c r="A1145" s="91"/>
      <c r="B1145" s="91"/>
      <c r="C1145" s="220"/>
      <c r="D1145" s="91"/>
      <c r="E1145" s="221"/>
      <c r="F1145" s="91"/>
      <c r="G1145" s="91"/>
      <c r="H1145" s="242"/>
      <c r="I1145" s="91"/>
      <c r="J1145" s="234"/>
      <c r="K1145" s="243"/>
      <c r="L1145" s="243"/>
      <c r="M1145" s="234"/>
      <c r="N1145" s="235"/>
      <c r="O1145" s="236"/>
      <c r="P1145" s="236"/>
      <c r="Q1145" s="236"/>
      <c r="R1145" s="236"/>
      <c r="S1145" s="236"/>
      <c r="T1145" s="236"/>
      <c r="U1145" s="236"/>
      <c r="V1145" s="236"/>
      <c r="W1145" s="236"/>
      <c r="X1145" s="244"/>
      <c r="Y1145" s="244"/>
      <c r="Z1145" s="237"/>
      <c r="AA1145" s="244"/>
      <c r="AB1145" s="244"/>
      <c r="AC1145" s="244"/>
      <c r="AD1145" s="244"/>
      <c r="AE1145" s="234"/>
      <c r="AF1145" s="234"/>
      <c r="AG1145" s="238"/>
      <c r="AH1145" s="239"/>
      <c r="AI1145" s="238"/>
      <c r="AJ1145" s="238"/>
      <c r="AK1145" s="234"/>
      <c r="AL1145" s="234"/>
      <c r="AM1145" s="234"/>
      <c r="AN1145" s="234"/>
      <c r="AO1145" s="234"/>
    </row>
    <row r="1146" ht="15.75" customHeight="1">
      <c r="A1146" s="91"/>
      <c r="B1146" s="91"/>
      <c r="C1146" s="220"/>
      <c r="D1146" s="91"/>
      <c r="E1146" s="221"/>
      <c r="F1146" s="91"/>
      <c r="G1146" s="91"/>
      <c r="H1146" s="242"/>
      <c r="I1146" s="91"/>
      <c r="J1146" s="234"/>
      <c r="K1146" s="243"/>
      <c r="L1146" s="243"/>
      <c r="M1146" s="234"/>
      <c r="N1146" s="235"/>
      <c r="O1146" s="236"/>
      <c r="P1146" s="236"/>
      <c r="Q1146" s="236"/>
      <c r="R1146" s="236"/>
      <c r="S1146" s="236"/>
      <c r="T1146" s="236"/>
      <c r="U1146" s="236"/>
      <c r="V1146" s="236"/>
      <c r="W1146" s="236"/>
      <c r="X1146" s="244"/>
      <c r="Y1146" s="244"/>
      <c r="Z1146" s="237"/>
      <c r="AA1146" s="244"/>
      <c r="AB1146" s="244"/>
      <c r="AC1146" s="244"/>
      <c r="AD1146" s="244"/>
      <c r="AE1146" s="234"/>
      <c r="AF1146" s="234"/>
      <c r="AG1146" s="238"/>
      <c r="AH1146" s="239"/>
      <c r="AI1146" s="238"/>
      <c r="AJ1146" s="238"/>
      <c r="AK1146" s="234"/>
      <c r="AL1146" s="234"/>
      <c r="AM1146" s="234"/>
      <c r="AN1146" s="234"/>
      <c r="AO1146" s="234"/>
    </row>
    <row r="1147" ht="15.75" customHeight="1">
      <c r="A1147" s="91"/>
      <c r="B1147" s="91"/>
      <c r="C1147" s="220"/>
      <c r="D1147" s="91"/>
      <c r="E1147" s="221"/>
      <c r="F1147" s="91"/>
      <c r="G1147" s="91"/>
      <c r="H1147" s="242"/>
      <c r="I1147" s="91"/>
      <c r="J1147" s="234"/>
      <c r="K1147" s="243"/>
      <c r="L1147" s="243"/>
      <c r="M1147" s="234"/>
      <c r="N1147" s="235"/>
      <c r="O1147" s="236"/>
      <c r="P1147" s="236"/>
      <c r="Q1147" s="236"/>
      <c r="R1147" s="236"/>
      <c r="S1147" s="236"/>
      <c r="T1147" s="236"/>
      <c r="U1147" s="236"/>
      <c r="V1147" s="236"/>
      <c r="W1147" s="236"/>
      <c r="X1147" s="244"/>
      <c r="Y1147" s="244"/>
      <c r="Z1147" s="237"/>
      <c r="AA1147" s="244"/>
      <c r="AB1147" s="244"/>
      <c r="AC1147" s="244"/>
      <c r="AD1147" s="244"/>
      <c r="AE1147" s="234"/>
      <c r="AF1147" s="234"/>
      <c r="AG1147" s="238"/>
      <c r="AH1147" s="239"/>
      <c r="AI1147" s="238"/>
      <c r="AJ1147" s="238"/>
      <c r="AK1147" s="234"/>
      <c r="AL1147" s="234"/>
      <c r="AM1147" s="234"/>
      <c r="AN1147" s="234"/>
      <c r="AO1147" s="234"/>
    </row>
    <row r="1148" ht="15.75" customHeight="1">
      <c r="A1148" s="91"/>
      <c r="B1148" s="91"/>
      <c r="C1148" s="220"/>
      <c r="D1148" s="91"/>
      <c r="E1148" s="221"/>
      <c r="F1148" s="91"/>
      <c r="G1148" s="91"/>
      <c r="H1148" s="242"/>
      <c r="I1148" s="91"/>
      <c r="J1148" s="234"/>
      <c r="K1148" s="243"/>
      <c r="L1148" s="243"/>
      <c r="M1148" s="234"/>
      <c r="N1148" s="235"/>
      <c r="O1148" s="236"/>
      <c r="P1148" s="236"/>
      <c r="Q1148" s="236"/>
      <c r="R1148" s="236"/>
      <c r="S1148" s="236"/>
      <c r="T1148" s="236"/>
      <c r="U1148" s="236"/>
      <c r="V1148" s="236"/>
      <c r="W1148" s="236"/>
      <c r="X1148" s="244"/>
      <c r="Y1148" s="244"/>
      <c r="Z1148" s="237"/>
      <c r="AA1148" s="244"/>
      <c r="AB1148" s="244"/>
      <c r="AC1148" s="244"/>
      <c r="AD1148" s="244"/>
      <c r="AE1148" s="234"/>
      <c r="AF1148" s="234"/>
      <c r="AG1148" s="238"/>
      <c r="AH1148" s="239"/>
      <c r="AI1148" s="238"/>
      <c r="AJ1148" s="238"/>
      <c r="AK1148" s="234"/>
      <c r="AL1148" s="234"/>
      <c r="AM1148" s="234"/>
      <c r="AN1148" s="234"/>
      <c r="AO1148" s="234"/>
    </row>
    <row r="1149" ht="15.75" customHeight="1">
      <c r="A1149" s="91"/>
      <c r="B1149" s="91"/>
      <c r="C1149" s="220"/>
      <c r="D1149" s="91"/>
      <c r="E1149" s="221"/>
      <c r="F1149" s="91"/>
      <c r="G1149" s="91"/>
      <c r="H1149" s="242"/>
      <c r="I1149" s="91"/>
      <c r="J1149" s="234"/>
      <c r="K1149" s="243"/>
      <c r="L1149" s="243"/>
      <c r="M1149" s="234"/>
      <c r="N1149" s="235"/>
      <c r="O1149" s="236"/>
      <c r="P1149" s="236"/>
      <c r="Q1149" s="236"/>
      <c r="R1149" s="236"/>
      <c r="S1149" s="236"/>
      <c r="T1149" s="236"/>
      <c r="U1149" s="236"/>
      <c r="V1149" s="236"/>
      <c r="W1149" s="236"/>
      <c r="X1149" s="244"/>
      <c r="Y1149" s="244"/>
      <c r="Z1149" s="237"/>
      <c r="AA1149" s="244"/>
      <c r="AB1149" s="244"/>
      <c r="AC1149" s="244"/>
      <c r="AD1149" s="244"/>
      <c r="AE1149" s="234"/>
      <c r="AF1149" s="234"/>
      <c r="AG1149" s="238"/>
      <c r="AH1149" s="239"/>
      <c r="AI1149" s="238"/>
      <c r="AJ1149" s="238"/>
      <c r="AK1149" s="234"/>
      <c r="AL1149" s="234"/>
      <c r="AM1149" s="234"/>
      <c r="AN1149" s="234"/>
      <c r="AO1149" s="234"/>
    </row>
    <row r="1150" ht="15.75" customHeight="1">
      <c r="A1150" s="91"/>
      <c r="B1150" s="91"/>
      <c r="C1150" s="220"/>
      <c r="D1150" s="91"/>
      <c r="E1150" s="221"/>
      <c r="F1150" s="91"/>
      <c r="G1150" s="91"/>
      <c r="H1150" s="242"/>
      <c r="I1150" s="91"/>
      <c r="J1150" s="234"/>
      <c r="K1150" s="243"/>
      <c r="L1150" s="243"/>
      <c r="M1150" s="234"/>
      <c r="N1150" s="235"/>
      <c r="O1150" s="236"/>
      <c r="P1150" s="236"/>
      <c r="Q1150" s="236"/>
      <c r="R1150" s="236"/>
      <c r="S1150" s="236"/>
      <c r="T1150" s="236"/>
      <c r="U1150" s="236"/>
      <c r="V1150" s="236"/>
      <c r="W1150" s="236"/>
      <c r="X1150" s="244"/>
      <c r="Y1150" s="244"/>
      <c r="Z1150" s="237"/>
      <c r="AA1150" s="244"/>
      <c r="AB1150" s="244"/>
      <c r="AC1150" s="244"/>
      <c r="AD1150" s="244"/>
      <c r="AE1150" s="234"/>
      <c r="AF1150" s="234"/>
      <c r="AG1150" s="238"/>
      <c r="AH1150" s="239"/>
      <c r="AI1150" s="238"/>
      <c r="AJ1150" s="238"/>
      <c r="AK1150" s="234"/>
      <c r="AL1150" s="234"/>
      <c r="AM1150" s="234"/>
      <c r="AN1150" s="234"/>
      <c r="AO1150" s="234"/>
    </row>
    <row r="1151" ht="15.75" customHeight="1">
      <c r="A1151" s="91"/>
      <c r="B1151" s="91"/>
      <c r="C1151" s="220"/>
      <c r="D1151" s="91"/>
      <c r="E1151" s="221"/>
      <c r="F1151" s="91"/>
      <c r="G1151" s="91"/>
      <c r="H1151" s="242"/>
      <c r="I1151" s="91"/>
      <c r="J1151" s="234"/>
      <c r="K1151" s="243"/>
      <c r="L1151" s="243"/>
      <c r="M1151" s="234"/>
      <c r="N1151" s="235"/>
      <c r="O1151" s="236"/>
      <c r="P1151" s="236"/>
      <c r="Q1151" s="236"/>
      <c r="R1151" s="236"/>
      <c r="S1151" s="236"/>
      <c r="T1151" s="236"/>
      <c r="U1151" s="236"/>
      <c r="V1151" s="236"/>
      <c r="W1151" s="236"/>
      <c r="X1151" s="244"/>
      <c r="Y1151" s="244"/>
      <c r="Z1151" s="237"/>
      <c r="AA1151" s="244"/>
      <c r="AB1151" s="244"/>
      <c r="AC1151" s="244"/>
      <c r="AD1151" s="244"/>
      <c r="AE1151" s="234"/>
      <c r="AF1151" s="234"/>
      <c r="AG1151" s="238"/>
      <c r="AH1151" s="239"/>
      <c r="AI1151" s="238"/>
      <c r="AJ1151" s="238"/>
      <c r="AK1151" s="234"/>
      <c r="AL1151" s="234"/>
      <c r="AM1151" s="234"/>
      <c r="AN1151" s="234"/>
      <c r="AO1151" s="234"/>
    </row>
    <row r="1152" ht="15.75" customHeight="1">
      <c r="A1152" s="91"/>
      <c r="B1152" s="91"/>
      <c r="C1152" s="220"/>
      <c r="D1152" s="91"/>
      <c r="E1152" s="221"/>
      <c r="F1152" s="91"/>
      <c r="G1152" s="91"/>
      <c r="H1152" s="242"/>
      <c r="I1152" s="91"/>
      <c r="J1152" s="234"/>
      <c r="K1152" s="243"/>
      <c r="L1152" s="243"/>
      <c r="M1152" s="234"/>
      <c r="N1152" s="235"/>
      <c r="O1152" s="236"/>
      <c r="P1152" s="236"/>
      <c r="Q1152" s="236"/>
      <c r="R1152" s="236"/>
      <c r="S1152" s="236"/>
      <c r="T1152" s="236"/>
      <c r="U1152" s="236"/>
      <c r="V1152" s="236"/>
      <c r="W1152" s="236"/>
      <c r="X1152" s="244"/>
      <c r="Y1152" s="244"/>
      <c r="Z1152" s="237"/>
      <c r="AA1152" s="244"/>
      <c r="AB1152" s="244"/>
      <c r="AC1152" s="244"/>
      <c r="AD1152" s="244"/>
      <c r="AE1152" s="234"/>
      <c r="AF1152" s="234"/>
      <c r="AG1152" s="238"/>
      <c r="AH1152" s="239"/>
      <c r="AI1152" s="238"/>
      <c r="AJ1152" s="238"/>
      <c r="AK1152" s="234"/>
      <c r="AL1152" s="234"/>
      <c r="AM1152" s="234"/>
      <c r="AN1152" s="234"/>
      <c r="AO1152" s="234"/>
    </row>
    <row r="1153" ht="15.75" customHeight="1">
      <c r="A1153" s="91"/>
      <c r="B1153" s="91"/>
      <c r="C1153" s="220"/>
      <c r="D1153" s="91"/>
      <c r="E1153" s="221"/>
      <c r="F1153" s="91"/>
      <c r="G1153" s="91"/>
      <c r="H1153" s="242"/>
      <c r="I1153" s="91"/>
      <c r="J1153" s="234"/>
      <c r="K1153" s="243"/>
      <c r="L1153" s="243"/>
      <c r="M1153" s="234"/>
      <c r="N1153" s="235"/>
      <c r="O1153" s="236"/>
      <c r="P1153" s="236"/>
      <c r="Q1153" s="236"/>
      <c r="R1153" s="236"/>
      <c r="S1153" s="236"/>
      <c r="T1153" s="236"/>
      <c r="U1153" s="236"/>
      <c r="V1153" s="236"/>
      <c r="W1153" s="236"/>
      <c r="X1153" s="244"/>
      <c r="Y1153" s="244"/>
      <c r="Z1153" s="237"/>
      <c r="AA1153" s="244"/>
      <c r="AB1153" s="244"/>
      <c r="AC1153" s="244"/>
      <c r="AD1153" s="244"/>
      <c r="AE1153" s="234"/>
      <c r="AF1153" s="234"/>
      <c r="AG1153" s="238"/>
      <c r="AH1153" s="239"/>
      <c r="AI1153" s="238"/>
      <c r="AJ1153" s="238"/>
      <c r="AK1153" s="234"/>
      <c r="AL1153" s="234"/>
      <c r="AM1153" s="234"/>
      <c r="AN1153" s="234"/>
      <c r="AO1153" s="234"/>
    </row>
    <row r="1154" ht="15.75" customHeight="1">
      <c r="A1154" s="91"/>
      <c r="B1154" s="91"/>
      <c r="C1154" s="220"/>
      <c r="D1154" s="91"/>
      <c r="E1154" s="221"/>
      <c r="F1154" s="91"/>
      <c r="G1154" s="91"/>
      <c r="H1154" s="242"/>
      <c r="I1154" s="91"/>
      <c r="J1154" s="234"/>
      <c r="K1154" s="243"/>
      <c r="L1154" s="243"/>
      <c r="M1154" s="234"/>
      <c r="N1154" s="235"/>
      <c r="O1154" s="236"/>
      <c r="P1154" s="236"/>
      <c r="Q1154" s="236"/>
      <c r="R1154" s="236"/>
      <c r="S1154" s="236"/>
      <c r="T1154" s="236"/>
      <c r="U1154" s="236"/>
      <c r="V1154" s="236"/>
      <c r="W1154" s="236"/>
      <c r="X1154" s="244"/>
      <c r="Y1154" s="244"/>
      <c r="Z1154" s="237"/>
      <c r="AA1154" s="244"/>
      <c r="AB1154" s="244"/>
      <c r="AC1154" s="244"/>
      <c r="AD1154" s="244"/>
      <c r="AE1154" s="234"/>
      <c r="AF1154" s="234"/>
      <c r="AG1154" s="238"/>
      <c r="AH1154" s="239"/>
      <c r="AI1154" s="238"/>
      <c r="AJ1154" s="238"/>
      <c r="AK1154" s="234"/>
      <c r="AL1154" s="234"/>
      <c r="AM1154" s="234"/>
      <c r="AN1154" s="234"/>
      <c r="AO1154" s="234"/>
    </row>
    <row r="1155" ht="15.75" customHeight="1">
      <c r="A1155" s="91"/>
      <c r="B1155" s="91"/>
      <c r="C1155" s="220"/>
      <c r="D1155" s="91"/>
      <c r="E1155" s="221"/>
      <c r="F1155" s="91"/>
      <c r="G1155" s="91"/>
      <c r="H1155" s="242"/>
      <c r="I1155" s="91"/>
      <c r="J1155" s="234"/>
      <c r="K1155" s="243"/>
      <c r="L1155" s="243"/>
      <c r="M1155" s="234"/>
      <c r="N1155" s="235"/>
      <c r="O1155" s="236"/>
      <c r="P1155" s="236"/>
      <c r="Q1155" s="236"/>
      <c r="R1155" s="236"/>
      <c r="S1155" s="236"/>
      <c r="T1155" s="236"/>
      <c r="U1155" s="236"/>
      <c r="V1155" s="236"/>
      <c r="W1155" s="236"/>
      <c r="X1155" s="244"/>
      <c r="Y1155" s="244"/>
      <c r="Z1155" s="237"/>
      <c r="AA1155" s="244"/>
      <c r="AB1155" s="244"/>
      <c r="AC1155" s="244"/>
      <c r="AD1155" s="244"/>
      <c r="AE1155" s="234"/>
      <c r="AF1155" s="234"/>
      <c r="AG1155" s="238"/>
      <c r="AH1155" s="239"/>
      <c r="AI1155" s="238"/>
      <c r="AJ1155" s="238"/>
      <c r="AK1155" s="234"/>
      <c r="AL1155" s="234"/>
      <c r="AM1155" s="234"/>
      <c r="AN1155" s="234"/>
      <c r="AO1155" s="234"/>
    </row>
    <row r="1156" ht="15.75" customHeight="1">
      <c r="A1156" s="91"/>
      <c r="B1156" s="91"/>
      <c r="C1156" s="220"/>
      <c r="D1156" s="91"/>
      <c r="E1156" s="221"/>
      <c r="F1156" s="91"/>
      <c r="G1156" s="91"/>
      <c r="H1156" s="242"/>
      <c r="I1156" s="91"/>
      <c r="J1156" s="234"/>
      <c r="K1156" s="243"/>
      <c r="L1156" s="243"/>
      <c r="M1156" s="234"/>
      <c r="N1156" s="235"/>
      <c r="O1156" s="236"/>
      <c r="P1156" s="236"/>
      <c r="Q1156" s="236"/>
      <c r="R1156" s="236"/>
      <c r="S1156" s="236"/>
      <c r="T1156" s="236"/>
      <c r="U1156" s="236"/>
      <c r="V1156" s="236"/>
      <c r="W1156" s="236"/>
      <c r="X1156" s="244"/>
      <c r="Y1156" s="244"/>
      <c r="Z1156" s="237"/>
      <c r="AA1156" s="244"/>
      <c r="AB1156" s="244"/>
      <c r="AC1156" s="244"/>
      <c r="AD1156" s="244"/>
      <c r="AE1156" s="234"/>
      <c r="AF1156" s="234"/>
      <c r="AG1156" s="238"/>
      <c r="AH1156" s="239"/>
      <c r="AI1156" s="238"/>
      <c r="AJ1156" s="238"/>
      <c r="AK1156" s="234"/>
      <c r="AL1156" s="234"/>
      <c r="AM1156" s="234"/>
      <c r="AN1156" s="234"/>
      <c r="AO1156" s="234"/>
    </row>
    <row r="1157" ht="15.75" customHeight="1">
      <c r="A1157" s="91"/>
      <c r="B1157" s="91"/>
      <c r="C1157" s="220"/>
      <c r="D1157" s="91"/>
      <c r="E1157" s="221"/>
      <c r="F1157" s="91"/>
      <c r="G1157" s="91"/>
      <c r="H1157" s="242"/>
      <c r="I1157" s="91"/>
      <c r="J1157" s="234"/>
      <c r="K1157" s="243"/>
      <c r="L1157" s="243"/>
      <c r="M1157" s="234"/>
      <c r="N1157" s="235"/>
      <c r="O1157" s="236"/>
      <c r="P1157" s="236"/>
      <c r="Q1157" s="236"/>
      <c r="R1157" s="236"/>
      <c r="S1157" s="236"/>
      <c r="T1157" s="236"/>
      <c r="U1157" s="236"/>
      <c r="V1157" s="236"/>
      <c r="W1157" s="236"/>
      <c r="X1157" s="244"/>
      <c r="Y1157" s="244"/>
      <c r="Z1157" s="237"/>
      <c r="AA1157" s="244"/>
      <c r="AB1157" s="244"/>
      <c r="AC1157" s="244"/>
      <c r="AD1157" s="244"/>
      <c r="AE1157" s="234"/>
      <c r="AF1157" s="234"/>
      <c r="AG1157" s="238"/>
      <c r="AH1157" s="239"/>
      <c r="AI1157" s="238"/>
      <c r="AJ1157" s="238"/>
      <c r="AK1157" s="234"/>
      <c r="AL1157" s="234"/>
      <c r="AM1157" s="234"/>
      <c r="AN1157" s="234"/>
      <c r="AO1157" s="234"/>
    </row>
    <row r="1158" ht="15.75" customHeight="1">
      <c r="A1158" s="91"/>
      <c r="B1158" s="91"/>
      <c r="C1158" s="220"/>
      <c r="D1158" s="91"/>
      <c r="E1158" s="221"/>
      <c r="F1158" s="91"/>
      <c r="G1158" s="91"/>
      <c r="H1158" s="242"/>
      <c r="I1158" s="91"/>
      <c r="J1158" s="234"/>
      <c r="K1158" s="243"/>
      <c r="L1158" s="243"/>
      <c r="M1158" s="234"/>
      <c r="N1158" s="235"/>
      <c r="O1158" s="236"/>
      <c r="P1158" s="236"/>
      <c r="Q1158" s="236"/>
      <c r="R1158" s="236"/>
      <c r="S1158" s="236"/>
      <c r="T1158" s="236"/>
      <c r="U1158" s="236"/>
      <c r="V1158" s="236"/>
      <c r="W1158" s="236"/>
      <c r="X1158" s="244"/>
      <c r="Y1158" s="244"/>
      <c r="Z1158" s="237"/>
      <c r="AA1158" s="244"/>
      <c r="AB1158" s="244"/>
      <c r="AC1158" s="244"/>
      <c r="AD1158" s="244"/>
      <c r="AE1158" s="234"/>
      <c r="AF1158" s="234"/>
      <c r="AG1158" s="238"/>
      <c r="AH1158" s="239"/>
      <c r="AI1158" s="238"/>
      <c r="AJ1158" s="238"/>
      <c r="AK1158" s="234"/>
      <c r="AL1158" s="234"/>
      <c r="AM1158" s="234"/>
      <c r="AN1158" s="234"/>
      <c r="AO1158" s="234"/>
    </row>
    <row r="1159" ht="15.75" customHeight="1">
      <c r="A1159" s="91"/>
      <c r="B1159" s="91"/>
      <c r="C1159" s="220"/>
      <c r="D1159" s="91"/>
      <c r="E1159" s="221"/>
      <c r="F1159" s="91"/>
      <c r="G1159" s="91"/>
      <c r="H1159" s="242"/>
      <c r="I1159" s="91"/>
      <c r="J1159" s="234"/>
      <c r="K1159" s="243"/>
      <c r="L1159" s="243"/>
      <c r="M1159" s="234"/>
      <c r="N1159" s="235"/>
      <c r="O1159" s="236"/>
      <c r="P1159" s="236"/>
      <c r="Q1159" s="236"/>
      <c r="R1159" s="236"/>
      <c r="S1159" s="236"/>
      <c r="T1159" s="236"/>
      <c r="U1159" s="236"/>
      <c r="V1159" s="236"/>
      <c r="W1159" s="236"/>
      <c r="X1159" s="244"/>
      <c r="Y1159" s="244"/>
      <c r="Z1159" s="237"/>
      <c r="AA1159" s="244"/>
      <c r="AB1159" s="244"/>
      <c r="AC1159" s="244"/>
      <c r="AD1159" s="244"/>
      <c r="AE1159" s="234"/>
      <c r="AF1159" s="234"/>
      <c r="AG1159" s="238"/>
      <c r="AH1159" s="239"/>
      <c r="AI1159" s="238"/>
      <c r="AJ1159" s="238"/>
      <c r="AK1159" s="234"/>
      <c r="AL1159" s="234"/>
      <c r="AM1159" s="234"/>
      <c r="AN1159" s="234"/>
      <c r="AO1159" s="234"/>
    </row>
    <row r="1160" ht="15.75" customHeight="1">
      <c r="A1160" s="91"/>
      <c r="B1160" s="91"/>
      <c r="C1160" s="220"/>
      <c r="D1160" s="91"/>
      <c r="E1160" s="221"/>
      <c r="F1160" s="91"/>
      <c r="G1160" s="91"/>
      <c r="H1160" s="242"/>
      <c r="I1160" s="91"/>
      <c r="J1160" s="234"/>
      <c r="K1160" s="243"/>
      <c r="L1160" s="243"/>
      <c r="M1160" s="234"/>
      <c r="N1160" s="235"/>
      <c r="O1160" s="236"/>
      <c r="P1160" s="236"/>
      <c r="Q1160" s="236"/>
      <c r="R1160" s="236"/>
      <c r="S1160" s="236"/>
      <c r="T1160" s="236"/>
      <c r="U1160" s="236"/>
      <c r="V1160" s="236"/>
      <c r="W1160" s="236"/>
      <c r="X1160" s="244"/>
      <c r="Y1160" s="244"/>
      <c r="Z1160" s="237"/>
      <c r="AA1160" s="244"/>
      <c r="AB1160" s="244"/>
      <c r="AC1160" s="244"/>
      <c r="AD1160" s="244"/>
      <c r="AE1160" s="234"/>
      <c r="AF1160" s="234"/>
      <c r="AG1160" s="238"/>
      <c r="AH1160" s="239"/>
      <c r="AI1160" s="238"/>
      <c r="AJ1160" s="238"/>
      <c r="AK1160" s="234"/>
      <c r="AL1160" s="234"/>
      <c r="AM1160" s="234"/>
      <c r="AN1160" s="234"/>
      <c r="AO1160" s="234"/>
    </row>
    <row r="1161" ht="15.75" customHeight="1">
      <c r="A1161" s="91"/>
      <c r="B1161" s="91"/>
      <c r="C1161" s="220"/>
      <c r="D1161" s="91"/>
      <c r="E1161" s="221"/>
      <c r="F1161" s="91"/>
      <c r="G1161" s="91"/>
      <c r="H1161" s="242"/>
      <c r="I1161" s="91"/>
      <c r="J1161" s="234"/>
      <c r="K1161" s="243"/>
      <c r="L1161" s="243"/>
      <c r="M1161" s="234"/>
      <c r="N1161" s="235"/>
      <c r="O1161" s="236"/>
      <c r="P1161" s="236"/>
      <c r="Q1161" s="236"/>
      <c r="R1161" s="236"/>
      <c r="S1161" s="236"/>
      <c r="T1161" s="236"/>
      <c r="U1161" s="236"/>
      <c r="V1161" s="236"/>
      <c r="W1161" s="236"/>
      <c r="X1161" s="244"/>
      <c r="Y1161" s="244"/>
      <c r="Z1161" s="237"/>
      <c r="AA1161" s="244"/>
      <c r="AB1161" s="244"/>
      <c r="AC1161" s="244"/>
      <c r="AD1161" s="244"/>
      <c r="AE1161" s="234"/>
      <c r="AF1161" s="234"/>
      <c r="AG1161" s="238"/>
      <c r="AH1161" s="239"/>
      <c r="AI1161" s="238"/>
      <c r="AJ1161" s="238"/>
      <c r="AK1161" s="234"/>
      <c r="AL1161" s="234"/>
      <c r="AM1161" s="234"/>
      <c r="AN1161" s="234"/>
      <c r="AO1161" s="234"/>
    </row>
    <row r="1162" ht="15.75" customHeight="1">
      <c r="A1162" s="91"/>
      <c r="B1162" s="91"/>
      <c r="C1162" s="220"/>
      <c r="D1162" s="91"/>
      <c r="E1162" s="221"/>
      <c r="F1162" s="91"/>
      <c r="G1162" s="91"/>
      <c r="H1162" s="242"/>
      <c r="I1162" s="91"/>
      <c r="J1162" s="234"/>
      <c r="K1162" s="243"/>
      <c r="L1162" s="243"/>
      <c r="M1162" s="234"/>
      <c r="N1162" s="235"/>
      <c r="O1162" s="236"/>
      <c r="P1162" s="236"/>
      <c r="Q1162" s="236"/>
      <c r="R1162" s="236"/>
      <c r="S1162" s="236"/>
      <c r="T1162" s="236"/>
      <c r="U1162" s="236"/>
      <c r="V1162" s="236"/>
      <c r="W1162" s="236"/>
      <c r="X1162" s="244"/>
      <c r="Y1162" s="244"/>
      <c r="Z1162" s="237"/>
      <c r="AA1162" s="244"/>
      <c r="AB1162" s="244"/>
      <c r="AC1162" s="244"/>
      <c r="AD1162" s="244"/>
      <c r="AE1162" s="234"/>
      <c r="AF1162" s="234"/>
      <c r="AG1162" s="238"/>
      <c r="AH1162" s="239"/>
      <c r="AI1162" s="238"/>
      <c r="AJ1162" s="238"/>
      <c r="AK1162" s="234"/>
      <c r="AL1162" s="234"/>
      <c r="AM1162" s="234"/>
      <c r="AN1162" s="234"/>
      <c r="AO1162" s="234"/>
    </row>
    <row r="1163" ht="15.75" customHeight="1">
      <c r="A1163" s="91"/>
      <c r="B1163" s="91"/>
      <c r="C1163" s="220"/>
      <c r="D1163" s="91"/>
      <c r="E1163" s="221"/>
      <c r="F1163" s="91"/>
      <c r="G1163" s="91"/>
      <c r="H1163" s="242"/>
      <c r="I1163" s="91"/>
      <c r="J1163" s="234"/>
      <c r="K1163" s="243"/>
      <c r="L1163" s="243"/>
      <c r="M1163" s="234"/>
      <c r="N1163" s="235"/>
      <c r="O1163" s="236"/>
      <c r="P1163" s="236"/>
      <c r="Q1163" s="236"/>
      <c r="R1163" s="236"/>
      <c r="S1163" s="236"/>
      <c r="T1163" s="236"/>
      <c r="U1163" s="236"/>
      <c r="V1163" s="236"/>
      <c r="W1163" s="236"/>
      <c r="X1163" s="244"/>
      <c r="Y1163" s="244"/>
      <c r="Z1163" s="237"/>
      <c r="AA1163" s="244"/>
      <c r="AB1163" s="244"/>
      <c r="AC1163" s="244"/>
      <c r="AD1163" s="244"/>
      <c r="AE1163" s="234"/>
      <c r="AF1163" s="234"/>
      <c r="AG1163" s="238"/>
      <c r="AH1163" s="239"/>
      <c r="AI1163" s="238"/>
      <c r="AJ1163" s="238"/>
      <c r="AK1163" s="234"/>
      <c r="AL1163" s="234"/>
      <c r="AM1163" s="234"/>
      <c r="AN1163" s="234"/>
      <c r="AO1163" s="234"/>
    </row>
    <row r="1164" ht="15.75" customHeight="1">
      <c r="A1164" s="91"/>
      <c r="B1164" s="91"/>
      <c r="C1164" s="220"/>
      <c r="D1164" s="91"/>
      <c r="E1164" s="221"/>
      <c r="F1164" s="91"/>
      <c r="G1164" s="91"/>
      <c r="H1164" s="242"/>
      <c r="I1164" s="91"/>
      <c r="J1164" s="234"/>
      <c r="K1164" s="243"/>
      <c r="L1164" s="243"/>
      <c r="M1164" s="234"/>
      <c r="N1164" s="235"/>
      <c r="O1164" s="236"/>
      <c r="P1164" s="236"/>
      <c r="Q1164" s="236"/>
      <c r="R1164" s="236"/>
      <c r="S1164" s="236"/>
      <c r="T1164" s="236"/>
      <c r="U1164" s="236"/>
      <c r="V1164" s="236"/>
      <c r="W1164" s="236"/>
      <c r="X1164" s="244"/>
      <c r="Y1164" s="244"/>
      <c r="Z1164" s="237"/>
      <c r="AA1164" s="244"/>
      <c r="AB1164" s="244"/>
      <c r="AC1164" s="244"/>
      <c r="AD1164" s="244"/>
      <c r="AE1164" s="234"/>
      <c r="AF1164" s="234"/>
      <c r="AG1164" s="238"/>
      <c r="AH1164" s="239"/>
      <c r="AI1164" s="238"/>
      <c r="AJ1164" s="238"/>
      <c r="AK1164" s="234"/>
      <c r="AL1164" s="234"/>
      <c r="AM1164" s="234"/>
      <c r="AN1164" s="234"/>
      <c r="AO1164" s="234"/>
    </row>
    <row r="1165" ht="15.75" customHeight="1">
      <c r="A1165" s="91"/>
      <c r="B1165" s="91"/>
      <c r="C1165" s="220"/>
      <c r="D1165" s="91"/>
      <c r="E1165" s="221"/>
      <c r="F1165" s="91"/>
      <c r="G1165" s="91"/>
      <c r="H1165" s="242"/>
      <c r="I1165" s="91"/>
      <c r="J1165" s="234"/>
      <c r="K1165" s="243"/>
      <c r="L1165" s="243"/>
      <c r="M1165" s="234"/>
      <c r="N1165" s="235"/>
      <c r="O1165" s="236"/>
      <c r="P1165" s="236"/>
      <c r="Q1165" s="236"/>
      <c r="R1165" s="236"/>
      <c r="S1165" s="236"/>
      <c r="T1165" s="236"/>
      <c r="U1165" s="236"/>
      <c r="V1165" s="236"/>
      <c r="W1165" s="236"/>
      <c r="X1165" s="244"/>
      <c r="Y1165" s="244"/>
      <c r="Z1165" s="237"/>
      <c r="AA1165" s="244"/>
      <c r="AB1165" s="244"/>
      <c r="AC1165" s="244"/>
      <c r="AD1165" s="244"/>
      <c r="AE1165" s="234"/>
      <c r="AF1165" s="234"/>
      <c r="AG1165" s="238"/>
      <c r="AH1165" s="239"/>
      <c r="AI1165" s="238"/>
      <c r="AJ1165" s="238"/>
      <c r="AK1165" s="234"/>
      <c r="AL1165" s="234"/>
      <c r="AM1165" s="234"/>
      <c r="AN1165" s="234"/>
      <c r="AO1165" s="234"/>
    </row>
    <row r="1166" ht="15.75" customHeight="1">
      <c r="A1166" s="91"/>
      <c r="B1166" s="91"/>
      <c r="C1166" s="220"/>
      <c r="D1166" s="91"/>
      <c r="E1166" s="221"/>
      <c r="F1166" s="91"/>
      <c r="G1166" s="91"/>
      <c r="H1166" s="242"/>
      <c r="I1166" s="91"/>
      <c r="J1166" s="234"/>
      <c r="K1166" s="243"/>
      <c r="L1166" s="243"/>
      <c r="M1166" s="234"/>
      <c r="N1166" s="235"/>
      <c r="O1166" s="236"/>
      <c r="P1166" s="236"/>
      <c r="Q1166" s="236"/>
      <c r="R1166" s="236"/>
      <c r="S1166" s="236"/>
      <c r="T1166" s="236"/>
      <c r="U1166" s="236"/>
      <c r="V1166" s="236"/>
      <c r="W1166" s="236"/>
      <c r="X1166" s="244"/>
      <c r="Y1166" s="244"/>
      <c r="Z1166" s="237"/>
      <c r="AA1166" s="244"/>
      <c r="AB1166" s="244"/>
      <c r="AC1166" s="244"/>
      <c r="AD1166" s="244"/>
      <c r="AE1166" s="234"/>
      <c r="AF1166" s="234"/>
      <c r="AG1166" s="238"/>
      <c r="AH1166" s="239"/>
      <c r="AI1166" s="238"/>
      <c r="AJ1166" s="238"/>
      <c r="AK1166" s="234"/>
      <c r="AL1166" s="234"/>
      <c r="AM1166" s="234"/>
      <c r="AN1166" s="234"/>
      <c r="AO1166" s="234"/>
    </row>
    <row r="1167" ht="15.75" customHeight="1">
      <c r="A1167" s="91"/>
      <c r="B1167" s="91"/>
      <c r="C1167" s="220"/>
      <c r="D1167" s="91"/>
      <c r="E1167" s="221"/>
      <c r="F1167" s="91"/>
      <c r="G1167" s="91"/>
      <c r="H1167" s="242"/>
      <c r="I1167" s="91"/>
      <c r="J1167" s="234"/>
      <c r="K1167" s="243"/>
      <c r="L1167" s="243"/>
      <c r="M1167" s="234"/>
      <c r="N1167" s="235"/>
      <c r="O1167" s="236"/>
      <c r="P1167" s="236"/>
      <c r="Q1167" s="236"/>
      <c r="R1167" s="236"/>
      <c r="S1167" s="236"/>
      <c r="T1167" s="236"/>
      <c r="U1167" s="236"/>
      <c r="V1167" s="236"/>
      <c r="W1167" s="236"/>
      <c r="X1167" s="244"/>
      <c r="Y1167" s="244"/>
      <c r="Z1167" s="237"/>
      <c r="AA1167" s="244"/>
      <c r="AB1167" s="244"/>
      <c r="AC1167" s="244"/>
      <c r="AD1167" s="244"/>
      <c r="AE1167" s="234"/>
      <c r="AF1167" s="234"/>
      <c r="AG1167" s="238"/>
      <c r="AH1167" s="239"/>
      <c r="AI1167" s="238"/>
      <c r="AJ1167" s="238"/>
      <c r="AK1167" s="234"/>
      <c r="AL1167" s="234"/>
      <c r="AM1167" s="234"/>
      <c r="AN1167" s="234"/>
      <c r="AO1167" s="234"/>
    </row>
    <row r="1168" ht="15.75" customHeight="1">
      <c r="A1168" s="91"/>
      <c r="B1168" s="91"/>
      <c r="C1168" s="220"/>
      <c r="D1168" s="91"/>
      <c r="E1168" s="221"/>
      <c r="F1168" s="91"/>
      <c r="G1168" s="91"/>
      <c r="H1168" s="242"/>
      <c r="I1168" s="91"/>
      <c r="J1168" s="234"/>
      <c r="K1168" s="243"/>
      <c r="L1168" s="243"/>
      <c r="M1168" s="234"/>
      <c r="N1168" s="235"/>
      <c r="O1168" s="236"/>
      <c r="P1168" s="236"/>
      <c r="Q1168" s="236"/>
      <c r="R1168" s="236"/>
      <c r="S1168" s="236"/>
      <c r="T1168" s="236"/>
      <c r="U1168" s="236"/>
      <c r="V1168" s="236"/>
      <c r="W1168" s="236"/>
      <c r="X1168" s="244"/>
      <c r="Y1168" s="244"/>
      <c r="Z1168" s="237"/>
      <c r="AA1168" s="244"/>
      <c r="AB1168" s="244"/>
      <c r="AC1168" s="244"/>
      <c r="AD1168" s="244"/>
      <c r="AE1168" s="234"/>
      <c r="AF1168" s="234"/>
      <c r="AG1168" s="238"/>
      <c r="AH1168" s="239"/>
      <c r="AI1168" s="238"/>
      <c r="AJ1168" s="238"/>
      <c r="AK1168" s="234"/>
      <c r="AL1168" s="234"/>
      <c r="AM1168" s="234"/>
      <c r="AN1168" s="234"/>
      <c r="AO1168" s="234"/>
    </row>
    <row r="1169" ht="15.75" customHeight="1">
      <c r="A1169" s="91"/>
      <c r="B1169" s="91"/>
      <c r="C1169" s="220"/>
      <c r="D1169" s="91"/>
      <c r="E1169" s="221"/>
      <c r="F1169" s="91"/>
      <c r="G1169" s="91"/>
      <c r="H1169" s="242"/>
      <c r="I1169" s="91"/>
      <c r="J1169" s="234"/>
      <c r="K1169" s="243"/>
      <c r="L1169" s="243"/>
      <c r="M1169" s="234"/>
      <c r="N1169" s="235"/>
      <c r="O1169" s="236"/>
      <c r="P1169" s="236"/>
      <c r="Q1169" s="236"/>
      <c r="R1169" s="236"/>
      <c r="S1169" s="236"/>
      <c r="T1169" s="236"/>
      <c r="U1169" s="236"/>
      <c r="V1169" s="236"/>
      <c r="W1169" s="236"/>
      <c r="X1169" s="244"/>
      <c r="Y1169" s="244"/>
      <c r="Z1169" s="237"/>
      <c r="AA1169" s="244"/>
      <c r="AB1169" s="244"/>
      <c r="AC1169" s="244"/>
      <c r="AD1169" s="244"/>
      <c r="AE1169" s="234"/>
      <c r="AF1169" s="234"/>
      <c r="AG1169" s="238"/>
      <c r="AH1169" s="239"/>
      <c r="AI1169" s="238"/>
      <c r="AJ1169" s="238"/>
      <c r="AK1169" s="234"/>
      <c r="AL1169" s="234"/>
      <c r="AM1169" s="234"/>
      <c r="AN1169" s="234"/>
      <c r="AO1169" s="234"/>
    </row>
    <row r="1170" ht="15.75" customHeight="1">
      <c r="A1170" s="91"/>
      <c r="B1170" s="91"/>
      <c r="C1170" s="220"/>
      <c r="D1170" s="91"/>
      <c r="E1170" s="221"/>
      <c r="F1170" s="91"/>
      <c r="G1170" s="91"/>
      <c r="H1170" s="242"/>
      <c r="I1170" s="91"/>
      <c r="J1170" s="234"/>
      <c r="K1170" s="243"/>
      <c r="L1170" s="243"/>
      <c r="M1170" s="234"/>
      <c r="N1170" s="235"/>
      <c r="O1170" s="236"/>
      <c r="P1170" s="236"/>
      <c r="Q1170" s="236"/>
      <c r="R1170" s="236"/>
      <c r="S1170" s="236"/>
      <c r="T1170" s="236"/>
      <c r="U1170" s="236"/>
      <c r="V1170" s="236"/>
      <c r="W1170" s="236"/>
      <c r="X1170" s="244"/>
      <c r="Y1170" s="244"/>
      <c r="Z1170" s="237"/>
      <c r="AA1170" s="244"/>
      <c r="AB1170" s="244"/>
      <c r="AC1170" s="244"/>
      <c r="AD1170" s="244"/>
      <c r="AE1170" s="234"/>
      <c r="AF1170" s="234"/>
      <c r="AG1170" s="238"/>
      <c r="AH1170" s="239"/>
      <c r="AI1170" s="238"/>
      <c r="AJ1170" s="238"/>
      <c r="AK1170" s="234"/>
      <c r="AL1170" s="234"/>
      <c r="AM1170" s="234"/>
      <c r="AN1170" s="234"/>
      <c r="AO1170" s="234"/>
    </row>
    <row r="1171" ht="15.75" customHeight="1">
      <c r="A1171" s="91"/>
      <c r="B1171" s="91"/>
      <c r="C1171" s="220"/>
      <c r="D1171" s="91"/>
      <c r="E1171" s="221"/>
      <c r="F1171" s="91"/>
      <c r="G1171" s="91"/>
      <c r="H1171" s="242"/>
      <c r="I1171" s="91"/>
      <c r="J1171" s="234"/>
      <c r="K1171" s="243"/>
      <c r="L1171" s="243"/>
      <c r="M1171" s="234"/>
      <c r="N1171" s="235"/>
      <c r="O1171" s="236"/>
      <c r="P1171" s="236"/>
      <c r="Q1171" s="236"/>
      <c r="R1171" s="236"/>
      <c r="S1171" s="236"/>
      <c r="T1171" s="236"/>
      <c r="U1171" s="236"/>
      <c r="V1171" s="236"/>
      <c r="W1171" s="236"/>
      <c r="X1171" s="244"/>
      <c r="Y1171" s="244"/>
      <c r="Z1171" s="237"/>
      <c r="AA1171" s="244"/>
      <c r="AB1171" s="244"/>
      <c r="AC1171" s="244"/>
      <c r="AD1171" s="244"/>
      <c r="AE1171" s="234"/>
      <c r="AF1171" s="234"/>
      <c r="AG1171" s="238"/>
      <c r="AH1171" s="239"/>
      <c r="AI1171" s="238"/>
      <c r="AJ1171" s="238"/>
      <c r="AK1171" s="234"/>
      <c r="AL1171" s="234"/>
      <c r="AM1171" s="234"/>
      <c r="AN1171" s="234"/>
      <c r="AO1171" s="234"/>
    </row>
    <row r="1172" ht="15.75" customHeight="1">
      <c r="A1172" s="91"/>
      <c r="B1172" s="91"/>
      <c r="C1172" s="220"/>
      <c r="D1172" s="91"/>
      <c r="E1172" s="221"/>
      <c r="F1172" s="91"/>
      <c r="G1172" s="91"/>
      <c r="H1172" s="242"/>
      <c r="I1172" s="91"/>
      <c r="J1172" s="234"/>
      <c r="K1172" s="243"/>
      <c r="L1172" s="243"/>
      <c r="M1172" s="234"/>
      <c r="N1172" s="235"/>
      <c r="O1172" s="236"/>
      <c r="P1172" s="236"/>
      <c r="Q1172" s="236"/>
      <c r="R1172" s="236"/>
      <c r="S1172" s="236"/>
      <c r="T1172" s="236"/>
      <c r="U1172" s="236"/>
      <c r="V1172" s="236"/>
      <c r="W1172" s="236"/>
      <c r="X1172" s="244"/>
      <c r="Y1172" s="244"/>
      <c r="Z1172" s="237"/>
      <c r="AA1172" s="244"/>
      <c r="AB1172" s="244"/>
      <c r="AC1172" s="244"/>
      <c r="AD1172" s="244"/>
      <c r="AE1172" s="234"/>
      <c r="AF1172" s="234"/>
      <c r="AG1172" s="238"/>
      <c r="AH1172" s="239"/>
      <c r="AI1172" s="238"/>
      <c r="AJ1172" s="238"/>
      <c r="AK1172" s="234"/>
      <c r="AL1172" s="234"/>
      <c r="AM1172" s="234"/>
      <c r="AN1172" s="234"/>
      <c r="AO1172" s="234"/>
    </row>
    <row r="1173" ht="15.75" customHeight="1">
      <c r="A1173" s="91"/>
      <c r="B1173" s="91"/>
      <c r="C1173" s="220"/>
      <c r="D1173" s="91"/>
      <c r="E1173" s="221"/>
      <c r="F1173" s="91"/>
      <c r="G1173" s="91"/>
      <c r="H1173" s="242"/>
      <c r="I1173" s="91"/>
      <c r="J1173" s="234"/>
      <c r="K1173" s="243"/>
      <c r="L1173" s="243"/>
      <c r="M1173" s="234"/>
      <c r="N1173" s="235"/>
      <c r="O1173" s="236"/>
      <c r="P1173" s="236"/>
      <c r="Q1173" s="236"/>
      <c r="R1173" s="236"/>
      <c r="S1173" s="236"/>
      <c r="T1173" s="236"/>
      <c r="U1173" s="236"/>
      <c r="V1173" s="236"/>
      <c r="W1173" s="236"/>
      <c r="X1173" s="244"/>
      <c r="Y1173" s="244"/>
      <c r="Z1173" s="237"/>
      <c r="AA1173" s="244"/>
      <c r="AB1173" s="244"/>
      <c r="AC1173" s="244"/>
      <c r="AD1173" s="244"/>
      <c r="AE1173" s="234"/>
      <c r="AF1173" s="234"/>
      <c r="AG1173" s="238"/>
      <c r="AH1173" s="239"/>
      <c r="AI1173" s="238"/>
      <c r="AJ1173" s="238"/>
      <c r="AK1173" s="234"/>
      <c r="AL1173" s="234"/>
      <c r="AM1173" s="234"/>
      <c r="AN1173" s="234"/>
      <c r="AO1173" s="234"/>
    </row>
    <row r="1174" ht="15.75" customHeight="1">
      <c r="A1174" s="91"/>
      <c r="B1174" s="91"/>
      <c r="C1174" s="220"/>
      <c r="D1174" s="91"/>
      <c r="E1174" s="221"/>
      <c r="F1174" s="91"/>
      <c r="G1174" s="91"/>
      <c r="H1174" s="242"/>
      <c r="I1174" s="91"/>
      <c r="J1174" s="234"/>
      <c r="K1174" s="243"/>
      <c r="L1174" s="243"/>
      <c r="M1174" s="234"/>
      <c r="N1174" s="235"/>
      <c r="O1174" s="236"/>
      <c r="P1174" s="236"/>
      <c r="Q1174" s="236"/>
      <c r="R1174" s="236"/>
      <c r="S1174" s="236"/>
      <c r="T1174" s="236"/>
      <c r="U1174" s="236"/>
      <c r="V1174" s="236"/>
      <c r="W1174" s="236"/>
      <c r="X1174" s="244"/>
      <c r="Y1174" s="244"/>
      <c r="Z1174" s="237"/>
      <c r="AA1174" s="244"/>
      <c r="AB1174" s="244"/>
      <c r="AC1174" s="244"/>
      <c r="AD1174" s="244"/>
      <c r="AE1174" s="234"/>
      <c r="AF1174" s="234"/>
      <c r="AG1174" s="238"/>
      <c r="AH1174" s="239"/>
      <c r="AI1174" s="238"/>
      <c r="AJ1174" s="238"/>
      <c r="AK1174" s="234"/>
      <c r="AL1174" s="234"/>
      <c r="AM1174" s="234"/>
      <c r="AN1174" s="234"/>
      <c r="AO1174" s="234"/>
    </row>
    <row r="1175" ht="15.75" customHeight="1">
      <c r="A1175" s="91"/>
      <c r="B1175" s="91"/>
      <c r="C1175" s="220"/>
      <c r="D1175" s="91"/>
      <c r="E1175" s="221"/>
      <c r="F1175" s="91"/>
      <c r="G1175" s="91"/>
      <c r="H1175" s="242"/>
      <c r="I1175" s="91"/>
      <c r="J1175" s="234"/>
      <c r="K1175" s="243"/>
      <c r="L1175" s="243"/>
      <c r="M1175" s="234"/>
      <c r="N1175" s="235"/>
      <c r="O1175" s="236"/>
      <c r="P1175" s="236"/>
      <c r="Q1175" s="236"/>
      <c r="R1175" s="236"/>
      <c r="S1175" s="236"/>
      <c r="T1175" s="236"/>
      <c r="U1175" s="236"/>
      <c r="V1175" s="236"/>
      <c r="W1175" s="236"/>
      <c r="X1175" s="244"/>
      <c r="Y1175" s="244"/>
      <c r="Z1175" s="237"/>
      <c r="AA1175" s="244"/>
      <c r="AB1175" s="244"/>
      <c r="AC1175" s="244"/>
      <c r="AD1175" s="244"/>
      <c r="AE1175" s="234"/>
      <c r="AF1175" s="234"/>
      <c r="AG1175" s="238"/>
      <c r="AH1175" s="239"/>
      <c r="AI1175" s="238"/>
      <c r="AJ1175" s="238"/>
      <c r="AK1175" s="234"/>
      <c r="AL1175" s="234"/>
      <c r="AM1175" s="234"/>
      <c r="AN1175" s="234"/>
      <c r="AO1175" s="234"/>
    </row>
    <row r="1176" ht="15.75" customHeight="1">
      <c r="A1176" s="91"/>
      <c r="B1176" s="91"/>
      <c r="C1176" s="220"/>
      <c r="D1176" s="91"/>
      <c r="E1176" s="221"/>
      <c r="F1176" s="91"/>
      <c r="G1176" s="91"/>
      <c r="H1176" s="242"/>
      <c r="I1176" s="91"/>
      <c r="J1176" s="234"/>
      <c r="K1176" s="243"/>
      <c r="L1176" s="243"/>
      <c r="M1176" s="234"/>
      <c r="N1176" s="235"/>
      <c r="O1176" s="236"/>
      <c r="P1176" s="236"/>
      <c r="Q1176" s="236"/>
      <c r="R1176" s="236"/>
      <c r="S1176" s="236"/>
      <c r="T1176" s="236"/>
      <c r="U1176" s="236"/>
      <c r="V1176" s="236"/>
      <c r="W1176" s="236"/>
      <c r="X1176" s="244"/>
      <c r="Y1176" s="244"/>
      <c r="Z1176" s="237"/>
      <c r="AA1176" s="244"/>
      <c r="AB1176" s="244"/>
      <c r="AC1176" s="244"/>
      <c r="AD1176" s="244"/>
      <c r="AE1176" s="234"/>
      <c r="AF1176" s="234"/>
      <c r="AG1176" s="238"/>
      <c r="AH1176" s="239"/>
      <c r="AI1176" s="238"/>
      <c r="AJ1176" s="238"/>
      <c r="AK1176" s="234"/>
      <c r="AL1176" s="234"/>
      <c r="AM1176" s="234"/>
      <c r="AN1176" s="234"/>
      <c r="AO1176" s="234"/>
    </row>
    <row r="1177" ht="15.75" customHeight="1">
      <c r="A1177" s="91"/>
      <c r="B1177" s="91"/>
      <c r="C1177" s="220"/>
      <c r="D1177" s="91"/>
      <c r="E1177" s="221"/>
      <c r="F1177" s="91"/>
      <c r="G1177" s="91"/>
      <c r="H1177" s="242"/>
      <c r="I1177" s="91"/>
      <c r="J1177" s="234"/>
      <c r="K1177" s="243"/>
      <c r="L1177" s="243"/>
      <c r="M1177" s="234"/>
      <c r="N1177" s="235"/>
      <c r="O1177" s="236"/>
      <c r="P1177" s="236"/>
      <c r="Q1177" s="236"/>
      <c r="R1177" s="236"/>
      <c r="S1177" s="236"/>
      <c r="T1177" s="236"/>
      <c r="U1177" s="236"/>
      <c r="V1177" s="236"/>
      <c r="W1177" s="236"/>
      <c r="X1177" s="244"/>
      <c r="Y1177" s="244"/>
      <c r="Z1177" s="237"/>
      <c r="AA1177" s="244"/>
      <c r="AB1177" s="244"/>
      <c r="AC1177" s="244"/>
      <c r="AD1177" s="244"/>
      <c r="AE1177" s="234"/>
      <c r="AF1177" s="234"/>
      <c r="AG1177" s="238"/>
      <c r="AH1177" s="239"/>
      <c r="AI1177" s="238"/>
      <c r="AJ1177" s="238"/>
      <c r="AK1177" s="234"/>
      <c r="AL1177" s="234"/>
      <c r="AM1177" s="234"/>
      <c r="AN1177" s="234"/>
      <c r="AO1177" s="234"/>
    </row>
    <row r="1178" ht="15.75" customHeight="1">
      <c r="A1178" s="91"/>
      <c r="B1178" s="91"/>
      <c r="C1178" s="220"/>
      <c r="D1178" s="91"/>
      <c r="E1178" s="221"/>
      <c r="F1178" s="91"/>
      <c r="G1178" s="91"/>
      <c r="H1178" s="242"/>
      <c r="I1178" s="91"/>
      <c r="J1178" s="234"/>
      <c r="K1178" s="243"/>
      <c r="L1178" s="243"/>
      <c r="M1178" s="234"/>
      <c r="N1178" s="235"/>
      <c r="O1178" s="236"/>
      <c r="P1178" s="236"/>
      <c r="Q1178" s="236"/>
      <c r="R1178" s="236"/>
      <c r="S1178" s="236"/>
      <c r="T1178" s="236"/>
      <c r="U1178" s="236"/>
      <c r="V1178" s="236"/>
      <c r="W1178" s="236"/>
      <c r="X1178" s="244"/>
      <c r="Y1178" s="244"/>
      <c r="Z1178" s="237"/>
      <c r="AA1178" s="244"/>
      <c r="AB1178" s="244"/>
      <c r="AC1178" s="244"/>
      <c r="AD1178" s="244"/>
      <c r="AE1178" s="234"/>
      <c r="AF1178" s="234"/>
      <c r="AG1178" s="238"/>
      <c r="AH1178" s="239"/>
      <c r="AI1178" s="238"/>
      <c r="AJ1178" s="238"/>
      <c r="AK1178" s="234"/>
      <c r="AL1178" s="234"/>
      <c r="AM1178" s="234"/>
      <c r="AN1178" s="234"/>
      <c r="AO1178" s="234"/>
    </row>
    <row r="1179" ht="15.75" customHeight="1">
      <c r="A1179" s="91"/>
      <c r="B1179" s="91"/>
      <c r="C1179" s="220"/>
      <c r="D1179" s="91"/>
      <c r="E1179" s="221"/>
      <c r="F1179" s="91"/>
      <c r="G1179" s="91"/>
      <c r="H1179" s="242"/>
      <c r="I1179" s="91"/>
      <c r="J1179" s="234"/>
      <c r="K1179" s="243"/>
      <c r="L1179" s="243"/>
      <c r="M1179" s="234"/>
      <c r="N1179" s="235"/>
      <c r="O1179" s="236"/>
      <c r="P1179" s="236"/>
      <c r="Q1179" s="236"/>
      <c r="R1179" s="236"/>
      <c r="S1179" s="236"/>
      <c r="T1179" s="236"/>
      <c r="U1179" s="236"/>
      <c r="V1179" s="236"/>
      <c r="W1179" s="236"/>
      <c r="X1179" s="244"/>
      <c r="Y1179" s="244"/>
      <c r="Z1179" s="237"/>
      <c r="AA1179" s="244"/>
      <c r="AB1179" s="244"/>
      <c r="AC1179" s="244"/>
      <c r="AD1179" s="244"/>
      <c r="AE1179" s="234"/>
      <c r="AF1179" s="234"/>
      <c r="AG1179" s="238"/>
      <c r="AH1179" s="239"/>
      <c r="AI1179" s="238"/>
      <c r="AJ1179" s="238"/>
      <c r="AK1179" s="234"/>
      <c r="AL1179" s="234"/>
      <c r="AM1179" s="234"/>
      <c r="AN1179" s="234"/>
      <c r="AO1179" s="234"/>
    </row>
    <row r="1180" ht="15.75" customHeight="1">
      <c r="A1180" s="91"/>
      <c r="B1180" s="91"/>
      <c r="C1180" s="220"/>
      <c r="D1180" s="91"/>
      <c r="E1180" s="221"/>
      <c r="F1180" s="91"/>
      <c r="G1180" s="91"/>
      <c r="H1180" s="242"/>
      <c r="I1180" s="91"/>
      <c r="J1180" s="234"/>
      <c r="K1180" s="243"/>
      <c r="L1180" s="243"/>
      <c r="M1180" s="234"/>
      <c r="N1180" s="235"/>
      <c r="O1180" s="236"/>
      <c r="P1180" s="236"/>
      <c r="Q1180" s="236"/>
      <c r="R1180" s="236"/>
      <c r="S1180" s="236"/>
      <c r="T1180" s="236"/>
      <c r="U1180" s="236"/>
      <c r="V1180" s="236"/>
      <c r="W1180" s="236"/>
      <c r="X1180" s="244"/>
      <c r="Y1180" s="244"/>
      <c r="Z1180" s="237"/>
      <c r="AA1180" s="244"/>
      <c r="AB1180" s="244"/>
      <c r="AC1180" s="244"/>
      <c r="AD1180" s="244"/>
      <c r="AE1180" s="234"/>
      <c r="AF1180" s="234"/>
      <c r="AG1180" s="238"/>
      <c r="AH1180" s="239"/>
      <c r="AI1180" s="238"/>
      <c r="AJ1180" s="238"/>
      <c r="AK1180" s="234"/>
      <c r="AL1180" s="234"/>
      <c r="AM1180" s="234"/>
      <c r="AN1180" s="234"/>
      <c r="AO1180" s="234"/>
    </row>
    <row r="1181" ht="15.75" customHeight="1">
      <c r="A1181" s="91"/>
      <c r="B1181" s="91"/>
      <c r="C1181" s="220"/>
      <c r="D1181" s="91"/>
      <c r="E1181" s="221"/>
      <c r="F1181" s="91"/>
      <c r="G1181" s="91"/>
      <c r="H1181" s="242"/>
      <c r="I1181" s="91"/>
      <c r="J1181" s="234"/>
      <c r="K1181" s="243"/>
      <c r="L1181" s="243"/>
      <c r="M1181" s="234"/>
      <c r="N1181" s="235"/>
      <c r="O1181" s="236"/>
      <c r="P1181" s="236"/>
      <c r="Q1181" s="236"/>
      <c r="R1181" s="236"/>
      <c r="S1181" s="236"/>
      <c r="T1181" s="236"/>
      <c r="U1181" s="236"/>
      <c r="V1181" s="236"/>
      <c r="W1181" s="236"/>
      <c r="X1181" s="244"/>
      <c r="Y1181" s="244"/>
      <c r="Z1181" s="237"/>
      <c r="AA1181" s="244"/>
      <c r="AB1181" s="244"/>
      <c r="AC1181" s="244"/>
      <c r="AD1181" s="244"/>
      <c r="AE1181" s="234"/>
      <c r="AF1181" s="234"/>
      <c r="AG1181" s="238"/>
      <c r="AH1181" s="239"/>
      <c r="AI1181" s="238"/>
      <c r="AJ1181" s="238"/>
      <c r="AK1181" s="234"/>
      <c r="AL1181" s="234"/>
      <c r="AM1181" s="234"/>
      <c r="AN1181" s="234"/>
      <c r="AO1181" s="234"/>
    </row>
    <row r="1182" ht="15.75" customHeight="1">
      <c r="A1182" s="91"/>
      <c r="B1182" s="91"/>
      <c r="C1182" s="220"/>
      <c r="D1182" s="91"/>
      <c r="E1182" s="221"/>
      <c r="F1182" s="91"/>
      <c r="G1182" s="91"/>
      <c r="H1182" s="242"/>
      <c r="I1182" s="91"/>
      <c r="J1182" s="234"/>
      <c r="K1182" s="243"/>
      <c r="L1182" s="243"/>
      <c r="M1182" s="234"/>
      <c r="N1182" s="235"/>
      <c r="O1182" s="236"/>
      <c r="P1182" s="236"/>
      <c r="Q1182" s="236"/>
      <c r="R1182" s="236"/>
      <c r="S1182" s="236"/>
      <c r="T1182" s="236"/>
      <c r="U1182" s="236"/>
      <c r="V1182" s="236"/>
      <c r="W1182" s="236"/>
      <c r="X1182" s="244"/>
      <c r="Y1182" s="244"/>
      <c r="Z1182" s="237"/>
      <c r="AA1182" s="244"/>
      <c r="AB1182" s="244"/>
      <c r="AC1182" s="244"/>
      <c r="AD1182" s="244"/>
      <c r="AE1182" s="234"/>
      <c r="AF1182" s="234"/>
      <c r="AG1182" s="238"/>
      <c r="AH1182" s="239"/>
      <c r="AI1182" s="238"/>
      <c r="AJ1182" s="238"/>
      <c r="AK1182" s="234"/>
      <c r="AL1182" s="234"/>
      <c r="AM1182" s="234"/>
      <c r="AN1182" s="234"/>
      <c r="AO1182" s="234"/>
    </row>
    <row r="1183" ht="15.75" customHeight="1">
      <c r="A1183" s="91"/>
      <c r="B1183" s="91"/>
      <c r="C1183" s="220"/>
      <c r="D1183" s="91"/>
      <c r="E1183" s="221"/>
      <c r="F1183" s="91"/>
      <c r="G1183" s="91"/>
      <c r="H1183" s="242"/>
      <c r="I1183" s="91"/>
      <c r="J1183" s="234"/>
      <c r="K1183" s="243"/>
      <c r="L1183" s="243"/>
      <c r="M1183" s="234"/>
      <c r="N1183" s="235"/>
      <c r="O1183" s="236"/>
      <c r="P1183" s="236"/>
      <c r="Q1183" s="236"/>
      <c r="R1183" s="236"/>
      <c r="S1183" s="236"/>
      <c r="T1183" s="236"/>
      <c r="U1183" s="236"/>
      <c r="V1183" s="236"/>
      <c r="W1183" s="236"/>
      <c r="X1183" s="244"/>
      <c r="Y1183" s="244"/>
      <c r="Z1183" s="237"/>
      <c r="AA1183" s="244"/>
      <c r="AB1183" s="244"/>
      <c r="AC1183" s="244"/>
      <c r="AD1183" s="244"/>
      <c r="AE1183" s="234"/>
      <c r="AF1183" s="234"/>
      <c r="AG1183" s="238"/>
      <c r="AH1183" s="239"/>
      <c r="AI1183" s="238"/>
      <c r="AJ1183" s="238"/>
      <c r="AK1183" s="234"/>
      <c r="AL1183" s="234"/>
      <c r="AM1183" s="234"/>
      <c r="AN1183" s="234"/>
      <c r="AO1183" s="234"/>
    </row>
    <row r="1184" ht="15.75" customHeight="1">
      <c r="A1184" s="91"/>
      <c r="B1184" s="91"/>
      <c r="C1184" s="220"/>
      <c r="D1184" s="91"/>
      <c r="E1184" s="221"/>
      <c r="F1184" s="91"/>
      <c r="G1184" s="91"/>
      <c r="H1184" s="242"/>
      <c r="I1184" s="91"/>
      <c r="J1184" s="234"/>
      <c r="K1184" s="243"/>
      <c r="L1184" s="243"/>
      <c r="M1184" s="234"/>
      <c r="N1184" s="235"/>
      <c r="O1184" s="236"/>
      <c r="P1184" s="236"/>
      <c r="Q1184" s="236"/>
      <c r="R1184" s="236"/>
      <c r="S1184" s="236"/>
      <c r="T1184" s="236"/>
      <c r="U1184" s="236"/>
      <c r="V1184" s="236"/>
      <c r="W1184" s="236"/>
      <c r="X1184" s="244"/>
      <c r="Y1184" s="244"/>
      <c r="Z1184" s="237"/>
      <c r="AA1184" s="244"/>
      <c r="AB1184" s="244"/>
      <c r="AC1184" s="244"/>
      <c r="AD1184" s="244"/>
      <c r="AE1184" s="234"/>
      <c r="AF1184" s="234"/>
      <c r="AG1184" s="238"/>
      <c r="AH1184" s="239"/>
      <c r="AI1184" s="238"/>
      <c r="AJ1184" s="238"/>
      <c r="AK1184" s="234"/>
      <c r="AL1184" s="234"/>
      <c r="AM1184" s="234"/>
      <c r="AN1184" s="234"/>
      <c r="AO1184" s="234"/>
    </row>
    <row r="1185" ht="15.75" customHeight="1">
      <c r="A1185" s="91"/>
      <c r="B1185" s="91"/>
      <c r="C1185" s="220"/>
      <c r="D1185" s="91"/>
      <c r="E1185" s="221"/>
      <c r="F1185" s="91"/>
      <c r="G1185" s="91"/>
      <c r="H1185" s="242"/>
      <c r="I1185" s="91"/>
      <c r="J1185" s="234"/>
      <c r="K1185" s="243"/>
      <c r="L1185" s="243"/>
      <c r="M1185" s="234"/>
      <c r="N1185" s="235"/>
      <c r="O1185" s="236"/>
      <c r="P1185" s="236"/>
      <c r="Q1185" s="236"/>
      <c r="R1185" s="236"/>
      <c r="S1185" s="236"/>
      <c r="T1185" s="236"/>
      <c r="U1185" s="236"/>
      <c r="V1185" s="236"/>
      <c r="W1185" s="236"/>
      <c r="X1185" s="244"/>
      <c r="Y1185" s="244"/>
      <c r="Z1185" s="237"/>
      <c r="AA1185" s="244"/>
      <c r="AB1185" s="244"/>
      <c r="AC1185" s="244"/>
      <c r="AD1185" s="244"/>
      <c r="AE1185" s="234"/>
      <c r="AF1185" s="234"/>
      <c r="AG1185" s="238"/>
      <c r="AH1185" s="239"/>
      <c r="AI1185" s="238"/>
      <c r="AJ1185" s="238"/>
      <c r="AK1185" s="234"/>
      <c r="AL1185" s="234"/>
      <c r="AM1185" s="234"/>
      <c r="AN1185" s="234"/>
      <c r="AO1185" s="234"/>
    </row>
    <row r="1186" ht="15.75" customHeight="1">
      <c r="A1186" s="91"/>
      <c r="B1186" s="91"/>
      <c r="C1186" s="220"/>
      <c r="D1186" s="91"/>
      <c r="E1186" s="221"/>
      <c r="F1186" s="91"/>
      <c r="G1186" s="91"/>
      <c r="H1186" s="242"/>
      <c r="I1186" s="91"/>
      <c r="J1186" s="234"/>
      <c r="K1186" s="243"/>
      <c r="L1186" s="243"/>
      <c r="M1186" s="234"/>
      <c r="N1186" s="235"/>
      <c r="O1186" s="236"/>
      <c r="P1186" s="236"/>
      <c r="Q1186" s="236"/>
      <c r="R1186" s="236"/>
      <c r="S1186" s="236"/>
      <c r="T1186" s="236"/>
      <c r="U1186" s="236"/>
      <c r="V1186" s="236"/>
      <c r="W1186" s="236"/>
      <c r="X1186" s="244"/>
      <c r="Y1186" s="244"/>
      <c r="Z1186" s="237"/>
      <c r="AA1186" s="244"/>
      <c r="AB1186" s="244"/>
      <c r="AC1186" s="244"/>
      <c r="AD1186" s="244"/>
      <c r="AE1186" s="234"/>
      <c r="AF1186" s="234"/>
      <c r="AG1186" s="238"/>
      <c r="AH1186" s="239"/>
      <c r="AI1186" s="238"/>
      <c r="AJ1186" s="238"/>
      <c r="AK1186" s="234"/>
      <c r="AL1186" s="234"/>
      <c r="AM1186" s="234"/>
      <c r="AN1186" s="234"/>
      <c r="AO1186" s="234"/>
    </row>
    <row r="1187" ht="15.75" customHeight="1">
      <c r="A1187" s="91"/>
      <c r="B1187" s="91"/>
      <c r="C1187" s="220"/>
      <c r="D1187" s="91"/>
      <c r="E1187" s="221"/>
      <c r="F1187" s="91"/>
      <c r="G1187" s="91"/>
      <c r="H1187" s="242"/>
      <c r="I1187" s="91"/>
      <c r="J1187" s="234"/>
      <c r="K1187" s="243"/>
      <c r="L1187" s="243"/>
      <c r="M1187" s="234"/>
      <c r="N1187" s="235"/>
      <c r="O1187" s="236"/>
      <c r="P1187" s="236"/>
      <c r="Q1187" s="236"/>
      <c r="R1187" s="236"/>
      <c r="S1187" s="236"/>
      <c r="T1187" s="236"/>
      <c r="U1187" s="236"/>
      <c r="V1187" s="236"/>
      <c r="W1187" s="236"/>
      <c r="X1187" s="244"/>
      <c r="Y1187" s="244"/>
      <c r="Z1187" s="237"/>
      <c r="AA1187" s="244"/>
      <c r="AB1187" s="244"/>
      <c r="AC1187" s="244"/>
      <c r="AD1187" s="244"/>
      <c r="AE1187" s="234"/>
      <c r="AF1187" s="234"/>
      <c r="AG1187" s="238"/>
      <c r="AH1187" s="239"/>
      <c r="AI1187" s="238"/>
      <c r="AJ1187" s="238"/>
      <c r="AK1187" s="234"/>
      <c r="AL1187" s="234"/>
      <c r="AM1187" s="234"/>
      <c r="AN1187" s="234"/>
      <c r="AO1187" s="234"/>
    </row>
    <row r="1188" ht="15.75" customHeight="1">
      <c r="A1188" s="91"/>
      <c r="B1188" s="91"/>
      <c r="C1188" s="220"/>
      <c r="D1188" s="91"/>
      <c r="E1188" s="221"/>
      <c r="F1188" s="91"/>
      <c r="G1188" s="91"/>
      <c r="H1188" s="242"/>
      <c r="I1188" s="91"/>
      <c r="J1188" s="234"/>
      <c r="K1188" s="243"/>
      <c r="L1188" s="243"/>
      <c r="M1188" s="234"/>
      <c r="N1188" s="235"/>
      <c r="O1188" s="236"/>
      <c r="P1188" s="236"/>
      <c r="Q1188" s="236"/>
      <c r="R1188" s="236"/>
      <c r="S1188" s="236"/>
      <c r="T1188" s="236"/>
      <c r="U1188" s="236"/>
      <c r="V1188" s="236"/>
      <c r="W1188" s="236"/>
      <c r="X1188" s="244"/>
      <c r="Y1188" s="244"/>
      <c r="Z1188" s="237"/>
      <c r="AA1188" s="244"/>
      <c r="AB1188" s="244"/>
      <c r="AC1188" s="244"/>
      <c r="AD1188" s="244"/>
      <c r="AE1188" s="234"/>
      <c r="AF1188" s="234"/>
      <c r="AG1188" s="238"/>
      <c r="AH1188" s="239"/>
      <c r="AI1188" s="238"/>
      <c r="AJ1188" s="238"/>
      <c r="AK1188" s="234"/>
      <c r="AL1188" s="234"/>
      <c r="AM1188" s="234"/>
      <c r="AN1188" s="234"/>
      <c r="AO1188" s="234"/>
    </row>
    <row r="1189" ht="15.75" customHeight="1">
      <c r="A1189" s="91"/>
      <c r="B1189" s="91"/>
      <c r="C1189" s="220"/>
      <c r="D1189" s="91"/>
      <c r="E1189" s="221"/>
      <c r="F1189" s="91"/>
      <c r="G1189" s="91"/>
      <c r="H1189" s="242"/>
      <c r="I1189" s="91"/>
      <c r="J1189" s="234"/>
      <c r="K1189" s="243"/>
      <c r="L1189" s="243"/>
      <c r="M1189" s="234"/>
      <c r="N1189" s="235"/>
      <c r="O1189" s="236"/>
      <c r="P1189" s="236"/>
      <c r="Q1189" s="236"/>
      <c r="R1189" s="236"/>
      <c r="S1189" s="236"/>
      <c r="T1189" s="236"/>
      <c r="U1189" s="236"/>
      <c r="V1189" s="236"/>
      <c r="W1189" s="236"/>
      <c r="X1189" s="244"/>
      <c r="Y1189" s="244"/>
      <c r="Z1189" s="237"/>
      <c r="AA1189" s="244"/>
      <c r="AB1189" s="244"/>
      <c r="AC1189" s="244"/>
      <c r="AD1189" s="244"/>
      <c r="AE1189" s="234"/>
      <c r="AF1189" s="234"/>
      <c r="AG1189" s="238"/>
      <c r="AH1189" s="239"/>
      <c r="AI1189" s="238"/>
      <c r="AJ1189" s="238"/>
      <c r="AK1189" s="234"/>
      <c r="AL1189" s="234"/>
      <c r="AM1189" s="234"/>
      <c r="AN1189" s="234"/>
      <c r="AO1189" s="234"/>
    </row>
    <row r="1190" ht="15.75" customHeight="1">
      <c r="A1190" s="91"/>
      <c r="B1190" s="91"/>
      <c r="C1190" s="220"/>
      <c r="D1190" s="91"/>
      <c r="E1190" s="221"/>
      <c r="F1190" s="91"/>
      <c r="G1190" s="91"/>
      <c r="H1190" s="242"/>
      <c r="I1190" s="91"/>
      <c r="J1190" s="234"/>
      <c r="K1190" s="243"/>
      <c r="L1190" s="243"/>
      <c r="M1190" s="234"/>
      <c r="N1190" s="235"/>
      <c r="O1190" s="236"/>
      <c r="P1190" s="236"/>
      <c r="Q1190" s="236"/>
      <c r="R1190" s="236"/>
      <c r="S1190" s="236"/>
      <c r="T1190" s="236"/>
      <c r="U1190" s="236"/>
      <c r="V1190" s="236"/>
      <c r="W1190" s="236"/>
      <c r="X1190" s="244"/>
      <c r="Y1190" s="244"/>
      <c r="Z1190" s="237"/>
      <c r="AA1190" s="244"/>
      <c r="AB1190" s="244"/>
      <c r="AC1190" s="244"/>
      <c r="AD1190" s="244"/>
      <c r="AE1190" s="234"/>
      <c r="AF1190" s="234"/>
      <c r="AG1190" s="238"/>
      <c r="AH1190" s="239"/>
      <c r="AI1190" s="238"/>
      <c r="AJ1190" s="238"/>
      <c r="AK1190" s="234"/>
      <c r="AL1190" s="234"/>
      <c r="AM1190" s="234"/>
      <c r="AN1190" s="234"/>
      <c r="AO1190" s="234"/>
    </row>
    <row r="1191" ht="15.75" customHeight="1">
      <c r="A1191" s="91"/>
      <c r="B1191" s="91"/>
      <c r="C1191" s="220"/>
      <c r="D1191" s="91"/>
      <c r="E1191" s="221"/>
      <c r="F1191" s="91"/>
      <c r="G1191" s="91"/>
      <c r="H1191" s="242"/>
      <c r="I1191" s="91"/>
      <c r="J1191" s="234"/>
      <c r="K1191" s="243"/>
      <c r="L1191" s="243"/>
      <c r="M1191" s="234"/>
      <c r="N1191" s="235"/>
      <c r="O1191" s="236"/>
      <c r="P1191" s="236"/>
      <c r="Q1191" s="236"/>
      <c r="R1191" s="236"/>
      <c r="S1191" s="236"/>
      <c r="T1191" s="236"/>
      <c r="U1191" s="236"/>
      <c r="V1191" s="236"/>
      <c r="W1191" s="236"/>
      <c r="X1191" s="244"/>
      <c r="Y1191" s="244"/>
      <c r="Z1191" s="237"/>
      <c r="AA1191" s="244"/>
      <c r="AB1191" s="244"/>
      <c r="AC1191" s="244"/>
      <c r="AD1191" s="244"/>
      <c r="AE1191" s="234"/>
      <c r="AF1191" s="234"/>
      <c r="AG1191" s="238"/>
      <c r="AH1191" s="239"/>
      <c r="AI1191" s="238"/>
      <c r="AJ1191" s="238"/>
      <c r="AK1191" s="234"/>
      <c r="AL1191" s="234"/>
      <c r="AM1191" s="234"/>
      <c r="AN1191" s="234"/>
      <c r="AO1191" s="234"/>
    </row>
    <row r="1192" ht="15.75" customHeight="1">
      <c r="A1192" s="91"/>
      <c r="B1192" s="91"/>
      <c r="C1192" s="220"/>
      <c r="D1192" s="91"/>
      <c r="E1192" s="221"/>
      <c r="F1192" s="91"/>
      <c r="G1192" s="91"/>
      <c r="H1192" s="242"/>
      <c r="I1192" s="91"/>
      <c r="J1192" s="234"/>
      <c r="K1192" s="243"/>
      <c r="L1192" s="243"/>
      <c r="M1192" s="234"/>
      <c r="N1192" s="235"/>
      <c r="O1192" s="236"/>
      <c r="P1192" s="236"/>
      <c r="Q1192" s="236"/>
      <c r="R1192" s="236"/>
      <c r="S1192" s="236"/>
      <c r="T1192" s="236"/>
      <c r="U1192" s="236"/>
      <c r="V1192" s="236"/>
      <c r="W1192" s="236"/>
      <c r="X1192" s="244"/>
      <c r="Y1192" s="244"/>
      <c r="Z1192" s="237"/>
      <c r="AA1192" s="244"/>
      <c r="AB1192" s="244"/>
      <c r="AC1192" s="244"/>
      <c r="AD1192" s="244"/>
      <c r="AE1192" s="234"/>
      <c r="AF1192" s="234"/>
      <c r="AG1192" s="238"/>
      <c r="AH1192" s="239"/>
      <c r="AI1192" s="238"/>
      <c r="AJ1192" s="238"/>
      <c r="AK1192" s="234"/>
      <c r="AL1192" s="234"/>
      <c r="AM1192" s="234"/>
      <c r="AN1192" s="234"/>
      <c r="AO1192" s="234"/>
    </row>
    <row r="1193" ht="15.75" customHeight="1">
      <c r="A1193" s="91"/>
      <c r="B1193" s="91"/>
      <c r="C1193" s="220"/>
      <c r="D1193" s="91"/>
      <c r="E1193" s="221"/>
      <c r="F1193" s="91"/>
      <c r="G1193" s="91"/>
      <c r="H1193" s="242"/>
      <c r="I1193" s="91"/>
      <c r="J1193" s="234"/>
      <c r="K1193" s="243"/>
      <c r="L1193" s="243"/>
      <c r="M1193" s="234"/>
      <c r="N1193" s="235"/>
      <c r="O1193" s="236"/>
      <c r="P1193" s="236"/>
      <c r="Q1193" s="236"/>
      <c r="R1193" s="236"/>
      <c r="S1193" s="236"/>
      <c r="T1193" s="236"/>
      <c r="U1193" s="236"/>
      <c r="V1193" s="236"/>
      <c r="W1193" s="236"/>
      <c r="X1193" s="244"/>
      <c r="Y1193" s="244"/>
      <c r="Z1193" s="237"/>
      <c r="AA1193" s="244"/>
      <c r="AB1193" s="244"/>
      <c r="AC1193" s="244"/>
      <c r="AD1193" s="244"/>
      <c r="AE1193" s="234"/>
      <c r="AF1193" s="234"/>
      <c r="AG1193" s="238"/>
      <c r="AH1193" s="239"/>
      <c r="AI1193" s="238"/>
      <c r="AJ1193" s="238"/>
      <c r="AK1193" s="234"/>
      <c r="AL1193" s="234"/>
      <c r="AM1193" s="234"/>
      <c r="AN1193" s="234"/>
      <c r="AO1193" s="234"/>
    </row>
    <row r="1194" ht="15.75" customHeight="1">
      <c r="A1194" s="91"/>
      <c r="B1194" s="91"/>
      <c r="C1194" s="220"/>
      <c r="D1194" s="91"/>
      <c r="E1194" s="221"/>
      <c r="F1194" s="91"/>
      <c r="G1194" s="91"/>
      <c r="H1194" s="242"/>
      <c r="I1194" s="91"/>
      <c r="J1194" s="234"/>
      <c r="K1194" s="243"/>
      <c r="L1194" s="243"/>
      <c r="M1194" s="234"/>
      <c r="N1194" s="235"/>
      <c r="O1194" s="236"/>
      <c r="P1194" s="236"/>
      <c r="Q1194" s="236"/>
      <c r="R1194" s="236"/>
      <c r="S1194" s="236"/>
      <c r="T1194" s="236"/>
      <c r="U1194" s="236"/>
      <c r="V1194" s="236"/>
      <c r="W1194" s="236"/>
      <c r="X1194" s="244"/>
      <c r="Y1194" s="244"/>
      <c r="Z1194" s="237"/>
      <c r="AA1194" s="244"/>
      <c r="AB1194" s="244"/>
      <c r="AC1194" s="244"/>
      <c r="AD1194" s="244"/>
      <c r="AE1194" s="234"/>
      <c r="AF1194" s="234"/>
      <c r="AG1194" s="238"/>
      <c r="AH1194" s="239"/>
      <c r="AI1194" s="238"/>
      <c r="AJ1194" s="238"/>
      <c r="AK1194" s="234"/>
      <c r="AL1194" s="234"/>
      <c r="AM1194" s="234"/>
      <c r="AN1194" s="234"/>
      <c r="AO1194" s="234"/>
    </row>
    <row r="1195" ht="15.75" customHeight="1">
      <c r="A1195" s="91"/>
      <c r="B1195" s="91"/>
      <c r="C1195" s="220"/>
      <c r="D1195" s="91"/>
      <c r="E1195" s="221"/>
      <c r="F1195" s="91"/>
      <c r="G1195" s="91"/>
      <c r="H1195" s="242"/>
      <c r="I1195" s="91"/>
      <c r="J1195" s="234"/>
      <c r="K1195" s="243"/>
      <c r="L1195" s="243"/>
      <c r="M1195" s="234"/>
      <c r="N1195" s="235"/>
      <c r="O1195" s="236"/>
      <c r="P1195" s="236"/>
      <c r="Q1195" s="236"/>
      <c r="R1195" s="236"/>
      <c r="S1195" s="236"/>
      <c r="T1195" s="236"/>
      <c r="U1195" s="236"/>
      <c r="V1195" s="236"/>
      <c r="W1195" s="236"/>
      <c r="X1195" s="244"/>
      <c r="Y1195" s="244"/>
      <c r="Z1195" s="237"/>
      <c r="AA1195" s="244"/>
      <c r="AB1195" s="244"/>
      <c r="AC1195" s="244"/>
      <c r="AD1195" s="244"/>
      <c r="AE1195" s="234"/>
      <c r="AF1195" s="234"/>
      <c r="AG1195" s="238"/>
      <c r="AH1195" s="239"/>
      <c r="AI1195" s="238"/>
      <c r="AJ1195" s="238"/>
      <c r="AK1195" s="234"/>
      <c r="AL1195" s="234"/>
      <c r="AM1195" s="234"/>
      <c r="AN1195" s="234"/>
      <c r="AO1195" s="234"/>
    </row>
    <row r="1196" ht="15.75" customHeight="1">
      <c r="A1196" s="91"/>
      <c r="B1196" s="91"/>
      <c r="C1196" s="220"/>
      <c r="D1196" s="91"/>
      <c r="E1196" s="221"/>
      <c r="F1196" s="91"/>
      <c r="G1196" s="91"/>
      <c r="H1196" s="242"/>
      <c r="I1196" s="91"/>
      <c r="J1196" s="234"/>
      <c r="K1196" s="243"/>
      <c r="L1196" s="243"/>
      <c r="M1196" s="234"/>
      <c r="N1196" s="235"/>
      <c r="O1196" s="236"/>
      <c r="P1196" s="236"/>
      <c r="Q1196" s="236"/>
      <c r="R1196" s="236"/>
      <c r="S1196" s="236"/>
      <c r="T1196" s="236"/>
      <c r="U1196" s="236"/>
      <c r="V1196" s="236"/>
      <c r="W1196" s="236"/>
      <c r="X1196" s="244"/>
      <c r="Y1196" s="244"/>
      <c r="Z1196" s="237"/>
      <c r="AA1196" s="244"/>
      <c r="AB1196" s="244"/>
      <c r="AC1196" s="244"/>
      <c r="AD1196" s="244"/>
      <c r="AE1196" s="234"/>
      <c r="AF1196" s="234"/>
      <c r="AG1196" s="238"/>
      <c r="AH1196" s="239"/>
      <c r="AI1196" s="238"/>
      <c r="AJ1196" s="238"/>
      <c r="AK1196" s="234"/>
      <c r="AL1196" s="234"/>
      <c r="AM1196" s="234"/>
      <c r="AN1196" s="234"/>
      <c r="AO1196" s="234"/>
    </row>
    <row r="1197" ht="15.75" customHeight="1">
      <c r="A1197" s="91"/>
      <c r="B1197" s="91"/>
      <c r="C1197" s="220"/>
      <c r="D1197" s="91"/>
      <c r="E1197" s="221"/>
      <c r="F1197" s="91"/>
      <c r="G1197" s="91"/>
      <c r="H1197" s="242"/>
      <c r="I1197" s="91"/>
      <c r="J1197" s="234"/>
      <c r="K1197" s="243"/>
      <c r="L1197" s="243"/>
      <c r="M1197" s="234"/>
      <c r="N1197" s="235"/>
      <c r="O1197" s="236"/>
      <c r="P1197" s="236"/>
      <c r="Q1197" s="236"/>
      <c r="R1197" s="236"/>
      <c r="S1197" s="236"/>
      <c r="T1197" s="236"/>
      <c r="U1197" s="236"/>
      <c r="V1197" s="236"/>
      <c r="W1197" s="236"/>
      <c r="X1197" s="244"/>
      <c r="Y1197" s="244"/>
      <c r="Z1197" s="237"/>
      <c r="AA1197" s="244"/>
      <c r="AB1197" s="244"/>
      <c r="AC1197" s="244"/>
      <c r="AD1197" s="244"/>
      <c r="AE1197" s="234"/>
      <c r="AF1197" s="234"/>
      <c r="AG1197" s="238"/>
      <c r="AH1197" s="239"/>
      <c r="AI1197" s="238"/>
      <c r="AJ1197" s="238"/>
      <c r="AK1197" s="234"/>
      <c r="AL1197" s="234"/>
      <c r="AM1197" s="234"/>
      <c r="AN1197" s="234"/>
      <c r="AO1197" s="234"/>
    </row>
    <row r="1198" ht="15.75" customHeight="1">
      <c r="A1198" s="91"/>
      <c r="B1198" s="91"/>
      <c r="C1198" s="220"/>
      <c r="D1198" s="91"/>
      <c r="E1198" s="221"/>
      <c r="F1198" s="91"/>
      <c r="G1198" s="91"/>
      <c r="H1198" s="242"/>
      <c r="I1198" s="91"/>
      <c r="J1198" s="234"/>
      <c r="K1198" s="243"/>
      <c r="L1198" s="243"/>
      <c r="M1198" s="234"/>
      <c r="N1198" s="235"/>
      <c r="O1198" s="236"/>
      <c r="P1198" s="236"/>
      <c r="Q1198" s="236"/>
      <c r="R1198" s="236"/>
      <c r="S1198" s="236"/>
      <c r="T1198" s="236"/>
      <c r="U1198" s="236"/>
      <c r="V1198" s="236"/>
      <c r="W1198" s="236"/>
      <c r="X1198" s="244"/>
      <c r="Y1198" s="244"/>
      <c r="Z1198" s="237"/>
      <c r="AA1198" s="244"/>
      <c r="AB1198" s="244"/>
      <c r="AC1198" s="244"/>
      <c r="AD1198" s="244"/>
      <c r="AE1198" s="234"/>
      <c r="AF1198" s="234"/>
      <c r="AG1198" s="238"/>
      <c r="AH1198" s="239"/>
      <c r="AI1198" s="238"/>
      <c r="AJ1198" s="238"/>
      <c r="AK1198" s="234"/>
      <c r="AL1198" s="234"/>
      <c r="AM1198" s="234"/>
      <c r="AN1198" s="234"/>
      <c r="AO1198" s="234"/>
    </row>
    <row r="1199" ht="15.75" customHeight="1">
      <c r="A1199" s="91"/>
      <c r="B1199" s="91"/>
      <c r="C1199" s="220"/>
      <c r="D1199" s="91"/>
      <c r="E1199" s="221"/>
      <c r="F1199" s="91"/>
      <c r="G1199" s="91"/>
      <c r="H1199" s="242"/>
      <c r="I1199" s="91"/>
      <c r="J1199" s="234"/>
      <c r="K1199" s="243"/>
      <c r="L1199" s="243"/>
      <c r="M1199" s="234"/>
      <c r="N1199" s="235"/>
      <c r="O1199" s="236"/>
      <c r="P1199" s="236"/>
      <c r="Q1199" s="236"/>
      <c r="R1199" s="236"/>
      <c r="S1199" s="236"/>
      <c r="T1199" s="236"/>
      <c r="U1199" s="236"/>
      <c r="V1199" s="236"/>
      <c r="W1199" s="236"/>
      <c r="X1199" s="244"/>
      <c r="Y1199" s="244"/>
      <c r="Z1199" s="237"/>
      <c r="AA1199" s="244"/>
      <c r="AB1199" s="244"/>
      <c r="AC1199" s="244"/>
      <c r="AD1199" s="244"/>
      <c r="AE1199" s="234"/>
      <c r="AF1199" s="234"/>
      <c r="AG1199" s="238"/>
      <c r="AH1199" s="239"/>
      <c r="AI1199" s="238"/>
      <c r="AJ1199" s="238"/>
      <c r="AK1199" s="234"/>
      <c r="AL1199" s="234"/>
      <c r="AM1199" s="234"/>
      <c r="AN1199" s="234"/>
      <c r="AO1199" s="234"/>
    </row>
    <row r="1200" ht="15.75" customHeight="1">
      <c r="A1200" s="91"/>
      <c r="B1200" s="91"/>
      <c r="C1200" s="220"/>
      <c r="D1200" s="91"/>
      <c r="E1200" s="221"/>
      <c r="F1200" s="91"/>
      <c r="G1200" s="91"/>
      <c r="H1200" s="242"/>
      <c r="I1200" s="91"/>
      <c r="J1200" s="234"/>
      <c r="K1200" s="243"/>
      <c r="L1200" s="243"/>
      <c r="M1200" s="234"/>
      <c r="N1200" s="235"/>
      <c r="O1200" s="236"/>
      <c r="P1200" s="236"/>
      <c r="Q1200" s="236"/>
      <c r="R1200" s="236"/>
      <c r="S1200" s="236"/>
      <c r="T1200" s="236"/>
      <c r="U1200" s="236"/>
      <c r="V1200" s="236"/>
      <c r="W1200" s="236"/>
      <c r="X1200" s="244"/>
      <c r="Y1200" s="244"/>
      <c r="Z1200" s="237"/>
      <c r="AA1200" s="244"/>
      <c r="AB1200" s="244"/>
      <c r="AC1200" s="244"/>
      <c r="AD1200" s="244"/>
      <c r="AE1200" s="234"/>
      <c r="AF1200" s="234"/>
      <c r="AG1200" s="238"/>
      <c r="AH1200" s="239"/>
      <c r="AI1200" s="238"/>
      <c r="AJ1200" s="238"/>
      <c r="AK1200" s="234"/>
      <c r="AL1200" s="234"/>
      <c r="AM1200" s="234"/>
      <c r="AN1200" s="234"/>
      <c r="AO1200" s="234"/>
    </row>
    <row r="1201" ht="15.75" customHeight="1">
      <c r="A1201" s="91"/>
      <c r="B1201" s="91"/>
      <c r="C1201" s="220"/>
      <c r="D1201" s="91"/>
      <c r="E1201" s="221"/>
      <c r="F1201" s="91"/>
      <c r="G1201" s="91"/>
      <c r="H1201" s="242"/>
      <c r="I1201" s="91"/>
      <c r="J1201" s="234"/>
      <c r="K1201" s="243"/>
      <c r="L1201" s="243"/>
      <c r="M1201" s="234"/>
      <c r="N1201" s="235"/>
      <c r="O1201" s="236"/>
      <c r="P1201" s="236"/>
      <c r="Q1201" s="236"/>
      <c r="R1201" s="236"/>
      <c r="S1201" s="236"/>
      <c r="T1201" s="236"/>
      <c r="U1201" s="236"/>
      <c r="V1201" s="236"/>
      <c r="W1201" s="236"/>
      <c r="X1201" s="244"/>
      <c r="Y1201" s="244"/>
      <c r="Z1201" s="237"/>
      <c r="AA1201" s="244"/>
      <c r="AB1201" s="244"/>
      <c r="AC1201" s="244"/>
      <c r="AD1201" s="244"/>
      <c r="AE1201" s="234"/>
      <c r="AF1201" s="234"/>
      <c r="AG1201" s="238"/>
      <c r="AH1201" s="239"/>
      <c r="AI1201" s="238"/>
      <c r="AJ1201" s="238"/>
      <c r="AK1201" s="234"/>
      <c r="AL1201" s="234"/>
      <c r="AM1201" s="234"/>
      <c r="AN1201" s="234"/>
      <c r="AO1201" s="234"/>
    </row>
    <row r="1202" ht="15.75" customHeight="1">
      <c r="A1202" s="91"/>
      <c r="B1202" s="91"/>
      <c r="C1202" s="220"/>
      <c r="D1202" s="91"/>
      <c r="E1202" s="221"/>
      <c r="F1202" s="91"/>
      <c r="G1202" s="91"/>
      <c r="H1202" s="242"/>
      <c r="I1202" s="91"/>
      <c r="J1202" s="234"/>
      <c r="K1202" s="243"/>
      <c r="L1202" s="243"/>
      <c r="M1202" s="234"/>
      <c r="N1202" s="235"/>
      <c r="O1202" s="236"/>
      <c r="P1202" s="236"/>
      <c r="Q1202" s="236"/>
      <c r="R1202" s="236"/>
      <c r="S1202" s="236"/>
      <c r="T1202" s="236"/>
      <c r="U1202" s="236"/>
      <c r="V1202" s="236"/>
      <c r="W1202" s="236"/>
      <c r="X1202" s="244"/>
      <c r="Y1202" s="244"/>
      <c r="Z1202" s="237"/>
      <c r="AA1202" s="244"/>
      <c r="AB1202" s="244"/>
      <c r="AC1202" s="244"/>
      <c r="AD1202" s="244"/>
      <c r="AE1202" s="234"/>
      <c r="AF1202" s="234"/>
      <c r="AG1202" s="238"/>
      <c r="AH1202" s="239"/>
      <c r="AI1202" s="238"/>
      <c r="AJ1202" s="238"/>
      <c r="AK1202" s="234"/>
      <c r="AL1202" s="234"/>
      <c r="AM1202" s="234"/>
      <c r="AN1202" s="234"/>
      <c r="AO1202" s="234"/>
    </row>
    <row r="1203" ht="15.75" customHeight="1">
      <c r="A1203" s="91"/>
      <c r="B1203" s="91"/>
      <c r="C1203" s="220"/>
      <c r="D1203" s="91"/>
      <c r="E1203" s="221"/>
      <c r="F1203" s="91"/>
      <c r="G1203" s="91"/>
      <c r="H1203" s="242"/>
      <c r="I1203" s="91"/>
      <c r="J1203" s="234"/>
      <c r="K1203" s="243"/>
      <c r="L1203" s="243"/>
      <c r="M1203" s="234"/>
      <c r="N1203" s="235"/>
      <c r="O1203" s="236"/>
      <c r="P1203" s="236"/>
      <c r="Q1203" s="236"/>
      <c r="R1203" s="236"/>
      <c r="S1203" s="236"/>
      <c r="T1203" s="236"/>
      <c r="U1203" s="236"/>
      <c r="V1203" s="236"/>
      <c r="W1203" s="236"/>
      <c r="X1203" s="244"/>
      <c r="Y1203" s="244"/>
      <c r="Z1203" s="237"/>
      <c r="AA1203" s="244"/>
      <c r="AB1203" s="244"/>
      <c r="AC1203" s="244"/>
      <c r="AD1203" s="244"/>
      <c r="AE1203" s="234"/>
      <c r="AF1203" s="234"/>
      <c r="AG1203" s="238"/>
      <c r="AH1203" s="239"/>
      <c r="AI1203" s="238"/>
      <c r="AJ1203" s="238"/>
      <c r="AK1203" s="234"/>
      <c r="AL1203" s="234"/>
      <c r="AM1203" s="234"/>
      <c r="AN1203" s="234"/>
      <c r="AO1203" s="234"/>
    </row>
    <row r="1204" ht="15.75" customHeight="1">
      <c r="A1204" s="91"/>
      <c r="B1204" s="91"/>
      <c r="C1204" s="220"/>
      <c r="D1204" s="91"/>
      <c r="E1204" s="221"/>
      <c r="F1204" s="91"/>
      <c r="G1204" s="91"/>
      <c r="H1204" s="242"/>
      <c r="I1204" s="91"/>
      <c r="J1204" s="234"/>
      <c r="K1204" s="243"/>
      <c r="L1204" s="243"/>
      <c r="M1204" s="234"/>
      <c r="N1204" s="235"/>
      <c r="O1204" s="236"/>
      <c r="P1204" s="236"/>
      <c r="Q1204" s="236"/>
      <c r="R1204" s="236"/>
      <c r="S1204" s="236"/>
      <c r="T1204" s="236"/>
      <c r="U1204" s="236"/>
      <c r="V1204" s="236"/>
      <c r="W1204" s="236"/>
      <c r="X1204" s="244"/>
      <c r="Y1204" s="244"/>
      <c r="Z1204" s="237"/>
      <c r="AA1204" s="244"/>
      <c r="AB1204" s="244"/>
      <c r="AC1204" s="244"/>
      <c r="AD1204" s="244"/>
      <c r="AE1204" s="234"/>
      <c r="AF1204" s="234"/>
      <c r="AG1204" s="238"/>
      <c r="AH1204" s="239"/>
      <c r="AI1204" s="238"/>
      <c r="AJ1204" s="238"/>
      <c r="AK1204" s="234"/>
      <c r="AL1204" s="234"/>
      <c r="AM1204" s="234"/>
      <c r="AN1204" s="234"/>
      <c r="AO1204" s="234"/>
    </row>
    <row r="1205" ht="15.75" customHeight="1">
      <c r="A1205" s="91"/>
      <c r="B1205" s="91"/>
      <c r="C1205" s="220"/>
      <c r="D1205" s="91"/>
      <c r="E1205" s="221"/>
      <c r="F1205" s="91"/>
      <c r="G1205" s="91"/>
      <c r="H1205" s="242"/>
      <c r="I1205" s="91"/>
      <c r="J1205" s="234"/>
      <c r="K1205" s="243"/>
      <c r="L1205" s="243"/>
      <c r="M1205" s="234"/>
      <c r="N1205" s="235"/>
      <c r="O1205" s="236"/>
      <c r="P1205" s="236"/>
      <c r="Q1205" s="236"/>
      <c r="R1205" s="236"/>
      <c r="S1205" s="236"/>
      <c r="T1205" s="236"/>
      <c r="U1205" s="236"/>
      <c r="V1205" s="236"/>
      <c r="W1205" s="236"/>
      <c r="X1205" s="244"/>
      <c r="Y1205" s="244"/>
      <c r="Z1205" s="237"/>
      <c r="AA1205" s="244"/>
      <c r="AB1205" s="244"/>
      <c r="AC1205" s="244"/>
      <c r="AD1205" s="244"/>
      <c r="AE1205" s="234"/>
      <c r="AF1205" s="234"/>
      <c r="AG1205" s="238"/>
      <c r="AH1205" s="239"/>
      <c r="AI1205" s="238"/>
      <c r="AJ1205" s="238"/>
      <c r="AK1205" s="234"/>
      <c r="AL1205" s="234"/>
      <c r="AM1205" s="234"/>
      <c r="AN1205" s="234"/>
      <c r="AO1205" s="234"/>
    </row>
    <row r="1206" ht="15.75" customHeight="1">
      <c r="A1206" s="91"/>
      <c r="B1206" s="91"/>
      <c r="C1206" s="220"/>
      <c r="D1206" s="91"/>
      <c r="E1206" s="221"/>
      <c r="F1206" s="91"/>
      <c r="G1206" s="91"/>
      <c r="H1206" s="242"/>
      <c r="I1206" s="91"/>
      <c r="J1206" s="234"/>
      <c r="K1206" s="243"/>
      <c r="L1206" s="243"/>
      <c r="M1206" s="234"/>
      <c r="N1206" s="235"/>
      <c r="O1206" s="236"/>
      <c r="P1206" s="236"/>
      <c r="Q1206" s="236"/>
      <c r="R1206" s="236"/>
      <c r="S1206" s="236"/>
      <c r="T1206" s="236"/>
      <c r="U1206" s="236"/>
      <c r="V1206" s="236"/>
      <c r="W1206" s="236"/>
      <c r="X1206" s="244"/>
      <c r="Y1206" s="244"/>
      <c r="Z1206" s="237"/>
      <c r="AA1206" s="244"/>
      <c r="AB1206" s="244"/>
      <c r="AC1206" s="244"/>
      <c r="AD1206" s="244"/>
      <c r="AE1206" s="234"/>
      <c r="AF1206" s="234"/>
      <c r="AG1206" s="238"/>
      <c r="AH1206" s="239"/>
      <c r="AI1206" s="238"/>
      <c r="AJ1206" s="238"/>
      <c r="AK1206" s="234"/>
      <c r="AL1206" s="234"/>
      <c r="AM1206" s="234"/>
      <c r="AN1206" s="234"/>
      <c r="AO1206" s="234"/>
    </row>
    <row r="1207" ht="15.75" customHeight="1">
      <c r="A1207" s="91"/>
      <c r="B1207" s="91"/>
      <c r="C1207" s="220"/>
      <c r="D1207" s="91"/>
      <c r="E1207" s="221"/>
      <c r="F1207" s="91"/>
      <c r="G1207" s="91"/>
      <c r="H1207" s="242"/>
      <c r="I1207" s="91"/>
      <c r="J1207" s="234"/>
      <c r="K1207" s="243"/>
      <c r="L1207" s="243"/>
      <c r="M1207" s="234"/>
      <c r="N1207" s="235"/>
      <c r="O1207" s="236"/>
      <c r="P1207" s="236"/>
      <c r="Q1207" s="236"/>
      <c r="R1207" s="236"/>
      <c r="S1207" s="236"/>
      <c r="T1207" s="236"/>
      <c r="U1207" s="236"/>
      <c r="V1207" s="236"/>
      <c r="W1207" s="236"/>
      <c r="X1207" s="244"/>
      <c r="Y1207" s="244"/>
      <c r="Z1207" s="237"/>
      <c r="AA1207" s="244"/>
      <c r="AB1207" s="244"/>
      <c r="AC1207" s="244"/>
      <c r="AD1207" s="244"/>
      <c r="AE1207" s="234"/>
      <c r="AF1207" s="234"/>
      <c r="AG1207" s="238"/>
      <c r="AH1207" s="239"/>
      <c r="AI1207" s="238"/>
      <c r="AJ1207" s="238"/>
      <c r="AK1207" s="234"/>
      <c r="AL1207" s="234"/>
      <c r="AM1207" s="234"/>
      <c r="AN1207" s="234"/>
      <c r="AO1207" s="234"/>
    </row>
    <row r="1208" ht="15.75" customHeight="1">
      <c r="A1208" s="91"/>
      <c r="B1208" s="91"/>
      <c r="C1208" s="220"/>
      <c r="D1208" s="91"/>
      <c r="E1208" s="221"/>
      <c r="F1208" s="91"/>
      <c r="G1208" s="91"/>
      <c r="H1208" s="242"/>
      <c r="I1208" s="91"/>
      <c r="J1208" s="234"/>
      <c r="K1208" s="243"/>
      <c r="L1208" s="243"/>
      <c r="M1208" s="234"/>
      <c r="N1208" s="235"/>
      <c r="O1208" s="236"/>
      <c r="P1208" s="236"/>
      <c r="Q1208" s="236"/>
      <c r="R1208" s="236"/>
      <c r="S1208" s="236"/>
      <c r="T1208" s="236"/>
      <c r="U1208" s="236"/>
      <c r="V1208" s="236"/>
      <c r="W1208" s="236"/>
      <c r="X1208" s="244"/>
      <c r="Y1208" s="244"/>
      <c r="Z1208" s="237"/>
      <c r="AA1208" s="244"/>
      <c r="AB1208" s="244"/>
      <c r="AC1208" s="244"/>
      <c r="AD1208" s="244"/>
      <c r="AE1208" s="234"/>
      <c r="AF1208" s="234"/>
      <c r="AG1208" s="238"/>
      <c r="AH1208" s="239"/>
      <c r="AI1208" s="238"/>
      <c r="AJ1208" s="238"/>
      <c r="AK1208" s="234"/>
      <c r="AL1208" s="234"/>
      <c r="AM1208" s="234"/>
      <c r="AN1208" s="234"/>
      <c r="AO1208" s="234"/>
    </row>
    <row r="1209" ht="15.75" customHeight="1">
      <c r="A1209" s="91"/>
      <c r="B1209" s="91"/>
      <c r="C1209" s="220"/>
      <c r="D1209" s="91"/>
      <c r="E1209" s="221"/>
      <c r="F1209" s="91"/>
      <c r="G1209" s="91"/>
      <c r="H1209" s="242"/>
      <c r="I1209" s="91"/>
      <c r="J1209" s="234"/>
      <c r="K1209" s="243"/>
      <c r="L1209" s="243"/>
      <c r="M1209" s="234"/>
      <c r="N1209" s="235"/>
      <c r="O1209" s="236"/>
      <c r="P1209" s="236"/>
      <c r="Q1209" s="236"/>
      <c r="R1209" s="236"/>
      <c r="S1209" s="236"/>
      <c r="T1209" s="236"/>
      <c r="U1209" s="236"/>
      <c r="V1209" s="236"/>
      <c r="W1209" s="236"/>
      <c r="X1209" s="244"/>
      <c r="Y1209" s="244"/>
      <c r="Z1209" s="237"/>
      <c r="AA1209" s="244"/>
      <c r="AB1209" s="244"/>
      <c r="AC1209" s="244"/>
      <c r="AD1209" s="244"/>
      <c r="AE1209" s="234"/>
      <c r="AF1209" s="234"/>
      <c r="AG1209" s="238"/>
      <c r="AH1209" s="239"/>
      <c r="AI1209" s="238"/>
      <c r="AJ1209" s="238"/>
      <c r="AK1209" s="234"/>
      <c r="AL1209" s="234"/>
      <c r="AM1209" s="234"/>
      <c r="AN1209" s="234"/>
      <c r="AO1209" s="234"/>
    </row>
    <row r="1210" ht="15.75" customHeight="1">
      <c r="A1210" s="91"/>
      <c r="B1210" s="91"/>
      <c r="C1210" s="220"/>
      <c r="D1210" s="91"/>
      <c r="E1210" s="221"/>
      <c r="F1210" s="91"/>
      <c r="G1210" s="91"/>
      <c r="H1210" s="242"/>
      <c r="I1210" s="91"/>
      <c r="J1210" s="234"/>
      <c r="K1210" s="243"/>
      <c r="L1210" s="243"/>
      <c r="M1210" s="234"/>
      <c r="N1210" s="235"/>
      <c r="O1210" s="236"/>
      <c r="P1210" s="236"/>
      <c r="Q1210" s="236"/>
      <c r="R1210" s="236"/>
      <c r="S1210" s="236"/>
      <c r="T1210" s="236"/>
      <c r="U1210" s="236"/>
      <c r="V1210" s="236"/>
      <c r="W1210" s="236"/>
      <c r="X1210" s="244"/>
      <c r="Y1210" s="244"/>
      <c r="Z1210" s="237"/>
      <c r="AA1210" s="244"/>
      <c r="AB1210" s="244"/>
      <c r="AC1210" s="244"/>
      <c r="AD1210" s="244"/>
      <c r="AE1210" s="234"/>
      <c r="AF1210" s="234"/>
      <c r="AG1210" s="238"/>
      <c r="AH1210" s="239"/>
      <c r="AI1210" s="238"/>
      <c r="AJ1210" s="238"/>
      <c r="AK1210" s="234"/>
      <c r="AL1210" s="234"/>
      <c r="AM1210" s="234"/>
      <c r="AN1210" s="234"/>
      <c r="AO1210" s="234"/>
    </row>
    <row r="1211" ht="15.75" customHeight="1">
      <c r="A1211" s="91"/>
      <c r="B1211" s="91"/>
      <c r="C1211" s="220"/>
      <c r="D1211" s="91"/>
      <c r="E1211" s="221"/>
      <c r="F1211" s="91"/>
      <c r="G1211" s="91"/>
      <c r="H1211" s="242"/>
      <c r="I1211" s="91"/>
      <c r="J1211" s="234"/>
      <c r="K1211" s="243"/>
      <c r="L1211" s="243"/>
      <c r="M1211" s="234"/>
      <c r="N1211" s="235"/>
      <c r="O1211" s="236"/>
      <c r="P1211" s="236"/>
      <c r="Q1211" s="236"/>
      <c r="R1211" s="236"/>
      <c r="S1211" s="236"/>
      <c r="T1211" s="236"/>
      <c r="U1211" s="236"/>
      <c r="V1211" s="236"/>
      <c r="W1211" s="236"/>
      <c r="X1211" s="244"/>
      <c r="Y1211" s="244"/>
      <c r="Z1211" s="237"/>
      <c r="AA1211" s="244"/>
      <c r="AB1211" s="244"/>
      <c r="AC1211" s="244"/>
      <c r="AD1211" s="244"/>
      <c r="AE1211" s="234"/>
      <c r="AF1211" s="234"/>
      <c r="AG1211" s="238"/>
      <c r="AH1211" s="239"/>
      <c r="AI1211" s="238"/>
      <c r="AJ1211" s="238"/>
      <c r="AK1211" s="234"/>
      <c r="AL1211" s="234"/>
      <c r="AM1211" s="234"/>
      <c r="AN1211" s="234"/>
      <c r="AO1211" s="234"/>
    </row>
    <row r="1212" ht="15.75" customHeight="1">
      <c r="A1212" s="91"/>
      <c r="B1212" s="91"/>
      <c r="C1212" s="220"/>
      <c r="D1212" s="91"/>
      <c r="E1212" s="221"/>
      <c r="F1212" s="91"/>
      <c r="G1212" s="91"/>
      <c r="H1212" s="242"/>
      <c r="I1212" s="91"/>
      <c r="J1212" s="234"/>
      <c r="K1212" s="243"/>
      <c r="L1212" s="243"/>
      <c r="M1212" s="234"/>
      <c r="N1212" s="235"/>
      <c r="O1212" s="236"/>
      <c r="P1212" s="236"/>
      <c r="Q1212" s="236"/>
      <c r="R1212" s="236"/>
      <c r="S1212" s="236"/>
      <c r="T1212" s="236"/>
      <c r="U1212" s="236"/>
      <c r="V1212" s="236"/>
      <c r="W1212" s="236"/>
      <c r="X1212" s="244"/>
      <c r="Y1212" s="244"/>
      <c r="Z1212" s="237"/>
      <c r="AA1212" s="244"/>
      <c r="AB1212" s="244"/>
      <c r="AC1212" s="244"/>
      <c r="AD1212" s="244"/>
      <c r="AE1212" s="234"/>
      <c r="AF1212" s="234"/>
      <c r="AG1212" s="238"/>
      <c r="AH1212" s="239"/>
      <c r="AI1212" s="238"/>
      <c r="AJ1212" s="238"/>
      <c r="AK1212" s="234"/>
      <c r="AL1212" s="234"/>
      <c r="AM1212" s="234"/>
      <c r="AN1212" s="234"/>
      <c r="AO1212" s="234"/>
    </row>
    <row r="1213" ht="15.75" customHeight="1">
      <c r="A1213" s="91"/>
      <c r="B1213" s="91"/>
      <c r="C1213" s="220"/>
      <c r="D1213" s="91"/>
      <c r="E1213" s="221"/>
      <c r="F1213" s="91"/>
      <c r="G1213" s="91"/>
      <c r="H1213" s="242"/>
      <c r="I1213" s="91"/>
      <c r="J1213" s="234"/>
      <c r="K1213" s="243"/>
      <c r="L1213" s="243"/>
      <c r="M1213" s="234"/>
      <c r="N1213" s="235"/>
      <c r="O1213" s="236"/>
      <c r="P1213" s="236"/>
      <c r="Q1213" s="236"/>
      <c r="R1213" s="236"/>
      <c r="S1213" s="236"/>
      <c r="T1213" s="236"/>
      <c r="U1213" s="236"/>
      <c r="V1213" s="236"/>
      <c r="W1213" s="236"/>
      <c r="X1213" s="244"/>
      <c r="Y1213" s="244"/>
      <c r="Z1213" s="237"/>
      <c r="AA1213" s="244"/>
      <c r="AB1213" s="244"/>
      <c r="AC1213" s="244"/>
      <c r="AD1213" s="244"/>
      <c r="AE1213" s="234"/>
      <c r="AF1213" s="234"/>
      <c r="AG1213" s="238"/>
      <c r="AH1213" s="239"/>
      <c r="AI1213" s="238"/>
      <c r="AJ1213" s="238"/>
      <c r="AK1213" s="234"/>
      <c r="AL1213" s="234"/>
      <c r="AM1213" s="234"/>
      <c r="AN1213" s="234"/>
      <c r="AO1213" s="234"/>
    </row>
    <row r="1214" ht="15.75" customHeight="1">
      <c r="A1214" s="91"/>
      <c r="B1214" s="91"/>
      <c r="C1214" s="220"/>
      <c r="D1214" s="91"/>
      <c r="E1214" s="221"/>
      <c r="F1214" s="91"/>
      <c r="G1214" s="91"/>
      <c r="H1214" s="242"/>
      <c r="I1214" s="91"/>
      <c r="J1214" s="234"/>
      <c r="K1214" s="243"/>
      <c r="L1214" s="243"/>
      <c r="M1214" s="234"/>
      <c r="N1214" s="235"/>
      <c r="O1214" s="236"/>
      <c r="P1214" s="236"/>
      <c r="Q1214" s="236"/>
      <c r="R1214" s="236"/>
      <c r="S1214" s="236"/>
      <c r="T1214" s="236"/>
      <c r="U1214" s="236"/>
      <c r="V1214" s="236"/>
      <c r="W1214" s="236"/>
      <c r="X1214" s="244"/>
      <c r="Y1214" s="244"/>
      <c r="Z1214" s="237"/>
      <c r="AA1214" s="244"/>
      <c r="AB1214" s="244"/>
      <c r="AC1214" s="244"/>
      <c r="AD1214" s="244"/>
      <c r="AE1214" s="234"/>
      <c r="AF1214" s="234"/>
      <c r="AG1214" s="238"/>
      <c r="AH1214" s="239"/>
      <c r="AI1214" s="238"/>
      <c r="AJ1214" s="238"/>
      <c r="AK1214" s="234"/>
      <c r="AL1214" s="234"/>
      <c r="AM1214" s="234"/>
      <c r="AN1214" s="234"/>
      <c r="AO1214" s="234"/>
    </row>
    <row r="1215" ht="15.75" customHeight="1">
      <c r="A1215" s="91"/>
      <c r="B1215" s="91"/>
      <c r="C1215" s="220"/>
      <c r="D1215" s="91"/>
      <c r="E1215" s="221"/>
      <c r="F1215" s="91"/>
      <c r="G1215" s="91"/>
      <c r="H1215" s="242"/>
      <c r="I1215" s="91"/>
      <c r="J1215" s="234"/>
      <c r="K1215" s="243"/>
      <c r="L1215" s="243"/>
      <c r="M1215" s="234"/>
      <c r="N1215" s="235"/>
      <c r="O1215" s="236"/>
      <c r="P1215" s="236"/>
      <c r="Q1215" s="236"/>
      <c r="R1215" s="236"/>
      <c r="S1215" s="236"/>
      <c r="T1215" s="236"/>
      <c r="U1215" s="236"/>
      <c r="V1215" s="236"/>
      <c r="W1215" s="236"/>
      <c r="X1215" s="244"/>
      <c r="Y1215" s="244"/>
      <c r="Z1215" s="237"/>
      <c r="AA1215" s="244"/>
      <c r="AB1215" s="244"/>
      <c r="AC1215" s="244"/>
      <c r="AD1215" s="244"/>
      <c r="AE1215" s="234"/>
      <c r="AF1215" s="234"/>
      <c r="AG1215" s="238"/>
      <c r="AH1215" s="239"/>
      <c r="AI1215" s="238"/>
      <c r="AJ1215" s="238"/>
      <c r="AK1215" s="234"/>
      <c r="AL1215" s="234"/>
      <c r="AM1215" s="234"/>
      <c r="AN1215" s="234"/>
      <c r="AO1215" s="234"/>
    </row>
    <row r="1216" ht="15.75" customHeight="1">
      <c r="A1216" s="91"/>
      <c r="B1216" s="91"/>
      <c r="C1216" s="220"/>
      <c r="D1216" s="91"/>
      <c r="E1216" s="221"/>
      <c r="F1216" s="91"/>
      <c r="G1216" s="91"/>
      <c r="H1216" s="242"/>
      <c r="I1216" s="91"/>
      <c r="J1216" s="234"/>
      <c r="K1216" s="243"/>
      <c r="L1216" s="243"/>
      <c r="M1216" s="234"/>
      <c r="N1216" s="235"/>
      <c r="O1216" s="236"/>
      <c r="P1216" s="236"/>
      <c r="Q1216" s="236"/>
      <c r="R1216" s="236"/>
      <c r="S1216" s="236"/>
      <c r="T1216" s="236"/>
      <c r="U1216" s="236"/>
      <c r="V1216" s="236"/>
      <c r="W1216" s="236"/>
      <c r="X1216" s="244"/>
      <c r="Y1216" s="244"/>
      <c r="Z1216" s="237"/>
      <c r="AA1216" s="244"/>
      <c r="AB1216" s="244"/>
      <c r="AC1216" s="244"/>
      <c r="AD1216" s="244"/>
      <c r="AE1216" s="234"/>
      <c r="AF1216" s="234"/>
      <c r="AG1216" s="238"/>
      <c r="AH1216" s="239"/>
      <c r="AI1216" s="238"/>
      <c r="AJ1216" s="238"/>
      <c r="AK1216" s="234"/>
      <c r="AL1216" s="234"/>
      <c r="AM1216" s="234"/>
      <c r="AN1216" s="234"/>
      <c r="AO1216" s="234"/>
    </row>
    <row r="1217" ht="15.75" customHeight="1">
      <c r="A1217" s="91"/>
      <c r="B1217" s="91"/>
      <c r="C1217" s="220"/>
      <c r="D1217" s="91"/>
      <c r="E1217" s="221"/>
      <c r="F1217" s="91"/>
      <c r="G1217" s="91"/>
      <c r="H1217" s="242"/>
      <c r="I1217" s="91"/>
      <c r="J1217" s="234"/>
      <c r="K1217" s="243"/>
      <c r="L1217" s="243"/>
      <c r="M1217" s="234"/>
      <c r="N1217" s="235"/>
      <c r="O1217" s="236"/>
      <c r="P1217" s="236"/>
      <c r="Q1217" s="236"/>
      <c r="R1217" s="236"/>
      <c r="S1217" s="236"/>
      <c r="T1217" s="236"/>
      <c r="U1217" s="236"/>
      <c r="V1217" s="236"/>
      <c r="W1217" s="236"/>
      <c r="X1217" s="244"/>
      <c r="Y1217" s="244"/>
      <c r="Z1217" s="237"/>
      <c r="AA1217" s="244"/>
      <c r="AB1217" s="244"/>
      <c r="AC1217" s="244"/>
      <c r="AD1217" s="244"/>
      <c r="AE1217" s="234"/>
      <c r="AF1217" s="234"/>
      <c r="AG1217" s="238"/>
      <c r="AH1217" s="239"/>
      <c r="AI1217" s="238"/>
      <c r="AJ1217" s="238"/>
      <c r="AK1217" s="234"/>
      <c r="AL1217" s="234"/>
      <c r="AM1217" s="234"/>
      <c r="AN1217" s="234"/>
      <c r="AO1217" s="234"/>
    </row>
    <row r="1218" ht="15.75" customHeight="1">
      <c r="A1218" s="91"/>
      <c r="B1218" s="91"/>
      <c r="C1218" s="220"/>
      <c r="D1218" s="91"/>
      <c r="E1218" s="221"/>
      <c r="F1218" s="91"/>
      <c r="G1218" s="91"/>
      <c r="H1218" s="242"/>
      <c r="I1218" s="91"/>
      <c r="J1218" s="234"/>
      <c r="K1218" s="243"/>
      <c r="L1218" s="243"/>
      <c r="M1218" s="234"/>
      <c r="N1218" s="235"/>
      <c r="O1218" s="236"/>
      <c r="P1218" s="236"/>
      <c r="Q1218" s="236"/>
      <c r="R1218" s="236"/>
      <c r="S1218" s="236"/>
      <c r="T1218" s="236"/>
      <c r="U1218" s="236"/>
      <c r="V1218" s="236"/>
      <c r="W1218" s="236"/>
      <c r="X1218" s="244"/>
      <c r="Y1218" s="244"/>
      <c r="Z1218" s="237"/>
      <c r="AA1218" s="244"/>
      <c r="AB1218" s="244"/>
      <c r="AC1218" s="244"/>
      <c r="AD1218" s="244"/>
      <c r="AE1218" s="234"/>
      <c r="AF1218" s="234"/>
      <c r="AG1218" s="238"/>
      <c r="AH1218" s="239"/>
      <c r="AI1218" s="238"/>
      <c r="AJ1218" s="238"/>
      <c r="AK1218" s="234"/>
      <c r="AL1218" s="234"/>
      <c r="AM1218" s="234"/>
      <c r="AN1218" s="234"/>
      <c r="AO1218" s="234"/>
    </row>
    <row r="1219" ht="15.75" customHeight="1">
      <c r="A1219" s="91"/>
      <c r="B1219" s="91"/>
      <c r="C1219" s="220"/>
      <c r="D1219" s="91"/>
      <c r="E1219" s="221"/>
      <c r="F1219" s="91"/>
      <c r="G1219" s="91"/>
      <c r="H1219" s="242"/>
      <c r="I1219" s="91"/>
      <c r="J1219" s="234"/>
      <c r="K1219" s="243"/>
      <c r="L1219" s="243"/>
      <c r="M1219" s="234"/>
      <c r="N1219" s="235"/>
      <c r="O1219" s="236"/>
      <c r="P1219" s="236"/>
      <c r="Q1219" s="236"/>
      <c r="R1219" s="236"/>
      <c r="S1219" s="236"/>
      <c r="T1219" s="236"/>
      <c r="U1219" s="236"/>
      <c r="V1219" s="236"/>
      <c r="W1219" s="236"/>
      <c r="X1219" s="244"/>
      <c r="Y1219" s="244"/>
      <c r="Z1219" s="237"/>
      <c r="AA1219" s="244"/>
      <c r="AB1219" s="244"/>
      <c r="AC1219" s="244"/>
      <c r="AD1219" s="244"/>
      <c r="AE1219" s="234"/>
      <c r="AF1219" s="234"/>
      <c r="AG1219" s="238"/>
      <c r="AH1219" s="239"/>
      <c r="AI1219" s="238"/>
      <c r="AJ1219" s="238"/>
      <c r="AK1219" s="234"/>
      <c r="AL1219" s="234"/>
      <c r="AM1219" s="234"/>
      <c r="AN1219" s="234"/>
      <c r="AO1219" s="234"/>
    </row>
    <row r="1220" ht="15.75" customHeight="1">
      <c r="A1220" s="91"/>
      <c r="B1220" s="91"/>
      <c r="C1220" s="220"/>
      <c r="D1220" s="91"/>
      <c r="E1220" s="221"/>
      <c r="F1220" s="91"/>
      <c r="G1220" s="91"/>
      <c r="H1220" s="242"/>
      <c r="I1220" s="91"/>
      <c r="J1220" s="234"/>
      <c r="K1220" s="243"/>
      <c r="L1220" s="243"/>
      <c r="M1220" s="234"/>
      <c r="N1220" s="235"/>
      <c r="O1220" s="236"/>
      <c r="P1220" s="236"/>
      <c r="Q1220" s="236"/>
      <c r="R1220" s="236"/>
      <c r="S1220" s="236"/>
      <c r="T1220" s="236"/>
      <c r="U1220" s="236"/>
      <c r="V1220" s="236"/>
      <c r="W1220" s="236"/>
      <c r="X1220" s="244"/>
      <c r="Y1220" s="244"/>
      <c r="Z1220" s="237"/>
      <c r="AA1220" s="244"/>
      <c r="AB1220" s="244"/>
      <c r="AC1220" s="244"/>
      <c r="AD1220" s="244"/>
      <c r="AE1220" s="234"/>
      <c r="AF1220" s="234"/>
      <c r="AG1220" s="238"/>
      <c r="AH1220" s="239"/>
      <c r="AI1220" s="238"/>
      <c r="AJ1220" s="238"/>
      <c r="AK1220" s="234"/>
      <c r="AL1220" s="234"/>
      <c r="AM1220" s="234"/>
      <c r="AN1220" s="234"/>
      <c r="AO1220" s="234"/>
    </row>
    <row r="1221" ht="15.75" customHeight="1">
      <c r="A1221" s="91"/>
      <c r="B1221" s="91"/>
      <c r="C1221" s="220"/>
      <c r="D1221" s="91"/>
      <c r="E1221" s="221"/>
      <c r="F1221" s="91"/>
      <c r="G1221" s="91"/>
      <c r="H1221" s="242"/>
      <c r="I1221" s="91"/>
      <c r="J1221" s="234"/>
      <c r="K1221" s="243"/>
      <c r="L1221" s="243"/>
      <c r="M1221" s="234"/>
      <c r="N1221" s="235"/>
      <c r="O1221" s="236"/>
      <c r="P1221" s="236"/>
      <c r="Q1221" s="236"/>
      <c r="R1221" s="236"/>
      <c r="S1221" s="236"/>
      <c r="T1221" s="236"/>
      <c r="U1221" s="236"/>
      <c r="V1221" s="236"/>
      <c r="W1221" s="236"/>
      <c r="X1221" s="244"/>
      <c r="Y1221" s="244"/>
      <c r="Z1221" s="237"/>
      <c r="AA1221" s="244"/>
      <c r="AB1221" s="244"/>
      <c r="AC1221" s="244"/>
      <c r="AD1221" s="244"/>
      <c r="AE1221" s="234"/>
      <c r="AF1221" s="234"/>
      <c r="AG1221" s="238"/>
      <c r="AH1221" s="239"/>
      <c r="AI1221" s="238"/>
      <c r="AJ1221" s="238"/>
      <c r="AK1221" s="234"/>
      <c r="AL1221" s="234"/>
      <c r="AM1221" s="234"/>
      <c r="AN1221" s="234"/>
      <c r="AO1221" s="234"/>
    </row>
    <row r="1222" ht="15.75" customHeight="1">
      <c r="A1222" s="91"/>
      <c r="B1222" s="91"/>
      <c r="C1222" s="220"/>
      <c r="D1222" s="91"/>
      <c r="E1222" s="221"/>
      <c r="F1222" s="91"/>
      <c r="G1222" s="91"/>
      <c r="H1222" s="242"/>
      <c r="I1222" s="91"/>
      <c r="J1222" s="234"/>
      <c r="K1222" s="243"/>
      <c r="L1222" s="243"/>
      <c r="M1222" s="234"/>
      <c r="N1222" s="235"/>
      <c r="O1222" s="236"/>
      <c r="P1222" s="236"/>
      <c r="Q1222" s="236"/>
      <c r="R1222" s="236"/>
      <c r="S1222" s="236"/>
      <c r="T1222" s="236"/>
      <c r="U1222" s="236"/>
      <c r="V1222" s="236"/>
      <c r="W1222" s="236"/>
      <c r="X1222" s="244"/>
      <c r="Y1222" s="244"/>
      <c r="Z1222" s="237"/>
      <c r="AA1222" s="244"/>
      <c r="AB1222" s="244"/>
      <c r="AC1222" s="244"/>
      <c r="AD1222" s="244"/>
      <c r="AE1222" s="234"/>
      <c r="AF1222" s="234"/>
      <c r="AG1222" s="238"/>
      <c r="AH1222" s="239"/>
      <c r="AI1222" s="238"/>
      <c r="AJ1222" s="238"/>
      <c r="AK1222" s="234"/>
      <c r="AL1222" s="234"/>
      <c r="AM1222" s="234"/>
      <c r="AN1222" s="234"/>
      <c r="AO1222" s="234"/>
    </row>
    <row r="1223" ht="15.75" customHeight="1">
      <c r="A1223" s="91"/>
      <c r="B1223" s="91"/>
      <c r="C1223" s="220"/>
      <c r="D1223" s="91"/>
      <c r="E1223" s="221"/>
      <c r="F1223" s="91"/>
      <c r="G1223" s="91"/>
      <c r="H1223" s="242"/>
      <c r="I1223" s="91"/>
      <c r="J1223" s="234"/>
      <c r="K1223" s="243"/>
      <c r="L1223" s="243"/>
      <c r="M1223" s="234"/>
      <c r="N1223" s="235"/>
      <c r="O1223" s="236"/>
      <c r="P1223" s="236"/>
      <c r="Q1223" s="236"/>
      <c r="R1223" s="236"/>
      <c r="S1223" s="236"/>
      <c r="T1223" s="236"/>
      <c r="U1223" s="236"/>
      <c r="V1223" s="236"/>
      <c r="W1223" s="236"/>
      <c r="X1223" s="244"/>
      <c r="Y1223" s="244"/>
      <c r="Z1223" s="237"/>
      <c r="AA1223" s="244"/>
      <c r="AB1223" s="244"/>
      <c r="AC1223" s="244"/>
      <c r="AD1223" s="244"/>
      <c r="AE1223" s="234"/>
      <c r="AF1223" s="234"/>
      <c r="AG1223" s="238"/>
      <c r="AH1223" s="239"/>
      <c r="AI1223" s="238"/>
      <c r="AJ1223" s="238"/>
      <c r="AK1223" s="234"/>
      <c r="AL1223" s="234"/>
      <c r="AM1223" s="234"/>
      <c r="AN1223" s="234"/>
      <c r="AO1223" s="234"/>
    </row>
    <row r="1224" ht="15.75" customHeight="1">
      <c r="A1224" s="91"/>
      <c r="B1224" s="91"/>
      <c r="C1224" s="220"/>
      <c r="D1224" s="91"/>
      <c r="E1224" s="221"/>
      <c r="F1224" s="91"/>
      <c r="G1224" s="91"/>
      <c r="H1224" s="242"/>
      <c r="I1224" s="91"/>
      <c r="J1224" s="234"/>
      <c r="K1224" s="243"/>
      <c r="L1224" s="243"/>
      <c r="M1224" s="234"/>
      <c r="N1224" s="235"/>
      <c r="O1224" s="236"/>
      <c r="P1224" s="236"/>
      <c r="Q1224" s="236"/>
      <c r="R1224" s="236"/>
      <c r="S1224" s="236"/>
      <c r="T1224" s="236"/>
      <c r="U1224" s="236"/>
      <c r="V1224" s="236"/>
      <c r="W1224" s="236"/>
      <c r="X1224" s="244"/>
      <c r="Y1224" s="244"/>
      <c r="Z1224" s="237"/>
      <c r="AA1224" s="244"/>
      <c r="AB1224" s="244"/>
      <c r="AC1224" s="244"/>
      <c r="AD1224" s="244"/>
      <c r="AE1224" s="234"/>
      <c r="AF1224" s="234"/>
      <c r="AG1224" s="238"/>
      <c r="AH1224" s="239"/>
      <c r="AI1224" s="238"/>
      <c r="AJ1224" s="238"/>
      <c r="AK1224" s="234"/>
      <c r="AL1224" s="234"/>
      <c r="AM1224" s="234"/>
      <c r="AN1224" s="234"/>
      <c r="AO1224" s="234"/>
    </row>
    <row r="1225" ht="15.75" customHeight="1">
      <c r="A1225" s="91"/>
      <c r="B1225" s="91"/>
      <c r="C1225" s="220"/>
      <c r="D1225" s="91"/>
      <c r="E1225" s="221"/>
      <c r="F1225" s="91"/>
      <c r="G1225" s="91"/>
      <c r="H1225" s="242"/>
      <c r="I1225" s="91"/>
      <c r="J1225" s="234"/>
      <c r="K1225" s="243"/>
      <c r="L1225" s="243"/>
      <c r="M1225" s="234"/>
      <c r="N1225" s="235"/>
      <c r="O1225" s="236"/>
      <c r="P1225" s="236"/>
      <c r="Q1225" s="236"/>
      <c r="R1225" s="236"/>
      <c r="S1225" s="236"/>
      <c r="T1225" s="236"/>
      <c r="U1225" s="236"/>
      <c r="V1225" s="236"/>
      <c r="W1225" s="236"/>
      <c r="X1225" s="244"/>
      <c r="Y1225" s="244"/>
      <c r="Z1225" s="237"/>
      <c r="AA1225" s="244"/>
      <c r="AB1225" s="244"/>
      <c r="AC1225" s="244"/>
      <c r="AD1225" s="244"/>
      <c r="AE1225" s="234"/>
      <c r="AF1225" s="234"/>
      <c r="AG1225" s="238"/>
      <c r="AH1225" s="239"/>
      <c r="AI1225" s="238"/>
      <c r="AJ1225" s="238"/>
      <c r="AK1225" s="234"/>
      <c r="AL1225" s="234"/>
      <c r="AM1225" s="234"/>
      <c r="AN1225" s="234"/>
      <c r="AO1225" s="234"/>
    </row>
    <row r="1226" ht="15.75" customHeight="1">
      <c r="A1226" s="91"/>
      <c r="B1226" s="91"/>
      <c r="C1226" s="220"/>
      <c r="D1226" s="91"/>
      <c r="E1226" s="221"/>
      <c r="F1226" s="91"/>
      <c r="G1226" s="91"/>
      <c r="H1226" s="242"/>
      <c r="I1226" s="91"/>
      <c r="J1226" s="234"/>
      <c r="K1226" s="243"/>
      <c r="L1226" s="243"/>
      <c r="M1226" s="234"/>
      <c r="N1226" s="235"/>
      <c r="O1226" s="236"/>
      <c r="P1226" s="236"/>
      <c r="Q1226" s="236"/>
      <c r="R1226" s="236"/>
      <c r="S1226" s="236"/>
      <c r="T1226" s="236"/>
      <c r="U1226" s="236"/>
      <c r="V1226" s="236"/>
      <c r="W1226" s="236"/>
      <c r="X1226" s="244"/>
      <c r="Y1226" s="244"/>
      <c r="Z1226" s="237"/>
      <c r="AA1226" s="244"/>
      <c r="AB1226" s="244"/>
      <c r="AC1226" s="244"/>
      <c r="AD1226" s="244"/>
      <c r="AE1226" s="234"/>
      <c r="AF1226" s="234"/>
      <c r="AG1226" s="238"/>
      <c r="AH1226" s="239"/>
      <c r="AI1226" s="238"/>
      <c r="AJ1226" s="238"/>
      <c r="AK1226" s="234"/>
      <c r="AL1226" s="234"/>
      <c r="AM1226" s="234"/>
      <c r="AN1226" s="234"/>
      <c r="AO1226" s="234"/>
    </row>
    <row r="1227" ht="15.75" customHeight="1">
      <c r="A1227" s="91"/>
      <c r="B1227" s="91"/>
      <c r="C1227" s="220"/>
      <c r="D1227" s="91"/>
      <c r="E1227" s="221"/>
      <c r="F1227" s="91"/>
      <c r="G1227" s="91"/>
      <c r="H1227" s="242"/>
      <c r="I1227" s="91"/>
      <c r="J1227" s="234"/>
      <c r="K1227" s="243"/>
      <c r="L1227" s="243"/>
      <c r="M1227" s="234"/>
      <c r="N1227" s="235"/>
      <c r="O1227" s="236"/>
      <c r="P1227" s="236"/>
      <c r="Q1227" s="236"/>
      <c r="R1227" s="236"/>
      <c r="S1227" s="236"/>
      <c r="T1227" s="236"/>
      <c r="U1227" s="236"/>
      <c r="V1227" s="236"/>
      <c r="W1227" s="236"/>
      <c r="X1227" s="244"/>
      <c r="Y1227" s="244"/>
      <c r="Z1227" s="237"/>
      <c r="AA1227" s="244"/>
      <c r="AB1227" s="244"/>
      <c r="AC1227" s="244"/>
      <c r="AD1227" s="244"/>
      <c r="AE1227" s="234"/>
      <c r="AF1227" s="234"/>
      <c r="AG1227" s="238"/>
      <c r="AH1227" s="239"/>
      <c r="AI1227" s="238"/>
      <c r="AJ1227" s="238"/>
      <c r="AK1227" s="234"/>
      <c r="AL1227" s="234"/>
      <c r="AM1227" s="234"/>
      <c r="AN1227" s="234"/>
      <c r="AO1227" s="234"/>
    </row>
    <row r="1228" ht="15.75" customHeight="1">
      <c r="A1228" s="91"/>
      <c r="B1228" s="91"/>
      <c r="C1228" s="220"/>
      <c r="D1228" s="91"/>
      <c r="E1228" s="221"/>
      <c r="F1228" s="91"/>
      <c r="G1228" s="91"/>
      <c r="H1228" s="242"/>
      <c r="I1228" s="91"/>
      <c r="J1228" s="234"/>
      <c r="K1228" s="243"/>
      <c r="L1228" s="243"/>
      <c r="M1228" s="234"/>
      <c r="N1228" s="235"/>
      <c r="O1228" s="236"/>
      <c r="P1228" s="236"/>
      <c r="Q1228" s="236"/>
      <c r="R1228" s="236"/>
      <c r="S1228" s="236"/>
      <c r="T1228" s="236"/>
      <c r="U1228" s="236"/>
      <c r="V1228" s="236"/>
      <c r="W1228" s="236"/>
      <c r="X1228" s="244"/>
      <c r="Y1228" s="244"/>
      <c r="Z1228" s="237"/>
      <c r="AA1228" s="244"/>
      <c r="AB1228" s="244"/>
      <c r="AC1228" s="244"/>
      <c r="AD1228" s="244"/>
      <c r="AE1228" s="234"/>
      <c r="AF1228" s="234"/>
      <c r="AG1228" s="238"/>
      <c r="AH1228" s="239"/>
      <c r="AI1228" s="238"/>
      <c r="AJ1228" s="238"/>
      <c r="AK1228" s="234"/>
      <c r="AL1228" s="234"/>
      <c r="AM1228" s="234"/>
      <c r="AN1228" s="234"/>
      <c r="AO1228" s="234"/>
    </row>
    <row r="1229" ht="15.75" customHeight="1">
      <c r="A1229" s="91"/>
      <c r="B1229" s="91"/>
      <c r="C1229" s="220"/>
      <c r="D1229" s="91"/>
      <c r="E1229" s="221"/>
      <c r="F1229" s="91"/>
      <c r="G1229" s="91"/>
      <c r="H1229" s="242"/>
      <c r="I1229" s="91"/>
      <c r="J1229" s="234"/>
      <c r="K1229" s="243"/>
      <c r="L1229" s="243"/>
      <c r="M1229" s="234"/>
      <c r="N1229" s="235"/>
      <c r="O1229" s="236"/>
      <c r="P1229" s="236"/>
      <c r="Q1229" s="236"/>
      <c r="R1229" s="236"/>
      <c r="S1229" s="236"/>
      <c r="T1229" s="236"/>
      <c r="U1229" s="236"/>
      <c r="V1229" s="236"/>
      <c r="W1229" s="236"/>
      <c r="X1229" s="244"/>
      <c r="Y1229" s="244"/>
      <c r="Z1229" s="237"/>
      <c r="AA1229" s="244"/>
      <c r="AB1229" s="244"/>
      <c r="AC1229" s="244"/>
      <c r="AD1229" s="244"/>
      <c r="AE1229" s="234"/>
      <c r="AF1229" s="234"/>
      <c r="AG1229" s="238"/>
      <c r="AH1229" s="239"/>
      <c r="AI1229" s="238"/>
      <c r="AJ1229" s="238"/>
      <c r="AK1229" s="234"/>
      <c r="AL1229" s="234"/>
      <c r="AM1229" s="234"/>
      <c r="AN1229" s="234"/>
      <c r="AO1229" s="234"/>
    </row>
    <row r="1230" ht="15.75" customHeight="1">
      <c r="A1230" s="91"/>
      <c r="B1230" s="91"/>
      <c r="C1230" s="220"/>
      <c r="D1230" s="91"/>
      <c r="E1230" s="221"/>
      <c r="F1230" s="91"/>
      <c r="G1230" s="91"/>
      <c r="H1230" s="242"/>
      <c r="I1230" s="91"/>
      <c r="J1230" s="234"/>
      <c r="K1230" s="243"/>
      <c r="L1230" s="243"/>
      <c r="M1230" s="234"/>
      <c r="N1230" s="235"/>
      <c r="O1230" s="236"/>
      <c r="P1230" s="236"/>
      <c r="Q1230" s="236"/>
      <c r="R1230" s="236"/>
      <c r="S1230" s="236"/>
      <c r="T1230" s="236"/>
      <c r="U1230" s="236"/>
      <c r="V1230" s="236"/>
      <c r="W1230" s="236"/>
      <c r="X1230" s="244"/>
      <c r="Y1230" s="244"/>
      <c r="Z1230" s="237"/>
      <c r="AA1230" s="244"/>
      <c r="AB1230" s="244"/>
      <c r="AC1230" s="244"/>
      <c r="AD1230" s="244"/>
      <c r="AE1230" s="234"/>
      <c r="AF1230" s="234"/>
      <c r="AG1230" s="238"/>
      <c r="AH1230" s="239"/>
      <c r="AI1230" s="238"/>
      <c r="AJ1230" s="238"/>
      <c r="AK1230" s="234"/>
      <c r="AL1230" s="234"/>
      <c r="AM1230" s="234"/>
      <c r="AN1230" s="234"/>
      <c r="AO1230" s="234"/>
    </row>
    <row r="1231" ht="15.75" customHeight="1">
      <c r="A1231" s="91"/>
      <c r="B1231" s="91"/>
      <c r="C1231" s="220"/>
      <c r="D1231" s="91"/>
      <c r="E1231" s="221"/>
      <c r="F1231" s="91"/>
      <c r="G1231" s="91"/>
      <c r="H1231" s="242"/>
      <c r="I1231" s="91"/>
      <c r="J1231" s="234"/>
      <c r="K1231" s="243"/>
      <c r="L1231" s="243"/>
      <c r="M1231" s="234"/>
      <c r="N1231" s="235"/>
      <c r="O1231" s="236"/>
      <c r="P1231" s="236"/>
      <c r="Q1231" s="236"/>
      <c r="R1231" s="236"/>
      <c r="S1231" s="236"/>
      <c r="T1231" s="236"/>
      <c r="U1231" s="236"/>
      <c r="V1231" s="236"/>
      <c r="W1231" s="236"/>
      <c r="X1231" s="244"/>
      <c r="Y1231" s="244"/>
      <c r="Z1231" s="237"/>
      <c r="AA1231" s="244"/>
      <c r="AB1231" s="244"/>
      <c r="AC1231" s="244"/>
      <c r="AD1231" s="244"/>
      <c r="AE1231" s="234"/>
      <c r="AF1231" s="234"/>
      <c r="AG1231" s="238"/>
      <c r="AH1231" s="239"/>
      <c r="AI1231" s="238"/>
      <c r="AJ1231" s="238"/>
      <c r="AK1231" s="234"/>
      <c r="AL1231" s="234"/>
      <c r="AM1231" s="234"/>
      <c r="AN1231" s="234"/>
      <c r="AO1231" s="234"/>
    </row>
    <row r="1232" ht="15.75" customHeight="1">
      <c r="A1232" s="91"/>
      <c r="B1232" s="91"/>
      <c r="C1232" s="220"/>
      <c r="D1232" s="91"/>
      <c r="E1232" s="221"/>
      <c r="F1232" s="91"/>
      <c r="G1232" s="91"/>
      <c r="H1232" s="242"/>
      <c r="I1232" s="91"/>
      <c r="J1232" s="234"/>
      <c r="K1232" s="243"/>
      <c r="L1232" s="243"/>
      <c r="M1232" s="234"/>
      <c r="N1232" s="235"/>
      <c r="O1232" s="236"/>
      <c r="P1232" s="236"/>
      <c r="Q1232" s="236"/>
      <c r="R1232" s="236"/>
      <c r="S1232" s="236"/>
      <c r="T1232" s="236"/>
      <c r="U1232" s="236"/>
      <c r="V1232" s="236"/>
      <c r="W1232" s="236"/>
      <c r="X1232" s="244"/>
      <c r="Y1232" s="244"/>
      <c r="Z1232" s="237"/>
      <c r="AA1232" s="244"/>
      <c r="AB1232" s="244"/>
      <c r="AC1232" s="244"/>
      <c r="AD1232" s="244"/>
      <c r="AE1232" s="234"/>
      <c r="AF1232" s="234"/>
      <c r="AG1232" s="238"/>
      <c r="AH1232" s="239"/>
      <c r="AI1232" s="238"/>
      <c r="AJ1232" s="238"/>
      <c r="AK1232" s="234"/>
      <c r="AL1232" s="234"/>
      <c r="AM1232" s="234"/>
      <c r="AN1232" s="234"/>
      <c r="AO1232" s="234"/>
    </row>
    <row r="1233" ht="15.75" customHeight="1">
      <c r="A1233" s="91"/>
      <c r="B1233" s="91"/>
      <c r="C1233" s="220"/>
      <c r="D1233" s="91"/>
      <c r="E1233" s="221"/>
      <c r="F1233" s="91"/>
      <c r="G1233" s="91"/>
      <c r="H1233" s="242"/>
      <c r="I1233" s="91"/>
      <c r="J1233" s="234"/>
      <c r="K1233" s="243"/>
      <c r="L1233" s="243"/>
      <c r="M1233" s="234"/>
      <c r="N1233" s="235"/>
      <c r="O1233" s="236"/>
      <c r="P1233" s="236"/>
      <c r="Q1233" s="236"/>
      <c r="R1233" s="236"/>
      <c r="S1233" s="236"/>
      <c r="T1233" s="236"/>
      <c r="U1233" s="236"/>
      <c r="V1233" s="236"/>
      <c r="W1233" s="236"/>
      <c r="X1233" s="244"/>
      <c r="Y1233" s="244"/>
      <c r="Z1233" s="237"/>
      <c r="AA1233" s="244"/>
      <c r="AB1233" s="244"/>
      <c r="AC1233" s="244"/>
      <c r="AD1233" s="244"/>
      <c r="AE1233" s="234"/>
      <c r="AF1233" s="234"/>
      <c r="AG1233" s="238"/>
      <c r="AH1233" s="239"/>
      <c r="AI1233" s="238"/>
      <c r="AJ1233" s="238"/>
      <c r="AK1233" s="234"/>
      <c r="AL1233" s="234"/>
      <c r="AM1233" s="234"/>
      <c r="AN1233" s="234"/>
      <c r="AO1233" s="234"/>
    </row>
    <row r="1234" ht="15.75" customHeight="1">
      <c r="A1234" s="91"/>
      <c r="B1234" s="91"/>
      <c r="C1234" s="220"/>
      <c r="D1234" s="91"/>
      <c r="E1234" s="221"/>
      <c r="F1234" s="91"/>
      <c r="G1234" s="91"/>
      <c r="H1234" s="242"/>
      <c r="I1234" s="91"/>
      <c r="J1234" s="234"/>
      <c r="K1234" s="243"/>
      <c r="L1234" s="243"/>
      <c r="M1234" s="234"/>
      <c r="N1234" s="235"/>
      <c r="O1234" s="236"/>
      <c r="P1234" s="236"/>
      <c r="Q1234" s="236"/>
      <c r="R1234" s="236"/>
      <c r="S1234" s="236"/>
      <c r="T1234" s="236"/>
      <c r="U1234" s="236"/>
      <c r="V1234" s="236"/>
      <c r="W1234" s="236"/>
      <c r="X1234" s="244"/>
      <c r="Y1234" s="244"/>
      <c r="Z1234" s="237"/>
      <c r="AA1234" s="244"/>
      <c r="AB1234" s="244"/>
      <c r="AC1234" s="244"/>
      <c r="AD1234" s="244"/>
      <c r="AE1234" s="234"/>
      <c r="AF1234" s="234"/>
      <c r="AG1234" s="238"/>
      <c r="AH1234" s="239"/>
      <c r="AI1234" s="238"/>
      <c r="AJ1234" s="238"/>
      <c r="AK1234" s="234"/>
      <c r="AL1234" s="234"/>
      <c r="AM1234" s="234"/>
      <c r="AN1234" s="234"/>
      <c r="AO1234" s="234"/>
    </row>
    <row r="1235" ht="15.75" customHeight="1">
      <c r="A1235" s="91"/>
      <c r="B1235" s="91"/>
      <c r="C1235" s="220"/>
      <c r="D1235" s="91"/>
      <c r="E1235" s="221"/>
      <c r="F1235" s="91"/>
      <c r="G1235" s="91"/>
      <c r="H1235" s="242"/>
      <c r="I1235" s="91"/>
      <c r="J1235" s="234"/>
      <c r="K1235" s="243"/>
      <c r="L1235" s="243"/>
      <c r="M1235" s="234"/>
      <c r="N1235" s="235"/>
      <c r="O1235" s="236"/>
      <c r="P1235" s="236"/>
      <c r="Q1235" s="236"/>
      <c r="R1235" s="236"/>
      <c r="S1235" s="236"/>
      <c r="T1235" s="236"/>
      <c r="U1235" s="236"/>
      <c r="V1235" s="236"/>
      <c r="W1235" s="236"/>
      <c r="X1235" s="244"/>
      <c r="Y1235" s="244"/>
      <c r="Z1235" s="237"/>
      <c r="AA1235" s="244"/>
      <c r="AB1235" s="244"/>
      <c r="AC1235" s="244"/>
      <c r="AD1235" s="244"/>
      <c r="AE1235" s="234"/>
      <c r="AF1235" s="234"/>
      <c r="AG1235" s="238"/>
      <c r="AH1235" s="239"/>
      <c r="AI1235" s="238"/>
      <c r="AJ1235" s="238"/>
      <c r="AK1235" s="234"/>
      <c r="AL1235" s="234"/>
      <c r="AM1235" s="234"/>
      <c r="AN1235" s="234"/>
      <c r="AO1235" s="234"/>
    </row>
    <row r="1236" ht="15.75" customHeight="1">
      <c r="A1236" s="91"/>
      <c r="B1236" s="91"/>
      <c r="C1236" s="220"/>
      <c r="D1236" s="91"/>
      <c r="E1236" s="221"/>
      <c r="F1236" s="91"/>
      <c r="G1236" s="91"/>
      <c r="H1236" s="242"/>
      <c r="I1236" s="91"/>
      <c r="J1236" s="234"/>
      <c r="K1236" s="243"/>
      <c r="L1236" s="243"/>
      <c r="M1236" s="234"/>
      <c r="N1236" s="235"/>
      <c r="O1236" s="236"/>
      <c r="P1236" s="236"/>
      <c r="Q1236" s="236"/>
      <c r="R1236" s="236"/>
      <c r="S1236" s="236"/>
      <c r="T1236" s="236"/>
      <c r="U1236" s="236"/>
      <c r="V1236" s="236"/>
      <c r="W1236" s="236"/>
      <c r="X1236" s="244"/>
      <c r="Y1236" s="244"/>
      <c r="Z1236" s="237"/>
      <c r="AA1236" s="244"/>
      <c r="AB1236" s="244"/>
      <c r="AC1236" s="244"/>
      <c r="AD1236" s="244"/>
      <c r="AE1236" s="234"/>
      <c r="AF1236" s="234"/>
      <c r="AG1236" s="238"/>
      <c r="AH1236" s="239"/>
      <c r="AI1236" s="238"/>
      <c r="AJ1236" s="238"/>
      <c r="AK1236" s="234"/>
      <c r="AL1236" s="234"/>
      <c r="AM1236" s="234"/>
      <c r="AN1236" s="234"/>
      <c r="AO1236" s="234"/>
    </row>
    <row r="1237" ht="15.75" customHeight="1">
      <c r="A1237" s="91"/>
      <c r="B1237" s="91"/>
      <c r="C1237" s="220"/>
      <c r="D1237" s="91"/>
      <c r="E1237" s="221"/>
      <c r="F1237" s="91"/>
      <c r="G1237" s="91"/>
      <c r="H1237" s="242"/>
      <c r="I1237" s="91"/>
      <c r="J1237" s="234"/>
      <c r="K1237" s="243"/>
      <c r="L1237" s="243"/>
      <c r="M1237" s="234"/>
      <c r="N1237" s="235"/>
      <c r="O1237" s="236"/>
      <c r="P1237" s="236"/>
      <c r="Q1237" s="236"/>
      <c r="R1237" s="236"/>
      <c r="S1237" s="236"/>
      <c r="T1237" s="236"/>
      <c r="U1237" s="236"/>
      <c r="V1237" s="236"/>
      <c r="W1237" s="236"/>
      <c r="X1237" s="244"/>
      <c r="Y1237" s="244"/>
      <c r="Z1237" s="237"/>
      <c r="AA1237" s="244"/>
      <c r="AB1237" s="244"/>
      <c r="AC1237" s="244"/>
      <c r="AD1237" s="244"/>
      <c r="AE1237" s="234"/>
      <c r="AF1237" s="234"/>
      <c r="AG1237" s="238"/>
      <c r="AH1237" s="239"/>
      <c r="AI1237" s="238"/>
      <c r="AJ1237" s="238"/>
      <c r="AK1237" s="234"/>
      <c r="AL1237" s="234"/>
      <c r="AM1237" s="234"/>
      <c r="AN1237" s="234"/>
      <c r="AO1237" s="234"/>
    </row>
    <row r="1238" ht="15.75" customHeight="1">
      <c r="A1238" s="91"/>
      <c r="B1238" s="91"/>
      <c r="C1238" s="220"/>
      <c r="D1238" s="91"/>
      <c r="E1238" s="221"/>
      <c r="F1238" s="91"/>
      <c r="G1238" s="91"/>
      <c r="H1238" s="242"/>
      <c r="I1238" s="91"/>
      <c r="J1238" s="234"/>
      <c r="K1238" s="243"/>
      <c r="L1238" s="243"/>
      <c r="M1238" s="234"/>
      <c r="N1238" s="235"/>
      <c r="O1238" s="236"/>
      <c r="P1238" s="236"/>
      <c r="Q1238" s="236"/>
      <c r="R1238" s="236"/>
      <c r="S1238" s="236"/>
      <c r="T1238" s="236"/>
      <c r="U1238" s="236"/>
      <c r="V1238" s="236"/>
      <c r="W1238" s="236"/>
      <c r="X1238" s="244"/>
      <c r="Y1238" s="244"/>
      <c r="Z1238" s="237"/>
      <c r="AA1238" s="244"/>
      <c r="AB1238" s="244"/>
      <c r="AC1238" s="244"/>
      <c r="AD1238" s="244"/>
      <c r="AE1238" s="234"/>
      <c r="AF1238" s="234"/>
      <c r="AG1238" s="238"/>
      <c r="AH1238" s="239"/>
      <c r="AI1238" s="238"/>
      <c r="AJ1238" s="238"/>
      <c r="AK1238" s="234"/>
      <c r="AL1238" s="234"/>
      <c r="AM1238" s="234"/>
      <c r="AN1238" s="234"/>
      <c r="AO1238" s="234"/>
    </row>
    <row r="1239" ht="15.75" customHeight="1">
      <c r="A1239" s="91"/>
      <c r="B1239" s="91"/>
      <c r="C1239" s="220"/>
      <c r="D1239" s="91"/>
      <c r="E1239" s="221"/>
      <c r="F1239" s="91"/>
      <c r="G1239" s="91"/>
      <c r="H1239" s="242"/>
      <c r="I1239" s="91"/>
      <c r="J1239" s="234"/>
      <c r="K1239" s="243"/>
      <c r="L1239" s="243"/>
      <c r="M1239" s="234"/>
      <c r="N1239" s="235"/>
      <c r="O1239" s="236"/>
      <c r="P1239" s="236"/>
      <c r="Q1239" s="236"/>
      <c r="R1239" s="236"/>
      <c r="S1239" s="236"/>
      <c r="T1239" s="236"/>
      <c r="U1239" s="236"/>
      <c r="V1239" s="236"/>
      <c r="W1239" s="236"/>
      <c r="X1239" s="244"/>
      <c r="Y1239" s="244"/>
      <c r="Z1239" s="237"/>
      <c r="AA1239" s="244"/>
      <c r="AB1239" s="244"/>
      <c r="AC1239" s="244"/>
      <c r="AD1239" s="244"/>
      <c r="AE1239" s="234"/>
      <c r="AF1239" s="234"/>
      <c r="AG1239" s="238"/>
      <c r="AH1239" s="239"/>
      <c r="AI1239" s="238"/>
      <c r="AJ1239" s="238"/>
      <c r="AK1239" s="234"/>
      <c r="AL1239" s="234"/>
      <c r="AM1239" s="234"/>
      <c r="AN1239" s="234"/>
      <c r="AO1239" s="234"/>
    </row>
    <row r="1240" ht="15.75" customHeight="1">
      <c r="A1240" s="91"/>
      <c r="B1240" s="91"/>
      <c r="C1240" s="220"/>
      <c r="D1240" s="91"/>
      <c r="E1240" s="221"/>
      <c r="F1240" s="91"/>
      <c r="G1240" s="91"/>
      <c r="H1240" s="242"/>
      <c r="I1240" s="91"/>
      <c r="J1240" s="234"/>
      <c r="K1240" s="243"/>
      <c r="L1240" s="243"/>
      <c r="M1240" s="234"/>
      <c r="N1240" s="235"/>
      <c r="O1240" s="236"/>
      <c r="P1240" s="236"/>
      <c r="Q1240" s="236"/>
      <c r="R1240" s="236"/>
      <c r="S1240" s="236"/>
      <c r="T1240" s="236"/>
      <c r="U1240" s="236"/>
      <c r="V1240" s="236"/>
      <c r="W1240" s="236"/>
      <c r="X1240" s="244"/>
      <c r="Y1240" s="244"/>
      <c r="Z1240" s="237"/>
      <c r="AA1240" s="244"/>
      <c r="AB1240" s="244"/>
      <c r="AC1240" s="244"/>
      <c r="AD1240" s="244"/>
      <c r="AE1240" s="234"/>
      <c r="AF1240" s="234"/>
      <c r="AG1240" s="238"/>
      <c r="AH1240" s="239"/>
      <c r="AI1240" s="238"/>
      <c r="AJ1240" s="238"/>
      <c r="AK1240" s="234"/>
      <c r="AL1240" s="234"/>
      <c r="AM1240" s="234"/>
      <c r="AN1240" s="234"/>
      <c r="AO1240" s="234"/>
    </row>
    <row r="1241" ht="15.75" customHeight="1">
      <c r="A1241" s="91"/>
      <c r="B1241" s="91"/>
      <c r="C1241" s="220"/>
      <c r="D1241" s="91"/>
      <c r="E1241" s="221"/>
      <c r="F1241" s="91"/>
      <c r="G1241" s="91"/>
      <c r="H1241" s="242"/>
      <c r="I1241" s="91"/>
      <c r="J1241" s="234"/>
      <c r="K1241" s="243"/>
      <c r="L1241" s="243"/>
      <c r="M1241" s="234"/>
      <c r="N1241" s="235"/>
      <c r="O1241" s="236"/>
      <c r="P1241" s="236"/>
      <c r="Q1241" s="236"/>
      <c r="R1241" s="236"/>
      <c r="S1241" s="236"/>
      <c r="T1241" s="236"/>
      <c r="U1241" s="236"/>
      <c r="V1241" s="236"/>
      <c r="W1241" s="236"/>
      <c r="X1241" s="244"/>
      <c r="Y1241" s="244"/>
      <c r="Z1241" s="237"/>
      <c r="AA1241" s="244"/>
      <c r="AB1241" s="244"/>
      <c r="AC1241" s="244"/>
      <c r="AD1241" s="244"/>
      <c r="AE1241" s="234"/>
      <c r="AF1241" s="234"/>
      <c r="AG1241" s="238"/>
      <c r="AH1241" s="239"/>
      <c r="AI1241" s="238"/>
      <c r="AJ1241" s="238"/>
      <c r="AK1241" s="234"/>
      <c r="AL1241" s="234"/>
      <c r="AM1241" s="234"/>
      <c r="AN1241" s="234"/>
      <c r="AO1241" s="234"/>
    </row>
    <row r="1242" ht="15.75" customHeight="1">
      <c r="A1242" s="91"/>
      <c r="B1242" s="91"/>
      <c r="C1242" s="220"/>
      <c r="D1242" s="91"/>
      <c r="E1242" s="221"/>
      <c r="F1242" s="91"/>
      <c r="G1242" s="91"/>
      <c r="H1242" s="242"/>
      <c r="I1242" s="91"/>
      <c r="J1242" s="234"/>
      <c r="K1242" s="243"/>
      <c r="L1242" s="243"/>
      <c r="M1242" s="234"/>
      <c r="N1242" s="235"/>
      <c r="O1242" s="236"/>
      <c r="P1242" s="236"/>
      <c r="Q1242" s="236"/>
      <c r="R1242" s="236"/>
      <c r="S1242" s="236"/>
      <c r="T1242" s="236"/>
      <c r="U1242" s="236"/>
      <c r="V1242" s="236"/>
      <c r="W1242" s="236"/>
      <c r="X1242" s="244"/>
      <c r="Y1242" s="244"/>
      <c r="Z1242" s="237"/>
      <c r="AA1242" s="244"/>
      <c r="AB1242" s="244"/>
      <c r="AC1242" s="244"/>
      <c r="AD1242" s="244"/>
      <c r="AE1242" s="234"/>
      <c r="AF1242" s="234"/>
      <c r="AG1242" s="238"/>
      <c r="AH1242" s="239"/>
      <c r="AI1242" s="238"/>
      <c r="AJ1242" s="238"/>
      <c r="AK1242" s="234"/>
      <c r="AL1242" s="234"/>
      <c r="AM1242" s="234"/>
      <c r="AN1242" s="234"/>
      <c r="AO1242" s="234"/>
    </row>
    <row r="1243" ht="15.75" customHeight="1">
      <c r="A1243" s="91"/>
      <c r="B1243" s="91"/>
      <c r="C1243" s="220"/>
      <c r="D1243" s="91"/>
      <c r="E1243" s="221"/>
      <c r="F1243" s="91"/>
      <c r="G1243" s="91"/>
      <c r="H1243" s="242"/>
      <c r="I1243" s="91"/>
      <c r="J1243" s="234"/>
      <c r="K1243" s="243"/>
      <c r="L1243" s="243"/>
      <c r="M1243" s="234"/>
      <c r="N1243" s="235"/>
      <c r="O1243" s="236"/>
      <c r="P1243" s="236"/>
      <c r="Q1243" s="236"/>
      <c r="R1243" s="236"/>
      <c r="S1243" s="236"/>
      <c r="T1243" s="236"/>
      <c r="U1243" s="236"/>
      <c r="V1243" s="236"/>
      <c r="W1243" s="236"/>
      <c r="X1243" s="244"/>
      <c r="Y1243" s="244"/>
      <c r="Z1243" s="237"/>
      <c r="AA1243" s="244"/>
      <c r="AB1243" s="244"/>
      <c r="AC1243" s="244"/>
      <c r="AD1243" s="244"/>
      <c r="AE1243" s="234"/>
      <c r="AF1243" s="234"/>
      <c r="AG1243" s="238"/>
      <c r="AH1243" s="239"/>
      <c r="AI1243" s="238"/>
      <c r="AJ1243" s="238"/>
      <c r="AK1243" s="234"/>
      <c r="AL1243" s="234"/>
      <c r="AM1243" s="234"/>
      <c r="AN1243" s="234"/>
      <c r="AO1243" s="234"/>
    </row>
    <row r="1244" ht="15.75" customHeight="1">
      <c r="A1244" s="91"/>
      <c r="B1244" s="91"/>
      <c r="C1244" s="220"/>
      <c r="D1244" s="91"/>
      <c r="E1244" s="221"/>
      <c r="F1244" s="91"/>
      <c r="G1244" s="91"/>
      <c r="H1244" s="242"/>
      <c r="I1244" s="91"/>
      <c r="J1244" s="234"/>
      <c r="K1244" s="243"/>
      <c r="L1244" s="243"/>
      <c r="M1244" s="234"/>
      <c r="N1244" s="235"/>
      <c r="O1244" s="236"/>
      <c r="P1244" s="236"/>
      <c r="Q1244" s="236"/>
      <c r="R1244" s="236"/>
      <c r="S1244" s="236"/>
      <c r="T1244" s="236"/>
      <c r="U1244" s="236"/>
      <c r="V1244" s="236"/>
      <c r="W1244" s="236"/>
      <c r="X1244" s="244"/>
      <c r="Y1244" s="244"/>
      <c r="Z1244" s="237"/>
      <c r="AA1244" s="244"/>
      <c r="AB1244" s="244"/>
      <c r="AC1244" s="244"/>
      <c r="AD1244" s="244"/>
      <c r="AE1244" s="234"/>
      <c r="AF1244" s="234"/>
      <c r="AG1244" s="238"/>
      <c r="AH1244" s="239"/>
      <c r="AI1244" s="238"/>
      <c r="AJ1244" s="238"/>
      <c r="AK1244" s="234"/>
      <c r="AL1244" s="234"/>
      <c r="AM1244" s="234"/>
      <c r="AN1244" s="234"/>
      <c r="AO1244" s="234"/>
    </row>
    <row r="1245" ht="15.75" customHeight="1">
      <c r="A1245" s="91"/>
      <c r="B1245" s="91"/>
      <c r="C1245" s="220"/>
      <c r="D1245" s="91"/>
      <c r="E1245" s="221"/>
      <c r="F1245" s="91"/>
      <c r="G1245" s="91"/>
      <c r="H1245" s="242"/>
      <c r="I1245" s="91"/>
      <c r="J1245" s="234"/>
      <c r="K1245" s="243"/>
      <c r="L1245" s="243"/>
      <c r="M1245" s="234"/>
      <c r="N1245" s="235"/>
      <c r="O1245" s="236"/>
      <c r="P1245" s="236"/>
      <c r="Q1245" s="236"/>
      <c r="R1245" s="236"/>
      <c r="S1245" s="236"/>
      <c r="T1245" s="236"/>
      <c r="U1245" s="236"/>
      <c r="V1245" s="236"/>
      <c r="W1245" s="236"/>
      <c r="X1245" s="244"/>
      <c r="Y1245" s="244"/>
      <c r="Z1245" s="237"/>
      <c r="AA1245" s="244"/>
      <c r="AB1245" s="244"/>
      <c r="AC1245" s="244"/>
      <c r="AD1245" s="244"/>
      <c r="AE1245" s="234"/>
      <c r="AF1245" s="234"/>
      <c r="AG1245" s="238"/>
      <c r="AH1245" s="239"/>
      <c r="AI1245" s="238"/>
      <c r="AJ1245" s="238"/>
      <c r="AK1245" s="234"/>
      <c r="AL1245" s="234"/>
      <c r="AM1245" s="234"/>
      <c r="AN1245" s="234"/>
      <c r="AO1245" s="234"/>
    </row>
    <row r="1246" ht="15.75" customHeight="1">
      <c r="A1246" s="91"/>
      <c r="B1246" s="91"/>
      <c r="C1246" s="220"/>
      <c r="D1246" s="91"/>
      <c r="E1246" s="221"/>
      <c r="F1246" s="91"/>
      <c r="G1246" s="91"/>
      <c r="H1246" s="242"/>
      <c r="I1246" s="91"/>
      <c r="J1246" s="234"/>
      <c r="K1246" s="243"/>
      <c r="L1246" s="243"/>
      <c r="M1246" s="234"/>
      <c r="N1246" s="235"/>
      <c r="O1246" s="236"/>
      <c r="P1246" s="236"/>
      <c r="Q1246" s="236"/>
      <c r="R1246" s="236"/>
      <c r="S1246" s="236"/>
      <c r="T1246" s="236"/>
      <c r="U1246" s="236"/>
      <c r="V1246" s="236"/>
      <c r="W1246" s="236"/>
      <c r="X1246" s="244"/>
      <c r="Y1246" s="244"/>
      <c r="Z1246" s="237"/>
      <c r="AA1246" s="244"/>
      <c r="AB1246" s="244"/>
      <c r="AC1246" s="244"/>
      <c r="AD1246" s="244"/>
      <c r="AE1246" s="234"/>
      <c r="AF1246" s="234"/>
      <c r="AG1246" s="238"/>
      <c r="AH1246" s="239"/>
      <c r="AI1246" s="238"/>
      <c r="AJ1246" s="238"/>
      <c r="AK1246" s="234"/>
      <c r="AL1246" s="234"/>
      <c r="AM1246" s="234"/>
      <c r="AN1246" s="234"/>
      <c r="AO1246" s="234"/>
    </row>
    <row r="1247" ht="15.75" customHeight="1">
      <c r="A1247" s="91"/>
      <c r="B1247" s="91"/>
      <c r="C1247" s="220"/>
      <c r="D1247" s="91"/>
      <c r="E1247" s="221"/>
      <c r="F1247" s="91"/>
      <c r="G1247" s="91"/>
      <c r="H1247" s="242"/>
      <c r="I1247" s="91"/>
      <c r="J1247" s="234"/>
      <c r="K1247" s="243"/>
      <c r="L1247" s="243"/>
      <c r="M1247" s="234"/>
      <c r="N1247" s="235"/>
      <c r="O1247" s="236"/>
      <c r="P1247" s="236"/>
      <c r="Q1247" s="236"/>
      <c r="R1247" s="236"/>
      <c r="S1247" s="236"/>
      <c r="T1247" s="236"/>
      <c r="U1247" s="236"/>
      <c r="V1247" s="236"/>
      <c r="W1247" s="236"/>
      <c r="X1247" s="244"/>
      <c r="Y1247" s="244"/>
      <c r="Z1247" s="237"/>
      <c r="AA1247" s="244"/>
      <c r="AB1247" s="244"/>
      <c r="AC1247" s="244"/>
      <c r="AD1247" s="244"/>
      <c r="AE1247" s="234"/>
      <c r="AF1247" s="234"/>
      <c r="AG1247" s="238"/>
      <c r="AH1247" s="239"/>
      <c r="AI1247" s="238"/>
      <c r="AJ1247" s="238"/>
      <c r="AK1247" s="234"/>
      <c r="AL1247" s="234"/>
      <c r="AM1247" s="234"/>
      <c r="AN1247" s="234"/>
      <c r="AO1247" s="234"/>
    </row>
    <row r="1248" ht="15.75" customHeight="1">
      <c r="A1248" s="91"/>
      <c r="B1248" s="91"/>
      <c r="C1248" s="220"/>
      <c r="D1248" s="91"/>
      <c r="E1248" s="221"/>
      <c r="F1248" s="91"/>
      <c r="G1248" s="91"/>
      <c r="H1248" s="242"/>
      <c r="I1248" s="91"/>
      <c r="J1248" s="234"/>
      <c r="K1248" s="243"/>
      <c r="L1248" s="243"/>
      <c r="M1248" s="234"/>
      <c r="N1248" s="235"/>
      <c r="O1248" s="236"/>
      <c r="P1248" s="236"/>
      <c r="Q1248" s="236"/>
      <c r="R1248" s="236"/>
      <c r="S1248" s="236"/>
      <c r="T1248" s="236"/>
      <c r="U1248" s="236"/>
      <c r="V1248" s="236"/>
      <c r="W1248" s="236"/>
      <c r="X1248" s="244"/>
      <c r="Y1248" s="244"/>
      <c r="Z1248" s="237"/>
      <c r="AA1248" s="244"/>
      <c r="AB1248" s="244"/>
      <c r="AC1248" s="244"/>
      <c r="AD1248" s="244"/>
      <c r="AE1248" s="234"/>
      <c r="AF1248" s="234"/>
      <c r="AG1248" s="238"/>
      <c r="AH1248" s="239"/>
      <c r="AI1248" s="238"/>
      <c r="AJ1248" s="238"/>
      <c r="AK1248" s="234"/>
      <c r="AL1248" s="234"/>
      <c r="AM1248" s="234"/>
      <c r="AN1248" s="234"/>
      <c r="AO1248" s="234"/>
    </row>
    <row r="1249" ht="15.75" customHeight="1">
      <c r="A1249" s="91"/>
      <c r="B1249" s="91"/>
      <c r="C1249" s="220"/>
      <c r="D1249" s="91"/>
      <c r="E1249" s="221"/>
      <c r="F1249" s="91"/>
      <c r="G1249" s="91"/>
      <c r="H1249" s="242"/>
      <c r="I1249" s="91"/>
      <c r="J1249" s="234"/>
      <c r="K1249" s="243"/>
      <c r="L1249" s="243"/>
      <c r="M1249" s="234"/>
      <c r="N1249" s="235"/>
      <c r="O1249" s="236"/>
      <c r="P1249" s="236"/>
      <c r="Q1249" s="236"/>
      <c r="R1249" s="236"/>
      <c r="S1249" s="236"/>
      <c r="T1249" s="236"/>
      <c r="U1249" s="236"/>
      <c r="V1249" s="236"/>
      <c r="W1249" s="236"/>
      <c r="X1249" s="244"/>
      <c r="Y1249" s="244"/>
      <c r="Z1249" s="237"/>
      <c r="AA1249" s="244"/>
      <c r="AB1249" s="244"/>
      <c r="AC1249" s="244"/>
      <c r="AD1249" s="244"/>
      <c r="AE1249" s="234"/>
      <c r="AF1249" s="234"/>
      <c r="AG1249" s="238"/>
      <c r="AH1249" s="239"/>
      <c r="AI1249" s="238"/>
      <c r="AJ1249" s="238"/>
      <c r="AK1249" s="234"/>
      <c r="AL1249" s="234"/>
      <c r="AM1249" s="234"/>
      <c r="AN1249" s="234"/>
      <c r="AO1249" s="234"/>
    </row>
    <row r="1250" ht="15.75" customHeight="1">
      <c r="A1250" s="91"/>
      <c r="B1250" s="91"/>
      <c r="C1250" s="220"/>
      <c r="D1250" s="91"/>
      <c r="E1250" s="221"/>
      <c r="F1250" s="91"/>
      <c r="G1250" s="91"/>
      <c r="H1250" s="242"/>
      <c r="I1250" s="91"/>
      <c r="J1250" s="234"/>
      <c r="K1250" s="243"/>
      <c r="L1250" s="243"/>
      <c r="M1250" s="234"/>
      <c r="N1250" s="235"/>
      <c r="O1250" s="236"/>
      <c r="P1250" s="236"/>
      <c r="Q1250" s="236"/>
      <c r="R1250" s="236"/>
      <c r="S1250" s="236"/>
      <c r="T1250" s="236"/>
      <c r="U1250" s="236"/>
      <c r="V1250" s="236"/>
      <c r="W1250" s="236"/>
      <c r="X1250" s="244"/>
      <c r="Y1250" s="244"/>
      <c r="Z1250" s="237"/>
      <c r="AA1250" s="244"/>
      <c r="AB1250" s="244"/>
      <c r="AC1250" s="244"/>
      <c r="AD1250" s="244"/>
      <c r="AE1250" s="234"/>
      <c r="AF1250" s="234"/>
      <c r="AG1250" s="238"/>
      <c r="AH1250" s="239"/>
      <c r="AI1250" s="238"/>
      <c r="AJ1250" s="238"/>
      <c r="AK1250" s="234"/>
      <c r="AL1250" s="234"/>
      <c r="AM1250" s="234"/>
      <c r="AN1250" s="234"/>
      <c r="AO1250" s="234"/>
    </row>
    <row r="1251" ht="15.75" customHeight="1">
      <c r="A1251" s="91"/>
      <c r="B1251" s="91"/>
      <c r="C1251" s="220"/>
      <c r="D1251" s="91"/>
      <c r="E1251" s="221"/>
      <c r="F1251" s="91"/>
      <c r="G1251" s="91"/>
      <c r="H1251" s="242"/>
      <c r="I1251" s="91"/>
      <c r="J1251" s="234"/>
      <c r="K1251" s="243"/>
      <c r="L1251" s="243"/>
      <c r="M1251" s="234"/>
      <c r="N1251" s="235"/>
      <c r="O1251" s="236"/>
      <c r="P1251" s="236"/>
      <c r="Q1251" s="236"/>
      <c r="R1251" s="236"/>
      <c r="S1251" s="236"/>
      <c r="T1251" s="236"/>
      <c r="U1251" s="236"/>
      <c r="V1251" s="236"/>
      <c r="W1251" s="236"/>
      <c r="X1251" s="244"/>
      <c r="Y1251" s="244"/>
      <c r="Z1251" s="237"/>
      <c r="AA1251" s="244"/>
      <c r="AB1251" s="244"/>
      <c r="AC1251" s="244"/>
      <c r="AD1251" s="244"/>
      <c r="AE1251" s="234"/>
      <c r="AF1251" s="234"/>
      <c r="AG1251" s="238"/>
      <c r="AH1251" s="239"/>
      <c r="AI1251" s="238"/>
      <c r="AJ1251" s="238"/>
      <c r="AK1251" s="234"/>
      <c r="AL1251" s="234"/>
      <c r="AM1251" s="234"/>
      <c r="AN1251" s="234"/>
      <c r="AO1251" s="234"/>
    </row>
    <row r="1252" ht="15.75" customHeight="1">
      <c r="A1252" s="91"/>
      <c r="B1252" s="91"/>
      <c r="C1252" s="220"/>
      <c r="D1252" s="91"/>
      <c r="E1252" s="221"/>
      <c r="F1252" s="91"/>
      <c r="G1252" s="91"/>
      <c r="H1252" s="242"/>
      <c r="I1252" s="91"/>
      <c r="J1252" s="234"/>
      <c r="K1252" s="243"/>
      <c r="L1252" s="243"/>
      <c r="M1252" s="234"/>
      <c r="N1252" s="235"/>
      <c r="O1252" s="236"/>
      <c r="P1252" s="236"/>
      <c r="Q1252" s="236"/>
      <c r="R1252" s="236"/>
      <c r="S1252" s="236"/>
      <c r="T1252" s="236"/>
      <c r="U1252" s="236"/>
      <c r="V1252" s="236"/>
      <c r="W1252" s="236"/>
      <c r="X1252" s="244"/>
      <c r="Y1252" s="244"/>
      <c r="Z1252" s="237"/>
      <c r="AA1252" s="244"/>
      <c r="AB1252" s="244"/>
      <c r="AC1252" s="244"/>
      <c r="AD1252" s="244"/>
      <c r="AE1252" s="234"/>
      <c r="AF1252" s="234"/>
      <c r="AG1252" s="238"/>
      <c r="AH1252" s="239"/>
      <c r="AI1252" s="238"/>
      <c r="AJ1252" s="238"/>
      <c r="AK1252" s="234"/>
      <c r="AL1252" s="234"/>
      <c r="AM1252" s="234"/>
      <c r="AN1252" s="234"/>
      <c r="AO1252" s="234"/>
    </row>
    <row r="1253" ht="15.75" customHeight="1">
      <c r="A1253" s="91"/>
      <c r="B1253" s="91"/>
      <c r="C1253" s="220"/>
      <c r="D1253" s="91"/>
      <c r="E1253" s="221"/>
      <c r="F1253" s="91"/>
      <c r="G1253" s="91"/>
      <c r="H1253" s="242"/>
      <c r="I1253" s="91"/>
      <c r="J1253" s="234"/>
      <c r="K1253" s="243"/>
      <c r="L1253" s="243"/>
      <c r="M1253" s="234"/>
      <c r="N1253" s="235"/>
      <c r="O1253" s="236"/>
      <c r="P1253" s="236"/>
      <c r="Q1253" s="236"/>
      <c r="R1253" s="236"/>
      <c r="S1253" s="236"/>
      <c r="T1253" s="236"/>
      <c r="U1253" s="236"/>
      <c r="V1253" s="236"/>
      <c r="W1253" s="236"/>
      <c r="X1253" s="244"/>
      <c r="Y1253" s="244"/>
      <c r="Z1253" s="237"/>
      <c r="AA1253" s="244"/>
      <c r="AB1253" s="244"/>
      <c r="AC1253" s="244"/>
      <c r="AD1253" s="244"/>
      <c r="AE1253" s="234"/>
      <c r="AF1253" s="234"/>
      <c r="AG1253" s="238"/>
      <c r="AH1253" s="239"/>
      <c r="AI1253" s="238"/>
      <c r="AJ1253" s="238"/>
      <c r="AK1253" s="234"/>
      <c r="AL1253" s="234"/>
      <c r="AM1253" s="234"/>
      <c r="AN1253" s="234"/>
      <c r="AO1253" s="234"/>
    </row>
    <row r="1254" ht="15.75" customHeight="1">
      <c r="A1254" s="91"/>
      <c r="B1254" s="91"/>
      <c r="C1254" s="220"/>
      <c r="D1254" s="91"/>
      <c r="E1254" s="221"/>
      <c r="F1254" s="91"/>
      <c r="G1254" s="91"/>
      <c r="H1254" s="242"/>
      <c r="I1254" s="91"/>
      <c r="J1254" s="234"/>
      <c r="K1254" s="243"/>
      <c r="L1254" s="243"/>
      <c r="M1254" s="234"/>
      <c r="N1254" s="235"/>
      <c r="O1254" s="236"/>
      <c r="P1254" s="236"/>
      <c r="Q1254" s="236"/>
      <c r="R1254" s="236"/>
      <c r="S1254" s="236"/>
      <c r="T1254" s="236"/>
      <c r="U1254" s="236"/>
      <c r="V1254" s="236"/>
      <c r="W1254" s="236"/>
      <c r="X1254" s="244"/>
      <c r="Y1254" s="244"/>
      <c r="Z1254" s="237"/>
      <c r="AA1254" s="244"/>
      <c r="AB1254" s="244"/>
      <c r="AC1254" s="244"/>
      <c r="AD1254" s="244"/>
      <c r="AE1254" s="234"/>
      <c r="AF1254" s="234"/>
      <c r="AG1254" s="238"/>
      <c r="AH1254" s="239"/>
      <c r="AI1254" s="238"/>
      <c r="AJ1254" s="238"/>
      <c r="AK1254" s="234"/>
      <c r="AL1254" s="234"/>
      <c r="AM1254" s="234"/>
      <c r="AN1254" s="234"/>
      <c r="AO1254" s="234"/>
    </row>
    <row r="1255" ht="15.75" customHeight="1">
      <c r="A1255" s="91"/>
      <c r="B1255" s="91"/>
      <c r="C1255" s="220"/>
      <c r="D1255" s="91"/>
      <c r="E1255" s="221"/>
      <c r="F1255" s="91"/>
      <c r="G1255" s="91"/>
      <c r="H1255" s="242"/>
      <c r="I1255" s="91"/>
      <c r="J1255" s="234"/>
      <c r="K1255" s="243"/>
      <c r="L1255" s="243"/>
      <c r="M1255" s="234"/>
      <c r="N1255" s="235"/>
      <c r="O1255" s="236"/>
      <c r="P1255" s="236"/>
      <c r="Q1255" s="236"/>
      <c r="R1255" s="236"/>
      <c r="S1255" s="236"/>
      <c r="T1255" s="236"/>
      <c r="U1255" s="236"/>
      <c r="V1255" s="236"/>
      <c r="W1255" s="236"/>
      <c r="X1255" s="244"/>
      <c r="Y1255" s="244"/>
      <c r="Z1255" s="237"/>
      <c r="AA1255" s="244"/>
      <c r="AB1255" s="244"/>
      <c r="AC1255" s="244"/>
      <c r="AD1255" s="244"/>
      <c r="AE1255" s="234"/>
      <c r="AF1255" s="234"/>
      <c r="AG1255" s="238"/>
      <c r="AH1255" s="239"/>
      <c r="AI1255" s="238"/>
      <c r="AJ1255" s="238"/>
      <c r="AK1255" s="234"/>
      <c r="AL1255" s="234"/>
      <c r="AM1255" s="234"/>
      <c r="AN1255" s="234"/>
      <c r="AO1255" s="234"/>
    </row>
    <row r="1256" ht="15.75" customHeight="1">
      <c r="A1256" s="91"/>
      <c r="B1256" s="91"/>
      <c r="C1256" s="220"/>
      <c r="D1256" s="91"/>
      <c r="E1256" s="221"/>
      <c r="F1256" s="91"/>
      <c r="G1256" s="91"/>
      <c r="H1256" s="242"/>
      <c r="I1256" s="91"/>
      <c r="J1256" s="234"/>
      <c r="K1256" s="243"/>
      <c r="L1256" s="243"/>
      <c r="M1256" s="234"/>
      <c r="N1256" s="235"/>
      <c r="O1256" s="236"/>
      <c r="P1256" s="236"/>
      <c r="Q1256" s="236"/>
      <c r="R1256" s="236"/>
      <c r="S1256" s="236"/>
      <c r="T1256" s="236"/>
      <c r="U1256" s="236"/>
      <c r="V1256" s="236"/>
      <c r="W1256" s="236"/>
      <c r="X1256" s="244"/>
      <c r="Y1256" s="244"/>
      <c r="Z1256" s="237"/>
      <c r="AA1256" s="244"/>
      <c r="AB1256" s="244"/>
      <c r="AC1256" s="244"/>
      <c r="AD1256" s="244"/>
      <c r="AE1256" s="234"/>
      <c r="AF1256" s="234"/>
      <c r="AG1256" s="238"/>
      <c r="AH1256" s="239"/>
      <c r="AI1256" s="238"/>
      <c r="AJ1256" s="238"/>
      <c r="AK1256" s="234"/>
      <c r="AL1256" s="234"/>
      <c r="AM1256" s="234"/>
      <c r="AN1256" s="234"/>
      <c r="AO1256" s="234"/>
    </row>
    <row r="1257" ht="15.75" customHeight="1">
      <c r="A1257" s="91"/>
      <c r="B1257" s="91"/>
      <c r="C1257" s="220"/>
      <c r="D1257" s="91"/>
      <c r="E1257" s="221"/>
      <c r="F1257" s="91"/>
      <c r="G1257" s="91"/>
      <c r="H1257" s="242"/>
      <c r="I1257" s="91"/>
      <c r="J1257" s="234"/>
      <c r="K1257" s="243"/>
      <c r="L1257" s="243"/>
      <c r="M1257" s="234"/>
      <c r="N1257" s="235"/>
      <c r="O1257" s="236"/>
      <c r="P1257" s="236"/>
      <c r="Q1257" s="236"/>
      <c r="R1257" s="236"/>
      <c r="S1257" s="236"/>
      <c r="T1257" s="236"/>
      <c r="U1257" s="236"/>
      <c r="V1257" s="236"/>
      <c r="W1257" s="236"/>
      <c r="X1257" s="244"/>
      <c r="Y1257" s="244"/>
      <c r="Z1257" s="237"/>
      <c r="AA1257" s="244"/>
      <c r="AB1257" s="244"/>
      <c r="AC1257" s="244"/>
      <c r="AD1257" s="244"/>
      <c r="AE1257" s="234"/>
      <c r="AF1257" s="234"/>
      <c r="AG1257" s="238"/>
      <c r="AH1257" s="239"/>
      <c r="AI1257" s="238"/>
      <c r="AJ1257" s="238"/>
      <c r="AK1257" s="234"/>
      <c r="AL1257" s="234"/>
      <c r="AM1257" s="234"/>
      <c r="AN1257" s="234"/>
      <c r="AO1257" s="234"/>
    </row>
    <row r="1258" ht="15.75" customHeight="1">
      <c r="A1258" s="91"/>
      <c r="B1258" s="91"/>
      <c r="C1258" s="220"/>
      <c r="D1258" s="91"/>
      <c r="E1258" s="221"/>
      <c r="F1258" s="91"/>
      <c r="G1258" s="91"/>
      <c r="H1258" s="242"/>
      <c r="I1258" s="91"/>
      <c r="J1258" s="234"/>
      <c r="K1258" s="243"/>
      <c r="L1258" s="243"/>
      <c r="M1258" s="234"/>
      <c r="N1258" s="235"/>
      <c r="O1258" s="236"/>
      <c r="P1258" s="236"/>
      <c r="Q1258" s="236"/>
      <c r="R1258" s="236"/>
      <c r="S1258" s="236"/>
      <c r="T1258" s="236"/>
      <c r="U1258" s="236"/>
      <c r="V1258" s="236"/>
      <c r="W1258" s="236"/>
      <c r="X1258" s="244"/>
      <c r="Y1258" s="244"/>
      <c r="Z1258" s="237"/>
      <c r="AA1258" s="244"/>
      <c r="AB1258" s="244"/>
      <c r="AC1258" s="244"/>
      <c r="AD1258" s="244"/>
      <c r="AE1258" s="234"/>
      <c r="AF1258" s="234"/>
      <c r="AG1258" s="238"/>
      <c r="AH1258" s="239"/>
      <c r="AI1258" s="238"/>
      <c r="AJ1258" s="238"/>
      <c r="AK1258" s="234"/>
      <c r="AL1258" s="234"/>
      <c r="AM1258" s="234"/>
      <c r="AN1258" s="234"/>
      <c r="AO1258" s="234"/>
    </row>
    <row r="1259" ht="15.75" customHeight="1">
      <c r="A1259" s="91"/>
      <c r="B1259" s="91"/>
      <c r="C1259" s="220"/>
      <c r="D1259" s="91"/>
      <c r="E1259" s="221"/>
      <c r="F1259" s="91"/>
      <c r="G1259" s="91"/>
      <c r="H1259" s="242"/>
      <c r="I1259" s="91"/>
      <c r="J1259" s="234"/>
      <c r="K1259" s="243"/>
      <c r="L1259" s="243"/>
      <c r="M1259" s="234"/>
      <c r="N1259" s="235"/>
      <c r="O1259" s="236"/>
      <c r="P1259" s="236"/>
      <c r="Q1259" s="236"/>
      <c r="R1259" s="236"/>
      <c r="S1259" s="236"/>
      <c r="T1259" s="236"/>
      <c r="U1259" s="236"/>
      <c r="V1259" s="236"/>
      <c r="W1259" s="236"/>
      <c r="X1259" s="244"/>
      <c r="Y1259" s="244"/>
      <c r="Z1259" s="237"/>
      <c r="AA1259" s="244"/>
      <c r="AB1259" s="244"/>
      <c r="AC1259" s="244"/>
      <c r="AD1259" s="244"/>
      <c r="AE1259" s="234"/>
      <c r="AF1259" s="234"/>
      <c r="AG1259" s="238"/>
      <c r="AH1259" s="239"/>
      <c r="AI1259" s="238"/>
      <c r="AJ1259" s="238"/>
      <c r="AK1259" s="234"/>
      <c r="AL1259" s="234"/>
      <c r="AM1259" s="234"/>
      <c r="AN1259" s="234"/>
      <c r="AO1259" s="234"/>
    </row>
    <row r="1260" ht="15.75" customHeight="1">
      <c r="A1260" s="91"/>
      <c r="B1260" s="91"/>
      <c r="C1260" s="220"/>
      <c r="D1260" s="91"/>
      <c r="E1260" s="221"/>
      <c r="F1260" s="91"/>
      <c r="G1260" s="91"/>
      <c r="H1260" s="242"/>
      <c r="I1260" s="91"/>
      <c r="J1260" s="234"/>
      <c r="K1260" s="243"/>
      <c r="L1260" s="243"/>
      <c r="M1260" s="234"/>
      <c r="N1260" s="235"/>
      <c r="O1260" s="236"/>
      <c r="P1260" s="236"/>
      <c r="Q1260" s="236"/>
      <c r="R1260" s="236"/>
      <c r="S1260" s="236"/>
      <c r="T1260" s="236"/>
      <c r="U1260" s="236"/>
      <c r="V1260" s="236"/>
      <c r="W1260" s="236"/>
      <c r="X1260" s="244"/>
      <c r="Y1260" s="244"/>
      <c r="Z1260" s="237"/>
      <c r="AA1260" s="244"/>
      <c r="AB1260" s="244"/>
      <c r="AC1260" s="244"/>
      <c r="AD1260" s="244"/>
      <c r="AE1260" s="234"/>
      <c r="AF1260" s="234"/>
      <c r="AG1260" s="238"/>
      <c r="AH1260" s="239"/>
      <c r="AI1260" s="238"/>
      <c r="AJ1260" s="238"/>
      <c r="AK1260" s="234"/>
      <c r="AL1260" s="234"/>
      <c r="AM1260" s="234"/>
      <c r="AN1260" s="234"/>
      <c r="AO1260" s="234"/>
    </row>
    <row r="1261" ht="15.75" customHeight="1">
      <c r="A1261" s="91"/>
      <c r="B1261" s="91"/>
      <c r="C1261" s="220"/>
      <c r="D1261" s="91"/>
      <c r="E1261" s="221"/>
      <c r="F1261" s="91"/>
      <c r="G1261" s="91"/>
      <c r="H1261" s="242"/>
      <c r="I1261" s="91"/>
      <c r="J1261" s="234"/>
      <c r="K1261" s="243"/>
      <c r="L1261" s="243"/>
      <c r="M1261" s="234"/>
      <c r="N1261" s="235"/>
      <c r="O1261" s="236"/>
      <c r="P1261" s="236"/>
      <c r="Q1261" s="236"/>
      <c r="R1261" s="236"/>
      <c r="S1261" s="236"/>
      <c r="T1261" s="236"/>
      <c r="U1261" s="236"/>
      <c r="V1261" s="236"/>
      <c r="W1261" s="236"/>
      <c r="X1261" s="244"/>
      <c r="Y1261" s="244"/>
      <c r="Z1261" s="237"/>
      <c r="AA1261" s="244"/>
      <c r="AB1261" s="244"/>
      <c r="AC1261" s="244"/>
      <c r="AD1261" s="244"/>
      <c r="AE1261" s="234"/>
      <c r="AF1261" s="234"/>
      <c r="AG1261" s="238"/>
      <c r="AH1261" s="239"/>
      <c r="AI1261" s="238"/>
      <c r="AJ1261" s="238"/>
      <c r="AK1261" s="234"/>
      <c r="AL1261" s="234"/>
      <c r="AM1261" s="234"/>
      <c r="AN1261" s="234"/>
      <c r="AO1261" s="234"/>
    </row>
    <row r="1262" ht="15.75" customHeight="1">
      <c r="A1262" s="91"/>
      <c r="B1262" s="91"/>
      <c r="C1262" s="220"/>
      <c r="D1262" s="91"/>
      <c r="E1262" s="221"/>
      <c r="F1262" s="91"/>
      <c r="G1262" s="91"/>
      <c r="H1262" s="242"/>
      <c r="I1262" s="91"/>
      <c r="J1262" s="234"/>
      <c r="K1262" s="243"/>
      <c r="L1262" s="243"/>
      <c r="M1262" s="234"/>
      <c r="N1262" s="235"/>
      <c r="O1262" s="236"/>
      <c r="P1262" s="236"/>
      <c r="Q1262" s="236"/>
      <c r="R1262" s="236"/>
      <c r="S1262" s="236"/>
      <c r="T1262" s="236"/>
      <c r="U1262" s="236"/>
      <c r="V1262" s="236"/>
      <c r="W1262" s="236"/>
      <c r="X1262" s="244"/>
      <c r="Y1262" s="244"/>
      <c r="Z1262" s="237"/>
      <c r="AA1262" s="244"/>
      <c r="AB1262" s="244"/>
      <c r="AC1262" s="244"/>
      <c r="AD1262" s="244"/>
      <c r="AE1262" s="234"/>
      <c r="AF1262" s="234"/>
      <c r="AG1262" s="238"/>
      <c r="AH1262" s="239"/>
      <c r="AI1262" s="238"/>
      <c r="AJ1262" s="238"/>
      <c r="AK1262" s="234"/>
      <c r="AL1262" s="234"/>
      <c r="AM1262" s="234"/>
      <c r="AN1262" s="234"/>
      <c r="AO1262" s="234"/>
    </row>
    <row r="1263" ht="15.75" customHeight="1">
      <c r="A1263" s="91"/>
      <c r="B1263" s="91"/>
      <c r="C1263" s="220"/>
      <c r="D1263" s="91"/>
      <c r="E1263" s="221"/>
      <c r="F1263" s="91"/>
      <c r="G1263" s="91"/>
      <c r="H1263" s="242"/>
      <c r="I1263" s="91"/>
      <c r="J1263" s="234"/>
      <c r="K1263" s="243"/>
      <c r="L1263" s="243"/>
      <c r="M1263" s="234"/>
      <c r="N1263" s="235"/>
      <c r="O1263" s="236"/>
      <c r="P1263" s="236"/>
      <c r="Q1263" s="236"/>
      <c r="R1263" s="236"/>
      <c r="S1263" s="236"/>
      <c r="T1263" s="236"/>
      <c r="U1263" s="236"/>
      <c r="V1263" s="236"/>
      <c r="W1263" s="236"/>
      <c r="X1263" s="244"/>
      <c r="Y1263" s="244"/>
      <c r="Z1263" s="237"/>
      <c r="AA1263" s="244"/>
      <c r="AB1263" s="244"/>
      <c r="AC1263" s="244"/>
      <c r="AD1263" s="244"/>
      <c r="AE1263" s="234"/>
      <c r="AF1263" s="234"/>
      <c r="AG1263" s="238"/>
      <c r="AH1263" s="239"/>
      <c r="AI1263" s="238"/>
      <c r="AJ1263" s="238"/>
      <c r="AK1263" s="234"/>
      <c r="AL1263" s="234"/>
      <c r="AM1263" s="234"/>
      <c r="AN1263" s="234"/>
      <c r="AO1263" s="234"/>
    </row>
    <row r="1264" ht="15.75" customHeight="1">
      <c r="A1264" s="91"/>
      <c r="B1264" s="91"/>
      <c r="C1264" s="220"/>
      <c r="D1264" s="91"/>
      <c r="E1264" s="221"/>
      <c r="F1264" s="91"/>
      <c r="G1264" s="91"/>
      <c r="H1264" s="242"/>
      <c r="I1264" s="91"/>
      <c r="J1264" s="234"/>
      <c r="K1264" s="243"/>
      <c r="L1264" s="243"/>
      <c r="M1264" s="234"/>
      <c r="N1264" s="235"/>
      <c r="O1264" s="236"/>
      <c r="P1264" s="236"/>
      <c r="Q1264" s="236"/>
      <c r="R1264" s="236"/>
      <c r="S1264" s="236"/>
      <c r="T1264" s="236"/>
      <c r="U1264" s="236"/>
      <c r="V1264" s="236"/>
      <c r="W1264" s="236"/>
      <c r="X1264" s="244"/>
      <c r="Y1264" s="244"/>
      <c r="Z1264" s="237"/>
      <c r="AA1264" s="244"/>
      <c r="AB1264" s="244"/>
      <c r="AC1264" s="244"/>
      <c r="AD1264" s="244"/>
      <c r="AE1264" s="234"/>
      <c r="AF1264" s="234"/>
      <c r="AG1264" s="238"/>
      <c r="AH1264" s="239"/>
      <c r="AI1264" s="238"/>
      <c r="AJ1264" s="238"/>
      <c r="AK1264" s="234"/>
      <c r="AL1264" s="234"/>
      <c r="AM1264" s="234"/>
      <c r="AN1264" s="234"/>
      <c r="AO1264" s="234"/>
    </row>
    <row r="1265" ht="15.75" customHeight="1">
      <c r="A1265" s="91"/>
      <c r="B1265" s="91"/>
      <c r="C1265" s="220"/>
      <c r="D1265" s="91"/>
      <c r="E1265" s="221"/>
      <c r="F1265" s="91"/>
      <c r="G1265" s="91"/>
      <c r="H1265" s="242"/>
      <c r="I1265" s="91"/>
      <c r="J1265" s="234"/>
      <c r="K1265" s="243"/>
      <c r="L1265" s="243"/>
      <c r="M1265" s="234"/>
      <c r="N1265" s="235"/>
      <c r="O1265" s="236"/>
      <c r="P1265" s="236"/>
      <c r="Q1265" s="236"/>
      <c r="R1265" s="236"/>
      <c r="S1265" s="236"/>
      <c r="T1265" s="236"/>
      <c r="U1265" s="236"/>
      <c r="V1265" s="236"/>
      <c r="W1265" s="236"/>
      <c r="X1265" s="244"/>
      <c r="Y1265" s="244"/>
      <c r="Z1265" s="237"/>
      <c r="AA1265" s="244"/>
      <c r="AB1265" s="244"/>
      <c r="AC1265" s="244"/>
      <c r="AD1265" s="244"/>
      <c r="AE1265" s="234"/>
      <c r="AF1265" s="234"/>
      <c r="AG1265" s="238"/>
      <c r="AH1265" s="239"/>
      <c r="AI1265" s="238"/>
      <c r="AJ1265" s="238"/>
      <c r="AK1265" s="234"/>
      <c r="AL1265" s="234"/>
      <c r="AM1265" s="234"/>
      <c r="AN1265" s="234"/>
      <c r="AO1265" s="234"/>
    </row>
    <row r="1266" ht="15.75" customHeight="1">
      <c r="A1266" s="91"/>
      <c r="B1266" s="91"/>
      <c r="C1266" s="220"/>
      <c r="D1266" s="91"/>
      <c r="E1266" s="221"/>
      <c r="F1266" s="91"/>
      <c r="G1266" s="91"/>
      <c r="H1266" s="242"/>
      <c r="I1266" s="91"/>
      <c r="J1266" s="234"/>
      <c r="K1266" s="243"/>
      <c r="L1266" s="243"/>
      <c r="M1266" s="234"/>
      <c r="N1266" s="235"/>
      <c r="O1266" s="236"/>
      <c r="P1266" s="236"/>
      <c r="Q1266" s="236"/>
      <c r="R1266" s="236"/>
      <c r="S1266" s="236"/>
      <c r="T1266" s="236"/>
      <c r="U1266" s="236"/>
      <c r="V1266" s="236"/>
      <c r="W1266" s="236"/>
      <c r="X1266" s="244"/>
      <c r="Y1266" s="244"/>
      <c r="Z1266" s="237"/>
      <c r="AA1266" s="244"/>
      <c r="AB1266" s="244"/>
      <c r="AC1266" s="244"/>
      <c r="AD1266" s="244"/>
      <c r="AE1266" s="234"/>
      <c r="AF1266" s="234"/>
      <c r="AG1266" s="238"/>
      <c r="AH1266" s="239"/>
      <c r="AI1266" s="238"/>
      <c r="AJ1266" s="238"/>
      <c r="AK1266" s="234"/>
      <c r="AL1266" s="234"/>
      <c r="AM1266" s="234"/>
      <c r="AN1266" s="234"/>
      <c r="AO1266" s="234"/>
    </row>
    <row r="1267" ht="15.75" customHeight="1">
      <c r="A1267" s="91"/>
      <c r="B1267" s="91"/>
      <c r="C1267" s="220"/>
      <c r="D1267" s="91"/>
      <c r="E1267" s="221"/>
      <c r="F1267" s="91"/>
      <c r="G1267" s="91"/>
      <c r="H1267" s="242"/>
      <c r="I1267" s="91"/>
      <c r="J1267" s="234"/>
      <c r="K1267" s="243"/>
      <c r="L1267" s="243"/>
      <c r="M1267" s="234"/>
      <c r="N1267" s="235"/>
      <c r="O1267" s="236"/>
      <c r="P1267" s="236"/>
      <c r="Q1267" s="236"/>
      <c r="R1267" s="236"/>
      <c r="S1267" s="236"/>
      <c r="T1267" s="236"/>
      <c r="U1267" s="236"/>
      <c r="V1267" s="236"/>
      <c r="W1267" s="236"/>
      <c r="X1267" s="244"/>
      <c r="Y1267" s="244"/>
      <c r="Z1267" s="237"/>
      <c r="AA1267" s="244"/>
      <c r="AB1267" s="244"/>
      <c r="AC1267" s="244"/>
      <c r="AD1267" s="244"/>
      <c r="AE1267" s="234"/>
      <c r="AF1267" s="234"/>
      <c r="AG1267" s="238"/>
      <c r="AH1267" s="239"/>
      <c r="AI1267" s="238"/>
      <c r="AJ1267" s="238"/>
      <c r="AK1267" s="234"/>
      <c r="AL1267" s="234"/>
      <c r="AM1267" s="234"/>
      <c r="AN1267" s="234"/>
      <c r="AO1267" s="234"/>
    </row>
    <row r="1268" ht="15.75" customHeight="1">
      <c r="A1268" s="91"/>
      <c r="B1268" s="91"/>
      <c r="C1268" s="220"/>
      <c r="D1268" s="91"/>
      <c r="E1268" s="221"/>
      <c r="F1268" s="91"/>
      <c r="G1268" s="91"/>
      <c r="H1268" s="242"/>
      <c r="I1268" s="91"/>
      <c r="J1268" s="234"/>
      <c r="K1268" s="243"/>
      <c r="L1268" s="243"/>
      <c r="M1268" s="234"/>
      <c r="N1268" s="235"/>
      <c r="O1268" s="236"/>
      <c r="P1268" s="236"/>
      <c r="Q1268" s="236"/>
      <c r="R1268" s="236"/>
      <c r="S1268" s="236"/>
      <c r="T1268" s="236"/>
      <c r="U1268" s="236"/>
      <c r="V1268" s="236"/>
      <c r="W1268" s="236"/>
      <c r="X1268" s="244"/>
      <c r="Y1268" s="244"/>
      <c r="Z1268" s="237"/>
      <c r="AA1268" s="244"/>
      <c r="AB1268" s="244"/>
      <c r="AC1268" s="244"/>
      <c r="AD1268" s="244"/>
      <c r="AE1268" s="234"/>
      <c r="AF1268" s="234"/>
      <c r="AG1268" s="238"/>
      <c r="AH1268" s="239"/>
      <c r="AI1268" s="238"/>
      <c r="AJ1268" s="238"/>
      <c r="AK1268" s="234"/>
      <c r="AL1268" s="234"/>
      <c r="AM1268" s="234"/>
      <c r="AN1268" s="234"/>
      <c r="AO1268" s="234"/>
    </row>
    <row r="1269" ht="15.75" customHeight="1">
      <c r="A1269" s="91"/>
      <c r="B1269" s="91"/>
      <c r="C1269" s="220"/>
      <c r="D1269" s="91"/>
      <c r="E1269" s="221"/>
      <c r="F1269" s="91"/>
      <c r="G1269" s="91"/>
      <c r="H1269" s="242"/>
      <c r="I1269" s="91"/>
      <c r="J1269" s="234"/>
      <c r="K1269" s="243"/>
      <c r="L1269" s="243"/>
      <c r="M1269" s="234"/>
      <c r="N1269" s="235"/>
      <c r="O1269" s="236"/>
      <c r="P1269" s="236"/>
      <c r="Q1269" s="236"/>
      <c r="R1269" s="236"/>
      <c r="S1269" s="236"/>
      <c r="T1269" s="236"/>
      <c r="U1269" s="236"/>
      <c r="V1269" s="236"/>
      <c r="W1269" s="236"/>
      <c r="X1269" s="244"/>
      <c r="Y1269" s="244"/>
      <c r="Z1269" s="237"/>
      <c r="AA1269" s="244"/>
      <c r="AB1269" s="244"/>
      <c r="AC1269" s="244"/>
      <c r="AD1269" s="244"/>
      <c r="AE1269" s="234"/>
      <c r="AF1269" s="234"/>
      <c r="AG1269" s="238"/>
      <c r="AH1269" s="239"/>
      <c r="AI1269" s="238"/>
      <c r="AJ1269" s="238"/>
      <c r="AK1269" s="234"/>
      <c r="AL1269" s="234"/>
      <c r="AM1269" s="234"/>
      <c r="AN1269" s="234"/>
      <c r="AO1269" s="234"/>
    </row>
    <row r="1270" ht="15.75" customHeight="1">
      <c r="A1270" s="91"/>
      <c r="B1270" s="91"/>
      <c r="C1270" s="220"/>
      <c r="D1270" s="91"/>
      <c r="E1270" s="221"/>
      <c r="F1270" s="91"/>
      <c r="G1270" s="91"/>
      <c r="H1270" s="242"/>
      <c r="I1270" s="91"/>
      <c r="J1270" s="234"/>
      <c r="K1270" s="243"/>
      <c r="L1270" s="243"/>
      <c r="M1270" s="234"/>
      <c r="N1270" s="235"/>
      <c r="O1270" s="236"/>
      <c r="P1270" s="236"/>
      <c r="Q1270" s="236"/>
      <c r="R1270" s="236"/>
      <c r="S1270" s="236"/>
      <c r="T1270" s="236"/>
      <c r="U1270" s="236"/>
      <c r="V1270" s="236"/>
      <c r="W1270" s="236"/>
      <c r="X1270" s="244"/>
      <c r="Y1270" s="244"/>
      <c r="Z1270" s="237"/>
      <c r="AA1270" s="244"/>
      <c r="AB1270" s="244"/>
      <c r="AC1270" s="244"/>
      <c r="AD1270" s="244"/>
      <c r="AE1270" s="234"/>
      <c r="AF1270" s="234"/>
      <c r="AG1270" s="238"/>
      <c r="AH1270" s="239"/>
      <c r="AI1270" s="238"/>
      <c r="AJ1270" s="238"/>
      <c r="AK1270" s="234"/>
      <c r="AL1270" s="234"/>
      <c r="AM1270" s="234"/>
      <c r="AN1270" s="234"/>
      <c r="AO1270" s="234"/>
    </row>
    <row r="1271" ht="15.75" customHeight="1">
      <c r="A1271" s="91"/>
      <c r="B1271" s="91"/>
      <c r="C1271" s="220"/>
      <c r="D1271" s="91"/>
      <c r="E1271" s="221"/>
      <c r="F1271" s="91"/>
      <c r="G1271" s="91"/>
      <c r="H1271" s="242"/>
      <c r="I1271" s="91"/>
      <c r="J1271" s="234"/>
      <c r="K1271" s="243"/>
      <c r="L1271" s="243"/>
      <c r="M1271" s="234"/>
      <c r="N1271" s="235"/>
      <c r="O1271" s="236"/>
      <c r="P1271" s="236"/>
      <c r="Q1271" s="236"/>
      <c r="R1271" s="236"/>
      <c r="S1271" s="236"/>
      <c r="T1271" s="236"/>
      <c r="U1271" s="236"/>
      <c r="V1271" s="236"/>
      <c r="W1271" s="236"/>
      <c r="X1271" s="244"/>
      <c r="Y1271" s="244"/>
      <c r="Z1271" s="237"/>
      <c r="AA1271" s="244"/>
      <c r="AB1271" s="244"/>
      <c r="AC1271" s="244"/>
      <c r="AD1271" s="244"/>
      <c r="AE1271" s="234"/>
      <c r="AF1271" s="234"/>
      <c r="AG1271" s="238"/>
      <c r="AH1271" s="239"/>
      <c r="AI1271" s="238"/>
      <c r="AJ1271" s="238"/>
      <c r="AK1271" s="234"/>
      <c r="AL1271" s="234"/>
      <c r="AM1271" s="234"/>
      <c r="AN1271" s="234"/>
      <c r="AO1271" s="234"/>
    </row>
    <row r="1272" ht="15.75" customHeight="1">
      <c r="A1272" s="91"/>
      <c r="B1272" s="91"/>
      <c r="C1272" s="220"/>
      <c r="D1272" s="91"/>
      <c r="E1272" s="221"/>
      <c r="F1272" s="91"/>
      <c r="G1272" s="91"/>
      <c r="H1272" s="242"/>
      <c r="I1272" s="91"/>
      <c r="J1272" s="234"/>
      <c r="K1272" s="243"/>
      <c r="L1272" s="243"/>
      <c r="M1272" s="234"/>
      <c r="N1272" s="235"/>
      <c r="O1272" s="236"/>
      <c r="P1272" s="236"/>
      <c r="Q1272" s="236"/>
      <c r="R1272" s="236"/>
      <c r="S1272" s="236"/>
      <c r="T1272" s="236"/>
      <c r="U1272" s="236"/>
      <c r="V1272" s="236"/>
      <c r="W1272" s="236"/>
      <c r="X1272" s="244"/>
      <c r="Y1272" s="244"/>
      <c r="Z1272" s="237"/>
      <c r="AA1272" s="244"/>
      <c r="AB1272" s="244"/>
      <c r="AC1272" s="244"/>
      <c r="AD1272" s="244"/>
      <c r="AE1272" s="234"/>
      <c r="AF1272" s="234"/>
      <c r="AG1272" s="238"/>
      <c r="AH1272" s="239"/>
      <c r="AI1272" s="238"/>
      <c r="AJ1272" s="238"/>
      <c r="AK1272" s="234"/>
      <c r="AL1272" s="234"/>
      <c r="AM1272" s="234"/>
      <c r="AN1272" s="234"/>
      <c r="AO1272" s="234"/>
    </row>
    <row r="1273" ht="15.75" customHeight="1">
      <c r="A1273" s="91"/>
      <c r="B1273" s="91"/>
      <c r="C1273" s="220"/>
      <c r="D1273" s="91"/>
      <c r="E1273" s="221"/>
      <c r="F1273" s="91"/>
      <c r="G1273" s="91"/>
      <c r="H1273" s="242"/>
      <c r="I1273" s="91"/>
      <c r="J1273" s="234"/>
      <c r="K1273" s="243"/>
      <c r="L1273" s="243"/>
      <c r="M1273" s="234"/>
      <c r="N1273" s="235"/>
      <c r="O1273" s="236"/>
      <c r="P1273" s="236"/>
      <c r="Q1273" s="236"/>
      <c r="R1273" s="236"/>
      <c r="S1273" s="236"/>
      <c r="T1273" s="236"/>
      <c r="U1273" s="236"/>
      <c r="V1273" s="236"/>
      <c r="W1273" s="236"/>
      <c r="X1273" s="244"/>
      <c r="Y1273" s="244"/>
      <c r="Z1273" s="237"/>
      <c r="AA1273" s="244"/>
      <c r="AB1273" s="244"/>
      <c r="AC1273" s="244"/>
      <c r="AD1273" s="244"/>
      <c r="AE1273" s="234"/>
      <c r="AF1273" s="234"/>
      <c r="AG1273" s="238"/>
      <c r="AH1273" s="239"/>
      <c r="AI1273" s="238"/>
      <c r="AJ1273" s="238"/>
      <c r="AK1273" s="234"/>
      <c r="AL1273" s="234"/>
      <c r="AM1273" s="234"/>
      <c r="AN1273" s="234"/>
      <c r="AO1273" s="234"/>
    </row>
    <row r="1274" ht="15.75" customHeight="1">
      <c r="A1274" s="91"/>
      <c r="B1274" s="91"/>
      <c r="C1274" s="220"/>
      <c r="D1274" s="91"/>
      <c r="E1274" s="221"/>
      <c r="F1274" s="91"/>
      <c r="G1274" s="91"/>
      <c r="H1274" s="242"/>
      <c r="I1274" s="91"/>
      <c r="J1274" s="234"/>
      <c r="K1274" s="243"/>
      <c r="L1274" s="243"/>
      <c r="M1274" s="234"/>
      <c r="N1274" s="235"/>
      <c r="O1274" s="236"/>
      <c r="P1274" s="236"/>
      <c r="Q1274" s="236"/>
      <c r="R1274" s="236"/>
      <c r="S1274" s="236"/>
      <c r="T1274" s="236"/>
      <c r="U1274" s="236"/>
      <c r="V1274" s="236"/>
      <c r="W1274" s="236"/>
      <c r="X1274" s="244"/>
      <c r="Y1274" s="244"/>
      <c r="Z1274" s="237"/>
      <c r="AA1274" s="244"/>
      <c r="AB1274" s="244"/>
      <c r="AC1274" s="244"/>
      <c r="AD1274" s="244"/>
      <c r="AE1274" s="234"/>
      <c r="AF1274" s="234"/>
      <c r="AG1274" s="238"/>
      <c r="AH1274" s="239"/>
      <c r="AI1274" s="238"/>
      <c r="AJ1274" s="238"/>
      <c r="AK1274" s="234"/>
      <c r="AL1274" s="234"/>
      <c r="AM1274" s="234"/>
      <c r="AN1274" s="234"/>
      <c r="AO1274" s="234"/>
    </row>
    <row r="1275" ht="15.75" customHeight="1">
      <c r="A1275" s="91"/>
      <c r="B1275" s="91"/>
      <c r="C1275" s="220"/>
      <c r="D1275" s="91"/>
      <c r="E1275" s="221"/>
      <c r="F1275" s="91"/>
      <c r="G1275" s="91"/>
      <c r="H1275" s="242"/>
      <c r="I1275" s="91"/>
      <c r="J1275" s="234"/>
      <c r="K1275" s="243"/>
      <c r="L1275" s="243"/>
      <c r="M1275" s="234"/>
      <c r="N1275" s="235"/>
      <c r="O1275" s="236"/>
      <c r="P1275" s="236"/>
      <c r="Q1275" s="236"/>
      <c r="R1275" s="236"/>
      <c r="S1275" s="236"/>
      <c r="T1275" s="236"/>
      <c r="U1275" s="236"/>
      <c r="V1275" s="236"/>
      <c r="W1275" s="236"/>
      <c r="X1275" s="244"/>
      <c r="Y1275" s="244"/>
      <c r="Z1275" s="237"/>
      <c r="AA1275" s="244"/>
      <c r="AB1275" s="244"/>
      <c r="AC1275" s="244"/>
      <c r="AD1275" s="244"/>
      <c r="AE1275" s="234"/>
      <c r="AF1275" s="234"/>
      <c r="AG1275" s="238"/>
      <c r="AH1275" s="239"/>
      <c r="AI1275" s="238"/>
      <c r="AJ1275" s="238"/>
      <c r="AK1275" s="234"/>
      <c r="AL1275" s="234"/>
      <c r="AM1275" s="234"/>
      <c r="AN1275" s="234"/>
      <c r="AO1275" s="234"/>
    </row>
    <row r="1276" ht="15.75" customHeight="1">
      <c r="A1276" s="91"/>
      <c r="B1276" s="91"/>
      <c r="C1276" s="220"/>
      <c r="D1276" s="91"/>
      <c r="E1276" s="221"/>
      <c r="F1276" s="91"/>
      <c r="G1276" s="91"/>
      <c r="H1276" s="242"/>
      <c r="I1276" s="91"/>
      <c r="J1276" s="234"/>
      <c r="K1276" s="243"/>
      <c r="L1276" s="243"/>
      <c r="M1276" s="234"/>
      <c r="N1276" s="235"/>
      <c r="O1276" s="236"/>
      <c r="P1276" s="236"/>
      <c r="Q1276" s="236"/>
      <c r="R1276" s="236"/>
      <c r="S1276" s="236"/>
      <c r="T1276" s="236"/>
      <c r="U1276" s="236"/>
      <c r="V1276" s="236"/>
      <c r="W1276" s="236"/>
      <c r="X1276" s="244"/>
      <c r="Y1276" s="244"/>
      <c r="Z1276" s="237"/>
      <c r="AA1276" s="244"/>
      <c r="AB1276" s="244"/>
      <c r="AC1276" s="244"/>
      <c r="AD1276" s="244"/>
      <c r="AE1276" s="234"/>
      <c r="AF1276" s="234"/>
      <c r="AG1276" s="238"/>
      <c r="AH1276" s="239"/>
      <c r="AI1276" s="238"/>
      <c r="AJ1276" s="238"/>
      <c r="AK1276" s="234"/>
      <c r="AL1276" s="234"/>
      <c r="AM1276" s="234"/>
      <c r="AN1276" s="234"/>
      <c r="AO1276" s="234"/>
    </row>
    <row r="1277" ht="15.75" customHeight="1">
      <c r="A1277" s="91"/>
      <c r="B1277" s="91"/>
      <c r="C1277" s="220"/>
      <c r="D1277" s="91"/>
      <c r="E1277" s="221"/>
      <c r="F1277" s="91"/>
      <c r="G1277" s="91"/>
      <c r="H1277" s="242"/>
      <c r="I1277" s="91"/>
      <c r="J1277" s="234"/>
      <c r="K1277" s="243"/>
      <c r="L1277" s="243"/>
      <c r="M1277" s="234"/>
      <c r="N1277" s="235"/>
      <c r="O1277" s="236"/>
      <c r="P1277" s="236"/>
      <c r="Q1277" s="236"/>
      <c r="R1277" s="236"/>
      <c r="S1277" s="236"/>
      <c r="T1277" s="236"/>
      <c r="U1277" s="236"/>
      <c r="V1277" s="236"/>
      <c r="W1277" s="236"/>
      <c r="X1277" s="244"/>
      <c r="Y1277" s="244"/>
      <c r="Z1277" s="237"/>
      <c r="AA1277" s="244"/>
      <c r="AB1277" s="244"/>
      <c r="AC1277" s="244"/>
      <c r="AD1277" s="244"/>
      <c r="AE1277" s="234"/>
      <c r="AF1277" s="234"/>
      <c r="AG1277" s="238"/>
      <c r="AH1277" s="239"/>
      <c r="AI1277" s="238"/>
      <c r="AJ1277" s="238"/>
      <c r="AK1277" s="234"/>
      <c r="AL1277" s="234"/>
      <c r="AM1277" s="234"/>
      <c r="AN1277" s="234"/>
      <c r="AO1277" s="234"/>
    </row>
    <row r="1278" ht="15.75" customHeight="1">
      <c r="A1278" s="91"/>
      <c r="B1278" s="91"/>
      <c r="C1278" s="220"/>
      <c r="D1278" s="91"/>
      <c r="E1278" s="221"/>
      <c r="F1278" s="91"/>
      <c r="G1278" s="91"/>
      <c r="H1278" s="242"/>
      <c r="I1278" s="91"/>
      <c r="J1278" s="234"/>
      <c r="K1278" s="243"/>
      <c r="L1278" s="243"/>
      <c r="M1278" s="234"/>
      <c r="N1278" s="235"/>
      <c r="O1278" s="236"/>
      <c r="P1278" s="236"/>
      <c r="Q1278" s="236"/>
      <c r="R1278" s="236"/>
      <c r="S1278" s="236"/>
      <c r="T1278" s="236"/>
      <c r="U1278" s="236"/>
      <c r="V1278" s="236"/>
      <c r="W1278" s="236"/>
      <c r="X1278" s="244"/>
      <c r="Y1278" s="244"/>
      <c r="Z1278" s="237"/>
      <c r="AA1278" s="244"/>
      <c r="AB1278" s="244"/>
      <c r="AC1278" s="244"/>
      <c r="AD1278" s="244"/>
      <c r="AE1278" s="234"/>
      <c r="AF1278" s="234"/>
      <c r="AG1278" s="238"/>
      <c r="AH1278" s="239"/>
      <c r="AI1278" s="238"/>
      <c r="AJ1278" s="238"/>
      <c r="AK1278" s="234"/>
      <c r="AL1278" s="234"/>
      <c r="AM1278" s="234"/>
      <c r="AN1278" s="234"/>
      <c r="AO1278" s="234"/>
    </row>
    <row r="1279" ht="15.75" customHeight="1">
      <c r="A1279" s="91"/>
      <c r="B1279" s="91"/>
      <c r="C1279" s="220"/>
      <c r="D1279" s="91"/>
      <c r="E1279" s="221"/>
      <c r="F1279" s="91"/>
      <c r="G1279" s="91"/>
      <c r="H1279" s="242"/>
      <c r="I1279" s="91"/>
      <c r="J1279" s="234"/>
      <c r="K1279" s="243"/>
      <c r="L1279" s="243"/>
      <c r="M1279" s="234"/>
      <c r="N1279" s="235"/>
      <c r="O1279" s="236"/>
      <c r="P1279" s="236"/>
      <c r="Q1279" s="236"/>
      <c r="R1279" s="236"/>
      <c r="S1279" s="236"/>
      <c r="T1279" s="236"/>
      <c r="U1279" s="236"/>
      <c r="V1279" s="236"/>
      <c r="W1279" s="236"/>
      <c r="X1279" s="244"/>
      <c r="Y1279" s="244"/>
      <c r="Z1279" s="237"/>
      <c r="AA1279" s="244"/>
      <c r="AB1279" s="244"/>
      <c r="AC1279" s="244"/>
      <c r="AD1279" s="244"/>
      <c r="AE1279" s="234"/>
      <c r="AF1279" s="234"/>
      <c r="AG1279" s="238"/>
      <c r="AH1279" s="239"/>
      <c r="AI1279" s="238"/>
      <c r="AJ1279" s="238"/>
      <c r="AK1279" s="234"/>
      <c r="AL1279" s="234"/>
      <c r="AM1279" s="234"/>
      <c r="AN1279" s="234"/>
      <c r="AO1279" s="234"/>
    </row>
    <row r="1280" ht="15.75" customHeight="1">
      <c r="A1280" s="91"/>
      <c r="B1280" s="91"/>
      <c r="C1280" s="220"/>
      <c r="D1280" s="91"/>
      <c r="E1280" s="221"/>
      <c r="F1280" s="91"/>
      <c r="G1280" s="91"/>
      <c r="H1280" s="242"/>
      <c r="I1280" s="91"/>
      <c r="J1280" s="234"/>
      <c r="K1280" s="243"/>
      <c r="L1280" s="243"/>
      <c r="M1280" s="234"/>
      <c r="N1280" s="235"/>
      <c r="O1280" s="236"/>
      <c r="P1280" s="236"/>
      <c r="Q1280" s="236"/>
      <c r="R1280" s="236"/>
      <c r="S1280" s="236"/>
      <c r="T1280" s="236"/>
      <c r="U1280" s="236"/>
      <c r="V1280" s="236"/>
      <c r="W1280" s="236"/>
      <c r="X1280" s="244"/>
      <c r="Y1280" s="244"/>
      <c r="Z1280" s="237"/>
      <c r="AA1280" s="244"/>
      <c r="AB1280" s="244"/>
      <c r="AC1280" s="244"/>
      <c r="AD1280" s="244"/>
      <c r="AE1280" s="234"/>
      <c r="AF1280" s="234"/>
      <c r="AG1280" s="238"/>
      <c r="AH1280" s="239"/>
      <c r="AI1280" s="238"/>
      <c r="AJ1280" s="238"/>
      <c r="AK1280" s="234"/>
      <c r="AL1280" s="234"/>
      <c r="AM1280" s="234"/>
      <c r="AN1280" s="234"/>
      <c r="AO1280" s="234"/>
    </row>
    <row r="1281" ht="15.75" customHeight="1">
      <c r="A1281" s="91"/>
      <c r="B1281" s="91"/>
      <c r="C1281" s="220"/>
      <c r="D1281" s="91"/>
      <c r="E1281" s="221"/>
      <c r="F1281" s="91"/>
      <c r="G1281" s="91"/>
      <c r="H1281" s="242"/>
      <c r="I1281" s="91"/>
      <c r="J1281" s="234"/>
      <c r="K1281" s="243"/>
      <c r="L1281" s="243"/>
      <c r="M1281" s="234"/>
      <c r="N1281" s="235"/>
      <c r="O1281" s="236"/>
      <c r="P1281" s="236"/>
      <c r="Q1281" s="236"/>
      <c r="R1281" s="236"/>
      <c r="S1281" s="236"/>
      <c r="T1281" s="236"/>
      <c r="U1281" s="236"/>
      <c r="V1281" s="236"/>
      <c r="W1281" s="236"/>
      <c r="X1281" s="244"/>
      <c r="Y1281" s="244"/>
      <c r="Z1281" s="237"/>
      <c r="AA1281" s="244"/>
      <c r="AB1281" s="244"/>
      <c r="AC1281" s="244"/>
      <c r="AD1281" s="244"/>
      <c r="AE1281" s="234"/>
      <c r="AF1281" s="234"/>
      <c r="AG1281" s="238"/>
      <c r="AH1281" s="239"/>
      <c r="AI1281" s="238"/>
      <c r="AJ1281" s="238"/>
      <c r="AK1281" s="234"/>
      <c r="AL1281" s="234"/>
      <c r="AM1281" s="234"/>
      <c r="AN1281" s="234"/>
      <c r="AO1281" s="234"/>
    </row>
    <row r="1282" ht="15.75" customHeight="1">
      <c r="A1282" s="91"/>
      <c r="B1282" s="91"/>
      <c r="C1282" s="220"/>
      <c r="D1282" s="91"/>
      <c r="E1282" s="221"/>
      <c r="F1282" s="91"/>
      <c r="G1282" s="91"/>
      <c r="H1282" s="242"/>
      <c r="I1282" s="91"/>
      <c r="J1282" s="234"/>
      <c r="K1282" s="243"/>
      <c r="L1282" s="243"/>
      <c r="M1282" s="234"/>
      <c r="N1282" s="235"/>
      <c r="O1282" s="236"/>
      <c r="P1282" s="236"/>
      <c r="Q1282" s="236"/>
      <c r="R1282" s="236"/>
      <c r="S1282" s="236"/>
      <c r="T1282" s="236"/>
      <c r="U1282" s="236"/>
      <c r="V1282" s="236"/>
      <c r="W1282" s="236"/>
      <c r="X1282" s="244"/>
      <c r="Y1282" s="244"/>
      <c r="Z1282" s="237"/>
      <c r="AA1282" s="244"/>
      <c r="AB1282" s="244"/>
      <c r="AC1282" s="244"/>
      <c r="AD1282" s="244"/>
      <c r="AE1282" s="234"/>
      <c r="AF1282" s="234"/>
      <c r="AG1282" s="238"/>
      <c r="AH1282" s="239"/>
      <c r="AI1282" s="238"/>
      <c r="AJ1282" s="238"/>
      <c r="AK1282" s="234"/>
      <c r="AL1282" s="234"/>
      <c r="AM1282" s="234"/>
      <c r="AN1282" s="234"/>
      <c r="AO1282" s="234"/>
    </row>
    <row r="1283" ht="15.75" customHeight="1">
      <c r="A1283" s="91"/>
      <c r="B1283" s="91"/>
      <c r="C1283" s="220"/>
      <c r="D1283" s="91"/>
      <c r="E1283" s="221"/>
      <c r="F1283" s="91"/>
      <c r="G1283" s="91"/>
      <c r="H1283" s="242"/>
      <c r="I1283" s="91"/>
      <c r="J1283" s="234"/>
      <c r="K1283" s="243"/>
      <c r="L1283" s="243"/>
      <c r="M1283" s="234"/>
      <c r="N1283" s="235"/>
      <c r="O1283" s="236"/>
      <c r="P1283" s="236"/>
      <c r="Q1283" s="236"/>
      <c r="R1283" s="236"/>
      <c r="S1283" s="236"/>
      <c r="T1283" s="236"/>
      <c r="U1283" s="236"/>
      <c r="V1283" s="236"/>
      <c r="W1283" s="236"/>
      <c r="X1283" s="244"/>
      <c r="Y1283" s="244"/>
      <c r="Z1283" s="237"/>
      <c r="AA1283" s="244"/>
      <c r="AB1283" s="244"/>
      <c r="AC1283" s="244"/>
      <c r="AD1283" s="244"/>
      <c r="AE1283" s="234"/>
      <c r="AF1283" s="234"/>
      <c r="AG1283" s="238"/>
      <c r="AH1283" s="239"/>
      <c r="AI1283" s="238"/>
      <c r="AJ1283" s="238"/>
      <c r="AK1283" s="234"/>
      <c r="AL1283" s="234"/>
      <c r="AM1283" s="234"/>
      <c r="AN1283" s="234"/>
      <c r="AO1283" s="234"/>
    </row>
    <row r="1284" ht="15.75" customHeight="1">
      <c r="A1284" s="91"/>
      <c r="B1284" s="91"/>
      <c r="C1284" s="220"/>
      <c r="D1284" s="91"/>
      <c r="E1284" s="221"/>
      <c r="F1284" s="91"/>
      <c r="G1284" s="91"/>
      <c r="H1284" s="242"/>
      <c r="I1284" s="91"/>
      <c r="J1284" s="234"/>
      <c r="K1284" s="243"/>
      <c r="L1284" s="243"/>
      <c r="M1284" s="234"/>
      <c r="N1284" s="235"/>
      <c r="O1284" s="236"/>
      <c r="P1284" s="236"/>
      <c r="Q1284" s="236"/>
      <c r="R1284" s="236"/>
      <c r="S1284" s="236"/>
      <c r="T1284" s="236"/>
      <c r="U1284" s="236"/>
      <c r="V1284" s="236"/>
      <c r="W1284" s="236"/>
      <c r="X1284" s="244"/>
      <c r="Y1284" s="244"/>
      <c r="Z1284" s="237"/>
      <c r="AA1284" s="244"/>
      <c r="AB1284" s="244"/>
      <c r="AC1284" s="244"/>
      <c r="AD1284" s="244"/>
      <c r="AE1284" s="234"/>
      <c r="AF1284" s="234"/>
      <c r="AG1284" s="238"/>
      <c r="AH1284" s="239"/>
      <c r="AI1284" s="238"/>
      <c r="AJ1284" s="238"/>
      <c r="AK1284" s="234"/>
      <c r="AL1284" s="234"/>
      <c r="AM1284" s="234"/>
      <c r="AN1284" s="234"/>
      <c r="AO1284" s="234"/>
    </row>
    <row r="1285" ht="15.75" customHeight="1">
      <c r="A1285" s="91"/>
      <c r="B1285" s="91"/>
      <c r="C1285" s="220"/>
      <c r="D1285" s="91"/>
      <c r="E1285" s="221"/>
      <c r="F1285" s="91"/>
      <c r="G1285" s="91"/>
      <c r="H1285" s="242"/>
      <c r="I1285" s="91"/>
      <c r="J1285" s="234"/>
      <c r="K1285" s="243"/>
      <c r="L1285" s="243"/>
      <c r="M1285" s="234"/>
      <c r="N1285" s="235"/>
      <c r="O1285" s="236"/>
      <c r="P1285" s="236"/>
      <c r="Q1285" s="236"/>
      <c r="R1285" s="236"/>
      <c r="S1285" s="236"/>
      <c r="T1285" s="236"/>
      <c r="U1285" s="236"/>
      <c r="V1285" s="236"/>
      <c r="W1285" s="236"/>
      <c r="X1285" s="244"/>
      <c r="Y1285" s="244"/>
      <c r="Z1285" s="237"/>
      <c r="AA1285" s="244"/>
      <c r="AB1285" s="244"/>
      <c r="AC1285" s="244"/>
      <c r="AD1285" s="244"/>
      <c r="AE1285" s="234"/>
      <c r="AF1285" s="234"/>
      <c r="AG1285" s="238"/>
      <c r="AH1285" s="239"/>
      <c r="AI1285" s="238"/>
      <c r="AJ1285" s="238"/>
      <c r="AK1285" s="234"/>
      <c r="AL1285" s="234"/>
      <c r="AM1285" s="234"/>
      <c r="AN1285" s="234"/>
      <c r="AO1285" s="234"/>
    </row>
    <row r="1286" ht="15.75" customHeight="1">
      <c r="A1286" s="91"/>
      <c r="B1286" s="91"/>
      <c r="C1286" s="220"/>
      <c r="D1286" s="91"/>
      <c r="E1286" s="221"/>
      <c r="F1286" s="91"/>
      <c r="G1286" s="91"/>
      <c r="H1286" s="242"/>
      <c r="I1286" s="91"/>
      <c r="J1286" s="234"/>
      <c r="K1286" s="243"/>
      <c r="L1286" s="243"/>
      <c r="M1286" s="234"/>
      <c r="N1286" s="235"/>
      <c r="O1286" s="236"/>
      <c r="P1286" s="236"/>
      <c r="Q1286" s="236"/>
      <c r="R1286" s="236"/>
      <c r="S1286" s="236"/>
      <c r="T1286" s="236"/>
      <c r="U1286" s="236"/>
      <c r="V1286" s="236"/>
      <c r="W1286" s="236"/>
      <c r="X1286" s="244"/>
      <c r="Y1286" s="244"/>
      <c r="Z1286" s="237"/>
      <c r="AA1286" s="244"/>
      <c r="AB1286" s="244"/>
      <c r="AC1286" s="244"/>
      <c r="AD1286" s="244"/>
      <c r="AE1286" s="234"/>
      <c r="AF1286" s="234"/>
      <c r="AG1286" s="238"/>
      <c r="AH1286" s="239"/>
      <c r="AI1286" s="238"/>
      <c r="AJ1286" s="238"/>
      <c r="AK1286" s="234"/>
      <c r="AL1286" s="234"/>
      <c r="AM1286" s="234"/>
      <c r="AN1286" s="234"/>
      <c r="AO1286" s="234"/>
    </row>
    <row r="1287" ht="15.75" customHeight="1">
      <c r="A1287" s="91"/>
      <c r="B1287" s="91"/>
      <c r="C1287" s="220"/>
      <c r="D1287" s="91"/>
      <c r="E1287" s="221"/>
      <c r="F1287" s="91"/>
      <c r="G1287" s="91"/>
      <c r="H1287" s="242"/>
      <c r="I1287" s="91"/>
      <c r="J1287" s="234"/>
      <c r="K1287" s="243"/>
      <c r="L1287" s="243"/>
      <c r="M1287" s="234"/>
      <c r="N1287" s="235"/>
      <c r="O1287" s="236"/>
      <c r="P1287" s="236"/>
      <c r="Q1287" s="236"/>
      <c r="R1287" s="236"/>
      <c r="S1287" s="236"/>
      <c r="T1287" s="236"/>
      <c r="U1287" s="236"/>
      <c r="V1287" s="236"/>
      <c r="W1287" s="236"/>
      <c r="X1287" s="244"/>
      <c r="Y1287" s="244"/>
      <c r="Z1287" s="237"/>
      <c r="AA1287" s="244"/>
      <c r="AB1287" s="244"/>
      <c r="AC1287" s="244"/>
      <c r="AD1287" s="244"/>
      <c r="AE1287" s="234"/>
      <c r="AF1287" s="234"/>
      <c r="AG1287" s="238"/>
      <c r="AH1287" s="239"/>
      <c r="AI1287" s="238"/>
      <c r="AJ1287" s="238"/>
      <c r="AK1287" s="234"/>
      <c r="AL1287" s="234"/>
      <c r="AM1287" s="234"/>
      <c r="AN1287" s="234"/>
      <c r="AO1287" s="234"/>
    </row>
    <row r="1288" ht="15.75" customHeight="1">
      <c r="A1288" s="91"/>
      <c r="B1288" s="91"/>
      <c r="C1288" s="220"/>
      <c r="D1288" s="91"/>
      <c r="E1288" s="221"/>
      <c r="F1288" s="91"/>
      <c r="G1288" s="91"/>
      <c r="H1288" s="242"/>
      <c r="I1288" s="91"/>
      <c r="J1288" s="234"/>
      <c r="K1288" s="243"/>
      <c r="L1288" s="243"/>
      <c r="M1288" s="234"/>
      <c r="N1288" s="235"/>
      <c r="O1288" s="236"/>
      <c r="P1288" s="236"/>
      <c r="Q1288" s="236"/>
      <c r="R1288" s="236"/>
      <c r="S1288" s="236"/>
      <c r="T1288" s="236"/>
      <c r="U1288" s="236"/>
      <c r="V1288" s="236"/>
      <c r="W1288" s="236"/>
      <c r="X1288" s="244"/>
      <c r="Y1288" s="244"/>
      <c r="Z1288" s="237"/>
      <c r="AA1288" s="244"/>
      <c r="AB1288" s="244"/>
      <c r="AC1288" s="244"/>
      <c r="AD1288" s="244"/>
      <c r="AE1288" s="234"/>
      <c r="AF1288" s="234"/>
      <c r="AG1288" s="238"/>
      <c r="AH1288" s="239"/>
      <c r="AI1288" s="238"/>
      <c r="AJ1288" s="238"/>
      <c r="AK1288" s="234"/>
      <c r="AL1288" s="234"/>
      <c r="AM1288" s="234"/>
      <c r="AN1288" s="234"/>
      <c r="AO1288" s="234"/>
    </row>
    <row r="1289" ht="15.75" customHeight="1">
      <c r="A1289" s="91"/>
      <c r="B1289" s="91"/>
      <c r="C1289" s="220"/>
      <c r="D1289" s="91"/>
      <c r="E1289" s="221"/>
      <c r="F1289" s="91"/>
      <c r="G1289" s="91"/>
      <c r="H1289" s="242"/>
      <c r="I1289" s="91"/>
      <c r="J1289" s="234"/>
      <c r="K1289" s="243"/>
      <c r="L1289" s="243"/>
      <c r="M1289" s="234"/>
      <c r="N1289" s="235"/>
      <c r="O1289" s="236"/>
      <c r="P1289" s="236"/>
      <c r="Q1289" s="236"/>
      <c r="R1289" s="236"/>
      <c r="S1289" s="236"/>
      <c r="T1289" s="236"/>
      <c r="U1289" s="236"/>
      <c r="V1289" s="236"/>
      <c r="W1289" s="236"/>
      <c r="X1289" s="244"/>
      <c r="Y1289" s="244"/>
      <c r="Z1289" s="237"/>
      <c r="AA1289" s="244"/>
      <c r="AB1289" s="244"/>
      <c r="AC1289" s="244"/>
      <c r="AD1289" s="244"/>
      <c r="AE1289" s="234"/>
      <c r="AF1289" s="234"/>
      <c r="AG1289" s="238"/>
      <c r="AH1289" s="239"/>
      <c r="AI1289" s="238"/>
      <c r="AJ1289" s="238"/>
      <c r="AK1289" s="234"/>
      <c r="AL1289" s="234"/>
      <c r="AM1289" s="234"/>
      <c r="AN1289" s="234"/>
      <c r="AO1289" s="234"/>
    </row>
    <row r="1290" ht="15.75" customHeight="1">
      <c r="A1290" s="91"/>
      <c r="B1290" s="91"/>
      <c r="C1290" s="220"/>
      <c r="D1290" s="91"/>
      <c r="E1290" s="221"/>
      <c r="F1290" s="91"/>
      <c r="G1290" s="91"/>
      <c r="H1290" s="242"/>
      <c r="I1290" s="91"/>
      <c r="J1290" s="234"/>
      <c r="K1290" s="243"/>
      <c r="L1290" s="243"/>
      <c r="M1290" s="234"/>
      <c r="N1290" s="235"/>
      <c r="O1290" s="236"/>
      <c r="P1290" s="236"/>
      <c r="Q1290" s="236"/>
      <c r="R1290" s="236"/>
      <c r="S1290" s="236"/>
      <c r="T1290" s="236"/>
      <c r="U1290" s="236"/>
      <c r="V1290" s="236"/>
      <c r="W1290" s="236"/>
      <c r="X1290" s="244"/>
      <c r="Y1290" s="244"/>
      <c r="Z1290" s="237"/>
      <c r="AA1290" s="244"/>
      <c r="AB1290" s="244"/>
      <c r="AC1290" s="244"/>
      <c r="AD1290" s="244"/>
      <c r="AE1290" s="234"/>
      <c r="AF1290" s="234"/>
      <c r="AG1290" s="238"/>
      <c r="AH1290" s="239"/>
      <c r="AI1290" s="238"/>
      <c r="AJ1290" s="238"/>
      <c r="AK1290" s="234"/>
      <c r="AL1290" s="234"/>
      <c r="AM1290" s="234"/>
      <c r="AN1290" s="234"/>
      <c r="AO1290" s="234"/>
    </row>
    <row r="1291" ht="15.75" customHeight="1">
      <c r="A1291" s="91"/>
      <c r="B1291" s="91"/>
      <c r="C1291" s="220"/>
      <c r="D1291" s="91"/>
      <c r="E1291" s="221"/>
      <c r="F1291" s="91"/>
      <c r="G1291" s="91"/>
      <c r="H1291" s="242"/>
      <c r="I1291" s="91"/>
      <c r="J1291" s="234"/>
      <c r="K1291" s="243"/>
      <c r="L1291" s="243"/>
      <c r="M1291" s="234"/>
      <c r="N1291" s="235"/>
      <c r="O1291" s="236"/>
      <c r="P1291" s="236"/>
      <c r="Q1291" s="236"/>
      <c r="R1291" s="236"/>
      <c r="S1291" s="236"/>
      <c r="T1291" s="236"/>
      <c r="U1291" s="236"/>
      <c r="V1291" s="236"/>
      <c r="W1291" s="236"/>
      <c r="X1291" s="244"/>
      <c r="Y1291" s="244"/>
      <c r="Z1291" s="237"/>
      <c r="AA1291" s="244"/>
      <c r="AB1291" s="244"/>
      <c r="AC1291" s="244"/>
      <c r="AD1291" s="244"/>
      <c r="AE1291" s="234"/>
      <c r="AF1291" s="234"/>
      <c r="AG1291" s="238"/>
      <c r="AH1291" s="239"/>
      <c r="AI1291" s="238"/>
      <c r="AJ1291" s="238"/>
      <c r="AK1291" s="234"/>
      <c r="AL1291" s="234"/>
      <c r="AM1291" s="234"/>
      <c r="AN1291" s="234"/>
      <c r="AO1291" s="234"/>
    </row>
    <row r="1292" ht="15.75" customHeight="1">
      <c r="A1292" s="91"/>
      <c r="B1292" s="91"/>
      <c r="C1292" s="220"/>
      <c r="D1292" s="91"/>
      <c r="E1292" s="221"/>
      <c r="F1292" s="91"/>
      <c r="G1292" s="91"/>
      <c r="H1292" s="242"/>
      <c r="I1292" s="91"/>
      <c r="J1292" s="234"/>
      <c r="K1292" s="243"/>
      <c r="L1292" s="243"/>
      <c r="M1292" s="234"/>
      <c r="N1292" s="235"/>
      <c r="O1292" s="236"/>
      <c r="P1292" s="236"/>
      <c r="Q1292" s="236"/>
      <c r="R1292" s="236"/>
      <c r="S1292" s="236"/>
      <c r="T1292" s="236"/>
      <c r="U1292" s="236"/>
      <c r="V1292" s="236"/>
      <c r="W1292" s="236"/>
      <c r="X1292" s="244"/>
      <c r="Y1292" s="244"/>
      <c r="Z1292" s="237"/>
      <c r="AA1292" s="244"/>
      <c r="AB1292" s="244"/>
      <c r="AC1292" s="244"/>
      <c r="AD1292" s="244"/>
      <c r="AE1292" s="234"/>
      <c r="AF1292" s="234"/>
      <c r="AG1292" s="238"/>
      <c r="AH1292" s="239"/>
      <c r="AI1292" s="238"/>
      <c r="AJ1292" s="238"/>
      <c r="AK1292" s="234"/>
      <c r="AL1292" s="234"/>
      <c r="AM1292" s="234"/>
      <c r="AN1292" s="234"/>
      <c r="AO1292" s="234"/>
    </row>
    <row r="1293" ht="15.75" customHeight="1">
      <c r="A1293" s="91"/>
      <c r="B1293" s="91"/>
      <c r="C1293" s="220"/>
      <c r="D1293" s="91"/>
      <c r="E1293" s="221"/>
      <c r="F1293" s="91"/>
      <c r="G1293" s="91"/>
      <c r="H1293" s="242"/>
      <c r="I1293" s="91"/>
      <c r="J1293" s="234"/>
      <c r="K1293" s="243"/>
      <c r="L1293" s="243"/>
      <c r="M1293" s="234"/>
      <c r="N1293" s="235"/>
      <c r="O1293" s="236"/>
      <c r="P1293" s="236"/>
      <c r="Q1293" s="236"/>
      <c r="R1293" s="236"/>
      <c r="S1293" s="236"/>
      <c r="T1293" s="236"/>
      <c r="U1293" s="236"/>
      <c r="V1293" s="236"/>
      <c r="W1293" s="236"/>
      <c r="X1293" s="244"/>
      <c r="Y1293" s="244"/>
      <c r="Z1293" s="237"/>
      <c r="AA1293" s="244"/>
      <c r="AB1293" s="244"/>
      <c r="AC1293" s="244"/>
      <c r="AD1293" s="244"/>
      <c r="AE1293" s="234"/>
      <c r="AF1293" s="234"/>
      <c r="AG1293" s="238"/>
      <c r="AH1293" s="239"/>
      <c r="AI1293" s="238"/>
      <c r="AJ1293" s="238"/>
      <c r="AK1293" s="234"/>
      <c r="AL1293" s="234"/>
      <c r="AM1293" s="234"/>
      <c r="AN1293" s="234"/>
      <c r="AO1293" s="234"/>
    </row>
    <row r="1294" ht="15.75" customHeight="1">
      <c r="A1294" s="91"/>
      <c r="B1294" s="91"/>
      <c r="C1294" s="220"/>
      <c r="D1294" s="91"/>
      <c r="E1294" s="221"/>
      <c r="F1294" s="91"/>
      <c r="G1294" s="91"/>
      <c r="H1294" s="242"/>
      <c r="I1294" s="91"/>
      <c r="J1294" s="234"/>
      <c r="K1294" s="243"/>
      <c r="L1294" s="243"/>
      <c r="M1294" s="234"/>
      <c r="N1294" s="235"/>
      <c r="O1294" s="236"/>
      <c r="P1294" s="236"/>
      <c r="Q1294" s="236"/>
      <c r="R1294" s="236"/>
      <c r="S1294" s="236"/>
      <c r="T1294" s="236"/>
      <c r="U1294" s="236"/>
      <c r="V1294" s="236"/>
      <c r="W1294" s="236"/>
      <c r="X1294" s="244"/>
      <c r="Y1294" s="244"/>
      <c r="Z1294" s="237"/>
      <c r="AA1294" s="244"/>
      <c r="AB1294" s="244"/>
      <c r="AC1294" s="244"/>
      <c r="AD1294" s="244"/>
      <c r="AE1294" s="234"/>
      <c r="AF1294" s="234"/>
      <c r="AG1294" s="238"/>
      <c r="AH1294" s="239"/>
      <c r="AI1294" s="238"/>
      <c r="AJ1294" s="238"/>
      <c r="AK1294" s="234"/>
      <c r="AL1294" s="234"/>
      <c r="AM1294" s="234"/>
      <c r="AN1294" s="234"/>
      <c r="AO1294" s="234"/>
    </row>
    <row r="1295" ht="15.75" customHeight="1">
      <c r="A1295" s="91"/>
      <c r="B1295" s="91"/>
      <c r="C1295" s="220"/>
      <c r="D1295" s="91"/>
      <c r="E1295" s="221"/>
      <c r="F1295" s="91"/>
      <c r="G1295" s="91"/>
      <c r="H1295" s="242"/>
      <c r="I1295" s="91"/>
      <c r="J1295" s="234"/>
      <c r="K1295" s="243"/>
      <c r="L1295" s="243"/>
      <c r="M1295" s="234"/>
      <c r="N1295" s="235"/>
      <c r="O1295" s="236"/>
      <c r="P1295" s="236"/>
      <c r="Q1295" s="236"/>
      <c r="R1295" s="236"/>
      <c r="S1295" s="236"/>
      <c r="T1295" s="236"/>
      <c r="U1295" s="236"/>
      <c r="V1295" s="236"/>
      <c r="W1295" s="236"/>
      <c r="X1295" s="244"/>
      <c r="Y1295" s="244"/>
      <c r="Z1295" s="237"/>
      <c r="AA1295" s="244"/>
      <c r="AB1295" s="244"/>
      <c r="AC1295" s="244"/>
      <c r="AD1295" s="244"/>
      <c r="AE1295" s="234"/>
      <c r="AF1295" s="234"/>
      <c r="AG1295" s="238"/>
      <c r="AH1295" s="239"/>
      <c r="AI1295" s="238"/>
      <c r="AJ1295" s="238"/>
      <c r="AK1295" s="234"/>
      <c r="AL1295" s="234"/>
      <c r="AM1295" s="234"/>
      <c r="AN1295" s="234"/>
      <c r="AO1295" s="234"/>
    </row>
    <row r="1296" ht="15.75" customHeight="1">
      <c r="A1296" s="91"/>
      <c r="B1296" s="91"/>
      <c r="C1296" s="220"/>
      <c r="D1296" s="91"/>
      <c r="E1296" s="221"/>
      <c r="F1296" s="91"/>
      <c r="G1296" s="91"/>
      <c r="H1296" s="242"/>
      <c r="I1296" s="91"/>
      <c r="J1296" s="234"/>
      <c r="K1296" s="243"/>
      <c r="L1296" s="243"/>
      <c r="M1296" s="234"/>
      <c r="N1296" s="235"/>
      <c r="O1296" s="236"/>
      <c r="P1296" s="236"/>
      <c r="Q1296" s="236"/>
      <c r="R1296" s="236"/>
      <c r="S1296" s="236"/>
      <c r="T1296" s="236"/>
      <c r="U1296" s="236"/>
      <c r="V1296" s="236"/>
      <c r="W1296" s="236"/>
      <c r="X1296" s="244"/>
      <c r="Y1296" s="244"/>
      <c r="Z1296" s="237"/>
      <c r="AA1296" s="244"/>
      <c r="AB1296" s="244"/>
      <c r="AC1296" s="244"/>
      <c r="AD1296" s="244"/>
      <c r="AE1296" s="234"/>
      <c r="AF1296" s="234"/>
      <c r="AG1296" s="238"/>
      <c r="AH1296" s="239"/>
      <c r="AI1296" s="238"/>
      <c r="AJ1296" s="238"/>
      <c r="AK1296" s="234"/>
      <c r="AL1296" s="234"/>
      <c r="AM1296" s="234"/>
      <c r="AN1296" s="234"/>
      <c r="AO1296" s="234"/>
    </row>
    <row r="1297" ht="15.75" customHeight="1">
      <c r="A1297" s="91"/>
      <c r="B1297" s="91"/>
      <c r="C1297" s="220"/>
      <c r="D1297" s="91"/>
      <c r="E1297" s="221"/>
      <c r="F1297" s="91"/>
      <c r="G1297" s="91"/>
      <c r="H1297" s="242"/>
      <c r="I1297" s="91"/>
      <c r="J1297" s="234"/>
      <c r="K1297" s="243"/>
      <c r="L1297" s="243"/>
      <c r="M1297" s="234"/>
      <c r="N1297" s="235"/>
      <c r="O1297" s="236"/>
      <c r="P1297" s="236"/>
      <c r="Q1297" s="236"/>
      <c r="R1297" s="236"/>
      <c r="S1297" s="236"/>
      <c r="T1297" s="236"/>
      <c r="U1297" s="236"/>
      <c r="V1297" s="236"/>
      <c r="W1297" s="236"/>
      <c r="X1297" s="244"/>
      <c r="Y1297" s="244"/>
      <c r="Z1297" s="237"/>
      <c r="AA1297" s="244"/>
      <c r="AB1297" s="244"/>
      <c r="AC1297" s="244"/>
      <c r="AD1297" s="244"/>
      <c r="AE1297" s="234"/>
      <c r="AF1297" s="234"/>
      <c r="AG1297" s="238"/>
      <c r="AH1297" s="239"/>
      <c r="AI1297" s="238"/>
      <c r="AJ1297" s="238"/>
      <c r="AK1297" s="234"/>
      <c r="AL1297" s="234"/>
      <c r="AM1297" s="234"/>
      <c r="AN1297" s="234"/>
      <c r="AO1297" s="234"/>
    </row>
    <row r="1298" ht="15.75" customHeight="1">
      <c r="A1298" s="91"/>
      <c r="B1298" s="91"/>
      <c r="C1298" s="220"/>
      <c r="D1298" s="91"/>
      <c r="E1298" s="221"/>
      <c r="F1298" s="91"/>
      <c r="G1298" s="91"/>
      <c r="H1298" s="242"/>
      <c r="I1298" s="91"/>
      <c r="J1298" s="234"/>
      <c r="K1298" s="243"/>
      <c r="L1298" s="243"/>
      <c r="M1298" s="234"/>
      <c r="N1298" s="235"/>
      <c r="O1298" s="236"/>
      <c r="P1298" s="236"/>
      <c r="Q1298" s="236"/>
      <c r="R1298" s="236"/>
      <c r="S1298" s="236"/>
      <c r="T1298" s="236"/>
      <c r="U1298" s="236"/>
      <c r="V1298" s="236"/>
      <c r="W1298" s="236"/>
      <c r="X1298" s="244"/>
      <c r="Y1298" s="244"/>
      <c r="Z1298" s="237"/>
      <c r="AA1298" s="244"/>
      <c r="AB1298" s="244"/>
      <c r="AC1298" s="244"/>
      <c r="AD1298" s="244"/>
      <c r="AE1298" s="234"/>
      <c r="AF1298" s="234"/>
      <c r="AG1298" s="238"/>
      <c r="AH1298" s="239"/>
      <c r="AI1298" s="238"/>
      <c r="AJ1298" s="238"/>
      <c r="AK1298" s="234"/>
      <c r="AL1298" s="234"/>
      <c r="AM1298" s="234"/>
      <c r="AN1298" s="234"/>
      <c r="AO1298" s="234"/>
    </row>
    <row r="1299" ht="15.75" customHeight="1">
      <c r="A1299" s="91"/>
      <c r="B1299" s="91"/>
      <c r="C1299" s="220"/>
      <c r="D1299" s="91"/>
      <c r="E1299" s="221"/>
      <c r="F1299" s="91"/>
      <c r="G1299" s="91"/>
      <c r="H1299" s="242"/>
      <c r="I1299" s="91"/>
      <c r="J1299" s="234"/>
      <c r="K1299" s="243"/>
      <c r="L1299" s="243"/>
      <c r="M1299" s="234"/>
      <c r="N1299" s="235"/>
      <c r="O1299" s="236"/>
      <c r="P1299" s="236"/>
      <c r="Q1299" s="236"/>
      <c r="R1299" s="236"/>
      <c r="S1299" s="236"/>
      <c r="T1299" s="236"/>
      <c r="U1299" s="236"/>
      <c r="V1299" s="236"/>
      <c r="W1299" s="236"/>
      <c r="X1299" s="244"/>
      <c r="Y1299" s="244"/>
      <c r="Z1299" s="237"/>
      <c r="AA1299" s="244"/>
      <c r="AB1299" s="244"/>
      <c r="AC1299" s="244"/>
      <c r="AD1299" s="244"/>
      <c r="AE1299" s="234"/>
      <c r="AF1299" s="234"/>
      <c r="AG1299" s="238"/>
      <c r="AH1299" s="239"/>
      <c r="AI1299" s="238"/>
      <c r="AJ1299" s="238"/>
      <c r="AK1299" s="234"/>
      <c r="AL1299" s="234"/>
      <c r="AM1299" s="234"/>
      <c r="AN1299" s="234"/>
      <c r="AO1299" s="234"/>
    </row>
    <row r="1300" ht="15.75" customHeight="1">
      <c r="A1300" s="91"/>
      <c r="B1300" s="91"/>
      <c r="C1300" s="220"/>
      <c r="D1300" s="91"/>
      <c r="E1300" s="221"/>
      <c r="F1300" s="91"/>
      <c r="G1300" s="91"/>
      <c r="H1300" s="242"/>
      <c r="I1300" s="91"/>
      <c r="J1300" s="234"/>
      <c r="K1300" s="243"/>
      <c r="L1300" s="243"/>
      <c r="M1300" s="234"/>
      <c r="N1300" s="235"/>
      <c r="O1300" s="236"/>
      <c r="P1300" s="236"/>
      <c r="Q1300" s="236"/>
      <c r="R1300" s="236"/>
      <c r="S1300" s="236"/>
      <c r="T1300" s="236"/>
      <c r="U1300" s="236"/>
      <c r="V1300" s="236"/>
      <c r="W1300" s="236"/>
      <c r="X1300" s="244"/>
      <c r="Y1300" s="244"/>
      <c r="Z1300" s="237"/>
      <c r="AA1300" s="244"/>
      <c r="AB1300" s="244"/>
      <c r="AC1300" s="244"/>
      <c r="AD1300" s="244"/>
      <c r="AE1300" s="234"/>
      <c r="AF1300" s="234"/>
      <c r="AG1300" s="238"/>
      <c r="AH1300" s="239"/>
      <c r="AI1300" s="238"/>
      <c r="AJ1300" s="238"/>
      <c r="AK1300" s="234"/>
      <c r="AL1300" s="234"/>
      <c r="AM1300" s="234"/>
      <c r="AN1300" s="234"/>
      <c r="AO1300" s="234"/>
    </row>
    <row r="1301" ht="15.75" customHeight="1">
      <c r="A1301" s="91"/>
      <c r="B1301" s="91"/>
      <c r="C1301" s="220"/>
      <c r="D1301" s="91"/>
      <c r="E1301" s="221"/>
      <c r="F1301" s="91"/>
      <c r="G1301" s="91"/>
      <c r="H1301" s="242"/>
      <c r="I1301" s="91"/>
      <c r="J1301" s="234"/>
      <c r="K1301" s="243"/>
      <c r="L1301" s="243"/>
      <c r="M1301" s="234"/>
      <c r="N1301" s="235"/>
      <c r="O1301" s="236"/>
      <c r="P1301" s="236"/>
      <c r="Q1301" s="236"/>
      <c r="R1301" s="236"/>
      <c r="S1301" s="236"/>
      <c r="T1301" s="236"/>
      <c r="U1301" s="236"/>
      <c r="V1301" s="236"/>
      <c r="W1301" s="236"/>
      <c r="X1301" s="244"/>
      <c r="Y1301" s="244"/>
      <c r="Z1301" s="237"/>
      <c r="AA1301" s="244"/>
      <c r="AB1301" s="244"/>
      <c r="AC1301" s="244"/>
      <c r="AD1301" s="244"/>
      <c r="AE1301" s="234"/>
      <c r="AF1301" s="234"/>
      <c r="AG1301" s="238"/>
      <c r="AH1301" s="239"/>
      <c r="AI1301" s="238"/>
      <c r="AJ1301" s="238"/>
      <c r="AK1301" s="234"/>
      <c r="AL1301" s="234"/>
      <c r="AM1301" s="234"/>
      <c r="AN1301" s="234"/>
      <c r="AO1301" s="234"/>
    </row>
    <row r="1302" ht="15.75" customHeight="1">
      <c r="A1302" s="91"/>
      <c r="B1302" s="91"/>
      <c r="C1302" s="220"/>
      <c r="D1302" s="91"/>
      <c r="E1302" s="221"/>
      <c r="F1302" s="91"/>
      <c r="G1302" s="91"/>
      <c r="H1302" s="242"/>
      <c r="I1302" s="91"/>
      <c r="J1302" s="234"/>
      <c r="K1302" s="243"/>
      <c r="L1302" s="243"/>
      <c r="M1302" s="234"/>
      <c r="N1302" s="235"/>
      <c r="O1302" s="236"/>
      <c r="P1302" s="236"/>
      <c r="Q1302" s="236"/>
      <c r="R1302" s="236"/>
      <c r="S1302" s="236"/>
      <c r="T1302" s="236"/>
      <c r="U1302" s="236"/>
      <c r="V1302" s="236"/>
      <c r="W1302" s="236"/>
      <c r="X1302" s="244"/>
      <c r="Y1302" s="244"/>
      <c r="Z1302" s="237"/>
      <c r="AA1302" s="244"/>
      <c r="AB1302" s="244"/>
      <c r="AC1302" s="244"/>
      <c r="AD1302" s="244"/>
      <c r="AE1302" s="234"/>
      <c r="AF1302" s="234"/>
      <c r="AG1302" s="238"/>
      <c r="AH1302" s="239"/>
      <c r="AI1302" s="238"/>
      <c r="AJ1302" s="238"/>
      <c r="AK1302" s="234"/>
      <c r="AL1302" s="234"/>
      <c r="AM1302" s="234"/>
      <c r="AN1302" s="234"/>
      <c r="AO1302" s="234"/>
    </row>
    <row r="1303" ht="15.75" customHeight="1">
      <c r="A1303" s="91"/>
      <c r="B1303" s="91"/>
      <c r="C1303" s="220"/>
      <c r="D1303" s="91"/>
      <c r="E1303" s="221"/>
      <c r="F1303" s="91"/>
      <c r="G1303" s="91"/>
      <c r="H1303" s="242"/>
      <c r="I1303" s="91"/>
      <c r="J1303" s="234"/>
      <c r="K1303" s="243"/>
      <c r="L1303" s="243"/>
      <c r="M1303" s="234"/>
      <c r="N1303" s="235"/>
      <c r="O1303" s="236"/>
      <c r="P1303" s="236"/>
      <c r="Q1303" s="236"/>
      <c r="R1303" s="236"/>
      <c r="S1303" s="236"/>
      <c r="T1303" s="236"/>
      <c r="U1303" s="236"/>
      <c r="V1303" s="236"/>
      <c r="W1303" s="236"/>
      <c r="X1303" s="244"/>
      <c r="Y1303" s="244"/>
      <c r="Z1303" s="237"/>
      <c r="AA1303" s="244"/>
      <c r="AB1303" s="244"/>
      <c r="AC1303" s="244"/>
      <c r="AD1303" s="244"/>
      <c r="AE1303" s="234"/>
      <c r="AF1303" s="234"/>
      <c r="AG1303" s="238"/>
      <c r="AH1303" s="239"/>
      <c r="AI1303" s="238"/>
      <c r="AJ1303" s="238"/>
      <c r="AK1303" s="234"/>
      <c r="AL1303" s="234"/>
      <c r="AM1303" s="234"/>
      <c r="AN1303" s="234"/>
      <c r="AO1303" s="234"/>
    </row>
    <row r="1304" ht="15.75" customHeight="1">
      <c r="A1304" s="91"/>
      <c r="B1304" s="91"/>
      <c r="C1304" s="220"/>
      <c r="D1304" s="91"/>
      <c r="E1304" s="221"/>
      <c r="F1304" s="91"/>
      <c r="G1304" s="91"/>
      <c r="H1304" s="242"/>
      <c r="I1304" s="91"/>
      <c r="J1304" s="234"/>
      <c r="K1304" s="243"/>
      <c r="L1304" s="243"/>
      <c r="M1304" s="234"/>
      <c r="N1304" s="235"/>
      <c r="O1304" s="236"/>
      <c r="P1304" s="236"/>
      <c r="Q1304" s="236"/>
      <c r="R1304" s="236"/>
      <c r="S1304" s="236"/>
      <c r="T1304" s="236"/>
      <c r="U1304" s="236"/>
      <c r="V1304" s="236"/>
      <c r="W1304" s="236"/>
      <c r="X1304" s="244"/>
      <c r="Y1304" s="244"/>
      <c r="Z1304" s="237"/>
      <c r="AA1304" s="244"/>
      <c r="AB1304" s="244"/>
      <c r="AC1304" s="244"/>
      <c r="AD1304" s="244"/>
      <c r="AE1304" s="234"/>
      <c r="AF1304" s="234"/>
      <c r="AG1304" s="238"/>
      <c r="AH1304" s="239"/>
      <c r="AI1304" s="238"/>
      <c r="AJ1304" s="238"/>
      <c r="AK1304" s="234"/>
      <c r="AL1304" s="234"/>
      <c r="AM1304" s="234"/>
      <c r="AN1304" s="234"/>
      <c r="AO1304" s="234"/>
    </row>
    <row r="1305" ht="15.75" customHeight="1">
      <c r="A1305" s="91"/>
      <c r="B1305" s="91"/>
      <c r="C1305" s="220"/>
      <c r="D1305" s="91"/>
      <c r="E1305" s="221"/>
      <c r="F1305" s="91"/>
      <c r="G1305" s="91"/>
      <c r="H1305" s="242"/>
      <c r="I1305" s="91"/>
      <c r="J1305" s="234"/>
      <c r="K1305" s="243"/>
      <c r="L1305" s="243"/>
      <c r="M1305" s="234"/>
      <c r="N1305" s="235"/>
      <c r="O1305" s="236"/>
      <c r="P1305" s="236"/>
      <c r="Q1305" s="236"/>
      <c r="R1305" s="236"/>
      <c r="S1305" s="236"/>
      <c r="T1305" s="236"/>
      <c r="U1305" s="236"/>
      <c r="V1305" s="236"/>
      <c r="W1305" s="236"/>
      <c r="X1305" s="244"/>
      <c r="Y1305" s="244"/>
      <c r="Z1305" s="237"/>
      <c r="AA1305" s="244"/>
      <c r="AB1305" s="244"/>
      <c r="AC1305" s="244"/>
      <c r="AD1305" s="244"/>
      <c r="AE1305" s="234"/>
      <c r="AF1305" s="234"/>
      <c r="AG1305" s="238"/>
      <c r="AH1305" s="239"/>
      <c r="AI1305" s="238"/>
      <c r="AJ1305" s="238"/>
      <c r="AK1305" s="234"/>
      <c r="AL1305" s="234"/>
      <c r="AM1305" s="234"/>
      <c r="AN1305" s="234"/>
      <c r="AO1305" s="234"/>
    </row>
    <row r="1306" ht="15.75" customHeight="1">
      <c r="A1306" s="91"/>
      <c r="B1306" s="91"/>
      <c r="C1306" s="220"/>
      <c r="D1306" s="91"/>
      <c r="E1306" s="221"/>
      <c r="F1306" s="91"/>
      <c r="G1306" s="91"/>
      <c r="H1306" s="242"/>
      <c r="I1306" s="91"/>
      <c r="J1306" s="234"/>
      <c r="K1306" s="243"/>
      <c r="L1306" s="243"/>
      <c r="M1306" s="234"/>
      <c r="N1306" s="235"/>
      <c r="O1306" s="236"/>
      <c r="P1306" s="236"/>
      <c r="Q1306" s="236"/>
      <c r="R1306" s="236"/>
      <c r="S1306" s="236"/>
      <c r="T1306" s="236"/>
      <c r="U1306" s="236"/>
      <c r="V1306" s="236"/>
      <c r="W1306" s="236"/>
      <c r="X1306" s="244"/>
      <c r="Y1306" s="244"/>
      <c r="Z1306" s="237"/>
      <c r="AA1306" s="244"/>
      <c r="AB1306" s="244"/>
      <c r="AC1306" s="244"/>
      <c r="AD1306" s="244"/>
      <c r="AE1306" s="234"/>
      <c r="AF1306" s="234"/>
      <c r="AG1306" s="238"/>
      <c r="AH1306" s="239"/>
      <c r="AI1306" s="238"/>
      <c r="AJ1306" s="238"/>
      <c r="AK1306" s="234"/>
      <c r="AL1306" s="234"/>
      <c r="AM1306" s="234"/>
      <c r="AN1306" s="234"/>
      <c r="AO1306" s="234"/>
    </row>
    <row r="1307" ht="15.75" customHeight="1">
      <c r="A1307" s="91"/>
      <c r="B1307" s="91"/>
      <c r="C1307" s="220"/>
      <c r="D1307" s="91"/>
      <c r="E1307" s="221"/>
      <c r="F1307" s="91"/>
      <c r="G1307" s="91"/>
      <c r="H1307" s="242"/>
      <c r="I1307" s="91"/>
      <c r="J1307" s="234"/>
      <c r="K1307" s="243"/>
      <c r="L1307" s="243"/>
      <c r="M1307" s="234"/>
      <c r="N1307" s="235"/>
      <c r="O1307" s="236"/>
      <c r="P1307" s="236"/>
      <c r="Q1307" s="236"/>
      <c r="R1307" s="236"/>
      <c r="S1307" s="236"/>
      <c r="T1307" s="236"/>
      <c r="U1307" s="236"/>
      <c r="V1307" s="236"/>
      <c r="W1307" s="236"/>
      <c r="X1307" s="244"/>
      <c r="Y1307" s="244"/>
      <c r="Z1307" s="237"/>
      <c r="AA1307" s="244"/>
      <c r="AB1307" s="244"/>
      <c r="AC1307" s="244"/>
      <c r="AD1307" s="244"/>
      <c r="AE1307" s="234"/>
      <c r="AF1307" s="234"/>
      <c r="AG1307" s="238"/>
      <c r="AH1307" s="239"/>
      <c r="AI1307" s="238"/>
      <c r="AJ1307" s="238"/>
      <c r="AK1307" s="234"/>
      <c r="AL1307" s="234"/>
      <c r="AM1307" s="234"/>
      <c r="AN1307" s="234"/>
      <c r="AO1307" s="234"/>
    </row>
    <row r="1308" ht="15.75" customHeight="1">
      <c r="A1308" s="91"/>
      <c r="B1308" s="91"/>
      <c r="C1308" s="220"/>
      <c r="D1308" s="91"/>
      <c r="E1308" s="221"/>
      <c r="F1308" s="91"/>
      <c r="G1308" s="91"/>
      <c r="H1308" s="242"/>
      <c r="I1308" s="91"/>
      <c r="J1308" s="234"/>
      <c r="K1308" s="243"/>
      <c r="L1308" s="243"/>
      <c r="M1308" s="234"/>
      <c r="N1308" s="235"/>
      <c r="O1308" s="236"/>
      <c r="P1308" s="236"/>
      <c r="Q1308" s="236"/>
      <c r="R1308" s="236"/>
      <c r="S1308" s="236"/>
      <c r="T1308" s="236"/>
      <c r="U1308" s="236"/>
      <c r="V1308" s="236"/>
      <c r="W1308" s="236"/>
      <c r="X1308" s="244"/>
      <c r="Y1308" s="244"/>
      <c r="Z1308" s="237"/>
      <c r="AA1308" s="244"/>
      <c r="AB1308" s="244"/>
      <c r="AC1308" s="244"/>
      <c r="AD1308" s="244"/>
      <c r="AE1308" s="234"/>
      <c r="AF1308" s="234"/>
      <c r="AG1308" s="238"/>
      <c r="AH1308" s="239"/>
      <c r="AI1308" s="238"/>
      <c r="AJ1308" s="238"/>
      <c r="AK1308" s="234"/>
      <c r="AL1308" s="234"/>
      <c r="AM1308" s="234"/>
      <c r="AN1308" s="234"/>
      <c r="AO1308" s="234"/>
    </row>
    <row r="1309" ht="15.75" customHeight="1">
      <c r="A1309" s="91"/>
      <c r="B1309" s="91"/>
      <c r="C1309" s="220"/>
      <c r="D1309" s="91"/>
      <c r="E1309" s="221"/>
      <c r="F1309" s="91"/>
      <c r="G1309" s="91"/>
      <c r="H1309" s="242"/>
      <c r="I1309" s="91"/>
      <c r="J1309" s="234"/>
      <c r="K1309" s="243"/>
      <c r="L1309" s="243"/>
      <c r="M1309" s="234"/>
      <c r="N1309" s="235"/>
      <c r="O1309" s="236"/>
      <c r="P1309" s="236"/>
      <c r="Q1309" s="236"/>
      <c r="R1309" s="236"/>
      <c r="S1309" s="236"/>
      <c r="T1309" s="236"/>
      <c r="U1309" s="236"/>
      <c r="V1309" s="236"/>
      <c r="W1309" s="236"/>
      <c r="X1309" s="244"/>
      <c r="Y1309" s="244"/>
      <c r="Z1309" s="237"/>
      <c r="AA1309" s="244"/>
      <c r="AB1309" s="244"/>
      <c r="AC1309" s="244"/>
      <c r="AD1309" s="244"/>
      <c r="AE1309" s="234"/>
      <c r="AF1309" s="234"/>
      <c r="AG1309" s="238"/>
      <c r="AH1309" s="239"/>
      <c r="AI1309" s="238"/>
      <c r="AJ1309" s="238"/>
      <c r="AK1309" s="234"/>
      <c r="AL1309" s="234"/>
      <c r="AM1309" s="234"/>
      <c r="AN1309" s="234"/>
      <c r="AO1309" s="234"/>
    </row>
    <row r="1310" ht="15.75" customHeight="1">
      <c r="A1310" s="91"/>
      <c r="B1310" s="91"/>
      <c r="C1310" s="220"/>
      <c r="D1310" s="91"/>
      <c r="E1310" s="221"/>
      <c r="F1310" s="91"/>
      <c r="G1310" s="91"/>
      <c r="H1310" s="242"/>
      <c r="I1310" s="91"/>
      <c r="J1310" s="234"/>
      <c r="K1310" s="243"/>
      <c r="L1310" s="243"/>
      <c r="M1310" s="234"/>
      <c r="N1310" s="235"/>
      <c r="O1310" s="236"/>
      <c r="P1310" s="236"/>
      <c r="Q1310" s="236"/>
      <c r="R1310" s="236"/>
      <c r="S1310" s="236"/>
      <c r="T1310" s="236"/>
      <c r="U1310" s="236"/>
      <c r="V1310" s="236"/>
      <c r="W1310" s="236"/>
      <c r="X1310" s="244"/>
      <c r="Y1310" s="244"/>
      <c r="Z1310" s="237"/>
      <c r="AA1310" s="244"/>
      <c r="AB1310" s="244"/>
      <c r="AC1310" s="244"/>
      <c r="AD1310" s="244"/>
      <c r="AE1310" s="234"/>
      <c r="AF1310" s="234"/>
      <c r="AG1310" s="238"/>
      <c r="AH1310" s="239"/>
      <c r="AI1310" s="238"/>
      <c r="AJ1310" s="238"/>
      <c r="AK1310" s="234"/>
      <c r="AL1310" s="234"/>
      <c r="AM1310" s="234"/>
      <c r="AN1310" s="234"/>
      <c r="AO1310" s="234"/>
    </row>
    <row r="1311" ht="15.75" customHeight="1">
      <c r="A1311" s="91"/>
      <c r="B1311" s="91"/>
      <c r="C1311" s="220"/>
      <c r="D1311" s="91"/>
      <c r="E1311" s="221"/>
      <c r="F1311" s="91"/>
      <c r="G1311" s="91"/>
      <c r="H1311" s="242"/>
      <c r="I1311" s="91"/>
      <c r="J1311" s="234"/>
      <c r="K1311" s="243"/>
      <c r="L1311" s="243"/>
      <c r="M1311" s="234"/>
      <c r="N1311" s="235"/>
      <c r="O1311" s="236"/>
      <c r="P1311" s="236"/>
      <c r="Q1311" s="236"/>
      <c r="R1311" s="236"/>
      <c r="S1311" s="236"/>
      <c r="T1311" s="236"/>
      <c r="U1311" s="236"/>
      <c r="V1311" s="236"/>
      <c r="W1311" s="236"/>
      <c r="X1311" s="244"/>
      <c r="Y1311" s="244"/>
      <c r="Z1311" s="237"/>
      <c r="AA1311" s="244"/>
      <c r="AB1311" s="244"/>
      <c r="AC1311" s="244"/>
      <c r="AD1311" s="244"/>
      <c r="AE1311" s="234"/>
      <c r="AF1311" s="234"/>
      <c r="AG1311" s="238"/>
      <c r="AH1311" s="239"/>
      <c r="AI1311" s="238"/>
      <c r="AJ1311" s="238"/>
      <c r="AK1311" s="234"/>
      <c r="AL1311" s="234"/>
      <c r="AM1311" s="234"/>
      <c r="AN1311" s="234"/>
      <c r="AO1311" s="234"/>
    </row>
    <row r="1312" ht="15.75" customHeight="1">
      <c r="A1312" s="91"/>
      <c r="B1312" s="91"/>
      <c r="C1312" s="220"/>
      <c r="D1312" s="91"/>
      <c r="E1312" s="221"/>
      <c r="F1312" s="91"/>
      <c r="G1312" s="91"/>
      <c r="H1312" s="242"/>
      <c r="I1312" s="91"/>
      <c r="J1312" s="234"/>
      <c r="K1312" s="243"/>
      <c r="L1312" s="243"/>
      <c r="M1312" s="234"/>
      <c r="N1312" s="235"/>
      <c r="O1312" s="236"/>
      <c r="P1312" s="236"/>
      <c r="Q1312" s="236"/>
      <c r="R1312" s="236"/>
      <c r="S1312" s="236"/>
      <c r="T1312" s="236"/>
      <c r="U1312" s="236"/>
      <c r="V1312" s="236"/>
      <c r="W1312" s="236"/>
      <c r="X1312" s="244"/>
      <c r="Y1312" s="244"/>
      <c r="Z1312" s="237"/>
      <c r="AA1312" s="244"/>
      <c r="AB1312" s="244"/>
      <c r="AC1312" s="244"/>
      <c r="AD1312" s="244"/>
      <c r="AE1312" s="234"/>
      <c r="AF1312" s="234"/>
      <c r="AG1312" s="238"/>
      <c r="AH1312" s="239"/>
      <c r="AI1312" s="238"/>
      <c r="AJ1312" s="238"/>
      <c r="AK1312" s="234"/>
      <c r="AL1312" s="234"/>
      <c r="AM1312" s="234"/>
      <c r="AN1312" s="234"/>
      <c r="AO1312" s="234"/>
    </row>
    <row r="1313" ht="15.75" customHeight="1">
      <c r="A1313" s="91"/>
      <c r="B1313" s="91"/>
      <c r="C1313" s="220"/>
      <c r="D1313" s="91"/>
      <c r="E1313" s="221"/>
      <c r="F1313" s="91"/>
      <c r="G1313" s="91"/>
      <c r="H1313" s="242"/>
      <c r="I1313" s="91"/>
      <c r="J1313" s="234"/>
      <c r="K1313" s="243"/>
      <c r="L1313" s="243"/>
      <c r="M1313" s="234"/>
      <c r="N1313" s="235"/>
      <c r="O1313" s="236"/>
      <c r="P1313" s="236"/>
      <c r="Q1313" s="236"/>
      <c r="R1313" s="236"/>
      <c r="S1313" s="236"/>
      <c r="T1313" s="236"/>
      <c r="U1313" s="236"/>
      <c r="V1313" s="236"/>
      <c r="W1313" s="236"/>
      <c r="X1313" s="244"/>
      <c r="Y1313" s="244"/>
      <c r="Z1313" s="237"/>
      <c r="AA1313" s="244"/>
      <c r="AB1313" s="244"/>
      <c r="AC1313" s="244"/>
      <c r="AD1313" s="244"/>
      <c r="AE1313" s="234"/>
      <c r="AF1313" s="234"/>
      <c r="AG1313" s="238"/>
      <c r="AH1313" s="239"/>
      <c r="AI1313" s="238"/>
      <c r="AJ1313" s="238"/>
      <c r="AK1313" s="234"/>
      <c r="AL1313" s="234"/>
      <c r="AM1313" s="234"/>
      <c r="AN1313" s="234"/>
      <c r="AO1313" s="234"/>
    </row>
    <row r="1314" ht="15.75" customHeight="1">
      <c r="A1314" s="91"/>
      <c r="B1314" s="91"/>
      <c r="C1314" s="220"/>
      <c r="D1314" s="91"/>
      <c r="E1314" s="221"/>
      <c r="F1314" s="91"/>
      <c r="G1314" s="91"/>
      <c r="H1314" s="242"/>
      <c r="I1314" s="91"/>
      <c r="J1314" s="234"/>
      <c r="K1314" s="243"/>
      <c r="L1314" s="243"/>
      <c r="M1314" s="234"/>
      <c r="N1314" s="235"/>
      <c r="O1314" s="236"/>
      <c r="P1314" s="236"/>
      <c r="Q1314" s="236"/>
      <c r="R1314" s="236"/>
      <c r="S1314" s="236"/>
      <c r="T1314" s="236"/>
      <c r="U1314" s="236"/>
      <c r="V1314" s="236"/>
      <c r="W1314" s="236"/>
      <c r="X1314" s="244"/>
      <c r="Y1314" s="244"/>
      <c r="Z1314" s="237"/>
      <c r="AA1314" s="244"/>
      <c r="AB1314" s="244"/>
      <c r="AC1314" s="244"/>
      <c r="AD1314" s="244"/>
      <c r="AE1314" s="234"/>
      <c r="AF1314" s="234"/>
      <c r="AG1314" s="238"/>
      <c r="AH1314" s="239"/>
      <c r="AI1314" s="238"/>
      <c r="AJ1314" s="238"/>
      <c r="AK1314" s="234"/>
      <c r="AL1314" s="234"/>
      <c r="AM1314" s="234"/>
      <c r="AN1314" s="234"/>
      <c r="AO1314" s="234"/>
    </row>
    <row r="1315" ht="15.75" customHeight="1">
      <c r="A1315" s="91"/>
      <c r="B1315" s="91"/>
      <c r="C1315" s="220"/>
      <c r="D1315" s="91"/>
      <c r="E1315" s="221"/>
      <c r="F1315" s="91"/>
      <c r="G1315" s="91"/>
      <c r="H1315" s="242"/>
      <c r="I1315" s="91"/>
      <c r="J1315" s="234"/>
      <c r="K1315" s="243"/>
      <c r="L1315" s="243"/>
      <c r="M1315" s="234"/>
      <c r="N1315" s="235"/>
      <c r="O1315" s="236"/>
      <c r="P1315" s="236"/>
      <c r="Q1315" s="236"/>
      <c r="R1315" s="236"/>
      <c r="S1315" s="236"/>
      <c r="T1315" s="236"/>
      <c r="U1315" s="236"/>
      <c r="V1315" s="236"/>
      <c r="W1315" s="236"/>
      <c r="X1315" s="244"/>
      <c r="Y1315" s="244"/>
      <c r="Z1315" s="237"/>
      <c r="AA1315" s="244"/>
      <c r="AB1315" s="244"/>
      <c r="AC1315" s="244"/>
      <c r="AD1315" s="244"/>
      <c r="AE1315" s="234"/>
      <c r="AF1315" s="234"/>
      <c r="AG1315" s="238"/>
      <c r="AH1315" s="239"/>
      <c r="AI1315" s="238"/>
      <c r="AJ1315" s="238"/>
      <c r="AK1315" s="234"/>
      <c r="AL1315" s="234"/>
      <c r="AM1315" s="234"/>
      <c r="AN1315" s="234"/>
      <c r="AO1315" s="234"/>
    </row>
    <row r="1316" ht="15.75" customHeight="1">
      <c r="A1316" s="91"/>
      <c r="B1316" s="91"/>
      <c r="C1316" s="220"/>
      <c r="D1316" s="91"/>
      <c r="E1316" s="221"/>
      <c r="F1316" s="91"/>
      <c r="G1316" s="91"/>
      <c r="H1316" s="242"/>
      <c r="I1316" s="91"/>
      <c r="J1316" s="234"/>
      <c r="K1316" s="243"/>
      <c r="L1316" s="243"/>
      <c r="M1316" s="234"/>
      <c r="N1316" s="235"/>
      <c r="O1316" s="236"/>
      <c r="P1316" s="236"/>
      <c r="Q1316" s="236"/>
      <c r="R1316" s="236"/>
      <c r="S1316" s="236"/>
      <c r="T1316" s="236"/>
      <c r="U1316" s="236"/>
      <c r="V1316" s="236"/>
      <c r="W1316" s="236"/>
      <c r="X1316" s="244"/>
      <c r="Y1316" s="244"/>
      <c r="Z1316" s="237"/>
      <c r="AA1316" s="244"/>
      <c r="AB1316" s="244"/>
      <c r="AC1316" s="244"/>
      <c r="AD1316" s="244"/>
      <c r="AE1316" s="234"/>
      <c r="AF1316" s="234"/>
      <c r="AG1316" s="238"/>
      <c r="AH1316" s="239"/>
      <c r="AI1316" s="238"/>
      <c r="AJ1316" s="238"/>
      <c r="AK1316" s="234"/>
      <c r="AL1316" s="234"/>
      <c r="AM1316" s="234"/>
      <c r="AN1316" s="234"/>
      <c r="AO1316" s="234"/>
    </row>
    <row r="1317" ht="15.75" customHeight="1">
      <c r="A1317" s="91"/>
      <c r="B1317" s="91"/>
      <c r="C1317" s="220"/>
      <c r="D1317" s="91"/>
      <c r="E1317" s="221"/>
      <c r="F1317" s="91"/>
      <c r="G1317" s="91"/>
      <c r="H1317" s="242"/>
      <c r="I1317" s="91"/>
      <c r="J1317" s="234"/>
      <c r="K1317" s="243"/>
      <c r="L1317" s="243"/>
      <c r="M1317" s="234"/>
      <c r="N1317" s="235"/>
      <c r="O1317" s="236"/>
      <c r="P1317" s="236"/>
      <c r="Q1317" s="236"/>
      <c r="R1317" s="236"/>
      <c r="S1317" s="236"/>
      <c r="T1317" s="236"/>
      <c r="U1317" s="236"/>
      <c r="V1317" s="236"/>
      <c r="W1317" s="236"/>
      <c r="X1317" s="244"/>
      <c r="Y1317" s="244"/>
      <c r="Z1317" s="237"/>
      <c r="AA1317" s="244"/>
      <c r="AB1317" s="244"/>
      <c r="AC1317" s="244"/>
      <c r="AD1317" s="244"/>
      <c r="AE1317" s="234"/>
      <c r="AF1317" s="234"/>
      <c r="AG1317" s="238"/>
      <c r="AH1317" s="239"/>
      <c r="AI1317" s="238"/>
      <c r="AJ1317" s="238"/>
      <c r="AK1317" s="234"/>
      <c r="AL1317" s="234"/>
      <c r="AM1317" s="234"/>
      <c r="AN1317" s="234"/>
      <c r="AO1317" s="234"/>
    </row>
    <row r="1318" ht="15.75" customHeight="1">
      <c r="A1318" s="91"/>
      <c r="B1318" s="91"/>
      <c r="C1318" s="220"/>
      <c r="D1318" s="91"/>
      <c r="E1318" s="221"/>
      <c r="F1318" s="91"/>
      <c r="G1318" s="91"/>
      <c r="H1318" s="242"/>
      <c r="I1318" s="91"/>
      <c r="J1318" s="234"/>
      <c r="K1318" s="243"/>
      <c r="L1318" s="243"/>
      <c r="M1318" s="234"/>
      <c r="N1318" s="235"/>
      <c r="O1318" s="236"/>
      <c r="P1318" s="236"/>
      <c r="Q1318" s="236"/>
      <c r="R1318" s="236"/>
      <c r="S1318" s="236"/>
      <c r="T1318" s="236"/>
      <c r="U1318" s="236"/>
      <c r="V1318" s="236"/>
      <c r="W1318" s="236"/>
      <c r="X1318" s="244"/>
      <c r="Y1318" s="244"/>
      <c r="Z1318" s="237"/>
      <c r="AA1318" s="244"/>
      <c r="AB1318" s="244"/>
      <c r="AC1318" s="244"/>
      <c r="AD1318" s="244"/>
      <c r="AE1318" s="234"/>
      <c r="AF1318" s="234"/>
      <c r="AG1318" s="238"/>
      <c r="AH1318" s="239"/>
      <c r="AI1318" s="238"/>
      <c r="AJ1318" s="238"/>
      <c r="AK1318" s="234"/>
      <c r="AL1318" s="234"/>
      <c r="AM1318" s="234"/>
      <c r="AN1318" s="234"/>
      <c r="AO1318" s="234"/>
    </row>
    <row r="1319" ht="15.75" customHeight="1">
      <c r="A1319" s="91"/>
      <c r="B1319" s="91"/>
      <c r="C1319" s="220"/>
      <c r="D1319" s="91"/>
      <c r="E1319" s="221"/>
      <c r="F1319" s="91"/>
      <c r="G1319" s="91"/>
      <c r="H1319" s="242"/>
      <c r="I1319" s="91"/>
      <c r="J1319" s="234"/>
      <c r="K1319" s="243"/>
      <c r="L1319" s="243"/>
      <c r="M1319" s="234"/>
      <c r="N1319" s="235"/>
      <c r="O1319" s="236"/>
      <c r="P1319" s="236"/>
      <c r="Q1319" s="236"/>
      <c r="R1319" s="236"/>
      <c r="S1319" s="236"/>
      <c r="T1319" s="236"/>
      <c r="U1319" s="236"/>
      <c r="V1319" s="236"/>
      <c r="W1319" s="236"/>
      <c r="X1319" s="244"/>
      <c r="Y1319" s="244"/>
      <c r="Z1319" s="237"/>
      <c r="AA1319" s="244"/>
      <c r="AB1319" s="244"/>
      <c r="AC1319" s="244"/>
      <c r="AD1319" s="244"/>
      <c r="AE1319" s="234"/>
      <c r="AF1319" s="234"/>
      <c r="AG1319" s="238"/>
      <c r="AH1319" s="239"/>
      <c r="AI1319" s="238"/>
      <c r="AJ1319" s="238"/>
      <c r="AK1319" s="234"/>
      <c r="AL1319" s="234"/>
      <c r="AM1319" s="234"/>
      <c r="AN1319" s="234"/>
      <c r="AO1319" s="234"/>
    </row>
    <row r="1320" ht="15.75" customHeight="1">
      <c r="A1320" s="91"/>
      <c r="B1320" s="91"/>
      <c r="C1320" s="220"/>
      <c r="D1320" s="91"/>
      <c r="E1320" s="221"/>
      <c r="F1320" s="91"/>
      <c r="G1320" s="91"/>
      <c r="H1320" s="242"/>
      <c r="I1320" s="91"/>
      <c r="J1320" s="234"/>
      <c r="K1320" s="243"/>
      <c r="L1320" s="243"/>
      <c r="M1320" s="234"/>
      <c r="N1320" s="235"/>
      <c r="O1320" s="236"/>
      <c r="P1320" s="236"/>
      <c r="Q1320" s="236"/>
      <c r="R1320" s="236"/>
      <c r="S1320" s="236"/>
      <c r="T1320" s="236"/>
      <c r="U1320" s="236"/>
      <c r="V1320" s="236"/>
      <c r="W1320" s="236"/>
      <c r="X1320" s="244"/>
      <c r="Y1320" s="244"/>
      <c r="Z1320" s="237"/>
      <c r="AA1320" s="244"/>
      <c r="AB1320" s="244"/>
      <c r="AC1320" s="244"/>
      <c r="AD1320" s="244"/>
      <c r="AE1320" s="234"/>
      <c r="AF1320" s="234"/>
      <c r="AG1320" s="238"/>
      <c r="AH1320" s="239"/>
      <c r="AI1320" s="238"/>
      <c r="AJ1320" s="238"/>
      <c r="AK1320" s="234"/>
      <c r="AL1320" s="234"/>
      <c r="AM1320" s="234"/>
      <c r="AN1320" s="234"/>
      <c r="AO1320" s="234"/>
    </row>
    <row r="1321" ht="15.75" customHeight="1">
      <c r="A1321" s="91"/>
      <c r="B1321" s="91"/>
      <c r="C1321" s="220"/>
      <c r="D1321" s="91"/>
      <c r="E1321" s="221"/>
      <c r="F1321" s="91"/>
      <c r="G1321" s="91"/>
      <c r="H1321" s="242"/>
      <c r="I1321" s="91"/>
      <c r="J1321" s="234"/>
      <c r="K1321" s="243"/>
      <c r="L1321" s="243"/>
      <c r="M1321" s="234"/>
      <c r="N1321" s="235"/>
      <c r="O1321" s="236"/>
      <c r="P1321" s="236"/>
      <c r="Q1321" s="236"/>
      <c r="R1321" s="236"/>
      <c r="S1321" s="236"/>
      <c r="T1321" s="236"/>
      <c r="U1321" s="236"/>
      <c r="V1321" s="236"/>
      <c r="W1321" s="236"/>
      <c r="X1321" s="244"/>
      <c r="Y1321" s="244"/>
      <c r="Z1321" s="237"/>
      <c r="AA1321" s="244"/>
      <c r="AB1321" s="244"/>
      <c r="AC1321" s="244"/>
      <c r="AD1321" s="244"/>
      <c r="AE1321" s="234"/>
      <c r="AF1321" s="234"/>
      <c r="AG1321" s="238"/>
      <c r="AH1321" s="239"/>
      <c r="AI1321" s="238"/>
      <c r="AJ1321" s="238"/>
      <c r="AK1321" s="234"/>
      <c r="AL1321" s="234"/>
      <c r="AM1321" s="234"/>
      <c r="AN1321" s="234"/>
      <c r="AO1321" s="234"/>
    </row>
    <row r="1322" ht="15.75" customHeight="1">
      <c r="A1322" s="91"/>
      <c r="B1322" s="91"/>
      <c r="C1322" s="220"/>
      <c r="D1322" s="91"/>
      <c r="E1322" s="221"/>
      <c r="F1322" s="91"/>
      <c r="G1322" s="91"/>
      <c r="H1322" s="242"/>
      <c r="I1322" s="91"/>
      <c r="J1322" s="234"/>
      <c r="K1322" s="243"/>
      <c r="L1322" s="243"/>
      <c r="M1322" s="234"/>
      <c r="N1322" s="235"/>
      <c r="O1322" s="236"/>
      <c r="P1322" s="236"/>
      <c r="Q1322" s="236"/>
      <c r="R1322" s="236"/>
      <c r="S1322" s="236"/>
      <c r="T1322" s="236"/>
      <c r="U1322" s="236"/>
      <c r="V1322" s="236"/>
      <c r="W1322" s="236"/>
      <c r="X1322" s="244"/>
      <c r="Y1322" s="244"/>
      <c r="Z1322" s="237"/>
      <c r="AA1322" s="244"/>
      <c r="AB1322" s="244"/>
      <c r="AC1322" s="244"/>
      <c r="AD1322" s="244"/>
      <c r="AE1322" s="234"/>
      <c r="AF1322" s="234"/>
      <c r="AG1322" s="238"/>
      <c r="AH1322" s="239"/>
      <c r="AI1322" s="238"/>
      <c r="AJ1322" s="238"/>
      <c r="AK1322" s="234"/>
      <c r="AL1322" s="234"/>
      <c r="AM1322" s="234"/>
      <c r="AN1322" s="234"/>
      <c r="AO1322" s="234"/>
    </row>
    <row r="1323" ht="15.75" customHeight="1">
      <c r="A1323" s="91"/>
      <c r="B1323" s="91"/>
      <c r="C1323" s="220"/>
      <c r="D1323" s="91"/>
      <c r="E1323" s="221"/>
      <c r="F1323" s="91"/>
      <c r="G1323" s="91"/>
      <c r="H1323" s="242"/>
      <c r="I1323" s="91"/>
      <c r="J1323" s="234"/>
      <c r="K1323" s="243"/>
      <c r="L1323" s="243"/>
      <c r="M1323" s="234"/>
      <c r="N1323" s="235"/>
      <c r="O1323" s="236"/>
      <c r="P1323" s="236"/>
      <c r="Q1323" s="236"/>
      <c r="R1323" s="236"/>
      <c r="S1323" s="236"/>
      <c r="T1323" s="236"/>
      <c r="U1323" s="236"/>
      <c r="V1323" s="236"/>
      <c r="W1323" s="236"/>
      <c r="X1323" s="244"/>
      <c r="Y1323" s="244"/>
      <c r="Z1323" s="237"/>
      <c r="AA1323" s="244"/>
      <c r="AB1323" s="244"/>
      <c r="AC1323" s="244"/>
      <c r="AD1323" s="244"/>
      <c r="AE1323" s="234"/>
      <c r="AF1323" s="234"/>
      <c r="AG1323" s="238"/>
      <c r="AH1323" s="239"/>
      <c r="AI1323" s="238"/>
      <c r="AJ1323" s="238"/>
      <c r="AK1323" s="234"/>
      <c r="AL1323" s="234"/>
      <c r="AM1323" s="234"/>
      <c r="AN1323" s="234"/>
      <c r="AO1323" s="234"/>
    </row>
    <row r="1324" ht="15.75" customHeight="1">
      <c r="A1324" s="91"/>
      <c r="B1324" s="91"/>
      <c r="C1324" s="220"/>
      <c r="D1324" s="91"/>
      <c r="E1324" s="221"/>
      <c r="F1324" s="91"/>
      <c r="G1324" s="91"/>
      <c r="H1324" s="242"/>
      <c r="I1324" s="91"/>
      <c r="J1324" s="234"/>
      <c r="K1324" s="243"/>
      <c r="L1324" s="243"/>
      <c r="M1324" s="234"/>
      <c r="N1324" s="235"/>
      <c r="O1324" s="236"/>
      <c r="P1324" s="236"/>
      <c r="Q1324" s="236"/>
      <c r="R1324" s="236"/>
      <c r="S1324" s="236"/>
      <c r="T1324" s="236"/>
      <c r="U1324" s="236"/>
      <c r="V1324" s="236"/>
      <c r="W1324" s="236"/>
      <c r="X1324" s="244"/>
      <c r="Y1324" s="244"/>
      <c r="Z1324" s="237"/>
      <c r="AA1324" s="244"/>
      <c r="AB1324" s="244"/>
      <c r="AC1324" s="244"/>
      <c r="AD1324" s="244"/>
      <c r="AE1324" s="234"/>
      <c r="AF1324" s="234"/>
      <c r="AG1324" s="238"/>
      <c r="AH1324" s="239"/>
      <c r="AI1324" s="238"/>
      <c r="AJ1324" s="238"/>
      <c r="AK1324" s="234"/>
      <c r="AL1324" s="234"/>
      <c r="AM1324" s="234"/>
      <c r="AN1324" s="234"/>
      <c r="AO1324" s="234"/>
    </row>
    <row r="1325" ht="15.75" customHeight="1">
      <c r="A1325" s="91"/>
      <c r="B1325" s="91"/>
      <c r="C1325" s="220"/>
      <c r="D1325" s="91"/>
      <c r="E1325" s="221"/>
      <c r="F1325" s="91"/>
      <c r="G1325" s="91"/>
      <c r="H1325" s="242"/>
      <c r="I1325" s="91"/>
      <c r="J1325" s="234"/>
      <c r="K1325" s="243"/>
      <c r="L1325" s="243"/>
      <c r="M1325" s="234"/>
      <c r="N1325" s="235"/>
      <c r="O1325" s="236"/>
      <c r="P1325" s="236"/>
      <c r="Q1325" s="236"/>
      <c r="R1325" s="236"/>
      <c r="S1325" s="236"/>
      <c r="T1325" s="236"/>
      <c r="U1325" s="236"/>
      <c r="V1325" s="236"/>
      <c r="W1325" s="236"/>
      <c r="X1325" s="244"/>
      <c r="Y1325" s="244"/>
      <c r="Z1325" s="237"/>
      <c r="AA1325" s="244"/>
      <c r="AB1325" s="244"/>
      <c r="AC1325" s="244"/>
      <c r="AD1325" s="244"/>
      <c r="AE1325" s="234"/>
      <c r="AF1325" s="234"/>
      <c r="AG1325" s="238"/>
      <c r="AH1325" s="239"/>
      <c r="AI1325" s="238"/>
      <c r="AJ1325" s="238"/>
      <c r="AK1325" s="234"/>
      <c r="AL1325" s="234"/>
      <c r="AM1325" s="234"/>
      <c r="AN1325" s="234"/>
      <c r="AO1325" s="234"/>
    </row>
    <row r="1326" ht="15.75" customHeight="1">
      <c r="A1326" s="91"/>
      <c r="B1326" s="91"/>
      <c r="C1326" s="220"/>
      <c r="D1326" s="91"/>
      <c r="E1326" s="221"/>
      <c r="F1326" s="91"/>
      <c r="G1326" s="91"/>
      <c r="H1326" s="242"/>
      <c r="I1326" s="91"/>
      <c r="J1326" s="234"/>
      <c r="K1326" s="243"/>
      <c r="L1326" s="243"/>
      <c r="M1326" s="234"/>
      <c r="N1326" s="235"/>
      <c r="O1326" s="236"/>
      <c r="P1326" s="236"/>
      <c r="Q1326" s="236"/>
      <c r="R1326" s="236"/>
      <c r="S1326" s="236"/>
      <c r="T1326" s="236"/>
      <c r="U1326" s="236"/>
      <c r="V1326" s="236"/>
      <c r="W1326" s="236"/>
      <c r="X1326" s="244"/>
      <c r="Y1326" s="244"/>
      <c r="Z1326" s="237"/>
      <c r="AA1326" s="244"/>
      <c r="AB1326" s="244"/>
      <c r="AC1326" s="244"/>
      <c r="AD1326" s="244"/>
      <c r="AE1326" s="234"/>
      <c r="AF1326" s="234"/>
      <c r="AG1326" s="238"/>
      <c r="AH1326" s="239"/>
      <c r="AI1326" s="238"/>
      <c r="AJ1326" s="238"/>
      <c r="AK1326" s="234"/>
      <c r="AL1326" s="234"/>
      <c r="AM1326" s="234"/>
      <c r="AN1326" s="234"/>
      <c r="AO1326" s="234"/>
    </row>
    <row r="1327" ht="15.75" customHeight="1">
      <c r="A1327" s="91"/>
      <c r="B1327" s="91"/>
      <c r="C1327" s="220"/>
      <c r="D1327" s="91"/>
      <c r="E1327" s="221"/>
      <c r="F1327" s="91"/>
      <c r="G1327" s="91"/>
      <c r="H1327" s="242"/>
      <c r="I1327" s="91"/>
      <c r="J1327" s="234"/>
      <c r="K1327" s="243"/>
      <c r="L1327" s="243"/>
      <c r="M1327" s="234"/>
      <c r="N1327" s="235"/>
      <c r="O1327" s="236"/>
      <c r="P1327" s="236"/>
      <c r="Q1327" s="236"/>
      <c r="R1327" s="236"/>
      <c r="S1327" s="236"/>
      <c r="T1327" s="236"/>
      <c r="U1327" s="236"/>
      <c r="V1327" s="236"/>
      <c r="W1327" s="236"/>
      <c r="X1327" s="244"/>
      <c r="Y1327" s="244"/>
      <c r="Z1327" s="237"/>
      <c r="AA1327" s="244"/>
      <c r="AB1327" s="244"/>
      <c r="AC1327" s="244"/>
      <c r="AD1327" s="244"/>
      <c r="AE1327" s="234"/>
      <c r="AF1327" s="234"/>
      <c r="AG1327" s="238"/>
      <c r="AH1327" s="239"/>
      <c r="AI1327" s="238"/>
      <c r="AJ1327" s="238"/>
      <c r="AK1327" s="234"/>
      <c r="AL1327" s="234"/>
      <c r="AM1327" s="234"/>
      <c r="AN1327" s="234"/>
      <c r="AO1327" s="234"/>
    </row>
    <row r="1328" ht="15.75" customHeight="1">
      <c r="A1328" s="91"/>
      <c r="B1328" s="91"/>
      <c r="C1328" s="220"/>
      <c r="D1328" s="91"/>
      <c r="E1328" s="221"/>
      <c r="F1328" s="91"/>
      <c r="G1328" s="91"/>
      <c r="H1328" s="242"/>
      <c r="I1328" s="91"/>
      <c r="J1328" s="234"/>
      <c r="K1328" s="243"/>
      <c r="L1328" s="243"/>
      <c r="M1328" s="234"/>
      <c r="N1328" s="235"/>
      <c r="O1328" s="236"/>
      <c r="P1328" s="236"/>
      <c r="Q1328" s="236"/>
      <c r="R1328" s="236"/>
      <c r="S1328" s="236"/>
      <c r="T1328" s="236"/>
      <c r="U1328" s="236"/>
      <c r="V1328" s="236"/>
      <c r="W1328" s="236"/>
      <c r="X1328" s="244"/>
      <c r="Y1328" s="244"/>
      <c r="Z1328" s="237"/>
      <c r="AA1328" s="244"/>
      <c r="AB1328" s="244"/>
      <c r="AC1328" s="244"/>
      <c r="AD1328" s="244"/>
      <c r="AE1328" s="234"/>
      <c r="AF1328" s="234"/>
      <c r="AG1328" s="238"/>
      <c r="AH1328" s="239"/>
      <c r="AI1328" s="238"/>
      <c r="AJ1328" s="238"/>
      <c r="AK1328" s="234"/>
      <c r="AL1328" s="234"/>
      <c r="AM1328" s="234"/>
      <c r="AN1328" s="234"/>
      <c r="AO1328" s="234"/>
    </row>
    <row r="1329" ht="15.75" customHeight="1">
      <c r="A1329" s="91"/>
      <c r="B1329" s="91"/>
      <c r="C1329" s="220"/>
      <c r="D1329" s="91"/>
      <c r="E1329" s="221"/>
      <c r="F1329" s="91"/>
      <c r="G1329" s="91"/>
      <c r="H1329" s="242"/>
      <c r="I1329" s="91"/>
      <c r="J1329" s="234"/>
      <c r="K1329" s="243"/>
      <c r="L1329" s="243"/>
      <c r="M1329" s="234"/>
      <c r="N1329" s="235"/>
      <c r="O1329" s="236"/>
      <c r="P1329" s="236"/>
      <c r="Q1329" s="236"/>
      <c r="R1329" s="236"/>
      <c r="S1329" s="236"/>
      <c r="T1329" s="236"/>
      <c r="U1329" s="236"/>
      <c r="V1329" s="236"/>
      <c r="W1329" s="236"/>
      <c r="X1329" s="244"/>
      <c r="Y1329" s="244"/>
      <c r="Z1329" s="237"/>
      <c r="AA1329" s="244"/>
      <c r="AB1329" s="244"/>
      <c r="AC1329" s="244"/>
      <c r="AD1329" s="244"/>
      <c r="AE1329" s="234"/>
      <c r="AF1329" s="234"/>
      <c r="AG1329" s="238"/>
      <c r="AH1329" s="239"/>
      <c r="AI1329" s="238"/>
      <c r="AJ1329" s="238"/>
      <c r="AK1329" s="234"/>
      <c r="AL1329" s="234"/>
      <c r="AM1329" s="234"/>
      <c r="AN1329" s="234"/>
      <c r="AO1329" s="234"/>
    </row>
    <row r="1330" ht="15.75" customHeight="1">
      <c r="A1330" s="91"/>
      <c r="B1330" s="91"/>
      <c r="C1330" s="220"/>
      <c r="D1330" s="91"/>
      <c r="E1330" s="221"/>
      <c r="F1330" s="91"/>
      <c r="G1330" s="91"/>
      <c r="H1330" s="242"/>
      <c r="I1330" s="91"/>
      <c r="J1330" s="234"/>
      <c r="K1330" s="243"/>
      <c r="L1330" s="243"/>
      <c r="M1330" s="234"/>
      <c r="N1330" s="235"/>
      <c r="O1330" s="236"/>
      <c r="P1330" s="236"/>
      <c r="Q1330" s="236"/>
      <c r="R1330" s="236"/>
      <c r="S1330" s="236"/>
      <c r="T1330" s="236"/>
      <c r="U1330" s="236"/>
      <c r="V1330" s="236"/>
      <c r="W1330" s="236"/>
      <c r="X1330" s="244"/>
      <c r="Y1330" s="244"/>
      <c r="Z1330" s="237"/>
      <c r="AA1330" s="244"/>
      <c r="AB1330" s="244"/>
      <c r="AC1330" s="244"/>
      <c r="AD1330" s="244"/>
      <c r="AE1330" s="234"/>
      <c r="AF1330" s="234"/>
      <c r="AG1330" s="238"/>
      <c r="AH1330" s="239"/>
      <c r="AI1330" s="238"/>
      <c r="AJ1330" s="238"/>
      <c r="AK1330" s="234"/>
      <c r="AL1330" s="234"/>
      <c r="AM1330" s="234"/>
      <c r="AN1330" s="234"/>
      <c r="AO1330" s="234"/>
    </row>
    <row r="1331" ht="15.75" customHeight="1">
      <c r="A1331" s="91"/>
      <c r="B1331" s="91"/>
      <c r="C1331" s="220"/>
      <c r="D1331" s="91"/>
      <c r="E1331" s="221"/>
      <c r="F1331" s="91"/>
      <c r="G1331" s="91"/>
      <c r="H1331" s="242"/>
      <c r="I1331" s="91"/>
      <c r="J1331" s="234"/>
      <c r="K1331" s="243"/>
      <c r="L1331" s="243"/>
      <c r="M1331" s="234"/>
      <c r="N1331" s="235"/>
      <c r="O1331" s="236"/>
      <c r="P1331" s="236"/>
      <c r="Q1331" s="236"/>
      <c r="R1331" s="236"/>
      <c r="S1331" s="236"/>
      <c r="T1331" s="236"/>
      <c r="U1331" s="236"/>
      <c r="V1331" s="236"/>
      <c r="W1331" s="236"/>
      <c r="X1331" s="244"/>
      <c r="Y1331" s="244"/>
      <c r="Z1331" s="237"/>
      <c r="AA1331" s="244"/>
      <c r="AB1331" s="244"/>
      <c r="AC1331" s="244"/>
      <c r="AD1331" s="244"/>
      <c r="AE1331" s="234"/>
      <c r="AF1331" s="234"/>
      <c r="AG1331" s="238"/>
      <c r="AH1331" s="239"/>
      <c r="AI1331" s="238"/>
      <c r="AJ1331" s="238"/>
      <c r="AK1331" s="234"/>
      <c r="AL1331" s="234"/>
      <c r="AM1331" s="234"/>
      <c r="AN1331" s="234"/>
      <c r="AO1331" s="234"/>
    </row>
    <row r="1332" ht="15.75" customHeight="1">
      <c r="A1332" s="91"/>
      <c r="B1332" s="91"/>
      <c r="C1332" s="220"/>
      <c r="D1332" s="91"/>
      <c r="E1332" s="221"/>
      <c r="F1332" s="91"/>
      <c r="G1332" s="91"/>
      <c r="H1332" s="242"/>
      <c r="I1332" s="91"/>
      <c r="J1332" s="234"/>
      <c r="K1332" s="243"/>
      <c r="L1332" s="243"/>
      <c r="M1332" s="234"/>
      <c r="N1332" s="235"/>
      <c r="O1332" s="236"/>
      <c r="P1332" s="236"/>
      <c r="Q1332" s="236"/>
      <c r="R1332" s="236"/>
      <c r="S1332" s="236"/>
      <c r="T1332" s="236"/>
      <c r="U1332" s="236"/>
      <c r="V1332" s="236"/>
      <c r="W1332" s="236"/>
      <c r="X1332" s="244"/>
      <c r="Y1332" s="244"/>
      <c r="Z1332" s="237"/>
      <c r="AA1332" s="244"/>
      <c r="AB1332" s="244"/>
      <c r="AC1332" s="244"/>
      <c r="AD1332" s="244"/>
      <c r="AE1332" s="234"/>
      <c r="AF1332" s="234"/>
      <c r="AG1332" s="238"/>
      <c r="AH1332" s="239"/>
      <c r="AI1332" s="238"/>
      <c r="AJ1332" s="238"/>
      <c r="AK1332" s="234"/>
      <c r="AL1332" s="234"/>
      <c r="AM1332" s="234"/>
      <c r="AN1332" s="234"/>
      <c r="AO1332" s="234"/>
    </row>
    <row r="1333" ht="15.75" customHeight="1">
      <c r="A1333" s="91"/>
      <c r="B1333" s="91"/>
      <c r="C1333" s="220"/>
      <c r="D1333" s="91"/>
      <c r="E1333" s="221"/>
      <c r="F1333" s="91"/>
      <c r="G1333" s="91"/>
      <c r="H1333" s="242"/>
      <c r="I1333" s="91"/>
      <c r="J1333" s="234"/>
      <c r="K1333" s="243"/>
      <c r="L1333" s="243"/>
      <c r="M1333" s="234"/>
      <c r="N1333" s="235"/>
      <c r="O1333" s="236"/>
      <c r="P1333" s="236"/>
      <c r="Q1333" s="236"/>
      <c r="R1333" s="236"/>
      <c r="S1333" s="236"/>
      <c r="T1333" s="236"/>
      <c r="U1333" s="236"/>
      <c r="V1333" s="236"/>
      <c r="W1333" s="236"/>
      <c r="X1333" s="244"/>
      <c r="Y1333" s="244"/>
      <c r="Z1333" s="237"/>
      <c r="AA1333" s="244"/>
      <c r="AB1333" s="244"/>
      <c r="AC1333" s="244"/>
      <c r="AD1333" s="244"/>
      <c r="AE1333" s="234"/>
      <c r="AF1333" s="234"/>
      <c r="AG1333" s="238"/>
      <c r="AH1333" s="239"/>
      <c r="AI1333" s="238"/>
      <c r="AJ1333" s="238"/>
      <c r="AK1333" s="234"/>
      <c r="AL1333" s="234"/>
      <c r="AM1333" s="234"/>
      <c r="AN1333" s="234"/>
      <c r="AO1333" s="234"/>
    </row>
    <row r="1334" ht="15.75" customHeight="1">
      <c r="A1334" s="91"/>
      <c r="B1334" s="91"/>
      <c r="C1334" s="220"/>
      <c r="D1334" s="91"/>
      <c r="E1334" s="221"/>
      <c r="F1334" s="91"/>
      <c r="G1334" s="91"/>
      <c r="H1334" s="242"/>
      <c r="I1334" s="91"/>
      <c r="J1334" s="234"/>
      <c r="K1334" s="243"/>
      <c r="L1334" s="243"/>
      <c r="M1334" s="234"/>
      <c r="N1334" s="235"/>
      <c r="O1334" s="236"/>
      <c r="P1334" s="236"/>
      <c r="Q1334" s="236"/>
      <c r="R1334" s="236"/>
      <c r="S1334" s="236"/>
      <c r="T1334" s="236"/>
      <c r="U1334" s="236"/>
      <c r="V1334" s="236"/>
      <c r="W1334" s="236"/>
      <c r="X1334" s="244"/>
      <c r="Y1334" s="244"/>
      <c r="Z1334" s="237"/>
      <c r="AA1334" s="244"/>
      <c r="AB1334" s="244"/>
      <c r="AC1334" s="244"/>
      <c r="AD1334" s="244"/>
      <c r="AE1334" s="234"/>
      <c r="AF1334" s="234"/>
      <c r="AG1334" s="238"/>
      <c r="AH1334" s="239"/>
      <c r="AI1334" s="238"/>
      <c r="AJ1334" s="238"/>
      <c r="AK1334" s="234"/>
      <c r="AL1334" s="234"/>
      <c r="AM1334" s="234"/>
      <c r="AN1334" s="234"/>
      <c r="AO1334" s="234"/>
    </row>
    <row r="1335" ht="15.75" customHeight="1">
      <c r="A1335" s="91"/>
      <c r="B1335" s="91"/>
      <c r="C1335" s="220"/>
      <c r="D1335" s="91"/>
      <c r="E1335" s="221"/>
      <c r="F1335" s="91"/>
      <c r="G1335" s="91"/>
      <c r="H1335" s="242"/>
      <c r="I1335" s="91"/>
      <c r="J1335" s="234"/>
      <c r="K1335" s="243"/>
      <c r="L1335" s="243"/>
      <c r="M1335" s="234"/>
      <c r="N1335" s="235"/>
      <c r="O1335" s="236"/>
      <c r="P1335" s="236"/>
      <c r="Q1335" s="236"/>
      <c r="R1335" s="236"/>
      <c r="S1335" s="236"/>
      <c r="T1335" s="236"/>
      <c r="U1335" s="236"/>
      <c r="V1335" s="236"/>
      <c r="W1335" s="236"/>
      <c r="X1335" s="244"/>
      <c r="Y1335" s="244"/>
      <c r="Z1335" s="237"/>
      <c r="AA1335" s="244"/>
      <c r="AB1335" s="244"/>
      <c r="AC1335" s="244"/>
      <c r="AD1335" s="244"/>
      <c r="AE1335" s="234"/>
      <c r="AF1335" s="234"/>
      <c r="AG1335" s="238"/>
      <c r="AH1335" s="239"/>
      <c r="AI1335" s="238"/>
      <c r="AJ1335" s="238"/>
      <c r="AK1335" s="234"/>
      <c r="AL1335" s="234"/>
      <c r="AM1335" s="234"/>
      <c r="AN1335" s="234"/>
      <c r="AO1335" s="234"/>
    </row>
    <row r="1336" ht="15.75" customHeight="1">
      <c r="A1336" s="91"/>
      <c r="B1336" s="91"/>
      <c r="C1336" s="220"/>
      <c r="D1336" s="91"/>
      <c r="E1336" s="221"/>
      <c r="F1336" s="91"/>
      <c r="G1336" s="91"/>
      <c r="H1336" s="242"/>
      <c r="I1336" s="91"/>
      <c r="J1336" s="234"/>
      <c r="K1336" s="243"/>
      <c r="L1336" s="243"/>
      <c r="M1336" s="234"/>
      <c r="N1336" s="235"/>
      <c r="O1336" s="236"/>
      <c r="P1336" s="236"/>
      <c r="Q1336" s="236"/>
      <c r="R1336" s="236"/>
      <c r="S1336" s="236"/>
      <c r="T1336" s="236"/>
      <c r="U1336" s="236"/>
      <c r="V1336" s="236"/>
      <c r="W1336" s="236"/>
      <c r="X1336" s="244"/>
      <c r="Y1336" s="244"/>
      <c r="Z1336" s="237"/>
      <c r="AA1336" s="244"/>
      <c r="AB1336" s="244"/>
      <c r="AC1336" s="244"/>
      <c r="AD1336" s="244"/>
      <c r="AE1336" s="234"/>
      <c r="AF1336" s="234"/>
      <c r="AG1336" s="238"/>
      <c r="AH1336" s="239"/>
      <c r="AI1336" s="238"/>
      <c r="AJ1336" s="238"/>
      <c r="AK1336" s="234"/>
      <c r="AL1336" s="234"/>
      <c r="AM1336" s="234"/>
      <c r="AN1336" s="234"/>
      <c r="AO1336" s="234"/>
    </row>
    <row r="1337" ht="15.75" customHeight="1">
      <c r="A1337" s="91"/>
      <c r="B1337" s="91"/>
      <c r="C1337" s="220"/>
      <c r="D1337" s="91"/>
      <c r="E1337" s="221"/>
      <c r="F1337" s="91"/>
      <c r="G1337" s="91"/>
      <c r="H1337" s="242"/>
      <c r="I1337" s="91"/>
      <c r="J1337" s="234"/>
      <c r="K1337" s="243"/>
      <c r="L1337" s="243"/>
      <c r="M1337" s="234"/>
      <c r="N1337" s="235"/>
      <c r="O1337" s="236"/>
      <c r="P1337" s="236"/>
      <c r="Q1337" s="236"/>
      <c r="R1337" s="236"/>
      <c r="S1337" s="236"/>
      <c r="T1337" s="236"/>
      <c r="U1337" s="236"/>
      <c r="V1337" s="236"/>
      <c r="W1337" s="236"/>
      <c r="X1337" s="244"/>
      <c r="Y1337" s="244"/>
      <c r="Z1337" s="237"/>
      <c r="AA1337" s="244"/>
      <c r="AB1337" s="244"/>
      <c r="AC1337" s="244"/>
      <c r="AD1337" s="244"/>
      <c r="AE1337" s="234"/>
      <c r="AF1337" s="234"/>
      <c r="AG1337" s="238"/>
      <c r="AH1337" s="239"/>
      <c r="AI1337" s="238"/>
      <c r="AJ1337" s="238"/>
      <c r="AK1337" s="234"/>
      <c r="AL1337" s="234"/>
      <c r="AM1337" s="234"/>
      <c r="AN1337" s="234"/>
      <c r="AO1337" s="234"/>
    </row>
    <row r="1338" ht="15.75" customHeight="1">
      <c r="A1338" s="91"/>
      <c r="B1338" s="91"/>
      <c r="C1338" s="220"/>
      <c r="D1338" s="91"/>
      <c r="E1338" s="221"/>
      <c r="F1338" s="91"/>
      <c r="G1338" s="91"/>
      <c r="H1338" s="242"/>
      <c r="I1338" s="91"/>
      <c r="J1338" s="234"/>
      <c r="K1338" s="243"/>
      <c r="L1338" s="243"/>
      <c r="M1338" s="234"/>
      <c r="N1338" s="235"/>
      <c r="O1338" s="236"/>
      <c r="P1338" s="236"/>
      <c r="Q1338" s="236"/>
      <c r="R1338" s="236"/>
      <c r="S1338" s="236"/>
      <c r="T1338" s="236"/>
      <c r="U1338" s="236"/>
      <c r="V1338" s="236"/>
      <c r="W1338" s="236"/>
      <c r="X1338" s="244"/>
      <c r="Y1338" s="244"/>
      <c r="Z1338" s="237"/>
      <c r="AA1338" s="244"/>
      <c r="AB1338" s="244"/>
      <c r="AC1338" s="244"/>
      <c r="AD1338" s="244"/>
      <c r="AE1338" s="234"/>
      <c r="AF1338" s="234"/>
      <c r="AG1338" s="238"/>
      <c r="AH1338" s="239"/>
      <c r="AI1338" s="238"/>
      <c r="AJ1338" s="238"/>
      <c r="AK1338" s="234"/>
      <c r="AL1338" s="234"/>
      <c r="AM1338" s="234"/>
      <c r="AN1338" s="234"/>
      <c r="AO1338" s="234"/>
    </row>
    <row r="1339" ht="15.75" customHeight="1">
      <c r="A1339" s="91"/>
      <c r="B1339" s="91"/>
      <c r="C1339" s="220"/>
      <c r="D1339" s="91"/>
      <c r="E1339" s="221"/>
      <c r="F1339" s="91"/>
      <c r="G1339" s="91"/>
      <c r="H1339" s="242"/>
      <c r="I1339" s="91"/>
      <c r="J1339" s="234"/>
      <c r="K1339" s="243"/>
      <c r="L1339" s="243"/>
      <c r="M1339" s="234"/>
      <c r="N1339" s="235"/>
      <c r="O1339" s="236"/>
      <c r="P1339" s="236"/>
      <c r="Q1339" s="236"/>
      <c r="R1339" s="236"/>
      <c r="S1339" s="236"/>
      <c r="T1339" s="236"/>
      <c r="U1339" s="236"/>
      <c r="V1339" s="236"/>
      <c r="W1339" s="236"/>
      <c r="X1339" s="244"/>
      <c r="Y1339" s="244"/>
      <c r="Z1339" s="237"/>
      <c r="AA1339" s="244"/>
      <c r="AB1339" s="244"/>
      <c r="AC1339" s="244"/>
      <c r="AD1339" s="244"/>
      <c r="AE1339" s="234"/>
      <c r="AF1339" s="234"/>
      <c r="AG1339" s="238"/>
      <c r="AH1339" s="239"/>
      <c r="AI1339" s="238"/>
      <c r="AJ1339" s="238"/>
      <c r="AK1339" s="234"/>
      <c r="AL1339" s="234"/>
      <c r="AM1339" s="234"/>
      <c r="AN1339" s="234"/>
      <c r="AO1339" s="234"/>
    </row>
    <row r="1340" ht="15.75" customHeight="1">
      <c r="A1340" s="91"/>
      <c r="B1340" s="91"/>
      <c r="C1340" s="220"/>
      <c r="D1340" s="91"/>
      <c r="E1340" s="221"/>
      <c r="F1340" s="91"/>
      <c r="G1340" s="91"/>
      <c r="H1340" s="242"/>
      <c r="I1340" s="91"/>
      <c r="J1340" s="234"/>
      <c r="K1340" s="243"/>
      <c r="L1340" s="243"/>
      <c r="M1340" s="234"/>
      <c r="N1340" s="235"/>
      <c r="O1340" s="236"/>
      <c r="P1340" s="236"/>
      <c r="Q1340" s="236"/>
      <c r="R1340" s="236"/>
      <c r="S1340" s="236"/>
      <c r="T1340" s="236"/>
      <c r="U1340" s="236"/>
      <c r="V1340" s="236"/>
      <c r="W1340" s="236"/>
      <c r="X1340" s="244"/>
      <c r="Y1340" s="244"/>
      <c r="Z1340" s="237"/>
      <c r="AA1340" s="244"/>
      <c r="AB1340" s="244"/>
      <c r="AC1340" s="244"/>
      <c r="AD1340" s="244"/>
      <c r="AE1340" s="234"/>
      <c r="AF1340" s="234"/>
      <c r="AG1340" s="238"/>
      <c r="AH1340" s="239"/>
      <c r="AI1340" s="238"/>
      <c r="AJ1340" s="238"/>
      <c r="AK1340" s="234"/>
      <c r="AL1340" s="234"/>
      <c r="AM1340" s="234"/>
      <c r="AN1340" s="234"/>
      <c r="AO1340" s="234"/>
    </row>
    <row r="1341" ht="15.75" customHeight="1">
      <c r="A1341" s="91"/>
      <c r="B1341" s="91"/>
      <c r="C1341" s="220"/>
      <c r="D1341" s="91"/>
      <c r="E1341" s="221"/>
      <c r="F1341" s="91"/>
      <c r="G1341" s="91"/>
      <c r="H1341" s="242"/>
      <c r="I1341" s="91"/>
      <c r="J1341" s="234"/>
      <c r="K1341" s="243"/>
      <c r="L1341" s="243"/>
      <c r="M1341" s="234"/>
      <c r="N1341" s="235"/>
      <c r="O1341" s="236"/>
      <c r="P1341" s="236"/>
      <c r="Q1341" s="236"/>
      <c r="R1341" s="236"/>
      <c r="S1341" s="236"/>
      <c r="T1341" s="236"/>
      <c r="U1341" s="236"/>
      <c r="V1341" s="236"/>
      <c r="W1341" s="236"/>
      <c r="X1341" s="244"/>
      <c r="Y1341" s="244"/>
      <c r="Z1341" s="237"/>
      <c r="AA1341" s="244"/>
      <c r="AB1341" s="244"/>
      <c r="AC1341" s="244"/>
      <c r="AD1341" s="244"/>
      <c r="AE1341" s="234"/>
      <c r="AF1341" s="234"/>
      <c r="AG1341" s="238"/>
      <c r="AH1341" s="239"/>
      <c r="AI1341" s="238"/>
      <c r="AJ1341" s="238"/>
      <c r="AK1341" s="234"/>
      <c r="AL1341" s="234"/>
      <c r="AM1341" s="234"/>
      <c r="AN1341" s="234"/>
      <c r="AO1341" s="234"/>
    </row>
    <row r="1342" ht="15.75" customHeight="1">
      <c r="A1342" s="91"/>
      <c r="B1342" s="91"/>
      <c r="C1342" s="220"/>
      <c r="D1342" s="91"/>
      <c r="E1342" s="221"/>
      <c r="F1342" s="91"/>
      <c r="G1342" s="91"/>
      <c r="H1342" s="242"/>
      <c r="I1342" s="91"/>
      <c r="J1342" s="234"/>
      <c r="K1342" s="243"/>
      <c r="L1342" s="243"/>
      <c r="M1342" s="234"/>
      <c r="N1342" s="235"/>
      <c r="O1342" s="236"/>
      <c r="P1342" s="236"/>
      <c r="Q1342" s="236"/>
      <c r="R1342" s="236"/>
      <c r="S1342" s="236"/>
      <c r="T1342" s="236"/>
      <c r="U1342" s="236"/>
      <c r="V1342" s="236"/>
      <c r="W1342" s="236"/>
      <c r="X1342" s="244"/>
      <c r="Y1342" s="244"/>
      <c r="Z1342" s="237"/>
      <c r="AA1342" s="244"/>
      <c r="AB1342" s="244"/>
      <c r="AC1342" s="244"/>
      <c r="AD1342" s="244"/>
      <c r="AE1342" s="234"/>
      <c r="AF1342" s="234"/>
      <c r="AG1342" s="238"/>
      <c r="AH1342" s="239"/>
      <c r="AI1342" s="238"/>
      <c r="AJ1342" s="238"/>
      <c r="AK1342" s="234"/>
      <c r="AL1342" s="234"/>
      <c r="AM1342" s="234"/>
      <c r="AN1342" s="234"/>
      <c r="AO1342" s="234"/>
    </row>
    <row r="1343" ht="15.75" customHeight="1">
      <c r="A1343" s="91"/>
      <c r="B1343" s="91"/>
      <c r="C1343" s="220"/>
      <c r="D1343" s="91"/>
      <c r="E1343" s="221"/>
      <c r="F1343" s="91"/>
      <c r="G1343" s="91"/>
      <c r="H1343" s="242"/>
      <c r="I1343" s="91"/>
      <c r="J1343" s="234"/>
      <c r="K1343" s="243"/>
      <c r="L1343" s="243"/>
      <c r="M1343" s="234"/>
      <c r="N1343" s="235"/>
      <c r="O1343" s="236"/>
      <c r="P1343" s="236"/>
      <c r="Q1343" s="236"/>
      <c r="R1343" s="236"/>
      <c r="S1343" s="236"/>
      <c r="T1343" s="236"/>
      <c r="U1343" s="236"/>
      <c r="V1343" s="236"/>
      <c r="W1343" s="236"/>
      <c r="X1343" s="244"/>
      <c r="Y1343" s="244"/>
      <c r="Z1343" s="237"/>
      <c r="AA1343" s="244"/>
      <c r="AB1343" s="244"/>
      <c r="AC1343" s="244"/>
      <c r="AD1343" s="244"/>
      <c r="AE1343" s="234"/>
      <c r="AF1343" s="234"/>
      <c r="AG1343" s="238"/>
      <c r="AH1343" s="239"/>
      <c r="AI1343" s="238"/>
      <c r="AJ1343" s="238"/>
      <c r="AK1343" s="234"/>
      <c r="AL1343" s="234"/>
      <c r="AM1343" s="234"/>
      <c r="AN1343" s="234"/>
      <c r="AO1343" s="234"/>
    </row>
    <row r="1344" ht="15.75" customHeight="1">
      <c r="A1344" s="91"/>
      <c r="B1344" s="91"/>
      <c r="C1344" s="220"/>
      <c r="D1344" s="91"/>
      <c r="E1344" s="221"/>
      <c r="F1344" s="91"/>
      <c r="G1344" s="91"/>
      <c r="H1344" s="242"/>
      <c r="I1344" s="91"/>
      <c r="J1344" s="234"/>
      <c r="K1344" s="243"/>
      <c r="L1344" s="243"/>
      <c r="M1344" s="234"/>
      <c r="N1344" s="235"/>
      <c r="O1344" s="236"/>
      <c r="P1344" s="236"/>
      <c r="Q1344" s="236"/>
      <c r="R1344" s="236"/>
      <c r="S1344" s="236"/>
      <c r="T1344" s="236"/>
      <c r="U1344" s="236"/>
      <c r="V1344" s="236"/>
      <c r="W1344" s="236"/>
      <c r="X1344" s="244"/>
      <c r="Y1344" s="244"/>
      <c r="Z1344" s="237"/>
      <c r="AA1344" s="244"/>
      <c r="AB1344" s="244"/>
      <c r="AC1344" s="244"/>
      <c r="AD1344" s="244"/>
      <c r="AE1344" s="234"/>
      <c r="AF1344" s="234"/>
      <c r="AG1344" s="238"/>
      <c r="AH1344" s="239"/>
      <c r="AI1344" s="238"/>
      <c r="AJ1344" s="238"/>
      <c r="AK1344" s="234"/>
      <c r="AL1344" s="234"/>
      <c r="AM1344" s="234"/>
      <c r="AN1344" s="234"/>
      <c r="AO1344" s="234"/>
    </row>
    <row r="1345" ht="15.75" customHeight="1">
      <c r="A1345" s="91"/>
      <c r="B1345" s="91"/>
      <c r="C1345" s="220"/>
      <c r="D1345" s="91"/>
      <c r="E1345" s="221"/>
      <c r="F1345" s="91"/>
      <c r="G1345" s="91"/>
      <c r="H1345" s="242"/>
      <c r="I1345" s="91"/>
      <c r="J1345" s="234"/>
      <c r="K1345" s="243"/>
      <c r="L1345" s="243"/>
      <c r="M1345" s="234"/>
      <c r="N1345" s="235"/>
      <c r="O1345" s="236"/>
      <c r="P1345" s="236"/>
      <c r="Q1345" s="236"/>
      <c r="R1345" s="236"/>
      <c r="S1345" s="236"/>
      <c r="T1345" s="236"/>
      <c r="U1345" s="236"/>
      <c r="V1345" s="236"/>
      <c r="W1345" s="236"/>
      <c r="X1345" s="244"/>
      <c r="Y1345" s="244"/>
      <c r="Z1345" s="237"/>
      <c r="AA1345" s="244"/>
      <c r="AB1345" s="244"/>
      <c r="AC1345" s="244"/>
      <c r="AD1345" s="244"/>
      <c r="AE1345" s="234"/>
      <c r="AF1345" s="234"/>
      <c r="AG1345" s="238"/>
      <c r="AH1345" s="239"/>
      <c r="AI1345" s="238"/>
      <c r="AJ1345" s="238"/>
      <c r="AK1345" s="234"/>
      <c r="AL1345" s="234"/>
      <c r="AM1345" s="234"/>
      <c r="AN1345" s="234"/>
      <c r="AO1345" s="234"/>
    </row>
    <row r="1346" ht="15.75" customHeight="1">
      <c r="A1346" s="91"/>
      <c r="B1346" s="91"/>
      <c r="C1346" s="220"/>
      <c r="D1346" s="91"/>
      <c r="E1346" s="221"/>
      <c r="F1346" s="91"/>
      <c r="G1346" s="91"/>
      <c r="H1346" s="242"/>
      <c r="I1346" s="91"/>
      <c r="J1346" s="234"/>
      <c r="K1346" s="243"/>
      <c r="L1346" s="243"/>
      <c r="M1346" s="234"/>
      <c r="N1346" s="235"/>
      <c r="O1346" s="236"/>
      <c r="P1346" s="236"/>
      <c r="Q1346" s="236"/>
      <c r="R1346" s="236"/>
      <c r="S1346" s="236"/>
      <c r="T1346" s="236"/>
      <c r="U1346" s="236"/>
      <c r="V1346" s="236"/>
      <c r="W1346" s="236"/>
      <c r="X1346" s="244"/>
      <c r="Y1346" s="244"/>
      <c r="Z1346" s="237"/>
      <c r="AA1346" s="244"/>
      <c r="AB1346" s="244"/>
      <c r="AC1346" s="244"/>
      <c r="AD1346" s="244"/>
      <c r="AE1346" s="234"/>
      <c r="AF1346" s="234"/>
      <c r="AG1346" s="238"/>
      <c r="AH1346" s="239"/>
      <c r="AI1346" s="238"/>
      <c r="AJ1346" s="238"/>
      <c r="AK1346" s="234"/>
      <c r="AL1346" s="234"/>
      <c r="AM1346" s="234"/>
      <c r="AN1346" s="234"/>
      <c r="AO1346" s="234"/>
    </row>
    <row r="1347" ht="15.75" customHeight="1">
      <c r="A1347" s="91"/>
      <c r="B1347" s="91"/>
      <c r="C1347" s="220"/>
      <c r="D1347" s="91"/>
      <c r="E1347" s="221"/>
      <c r="F1347" s="91"/>
      <c r="G1347" s="91"/>
      <c r="H1347" s="242"/>
      <c r="I1347" s="91"/>
      <c r="J1347" s="234"/>
      <c r="K1347" s="243"/>
      <c r="L1347" s="243"/>
      <c r="M1347" s="234"/>
      <c r="N1347" s="235"/>
      <c r="O1347" s="236"/>
      <c r="P1347" s="236"/>
      <c r="Q1347" s="236"/>
      <c r="R1347" s="236"/>
      <c r="S1347" s="236"/>
      <c r="T1347" s="236"/>
      <c r="U1347" s="236"/>
      <c r="V1347" s="236"/>
      <c r="W1347" s="236"/>
      <c r="X1347" s="244"/>
      <c r="Y1347" s="244"/>
      <c r="Z1347" s="237"/>
      <c r="AA1347" s="244"/>
      <c r="AB1347" s="244"/>
      <c r="AC1347" s="244"/>
      <c r="AD1347" s="244"/>
      <c r="AE1347" s="234"/>
      <c r="AF1347" s="234"/>
      <c r="AG1347" s="238"/>
      <c r="AH1347" s="239"/>
      <c r="AI1347" s="238"/>
      <c r="AJ1347" s="238"/>
      <c r="AK1347" s="234"/>
      <c r="AL1347" s="234"/>
      <c r="AM1347" s="234"/>
      <c r="AN1347" s="234"/>
      <c r="AO1347" s="234"/>
    </row>
    <row r="1348" ht="15.75" customHeight="1">
      <c r="A1348" s="91"/>
      <c r="B1348" s="91"/>
      <c r="C1348" s="220"/>
      <c r="D1348" s="91"/>
      <c r="E1348" s="221"/>
      <c r="F1348" s="91"/>
      <c r="G1348" s="91"/>
      <c r="H1348" s="242"/>
      <c r="I1348" s="91"/>
      <c r="J1348" s="234"/>
      <c r="K1348" s="243"/>
      <c r="L1348" s="243"/>
      <c r="M1348" s="234"/>
      <c r="N1348" s="235"/>
      <c r="O1348" s="236"/>
      <c r="P1348" s="236"/>
      <c r="Q1348" s="236"/>
      <c r="R1348" s="236"/>
      <c r="S1348" s="236"/>
      <c r="T1348" s="236"/>
      <c r="U1348" s="236"/>
      <c r="V1348" s="236"/>
      <c r="W1348" s="236"/>
      <c r="X1348" s="244"/>
      <c r="Y1348" s="244"/>
      <c r="Z1348" s="237"/>
      <c r="AA1348" s="244"/>
      <c r="AB1348" s="244"/>
      <c r="AC1348" s="244"/>
      <c r="AD1348" s="244"/>
      <c r="AE1348" s="234"/>
      <c r="AF1348" s="234"/>
      <c r="AG1348" s="238"/>
      <c r="AH1348" s="239"/>
      <c r="AI1348" s="238"/>
      <c r="AJ1348" s="238"/>
      <c r="AK1348" s="234"/>
      <c r="AL1348" s="234"/>
      <c r="AM1348" s="234"/>
      <c r="AN1348" s="234"/>
      <c r="AO1348" s="234"/>
    </row>
    <row r="1349" ht="15.75" customHeight="1">
      <c r="A1349" s="91"/>
      <c r="B1349" s="91"/>
      <c r="C1349" s="220"/>
      <c r="D1349" s="91"/>
      <c r="E1349" s="221"/>
      <c r="F1349" s="91"/>
      <c r="G1349" s="91"/>
      <c r="H1349" s="242"/>
      <c r="I1349" s="91"/>
      <c r="J1349" s="234"/>
      <c r="K1349" s="243"/>
      <c r="L1349" s="243"/>
      <c r="M1349" s="234"/>
      <c r="N1349" s="235"/>
      <c r="O1349" s="236"/>
      <c r="P1349" s="236"/>
      <c r="Q1349" s="236"/>
      <c r="R1349" s="236"/>
      <c r="S1349" s="236"/>
      <c r="T1349" s="236"/>
      <c r="U1349" s="236"/>
      <c r="V1349" s="236"/>
      <c r="W1349" s="236"/>
      <c r="X1349" s="244"/>
      <c r="Y1349" s="244"/>
      <c r="Z1349" s="237"/>
      <c r="AA1349" s="244"/>
      <c r="AB1349" s="244"/>
      <c r="AC1349" s="244"/>
      <c r="AD1349" s="244"/>
      <c r="AE1349" s="234"/>
      <c r="AF1349" s="234"/>
      <c r="AG1349" s="238"/>
      <c r="AH1349" s="239"/>
      <c r="AI1349" s="238"/>
      <c r="AJ1349" s="238"/>
      <c r="AK1349" s="234"/>
      <c r="AL1349" s="234"/>
      <c r="AM1349" s="234"/>
      <c r="AN1349" s="234"/>
      <c r="AO1349" s="234"/>
    </row>
    <row r="1350" ht="15.75" customHeight="1">
      <c r="A1350" s="91"/>
      <c r="B1350" s="91"/>
      <c r="C1350" s="220"/>
      <c r="D1350" s="91"/>
      <c r="E1350" s="221"/>
      <c r="F1350" s="91"/>
      <c r="G1350" s="91"/>
      <c r="H1350" s="242"/>
      <c r="I1350" s="91"/>
      <c r="J1350" s="234"/>
      <c r="K1350" s="243"/>
      <c r="L1350" s="243"/>
      <c r="M1350" s="234"/>
      <c r="N1350" s="235"/>
      <c r="O1350" s="236"/>
      <c r="P1350" s="236"/>
      <c r="Q1350" s="236"/>
      <c r="R1350" s="236"/>
      <c r="S1350" s="236"/>
      <c r="T1350" s="236"/>
      <c r="U1350" s="236"/>
      <c r="V1350" s="236"/>
      <c r="W1350" s="236"/>
      <c r="X1350" s="244"/>
      <c r="Y1350" s="244"/>
      <c r="Z1350" s="237"/>
      <c r="AA1350" s="244"/>
      <c r="AB1350" s="244"/>
      <c r="AC1350" s="244"/>
      <c r="AD1350" s="244"/>
      <c r="AE1350" s="234"/>
      <c r="AF1350" s="234"/>
      <c r="AG1350" s="238"/>
      <c r="AH1350" s="239"/>
      <c r="AI1350" s="238"/>
      <c r="AJ1350" s="238"/>
      <c r="AK1350" s="234"/>
      <c r="AL1350" s="234"/>
      <c r="AM1350" s="234"/>
      <c r="AN1350" s="234"/>
      <c r="AO1350" s="234"/>
    </row>
    <row r="1351" ht="15.75" customHeight="1">
      <c r="A1351" s="91"/>
      <c r="B1351" s="91"/>
      <c r="C1351" s="220"/>
      <c r="D1351" s="91"/>
      <c r="E1351" s="221"/>
      <c r="F1351" s="91"/>
      <c r="G1351" s="91"/>
      <c r="H1351" s="242"/>
      <c r="I1351" s="91"/>
      <c r="J1351" s="234"/>
      <c r="K1351" s="243"/>
      <c r="L1351" s="243"/>
      <c r="M1351" s="234"/>
      <c r="N1351" s="235"/>
      <c r="O1351" s="236"/>
      <c r="P1351" s="236"/>
      <c r="Q1351" s="236"/>
      <c r="R1351" s="236"/>
      <c r="S1351" s="236"/>
      <c r="T1351" s="236"/>
      <c r="U1351" s="236"/>
      <c r="V1351" s="236"/>
      <c r="W1351" s="236"/>
      <c r="X1351" s="244"/>
      <c r="Y1351" s="244"/>
      <c r="Z1351" s="237"/>
      <c r="AA1351" s="244"/>
      <c r="AB1351" s="244"/>
      <c r="AC1351" s="244"/>
      <c r="AD1351" s="244"/>
      <c r="AE1351" s="234"/>
      <c r="AF1351" s="234"/>
      <c r="AG1351" s="238"/>
      <c r="AH1351" s="239"/>
      <c r="AI1351" s="238"/>
      <c r="AJ1351" s="238"/>
      <c r="AK1351" s="234"/>
      <c r="AL1351" s="234"/>
      <c r="AM1351" s="234"/>
      <c r="AN1351" s="234"/>
      <c r="AO1351" s="234"/>
    </row>
    <row r="1352" ht="15.75" customHeight="1">
      <c r="A1352" s="91"/>
      <c r="B1352" s="91"/>
      <c r="C1352" s="220"/>
      <c r="D1352" s="91"/>
      <c r="E1352" s="221"/>
      <c r="F1352" s="91"/>
      <c r="G1352" s="91"/>
      <c r="H1352" s="242"/>
      <c r="I1352" s="91"/>
      <c r="J1352" s="234"/>
      <c r="K1352" s="243"/>
      <c r="L1352" s="243"/>
      <c r="M1352" s="234"/>
      <c r="N1352" s="235"/>
      <c r="O1352" s="236"/>
      <c r="P1352" s="236"/>
      <c r="Q1352" s="236"/>
      <c r="R1352" s="236"/>
      <c r="S1352" s="236"/>
      <c r="T1352" s="236"/>
      <c r="U1352" s="236"/>
      <c r="V1352" s="236"/>
      <c r="W1352" s="236"/>
      <c r="X1352" s="244"/>
      <c r="Y1352" s="244"/>
      <c r="Z1352" s="237"/>
      <c r="AA1352" s="244"/>
      <c r="AB1352" s="244"/>
      <c r="AC1352" s="244"/>
      <c r="AD1352" s="244"/>
      <c r="AE1352" s="234"/>
      <c r="AF1352" s="234"/>
      <c r="AG1352" s="238"/>
      <c r="AH1352" s="239"/>
      <c r="AI1352" s="238"/>
      <c r="AJ1352" s="238"/>
      <c r="AK1352" s="234"/>
      <c r="AL1352" s="234"/>
      <c r="AM1352" s="234"/>
      <c r="AN1352" s="234"/>
      <c r="AO1352" s="234"/>
    </row>
    <row r="1353" ht="15.75" customHeight="1">
      <c r="A1353" s="91"/>
      <c r="B1353" s="91"/>
      <c r="C1353" s="220"/>
      <c r="D1353" s="91"/>
      <c r="E1353" s="221"/>
      <c r="F1353" s="91"/>
      <c r="G1353" s="91"/>
      <c r="H1353" s="242"/>
      <c r="I1353" s="91"/>
      <c r="J1353" s="234"/>
      <c r="K1353" s="243"/>
      <c r="L1353" s="243"/>
      <c r="M1353" s="234"/>
      <c r="N1353" s="235"/>
      <c r="O1353" s="236"/>
      <c r="P1353" s="236"/>
      <c r="Q1353" s="236"/>
      <c r="R1353" s="236"/>
      <c r="S1353" s="236"/>
      <c r="T1353" s="236"/>
      <c r="U1353" s="236"/>
      <c r="V1353" s="236"/>
      <c r="W1353" s="236"/>
      <c r="X1353" s="244"/>
      <c r="Y1353" s="244"/>
      <c r="Z1353" s="237"/>
      <c r="AA1353" s="244"/>
      <c r="AB1353" s="244"/>
      <c r="AC1353" s="244"/>
      <c r="AD1353" s="244"/>
      <c r="AE1353" s="234"/>
      <c r="AF1353" s="234"/>
      <c r="AG1353" s="238"/>
      <c r="AH1353" s="239"/>
      <c r="AI1353" s="238"/>
      <c r="AJ1353" s="238"/>
      <c r="AK1353" s="234"/>
      <c r="AL1353" s="234"/>
      <c r="AM1353" s="234"/>
      <c r="AN1353" s="234"/>
      <c r="AO1353" s="234"/>
    </row>
    <row r="1354" ht="15.75" customHeight="1">
      <c r="A1354" s="91"/>
      <c r="B1354" s="91"/>
      <c r="C1354" s="220"/>
      <c r="D1354" s="91"/>
      <c r="E1354" s="221"/>
      <c r="F1354" s="91"/>
      <c r="G1354" s="91"/>
      <c r="H1354" s="242"/>
      <c r="I1354" s="91"/>
      <c r="J1354" s="234"/>
      <c r="K1354" s="243"/>
      <c r="L1354" s="243"/>
      <c r="M1354" s="234"/>
      <c r="N1354" s="235"/>
      <c r="O1354" s="236"/>
      <c r="P1354" s="236"/>
      <c r="Q1354" s="236"/>
      <c r="R1354" s="236"/>
      <c r="S1354" s="236"/>
      <c r="T1354" s="236"/>
      <c r="U1354" s="236"/>
      <c r="V1354" s="236"/>
      <c r="W1354" s="236"/>
      <c r="X1354" s="244"/>
      <c r="Y1354" s="244"/>
      <c r="Z1354" s="237"/>
      <c r="AA1354" s="244"/>
      <c r="AB1354" s="244"/>
      <c r="AC1354" s="244"/>
      <c r="AD1354" s="244"/>
      <c r="AE1354" s="234"/>
      <c r="AF1354" s="234"/>
      <c r="AG1354" s="238"/>
      <c r="AH1354" s="239"/>
      <c r="AI1354" s="238"/>
      <c r="AJ1354" s="238"/>
      <c r="AK1354" s="234"/>
      <c r="AL1354" s="234"/>
      <c r="AM1354" s="234"/>
      <c r="AN1354" s="234"/>
      <c r="AO1354" s="234"/>
    </row>
    <row r="1355" ht="15.75" customHeight="1">
      <c r="A1355" s="91"/>
      <c r="B1355" s="91"/>
      <c r="C1355" s="220"/>
      <c r="D1355" s="91"/>
      <c r="E1355" s="221"/>
      <c r="F1355" s="91"/>
      <c r="G1355" s="91"/>
      <c r="H1355" s="242"/>
      <c r="I1355" s="91"/>
      <c r="J1355" s="234"/>
      <c r="K1355" s="243"/>
      <c r="L1355" s="243"/>
      <c r="M1355" s="234"/>
      <c r="N1355" s="235"/>
      <c r="O1355" s="236"/>
      <c r="P1355" s="236"/>
      <c r="Q1355" s="236"/>
      <c r="R1355" s="236"/>
      <c r="S1355" s="236"/>
      <c r="T1355" s="236"/>
      <c r="U1355" s="236"/>
      <c r="V1355" s="236"/>
      <c r="W1355" s="236"/>
      <c r="X1355" s="244"/>
      <c r="Y1355" s="244"/>
      <c r="Z1355" s="237"/>
      <c r="AA1355" s="244"/>
      <c r="AB1355" s="244"/>
      <c r="AC1355" s="244"/>
      <c r="AD1355" s="244"/>
      <c r="AE1355" s="234"/>
      <c r="AF1355" s="234"/>
      <c r="AG1355" s="238"/>
      <c r="AH1355" s="239"/>
      <c r="AI1355" s="238"/>
      <c r="AJ1355" s="238"/>
      <c r="AK1355" s="234"/>
      <c r="AL1355" s="234"/>
      <c r="AM1355" s="234"/>
      <c r="AN1355" s="234"/>
      <c r="AO1355" s="234"/>
    </row>
    <row r="1356" ht="15.75" customHeight="1">
      <c r="A1356" s="91"/>
      <c r="B1356" s="91"/>
      <c r="C1356" s="220"/>
      <c r="D1356" s="91"/>
      <c r="E1356" s="221"/>
      <c r="F1356" s="91"/>
      <c r="G1356" s="91"/>
      <c r="H1356" s="242"/>
      <c r="I1356" s="91"/>
      <c r="J1356" s="234"/>
      <c r="K1356" s="243"/>
      <c r="L1356" s="243"/>
      <c r="M1356" s="234"/>
      <c r="N1356" s="235"/>
      <c r="O1356" s="236"/>
      <c r="P1356" s="236"/>
      <c r="Q1356" s="236"/>
      <c r="R1356" s="236"/>
      <c r="S1356" s="236"/>
      <c r="T1356" s="236"/>
      <c r="U1356" s="236"/>
      <c r="V1356" s="236"/>
      <c r="W1356" s="236"/>
      <c r="X1356" s="244"/>
      <c r="Y1356" s="244"/>
      <c r="Z1356" s="237"/>
      <c r="AA1356" s="244"/>
      <c r="AB1356" s="244"/>
      <c r="AC1356" s="244"/>
      <c r="AD1356" s="244"/>
      <c r="AE1356" s="234"/>
      <c r="AF1356" s="234"/>
      <c r="AG1356" s="238"/>
      <c r="AH1356" s="239"/>
      <c r="AI1356" s="238"/>
      <c r="AJ1356" s="238"/>
      <c r="AK1356" s="234"/>
      <c r="AL1356" s="234"/>
      <c r="AM1356" s="234"/>
      <c r="AN1356" s="234"/>
      <c r="AO1356" s="234"/>
    </row>
    <row r="1357" ht="15.75" customHeight="1">
      <c r="A1357" s="91"/>
      <c r="B1357" s="91"/>
      <c r="C1357" s="220"/>
      <c r="D1357" s="91"/>
      <c r="E1357" s="221"/>
      <c r="F1357" s="91"/>
      <c r="G1357" s="91"/>
      <c r="H1357" s="242"/>
      <c r="I1357" s="91"/>
      <c r="J1357" s="234"/>
      <c r="K1357" s="243"/>
      <c r="L1357" s="243"/>
      <c r="M1357" s="234"/>
      <c r="N1357" s="235"/>
      <c r="O1357" s="236"/>
      <c r="P1357" s="236"/>
      <c r="Q1357" s="236"/>
      <c r="R1357" s="236"/>
      <c r="S1357" s="236"/>
      <c r="T1357" s="236"/>
      <c r="U1357" s="236"/>
      <c r="V1357" s="236"/>
      <c r="W1357" s="236"/>
      <c r="X1357" s="244"/>
      <c r="Y1357" s="244"/>
      <c r="Z1357" s="237"/>
      <c r="AA1357" s="244"/>
      <c r="AB1357" s="244"/>
      <c r="AC1357" s="244"/>
      <c r="AD1357" s="244"/>
      <c r="AE1357" s="234"/>
      <c r="AF1357" s="234"/>
      <c r="AG1357" s="238"/>
      <c r="AH1357" s="239"/>
      <c r="AI1357" s="238"/>
      <c r="AJ1357" s="238"/>
      <c r="AK1357" s="234"/>
      <c r="AL1357" s="234"/>
      <c r="AM1357" s="234"/>
      <c r="AN1357" s="234"/>
      <c r="AO1357" s="234"/>
    </row>
    <row r="1358" ht="15.75" customHeight="1">
      <c r="A1358" s="91"/>
      <c r="B1358" s="91"/>
      <c r="C1358" s="220"/>
      <c r="D1358" s="91"/>
      <c r="E1358" s="221"/>
      <c r="F1358" s="91"/>
      <c r="G1358" s="91"/>
      <c r="H1358" s="242"/>
      <c r="I1358" s="91"/>
      <c r="J1358" s="234"/>
      <c r="K1358" s="243"/>
      <c r="L1358" s="243"/>
      <c r="M1358" s="234"/>
      <c r="N1358" s="235"/>
      <c r="O1358" s="236"/>
      <c r="P1358" s="236"/>
      <c r="Q1358" s="236"/>
      <c r="R1358" s="236"/>
      <c r="S1358" s="236"/>
      <c r="T1358" s="236"/>
      <c r="U1358" s="236"/>
      <c r="V1358" s="236"/>
      <c r="W1358" s="236"/>
      <c r="X1358" s="244"/>
      <c r="Y1358" s="244"/>
      <c r="Z1358" s="237"/>
      <c r="AA1358" s="244"/>
      <c r="AB1358" s="244"/>
      <c r="AC1358" s="244"/>
      <c r="AD1358" s="244"/>
      <c r="AE1358" s="234"/>
      <c r="AF1358" s="234"/>
      <c r="AG1358" s="238"/>
      <c r="AH1358" s="239"/>
      <c r="AI1358" s="238"/>
      <c r="AJ1358" s="238"/>
      <c r="AK1358" s="234"/>
      <c r="AL1358" s="234"/>
      <c r="AM1358" s="234"/>
      <c r="AN1358" s="234"/>
      <c r="AO1358" s="234"/>
    </row>
    <row r="1359" ht="15.75" customHeight="1">
      <c r="A1359" s="91"/>
      <c r="B1359" s="91"/>
      <c r="C1359" s="220"/>
      <c r="D1359" s="91"/>
      <c r="E1359" s="221"/>
      <c r="F1359" s="91"/>
      <c r="G1359" s="91"/>
      <c r="H1359" s="242"/>
      <c r="I1359" s="91"/>
      <c r="J1359" s="234"/>
      <c r="K1359" s="243"/>
      <c r="L1359" s="243"/>
      <c r="M1359" s="234"/>
      <c r="N1359" s="235"/>
      <c r="O1359" s="236"/>
      <c r="P1359" s="236"/>
      <c r="Q1359" s="236"/>
      <c r="R1359" s="236"/>
      <c r="S1359" s="236"/>
      <c r="T1359" s="236"/>
      <c r="U1359" s="236"/>
      <c r="V1359" s="236"/>
      <c r="W1359" s="236"/>
      <c r="X1359" s="244"/>
      <c r="Y1359" s="244"/>
      <c r="Z1359" s="237"/>
      <c r="AA1359" s="244"/>
      <c r="AB1359" s="244"/>
      <c r="AC1359" s="244"/>
      <c r="AD1359" s="244"/>
      <c r="AE1359" s="234"/>
      <c r="AF1359" s="234"/>
      <c r="AG1359" s="238"/>
      <c r="AH1359" s="239"/>
      <c r="AI1359" s="238"/>
      <c r="AJ1359" s="238"/>
      <c r="AK1359" s="234"/>
      <c r="AL1359" s="234"/>
      <c r="AM1359" s="234"/>
      <c r="AN1359" s="234"/>
      <c r="AO1359" s="234"/>
    </row>
    <row r="1360" ht="15.75" customHeight="1">
      <c r="A1360" s="91"/>
      <c r="B1360" s="91"/>
      <c r="C1360" s="220"/>
      <c r="D1360" s="91"/>
      <c r="E1360" s="221"/>
      <c r="F1360" s="91"/>
      <c r="G1360" s="91"/>
      <c r="H1360" s="242"/>
      <c r="I1360" s="91"/>
      <c r="J1360" s="234"/>
      <c r="K1360" s="243"/>
      <c r="L1360" s="243"/>
      <c r="M1360" s="234"/>
      <c r="N1360" s="235"/>
      <c r="O1360" s="236"/>
      <c r="P1360" s="236"/>
      <c r="Q1360" s="236"/>
      <c r="R1360" s="236"/>
      <c r="S1360" s="236"/>
      <c r="T1360" s="236"/>
      <c r="U1360" s="236"/>
      <c r="V1360" s="236"/>
      <c r="W1360" s="236"/>
      <c r="X1360" s="244"/>
      <c r="Y1360" s="244"/>
      <c r="Z1360" s="237"/>
      <c r="AA1360" s="244"/>
      <c r="AB1360" s="244"/>
      <c r="AC1360" s="244"/>
      <c r="AD1360" s="244"/>
      <c r="AE1360" s="234"/>
      <c r="AF1360" s="234"/>
      <c r="AG1360" s="238"/>
      <c r="AH1360" s="239"/>
      <c r="AI1360" s="238"/>
      <c r="AJ1360" s="238"/>
      <c r="AK1360" s="234"/>
      <c r="AL1360" s="234"/>
      <c r="AM1360" s="234"/>
      <c r="AN1360" s="234"/>
      <c r="AO1360" s="234"/>
    </row>
    <row r="1361" ht="15.75" customHeight="1">
      <c r="A1361" s="91"/>
      <c r="B1361" s="91"/>
      <c r="C1361" s="220"/>
      <c r="D1361" s="91"/>
      <c r="E1361" s="221"/>
      <c r="F1361" s="91"/>
      <c r="G1361" s="91"/>
      <c r="H1361" s="242"/>
      <c r="I1361" s="91"/>
      <c r="J1361" s="234"/>
      <c r="K1361" s="243"/>
      <c r="L1361" s="243"/>
      <c r="M1361" s="234"/>
      <c r="N1361" s="235"/>
      <c r="O1361" s="236"/>
      <c r="P1361" s="236"/>
      <c r="Q1361" s="236"/>
      <c r="R1361" s="236"/>
      <c r="S1361" s="236"/>
      <c r="T1361" s="236"/>
      <c r="U1361" s="236"/>
      <c r="V1361" s="236"/>
      <c r="W1361" s="236"/>
      <c r="X1361" s="244"/>
      <c r="Y1361" s="244"/>
      <c r="Z1361" s="237"/>
      <c r="AA1361" s="244"/>
      <c r="AB1361" s="244"/>
      <c r="AC1361" s="244"/>
      <c r="AD1361" s="244"/>
      <c r="AE1361" s="234"/>
      <c r="AF1361" s="234"/>
      <c r="AG1361" s="238"/>
      <c r="AH1361" s="239"/>
      <c r="AI1361" s="238"/>
      <c r="AJ1361" s="238"/>
      <c r="AK1361" s="234"/>
      <c r="AL1361" s="234"/>
      <c r="AM1361" s="234"/>
      <c r="AN1361" s="234"/>
      <c r="AO1361" s="234"/>
    </row>
    <row r="1362" ht="15.75" customHeight="1">
      <c r="A1362" s="91"/>
      <c r="B1362" s="91"/>
      <c r="C1362" s="220"/>
      <c r="D1362" s="91"/>
      <c r="E1362" s="221"/>
      <c r="F1362" s="91"/>
      <c r="G1362" s="91"/>
      <c r="H1362" s="242"/>
      <c r="I1362" s="91"/>
      <c r="J1362" s="234"/>
      <c r="K1362" s="243"/>
      <c r="L1362" s="243"/>
      <c r="M1362" s="234"/>
      <c r="N1362" s="235"/>
      <c r="O1362" s="236"/>
      <c r="P1362" s="236"/>
      <c r="Q1362" s="236"/>
      <c r="R1362" s="236"/>
      <c r="S1362" s="236"/>
      <c r="T1362" s="236"/>
      <c r="U1362" s="236"/>
      <c r="V1362" s="236"/>
      <c r="W1362" s="236"/>
      <c r="X1362" s="244"/>
      <c r="Y1362" s="244"/>
      <c r="Z1362" s="237"/>
      <c r="AA1362" s="244"/>
      <c r="AB1362" s="244"/>
      <c r="AC1362" s="244"/>
      <c r="AD1362" s="244"/>
      <c r="AE1362" s="234"/>
      <c r="AF1362" s="234"/>
      <c r="AG1362" s="238"/>
      <c r="AH1362" s="239"/>
      <c r="AI1362" s="238"/>
      <c r="AJ1362" s="238"/>
      <c r="AK1362" s="234"/>
      <c r="AL1362" s="234"/>
      <c r="AM1362" s="234"/>
      <c r="AN1362" s="234"/>
      <c r="AO1362" s="234"/>
    </row>
    <row r="1363" ht="15.75" customHeight="1">
      <c r="A1363" s="91"/>
      <c r="B1363" s="91"/>
      <c r="C1363" s="220"/>
      <c r="D1363" s="91"/>
      <c r="E1363" s="221"/>
      <c r="F1363" s="91"/>
      <c r="G1363" s="91"/>
      <c r="H1363" s="242"/>
      <c r="I1363" s="91"/>
      <c r="J1363" s="234"/>
      <c r="K1363" s="243"/>
      <c r="L1363" s="243"/>
      <c r="M1363" s="234"/>
      <c r="N1363" s="235"/>
      <c r="O1363" s="236"/>
      <c r="P1363" s="236"/>
      <c r="Q1363" s="236"/>
      <c r="R1363" s="236"/>
      <c r="S1363" s="236"/>
      <c r="T1363" s="236"/>
      <c r="U1363" s="236"/>
      <c r="V1363" s="236"/>
      <c r="W1363" s="236"/>
      <c r="X1363" s="244"/>
      <c r="Y1363" s="244"/>
      <c r="Z1363" s="237"/>
      <c r="AA1363" s="244"/>
      <c r="AB1363" s="244"/>
      <c r="AC1363" s="244"/>
      <c r="AD1363" s="244"/>
      <c r="AE1363" s="234"/>
      <c r="AF1363" s="234"/>
      <c r="AG1363" s="238"/>
      <c r="AH1363" s="239"/>
      <c r="AI1363" s="238"/>
      <c r="AJ1363" s="238"/>
      <c r="AK1363" s="234"/>
      <c r="AL1363" s="234"/>
      <c r="AM1363" s="234"/>
      <c r="AN1363" s="234"/>
      <c r="AO1363" s="234"/>
    </row>
    <row r="1364" ht="15.75" customHeight="1">
      <c r="A1364" s="91"/>
      <c r="B1364" s="91"/>
      <c r="C1364" s="220"/>
      <c r="D1364" s="91"/>
      <c r="E1364" s="221"/>
      <c r="F1364" s="91"/>
      <c r="G1364" s="91"/>
      <c r="H1364" s="242"/>
      <c r="I1364" s="91"/>
      <c r="J1364" s="234"/>
      <c r="K1364" s="243"/>
      <c r="L1364" s="243"/>
      <c r="M1364" s="234"/>
      <c r="N1364" s="235"/>
      <c r="O1364" s="236"/>
      <c r="P1364" s="236"/>
      <c r="Q1364" s="236"/>
      <c r="R1364" s="236"/>
      <c r="S1364" s="236"/>
      <c r="T1364" s="236"/>
      <c r="U1364" s="236"/>
      <c r="V1364" s="236"/>
      <c r="W1364" s="236"/>
      <c r="X1364" s="244"/>
      <c r="Y1364" s="244"/>
      <c r="Z1364" s="237"/>
      <c r="AA1364" s="244"/>
      <c r="AB1364" s="244"/>
      <c r="AC1364" s="244"/>
      <c r="AD1364" s="244"/>
      <c r="AE1364" s="234"/>
      <c r="AF1364" s="234"/>
      <c r="AG1364" s="238"/>
      <c r="AH1364" s="239"/>
      <c r="AI1364" s="238"/>
      <c r="AJ1364" s="238"/>
      <c r="AK1364" s="234"/>
      <c r="AL1364" s="234"/>
      <c r="AM1364" s="234"/>
      <c r="AN1364" s="234"/>
      <c r="AO1364" s="234"/>
    </row>
    <row r="1365" ht="15.75" customHeight="1">
      <c r="A1365" s="91"/>
      <c r="B1365" s="91"/>
      <c r="C1365" s="220"/>
      <c r="D1365" s="91"/>
      <c r="E1365" s="221"/>
      <c r="F1365" s="91"/>
      <c r="G1365" s="91"/>
      <c r="H1365" s="242"/>
      <c r="I1365" s="91"/>
      <c r="J1365" s="234"/>
      <c r="K1365" s="243"/>
      <c r="L1365" s="243"/>
      <c r="M1365" s="234"/>
      <c r="N1365" s="235"/>
      <c r="O1365" s="236"/>
      <c r="P1365" s="236"/>
      <c r="Q1365" s="236"/>
      <c r="R1365" s="236"/>
      <c r="S1365" s="236"/>
      <c r="T1365" s="236"/>
      <c r="U1365" s="236"/>
      <c r="V1365" s="236"/>
      <c r="W1365" s="236"/>
      <c r="X1365" s="244"/>
      <c r="Y1365" s="244"/>
      <c r="Z1365" s="237"/>
      <c r="AA1365" s="244"/>
      <c r="AB1365" s="244"/>
      <c r="AC1365" s="244"/>
      <c r="AD1365" s="244"/>
      <c r="AE1365" s="234"/>
      <c r="AF1365" s="234"/>
      <c r="AG1365" s="238"/>
      <c r="AH1365" s="239"/>
      <c r="AI1365" s="238"/>
      <c r="AJ1365" s="238"/>
      <c r="AK1365" s="234"/>
      <c r="AL1365" s="234"/>
      <c r="AM1365" s="234"/>
      <c r="AN1365" s="234"/>
      <c r="AO1365" s="234"/>
    </row>
    <row r="1366" ht="15.75" customHeight="1">
      <c r="A1366" s="91"/>
      <c r="B1366" s="91"/>
      <c r="C1366" s="220"/>
      <c r="D1366" s="91"/>
      <c r="E1366" s="221"/>
      <c r="F1366" s="91"/>
      <c r="G1366" s="91"/>
      <c r="H1366" s="242"/>
      <c r="I1366" s="91"/>
      <c r="J1366" s="234"/>
      <c r="K1366" s="243"/>
      <c r="L1366" s="243"/>
      <c r="M1366" s="234"/>
      <c r="N1366" s="235"/>
      <c r="O1366" s="236"/>
      <c r="P1366" s="236"/>
      <c r="Q1366" s="236"/>
      <c r="R1366" s="236"/>
      <c r="S1366" s="236"/>
      <c r="T1366" s="236"/>
      <c r="U1366" s="236"/>
      <c r="V1366" s="236"/>
      <c r="W1366" s="236"/>
      <c r="X1366" s="244"/>
      <c r="Y1366" s="244"/>
      <c r="Z1366" s="237"/>
      <c r="AA1366" s="244"/>
      <c r="AB1366" s="244"/>
      <c r="AC1366" s="244"/>
      <c r="AD1366" s="244"/>
      <c r="AE1366" s="234"/>
      <c r="AF1366" s="234"/>
      <c r="AG1366" s="238"/>
      <c r="AH1366" s="239"/>
      <c r="AI1366" s="238"/>
      <c r="AJ1366" s="238"/>
      <c r="AK1366" s="234"/>
      <c r="AL1366" s="234"/>
      <c r="AM1366" s="234"/>
      <c r="AN1366" s="234"/>
      <c r="AO1366" s="234"/>
    </row>
    <row r="1367" ht="15.75" customHeight="1">
      <c r="A1367" s="91"/>
      <c r="B1367" s="91"/>
      <c r="C1367" s="220"/>
      <c r="D1367" s="91"/>
      <c r="E1367" s="221"/>
      <c r="F1367" s="91"/>
      <c r="G1367" s="91"/>
      <c r="H1367" s="242"/>
      <c r="I1367" s="91"/>
      <c r="J1367" s="234"/>
      <c r="K1367" s="243"/>
      <c r="L1367" s="243"/>
      <c r="M1367" s="234"/>
      <c r="N1367" s="235"/>
      <c r="O1367" s="236"/>
      <c r="P1367" s="236"/>
      <c r="Q1367" s="236"/>
      <c r="R1367" s="236"/>
      <c r="S1367" s="236"/>
      <c r="T1367" s="236"/>
      <c r="U1367" s="236"/>
      <c r="V1367" s="236"/>
      <c r="W1367" s="236"/>
      <c r="X1367" s="244"/>
      <c r="Y1367" s="244"/>
      <c r="Z1367" s="237"/>
      <c r="AA1367" s="244"/>
      <c r="AB1367" s="244"/>
      <c r="AC1367" s="244"/>
      <c r="AD1367" s="244"/>
      <c r="AE1367" s="234"/>
      <c r="AF1367" s="234"/>
      <c r="AG1367" s="238"/>
      <c r="AH1367" s="239"/>
      <c r="AI1367" s="238"/>
      <c r="AJ1367" s="238"/>
      <c r="AK1367" s="234"/>
      <c r="AL1367" s="234"/>
      <c r="AM1367" s="234"/>
      <c r="AN1367" s="234"/>
      <c r="AO1367" s="234"/>
    </row>
    <row r="1368" ht="15.75" customHeight="1">
      <c r="A1368" s="91"/>
      <c r="B1368" s="91"/>
      <c r="C1368" s="220"/>
      <c r="D1368" s="91"/>
      <c r="E1368" s="221"/>
      <c r="F1368" s="91"/>
      <c r="G1368" s="91"/>
      <c r="H1368" s="242"/>
      <c r="I1368" s="91"/>
      <c r="J1368" s="234"/>
      <c r="K1368" s="243"/>
      <c r="L1368" s="243"/>
      <c r="M1368" s="234"/>
      <c r="N1368" s="235"/>
      <c r="O1368" s="236"/>
      <c r="P1368" s="236"/>
      <c r="Q1368" s="236"/>
      <c r="R1368" s="236"/>
      <c r="S1368" s="236"/>
      <c r="T1368" s="236"/>
      <c r="U1368" s="236"/>
      <c r="V1368" s="236"/>
      <c r="W1368" s="236"/>
      <c r="X1368" s="244"/>
      <c r="Y1368" s="244"/>
      <c r="Z1368" s="237"/>
      <c r="AA1368" s="244"/>
      <c r="AB1368" s="244"/>
      <c r="AC1368" s="244"/>
      <c r="AD1368" s="244"/>
      <c r="AE1368" s="234"/>
      <c r="AF1368" s="234"/>
      <c r="AG1368" s="238"/>
      <c r="AH1368" s="239"/>
      <c r="AI1368" s="238"/>
      <c r="AJ1368" s="238"/>
      <c r="AK1368" s="234"/>
      <c r="AL1368" s="234"/>
      <c r="AM1368" s="234"/>
      <c r="AN1368" s="234"/>
      <c r="AO1368" s="234"/>
    </row>
    <row r="1369" ht="15.75" customHeight="1">
      <c r="A1369" s="91"/>
      <c r="B1369" s="91"/>
      <c r="C1369" s="220"/>
      <c r="D1369" s="91"/>
      <c r="E1369" s="221"/>
      <c r="F1369" s="91"/>
      <c r="G1369" s="91"/>
      <c r="H1369" s="242"/>
      <c r="I1369" s="91"/>
      <c r="J1369" s="234"/>
      <c r="K1369" s="243"/>
      <c r="L1369" s="243"/>
      <c r="M1369" s="234"/>
      <c r="N1369" s="235"/>
      <c r="O1369" s="236"/>
      <c r="P1369" s="236"/>
      <c r="Q1369" s="236"/>
      <c r="R1369" s="236"/>
      <c r="S1369" s="236"/>
      <c r="T1369" s="236"/>
      <c r="U1369" s="236"/>
      <c r="V1369" s="236"/>
      <c r="W1369" s="236"/>
      <c r="X1369" s="244"/>
      <c r="Y1369" s="244"/>
      <c r="Z1369" s="237"/>
      <c r="AA1369" s="244"/>
      <c r="AB1369" s="244"/>
      <c r="AC1369" s="244"/>
      <c r="AD1369" s="244"/>
      <c r="AE1369" s="234"/>
      <c r="AF1369" s="234"/>
      <c r="AG1369" s="238"/>
      <c r="AH1369" s="239"/>
      <c r="AI1369" s="238"/>
      <c r="AJ1369" s="238"/>
      <c r="AK1369" s="234"/>
      <c r="AL1369" s="234"/>
      <c r="AM1369" s="234"/>
      <c r="AN1369" s="234"/>
      <c r="AO1369" s="234"/>
    </row>
    <row r="1370" ht="15.75" customHeight="1">
      <c r="A1370" s="91"/>
      <c r="B1370" s="91"/>
      <c r="C1370" s="220"/>
      <c r="D1370" s="91"/>
      <c r="E1370" s="221"/>
      <c r="F1370" s="91"/>
      <c r="G1370" s="91"/>
      <c r="H1370" s="242"/>
      <c r="I1370" s="91"/>
      <c r="J1370" s="234"/>
      <c r="K1370" s="243"/>
      <c r="L1370" s="243"/>
      <c r="M1370" s="234"/>
      <c r="N1370" s="235"/>
      <c r="O1370" s="236"/>
      <c r="P1370" s="236"/>
      <c r="Q1370" s="236"/>
      <c r="R1370" s="236"/>
      <c r="S1370" s="236"/>
      <c r="T1370" s="236"/>
      <c r="U1370" s="236"/>
      <c r="V1370" s="236"/>
      <c r="W1370" s="236"/>
      <c r="X1370" s="244"/>
      <c r="Y1370" s="244"/>
      <c r="Z1370" s="237"/>
      <c r="AA1370" s="244"/>
      <c r="AB1370" s="244"/>
      <c r="AC1370" s="244"/>
      <c r="AD1370" s="244"/>
      <c r="AE1370" s="234"/>
      <c r="AF1370" s="234"/>
      <c r="AG1370" s="238"/>
      <c r="AH1370" s="239"/>
      <c r="AI1370" s="238"/>
      <c r="AJ1370" s="238"/>
      <c r="AK1370" s="234"/>
      <c r="AL1370" s="234"/>
      <c r="AM1370" s="234"/>
      <c r="AN1370" s="234"/>
      <c r="AO1370" s="234"/>
    </row>
    <row r="1371" ht="15.75" customHeight="1">
      <c r="A1371" s="91"/>
      <c r="B1371" s="91"/>
      <c r="C1371" s="220"/>
      <c r="D1371" s="91"/>
      <c r="E1371" s="221"/>
      <c r="F1371" s="91"/>
      <c r="G1371" s="91"/>
      <c r="H1371" s="242"/>
      <c r="I1371" s="91"/>
      <c r="J1371" s="234"/>
      <c r="K1371" s="243"/>
      <c r="L1371" s="243"/>
      <c r="M1371" s="234"/>
      <c r="N1371" s="235"/>
      <c r="O1371" s="236"/>
      <c r="P1371" s="236"/>
      <c r="Q1371" s="236"/>
      <c r="R1371" s="236"/>
      <c r="S1371" s="236"/>
      <c r="T1371" s="236"/>
      <c r="U1371" s="236"/>
      <c r="V1371" s="236"/>
      <c r="W1371" s="236"/>
      <c r="X1371" s="244"/>
      <c r="Y1371" s="244"/>
      <c r="Z1371" s="237"/>
      <c r="AA1371" s="244"/>
      <c r="AB1371" s="244"/>
      <c r="AC1371" s="244"/>
      <c r="AD1371" s="244"/>
      <c r="AE1371" s="234"/>
      <c r="AF1371" s="234"/>
      <c r="AG1371" s="238"/>
      <c r="AH1371" s="239"/>
      <c r="AI1371" s="238"/>
      <c r="AJ1371" s="238"/>
      <c r="AK1371" s="234"/>
      <c r="AL1371" s="234"/>
      <c r="AM1371" s="234"/>
      <c r="AN1371" s="234"/>
      <c r="AO1371" s="234"/>
    </row>
    <row r="1372" ht="15.75" customHeight="1">
      <c r="A1372" s="91"/>
      <c r="B1372" s="91"/>
      <c r="C1372" s="220"/>
      <c r="D1372" s="91"/>
      <c r="E1372" s="221"/>
      <c r="F1372" s="91"/>
      <c r="G1372" s="91"/>
      <c r="H1372" s="242"/>
      <c r="I1372" s="91"/>
      <c r="J1372" s="234"/>
      <c r="K1372" s="243"/>
      <c r="L1372" s="243"/>
      <c r="M1372" s="234"/>
      <c r="N1372" s="235"/>
      <c r="O1372" s="236"/>
      <c r="P1372" s="236"/>
      <c r="Q1372" s="236"/>
      <c r="R1372" s="236"/>
      <c r="S1372" s="236"/>
      <c r="T1372" s="236"/>
      <c r="U1372" s="236"/>
      <c r="V1372" s="236"/>
      <c r="W1372" s="236"/>
      <c r="X1372" s="244"/>
      <c r="Y1372" s="244"/>
      <c r="Z1372" s="237"/>
      <c r="AA1372" s="244"/>
      <c r="AB1372" s="244"/>
      <c r="AC1372" s="244"/>
      <c r="AD1372" s="244"/>
      <c r="AE1372" s="234"/>
      <c r="AF1372" s="234"/>
      <c r="AG1372" s="238"/>
      <c r="AH1372" s="239"/>
      <c r="AI1372" s="238"/>
      <c r="AJ1372" s="238"/>
      <c r="AK1372" s="234"/>
      <c r="AL1372" s="234"/>
      <c r="AM1372" s="234"/>
      <c r="AN1372" s="234"/>
      <c r="AO1372" s="234"/>
    </row>
    <row r="1373" ht="15.75" customHeight="1">
      <c r="A1373" s="91"/>
      <c r="B1373" s="91"/>
      <c r="C1373" s="220"/>
      <c r="D1373" s="91"/>
      <c r="E1373" s="221"/>
      <c r="F1373" s="91"/>
      <c r="G1373" s="91"/>
      <c r="H1373" s="242"/>
      <c r="I1373" s="91"/>
      <c r="J1373" s="234"/>
      <c r="K1373" s="243"/>
      <c r="L1373" s="243"/>
      <c r="M1373" s="234"/>
      <c r="N1373" s="235"/>
      <c r="O1373" s="236"/>
      <c r="P1373" s="236"/>
      <c r="Q1373" s="236"/>
      <c r="R1373" s="236"/>
      <c r="S1373" s="236"/>
      <c r="T1373" s="236"/>
      <c r="U1373" s="236"/>
      <c r="V1373" s="236"/>
      <c r="W1373" s="236"/>
      <c r="X1373" s="244"/>
      <c r="Y1373" s="244"/>
      <c r="Z1373" s="237"/>
      <c r="AA1373" s="244"/>
      <c r="AB1373" s="244"/>
      <c r="AC1373" s="244"/>
      <c r="AD1373" s="244"/>
      <c r="AE1373" s="234"/>
      <c r="AF1373" s="234"/>
      <c r="AG1373" s="238"/>
      <c r="AH1373" s="239"/>
      <c r="AI1373" s="238"/>
      <c r="AJ1373" s="238"/>
      <c r="AK1373" s="234"/>
      <c r="AL1373" s="234"/>
      <c r="AM1373" s="234"/>
      <c r="AN1373" s="234"/>
      <c r="AO1373" s="234"/>
    </row>
    <row r="1374" ht="15.75" customHeight="1">
      <c r="A1374" s="91"/>
      <c r="B1374" s="91"/>
      <c r="C1374" s="220"/>
      <c r="D1374" s="91"/>
      <c r="E1374" s="221"/>
      <c r="F1374" s="91"/>
      <c r="G1374" s="91"/>
      <c r="H1374" s="242"/>
      <c r="I1374" s="91"/>
      <c r="J1374" s="234"/>
      <c r="K1374" s="243"/>
      <c r="L1374" s="243"/>
      <c r="M1374" s="234"/>
      <c r="N1374" s="235"/>
      <c r="O1374" s="236"/>
      <c r="P1374" s="236"/>
      <c r="Q1374" s="236"/>
      <c r="R1374" s="236"/>
      <c r="S1374" s="236"/>
      <c r="T1374" s="236"/>
      <c r="U1374" s="236"/>
      <c r="V1374" s="236"/>
      <c r="W1374" s="236"/>
      <c r="X1374" s="244"/>
      <c r="Y1374" s="244"/>
      <c r="Z1374" s="237"/>
      <c r="AA1374" s="244"/>
      <c r="AB1374" s="244"/>
      <c r="AC1374" s="244"/>
      <c r="AD1374" s="244"/>
      <c r="AE1374" s="234"/>
      <c r="AF1374" s="234"/>
      <c r="AG1374" s="238"/>
      <c r="AH1374" s="239"/>
      <c r="AI1374" s="238"/>
      <c r="AJ1374" s="238"/>
      <c r="AK1374" s="234"/>
      <c r="AL1374" s="234"/>
      <c r="AM1374" s="234"/>
      <c r="AN1374" s="234"/>
      <c r="AO1374" s="234"/>
    </row>
    <row r="1375" ht="15.75" customHeight="1">
      <c r="A1375" s="91"/>
      <c r="B1375" s="91"/>
      <c r="C1375" s="220"/>
      <c r="D1375" s="91"/>
      <c r="E1375" s="221"/>
      <c r="F1375" s="91"/>
      <c r="G1375" s="91"/>
      <c r="H1375" s="242"/>
      <c r="I1375" s="91"/>
      <c r="J1375" s="234"/>
      <c r="K1375" s="243"/>
      <c r="L1375" s="243"/>
      <c r="M1375" s="234"/>
      <c r="N1375" s="235"/>
      <c r="O1375" s="236"/>
      <c r="P1375" s="236"/>
      <c r="Q1375" s="236"/>
      <c r="R1375" s="236"/>
      <c r="S1375" s="236"/>
      <c r="T1375" s="236"/>
      <c r="U1375" s="236"/>
      <c r="V1375" s="236"/>
      <c r="W1375" s="236"/>
      <c r="X1375" s="244"/>
      <c r="Y1375" s="244"/>
      <c r="Z1375" s="237"/>
      <c r="AA1375" s="244"/>
      <c r="AB1375" s="244"/>
      <c r="AC1375" s="244"/>
      <c r="AD1375" s="244"/>
      <c r="AE1375" s="234"/>
      <c r="AF1375" s="234"/>
      <c r="AG1375" s="238"/>
      <c r="AH1375" s="239"/>
      <c r="AI1375" s="238"/>
      <c r="AJ1375" s="238"/>
      <c r="AK1375" s="234"/>
      <c r="AL1375" s="234"/>
      <c r="AM1375" s="234"/>
      <c r="AN1375" s="234"/>
      <c r="AO1375" s="234"/>
    </row>
    <row r="1376" ht="15.75" customHeight="1">
      <c r="A1376" s="91"/>
      <c r="B1376" s="91"/>
      <c r="C1376" s="220"/>
      <c r="D1376" s="91"/>
      <c r="E1376" s="221"/>
      <c r="F1376" s="91"/>
      <c r="G1376" s="91"/>
      <c r="H1376" s="242"/>
      <c r="I1376" s="91"/>
      <c r="J1376" s="234"/>
      <c r="K1376" s="243"/>
      <c r="L1376" s="243"/>
      <c r="M1376" s="234"/>
      <c r="N1376" s="235"/>
      <c r="O1376" s="236"/>
      <c r="P1376" s="236"/>
      <c r="Q1376" s="236"/>
      <c r="R1376" s="236"/>
      <c r="S1376" s="236"/>
      <c r="T1376" s="236"/>
      <c r="U1376" s="236"/>
      <c r="V1376" s="236"/>
      <c r="W1376" s="236"/>
      <c r="X1376" s="244"/>
      <c r="Y1376" s="244"/>
      <c r="Z1376" s="237"/>
      <c r="AA1376" s="244"/>
      <c r="AB1376" s="244"/>
      <c r="AC1376" s="244"/>
      <c r="AD1376" s="244"/>
      <c r="AE1376" s="234"/>
      <c r="AF1376" s="234"/>
      <c r="AG1376" s="238"/>
      <c r="AH1376" s="239"/>
      <c r="AI1376" s="238"/>
      <c r="AJ1376" s="238"/>
      <c r="AK1376" s="234"/>
      <c r="AL1376" s="234"/>
      <c r="AM1376" s="234"/>
      <c r="AN1376" s="234"/>
      <c r="AO1376" s="234"/>
    </row>
    <row r="1377" ht="15.75" customHeight="1">
      <c r="A1377" s="91"/>
      <c r="B1377" s="91"/>
      <c r="C1377" s="220"/>
      <c r="D1377" s="91"/>
      <c r="E1377" s="221"/>
      <c r="F1377" s="91"/>
      <c r="G1377" s="91"/>
      <c r="H1377" s="242"/>
      <c r="I1377" s="91"/>
      <c r="J1377" s="234"/>
      <c r="K1377" s="243"/>
      <c r="L1377" s="243"/>
      <c r="M1377" s="234"/>
      <c r="N1377" s="235"/>
      <c r="O1377" s="236"/>
      <c r="P1377" s="236"/>
      <c r="Q1377" s="236"/>
      <c r="R1377" s="236"/>
      <c r="S1377" s="236"/>
      <c r="T1377" s="236"/>
      <c r="U1377" s="236"/>
      <c r="V1377" s="236"/>
      <c r="W1377" s="236"/>
      <c r="X1377" s="244"/>
      <c r="Y1377" s="244"/>
      <c r="Z1377" s="237"/>
      <c r="AA1377" s="244"/>
      <c r="AB1377" s="244"/>
      <c r="AC1377" s="244"/>
      <c r="AD1377" s="244"/>
      <c r="AE1377" s="234"/>
      <c r="AF1377" s="234"/>
      <c r="AG1377" s="238"/>
      <c r="AH1377" s="239"/>
      <c r="AI1377" s="238"/>
      <c r="AJ1377" s="238"/>
      <c r="AK1377" s="234"/>
      <c r="AL1377" s="234"/>
      <c r="AM1377" s="234"/>
      <c r="AN1377" s="234"/>
      <c r="AO1377" s="234"/>
    </row>
    <row r="1378" ht="15.75" customHeight="1">
      <c r="A1378" s="91"/>
      <c r="B1378" s="91"/>
      <c r="C1378" s="220"/>
      <c r="D1378" s="91"/>
      <c r="E1378" s="221"/>
      <c r="F1378" s="91"/>
      <c r="G1378" s="91"/>
      <c r="H1378" s="242"/>
      <c r="I1378" s="91"/>
      <c r="J1378" s="234"/>
      <c r="K1378" s="243"/>
      <c r="L1378" s="243"/>
      <c r="M1378" s="234"/>
      <c r="N1378" s="235"/>
      <c r="O1378" s="236"/>
      <c r="P1378" s="236"/>
      <c r="Q1378" s="236"/>
      <c r="R1378" s="236"/>
      <c r="S1378" s="236"/>
      <c r="T1378" s="236"/>
      <c r="U1378" s="236"/>
      <c r="V1378" s="236"/>
      <c r="W1378" s="236"/>
      <c r="X1378" s="244"/>
      <c r="Y1378" s="244"/>
      <c r="Z1378" s="237"/>
      <c r="AA1378" s="244"/>
      <c r="AB1378" s="244"/>
      <c r="AC1378" s="244"/>
      <c r="AD1378" s="244"/>
      <c r="AE1378" s="234"/>
      <c r="AF1378" s="234"/>
      <c r="AG1378" s="238"/>
      <c r="AH1378" s="239"/>
      <c r="AI1378" s="238"/>
      <c r="AJ1378" s="238"/>
      <c r="AK1378" s="234"/>
      <c r="AL1378" s="234"/>
      <c r="AM1378" s="234"/>
      <c r="AN1378" s="234"/>
      <c r="AO1378" s="234"/>
    </row>
    <row r="1379" ht="15.75" customHeight="1">
      <c r="A1379" s="91"/>
      <c r="B1379" s="91"/>
      <c r="C1379" s="220"/>
      <c r="D1379" s="91"/>
      <c r="E1379" s="221"/>
      <c r="F1379" s="91"/>
      <c r="G1379" s="91"/>
      <c r="H1379" s="242"/>
      <c r="I1379" s="91"/>
      <c r="J1379" s="234"/>
      <c r="K1379" s="243"/>
      <c r="L1379" s="243"/>
      <c r="M1379" s="234"/>
      <c r="N1379" s="235"/>
      <c r="O1379" s="236"/>
      <c r="P1379" s="236"/>
      <c r="Q1379" s="236"/>
      <c r="R1379" s="236"/>
      <c r="S1379" s="236"/>
      <c r="T1379" s="236"/>
      <c r="U1379" s="236"/>
      <c r="V1379" s="236"/>
      <c r="W1379" s="236"/>
      <c r="X1379" s="244"/>
      <c r="Y1379" s="244"/>
      <c r="Z1379" s="237"/>
      <c r="AA1379" s="244"/>
      <c r="AB1379" s="244"/>
      <c r="AC1379" s="244"/>
      <c r="AD1379" s="244"/>
      <c r="AE1379" s="234"/>
      <c r="AF1379" s="234"/>
      <c r="AG1379" s="238"/>
      <c r="AH1379" s="239"/>
      <c r="AI1379" s="238"/>
      <c r="AJ1379" s="238"/>
      <c r="AK1379" s="234"/>
      <c r="AL1379" s="234"/>
      <c r="AM1379" s="234"/>
      <c r="AN1379" s="234"/>
      <c r="AO1379" s="234"/>
    </row>
    <row r="1380" ht="15.75" customHeight="1">
      <c r="A1380" s="91"/>
      <c r="B1380" s="91"/>
      <c r="C1380" s="220"/>
      <c r="D1380" s="91"/>
      <c r="E1380" s="221"/>
      <c r="F1380" s="91"/>
      <c r="G1380" s="91"/>
      <c r="H1380" s="242"/>
      <c r="I1380" s="91"/>
      <c r="J1380" s="234"/>
      <c r="K1380" s="243"/>
      <c r="L1380" s="243"/>
      <c r="M1380" s="234"/>
      <c r="N1380" s="235"/>
      <c r="O1380" s="236"/>
      <c r="P1380" s="236"/>
      <c r="Q1380" s="236"/>
      <c r="R1380" s="236"/>
      <c r="S1380" s="236"/>
      <c r="T1380" s="236"/>
      <c r="U1380" s="236"/>
      <c r="V1380" s="236"/>
      <c r="W1380" s="236"/>
      <c r="X1380" s="244"/>
      <c r="Y1380" s="244"/>
      <c r="Z1380" s="237"/>
      <c r="AA1380" s="244"/>
      <c r="AB1380" s="244"/>
      <c r="AC1380" s="244"/>
      <c r="AD1380" s="244"/>
      <c r="AE1380" s="234"/>
      <c r="AF1380" s="234"/>
      <c r="AG1380" s="238"/>
      <c r="AH1380" s="239"/>
      <c r="AI1380" s="238"/>
      <c r="AJ1380" s="238"/>
      <c r="AK1380" s="234"/>
      <c r="AL1380" s="234"/>
      <c r="AM1380" s="234"/>
      <c r="AN1380" s="234"/>
      <c r="AO1380" s="234"/>
    </row>
    <row r="1381" ht="15.75" customHeight="1">
      <c r="A1381" s="91"/>
      <c r="B1381" s="91"/>
      <c r="C1381" s="220"/>
      <c r="D1381" s="91"/>
      <c r="E1381" s="221"/>
      <c r="F1381" s="91"/>
      <c r="G1381" s="91"/>
      <c r="H1381" s="242"/>
      <c r="I1381" s="91"/>
      <c r="J1381" s="234"/>
      <c r="K1381" s="243"/>
      <c r="L1381" s="243"/>
      <c r="M1381" s="234"/>
      <c r="N1381" s="235"/>
      <c r="O1381" s="236"/>
      <c r="P1381" s="236"/>
      <c r="Q1381" s="236"/>
      <c r="R1381" s="236"/>
      <c r="S1381" s="236"/>
      <c r="T1381" s="236"/>
      <c r="U1381" s="236"/>
      <c r="V1381" s="236"/>
      <c r="W1381" s="236"/>
      <c r="X1381" s="244"/>
      <c r="Y1381" s="244"/>
      <c r="Z1381" s="237"/>
      <c r="AA1381" s="244"/>
      <c r="AB1381" s="244"/>
      <c r="AC1381" s="244"/>
      <c r="AD1381" s="244"/>
      <c r="AE1381" s="234"/>
      <c r="AF1381" s="234"/>
      <c r="AG1381" s="238"/>
      <c r="AH1381" s="239"/>
      <c r="AI1381" s="238"/>
      <c r="AJ1381" s="238"/>
      <c r="AK1381" s="234"/>
      <c r="AL1381" s="234"/>
      <c r="AM1381" s="234"/>
      <c r="AN1381" s="234"/>
      <c r="AO1381" s="234"/>
    </row>
    <row r="1382" ht="15.75" customHeight="1">
      <c r="A1382" s="91"/>
      <c r="B1382" s="91"/>
      <c r="C1382" s="220"/>
      <c r="D1382" s="91"/>
      <c r="E1382" s="221"/>
      <c r="F1382" s="91"/>
      <c r="G1382" s="91"/>
      <c r="H1382" s="242"/>
      <c r="I1382" s="91"/>
      <c r="J1382" s="234"/>
      <c r="K1382" s="243"/>
      <c r="L1382" s="243"/>
      <c r="M1382" s="234"/>
      <c r="N1382" s="235"/>
      <c r="O1382" s="236"/>
      <c r="P1382" s="236"/>
      <c r="Q1382" s="236"/>
      <c r="R1382" s="236"/>
      <c r="S1382" s="236"/>
      <c r="T1382" s="236"/>
      <c r="U1382" s="236"/>
      <c r="V1382" s="236"/>
      <c r="W1382" s="236"/>
      <c r="X1382" s="244"/>
      <c r="Y1382" s="244"/>
      <c r="Z1382" s="237"/>
      <c r="AA1382" s="244"/>
      <c r="AB1382" s="244"/>
      <c r="AC1382" s="244"/>
      <c r="AD1382" s="244"/>
      <c r="AE1382" s="234"/>
      <c r="AF1382" s="234"/>
      <c r="AG1382" s="238"/>
      <c r="AH1382" s="239"/>
      <c r="AI1382" s="238"/>
      <c r="AJ1382" s="238"/>
      <c r="AK1382" s="234"/>
      <c r="AL1382" s="234"/>
      <c r="AM1382" s="234"/>
      <c r="AN1382" s="234"/>
      <c r="AO1382" s="234"/>
    </row>
    <row r="1383" ht="15.75" customHeight="1">
      <c r="A1383" s="91"/>
      <c r="B1383" s="91"/>
      <c r="C1383" s="220"/>
      <c r="D1383" s="91"/>
      <c r="E1383" s="221"/>
      <c r="F1383" s="91"/>
      <c r="G1383" s="91"/>
      <c r="H1383" s="242"/>
      <c r="I1383" s="91"/>
      <c r="J1383" s="234"/>
      <c r="K1383" s="243"/>
      <c r="L1383" s="243"/>
      <c r="M1383" s="234"/>
      <c r="N1383" s="235"/>
      <c r="O1383" s="236"/>
      <c r="P1383" s="236"/>
      <c r="Q1383" s="236"/>
      <c r="R1383" s="236"/>
      <c r="S1383" s="236"/>
      <c r="T1383" s="236"/>
      <c r="U1383" s="236"/>
      <c r="V1383" s="236"/>
      <c r="W1383" s="236"/>
      <c r="X1383" s="244"/>
      <c r="Y1383" s="244"/>
      <c r="Z1383" s="237"/>
      <c r="AA1383" s="244"/>
      <c r="AB1383" s="244"/>
      <c r="AC1383" s="244"/>
      <c r="AD1383" s="244"/>
      <c r="AE1383" s="234"/>
      <c r="AF1383" s="234"/>
      <c r="AG1383" s="238"/>
      <c r="AH1383" s="239"/>
      <c r="AI1383" s="238"/>
      <c r="AJ1383" s="238"/>
      <c r="AK1383" s="234"/>
      <c r="AL1383" s="234"/>
      <c r="AM1383" s="234"/>
      <c r="AN1383" s="234"/>
      <c r="AO1383" s="234"/>
    </row>
    <row r="1384" ht="15.75" customHeight="1">
      <c r="A1384" s="91"/>
      <c r="B1384" s="91"/>
      <c r="C1384" s="220"/>
      <c r="D1384" s="91"/>
      <c r="E1384" s="221"/>
      <c r="F1384" s="91"/>
      <c r="G1384" s="91"/>
      <c r="H1384" s="242"/>
      <c r="I1384" s="91"/>
      <c r="J1384" s="234"/>
      <c r="K1384" s="243"/>
      <c r="L1384" s="243"/>
      <c r="M1384" s="234"/>
      <c r="N1384" s="235"/>
      <c r="O1384" s="236"/>
      <c r="P1384" s="236"/>
      <c r="Q1384" s="236"/>
      <c r="R1384" s="236"/>
      <c r="S1384" s="236"/>
      <c r="T1384" s="236"/>
      <c r="U1384" s="236"/>
      <c r="V1384" s="236"/>
      <c r="W1384" s="236"/>
      <c r="X1384" s="244"/>
      <c r="Y1384" s="244"/>
      <c r="Z1384" s="237"/>
      <c r="AA1384" s="244"/>
      <c r="AB1384" s="244"/>
      <c r="AC1384" s="244"/>
      <c r="AD1384" s="244"/>
      <c r="AE1384" s="234"/>
      <c r="AF1384" s="234"/>
      <c r="AG1384" s="238"/>
      <c r="AH1384" s="239"/>
      <c r="AI1384" s="238"/>
      <c r="AJ1384" s="238"/>
      <c r="AK1384" s="234"/>
      <c r="AL1384" s="234"/>
      <c r="AM1384" s="234"/>
      <c r="AN1384" s="234"/>
      <c r="AO1384" s="234"/>
    </row>
    <row r="1385" ht="15.75" customHeight="1">
      <c r="A1385" s="91"/>
      <c r="B1385" s="91"/>
      <c r="C1385" s="220"/>
      <c r="D1385" s="91"/>
      <c r="E1385" s="221"/>
      <c r="F1385" s="91"/>
      <c r="G1385" s="91"/>
      <c r="H1385" s="242"/>
      <c r="I1385" s="91"/>
      <c r="J1385" s="234"/>
      <c r="K1385" s="243"/>
      <c r="L1385" s="243"/>
      <c r="M1385" s="234"/>
      <c r="N1385" s="235"/>
      <c r="O1385" s="236"/>
      <c r="P1385" s="236"/>
      <c r="Q1385" s="236"/>
      <c r="R1385" s="236"/>
      <c r="S1385" s="236"/>
      <c r="T1385" s="236"/>
      <c r="U1385" s="236"/>
      <c r="V1385" s="236"/>
      <c r="W1385" s="236"/>
      <c r="X1385" s="244"/>
      <c r="Y1385" s="244"/>
      <c r="Z1385" s="237"/>
      <c r="AA1385" s="244"/>
      <c r="AB1385" s="244"/>
      <c r="AC1385" s="244"/>
      <c r="AD1385" s="244"/>
      <c r="AE1385" s="234"/>
      <c r="AF1385" s="234"/>
      <c r="AG1385" s="238"/>
      <c r="AH1385" s="239"/>
      <c r="AI1385" s="238"/>
      <c r="AJ1385" s="238"/>
      <c r="AK1385" s="234"/>
      <c r="AL1385" s="234"/>
      <c r="AM1385" s="234"/>
      <c r="AN1385" s="234"/>
      <c r="AO1385" s="234"/>
    </row>
    <row r="1386" ht="15.75" customHeight="1">
      <c r="A1386" s="91"/>
      <c r="B1386" s="91"/>
      <c r="C1386" s="220"/>
      <c r="D1386" s="91"/>
      <c r="E1386" s="221"/>
      <c r="F1386" s="91"/>
      <c r="G1386" s="91"/>
      <c r="H1386" s="242"/>
      <c r="I1386" s="91"/>
      <c r="J1386" s="234"/>
      <c r="K1386" s="243"/>
      <c r="L1386" s="243"/>
      <c r="M1386" s="234"/>
      <c r="N1386" s="235"/>
      <c r="O1386" s="236"/>
      <c r="P1386" s="236"/>
      <c r="Q1386" s="236"/>
      <c r="R1386" s="236"/>
      <c r="S1386" s="236"/>
      <c r="T1386" s="236"/>
      <c r="U1386" s="236"/>
      <c r="V1386" s="236"/>
      <c r="W1386" s="236"/>
      <c r="X1386" s="244"/>
      <c r="Y1386" s="244"/>
      <c r="Z1386" s="237"/>
      <c r="AA1386" s="244"/>
      <c r="AB1386" s="244"/>
      <c r="AC1386" s="244"/>
      <c r="AD1386" s="244"/>
      <c r="AE1386" s="234"/>
      <c r="AF1386" s="234"/>
      <c r="AG1386" s="238"/>
      <c r="AH1386" s="239"/>
      <c r="AI1386" s="238"/>
      <c r="AJ1386" s="238"/>
      <c r="AK1386" s="234"/>
      <c r="AL1386" s="234"/>
      <c r="AM1386" s="234"/>
      <c r="AN1386" s="234"/>
      <c r="AO1386" s="234"/>
    </row>
    <row r="1387" ht="15.75" customHeight="1">
      <c r="A1387" s="91"/>
      <c r="B1387" s="91"/>
      <c r="C1387" s="220"/>
      <c r="D1387" s="91"/>
      <c r="E1387" s="221"/>
      <c r="F1387" s="91"/>
      <c r="G1387" s="91"/>
      <c r="H1387" s="242"/>
      <c r="I1387" s="91"/>
      <c r="J1387" s="234"/>
      <c r="K1387" s="243"/>
      <c r="L1387" s="243"/>
      <c r="M1387" s="234"/>
      <c r="N1387" s="235"/>
      <c r="O1387" s="236"/>
      <c r="P1387" s="236"/>
      <c r="Q1387" s="236"/>
      <c r="R1387" s="236"/>
      <c r="S1387" s="236"/>
      <c r="T1387" s="236"/>
      <c r="U1387" s="236"/>
      <c r="V1387" s="236"/>
      <c r="W1387" s="236"/>
      <c r="X1387" s="244"/>
      <c r="Y1387" s="244"/>
      <c r="Z1387" s="237"/>
      <c r="AA1387" s="244"/>
      <c r="AB1387" s="244"/>
      <c r="AC1387" s="244"/>
      <c r="AD1387" s="244"/>
      <c r="AE1387" s="234"/>
      <c r="AF1387" s="234"/>
      <c r="AG1387" s="238"/>
      <c r="AH1387" s="239"/>
      <c r="AI1387" s="238"/>
      <c r="AJ1387" s="238"/>
      <c r="AK1387" s="234"/>
      <c r="AL1387" s="234"/>
      <c r="AM1387" s="234"/>
      <c r="AN1387" s="234"/>
      <c r="AO1387" s="234"/>
    </row>
    <row r="1388" ht="15.75" customHeight="1">
      <c r="A1388" s="91"/>
      <c r="B1388" s="91"/>
      <c r="C1388" s="220"/>
      <c r="D1388" s="91"/>
      <c r="E1388" s="221"/>
      <c r="F1388" s="91"/>
      <c r="G1388" s="91"/>
      <c r="H1388" s="242"/>
      <c r="I1388" s="91"/>
      <c r="J1388" s="234"/>
      <c r="K1388" s="243"/>
      <c r="L1388" s="243"/>
      <c r="M1388" s="234"/>
      <c r="N1388" s="235"/>
      <c r="O1388" s="236"/>
      <c r="P1388" s="236"/>
      <c r="Q1388" s="236"/>
      <c r="R1388" s="236"/>
      <c r="S1388" s="236"/>
      <c r="T1388" s="236"/>
      <c r="U1388" s="236"/>
      <c r="V1388" s="236"/>
      <c r="W1388" s="236"/>
      <c r="X1388" s="244"/>
      <c r="Y1388" s="244"/>
      <c r="Z1388" s="237"/>
      <c r="AA1388" s="244"/>
      <c r="AB1388" s="244"/>
      <c r="AC1388" s="244"/>
      <c r="AD1388" s="244"/>
      <c r="AE1388" s="234"/>
      <c r="AF1388" s="234"/>
      <c r="AG1388" s="238"/>
      <c r="AH1388" s="239"/>
      <c r="AI1388" s="238"/>
      <c r="AJ1388" s="238"/>
      <c r="AK1388" s="234"/>
      <c r="AL1388" s="234"/>
      <c r="AM1388" s="234"/>
      <c r="AN1388" s="234"/>
      <c r="AO1388" s="234"/>
    </row>
    <row r="1389" ht="15.75" customHeight="1">
      <c r="A1389" s="91"/>
      <c r="B1389" s="91"/>
      <c r="C1389" s="220"/>
      <c r="D1389" s="91"/>
      <c r="E1389" s="221"/>
      <c r="F1389" s="91"/>
      <c r="G1389" s="91"/>
      <c r="H1389" s="242"/>
      <c r="I1389" s="91"/>
      <c r="J1389" s="234"/>
      <c r="K1389" s="243"/>
      <c r="L1389" s="243"/>
      <c r="M1389" s="234"/>
      <c r="N1389" s="235"/>
      <c r="O1389" s="236"/>
      <c r="P1389" s="236"/>
      <c r="Q1389" s="236"/>
      <c r="R1389" s="236"/>
      <c r="S1389" s="236"/>
      <c r="T1389" s="236"/>
      <c r="U1389" s="236"/>
      <c r="V1389" s="236"/>
      <c r="W1389" s="236"/>
      <c r="X1389" s="244"/>
      <c r="Y1389" s="244"/>
      <c r="Z1389" s="237"/>
      <c r="AA1389" s="244"/>
      <c r="AB1389" s="244"/>
      <c r="AC1389" s="244"/>
      <c r="AD1389" s="244"/>
      <c r="AE1389" s="234"/>
      <c r="AF1389" s="234"/>
      <c r="AG1389" s="238"/>
      <c r="AH1389" s="239"/>
      <c r="AI1389" s="238"/>
      <c r="AJ1389" s="238"/>
      <c r="AK1389" s="234"/>
      <c r="AL1389" s="234"/>
      <c r="AM1389" s="234"/>
      <c r="AN1389" s="234"/>
      <c r="AO1389" s="234"/>
    </row>
    <row r="1390" ht="15.75" customHeight="1">
      <c r="A1390" s="91"/>
      <c r="B1390" s="91"/>
      <c r="C1390" s="220"/>
      <c r="D1390" s="91"/>
      <c r="E1390" s="221"/>
      <c r="F1390" s="91"/>
      <c r="G1390" s="91"/>
      <c r="H1390" s="242"/>
      <c r="I1390" s="91"/>
      <c r="J1390" s="234"/>
      <c r="K1390" s="243"/>
      <c r="L1390" s="243"/>
      <c r="M1390" s="234"/>
      <c r="N1390" s="235"/>
      <c r="O1390" s="236"/>
      <c r="P1390" s="236"/>
      <c r="Q1390" s="236"/>
      <c r="R1390" s="236"/>
      <c r="S1390" s="236"/>
      <c r="T1390" s="236"/>
      <c r="U1390" s="236"/>
      <c r="V1390" s="236"/>
      <c r="W1390" s="236"/>
      <c r="X1390" s="244"/>
      <c r="Y1390" s="244"/>
      <c r="Z1390" s="237"/>
      <c r="AA1390" s="244"/>
      <c r="AB1390" s="244"/>
      <c r="AC1390" s="244"/>
      <c r="AD1390" s="244"/>
      <c r="AE1390" s="234"/>
      <c r="AF1390" s="234"/>
      <c r="AG1390" s="238"/>
      <c r="AH1390" s="239"/>
      <c r="AI1390" s="238"/>
      <c r="AJ1390" s="238"/>
      <c r="AK1390" s="234"/>
      <c r="AL1390" s="234"/>
      <c r="AM1390" s="234"/>
      <c r="AN1390" s="234"/>
      <c r="AO1390" s="234"/>
    </row>
    <row r="1391" ht="15.75" customHeight="1">
      <c r="A1391" s="91"/>
      <c r="B1391" s="91"/>
      <c r="C1391" s="220"/>
      <c r="D1391" s="91"/>
      <c r="E1391" s="221"/>
      <c r="F1391" s="91"/>
      <c r="G1391" s="91"/>
      <c r="H1391" s="242"/>
      <c r="I1391" s="91"/>
      <c r="J1391" s="234"/>
      <c r="K1391" s="243"/>
      <c r="L1391" s="243"/>
      <c r="M1391" s="234"/>
      <c r="N1391" s="235"/>
      <c r="O1391" s="236"/>
      <c r="P1391" s="236"/>
      <c r="Q1391" s="236"/>
      <c r="R1391" s="236"/>
      <c r="S1391" s="236"/>
      <c r="T1391" s="236"/>
      <c r="U1391" s="236"/>
      <c r="V1391" s="236"/>
      <c r="W1391" s="236"/>
      <c r="X1391" s="244"/>
      <c r="Y1391" s="244"/>
      <c r="Z1391" s="237"/>
      <c r="AA1391" s="244"/>
      <c r="AB1391" s="244"/>
      <c r="AC1391" s="244"/>
      <c r="AD1391" s="244"/>
      <c r="AE1391" s="234"/>
      <c r="AF1391" s="234"/>
      <c r="AG1391" s="238"/>
      <c r="AH1391" s="239"/>
      <c r="AI1391" s="238"/>
      <c r="AJ1391" s="238"/>
      <c r="AK1391" s="234"/>
      <c r="AL1391" s="234"/>
      <c r="AM1391" s="234"/>
      <c r="AN1391" s="234"/>
      <c r="AO1391" s="234"/>
    </row>
    <row r="1392" ht="15.75" customHeight="1">
      <c r="A1392" s="91"/>
      <c r="B1392" s="91"/>
      <c r="C1392" s="220"/>
      <c r="D1392" s="91"/>
      <c r="E1392" s="221"/>
      <c r="F1392" s="91"/>
      <c r="G1392" s="91"/>
      <c r="H1392" s="242"/>
      <c r="I1392" s="91"/>
      <c r="J1392" s="234"/>
      <c r="K1392" s="243"/>
      <c r="L1392" s="243"/>
      <c r="M1392" s="234"/>
      <c r="N1392" s="235"/>
      <c r="O1392" s="236"/>
      <c r="P1392" s="236"/>
      <c r="Q1392" s="236"/>
      <c r="R1392" s="236"/>
      <c r="S1392" s="236"/>
      <c r="T1392" s="236"/>
      <c r="U1392" s="236"/>
      <c r="V1392" s="236"/>
      <c r="W1392" s="236"/>
      <c r="X1392" s="244"/>
      <c r="Y1392" s="244"/>
      <c r="Z1392" s="237"/>
      <c r="AA1392" s="244"/>
      <c r="AB1392" s="244"/>
      <c r="AC1392" s="244"/>
      <c r="AD1392" s="244"/>
      <c r="AE1392" s="234"/>
      <c r="AF1392" s="234"/>
      <c r="AG1392" s="238"/>
      <c r="AH1392" s="239"/>
      <c r="AI1392" s="238"/>
      <c r="AJ1392" s="238"/>
      <c r="AK1392" s="234"/>
      <c r="AL1392" s="234"/>
      <c r="AM1392" s="234"/>
      <c r="AN1392" s="234"/>
      <c r="AO1392" s="234"/>
    </row>
    <row r="1393" ht="15.75" customHeight="1">
      <c r="A1393" s="91"/>
      <c r="B1393" s="91"/>
      <c r="C1393" s="220"/>
      <c r="D1393" s="91"/>
      <c r="E1393" s="221"/>
      <c r="F1393" s="91"/>
      <c r="G1393" s="91"/>
      <c r="H1393" s="242"/>
      <c r="I1393" s="91"/>
      <c r="J1393" s="234"/>
      <c r="K1393" s="243"/>
      <c r="L1393" s="243"/>
      <c r="M1393" s="234"/>
      <c r="N1393" s="235"/>
      <c r="O1393" s="236"/>
      <c r="P1393" s="236"/>
      <c r="Q1393" s="236"/>
      <c r="R1393" s="236"/>
      <c r="S1393" s="236"/>
      <c r="T1393" s="236"/>
      <c r="U1393" s="236"/>
      <c r="V1393" s="236"/>
      <c r="W1393" s="236"/>
      <c r="X1393" s="244"/>
      <c r="Y1393" s="244"/>
      <c r="Z1393" s="237"/>
      <c r="AA1393" s="244"/>
      <c r="AB1393" s="244"/>
      <c r="AC1393" s="244"/>
      <c r="AD1393" s="244"/>
      <c r="AE1393" s="234"/>
      <c r="AF1393" s="234"/>
      <c r="AG1393" s="238"/>
      <c r="AH1393" s="239"/>
      <c r="AI1393" s="238"/>
      <c r="AJ1393" s="238"/>
      <c r="AK1393" s="234"/>
      <c r="AL1393" s="234"/>
      <c r="AM1393" s="234"/>
      <c r="AN1393" s="234"/>
      <c r="AO1393" s="234"/>
    </row>
    <row r="1394" ht="15.75" customHeight="1">
      <c r="A1394" s="91"/>
      <c r="B1394" s="91"/>
      <c r="C1394" s="220"/>
      <c r="D1394" s="91"/>
      <c r="E1394" s="221"/>
      <c r="F1394" s="91"/>
      <c r="G1394" s="91"/>
      <c r="H1394" s="242"/>
      <c r="I1394" s="91"/>
      <c r="J1394" s="234"/>
      <c r="K1394" s="243"/>
      <c r="L1394" s="243"/>
      <c r="M1394" s="234"/>
      <c r="N1394" s="235"/>
      <c r="O1394" s="236"/>
      <c r="P1394" s="236"/>
      <c r="Q1394" s="236"/>
      <c r="R1394" s="236"/>
      <c r="S1394" s="236"/>
      <c r="T1394" s="236"/>
      <c r="U1394" s="236"/>
      <c r="V1394" s="236"/>
      <c r="W1394" s="236"/>
      <c r="X1394" s="244"/>
      <c r="Y1394" s="244"/>
      <c r="Z1394" s="237"/>
      <c r="AA1394" s="244"/>
      <c r="AB1394" s="244"/>
      <c r="AC1394" s="244"/>
      <c r="AD1394" s="244"/>
      <c r="AE1394" s="234"/>
      <c r="AF1394" s="234"/>
      <c r="AG1394" s="238"/>
      <c r="AH1394" s="239"/>
      <c r="AI1394" s="238"/>
      <c r="AJ1394" s="238"/>
      <c r="AK1394" s="234"/>
      <c r="AL1394" s="234"/>
      <c r="AM1394" s="234"/>
      <c r="AN1394" s="234"/>
      <c r="AO1394" s="234"/>
    </row>
    <row r="1395" ht="15.75" customHeight="1">
      <c r="A1395" s="91"/>
      <c r="B1395" s="91"/>
      <c r="C1395" s="220"/>
      <c r="D1395" s="91"/>
      <c r="E1395" s="221"/>
      <c r="F1395" s="91"/>
      <c r="G1395" s="91"/>
      <c r="H1395" s="242"/>
      <c r="I1395" s="91"/>
      <c r="J1395" s="234"/>
      <c r="K1395" s="243"/>
      <c r="L1395" s="243"/>
      <c r="M1395" s="234"/>
      <c r="N1395" s="235"/>
      <c r="O1395" s="236"/>
      <c r="P1395" s="236"/>
      <c r="Q1395" s="236"/>
      <c r="R1395" s="236"/>
      <c r="S1395" s="236"/>
      <c r="T1395" s="236"/>
      <c r="U1395" s="236"/>
      <c r="V1395" s="236"/>
      <c r="W1395" s="236"/>
      <c r="X1395" s="244"/>
      <c r="Y1395" s="244"/>
      <c r="Z1395" s="237"/>
      <c r="AA1395" s="244"/>
      <c r="AB1395" s="244"/>
      <c r="AC1395" s="244"/>
      <c r="AD1395" s="244"/>
      <c r="AE1395" s="234"/>
      <c r="AF1395" s="234"/>
      <c r="AG1395" s="238"/>
      <c r="AH1395" s="239"/>
      <c r="AI1395" s="238"/>
      <c r="AJ1395" s="238"/>
      <c r="AK1395" s="234"/>
      <c r="AL1395" s="234"/>
      <c r="AM1395" s="234"/>
      <c r="AN1395" s="234"/>
      <c r="AO1395" s="234"/>
    </row>
    <row r="1396" ht="15.75" customHeight="1">
      <c r="A1396" s="91"/>
      <c r="B1396" s="91"/>
      <c r="C1396" s="220"/>
      <c r="D1396" s="91"/>
      <c r="E1396" s="221"/>
      <c r="F1396" s="91"/>
      <c r="G1396" s="91"/>
      <c r="H1396" s="242"/>
      <c r="I1396" s="91"/>
      <c r="J1396" s="234"/>
      <c r="K1396" s="243"/>
      <c r="L1396" s="243"/>
      <c r="M1396" s="234"/>
      <c r="N1396" s="235"/>
      <c r="O1396" s="236"/>
      <c r="P1396" s="236"/>
      <c r="Q1396" s="236"/>
      <c r="R1396" s="236"/>
      <c r="S1396" s="236"/>
      <c r="T1396" s="236"/>
      <c r="U1396" s="236"/>
      <c r="V1396" s="236"/>
      <c r="W1396" s="236"/>
      <c r="X1396" s="244"/>
      <c r="Y1396" s="244"/>
      <c r="Z1396" s="237"/>
      <c r="AA1396" s="244"/>
      <c r="AB1396" s="244"/>
      <c r="AC1396" s="244"/>
      <c r="AD1396" s="244"/>
      <c r="AE1396" s="234"/>
      <c r="AF1396" s="234"/>
      <c r="AG1396" s="238"/>
      <c r="AH1396" s="239"/>
      <c r="AI1396" s="238"/>
      <c r="AJ1396" s="238"/>
      <c r="AK1396" s="234"/>
      <c r="AL1396" s="234"/>
      <c r="AM1396" s="234"/>
      <c r="AN1396" s="234"/>
      <c r="AO1396" s="234"/>
    </row>
    <row r="1397" ht="15.75" customHeight="1">
      <c r="A1397" s="91"/>
      <c r="B1397" s="91"/>
      <c r="C1397" s="220"/>
      <c r="D1397" s="91"/>
      <c r="E1397" s="221"/>
      <c r="F1397" s="91"/>
      <c r="G1397" s="91"/>
      <c r="H1397" s="242"/>
      <c r="I1397" s="91"/>
      <c r="J1397" s="234"/>
      <c r="K1397" s="243"/>
      <c r="L1397" s="243"/>
      <c r="M1397" s="234"/>
      <c r="N1397" s="235"/>
      <c r="O1397" s="236"/>
      <c r="P1397" s="236"/>
      <c r="Q1397" s="236"/>
      <c r="R1397" s="236"/>
      <c r="S1397" s="236"/>
      <c r="T1397" s="236"/>
      <c r="U1397" s="236"/>
      <c r="V1397" s="236"/>
      <c r="W1397" s="236"/>
      <c r="X1397" s="244"/>
      <c r="Y1397" s="244"/>
      <c r="Z1397" s="237"/>
      <c r="AA1397" s="244"/>
      <c r="AB1397" s="244"/>
      <c r="AC1397" s="244"/>
      <c r="AD1397" s="244"/>
      <c r="AE1397" s="234"/>
      <c r="AF1397" s="234"/>
      <c r="AG1397" s="238"/>
      <c r="AH1397" s="239"/>
      <c r="AI1397" s="238"/>
      <c r="AJ1397" s="238"/>
      <c r="AK1397" s="234"/>
      <c r="AL1397" s="234"/>
      <c r="AM1397" s="234"/>
      <c r="AN1397" s="234"/>
      <c r="AO1397" s="234"/>
    </row>
    <row r="1398" ht="15.75" customHeight="1">
      <c r="A1398" s="91"/>
      <c r="B1398" s="91"/>
      <c r="C1398" s="220"/>
      <c r="D1398" s="91"/>
      <c r="E1398" s="221"/>
      <c r="F1398" s="91"/>
      <c r="G1398" s="91"/>
      <c r="H1398" s="242"/>
      <c r="I1398" s="91"/>
      <c r="J1398" s="234"/>
      <c r="K1398" s="243"/>
      <c r="L1398" s="243"/>
      <c r="M1398" s="234"/>
      <c r="N1398" s="235"/>
      <c r="O1398" s="236"/>
      <c r="P1398" s="236"/>
      <c r="Q1398" s="236"/>
      <c r="R1398" s="236"/>
      <c r="S1398" s="236"/>
      <c r="T1398" s="236"/>
      <c r="U1398" s="236"/>
      <c r="V1398" s="236"/>
      <c r="W1398" s="236"/>
      <c r="X1398" s="244"/>
      <c r="Y1398" s="244"/>
      <c r="Z1398" s="237"/>
      <c r="AA1398" s="244"/>
      <c r="AB1398" s="244"/>
      <c r="AC1398" s="244"/>
      <c r="AD1398" s="244"/>
      <c r="AE1398" s="234"/>
      <c r="AF1398" s="234"/>
      <c r="AG1398" s="238"/>
      <c r="AH1398" s="239"/>
      <c r="AI1398" s="238"/>
      <c r="AJ1398" s="238"/>
      <c r="AK1398" s="234"/>
      <c r="AL1398" s="234"/>
      <c r="AM1398" s="234"/>
      <c r="AN1398" s="234"/>
      <c r="AO1398" s="234"/>
    </row>
    <row r="1399" ht="15.75" customHeight="1">
      <c r="A1399" s="91"/>
      <c r="B1399" s="91"/>
      <c r="C1399" s="220"/>
      <c r="D1399" s="91"/>
      <c r="E1399" s="221"/>
      <c r="F1399" s="91"/>
      <c r="G1399" s="91"/>
      <c r="H1399" s="242"/>
      <c r="I1399" s="91"/>
      <c r="J1399" s="234"/>
      <c r="K1399" s="243"/>
      <c r="L1399" s="243"/>
      <c r="M1399" s="234"/>
      <c r="N1399" s="235"/>
      <c r="O1399" s="236"/>
      <c r="P1399" s="236"/>
      <c r="Q1399" s="236"/>
      <c r="R1399" s="236"/>
      <c r="S1399" s="236"/>
      <c r="T1399" s="236"/>
      <c r="U1399" s="236"/>
      <c r="V1399" s="236"/>
      <c r="W1399" s="236"/>
      <c r="X1399" s="244"/>
      <c r="Y1399" s="244"/>
      <c r="Z1399" s="237"/>
      <c r="AA1399" s="244"/>
      <c r="AB1399" s="244"/>
      <c r="AC1399" s="244"/>
      <c r="AD1399" s="244"/>
      <c r="AE1399" s="234"/>
      <c r="AF1399" s="234"/>
      <c r="AG1399" s="238"/>
      <c r="AH1399" s="239"/>
      <c r="AI1399" s="238"/>
      <c r="AJ1399" s="238"/>
      <c r="AK1399" s="234"/>
      <c r="AL1399" s="234"/>
      <c r="AM1399" s="234"/>
      <c r="AN1399" s="234"/>
      <c r="AO1399" s="234"/>
    </row>
    <row r="1400" ht="15.75" customHeight="1">
      <c r="A1400" s="91"/>
      <c r="B1400" s="91"/>
      <c r="C1400" s="220"/>
      <c r="D1400" s="91"/>
      <c r="E1400" s="221"/>
      <c r="F1400" s="91"/>
      <c r="G1400" s="91"/>
      <c r="H1400" s="242"/>
      <c r="I1400" s="91"/>
      <c r="J1400" s="234"/>
      <c r="K1400" s="243"/>
      <c r="L1400" s="243"/>
      <c r="M1400" s="234"/>
      <c r="N1400" s="235"/>
      <c r="O1400" s="236"/>
      <c r="P1400" s="236"/>
      <c r="Q1400" s="236"/>
      <c r="R1400" s="236"/>
      <c r="S1400" s="236"/>
      <c r="T1400" s="236"/>
      <c r="U1400" s="236"/>
      <c r="V1400" s="236"/>
      <c r="W1400" s="236"/>
      <c r="X1400" s="244"/>
      <c r="Y1400" s="244"/>
      <c r="Z1400" s="237"/>
      <c r="AA1400" s="244"/>
      <c r="AB1400" s="244"/>
      <c r="AC1400" s="244"/>
      <c r="AD1400" s="244"/>
      <c r="AE1400" s="234"/>
      <c r="AF1400" s="234"/>
      <c r="AG1400" s="238"/>
      <c r="AH1400" s="239"/>
      <c r="AI1400" s="238"/>
      <c r="AJ1400" s="238"/>
      <c r="AK1400" s="234"/>
      <c r="AL1400" s="234"/>
      <c r="AM1400" s="234"/>
      <c r="AN1400" s="234"/>
      <c r="AO1400" s="234"/>
    </row>
    <row r="1401" ht="15.75" customHeight="1">
      <c r="A1401" s="91"/>
      <c r="B1401" s="91"/>
      <c r="C1401" s="220"/>
      <c r="D1401" s="91"/>
      <c r="E1401" s="221"/>
      <c r="F1401" s="91"/>
      <c r="G1401" s="91"/>
      <c r="H1401" s="242"/>
      <c r="I1401" s="91"/>
      <c r="J1401" s="234"/>
      <c r="K1401" s="243"/>
      <c r="L1401" s="243"/>
      <c r="M1401" s="234"/>
      <c r="N1401" s="235"/>
      <c r="O1401" s="236"/>
      <c r="P1401" s="236"/>
      <c r="Q1401" s="236"/>
      <c r="R1401" s="236"/>
      <c r="S1401" s="236"/>
      <c r="T1401" s="236"/>
      <c r="U1401" s="236"/>
      <c r="V1401" s="236"/>
      <c r="W1401" s="236"/>
      <c r="X1401" s="244"/>
      <c r="Y1401" s="244"/>
      <c r="Z1401" s="237"/>
      <c r="AA1401" s="244"/>
      <c r="AB1401" s="244"/>
      <c r="AC1401" s="244"/>
      <c r="AD1401" s="244"/>
      <c r="AE1401" s="234"/>
      <c r="AF1401" s="234"/>
      <c r="AG1401" s="238"/>
      <c r="AH1401" s="239"/>
      <c r="AI1401" s="238"/>
      <c r="AJ1401" s="238"/>
      <c r="AK1401" s="234"/>
      <c r="AL1401" s="234"/>
      <c r="AM1401" s="234"/>
      <c r="AN1401" s="234"/>
      <c r="AO1401" s="234"/>
    </row>
    <row r="1402" ht="15.75" customHeight="1">
      <c r="A1402" s="91"/>
      <c r="B1402" s="91"/>
      <c r="C1402" s="220"/>
      <c r="D1402" s="91"/>
      <c r="E1402" s="221"/>
      <c r="F1402" s="91"/>
      <c r="G1402" s="91"/>
      <c r="H1402" s="242"/>
      <c r="I1402" s="91"/>
      <c r="J1402" s="234"/>
      <c r="K1402" s="243"/>
      <c r="L1402" s="243"/>
      <c r="M1402" s="234"/>
      <c r="N1402" s="235"/>
      <c r="O1402" s="236"/>
      <c r="P1402" s="236"/>
      <c r="Q1402" s="236"/>
      <c r="R1402" s="236"/>
      <c r="S1402" s="236"/>
      <c r="T1402" s="236"/>
      <c r="U1402" s="236"/>
      <c r="V1402" s="236"/>
      <c r="W1402" s="236"/>
      <c r="X1402" s="244"/>
      <c r="Y1402" s="244"/>
      <c r="Z1402" s="237"/>
      <c r="AA1402" s="244"/>
      <c r="AB1402" s="244"/>
      <c r="AC1402" s="244"/>
      <c r="AD1402" s="244"/>
      <c r="AE1402" s="234"/>
      <c r="AF1402" s="234"/>
      <c r="AG1402" s="238"/>
      <c r="AH1402" s="239"/>
      <c r="AI1402" s="238"/>
      <c r="AJ1402" s="238"/>
      <c r="AK1402" s="234"/>
      <c r="AL1402" s="234"/>
      <c r="AM1402" s="234"/>
      <c r="AN1402" s="234"/>
      <c r="AO1402" s="234"/>
    </row>
    <row r="1403" ht="15.75" customHeight="1">
      <c r="A1403" s="91"/>
      <c r="B1403" s="91"/>
      <c r="C1403" s="220"/>
      <c r="D1403" s="91"/>
      <c r="E1403" s="221"/>
      <c r="F1403" s="91"/>
      <c r="G1403" s="91"/>
      <c r="H1403" s="242"/>
      <c r="I1403" s="91"/>
      <c r="J1403" s="234"/>
      <c r="K1403" s="243"/>
      <c r="L1403" s="243"/>
      <c r="M1403" s="234"/>
      <c r="N1403" s="235"/>
      <c r="O1403" s="236"/>
      <c r="P1403" s="236"/>
      <c r="Q1403" s="236"/>
      <c r="R1403" s="236"/>
      <c r="S1403" s="236"/>
      <c r="T1403" s="236"/>
      <c r="U1403" s="236"/>
      <c r="V1403" s="236"/>
      <c r="W1403" s="236"/>
      <c r="X1403" s="244"/>
      <c r="Y1403" s="244"/>
      <c r="Z1403" s="237"/>
      <c r="AA1403" s="244"/>
      <c r="AB1403" s="244"/>
      <c r="AC1403" s="244"/>
      <c r="AD1403" s="244"/>
      <c r="AE1403" s="234"/>
      <c r="AF1403" s="234"/>
      <c r="AG1403" s="238"/>
      <c r="AH1403" s="239"/>
      <c r="AI1403" s="238"/>
      <c r="AJ1403" s="238"/>
      <c r="AK1403" s="234"/>
      <c r="AL1403" s="234"/>
      <c r="AM1403" s="234"/>
      <c r="AN1403" s="234"/>
      <c r="AO1403" s="234"/>
    </row>
    <row r="1404" ht="15.75" customHeight="1">
      <c r="A1404" s="91"/>
      <c r="B1404" s="91"/>
      <c r="C1404" s="220"/>
      <c r="D1404" s="91"/>
      <c r="E1404" s="221"/>
      <c r="F1404" s="91"/>
      <c r="G1404" s="91"/>
      <c r="H1404" s="242"/>
      <c r="I1404" s="91"/>
      <c r="J1404" s="234"/>
      <c r="K1404" s="243"/>
      <c r="L1404" s="243"/>
      <c r="M1404" s="234"/>
      <c r="N1404" s="235"/>
      <c r="O1404" s="236"/>
      <c r="P1404" s="236"/>
      <c r="Q1404" s="236"/>
      <c r="R1404" s="236"/>
      <c r="S1404" s="236"/>
      <c r="T1404" s="236"/>
      <c r="U1404" s="236"/>
      <c r="V1404" s="236"/>
      <c r="W1404" s="236"/>
      <c r="X1404" s="244"/>
      <c r="Y1404" s="244"/>
      <c r="Z1404" s="237"/>
      <c r="AA1404" s="244"/>
      <c r="AB1404" s="244"/>
      <c r="AC1404" s="244"/>
      <c r="AD1404" s="244"/>
      <c r="AE1404" s="234"/>
      <c r="AF1404" s="234"/>
      <c r="AG1404" s="238"/>
      <c r="AH1404" s="239"/>
      <c r="AI1404" s="238"/>
      <c r="AJ1404" s="238"/>
      <c r="AK1404" s="234"/>
      <c r="AL1404" s="234"/>
      <c r="AM1404" s="234"/>
      <c r="AN1404" s="234"/>
      <c r="AO1404" s="234"/>
    </row>
    <row r="1405" ht="15.75" customHeight="1">
      <c r="A1405" s="91"/>
      <c r="B1405" s="91"/>
      <c r="C1405" s="220"/>
      <c r="D1405" s="91"/>
      <c r="E1405" s="221"/>
      <c r="F1405" s="91"/>
      <c r="G1405" s="91"/>
      <c r="H1405" s="242"/>
      <c r="I1405" s="91"/>
      <c r="J1405" s="234"/>
      <c r="K1405" s="243"/>
      <c r="L1405" s="243"/>
      <c r="M1405" s="234"/>
      <c r="N1405" s="235"/>
      <c r="O1405" s="236"/>
      <c r="P1405" s="236"/>
      <c r="Q1405" s="236"/>
      <c r="R1405" s="236"/>
      <c r="S1405" s="236"/>
      <c r="T1405" s="236"/>
      <c r="U1405" s="236"/>
      <c r="V1405" s="236"/>
      <c r="W1405" s="236"/>
      <c r="X1405" s="244"/>
      <c r="Y1405" s="244"/>
      <c r="Z1405" s="237"/>
      <c r="AA1405" s="244"/>
      <c r="AB1405" s="244"/>
      <c r="AC1405" s="244"/>
      <c r="AD1405" s="244"/>
      <c r="AE1405" s="234"/>
      <c r="AF1405" s="234"/>
      <c r="AG1405" s="238"/>
      <c r="AH1405" s="239"/>
      <c r="AI1405" s="238"/>
      <c r="AJ1405" s="238"/>
      <c r="AK1405" s="234"/>
      <c r="AL1405" s="234"/>
      <c r="AM1405" s="234"/>
      <c r="AN1405" s="234"/>
      <c r="AO1405" s="234"/>
    </row>
    <row r="1406" ht="15.75" customHeight="1">
      <c r="A1406" s="91"/>
      <c r="B1406" s="91"/>
      <c r="C1406" s="220"/>
      <c r="D1406" s="91"/>
      <c r="E1406" s="221"/>
      <c r="F1406" s="91"/>
      <c r="G1406" s="91"/>
      <c r="H1406" s="242"/>
      <c r="I1406" s="91"/>
      <c r="J1406" s="234"/>
      <c r="K1406" s="243"/>
      <c r="L1406" s="243"/>
      <c r="M1406" s="234"/>
      <c r="N1406" s="235"/>
      <c r="O1406" s="236"/>
      <c r="P1406" s="236"/>
      <c r="Q1406" s="236"/>
      <c r="R1406" s="236"/>
      <c r="S1406" s="236"/>
      <c r="T1406" s="236"/>
      <c r="U1406" s="236"/>
      <c r="V1406" s="236"/>
      <c r="W1406" s="236"/>
      <c r="X1406" s="244"/>
      <c r="Y1406" s="244"/>
      <c r="Z1406" s="237"/>
      <c r="AA1406" s="244"/>
      <c r="AB1406" s="244"/>
      <c r="AC1406" s="244"/>
      <c r="AD1406" s="244"/>
      <c r="AE1406" s="234"/>
      <c r="AF1406" s="234"/>
      <c r="AG1406" s="238"/>
      <c r="AH1406" s="239"/>
      <c r="AI1406" s="238"/>
      <c r="AJ1406" s="238"/>
      <c r="AK1406" s="234"/>
      <c r="AL1406" s="234"/>
      <c r="AM1406" s="234"/>
      <c r="AN1406" s="234"/>
      <c r="AO1406" s="234"/>
    </row>
    <row r="1407" ht="15.75" customHeight="1">
      <c r="A1407" s="91"/>
      <c r="B1407" s="91"/>
      <c r="C1407" s="220"/>
      <c r="D1407" s="91"/>
      <c r="E1407" s="221"/>
      <c r="F1407" s="91"/>
      <c r="G1407" s="91"/>
      <c r="H1407" s="242"/>
      <c r="I1407" s="91"/>
      <c r="J1407" s="234"/>
      <c r="K1407" s="243"/>
      <c r="L1407" s="243"/>
      <c r="M1407" s="234"/>
      <c r="N1407" s="235"/>
      <c r="O1407" s="236"/>
      <c r="P1407" s="236"/>
      <c r="Q1407" s="236"/>
      <c r="R1407" s="236"/>
      <c r="S1407" s="236"/>
      <c r="T1407" s="236"/>
      <c r="U1407" s="236"/>
      <c r="V1407" s="236"/>
      <c r="W1407" s="236"/>
      <c r="X1407" s="244"/>
      <c r="Y1407" s="244"/>
      <c r="Z1407" s="237"/>
      <c r="AA1407" s="244"/>
      <c r="AB1407" s="244"/>
      <c r="AC1407" s="244"/>
      <c r="AD1407" s="244"/>
      <c r="AE1407" s="234"/>
      <c r="AF1407" s="234"/>
      <c r="AG1407" s="238"/>
      <c r="AH1407" s="239"/>
      <c r="AI1407" s="238"/>
      <c r="AJ1407" s="238"/>
      <c r="AK1407" s="234"/>
      <c r="AL1407" s="234"/>
      <c r="AM1407" s="234"/>
      <c r="AN1407" s="234"/>
      <c r="AO1407" s="234"/>
    </row>
    <row r="1408" ht="15.75" customHeight="1">
      <c r="A1408" s="91"/>
      <c r="B1408" s="91"/>
      <c r="C1408" s="220"/>
      <c r="D1408" s="91"/>
      <c r="E1408" s="221"/>
      <c r="F1408" s="91"/>
      <c r="G1408" s="91"/>
      <c r="H1408" s="242"/>
      <c r="I1408" s="91"/>
      <c r="J1408" s="234"/>
      <c r="K1408" s="243"/>
      <c r="L1408" s="243"/>
      <c r="M1408" s="234"/>
      <c r="N1408" s="235"/>
      <c r="O1408" s="236"/>
      <c r="P1408" s="236"/>
      <c r="Q1408" s="236"/>
      <c r="R1408" s="236"/>
      <c r="S1408" s="236"/>
      <c r="T1408" s="236"/>
      <c r="U1408" s="236"/>
      <c r="V1408" s="236"/>
      <c r="W1408" s="236"/>
      <c r="X1408" s="244"/>
      <c r="Y1408" s="244"/>
      <c r="Z1408" s="237"/>
      <c r="AA1408" s="244"/>
      <c r="AB1408" s="244"/>
      <c r="AC1408" s="244"/>
      <c r="AD1408" s="244"/>
      <c r="AE1408" s="234"/>
      <c r="AF1408" s="234"/>
      <c r="AG1408" s="238"/>
      <c r="AH1408" s="239"/>
      <c r="AI1408" s="238"/>
      <c r="AJ1408" s="238"/>
      <c r="AK1408" s="234"/>
      <c r="AL1408" s="234"/>
      <c r="AM1408" s="234"/>
      <c r="AN1408" s="234"/>
      <c r="AO1408" s="234"/>
    </row>
    <row r="1409" ht="15.75" customHeight="1">
      <c r="A1409" s="91"/>
      <c r="B1409" s="91"/>
      <c r="C1409" s="220"/>
      <c r="D1409" s="91"/>
      <c r="E1409" s="221"/>
      <c r="F1409" s="91"/>
      <c r="G1409" s="91"/>
      <c r="H1409" s="242"/>
      <c r="I1409" s="91"/>
      <c r="J1409" s="234"/>
      <c r="K1409" s="243"/>
      <c r="L1409" s="243"/>
      <c r="M1409" s="234"/>
      <c r="N1409" s="235"/>
      <c r="O1409" s="236"/>
      <c r="P1409" s="236"/>
      <c r="Q1409" s="236"/>
      <c r="R1409" s="236"/>
      <c r="S1409" s="236"/>
      <c r="T1409" s="236"/>
      <c r="U1409" s="236"/>
      <c r="V1409" s="236"/>
      <c r="W1409" s="236"/>
      <c r="X1409" s="244"/>
      <c r="Y1409" s="244"/>
      <c r="Z1409" s="237"/>
      <c r="AA1409" s="244"/>
      <c r="AB1409" s="244"/>
      <c r="AC1409" s="244"/>
      <c r="AD1409" s="244"/>
      <c r="AE1409" s="234"/>
      <c r="AF1409" s="234"/>
      <c r="AG1409" s="238"/>
      <c r="AH1409" s="239"/>
      <c r="AI1409" s="238"/>
      <c r="AJ1409" s="238"/>
      <c r="AK1409" s="234"/>
      <c r="AL1409" s="234"/>
      <c r="AM1409" s="234"/>
      <c r="AN1409" s="234"/>
      <c r="AO1409" s="234"/>
    </row>
    <row r="1410" ht="15.75" customHeight="1">
      <c r="A1410" s="91"/>
      <c r="B1410" s="91"/>
      <c r="C1410" s="220"/>
      <c r="D1410" s="91"/>
      <c r="E1410" s="221"/>
      <c r="F1410" s="91"/>
      <c r="G1410" s="91"/>
      <c r="H1410" s="242"/>
      <c r="I1410" s="91"/>
      <c r="J1410" s="234"/>
      <c r="K1410" s="243"/>
      <c r="L1410" s="243"/>
      <c r="M1410" s="234"/>
      <c r="N1410" s="235"/>
      <c r="O1410" s="236"/>
      <c r="P1410" s="236"/>
      <c r="Q1410" s="236"/>
      <c r="R1410" s="236"/>
      <c r="S1410" s="236"/>
      <c r="T1410" s="236"/>
      <c r="U1410" s="236"/>
      <c r="V1410" s="236"/>
      <c r="W1410" s="236"/>
      <c r="X1410" s="244"/>
      <c r="Y1410" s="244"/>
      <c r="Z1410" s="237"/>
      <c r="AA1410" s="244"/>
      <c r="AB1410" s="244"/>
      <c r="AC1410" s="244"/>
      <c r="AD1410" s="244"/>
      <c r="AE1410" s="234"/>
      <c r="AF1410" s="234"/>
      <c r="AG1410" s="238"/>
      <c r="AH1410" s="239"/>
      <c r="AI1410" s="238"/>
      <c r="AJ1410" s="238"/>
      <c r="AK1410" s="234"/>
      <c r="AL1410" s="234"/>
      <c r="AM1410" s="234"/>
      <c r="AN1410" s="234"/>
      <c r="AO1410" s="234"/>
    </row>
    <row r="1411" ht="15.75" customHeight="1">
      <c r="A1411" s="91"/>
      <c r="B1411" s="91"/>
      <c r="C1411" s="220"/>
      <c r="D1411" s="91"/>
      <c r="E1411" s="221"/>
      <c r="F1411" s="91"/>
      <c r="G1411" s="91"/>
      <c r="H1411" s="242"/>
      <c r="I1411" s="91"/>
      <c r="J1411" s="234"/>
      <c r="K1411" s="243"/>
      <c r="L1411" s="243"/>
      <c r="M1411" s="234"/>
      <c r="N1411" s="235"/>
      <c r="O1411" s="236"/>
      <c r="P1411" s="236"/>
      <c r="Q1411" s="236"/>
      <c r="R1411" s="236"/>
      <c r="S1411" s="236"/>
      <c r="T1411" s="236"/>
      <c r="U1411" s="236"/>
      <c r="V1411" s="236"/>
      <c r="W1411" s="236"/>
      <c r="X1411" s="244"/>
      <c r="Y1411" s="244"/>
      <c r="Z1411" s="237"/>
      <c r="AA1411" s="244"/>
      <c r="AB1411" s="244"/>
      <c r="AC1411" s="244"/>
      <c r="AD1411" s="244"/>
      <c r="AE1411" s="234"/>
      <c r="AF1411" s="234"/>
      <c r="AG1411" s="238"/>
      <c r="AH1411" s="239"/>
      <c r="AI1411" s="238"/>
      <c r="AJ1411" s="238"/>
      <c r="AK1411" s="234"/>
      <c r="AL1411" s="234"/>
      <c r="AM1411" s="234"/>
      <c r="AN1411" s="234"/>
      <c r="AO1411" s="234"/>
    </row>
    <row r="1412" ht="15.75" customHeight="1">
      <c r="A1412" s="91"/>
      <c r="B1412" s="91"/>
      <c r="C1412" s="220"/>
      <c r="D1412" s="91"/>
      <c r="E1412" s="221"/>
      <c r="F1412" s="91"/>
      <c r="G1412" s="91"/>
      <c r="H1412" s="242"/>
      <c r="I1412" s="91"/>
      <c r="J1412" s="234"/>
      <c r="K1412" s="243"/>
      <c r="L1412" s="243"/>
      <c r="M1412" s="234"/>
      <c r="N1412" s="235"/>
      <c r="O1412" s="236"/>
      <c r="P1412" s="236"/>
      <c r="Q1412" s="236"/>
      <c r="R1412" s="236"/>
      <c r="S1412" s="236"/>
      <c r="T1412" s="236"/>
      <c r="U1412" s="236"/>
      <c r="V1412" s="236"/>
      <c r="W1412" s="236"/>
      <c r="X1412" s="244"/>
      <c r="Y1412" s="244"/>
      <c r="Z1412" s="237"/>
      <c r="AA1412" s="244"/>
      <c r="AB1412" s="244"/>
      <c r="AC1412" s="244"/>
      <c r="AD1412" s="244"/>
      <c r="AE1412" s="234"/>
      <c r="AF1412" s="234"/>
      <c r="AG1412" s="238"/>
      <c r="AH1412" s="239"/>
      <c r="AI1412" s="238"/>
      <c r="AJ1412" s="238"/>
      <c r="AK1412" s="234"/>
      <c r="AL1412" s="234"/>
      <c r="AM1412" s="234"/>
      <c r="AN1412" s="234"/>
      <c r="AO1412" s="234"/>
    </row>
    <row r="1413" ht="15.75" customHeight="1">
      <c r="A1413" s="91"/>
      <c r="B1413" s="91"/>
      <c r="C1413" s="220"/>
      <c r="D1413" s="91"/>
      <c r="E1413" s="221"/>
      <c r="F1413" s="91"/>
      <c r="G1413" s="91"/>
      <c r="H1413" s="242"/>
      <c r="I1413" s="91"/>
      <c r="J1413" s="234"/>
      <c r="K1413" s="243"/>
      <c r="L1413" s="243"/>
      <c r="M1413" s="234"/>
      <c r="N1413" s="235"/>
      <c r="O1413" s="236"/>
      <c r="P1413" s="236"/>
      <c r="Q1413" s="236"/>
      <c r="R1413" s="236"/>
      <c r="S1413" s="236"/>
      <c r="T1413" s="236"/>
      <c r="U1413" s="236"/>
      <c r="V1413" s="236"/>
      <c r="W1413" s="236"/>
      <c r="X1413" s="244"/>
      <c r="Y1413" s="244"/>
      <c r="Z1413" s="237"/>
      <c r="AA1413" s="244"/>
      <c r="AB1413" s="244"/>
      <c r="AC1413" s="244"/>
      <c r="AD1413" s="244"/>
      <c r="AE1413" s="234"/>
      <c r="AF1413" s="234"/>
      <c r="AG1413" s="238"/>
      <c r="AH1413" s="239"/>
      <c r="AI1413" s="238"/>
      <c r="AJ1413" s="238"/>
      <c r="AK1413" s="234"/>
      <c r="AL1413" s="234"/>
      <c r="AM1413" s="234"/>
      <c r="AN1413" s="234"/>
      <c r="AO1413" s="234"/>
    </row>
    <row r="1414" ht="15.75" customHeight="1">
      <c r="A1414" s="91"/>
      <c r="B1414" s="91"/>
      <c r="C1414" s="220"/>
      <c r="D1414" s="91"/>
      <c r="E1414" s="221"/>
      <c r="F1414" s="91"/>
      <c r="G1414" s="91"/>
      <c r="H1414" s="242"/>
      <c r="I1414" s="91"/>
      <c r="J1414" s="234"/>
      <c r="K1414" s="243"/>
      <c r="L1414" s="243"/>
      <c r="M1414" s="234"/>
      <c r="N1414" s="235"/>
      <c r="O1414" s="236"/>
      <c r="P1414" s="236"/>
      <c r="Q1414" s="236"/>
      <c r="R1414" s="236"/>
      <c r="S1414" s="236"/>
      <c r="T1414" s="236"/>
      <c r="U1414" s="236"/>
      <c r="V1414" s="236"/>
      <c r="W1414" s="236"/>
      <c r="X1414" s="244"/>
      <c r="Y1414" s="244"/>
      <c r="Z1414" s="237"/>
      <c r="AA1414" s="244"/>
      <c r="AB1414" s="244"/>
      <c r="AC1414" s="244"/>
      <c r="AD1414" s="244"/>
      <c r="AE1414" s="234"/>
      <c r="AF1414" s="234"/>
      <c r="AG1414" s="238"/>
      <c r="AH1414" s="239"/>
      <c r="AI1414" s="238"/>
      <c r="AJ1414" s="238"/>
      <c r="AK1414" s="234"/>
      <c r="AL1414" s="234"/>
      <c r="AM1414" s="234"/>
      <c r="AN1414" s="234"/>
      <c r="AO1414" s="234"/>
    </row>
    <row r="1415" ht="15.75" customHeight="1">
      <c r="A1415" s="91"/>
      <c r="B1415" s="91"/>
      <c r="C1415" s="220"/>
      <c r="D1415" s="91"/>
      <c r="E1415" s="221"/>
      <c r="F1415" s="91"/>
      <c r="G1415" s="91"/>
      <c r="H1415" s="242"/>
      <c r="I1415" s="91"/>
      <c r="J1415" s="234"/>
      <c r="K1415" s="243"/>
      <c r="L1415" s="243"/>
      <c r="M1415" s="234"/>
      <c r="N1415" s="235"/>
      <c r="O1415" s="236"/>
      <c r="P1415" s="236"/>
      <c r="Q1415" s="236"/>
      <c r="R1415" s="236"/>
      <c r="S1415" s="236"/>
      <c r="T1415" s="236"/>
      <c r="U1415" s="236"/>
      <c r="V1415" s="236"/>
      <c r="W1415" s="236"/>
      <c r="X1415" s="244"/>
      <c r="Y1415" s="244"/>
      <c r="Z1415" s="237"/>
      <c r="AA1415" s="244"/>
      <c r="AB1415" s="244"/>
      <c r="AC1415" s="244"/>
      <c r="AD1415" s="244"/>
      <c r="AE1415" s="234"/>
      <c r="AF1415" s="234"/>
      <c r="AG1415" s="238"/>
      <c r="AH1415" s="239"/>
      <c r="AI1415" s="238"/>
      <c r="AJ1415" s="238"/>
      <c r="AK1415" s="234"/>
      <c r="AL1415" s="234"/>
      <c r="AM1415" s="234"/>
      <c r="AN1415" s="234"/>
      <c r="AO1415" s="234"/>
    </row>
    <row r="1416" ht="15.75" customHeight="1">
      <c r="A1416" s="91"/>
      <c r="B1416" s="91"/>
      <c r="C1416" s="220"/>
      <c r="D1416" s="91"/>
      <c r="E1416" s="221"/>
      <c r="F1416" s="91"/>
      <c r="G1416" s="91"/>
      <c r="H1416" s="242"/>
      <c r="I1416" s="91"/>
      <c r="J1416" s="234"/>
      <c r="K1416" s="243"/>
      <c r="L1416" s="243"/>
      <c r="M1416" s="234"/>
      <c r="N1416" s="235"/>
      <c r="O1416" s="236"/>
      <c r="P1416" s="236"/>
      <c r="Q1416" s="236"/>
      <c r="R1416" s="236"/>
      <c r="S1416" s="236"/>
      <c r="T1416" s="236"/>
      <c r="U1416" s="236"/>
      <c r="V1416" s="236"/>
      <c r="W1416" s="236"/>
      <c r="X1416" s="244"/>
      <c r="Y1416" s="244"/>
      <c r="Z1416" s="237"/>
      <c r="AA1416" s="244"/>
      <c r="AB1416" s="244"/>
      <c r="AC1416" s="244"/>
      <c r="AD1416" s="244"/>
      <c r="AE1416" s="234"/>
      <c r="AF1416" s="234"/>
      <c r="AG1416" s="238"/>
      <c r="AH1416" s="239"/>
      <c r="AI1416" s="238"/>
      <c r="AJ1416" s="238"/>
      <c r="AK1416" s="234"/>
      <c r="AL1416" s="234"/>
      <c r="AM1416" s="234"/>
      <c r="AN1416" s="234"/>
      <c r="AO1416" s="234"/>
    </row>
    <row r="1417" ht="15.75" customHeight="1">
      <c r="A1417" s="91"/>
      <c r="B1417" s="91"/>
      <c r="C1417" s="220"/>
      <c r="D1417" s="91"/>
      <c r="E1417" s="221"/>
      <c r="F1417" s="91"/>
      <c r="G1417" s="91"/>
      <c r="H1417" s="242"/>
      <c r="I1417" s="91"/>
      <c r="J1417" s="234"/>
      <c r="K1417" s="243"/>
      <c r="L1417" s="243"/>
      <c r="M1417" s="234"/>
      <c r="N1417" s="235"/>
      <c r="O1417" s="236"/>
      <c r="P1417" s="236"/>
      <c r="Q1417" s="236"/>
      <c r="R1417" s="236"/>
      <c r="S1417" s="236"/>
      <c r="T1417" s="236"/>
      <c r="U1417" s="236"/>
      <c r="V1417" s="236"/>
      <c r="W1417" s="236"/>
      <c r="X1417" s="244"/>
      <c r="Y1417" s="244"/>
      <c r="Z1417" s="237"/>
      <c r="AA1417" s="244"/>
      <c r="AB1417" s="244"/>
      <c r="AC1417" s="244"/>
      <c r="AD1417" s="244"/>
      <c r="AE1417" s="234"/>
      <c r="AF1417" s="234"/>
      <c r="AG1417" s="238"/>
      <c r="AH1417" s="239"/>
      <c r="AI1417" s="238"/>
      <c r="AJ1417" s="238"/>
      <c r="AK1417" s="234"/>
      <c r="AL1417" s="234"/>
      <c r="AM1417" s="234"/>
      <c r="AN1417" s="234"/>
      <c r="AO1417" s="234"/>
    </row>
    <row r="1418" ht="15.75" customHeight="1">
      <c r="A1418" s="91"/>
      <c r="B1418" s="91"/>
      <c r="C1418" s="220"/>
      <c r="D1418" s="91"/>
      <c r="E1418" s="221"/>
      <c r="F1418" s="91"/>
      <c r="G1418" s="91"/>
      <c r="H1418" s="242"/>
      <c r="I1418" s="91"/>
      <c r="J1418" s="234"/>
      <c r="K1418" s="243"/>
      <c r="L1418" s="243"/>
      <c r="M1418" s="234"/>
      <c r="N1418" s="235"/>
      <c r="O1418" s="236"/>
      <c r="P1418" s="236"/>
      <c r="Q1418" s="236"/>
      <c r="R1418" s="236"/>
      <c r="S1418" s="236"/>
      <c r="T1418" s="236"/>
      <c r="U1418" s="236"/>
      <c r="V1418" s="236"/>
      <c r="W1418" s="236"/>
      <c r="X1418" s="244"/>
      <c r="Y1418" s="244"/>
      <c r="Z1418" s="237"/>
      <c r="AA1418" s="244"/>
      <c r="AB1418" s="244"/>
      <c r="AC1418" s="244"/>
      <c r="AD1418" s="244"/>
      <c r="AE1418" s="234"/>
      <c r="AF1418" s="234"/>
      <c r="AG1418" s="238"/>
      <c r="AH1418" s="239"/>
      <c r="AI1418" s="238"/>
      <c r="AJ1418" s="238"/>
      <c r="AK1418" s="234"/>
      <c r="AL1418" s="234"/>
      <c r="AM1418" s="234"/>
      <c r="AN1418" s="234"/>
      <c r="AO1418" s="234"/>
    </row>
    <row r="1419" ht="15.75" customHeight="1">
      <c r="A1419" s="91"/>
      <c r="B1419" s="91"/>
      <c r="C1419" s="220"/>
      <c r="D1419" s="91"/>
      <c r="E1419" s="221"/>
      <c r="F1419" s="91"/>
      <c r="G1419" s="91"/>
      <c r="H1419" s="242"/>
      <c r="I1419" s="91"/>
      <c r="J1419" s="234"/>
      <c r="K1419" s="243"/>
      <c r="L1419" s="243"/>
      <c r="M1419" s="234"/>
      <c r="N1419" s="235"/>
      <c r="O1419" s="236"/>
      <c r="P1419" s="236"/>
      <c r="Q1419" s="236"/>
      <c r="R1419" s="236"/>
      <c r="S1419" s="236"/>
      <c r="T1419" s="236"/>
      <c r="U1419" s="236"/>
      <c r="V1419" s="236"/>
      <c r="W1419" s="236"/>
      <c r="X1419" s="244"/>
      <c r="Y1419" s="244"/>
      <c r="Z1419" s="237"/>
      <c r="AA1419" s="244"/>
      <c r="AB1419" s="244"/>
      <c r="AC1419" s="244"/>
      <c r="AD1419" s="244"/>
      <c r="AE1419" s="234"/>
      <c r="AF1419" s="234"/>
      <c r="AG1419" s="238"/>
      <c r="AH1419" s="239"/>
      <c r="AI1419" s="238"/>
      <c r="AJ1419" s="238"/>
      <c r="AK1419" s="234"/>
      <c r="AL1419" s="234"/>
      <c r="AM1419" s="234"/>
      <c r="AN1419" s="234"/>
      <c r="AO1419" s="234"/>
    </row>
    <row r="1420" ht="15.75" customHeight="1">
      <c r="A1420" s="91"/>
      <c r="B1420" s="91"/>
      <c r="C1420" s="220"/>
      <c r="D1420" s="91"/>
      <c r="E1420" s="221"/>
      <c r="F1420" s="91"/>
      <c r="G1420" s="91"/>
      <c r="H1420" s="242"/>
      <c r="I1420" s="91"/>
      <c r="J1420" s="234"/>
      <c r="K1420" s="243"/>
      <c r="L1420" s="243"/>
      <c r="M1420" s="234"/>
      <c r="N1420" s="235"/>
      <c r="O1420" s="236"/>
      <c r="P1420" s="236"/>
      <c r="Q1420" s="236"/>
      <c r="R1420" s="236"/>
      <c r="S1420" s="236"/>
      <c r="T1420" s="236"/>
      <c r="U1420" s="236"/>
      <c r="V1420" s="236"/>
      <c r="W1420" s="236"/>
      <c r="X1420" s="244"/>
      <c r="Y1420" s="244"/>
      <c r="Z1420" s="237"/>
      <c r="AA1420" s="244"/>
      <c r="AB1420" s="244"/>
      <c r="AC1420" s="244"/>
      <c r="AD1420" s="244"/>
      <c r="AE1420" s="234"/>
      <c r="AF1420" s="234"/>
      <c r="AG1420" s="238"/>
      <c r="AH1420" s="239"/>
      <c r="AI1420" s="238"/>
      <c r="AJ1420" s="238"/>
      <c r="AK1420" s="234"/>
      <c r="AL1420" s="234"/>
      <c r="AM1420" s="234"/>
      <c r="AN1420" s="234"/>
      <c r="AO1420" s="234"/>
    </row>
    <row r="1421" ht="15.75" customHeight="1">
      <c r="A1421" s="91"/>
      <c r="B1421" s="91"/>
      <c r="C1421" s="220"/>
      <c r="D1421" s="91"/>
      <c r="E1421" s="221"/>
      <c r="F1421" s="91"/>
      <c r="G1421" s="91"/>
      <c r="H1421" s="242"/>
      <c r="I1421" s="91"/>
      <c r="J1421" s="234"/>
      <c r="K1421" s="243"/>
      <c r="L1421" s="243"/>
      <c r="M1421" s="234"/>
      <c r="N1421" s="235"/>
      <c r="O1421" s="236"/>
      <c r="P1421" s="236"/>
      <c r="Q1421" s="236"/>
      <c r="R1421" s="236"/>
      <c r="S1421" s="236"/>
      <c r="T1421" s="236"/>
      <c r="U1421" s="236"/>
      <c r="V1421" s="236"/>
      <c r="W1421" s="236"/>
      <c r="X1421" s="244"/>
      <c r="Y1421" s="244"/>
      <c r="Z1421" s="237"/>
      <c r="AA1421" s="244"/>
      <c r="AB1421" s="244"/>
      <c r="AC1421" s="244"/>
      <c r="AD1421" s="244"/>
      <c r="AE1421" s="234"/>
      <c r="AF1421" s="234"/>
      <c r="AG1421" s="238"/>
      <c r="AH1421" s="239"/>
      <c r="AI1421" s="238"/>
      <c r="AJ1421" s="238"/>
      <c r="AK1421" s="234"/>
      <c r="AL1421" s="234"/>
      <c r="AM1421" s="234"/>
      <c r="AN1421" s="234"/>
      <c r="AO1421" s="234"/>
    </row>
    <row r="1422" ht="15.75" customHeight="1">
      <c r="A1422" s="91"/>
      <c r="B1422" s="91"/>
      <c r="C1422" s="220"/>
      <c r="D1422" s="91"/>
      <c r="E1422" s="221"/>
      <c r="F1422" s="91"/>
      <c r="G1422" s="91"/>
      <c r="H1422" s="242"/>
      <c r="I1422" s="91"/>
      <c r="J1422" s="234"/>
      <c r="K1422" s="243"/>
      <c r="L1422" s="243"/>
      <c r="M1422" s="234"/>
      <c r="N1422" s="235"/>
      <c r="O1422" s="236"/>
      <c r="P1422" s="236"/>
      <c r="Q1422" s="236"/>
      <c r="R1422" s="236"/>
      <c r="S1422" s="236"/>
      <c r="T1422" s="236"/>
      <c r="U1422" s="236"/>
      <c r="V1422" s="236"/>
      <c r="W1422" s="236"/>
      <c r="X1422" s="244"/>
      <c r="Y1422" s="244"/>
      <c r="Z1422" s="237"/>
      <c r="AA1422" s="244"/>
      <c r="AB1422" s="244"/>
      <c r="AC1422" s="244"/>
      <c r="AD1422" s="244"/>
      <c r="AE1422" s="234"/>
      <c r="AF1422" s="234"/>
      <c r="AG1422" s="238"/>
      <c r="AH1422" s="239"/>
      <c r="AI1422" s="238"/>
      <c r="AJ1422" s="238"/>
      <c r="AK1422" s="234"/>
      <c r="AL1422" s="234"/>
      <c r="AM1422" s="234"/>
      <c r="AN1422" s="234"/>
      <c r="AO1422" s="234"/>
    </row>
    <row r="1423" ht="15.75" customHeight="1">
      <c r="A1423" s="91"/>
      <c r="B1423" s="91"/>
      <c r="C1423" s="220"/>
      <c r="D1423" s="91"/>
      <c r="E1423" s="221"/>
      <c r="F1423" s="91"/>
      <c r="G1423" s="91"/>
      <c r="H1423" s="242"/>
      <c r="I1423" s="91"/>
      <c r="J1423" s="234"/>
      <c r="K1423" s="243"/>
      <c r="L1423" s="243"/>
      <c r="M1423" s="234"/>
      <c r="N1423" s="235"/>
      <c r="O1423" s="236"/>
      <c r="P1423" s="236"/>
      <c r="Q1423" s="236"/>
      <c r="R1423" s="236"/>
      <c r="S1423" s="236"/>
      <c r="T1423" s="236"/>
      <c r="U1423" s="236"/>
      <c r="V1423" s="236"/>
      <c r="W1423" s="236"/>
      <c r="X1423" s="244"/>
      <c r="Y1423" s="244"/>
      <c r="Z1423" s="237"/>
      <c r="AA1423" s="244"/>
      <c r="AB1423" s="244"/>
      <c r="AC1423" s="244"/>
      <c r="AD1423" s="244"/>
      <c r="AE1423" s="234"/>
      <c r="AF1423" s="234"/>
      <c r="AG1423" s="238"/>
      <c r="AH1423" s="239"/>
      <c r="AI1423" s="238"/>
      <c r="AJ1423" s="238"/>
      <c r="AK1423" s="234"/>
      <c r="AL1423" s="234"/>
      <c r="AM1423" s="234"/>
      <c r="AN1423" s="234"/>
      <c r="AO1423" s="234"/>
    </row>
    <row r="1424" ht="15.75" customHeight="1">
      <c r="A1424" s="91"/>
      <c r="B1424" s="91"/>
      <c r="C1424" s="220"/>
      <c r="D1424" s="91"/>
      <c r="E1424" s="221"/>
      <c r="F1424" s="91"/>
      <c r="G1424" s="91"/>
      <c r="H1424" s="242"/>
      <c r="I1424" s="91"/>
      <c r="J1424" s="234"/>
      <c r="K1424" s="243"/>
      <c r="L1424" s="243"/>
      <c r="M1424" s="234"/>
      <c r="N1424" s="235"/>
      <c r="O1424" s="236"/>
      <c r="P1424" s="236"/>
      <c r="Q1424" s="236"/>
      <c r="R1424" s="236"/>
      <c r="S1424" s="236"/>
      <c r="T1424" s="236"/>
      <c r="U1424" s="236"/>
      <c r="V1424" s="236"/>
      <c r="W1424" s="236"/>
      <c r="X1424" s="244"/>
      <c r="Y1424" s="244"/>
      <c r="Z1424" s="237"/>
      <c r="AA1424" s="244"/>
      <c r="AB1424" s="244"/>
      <c r="AC1424" s="244"/>
      <c r="AD1424" s="244"/>
      <c r="AE1424" s="234"/>
      <c r="AF1424" s="234"/>
      <c r="AG1424" s="238"/>
      <c r="AH1424" s="239"/>
      <c r="AI1424" s="238"/>
      <c r="AJ1424" s="238"/>
      <c r="AK1424" s="234"/>
      <c r="AL1424" s="234"/>
      <c r="AM1424" s="234"/>
      <c r="AN1424" s="234"/>
      <c r="AO1424" s="234"/>
    </row>
    <row r="1425" ht="15.75" customHeight="1">
      <c r="A1425" s="91"/>
      <c r="B1425" s="91"/>
      <c r="C1425" s="220"/>
      <c r="D1425" s="91"/>
      <c r="E1425" s="221"/>
      <c r="F1425" s="91"/>
      <c r="G1425" s="91"/>
      <c r="H1425" s="242"/>
      <c r="I1425" s="91"/>
      <c r="J1425" s="234"/>
      <c r="K1425" s="243"/>
      <c r="L1425" s="243"/>
      <c r="M1425" s="234"/>
      <c r="N1425" s="235"/>
      <c r="O1425" s="236"/>
      <c r="P1425" s="236"/>
      <c r="Q1425" s="236"/>
      <c r="R1425" s="236"/>
      <c r="S1425" s="236"/>
      <c r="T1425" s="236"/>
      <c r="U1425" s="236"/>
      <c r="V1425" s="236"/>
      <c r="W1425" s="236"/>
      <c r="X1425" s="244"/>
      <c r="Y1425" s="244"/>
      <c r="Z1425" s="237"/>
      <c r="AA1425" s="244"/>
      <c r="AB1425" s="244"/>
      <c r="AC1425" s="244"/>
      <c r="AD1425" s="244"/>
      <c r="AE1425" s="234"/>
      <c r="AF1425" s="234"/>
      <c r="AG1425" s="238"/>
      <c r="AH1425" s="239"/>
      <c r="AI1425" s="238"/>
      <c r="AJ1425" s="238"/>
      <c r="AK1425" s="234"/>
      <c r="AL1425" s="234"/>
      <c r="AM1425" s="234"/>
      <c r="AN1425" s="234"/>
      <c r="AO1425" s="234"/>
    </row>
    <row r="1426" ht="15.75" customHeight="1">
      <c r="A1426" s="91"/>
      <c r="B1426" s="91"/>
      <c r="C1426" s="220"/>
      <c r="D1426" s="91"/>
      <c r="E1426" s="221"/>
      <c r="F1426" s="91"/>
      <c r="G1426" s="91"/>
      <c r="H1426" s="242"/>
      <c r="I1426" s="91"/>
      <c r="J1426" s="234"/>
      <c r="K1426" s="243"/>
      <c r="L1426" s="243"/>
      <c r="M1426" s="234"/>
      <c r="N1426" s="235"/>
      <c r="O1426" s="236"/>
      <c r="P1426" s="236"/>
      <c r="Q1426" s="236"/>
      <c r="R1426" s="236"/>
      <c r="S1426" s="236"/>
      <c r="T1426" s="236"/>
      <c r="U1426" s="236"/>
      <c r="V1426" s="236"/>
      <c r="W1426" s="236"/>
      <c r="X1426" s="244"/>
      <c r="Y1426" s="244"/>
      <c r="Z1426" s="237"/>
      <c r="AA1426" s="244"/>
      <c r="AB1426" s="244"/>
      <c r="AC1426" s="244"/>
      <c r="AD1426" s="244"/>
      <c r="AE1426" s="234"/>
      <c r="AF1426" s="234"/>
      <c r="AG1426" s="238"/>
      <c r="AH1426" s="239"/>
      <c r="AI1426" s="238"/>
      <c r="AJ1426" s="238"/>
      <c r="AK1426" s="234"/>
      <c r="AL1426" s="234"/>
      <c r="AM1426" s="234"/>
      <c r="AN1426" s="234"/>
      <c r="AO1426" s="234"/>
    </row>
    <row r="1427" ht="15.75" customHeight="1">
      <c r="A1427" s="91"/>
      <c r="B1427" s="91"/>
      <c r="C1427" s="220"/>
      <c r="D1427" s="91"/>
      <c r="E1427" s="221"/>
      <c r="F1427" s="91"/>
      <c r="G1427" s="91"/>
      <c r="H1427" s="242"/>
      <c r="I1427" s="91"/>
      <c r="J1427" s="234"/>
      <c r="K1427" s="243"/>
      <c r="L1427" s="243"/>
      <c r="M1427" s="234"/>
      <c r="N1427" s="235"/>
      <c r="O1427" s="236"/>
      <c r="P1427" s="236"/>
      <c r="Q1427" s="236"/>
      <c r="R1427" s="236"/>
      <c r="S1427" s="236"/>
      <c r="T1427" s="236"/>
      <c r="U1427" s="236"/>
      <c r="V1427" s="236"/>
      <c r="W1427" s="236"/>
      <c r="X1427" s="244"/>
      <c r="Y1427" s="244"/>
      <c r="Z1427" s="237"/>
      <c r="AA1427" s="244"/>
      <c r="AB1427" s="244"/>
      <c r="AC1427" s="244"/>
      <c r="AD1427" s="244"/>
      <c r="AE1427" s="234"/>
      <c r="AF1427" s="234"/>
      <c r="AG1427" s="238"/>
      <c r="AH1427" s="239"/>
      <c r="AI1427" s="238"/>
      <c r="AJ1427" s="238"/>
      <c r="AK1427" s="234"/>
      <c r="AL1427" s="234"/>
      <c r="AM1427" s="234"/>
      <c r="AN1427" s="234"/>
      <c r="AO1427" s="234"/>
    </row>
    <row r="1428" ht="15.75" customHeight="1">
      <c r="A1428" s="91"/>
      <c r="B1428" s="91"/>
      <c r="C1428" s="220"/>
      <c r="D1428" s="91"/>
      <c r="E1428" s="221"/>
      <c r="F1428" s="91"/>
      <c r="G1428" s="91"/>
      <c r="H1428" s="242"/>
      <c r="I1428" s="91"/>
      <c r="J1428" s="234"/>
      <c r="K1428" s="243"/>
      <c r="L1428" s="243"/>
      <c r="M1428" s="234"/>
      <c r="N1428" s="235"/>
      <c r="O1428" s="236"/>
      <c r="P1428" s="236"/>
      <c r="Q1428" s="236"/>
      <c r="R1428" s="236"/>
      <c r="S1428" s="236"/>
      <c r="T1428" s="236"/>
      <c r="U1428" s="236"/>
      <c r="V1428" s="236"/>
      <c r="W1428" s="236"/>
      <c r="X1428" s="244"/>
      <c r="Y1428" s="244"/>
      <c r="Z1428" s="237"/>
      <c r="AA1428" s="244"/>
      <c r="AB1428" s="244"/>
      <c r="AC1428" s="244"/>
      <c r="AD1428" s="244"/>
      <c r="AE1428" s="234"/>
      <c r="AF1428" s="234"/>
      <c r="AG1428" s="238"/>
      <c r="AH1428" s="239"/>
      <c r="AI1428" s="238"/>
      <c r="AJ1428" s="238"/>
      <c r="AK1428" s="234"/>
      <c r="AL1428" s="234"/>
      <c r="AM1428" s="234"/>
      <c r="AN1428" s="234"/>
      <c r="AO1428" s="234"/>
    </row>
    <row r="1429" ht="15.75" customHeight="1">
      <c r="A1429" s="91"/>
      <c r="B1429" s="91"/>
      <c r="C1429" s="220"/>
      <c r="D1429" s="91"/>
      <c r="E1429" s="221"/>
      <c r="F1429" s="91"/>
      <c r="G1429" s="91"/>
      <c r="H1429" s="242"/>
      <c r="I1429" s="91"/>
      <c r="J1429" s="234"/>
      <c r="K1429" s="243"/>
      <c r="L1429" s="243"/>
      <c r="M1429" s="234"/>
      <c r="N1429" s="235"/>
      <c r="O1429" s="236"/>
      <c r="P1429" s="236"/>
      <c r="Q1429" s="236"/>
      <c r="R1429" s="236"/>
      <c r="S1429" s="236"/>
      <c r="T1429" s="236"/>
      <c r="U1429" s="236"/>
      <c r="V1429" s="236"/>
      <c r="W1429" s="236"/>
      <c r="X1429" s="244"/>
      <c r="Y1429" s="244"/>
      <c r="Z1429" s="237"/>
      <c r="AA1429" s="244"/>
      <c r="AB1429" s="244"/>
      <c r="AC1429" s="244"/>
      <c r="AD1429" s="244"/>
      <c r="AE1429" s="234"/>
      <c r="AF1429" s="234"/>
      <c r="AG1429" s="238"/>
      <c r="AH1429" s="239"/>
      <c r="AI1429" s="238"/>
      <c r="AJ1429" s="238"/>
      <c r="AK1429" s="234"/>
      <c r="AL1429" s="234"/>
      <c r="AM1429" s="234"/>
      <c r="AN1429" s="234"/>
      <c r="AO1429" s="234"/>
    </row>
    <row r="1430" ht="15.75" customHeight="1">
      <c r="A1430" s="91"/>
      <c r="B1430" s="91"/>
      <c r="C1430" s="220"/>
      <c r="D1430" s="91"/>
      <c r="E1430" s="221"/>
      <c r="F1430" s="91"/>
      <c r="G1430" s="91"/>
      <c r="H1430" s="242"/>
      <c r="I1430" s="91"/>
      <c r="J1430" s="234"/>
      <c r="K1430" s="243"/>
      <c r="L1430" s="243"/>
      <c r="M1430" s="234"/>
      <c r="N1430" s="235"/>
      <c r="O1430" s="236"/>
      <c r="P1430" s="236"/>
      <c r="Q1430" s="236"/>
      <c r="R1430" s="236"/>
      <c r="S1430" s="236"/>
      <c r="T1430" s="236"/>
      <c r="U1430" s="236"/>
      <c r="V1430" s="236"/>
      <c r="W1430" s="236"/>
      <c r="X1430" s="244"/>
      <c r="Y1430" s="244"/>
      <c r="Z1430" s="237"/>
      <c r="AA1430" s="244"/>
      <c r="AB1430" s="244"/>
      <c r="AC1430" s="244"/>
      <c r="AD1430" s="244"/>
      <c r="AE1430" s="234"/>
      <c r="AF1430" s="234"/>
      <c r="AG1430" s="238"/>
      <c r="AH1430" s="239"/>
      <c r="AI1430" s="238"/>
      <c r="AJ1430" s="238"/>
      <c r="AK1430" s="234"/>
      <c r="AL1430" s="234"/>
      <c r="AM1430" s="234"/>
      <c r="AN1430" s="234"/>
      <c r="AO1430" s="234"/>
    </row>
    <row r="1431" ht="15.75" customHeight="1">
      <c r="A1431" s="91"/>
      <c r="B1431" s="91"/>
      <c r="C1431" s="220"/>
      <c r="D1431" s="91"/>
      <c r="E1431" s="221"/>
      <c r="F1431" s="91"/>
      <c r="G1431" s="91"/>
      <c r="H1431" s="242"/>
      <c r="I1431" s="91"/>
      <c r="J1431" s="234"/>
      <c r="K1431" s="243"/>
      <c r="L1431" s="243"/>
      <c r="M1431" s="234"/>
      <c r="N1431" s="235"/>
      <c r="O1431" s="236"/>
      <c r="P1431" s="236"/>
      <c r="Q1431" s="236"/>
      <c r="R1431" s="236"/>
      <c r="S1431" s="236"/>
      <c r="T1431" s="236"/>
      <c r="U1431" s="236"/>
      <c r="V1431" s="236"/>
      <c r="W1431" s="236"/>
      <c r="X1431" s="244"/>
      <c r="Y1431" s="244"/>
      <c r="Z1431" s="237"/>
      <c r="AA1431" s="244"/>
      <c r="AB1431" s="244"/>
      <c r="AC1431" s="244"/>
      <c r="AD1431" s="244"/>
      <c r="AE1431" s="234"/>
      <c r="AF1431" s="234"/>
      <c r="AG1431" s="238"/>
      <c r="AH1431" s="239"/>
      <c r="AI1431" s="238"/>
      <c r="AJ1431" s="238"/>
      <c r="AK1431" s="234"/>
      <c r="AL1431" s="234"/>
      <c r="AM1431" s="234"/>
      <c r="AN1431" s="234"/>
      <c r="AO1431" s="234"/>
    </row>
    <row r="1432" ht="15.75" customHeight="1">
      <c r="A1432" s="91"/>
      <c r="B1432" s="91"/>
      <c r="C1432" s="220"/>
      <c r="D1432" s="91"/>
      <c r="E1432" s="221"/>
      <c r="F1432" s="91"/>
      <c r="G1432" s="91"/>
      <c r="H1432" s="242"/>
      <c r="I1432" s="91"/>
      <c r="J1432" s="234"/>
      <c r="K1432" s="243"/>
      <c r="L1432" s="243"/>
      <c r="M1432" s="234"/>
      <c r="N1432" s="235"/>
      <c r="O1432" s="236"/>
      <c r="P1432" s="236"/>
      <c r="Q1432" s="236"/>
      <c r="R1432" s="236"/>
      <c r="S1432" s="236"/>
      <c r="T1432" s="236"/>
      <c r="U1432" s="236"/>
      <c r="V1432" s="236"/>
      <c r="W1432" s="236"/>
      <c r="X1432" s="244"/>
      <c r="Y1432" s="244"/>
      <c r="Z1432" s="237"/>
      <c r="AA1432" s="244"/>
      <c r="AB1432" s="244"/>
      <c r="AC1432" s="244"/>
      <c r="AD1432" s="244"/>
      <c r="AE1432" s="234"/>
      <c r="AF1432" s="234"/>
      <c r="AG1432" s="238"/>
      <c r="AH1432" s="239"/>
      <c r="AI1432" s="238"/>
      <c r="AJ1432" s="238"/>
      <c r="AK1432" s="234"/>
      <c r="AL1432" s="234"/>
      <c r="AM1432" s="234"/>
      <c r="AN1432" s="234"/>
      <c r="AO1432" s="234"/>
    </row>
    <row r="1433" ht="15.75" customHeight="1">
      <c r="A1433" s="91"/>
      <c r="B1433" s="91"/>
      <c r="C1433" s="220"/>
      <c r="D1433" s="91"/>
      <c r="E1433" s="221"/>
      <c r="F1433" s="91"/>
      <c r="G1433" s="91"/>
      <c r="H1433" s="242"/>
      <c r="I1433" s="91"/>
      <c r="J1433" s="234"/>
      <c r="K1433" s="243"/>
      <c r="L1433" s="243"/>
      <c r="M1433" s="234"/>
      <c r="N1433" s="235"/>
      <c r="O1433" s="236"/>
      <c r="P1433" s="236"/>
      <c r="Q1433" s="236"/>
      <c r="R1433" s="236"/>
      <c r="S1433" s="236"/>
      <c r="T1433" s="236"/>
      <c r="U1433" s="236"/>
      <c r="V1433" s="236"/>
      <c r="W1433" s="236"/>
      <c r="X1433" s="244"/>
      <c r="Y1433" s="244"/>
      <c r="Z1433" s="237"/>
      <c r="AA1433" s="244"/>
      <c r="AB1433" s="244"/>
      <c r="AC1433" s="244"/>
      <c r="AD1433" s="244"/>
      <c r="AE1433" s="234"/>
      <c r="AF1433" s="234"/>
      <c r="AG1433" s="238"/>
      <c r="AH1433" s="239"/>
      <c r="AI1433" s="238"/>
      <c r="AJ1433" s="238"/>
      <c r="AK1433" s="234"/>
      <c r="AL1433" s="234"/>
      <c r="AM1433" s="234"/>
      <c r="AN1433" s="234"/>
      <c r="AO1433" s="234"/>
    </row>
    <row r="1434" ht="15.75" customHeight="1">
      <c r="A1434" s="91"/>
      <c r="B1434" s="91"/>
      <c r="C1434" s="220"/>
      <c r="D1434" s="91"/>
      <c r="E1434" s="221"/>
      <c r="F1434" s="91"/>
      <c r="G1434" s="91"/>
      <c r="H1434" s="242"/>
      <c r="I1434" s="91"/>
      <c r="J1434" s="234"/>
      <c r="K1434" s="243"/>
      <c r="L1434" s="243"/>
      <c r="M1434" s="234"/>
      <c r="N1434" s="235"/>
      <c r="O1434" s="236"/>
      <c r="P1434" s="236"/>
      <c r="Q1434" s="236"/>
      <c r="R1434" s="236"/>
      <c r="S1434" s="236"/>
      <c r="T1434" s="236"/>
      <c r="U1434" s="236"/>
      <c r="V1434" s="236"/>
      <c r="W1434" s="236"/>
      <c r="X1434" s="244"/>
      <c r="Y1434" s="244"/>
      <c r="Z1434" s="237"/>
      <c r="AA1434" s="244"/>
      <c r="AB1434" s="244"/>
      <c r="AC1434" s="244"/>
      <c r="AD1434" s="244"/>
      <c r="AE1434" s="234"/>
      <c r="AF1434" s="234"/>
      <c r="AG1434" s="238"/>
      <c r="AH1434" s="239"/>
      <c r="AI1434" s="238"/>
      <c r="AJ1434" s="238"/>
      <c r="AK1434" s="234"/>
      <c r="AL1434" s="234"/>
      <c r="AM1434" s="234"/>
      <c r="AN1434" s="234"/>
      <c r="AO1434" s="234"/>
    </row>
    <row r="1435" ht="15.75" customHeight="1">
      <c r="A1435" s="91"/>
      <c r="B1435" s="91"/>
      <c r="C1435" s="220"/>
      <c r="D1435" s="91"/>
      <c r="E1435" s="221"/>
      <c r="F1435" s="91"/>
      <c r="G1435" s="91"/>
      <c r="H1435" s="242"/>
      <c r="I1435" s="91"/>
      <c r="J1435" s="234"/>
      <c r="K1435" s="243"/>
      <c r="L1435" s="243"/>
      <c r="M1435" s="234"/>
      <c r="N1435" s="235"/>
      <c r="O1435" s="236"/>
      <c r="P1435" s="236"/>
      <c r="Q1435" s="236"/>
      <c r="R1435" s="236"/>
      <c r="S1435" s="236"/>
      <c r="T1435" s="236"/>
      <c r="U1435" s="236"/>
      <c r="V1435" s="236"/>
      <c r="W1435" s="236"/>
      <c r="X1435" s="244"/>
      <c r="Y1435" s="244"/>
      <c r="Z1435" s="237"/>
      <c r="AA1435" s="244"/>
      <c r="AB1435" s="244"/>
      <c r="AC1435" s="244"/>
      <c r="AD1435" s="244"/>
      <c r="AE1435" s="234"/>
      <c r="AF1435" s="234"/>
      <c r="AG1435" s="238"/>
      <c r="AH1435" s="239"/>
      <c r="AI1435" s="238"/>
      <c r="AJ1435" s="238"/>
      <c r="AK1435" s="234"/>
      <c r="AL1435" s="234"/>
      <c r="AM1435" s="234"/>
      <c r="AN1435" s="234"/>
      <c r="AO1435" s="234"/>
    </row>
    <row r="1436" ht="15.75" customHeight="1">
      <c r="A1436" s="91"/>
      <c r="B1436" s="91"/>
      <c r="C1436" s="220"/>
      <c r="D1436" s="91"/>
      <c r="E1436" s="221"/>
      <c r="F1436" s="91"/>
      <c r="G1436" s="91"/>
      <c r="H1436" s="242"/>
      <c r="I1436" s="91"/>
      <c r="J1436" s="234"/>
      <c r="K1436" s="243"/>
      <c r="L1436" s="243"/>
      <c r="M1436" s="234"/>
      <c r="N1436" s="235"/>
      <c r="O1436" s="236"/>
      <c r="P1436" s="236"/>
      <c r="Q1436" s="236"/>
      <c r="R1436" s="236"/>
      <c r="S1436" s="236"/>
      <c r="T1436" s="236"/>
      <c r="U1436" s="236"/>
      <c r="V1436" s="236"/>
      <c r="W1436" s="236"/>
      <c r="X1436" s="244"/>
      <c r="Y1436" s="244"/>
      <c r="Z1436" s="237"/>
      <c r="AA1436" s="244"/>
      <c r="AB1436" s="244"/>
      <c r="AC1436" s="244"/>
      <c r="AD1436" s="244"/>
      <c r="AE1436" s="234"/>
      <c r="AF1436" s="234"/>
      <c r="AG1436" s="238"/>
      <c r="AH1436" s="239"/>
      <c r="AI1436" s="238"/>
      <c r="AJ1436" s="238"/>
      <c r="AK1436" s="234"/>
      <c r="AL1436" s="234"/>
      <c r="AM1436" s="234"/>
      <c r="AN1436" s="234"/>
      <c r="AO1436" s="234"/>
    </row>
    <row r="1437" ht="15.75" customHeight="1">
      <c r="A1437" s="91"/>
      <c r="B1437" s="91"/>
      <c r="C1437" s="220"/>
      <c r="D1437" s="91"/>
      <c r="E1437" s="221"/>
      <c r="F1437" s="91"/>
      <c r="G1437" s="91"/>
      <c r="H1437" s="242"/>
      <c r="I1437" s="91"/>
      <c r="J1437" s="234"/>
      <c r="K1437" s="243"/>
      <c r="L1437" s="243"/>
      <c r="M1437" s="234"/>
      <c r="N1437" s="235"/>
      <c r="O1437" s="236"/>
      <c r="P1437" s="236"/>
      <c r="Q1437" s="236"/>
      <c r="R1437" s="236"/>
      <c r="S1437" s="236"/>
      <c r="T1437" s="236"/>
      <c r="U1437" s="236"/>
      <c r="V1437" s="236"/>
      <c r="W1437" s="236"/>
      <c r="X1437" s="244"/>
      <c r="Y1437" s="244"/>
      <c r="Z1437" s="237"/>
      <c r="AA1437" s="244"/>
      <c r="AB1437" s="244"/>
      <c r="AC1437" s="244"/>
      <c r="AD1437" s="244"/>
      <c r="AE1437" s="234"/>
      <c r="AF1437" s="234"/>
      <c r="AG1437" s="238"/>
      <c r="AH1437" s="239"/>
      <c r="AI1437" s="238"/>
      <c r="AJ1437" s="238"/>
      <c r="AK1437" s="234"/>
      <c r="AL1437" s="234"/>
      <c r="AM1437" s="234"/>
      <c r="AN1437" s="234"/>
      <c r="AO1437" s="234"/>
    </row>
    <row r="1438" ht="15.75" customHeight="1">
      <c r="A1438" s="91"/>
      <c r="B1438" s="91"/>
      <c r="C1438" s="220"/>
      <c r="D1438" s="91"/>
      <c r="E1438" s="221"/>
      <c r="F1438" s="91"/>
      <c r="G1438" s="91"/>
      <c r="H1438" s="242"/>
      <c r="I1438" s="91"/>
      <c r="J1438" s="234"/>
      <c r="K1438" s="243"/>
      <c r="L1438" s="243"/>
      <c r="M1438" s="234"/>
      <c r="N1438" s="235"/>
      <c r="O1438" s="236"/>
      <c r="P1438" s="236"/>
      <c r="Q1438" s="236"/>
      <c r="R1438" s="236"/>
      <c r="S1438" s="236"/>
      <c r="T1438" s="236"/>
      <c r="U1438" s="236"/>
      <c r="V1438" s="236"/>
      <c r="W1438" s="236"/>
      <c r="X1438" s="244"/>
      <c r="Y1438" s="244"/>
      <c r="Z1438" s="237"/>
      <c r="AA1438" s="244"/>
      <c r="AB1438" s="244"/>
      <c r="AC1438" s="244"/>
      <c r="AD1438" s="244"/>
      <c r="AE1438" s="234"/>
      <c r="AF1438" s="234"/>
      <c r="AG1438" s="238"/>
      <c r="AH1438" s="239"/>
      <c r="AI1438" s="238"/>
      <c r="AJ1438" s="238"/>
      <c r="AK1438" s="234"/>
      <c r="AL1438" s="234"/>
      <c r="AM1438" s="234"/>
      <c r="AN1438" s="234"/>
      <c r="AO1438" s="234"/>
    </row>
    <row r="1439" ht="15.75" customHeight="1">
      <c r="A1439" s="91"/>
      <c r="B1439" s="91"/>
      <c r="C1439" s="220"/>
      <c r="D1439" s="91"/>
      <c r="E1439" s="221"/>
      <c r="F1439" s="91"/>
      <c r="G1439" s="91"/>
      <c r="H1439" s="242"/>
      <c r="I1439" s="91"/>
      <c r="J1439" s="234"/>
      <c r="K1439" s="243"/>
      <c r="L1439" s="243"/>
      <c r="M1439" s="234"/>
      <c r="N1439" s="235"/>
      <c r="O1439" s="236"/>
      <c r="P1439" s="236"/>
      <c r="Q1439" s="236"/>
      <c r="R1439" s="236"/>
      <c r="S1439" s="236"/>
      <c r="T1439" s="236"/>
      <c r="U1439" s="236"/>
      <c r="V1439" s="236"/>
      <c r="W1439" s="236"/>
      <c r="X1439" s="244"/>
      <c r="Y1439" s="244"/>
      <c r="Z1439" s="237"/>
      <c r="AA1439" s="244"/>
      <c r="AB1439" s="244"/>
      <c r="AC1439" s="244"/>
      <c r="AD1439" s="244"/>
      <c r="AE1439" s="234"/>
      <c r="AF1439" s="234"/>
      <c r="AG1439" s="238"/>
      <c r="AH1439" s="239"/>
      <c r="AI1439" s="238"/>
      <c r="AJ1439" s="238"/>
      <c r="AK1439" s="234"/>
      <c r="AL1439" s="234"/>
      <c r="AM1439" s="234"/>
      <c r="AN1439" s="234"/>
      <c r="AO1439" s="234"/>
    </row>
    <row r="1440" ht="15.75" customHeight="1">
      <c r="A1440" s="91"/>
      <c r="B1440" s="91"/>
      <c r="C1440" s="220"/>
      <c r="D1440" s="91"/>
      <c r="E1440" s="221"/>
      <c r="F1440" s="91"/>
      <c r="G1440" s="91"/>
      <c r="H1440" s="242"/>
      <c r="I1440" s="91"/>
      <c r="J1440" s="234"/>
      <c r="K1440" s="243"/>
      <c r="L1440" s="243"/>
      <c r="M1440" s="234"/>
      <c r="N1440" s="235"/>
      <c r="O1440" s="236"/>
      <c r="P1440" s="236"/>
      <c r="Q1440" s="236"/>
      <c r="R1440" s="236"/>
      <c r="S1440" s="236"/>
      <c r="T1440" s="236"/>
      <c r="U1440" s="236"/>
      <c r="V1440" s="236"/>
      <c r="W1440" s="236"/>
      <c r="X1440" s="244"/>
      <c r="Y1440" s="244"/>
      <c r="Z1440" s="237"/>
      <c r="AA1440" s="244"/>
      <c r="AB1440" s="244"/>
      <c r="AC1440" s="244"/>
      <c r="AD1440" s="244"/>
      <c r="AE1440" s="234"/>
      <c r="AF1440" s="234"/>
      <c r="AG1440" s="238"/>
      <c r="AH1440" s="239"/>
      <c r="AI1440" s="238"/>
      <c r="AJ1440" s="238"/>
      <c r="AK1440" s="234"/>
      <c r="AL1440" s="234"/>
      <c r="AM1440" s="234"/>
      <c r="AN1440" s="234"/>
      <c r="AO1440" s="234"/>
    </row>
    <row r="1441" ht="15.75" customHeight="1">
      <c r="A1441" s="91"/>
      <c r="B1441" s="91"/>
      <c r="C1441" s="220"/>
      <c r="D1441" s="91"/>
      <c r="E1441" s="221"/>
      <c r="F1441" s="91"/>
      <c r="G1441" s="91"/>
      <c r="H1441" s="242"/>
      <c r="I1441" s="91"/>
      <c r="J1441" s="234"/>
      <c r="K1441" s="243"/>
      <c r="L1441" s="243"/>
      <c r="M1441" s="234"/>
      <c r="N1441" s="235"/>
      <c r="O1441" s="236"/>
      <c r="P1441" s="236"/>
      <c r="Q1441" s="236"/>
      <c r="R1441" s="236"/>
      <c r="S1441" s="236"/>
      <c r="T1441" s="236"/>
      <c r="U1441" s="236"/>
      <c r="V1441" s="236"/>
      <c r="W1441" s="236"/>
      <c r="X1441" s="244"/>
      <c r="Y1441" s="244"/>
      <c r="Z1441" s="237"/>
      <c r="AA1441" s="244"/>
      <c r="AB1441" s="244"/>
      <c r="AC1441" s="244"/>
      <c r="AD1441" s="244"/>
      <c r="AE1441" s="234"/>
      <c r="AF1441" s="234"/>
      <c r="AG1441" s="238"/>
      <c r="AH1441" s="239"/>
      <c r="AI1441" s="238"/>
      <c r="AJ1441" s="238"/>
      <c r="AK1441" s="234"/>
      <c r="AL1441" s="234"/>
      <c r="AM1441" s="234"/>
      <c r="AN1441" s="234"/>
      <c r="AO1441" s="234"/>
    </row>
    <row r="1442" ht="15.75" customHeight="1">
      <c r="A1442" s="91"/>
      <c r="B1442" s="91"/>
      <c r="C1442" s="220"/>
      <c r="D1442" s="91"/>
      <c r="E1442" s="221"/>
      <c r="F1442" s="91"/>
      <c r="G1442" s="91"/>
      <c r="H1442" s="242"/>
      <c r="I1442" s="91"/>
      <c r="J1442" s="234"/>
      <c r="K1442" s="243"/>
      <c r="L1442" s="243"/>
      <c r="M1442" s="234"/>
      <c r="N1442" s="235"/>
      <c r="O1442" s="236"/>
      <c r="P1442" s="236"/>
      <c r="Q1442" s="236"/>
      <c r="R1442" s="236"/>
      <c r="S1442" s="236"/>
      <c r="T1442" s="236"/>
      <c r="U1442" s="236"/>
      <c r="V1442" s="236"/>
      <c r="W1442" s="236"/>
      <c r="X1442" s="244"/>
      <c r="Y1442" s="244"/>
      <c r="Z1442" s="237"/>
      <c r="AA1442" s="244"/>
      <c r="AB1442" s="244"/>
      <c r="AC1442" s="244"/>
      <c r="AD1442" s="244"/>
      <c r="AE1442" s="234"/>
      <c r="AF1442" s="234"/>
      <c r="AG1442" s="238"/>
      <c r="AH1442" s="239"/>
      <c r="AI1442" s="238"/>
      <c r="AJ1442" s="238"/>
      <c r="AK1442" s="234"/>
      <c r="AL1442" s="234"/>
      <c r="AM1442" s="234"/>
      <c r="AN1442" s="234"/>
      <c r="AO1442" s="234"/>
    </row>
    <row r="1443" ht="15.75" customHeight="1">
      <c r="A1443" s="91"/>
      <c r="B1443" s="91"/>
      <c r="C1443" s="220"/>
      <c r="D1443" s="91"/>
      <c r="E1443" s="221"/>
      <c r="F1443" s="91"/>
      <c r="G1443" s="91"/>
      <c r="H1443" s="242"/>
      <c r="I1443" s="91"/>
      <c r="J1443" s="234"/>
      <c r="K1443" s="243"/>
      <c r="L1443" s="243"/>
      <c r="M1443" s="234"/>
      <c r="N1443" s="235"/>
      <c r="O1443" s="236"/>
      <c r="P1443" s="236"/>
      <c r="Q1443" s="236"/>
      <c r="R1443" s="236"/>
      <c r="S1443" s="236"/>
      <c r="T1443" s="236"/>
      <c r="U1443" s="236"/>
      <c r="V1443" s="236"/>
      <c r="W1443" s="236"/>
      <c r="X1443" s="244"/>
      <c r="Y1443" s="244"/>
      <c r="Z1443" s="237"/>
      <c r="AA1443" s="244"/>
      <c r="AB1443" s="244"/>
      <c r="AC1443" s="244"/>
      <c r="AD1443" s="244"/>
      <c r="AE1443" s="234"/>
      <c r="AF1443" s="234"/>
      <c r="AG1443" s="238"/>
      <c r="AH1443" s="239"/>
      <c r="AI1443" s="238"/>
      <c r="AJ1443" s="238"/>
      <c r="AK1443" s="234"/>
      <c r="AL1443" s="234"/>
      <c r="AM1443" s="234"/>
      <c r="AN1443" s="234"/>
      <c r="AO1443" s="234"/>
    </row>
    <row r="1444" ht="15.75" customHeight="1">
      <c r="A1444" s="91"/>
      <c r="B1444" s="91"/>
      <c r="C1444" s="220"/>
      <c r="D1444" s="91"/>
      <c r="E1444" s="221"/>
      <c r="F1444" s="91"/>
      <c r="G1444" s="91"/>
      <c r="H1444" s="242"/>
      <c r="I1444" s="91"/>
      <c r="J1444" s="234"/>
      <c r="K1444" s="243"/>
      <c r="L1444" s="243"/>
      <c r="M1444" s="234"/>
      <c r="N1444" s="235"/>
      <c r="O1444" s="236"/>
      <c r="P1444" s="236"/>
      <c r="Q1444" s="236"/>
      <c r="R1444" s="236"/>
      <c r="S1444" s="236"/>
      <c r="T1444" s="236"/>
      <c r="U1444" s="236"/>
      <c r="V1444" s="236"/>
      <c r="W1444" s="236"/>
      <c r="X1444" s="244"/>
      <c r="Y1444" s="244"/>
      <c r="Z1444" s="237"/>
      <c r="AA1444" s="244"/>
      <c r="AB1444" s="244"/>
      <c r="AC1444" s="244"/>
      <c r="AD1444" s="244"/>
      <c r="AE1444" s="234"/>
      <c r="AF1444" s="234"/>
      <c r="AG1444" s="238"/>
      <c r="AH1444" s="239"/>
      <c r="AI1444" s="238"/>
      <c r="AJ1444" s="238"/>
      <c r="AK1444" s="234"/>
      <c r="AL1444" s="234"/>
      <c r="AM1444" s="234"/>
      <c r="AN1444" s="234"/>
      <c r="AO1444" s="234"/>
    </row>
    <row r="1445" ht="15.75" customHeight="1">
      <c r="A1445" s="91"/>
      <c r="B1445" s="91"/>
      <c r="C1445" s="220"/>
      <c r="D1445" s="91"/>
      <c r="E1445" s="221"/>
      <c r="F1445" s="91"/>
      <c r="G1445" s="91"/>
      <c r="H1445" s="242"/>
      <c r="I1445" s="91"/>
      <c r="J1445" s="234"/>
      <c r="K1445" s="243"/>
      <c r="L1445" s="243"/>
      <c r="M1445" s="234"/>
      <c r="N1445" s="235"/>
      <c r="O1445" s="236"/>
      <c r="P1445" s="236"/>
      <c r="Q1445" s="236"/>
      <c r="R1445" s="236"/>
      <c r="S1445" s="236"/>
      <c r="T1445" s="236"/>
      <c r="U1445" s="236"/>
      <c r="V1445" s="236"/>
      <c r="W1445" s="236"/>
      <c r="X1445" s="244"/>
      <c r="Y1445" s="244"/>
      <c r="Z1445" s="237"/>
      <c r="AA1445" s="244"/>
      <c r="AB1445" s="244"/>
      <c r="AC1445" s="244"/>
      <c r="AD1445" s="244"/>
      <c r="AE1445" s="234"/>
      <c r="AF1445" s="234"/>
      <c r="AG1445" s="238"/>
      <c r="AH1445" s="239"/>
      <c r="AI1445" s="238"/>
      <c r="AJ1445" s="238"/>
      <c r="AK1445" s="234"/>
      <c r="AL1445" s="234"/>
      <c r="AM1445" s="234"/>
      <c r="AN1445" s="234"/>
      <c r="AO1445" s="234"/>
    </row>
    <row r="1446" ht="15.75" customHeight="1">
      <c r="A1446" s="91"/>
      <c r="B1446" s="91"/>
      <c r="C1446" s="220"/>
      <c r="D1446" s="91"/>
      <c r="E1446" s="221"/>
      <c r="F1446" s="91"/>
      <c r="G1446" s="91"/>
      <c r="H1446" s="242"/>
      <c r="I1446" s="91"/>
      <c r="J1446" s="234"/>
      <c r="K1446" s="243"/>
      <c r="L1446" s="243"/>
      <c r="M1446" s="234"/>
      <c r="N1446" s="235"/>
      <c r="O1446" s="236"/>
      <c r="P1446" s="236"/>
      <c r="Q1446" s="236"/>
      <c r="R1446" s="236"/>
      <c r="S1446" s="236"/>
      <c r="T1446" s="236"/>
      <c r="U1446" s="236"/>
      <c r="V1446" s="236"/>
      <c r="W1446" s="236"/>
      <c r="X1446" s="244"/>
      <c r="Y1446" s="244"/>
      <c r="Z1446" s="237"/>
      <c r="AA1446" s="244"/>
      <c r="AB1446" s="244"/>
      <c r="AC1446" s="244"/>
      <c r="AD1446" s="244"/>
      <c r="AE1446" s="234"/>
      <c r="AF1446" s="234"/>
      <c r="AG1446" s="238"/>
      <c r="AH1446" s="239"/>
      <c r="AI1446" s="238"/>
      <c r="AJ1446" s="238"/>
      <c r="AK1446" s="234"/>
      <c r="AL1446" s="234"/>
      <c r="AM1446" s="234"/>
      <c r="AN1446" s="234"/>
      <c r="AO1446" s="234"/>
    </row>
    <row r="1447" ht="15.75" customHeight="1">
      <c r="A1447" s="91"/>
      <c r="B1447" s="91"/>
      <c r="C1447" s="220"/>
      <c r="D1447" s="91"/>
      <c r="E1447" s="221"/>
      <c r="F1447" s="91"/>
      <c r="G1447" s="91"/>
      <c r="H1447" s="242"/>
      <c r="I1447" s="91"/>
      <c r="J1447" s="234"/>
      <c r="K1447" s="243"/>
      <c r="L1447" s="243"/>
      <c r="M1447" s="234"/>
      <c r="N1447" s="235"/>
      <c r="O1447" s="236"/>
      <c r="P1447" s="236"/>
      <c r="Q1447" s="236"/>
      <c r="R1447" s="236"/>
      <c r="S1447" s="236"/>
      <c r="T1447" s="236"/>
      <c r="U1447" s="236"/>
      <c r="V1447" s="236"/>
      <c r="W1447" s="236"/>
      <c r="X1447" s="244"/>
      <c r="Y1447" s="244"/>
      <c r="Z1447" s="237"/>
      <c r="AA1447" s="244"/>
      <c r="AB1447" s="244"/>
      <c r="AC1447" s="244"/>
      <c r="AD1447" s="244"/>
      <c r="AE1447" s="234"/>
      <c r="AF1447" s="234"/>
      <c r="AG1447" s="238"/>
      <c r="AH1447" s="239"/>
      <c r="AI1447" s="238"/>
      <c r="AJ1447" s="238"/>
      <c r="AK1447" s="234"/>
      <c r="AL1447" s="234"/>
      <c r="AM1447" s="234"/>
      <c r="AN1447" s="234"/>
      <c r="AO1447" s="234"/>
    </row>
    <row r="1448" ht="15.75" customHeight="1">
      <c r="A1448" s="91"/>
      <c r="B1448" s="91"/>
      <c r="C1448" s="220"/>
      <c r="D1448" s="91"/>
      <c r="E1448" s="221"/>
      <c r="F1448" s="91"/>
      <c r="G1448" s="91"/>
      <c r="H1448" s="242"/>
      <c r="I1448" s="91"/>
      <c r="J1448" s="234"/>
      <c r="K1448" s="243"/>
      <c r="L1448" s="243"/>
      <c r="M1448" s="234"/>
      <c r="N1448" s="235"/>
      <c r="O1448" s="236"/>
      <c r="P1448" s="236"/>
      <c r="Q1448" s="236"/>
      <c r="R1448" s="236"/>
      <c r="S1448" s="236"/>
      <c r="T1448" s="236"/>
      <c r="U1448" s="236"/>
      <c r="V1448" s="236"/>
      <c r="W1448" s="236"/>
      <c r="X1448" s="244"/>
      <c r="Y1448" s="244"/>
      <c r="Z1448" s="237"/>
      <c r="AA1448" s="244"/>
      <c r="AB1448" s="244"/>
      <c r="AC1448" s="244"/>
      <c r="AD1448" s="244"/>
      <c r="AE1448" s="234"/>
      <c r="AF1448" s="234"/>
      <c r="AG1448" s="238"/>
      <c r="AH1448" s="239"/>
      <c r="AI1448" s="238"/>
      <c r="AJ1448" s="238"/>
      <c r="AK1448" s="234"/>
      <c r="AL1448" s="234"/>
      <c r="AM1448" s="234"/>
      <c r="AN1448" s="234"/>
      <c r="AO1448" s="234"/>
    </row>
    <row r="1449" ht="15.75" customHeight="1">
      <c r="A1449" s="91"/>
      <c r="B1449" s="91"/>
      <c r="C1449" s="220"/>
      <c r="D1449" s="91"/>
      <c r="E1449" s="221"/>
      <c r="F1449" s="91"/>
      <c r="G1449" s="91"/>
      <c r="H1449" s="242"/>
      <c r="I1449" s="91"/>
      <c r="J1449" s="234"/>
      <c r="K1449" s="243"/>
      <c r="L1449" s="243"/>
      <c r="M1449" s="234"/>
      <c r="N1449" s="235"/>
      <c r="O1449" s="236"/>
      <c r="P1449" s="236"/>
      <c r="Q1449" s="236"/>
      <c r="R1449" s="236"/>
      <c r="S1449" s="236"/>
      <c r="T1449" s="236"/>
      <c r="U1449" s="236"/>
      <c r="V1449" s="236"/>
      <c r="W1449" s="236"/>
      <c r="X1449" s="244"/>
      <c r="Y1449" s="244"/>
      <c r="Z1449" s="237"/>
      <c r="AA1449" s="244"/>
      <c r="AB1449" s="244"/>
      <c r="AC1449" s="244"/>
      <c r="AD1449" s="244"/>
      <c r="AE1449" s="234"/>
      <c r="AF1449" s="234"/>
      <c r="AG1449" s="238"/>
      <c r="AH1449" s="239"/>
      <c r="AI1449" s="238"/>
      <c r="AJ1449" s="238"/>
      <c r="AK1449" s="234"/>
      <c r="AL1449" s="234"/>
      <c r="AM1449" s="234"/>
      <c r="AN1449" s="234"/>
      <c r="AO1449" s="234"/>
    </row>
    <row r="1450" ht="15.75" customHeight="1">
      <c r="A1450" s="91"/>
      <c r="B1450" s="91"/>
      <c r="C1450" s="220"/>
      <c r="D1450" s="91"/>
      <c r="E1450" s="221"/>
      <c r="F1450" s="91"/>
      <c r="G1450" s="91"/>
      <c r="H1450" s="242"/>
      <c r="I1450" s="91"/>
      <c r="J1450" s="234"/>
      <c r="K1450" s="243"/>
      <c r="L1450" s="243"/>
      <c r="M1450" s="234"/>
      <c r="N1450" s="235"/>
      <c r="O1450" s="236"/>
      <c r="P1450" s="236"/>
      <c r="Q1450" s="236"/>
      <c r="R1450" s="236"/>
      <c r="S1450" s="236"/>
      <c r="T1450" s="236"/>
      <c r="U1450" s="236"/>
      <c r="V1450" s="236"/>
      <c r="W1450" s="236"/>
      <c r="X1450" s="244"/>
      <c r="Y1450" s="244"/>
      <c r="Z1450" s="237"/>
      <c r="AA1450" s="244"/>
      <c r="AB1450" s="244"/>
      <c r="AC1450" s="244"/>
      <c r="AD1450" s="244"/>
      <c r="AE1450" s="234"/>
      <c r="AF1450" s="234"/>
      <c r="AG1450" s="238"/>
      <c r="AH1450" s="239"/>
      <c r="AI1450" s="238"/>
      <c r="AJ1450" s="238"/>
      <c r="AK1450" s="234"/>
      <c r="AL1450" s="234"/>
      <c r="AM1450" s="234"/>
      <c r="AN1450" s="234"/>
      <c r="AO1450" s="234"/>
    </row>
    <row r="1451" ht="15.75" customHeight="1">
      <c r="A1451" s="91"/>
      <c r="B1451" s="91"/>
      <c r="C1451" s="220"/>
      <c r="D1451" s="91"/>
      <c r="E1451" s="221"/>
      <c r="F1451" s="91"/>
      <c r="G1451" s="91"/>
      <c r="H1451" s="242"/>
      <c r="I1451" s="91"/>
      <c r="J1451" s="234"/>
      <c r="K1451" s="243"/>
      <c r="L1451" s="243"/>
      <c r="M1451" s="234"/>
      <c r="N1451" s="235"/>
      <c r="O1451" s="236"/>
      <c r="P1451" s="236"/>
      <c r="Q1451" s="236"/>
      <c r="R1451" s="236"/>
      <c r="S1451" s="236"/>
      <c r="T1451" s="236"/>
      <c r="U1451" s="236"/>
      <c r="V1451" s="236"/>
      <c r="W1451" s="236"/>
      <c r="X1451" s="244"/>
      <c r="Y1451" s="244"/>
      <c r="Z1451" s="237"/>
      <c r="AA1451" s="244"/>
      <c r="AB1451" s="244"/>
      <c r="AC1451" s="244"/>
      <c r="AD1451" s="244"/>
      <c r="AE1451" s="234"/>
      <c r="AF1451" s="234"/>
      <c r="AG1451" s="238"/>
      <c r="AH1451" s="239"/>
      <c r="AI1451" s="238"/>
      <c r="AJ1451" s="238"/>
      <c r="AK1451" s="234"/>
      <c r="AL1451" s="234"/>
      <c r="AM1451" s="234"/>
      <c r="AN1451" s="234"/>
      <c r="AO1451" s="234"/>
    </row>
    <row r="1452" ht="15.75" customHeight="1">
      <c r="A1452" s="91"/>
      <c r="B1452" s="91"/>
      <c r="C1452" s="220"/>
      <c r="D1452" s="91"/>
      <c r="E1452" s="221"/>
      <c r="F1452" s="91"/>
      <c r="G1452" s="91"/>
      <c r="H1452" s="242"/>
      <c r="I1452" s="91"/>
      <c r="J1452" s="234"/>
      <c r="K1452" s="243"/>
      <c r="L1452" s="243"/>
      <c r="M1452" s="234"/>
      <c r="N1452" s="235"/>
      <c r="O1452" s="236"/>
      <c r="P1452" s="236"/>
      <c r="Q1452" s="236"/>
      <c r="R1452" s="236"/>
      <c r="S1452" s="236"/>
      <c r="T1452" s="236"/>
      <c r="U1452" s="236"/>
      <c r="V1452" s="236"/>
      <c r="W1452" s="236"/>
      <c r="X1452" s="244"/>
      <c r="Y1452" s="244"/>
      <c r="Z1452" s="237"/>
      <c r="AA1452" s="244"/>
      <c r="AB1452" s="244"/>
      <c r="AC1452" s="244"/>
      <c r="AD1452" s="244"/>
      <c r="AE1452" s="234"/>
      <c r="AF1452" s="234"/>
      <c r="AG1452" s="238"/>
      <c r="AH1452" s="239"/>
      <c r="AI1452" s="238"/>
      <c r="AJ1452" s="238"/>
      <c r="AK1452" s="234"/>
      <c r="AL1452" s="234"/>
      <c r="AM1452" s="234"/>
      <c r="AN1452" s="234"/>
      <c r="AO1452" s="234"/>
    </row>
    <row r="1453" ht="15.75" customHeight="1">
      <c r="A1453" s="91"/>
      <c r="B1453" s="91"/>
      <c r="C1453" s="220"/>
      <c r="D1453" s="91"/>
      <c r="E1453" s="221"/>
      <c r="F1453" s="91"/>
      <c r="G1453" s="91"/>
      <c r="H1453" s="242"/>
      <c r="I1453" s="91"/>
      <c r="J1453" s="234"/>
      <c r="K1453" s="243"/>
      <c r="L1453" s="243"/>
      <c r="M1453" s="234"/>
      <c r="N1453" s="235"/>
      <c r="O1453" s="236"/>
      <c r="P1453" s="236"/>
      <c r="Q1453" s="236"/>
      <c r="R1453" s="236"/>
      <c r="S1453" s="236"/>
      <c r="T1453" s="236"/>
      <c r="U1453" s="236"/>
      <c r="V1453" s="236"/>
      <c r="W1453" s="236"/>
      <c r="X1453" s="244"/>
      <c r="Y1453" s="244"/>
      <c r="Z1453" s="237"/>
      <c r="AA1453" s="244"/>
      <c r="AB1453" s="244"/>
      <c r="AC1453" s="244"/>
      <c r="AD1453" s="244"/>
      <c r="AE1453" s="234"/>
      <c r="AF1453" s="234"/>
      <c r="AG1453" s="238"/>
      <c r="AH1453" s="239"/>
      <c r="AI1453" s="238"/>
      <c r="AJ1453" s="238"/>
      <c r="AK1453" s="234"/>
      <c r="AL1453" s="234"/>
      <c r="AM1453" s="234"/>
      <c r="AN1453" s="234"/>
      <c r="AO1453" s="234"/>
    </row>
    <row r="1454" ht="15.75" customHeight="1">
      <c r="A1454" s="91"/>
      <c r="B1454" s="91"/>
      <c r="C1454" s="220"/>
      <c r="D1454" s="91"/>
      <c r="E1454" s="221"/>
      <c r="F1454" s="91"/>
      <c r="G1454" s="91"/>
      <c r="H1454" s="242"/>
      <c r="I1454" s="91"/>
      <c r="J1454" s="234"/>
      <c r="K1454" s="243"/>
      <c r="L1454" s="243"/>
      <c r="M1454" s="234"/>
      <c r="N1454" s="235"/>
      <c r="O1454" s="236"/>
      <c r="P1454" s="236"/>
      <c r="Q1454" s="236"/>
      <c r="R1454" s="236"/>
      <c r="S1454" s="236"/>
      <c r="T1454" s="236"/>
      <c r="U1454" s="236"/>
      <c r="V1454" s="236"/>
      <c r="W1454" s="236"/>
      <c r="X1454" s="244"/>
      <c r="Y1454" s="244"/>
      <c r="Z1454" s="237"/>
      <c r="AA1454" s="244"/>
      <c r="AB1454" s="244"/>
      <c r="AC1454" s="244"/>
      <c r="AD1454" s="244"/>
      <c r="AE1454" s="234"/>
      <c r="AF1454" s="234"/>
      <c r="AG1454" s="238"/>
      <c r="AH1454" s="239"/>
      <c r="AI1454" s="238"/>
      <c r="AJ1454" s="238"/>
      <c r="AK1454" s="234"/>
      <c r="AL1454" s="234"/>
      <c r="AM1454" s="234"/>
      <c r="AN1454" s="234"/>
      <c r="AO1454" s="234"/>
    </row>
    <row r="1455" ht="15.75" customHeight="1">
      <c r="A1455" s="91"/>
      <c r="B1455" s="91"/>
      <c r="C1455" s="220"/>
      <c r="D1455" s="91"/>
      <c r="E1455" s="221"/>
      <c r="F1455" s="91"/>
      <c r="G1455" s="91"/>
      <c r="H1455" s="242"/>
      <c r="I1455" s="91"/>
      <c r="J1455" s="234"/>
      <c r="K1455" s="243"/>
      <c r="L1455" s="243"/>
      <c r="M1455" s="234"/>
      <c r="N1455" s="235"/>
      <c r="O1455" s="236"/>
      <c r="P1455" s="236"/>
      <c r="Q1455" s="236"/>
      <c r="R1455" s="236"/>
      <c r="S1455" s="236"/>
      <c r="T1455" s="236"/>
      <c r="U1455" s="236"/>
      <c r="V1455" s="236"/>
      <c r="W1455" s="236"/>
      <c r="X1455" s="244"/>
      <c r="Y1455" s="244"/>
      <c r="Z1455" s="237"/>
      <c r="AA1455" s="244"/>
      <c r="AB1455" s="244"/>
      <c r="AC1455" s="244"/>
      <c r="AD1455" s="244"/>
      <c r="AE1455" s="234"/>
      <c r="AF1455" s="234"/>
      <c r="AG1455" s="238"/>
      <c r="AH1455" s="239"/>
      <c r="AI1455" s="238"/>
      <c r="AJ1455" s="238"/>
      <c r="AK1455" s="234"/>
      <c r="AL1455" s="234"/>
      <c r="AM1455" s="234"/>
      <c r="AN1455" s="234"/>
      <c r="AO1455" s="234"/>
    </row>
    <row r="1456" ht="15.75" customHeight="1">
      <c r="A1456" s="91"/>
      <c r="B1456" s="91"/>
      <c r="C1456" s="220"/>
      <c r="D1456" s="91"/>
      <c r="E1456" s="221"/>
      <c r="F1456" s="91"/>
      <c r="G1456" s="91"/>
      <c r="H1456" s="242"/>
      <c r="I1456" s="91"/>
      <c r="J1456" s="234"/>
      <c r="K1456" s="243"/>
      <c r="L1456" s="243"/>
      <c r="M1456" s="234"/>
      <c r="N1456" s="235"/>
      <c r="O1456" s="236"/>
      <c r="P1456" s="236"/>
      <c r="Q1456" s="236"/>
      <c r="R1456" s="236"/>
      <c r="S1456" s="236"/>
      <c r="T1456" s="236"/>
      <c r="U1456" s="236"/>
      <c r="V1456" s="236"/>
      <c r="W1456" s="236"/>
      <c r="X1456" s="244"/>
      <c r="Y1456" s="244"/>
      <c r="Z1456" s="237"/>
      <c r="AA1456" s="244"/>
      <c r="AB1456" s="244"/>
      <c r="AC1456" s="244"/>
      <c r="AD1456" s="244"/>
      <c r="AE1456" s="234"/>
      <c r="AF1456" s="234"/>
      <c r="AG1456" s="238"/>
      <c r="AH1456" s="239"/>
      <c r="AI1456" s="238"/>
      <c r="AJ1456" s="238"/>
      <c r="AK1456" s="234"/>
      <c r="AL1456" s="234"/>
      <c r="AM1456" s="234"/>
      <c r="AN1456" s="234"/>
      <c r="AO1456" s="234"/>
    </row>
    <row r="1457" ht="15.75" customHeight="1">
      <c r="A1457" s="91"/>
      <c r="B1457" s="91"/>
      <c r="C1457" s="220"/>
      <c r="D1457" s="91"/>
      <c r="E1457" s="221"/>
      <c r="F1457" s="91"/>
      <c r="G1457" s="91"/>
      <c r="H1457" s="242"/>
      <c r="I1457" s="91"/>
      <c r="J1457" s="234"/>
      <c r="K1457" s="243"/>
      <c r="L1457" s="243"/>
      <c r="M1457" s="234"/>
      <c r="N1457" s="235"/>
      <c r="O1457" s="236"/>
      <c r="P1457" s="236"/>
      <c r="Q1457" s="236"/>
      <c r="R1457" s="236"/>
      <c r="S1457" s="236"/>
      <c r="T1457" s="236"/>
      <c r="U1457" s="236"/>
      <c r="V1457" s="236"/>
      <c r="W1457" s="236"/>
      <c r="X1457" s="244"/>
      <c r="Y1457" s="244"/>
      <c r="Z1457" s="237"/>
      <c r="AA1457" s="244"/>
      <c r="AB1457" s="244"/>
      <c r="AC1457" s="244"/>
      <c r="AD1457" s="244"/>
      <c r="AE1457" s="234"/>
      <c r="AF1457" s="234"/>
      <c r="AG1457" s="238"/>
      <c r="AH1457" s="239"/>
      <c r="AI1457" s="238"/>
      <c r="AJ1457" s="238"/>
      <c r="AK1457" s="234"/>
      <c r="AL1457" s="234"/>
      <c r="AM1457" s="234"/>
      <c r="AN1457" s="234"/>
      <c r="AO1457" s="234"/>
    </row>
    <row r="1458" ht="15.75" customHeight="1">
      <c r="A1458" s="91"/>
      <c r="B1458" s="91"/>
      <c r="C1458" s="220"/>
      <c r="D1458" s="91"/>
      <c r="E1458" s="221"/>
      <c r="F1458" s="91"/>
      <c r="G1458" s="91"/>
      <c r="H1458" s="242"/>
      <c r="I1458" s="91"/>
      <c r="J1458" s="234"/>
      <c r="K1458" s="243"/>
      <c r="L1458" s="243"/>
      <c r="M1458" s="234"/>
      <c r="N1458" s="235"/>
      <c r="O1458" s="236"/>
      <c r="P1458" s="236"/>
      <c r="Q1458" s="236"/>
      <c r="R1458" s="236"/>
      <c r="S1458" s="236"/>
      <c r="T1458" s="236"/>
      <c r="U1458" s="236"/>
      <c r="V1458" s="236"/>
      <c r="W1458" s="236"/>
      <c r="X1458" s="244"/>
      <c r="Y1458" s="244"/>
      <c r="Z1458" s="237"/>
      <c r="AA1458" s="244"/>
      <c r="AB1458" s="244"/>
      <c r="AC1458" s="244"/>
      <c r="AD1458" s="244"/>
      <c r="AE1458" s="234"/>
      <c r="AF1458" s="234"/>
      <c r="AG1458" s="238"/>
      <c r="AH1458" s="239"/>
      <c r="AI1458" s="238"/>
      <c r="AJ1458" s="238"/>
      <c r="AK1458" s="234"/>
      <c r="AL1458" s="234"/>
      <c r="AM1458" s="234"/>
      <c r="AN1458" s="234"/>
      <c r="AO1458" s="234"/>
    </row>
    <row r="1459" ht="15.75" customHeight="1">
      <c r="A1459" s="91"/>
      <c r="B1459" s="91"/>
      <c r="C1459" s="220"/>
      <c r="D1459" s="91"/>
      <c r="E1459" s="221"/>
      <c r="F1459" s="91"/>
      <c r="G1459" s="91"/>
      <c r="H1459" s="242"/>
      <c r="I1459" s="91"/>
      <c r="J1459" s="234"/>
      <c r="K1459" s="243"/>
      <c r="L1459" s="243"/>
      <c r="M1459" s="234"/>
      <c r="N1459" s="235"/>
      <c r="O1459" s="236"/>
      <c r="P1459" s="236"/>
      <c r="Q1459" s="236"/>
      <c r="R1459" s="236"/>
      <c r="S1459" s="236"/>
      <c r="T1459" s="236"/>
      <c r="U1459" s="236"/>
      <c r="V1459" s="236"/>
      <c r="W1459" s="236"/>
      <c r="X1459" s="244"/>
      <c r="Y1459" s="244"/>
      <c r="Z1459" s="237"/>
      <c r="AA1459" s="244"/>
      <c r="AB1459" s="244"/>
      <c r="AC1459" s="244"/>
      <c r="AD1459" s="244"/>
      <c r="AE1459" s="234"/>
      <c r="AF1459" s="234"/>
      <c r="AG1459" s="238"/>
      <c r="AH1459" s="239"/>
      <c r="AI1459" s="238"/>
      <c r="AJ1459" s="238"/>
      <c r="AK1459" s="234"/>
      <c r="AL1459" s="234"/>
      <c r="AM1459" s="234"/>
      <c r="AN1459" s="234"/>
      <c r="AO1459" s="234"/>
    </row>
    <row r="1460" ht="15.75" customHeight="1">
      <c r="A1460" s="91"/>
      <c r="B1460" s="91"/>
      <c r="C1460" s="220"/>
      <c r="D1460" s="91"/>
      <c r="E1460" s="221"/>
      <c r="F1460" s="91"/>
      <c r="G1460" s="91"/>
      <c r="H1460" s="242"/>
      <c r="I1460" s="91"/>
      <c r="J1460" s="234"/>
      <c r="K1460" s="243"/>
      <c r="L1460" s="243"/>
      <c r="M1460" s="234"/>
      <c r="N1460" s="235"/>
      <c r="O1460" s="236"/>
      <c r="P1460" s="236"/>
      <c r="Q1460" s="236"/>
      <c r="R1460" s="236"/>
      <c r="S1460" s="236"/>
      <c r="T1460" s="236"/>
      <c r="U1460" s="236"/>
      <c r="V1460" s="236"/>
      <c r="W1460" s="236"/>
      <c r="X1460" s="244"/>
      <c r="Y1460" s="244"/>
      <c r="Z1460" s="237"/>
      <c r="AA1460" s="244"/>
      <c r="AB1460" s="244"/>
      <c r="AC1460" s="244"/>
      <c r="AD1460" s="244"/>
      <c r="AE1460" s="234"/>
      <c r="AF1460" s="234"/>
      <c r="AG1460" s="238"/>
      <c r="AH1460" s="239"/>
      <c r="AI1460" s="238"/>
      <c r="AJ1460" s="238"/>
      <c r="AK1460" s="234"/>
      <c r="AL1460" s="234"/>
      <c r="AM1460" s="234"/>
      <c r="AN1460" s="234"/>
      <c r="AO1460" s="234"/>
    </row>
    <row r="1461" ht="15.75" customHeight="1">
      <c r="A1461" s="91"/>
      <c r="B1461" s="91"/>
      <c r="C1461" s="220"/>
      <c r="D1461" s="91"/>
      <c r="E1461" s="221"/>
      <c r="F1461" s="91"/>
      <c r="G1461" s="91"/>
      <c r="H1461" s="242"/>
      <c r="I1461" s="91"/>
      <c r="J1461" s="234"/>
      <c r="K1461" s="243"/>
      <c r="L1461" s="243"/>
      <c r="M1461" s="234"/>
      <c r="N1461" s="235"/>
      <c r="O1461" s="236"/>
      <c r="P1461" s="236"/>
      <c r="Q1461" s="236"/>
      <c r="R1461" s="236"/>
      <c r="S1461" s="236"/>
      <c r="T1461" s="236"/>
      <c r="U1461" s="236"/>
      <c r="V1461" s="236"/>
      <c r="W1461" s="236"/>
      <c r="X1461" s="244"/>
      <c r="Y1461" s="244"/>
      <c r="Z1461" s="237"/>
      <c r="AA1461" s="244"/>
      <c r="AB1461" s="244"/>
      <c r="AC1461" s="244"/>
      <c r="AD1461" s="244"/>
      <c r="AE1461" s="234"/>
      <c r="AF1461" s="234"/>
      <c r="AG1461" s="238"/>
      <c r="AH1461" s="239"/>
      <c r="AI1461" s="238"/>
      <c r="AJ1461" s="238"/>
      <c r="AK1461" s="234"/>
      <c r="AL1461" s="234"/>
      <c r="AM1461" s="234"/>
      <c r="AN1461" s="234"/>
      <c r="AO1461" s="234"/>
    </row>
    <row r="1462" ht="15.75" customHeight="1">
      <c r="A1462" s="91"/>
      <c r="B1462" s="91"/>
      <c r="C1462" s="220"/>
      <c r="D1462" s="91"/>
      <c r="E1462" s="221"/>
      <c r="F1462" s="91"/>
      <c r="G1462" s="91"/>
      <c r="H1462" s="242"/>
      <c r="I1462" s="91"/>
      <c r="J1462" s="234"/>
      <c r="K1462" s="243"/>
      <c r="L1462" s="243"/>
      <c r="M1462" s="234"/>
      <c r="N1462" s="235"/>
      <c r="O1462" s="236"/>
      <c r="P1462" s="236"/>
      <c r="Q1462" s="236"/>
      <c r="R1462" s="236"/>
      <c r="S1462" s="236"/>
      <c r="T1462" s="236"/>
      <c r="U1462" s="236"/>
      <c r="V1462" s="236"/>
      <c r="W1462" s="236"/>
      <c r="X1462" s="244"/>
      <c r="Y1462" s="244"/>
      <c r="Z1462" s="237"/>
      <c r="AA1462" s="244"/>
      <c r="AB1462" s="244"/>
      <c r="AC1462" s="244"/>
      <c r="AD1462" s="244"/>
      <c r="AE1462" s="234"/>
      <c r="AF1462" s="234"/>
      <c r="AG1462" s="238"/>
      <c r="AH1462" s="239"/>
      <c r="AI1462" s="238"/>
      <c r="AJ1462" s="238"/>
      <c r="AK1462" s="234"/>
      <c r="AL1462" s="234"/>
      <c r="AM1462" s="234"/>
      <c r="AN1462" s="234"/>
      <c r="AO1462" s="234"/>
    </row>
    <row r="1463" ht="15.75" customHeight="1">
      <c r="A1463" s="91"/>
      <c r="B1463" s="91"/>
      <c r="C1463" s="220"/>
      <c r="D1463" s="91"/>
      <c r="E1463" s="221"/>
      <c r="F1463" s="91"/>
      <c r="G1463" s="91"/>
      <c r="H1463" s="242"/>
      <c r="I1463" s="91"/>
      <c r="J1463" s="234"/>
      <c r="K1463" s="243"/>
      <c r="L1463" s="243"/>
      <c r="M1463" s="234"/>
      <c r="N1463" s="235"/>
      <c r="O1463" s="236"/>
      <c r="P1463" s="236"/>
      <c r="Q1463" s="236"/>
      <c r="R1463" s="236"/>
      <c r="S1463" s="236"/>
      <c r="T1463" s="236"/>
      <c r="U1463" s="236"/>
      <c r="V1463" s="236"/>
      <c r="W1463" s="236"/>
      <c r="X1463" s="244"/>
      <c r="Y1463" s="244"/>
      <c r="Z1463" s="237"/>
      <c r="AA1463" s="244"/>
      <c r="AB1463" s="244"/>
      <c r="AC1463" s="244"/>
      <c r="AD1463" s="244"/>
      <c r="AE1463" s="234"/>
      <c r="AF1463" s="234"/>
      <c r="AG1463" s="238"/>
      <c r="AH1463" s="239"/>
      <c r="AI1463" s="238"/>
      <c r="AJ1463" s="238"/>
      <c r="AK1463" s="234"/>
      <c r="AL1463" s="234"/>
      <c r="AM1463" s="234"/>
      <c r="AN1463" s="234"/>
      <c r="AO1463" s="234"/>
    </row>
    <row r="1464" ht="15.75" customHeight="1">
      <c r="A1464" s="91"/>
      <c r="B1464" s="91"/>
      <c r="C1464" s="220"/>
      <c r="D1464" s="91"/>
      <c r="E1464" s="221"/>
      <c r="F1464" s="91"/>
      <c r="G1464" s="91"/>
      <c r="H1464" s="242"/>
      <c r="I1464" s="91"/>
      <c r="J1464" s="234"/>
      <c r="K1464" s="243"/>
      <c r="L1464" s="243"/>
      <c r="M1464" s="234"/>
      <c r="N1464" s="235"/>
      <c r="O1464" s="236"/>
      <c r="P1464" s="236"/>
      <c r="Q1464" s="236"/>
      <c r="R1464" s="236"/>
      <c r="S1464" s="236"/>
      <c r="T1464" s="236"/>
      <c r="U1464" s="236"/>
      <c r="V1464" s="236"/>
      <c r="W1464" s="236"/>
      <c r="X1464" s="244"/>
      <c r="Y1464" s="244"/>
      <c r="Z1464" s="237"/>
      <c r="AA1464" s="244"/>
      <c r="AB1464" s="244"/>
      <c r="AC1464" s="244"/>
      <c r="AD1464" s="244"/>
      <c r="AE1464" s="234"/>
      <c r="AF1464" s="234"/>
      <c r="AG1464" s="238"/>
      <c r="AH1464" s="239"/>
      <c r="AI1464" s="238"/>
      <c r="AJ1464" s="238"/>
      <c r="AK1464" s="234"/>
      <c r="AL1464" s="234"/>
      <c r="AM1464" s="234"/>
      <c r="AN1464" s="234"/>
      <c r="AO1464" s="234"/>
    </row>
    <row r="1465" ht="15.75" customHeight="1">
      <c r="A1465" s="91"/>
      <c r="B1465" s="91"/>
      <c r="C1465" s="220"/>
      <c r="D1465" s="91"/>
      <c r="E1465" s="221"/>
      <c r="F1465" s="91"/>
      <c r="G1465" s="91"/>
      <c r="H1465" s="242"/>
      <c r="I1465" s="91"/>
      <c r="J1465" s="234"/>
      <c r="K1465" s="243"/>
      <c r="L1465" s="243"/>
      <c r="M1465" s="234"/>
      <c r="N1465" s="235"/>
      <c r="O1465" s="236"/>
      <c r="P1465" s="236"/>
      <c r="Q1465" s="236"/>
      <c r="R1465" s="236"/>
      <c r="S1465" s="236"/>
      <c r="T1465" s="236"/>
      <c r="U1465" s="236"/>
      <c r="V1465" s="236"/>
      <c r="W1465" s="236"/>
      <c r="X1465" s="244"/>
      <c r="Y1465" s="244"/>
      <c r="Z1465" s="237"/>
      <c r="AA1465" s="244"/>
      <c r="AB1465" s="244"/>
      <c r="AC1465" s="244"/>
      <c r="AD1465" s="244"/>
      <c r="AE1465" s="234"/>
      <c r="AF1465" s="234"/>
      <c r="AG1465" s="238"/>
      <c r="AH1465" s="239"/>
      <c r="AI1465" s="238"/>
      <c r="AJ1465" s="238"/>
      <c r="AK1465" s="234"/>
      <c r="AL1465" s="234"/>
      <c r="AM1465" s="234"/>
      <c r="AN1465" s="234"/>
      <c r="AO1465" s="234"/>
    </row>
    <row r="1466" ht="15.75" customHeight="1">
      <c r="A1466" s="91"/>
      <c r="B1466" s="91"/>
      <c r="C1466" s="220"/>
      <c r="D1466" s="91"/>
      <c r="E1466" s="221"/>
      <c r="F1466" s="91"/>
      <c r="G1466" s="91"/>
      <c r="H1466" s="242"/>
      <c r="I1466" s="91"/>
      <c r="J1466" s="234"/>
      <c r="K1466" s="243"/>
      <c r="L1466" s="243"/>
      <c r="M1466" s="234"/>
      <c r="N1466" s="235"/>
      <c r="O1466" s="236"/>
      <c r="P1466" s="236"/>
      <c r="Q1466" s="236"/>
      <c r="R1466" s="236"/>
      <c r="S1466" s="236"/>
      <c r="T1466" s="236"/>
      <c r="U1466" s="236"/>
      <c r="V1466" s="236"/>
      <c r="W1466" s="236"/>
      <c r="X1466" s="244"/>
      <c r="Y1466" s="244"/>
      <c r="Z1466" s="237"/>
      <c r="AA1466" s="244"/>
      <c r="AB1466" s="244"/>
      <c r="AC1466" s="244"/>
      <c r="AD1466" s="244"/>
      <c r="AE1466" s="234"/>
      <c r="AF1466" s="234"/>
      <c r="AG1466" s="238"/>
      <c r="AH1466" s="239"/>
      <c r="AI1466" s="238"/>
      <c r="AJ1466" s="238"/>
      <c r="AK1466" s="234"/>
      <c r="AL1466" s="234"/>
      <c r="AM1466" s="234"/>
      <c r="AN1466" s="234"/>
      <c r="AO1466" s="234"/>
    </row>
    <row r="1467" ht="15.75" customHeight="1">
      <c r="A1467" s="91"/>
      <c r="B1467" s="91"/>
      <c r="C1467" s="220"/>
      <c r="D1467" s="91"/>
      <c r="E1467" s="221"/>
      <c r="F1467" s="91"/>
      <c r="G1467" s="91"/>
      <c r="H1467" s="242"/>
      <c r="I1467" s="91"/>
      <c r="J1467" s="234"/>
      <c r="K1467" s="243"/>
      <c r="L1467" s="243"/>
      <c r="M1467" s="234"/>
      <c r="N1467" s="235"/>
      <c r="O1467" s="236"/>
      <c r="P1467" s="236"/>
      <c r="Q1467" s="236"/>
      <c r="R1467" s="236"/>
      <c r="S1467" s="236"/>
      <c r="T1467" s="236"/>
      <c r="U1467" s="236"/>
      <c r="V1467" s="236"/>
      <c r="W1467" s="236"/>
      <c r="X1467" s="244"/>
      <c r="Y1467" s="244"/>
      <c r="Z1467" s="237"/>
      <c r="AA1467" s="244"/>
      <c r="AB1467" s="244"/>
      <c r="AC1467" s="244"/>
      <c r="AD1467" s="244"/>
      <c r="AE1467" s="234"/>
      <c r="AF1467" s="234"/>
      <c r="AG1467" s="238"/>
      <c r="AH1467" s="239"/>
      <c r="AI1467" s="238"/>
      <c r="AJ1467" s="238"/>
      <c r="AK1467" s="234"/>
      <c r="AL1467" s="234"/>
      <c r="AM1467" s="234"/>
      <c r="AN1467" s="234"/>
      <c r="AO1467" s="234"/>
    </row>
    <row r="1468" ht="15.75" customHeight="1">
      <c r="A1468" s="91"/>
      <c r="B1468" s="91"/>
      <c r="C1468" s="220"/>
      <c r="D1468" s="91"/>
      <c r="E1468" s="221"/>
      <c r="F1468" s="91"/>
      <c r="G1468" s="91"/>
      <c r="H1468" s="242"/>
      <c r="I1468" s="91"/>
      <c r="J1468" s="234"/>
      <c r="K1468" s="243"/>
      <c r="L1468" s="243"/>
      <c r="M1468" s="234"/>
      <c r="N1468" s="235"/>
      <c r="O1468" s="236"/>
      <c r="P1468" s="236"/>
      <c r="Q1468" s="236"/>
      <c r="R1468" s="236"/>
      <c r="S1468" s="236"/>
      <c r="T1468" s="236"/>
      <c r="U1468" s="236"/>
      <c r="V1468" s="236"/>
      <c r="W1468" s="236"/>
      <c r="X1468" s="244"/>
      <c r="Y1468" s="244"/>
      <c r="Z1468" s="237"/>
      <c r="AA1468" s="244"/>
      <c r="AB1468" s="244"/>
      <c r="AC1468" s="244"/>
      <c r="AD1468" s="244"/>
      <c r="AE1468" s="234"/>
      <c r="AF1468" s="234"/>
      <c r="AG1468" s="238"/>
      <c r="AH1468" s="239"/>
      <c r="AI1468" s="238"/>
      <c r="AJ1468" s="238"/>
      <c r="AK1468" s="234"/>
      <c r="AL1468" s="234"/>
      <c r="AM1468" s="234"/>
      <c r="AN1468" s="234"/>
      <c r="AO1468" s="234"/>
    </row>
    <row r="1469" ht="15.75" customHeight="1">
      <c r="A1469" s="91"/>
      <c r="B1469" s="91"/>
      <c r="C1469" s="220"/>
      <c r="D1469" s="91"/>
      <c r="E1469" s="221"/>
      <c r="F1469" s="91"/>
      <c r="G1469" s="91"/>
      <c r="H1469" s="242"/>
      <c r="I1469" s="91"/>
      <c r="J1469" s="234"/>
      <c r="K1469" s="243"/>
      <c r="L1469" s="243"/>
      <c r="M1469" s="234"/>
      <c r="N1469" s="235"/>
      <c r="O1469" s="236"/>
      <c r="P1469" s="236"/>
      <c r="Q1469" s="236"/>
      <c r="R1469" s="236"/>
      <c r="S1469" s="236"/>
      <c r="T1469" s="236"/>
      <c r="U1469" s="236"/>
      <c r="V1469" s="236"/>
      <c r="W1469" s="236"/>
      <c r="X1469" s="244"/>
      <c r="Y1469" s="244"/>
      <c r="Z1469" s="237"/>
      <c r="AA1469" s="244"/>
      <c r="AB1469" s="244"/>
      <c r="AC1469" s="244"/>
      <c r="AD1469" s="244"/>
      <c r="AE1469" s="234"/>
      <c r="AF1469" s="234"/>
      <c r="AG1469" s="238"/>
      <c r="AH1469" s="239"/>
      <c r="AI1469" s="238"/>
      <c r="AJ1469" s="238"/>
      <c r="AK1469" s="234"/>
      <c r="AL1469" s="234"/>
      <c r="AM1469" s="234"/>
      <c r="AN1469" s="234"/>
      <c r="AO1469" s="234"/>
    </row>
    <row r="1470" ht="15.75" customHeight="1">
      <c r="A1470" s="91"/>
      <c r="B1470" s="91"/>
      <c r="C1470" s="220"/>
      <c r="D1470" s="91"/>
      <c r="E1470" s="221"/>
      <c r="F1470" s="91"/>
      <c r="G1470" s="91"/>
      <c r="H1470" s="242"/>
      <c r="I1470" s="91"/>
      <c r="J1470" s="234"/>
      <c r="K1470" s="243"/>
      <c r="L1470" s="243"/>
      <c r="M1470" s="234"/>
      <c r="N1470" s="235"/>
      <c r="O1470" s="236"/>
      <c r="P1470" s="236"/>
      <c r="Q1470" s="236"/>
      <c r="R1470" s="236"/>
      <c r="S1470" s="236"/>
      <c r="T1470" s="236"/>
      <c r="U1470" s="236"/>
      <c r="V1470" s="236"/>
      <c r="W1470" s="236"/>
      <c r="X1470" s="244"/>
      <c r="Y1470" s="244"/>
      <c r="Z1470" s="237"/>
      <c r="AA1470" s="244"/>
      <c r="AB1470" s="244"/>
      <c r="AC1470" s="244"/>
      <c r="AD1470" s="244"/>
      <c r="AE1470" s="234"/>
      <c r="AF1470" s="234"/>
      <c r="AG1470" s="238"/>
      <c r="AH1470" s="239"/>
      <c r="AI1470" s="238"/>
      <c r="AJ1470" s="238"/>
      <c r="AK1470" s="234"/>
      <c r="AL1470" s="234"/>
      <c r="AM1470" s="234"/>
      <c r="AN1470" s="234"/>
      <c r="AO1470" s="234"/>
    </row>
    <row r="1471" ht="15.75" customHeight="1">
      <c r="A1471" s="91"/>
      <c r="B1471" s="91"/>
      <c r="C1471" s="220"/>
      <c r="D1471" s="91"/>
      <c r="E1471" s="221"/>
      <c r="F1471" s="91"/>
      <c r="G1471" s="91"/>
      <c r="H1471" s="242"/>
      <c r="I1471" s="91"/>
      <c r="J1471" s="234"/>
      <c r="K1471" s="243"/>
      <c r="L1471" s="243"/>
      <c r="M1471" s="234"/>
      <c r="N1471" s="235"/>
      <c r="O1471" s="236"/>
      <c r="P1471" s="236"/>
      <c r="Q1471" s="236"/>
      <c r="R1471" s="236"/>
      <c r="S1471" s="236"/>
      <c r="T1471" s="236"/>
      <c r="U1471" s="236"/>
      <c r="V1471" s="236"/>
      <c r="W1471" s="236"/>
      <c r="X1471" s="244"/>
      <c r="Y1471" s="244"/>
      <c r="Z1471" s="237"/>
      <c r="AA1471" s="244"/>
      <c r="AB1471" s="244"/>
      <c r="AC1471" s="244"/>
      <c r="AD1471" s="244"/>
      <c r="AE1471" s="234"/>
      <c r="AF1471" s="234"/>
      <c r="AG1471" s="238"/>
      <c r="AH1471" s="239"/>
      <c r="AI1471" s="238"/>
      <c r="AJ1471" s="238"/>
      <c r="AK1471" s="234"/>
      <c r="AL1471" s="234"/>
      <c r="AM1471" s="234"/>
      <c r="AN1471" s="234"/>
      <c r="AO1471" s="234"/>
    </row>
    <row r="1472" ht="15.75" customHeight="1">
      <c r="A1472" s="91"/>
      <c r="B1472" s="91"/>
      <c r="C1472" s="220"/>
      <c r="D1472" s="91"/>
      <c r="E1472" s="221"/>
      <c r="F1472" s="91"/>
      <c r="G1472" s="91"/>
      <c r="H1472" s="242"/>
      <c r="I1472" s="91"/>
      <c r="J1472" s="234"/>
      <c r="K1472" s="243"/>
      <c r="L1472" s="243"/>
      <c r="M1472" s="234"/>
      <c r="N1472" s="235"/>
      <c r="O1472" s="236"/>
      <c r="P1472" s="236"/>
      <c r="Q1472" s="236"/>
      <c r="R1472" s="236"/>
      <c r="S1472" s="236"/>
      <c r="T1472" s="236"/>
      <c r="U1472" s="236"/>
      <c r="V1472" s="236"/>
      <c r="W1472" s="236"/>
      <c r="X1472" s="244"/>
      <c r="Y1472" s="244"/>
      <c r="Z1472" s="237"/>
      <c r="AA1472" s="244"/>
      <c r="AB1472" s="244"/>
      <c r="AC1472" s="244"/>
      <c r="AD1472" s="244"/>
      <c r="AE1472" s="234"/>
      <c r="AF1472" s="234"/>
      <c r="AG1472" s="238"/>
      <c r="AH1472" s="239"/>
      <c r="AI1472" s="238"/>
      <c r="AJ1472" s="238"/>
      <c r="AK1472" s="234"/>
      <c r="AL1472" s="234"/>
      <c r="AM1472" s="234"/>
      <c r="AN1472" s="234"/>
      <c r="AO1472" s="234"/>
    </row>
    <row r="1473" ht="15.75" customHeight="1">
      <c r="A1473" s="91"/>
      <c r="B1473" s="91"/>
      <c r="C1473" s="220"/>
      <c r="D1473" s="91"/>
      <c r="E1473" s="221"/>
      <c r="F1473" s="91"/>
      <c r="G1473" s="91"/>
      <c r="H1473" s="242"/>
      <c r="I1473" s="91"/>
      <c r="J1473" s="234"/>
      <c r="K1473" s="243"/>
      <c r="L1473" s="243"/>
      <c r="M1473" s="234"/>
      <c r="N1473" s="235"/>
      <c r="O1473" s="236"/>
      <c r="P1473" s="236"/>
      <c r="Q1473" s="236"/>
      <c r="R1473" s="236"/>
      <c r="S1473" s="236"/>
      <c r="T1473" s="236"/>
      <c r="U1473" s="236"/>
      <c r="V1473" s="236"/>
      <c r="W1473" s="236"/>
      <c r="X1473" s="244"/>
      <c r="Y1473" s="244"/>
      <c r="Z1473" s="237"/>
      <c r="AA1473" s="244"/>
      <c r="AB1473" s="244"/>
      <c r="AC1473" s="244"/>
      <c r="AD1473" s="244"/>
      <c r="AE1473" s="234"/>
      <c r="AF1473" s="234"/>
      <c r="AG1473" s="238"/>
      <c r="AH1473" s="239"/>
      <c r="AI1473" s="238"/>
      <c r="AJ1473" s="238"/>
      <c r="AK1473" s="234"/>
      <c r="AL1473" s="234"/>
      <c r="AM1473" s="234"/>
      <c r="AN1473" s="234"/>
      <c r="AO1473" s="234"/>
    </row>
    <row r="1474" ht="15.75" customHeight="1">
      <c r="A1474" s="91"/>
      <c r="B1474" s="91"/>
      <c r="C1474" s="220"/>
      <c r="D1474" s="91"/>
      <c r="E1474" s="221"/>
      <c r="F1474" s="91"/>
      <c r="G1474" s="91"/>
      <c r="H1474" s="242"/>
      <c r="I1474" s="91"/>
      <c r="J1474" s="234"/>
      <c r="K1474" s="243"/>
      <c r="L1474" s="243"/>
      <c r="M1474" s="234"/>
      <c r="N1474" s="235"/>
      <c r="O1474" s="236"/>
      <c r="P1474" s="236"/>
      <c r="Q1474" s="236"/>
      <c r="R1474" s="236"/>
      <c r="S1474" s="236"/>
      <c r="T1474" s="236"/>
      <c r="U1474" s="236"/>
      <c r="V1474" s="236"/>
      <c r="W1474" s="236"/>
      <c r="X1474" s="244"/>
      <c r="Y1474" s="244"/>
      <c r="Z1474" s="237"/>
      <c r="AA1474" s="244"/>
      <c r="AB1474" s="244"/>
      <c r="AC1474" s="244"/>
      <c r="AD1474" s="244"/>
      <c r="AE1474" s="234"/>
      <c r="AF1474" s="234"/>
      <c r="AG1474" s="238"/>
      <c r="AH1474" s="239"/>
      <c r="AI1474" s="238"/>
      <c r="AJ1474" s="238"/>
      <c r="AK1474" s="234"/>
      <c r="AL1474" s="234"/>
      <c r="AM1474" s="234"/>
      <c r="AN1474" s="234"/>
      <c r="AO1474" s="234"/>
    </row>
    <row r="1475" ht="15.75" customHeight="1">
      <c r="A1475" s="91"/>
      <c r="B1475" s="91"/>
      <c r="C1475" s="220"/>
      <c r="D1475" s="91"/>
      <c r="E1475" s="221"/>
      <c r="F1475" s="91"/>
      <c r="G1475" s="91"/>
      <c r="H1475" s="242"/>
      <c r="I1475" s="91"/>
      <c r="J1475" s="234"/>
      <c r="K1475" s="243"/>
      <c r="L1475" s="243"/>
      <c r="M1475" s="234"/>
      <c r="N1475" s="235"/>
      <c r="O1475" s="236"/>
      <c r="P1475" s="236"/>
      <c r="Q1475" s="236"/>
      <c r="R1475" s="236"/>
      <c r="S1475" s="236"/>
      <c r="T1475" s="236"/>
      <c r="U1475" s="236"/>
      <c r="V1475" s="236"/>
      <c r="W1475" s="236"/>
      <c r="X1475" s="244"/>
      <c r="Y1475" s="244"/>
      <c r="Z1475" s="237"/>
      <c r="AA1475" s="244"/>
      <c r="AB1475" s="244"/>
      <c r="AC1475" s="244"/>
      <c r="AD1475" s="244"/>
      <c r="AE1475" s="234"/>
      <c r="AF1475" s="234"/>
      <c r="AG1475" s="238"/>
      <c r="AH1475" s="239"/>
      <c r="AI1475" s="238"/>
      <c r="AJ1475" s="238"/>
      <c r="AK1475" s="234"/>
      <c r="AL1475" s="234"/>
      <c r="AM1475" s="234"/>
      <c r="AN1475" s="234"/>
      <c r="AO1475" s="234"/>
    </row>
    <row r="1476" ht="15.75" customHeight="1">
      <c r="A1476" s="91"/>
      <c r="B1476" s="91"/>
      <c r="C1476" s="220"/>
      <c r="D1476" s="91"/>
      <c r="E1476" s="221"/>
      <c r="F1476" s="91"/>
      <c r="G1476" s="91"/>
      <c r="H1476" s="242"/>
      <c r="I1476" s="91"/>
      <c r="J1476" s="234"/>
      <c r="K1476" s="243"/>
      <c r="L1476" s="243"/>
      <c r="M1476" s="234"/>
      <c r="N1476" s="235"/>
      <c r="O1476" s="236"/>
      <c r="P1476" s="236"/>
      <c r="Q1476" s="236"/>
      <c r="R1476" s="236"/>
      <c r="S1476" s="236"/>
      <c r="T1476" s="236"/>
      <c r="U1476" s="236"/>
      <c r="V1476" s="236"/>
      <c r="W1476" s="236"/>
      <c r="X1476" s="244"/>
      <c r="Y1476" s="244"/>
      <c r="Z1476" s="237"/>
      <c r="AA1476" s="244"/>
      <c r="AB1476" s="244"/>
      <c r="AC1476" s="244"/>
      <c r="AD1476" s="244"/>
      <c r="AE1476" s="234"/>
      <c r="AF1476" s="234"/>
      <c r="AG1476" s="238"/>
      <c r="AH1476" s="239"/>
      <c r="AI1476" s="238"/>
      <c r="AJ1476" s="238"/>
      <c r="AK1476" s="234"/>
      <c r="AL1476" s="234"/>
      <c r="AM1476" s="234"/>
      <c r="AN1476" s="234"/>
      <c r="AO1476" s="234"/>
    </row>
    <row r="1477" ht="15.75" customHeight="1">
      <c r="A1477" s="91"/>
      <c r="B1477" s="91"/>
      <c r="C1477" s="220"/>
      <c r="D1477" s="91"/>
      <c r="E1477" s="221"/>
      <c r="F1477" s="91"/>
      <c r="G1477" s="91"/>
      <c r="H1477" s="242"/>
      <c r="I1477" s="91"/>
      <c r="J1477" s="234"/>
      <c r="K1477" s="243"/>
      <c r="L1477" s="243"/>
      <c r="M1477" s="234"/>
      <c r="N1477" s="235"/>
      <c r="O1477" s="236"/>
      <c r="P1477" s="236"/>
      <c r="Q1477" s="236"/>
      <c r="R1477" s="236"/>
      <c r="S1477" s="236"/>
      <c r="T1477" s="236"/>
      <c r="U1477" s="236"/>
      <c r="V1477" s="236"/>
      <c r="W1477" s="236"/>
      <c r="X1477" s="244"/>
      <c r="Y1477" s="244"/>
      <c r="Z1477" s="237"/>
      <c r="AA1477" s="244"/>
      <c r="AB1477" s="244"/>
      <c r="AC1477" s="244"/>
      <c r="AD1477" s="244"/>
      <c r="AE1477" s="234"/>
      <c r="AF1477" s="234"/>
      <c r="AG1477" s="238"/>
      <c r="AH1477" s="239"/>
      <c r="AI1477" s="238"/>
      <c r="AJ1477" s="238"/>
      <c r="AK1477" s="234"/>
      <c r="AL1477" s="234"/>
      <c r="AM1477" s="234"/>
      <c r="AN1477" s="234"/>
      <c r="AO1477" s="234"/>
    </row>
    <row r="1478" ht="15.75" customHeight="1">
      <c r="A1478" s="91"/>
      <c r="B1478" s="91"/>
      <c r="C1478" s="220"/>
      <c r="D1478" s="91"/>
      <c r="E1478" s="221"/>
      <c r="F1478" s="91"/>
      <c r="G1478" s="91"/>
      <c r="H1478" s="242"/>
      <c r="I1478" s="91"/>
      <c r="J1478" s="234"/>
      <c r="K1478" s="243"/>
      <c r="L1478" s="243"/>
      <c r="M1478" s="234"/>
      <c r="N1478" s="235"/>
      <c r="O1478" s="236"/>
      <c r="P1478" s="236"/>
      <c r="Q1478" s="236"/>
      <c r="R1478" s="236"/>
      <c r="S1478" s="236"/>
      <c r="T1478" s="236"/>
      <c r="U1478" s="236"/>
      <c r="V1478" s="236"/>
      <c r="W1478" s="236"/>
      <c r="X1478" s="244"/>
      <c r="Y1478" s="244"/>
      <c r="Z1478" s="237"/>
      <c r="AA1478" s="244"/>
      <c r="AB1478" s="244"/>
      <c r="AC1478" s="244"/>
      <c r="AD1478" s="244"/>
      <c r="AE1478" s="234"/>
      <c r="AF1478" s="234"/>
      <c r="AG1478" s="238"/>
      <c r="AH1478" s="239"/>
      <c r="AI1478" s="238"/>
      <c r="AJ1478" s="238"/>
      <c r="AK1478" s="234"/>
      <c r="AL1478" s="234"/>
      <c r="AM1478" s="234"/>
      <c r="AN1478" s="234"/>
      <c r="AO1478" s="234"/>
    </row>
    <row r="1479" ht="15.75" customHeight="1">
      <c r="A1479" s="91"/>
      <c r="B1479" s="91"/>
      <c r="C1479" s="220"/>
      <c r="D1479" s="91"/>
      <c r="E1479" s="221"/>
      <c r="F1479" s="91"/>
      <c r="G1479" s="91"/>
      <c r="H1479" s="242"/>
      <c r="I1479" s="91"/>
      <c r="J1479" s="234"/>
      <c r="K1479" s="243"/>
      <c r="L1479" s="243"/>
      <c r="M1479" s="234"/>
      <c r="N1479" s="235"/>
      <c r="O1479" s="236"/>
      <c r="P1479" s="236"/>
      <c r="Q1479" s="236"/>
      <c r="R1479" s="236"/>
      <c r="S1479" s="236"/>
      <c r="T1479" s="236"/>
      <c r="U1479" s="236"/>
      <c r="V1479" s="236"/>
      <c r="W1479" s="236"/>
      <c r="X1479" s="244"/>
      <c r="Y1479" s="244"/>
      <c r="Z1479" s="237"/>
      <c r="AA1479" s="244"/>
      <c r="AB1479" s="244"/>
      <c r="AC1479" s="244"/>
      <c r="AD1479" s="244"/>
      <c r="AE1479" s="234"/>
      <c r="AF1479" s="234"/>
      <c r="AG1479" s="238"/>
      <c r="AH1479" s="239"/>
      <c r="AI1479" s="238"/>
      <c r="AJ1479" s="238"/>
      <c r="AK1479" s="234"/>
      <c r="AL1479" s="234"/>
      <c r="AM1479" s="234"/>
      <c r="AN1479" s="234"/>
      <c r="AO1479" s="234"/>
    </row>
    <row r="1480" ht="15.75" customHeight="1">
      <c r="A1480" s="91"/>
      <c r="B1480" s="91"/>
      <c r="C1480" s="220"/>
      <c r="D1480" s="91"/>
      <c r="E1480" s="221"/>
      <c r="F1480" s="91"/>
      <c r="G1480" s="91"/>
      <c r="H1480" s="242"/>
      <c r="I1480" s="91"/>
      <c r="J1480" s="234"/>
      <c r="K1480" s="243"/>
      <c r="L1480" s="243"/>
      <c r="M1480" s="234"/>
      <c r="N1480" s="235"/>
      <c r="O1480" s="236"/>
      <c r="P1480" s="236"/>
      <c r="Q1480" s="236"/>
      <c r="R1480" s="236"/>
      <c r="S1480" s="236"/>
      <c r="T1480" s="236"/>
      <c r="U1480" s="236"/>
      <c r="V1480" s="236"/>
      <c r="W1480" s="236"/>
      <c r="X1480" s="244"/>
      <c r="Y1480" s="244"/>
      <c r="Z1480" s="237"/>
      <c r="AA1480" s="244"/>
      <c r="AB1480" s="244"/>
      <c r="AC1480" s="244"/>
      <c r="AD1480" s="244"/>
      <c r="AE1480" s="234"/>
      <c r="AF1480" s="234"/>
      <c r="AG1480" s="238"/>
      <c r="AH1480" s="239"/>
      <c r="AI1480" s="238"/>
      <c r="AJ1480" s="238"/>
      <c r="AK1480" s="234"/>
      <c r="AL1480" s="234"/>
      <c r="AM1480" s="234"/>
      <c r="AN1480" s="234"/>
      <c r="AO1480" s="234"/>
    </row>
    <row r="1481" ht="15.75" customHeight="1">
      <c r="A1481" s="91"/>
      <c r="B1481" s="91"/>
      <c r="C1481" s="220"/>
      <c r="D1481" s="91"/>
      <c r="E1481" s="221"/>
      <c r="F1481" s="91"/>
      <c r="G1481" s="91"/>
      <c r="H1481" s="242"/>
      <c r="I1481" s="91"/>
      <c r="J1481" s="234"/>
      <c r="K1481" s="243"/>
      <c r="L1481" s="243"/>
      <c r="M1481" s="234"/>
      <c r="N1481" s="235"/>
      <c r="O1481" s="236"/>
      <c r="P1481" s="236"/>
      <c r="Q1481" s="236"/>
      <c r="R1481" s="236"/>
      <c r="S1481" s="236"/>
      <c r="T1481" s="236"/>
      <c r="U1481" s="236"/>
      <c r="V1481" s="236"/>
      <c r="W1481" s="236"/>
      <c r="X1481" s="244"/>
      <c r="Y1481" s="244"/>
      <c r="Z1481" s="237"/>
      <c r="AA1481" s="244"/>
      <c r="AB1481" s="244"/>
      <c r="AC1481" s="244"/>
      <c r="AD1481" s="244"/>
      <c r="AE1481" s="234"/>
      <c r="AF1481" s="234"/>
      <c r="AG1481" s="238"/>
      <c r="AH1481" s="239"/>
      <c r="AI1481" s="238"/>
      <c r="AJ1481" s="238"/>
      <c r="AK1481" s="234"/>
      <c r="AL1481" s="234"/>
      <c r="AM1481" s="234"/>
      <c r="AN1481" s="234"/>
      <c r="AO1481" s="234"/>
    </row>
    <row r="1482" ht="15.75" customHeight="1">
      <c r="A1482" s="91"/>
      <c r="B1482" s="91"/>
      <c r="C1482" s="220"/>
      <c r="D1482" s="91"/>
      <c r="E1482" s="221"/>
      <c r="F1482" s="91"/>
      <c r="G1482" s="91"/>
      <c r="H1482" s="242"/>
      <c r="I1482" s="91"/>
      <c r="J1482" s="234"/>
      <c r="K1482" s="243"/>
      <c r="L1482" s="243"/>
      <c r="M1482" s="234"/>
      <c r="N1482" s="235"/>
      <c r="O1482" s="236"/>
      <c r="P1482" s="236"/>
      <c r="Q1482" s="236"/>
      <c r="R1482" s="236"/>
      <c r="S1482" s="236"/>
      <c r="T1482" s="236"/>
      <c r="U1482" s="236"/>
      <c r="V1482" s="236"/>
      <c r="W1482" s="236"/>
      <c r="X1482" s="244"/>
      <c r="Y1482" s="244"/>
      <c r="Z1482" s="237"/>
      <c r="AA1482" s="244"/>
      <c r="AB1482" s="244"/>
      <c r="AC1482" s="244"/>
      <c r="AD1482" s="244"/>
      <c r="AE1482" s="234"/>
      <c r="AF1482" s="234"/>
      <c r="AG1482" s="238"/>
      <c r="AH1482" s="239"/>
      <c r="AI1482" s="238"/>
      <c r="AJ1482" s="238"/>
      <c r="AK1482" s="234"/>
      <c r="AL1482" s="234"/>
      <c r="AM1482" s="234"/>
      <c r="AN1482" s="234"/>
      <c r="AO1482" s="234"/>
    </row>
    <row r="1483" ht="15.75" customHeight="1">
      <c r="A1483" s="91"/>
      <c r="B1483" s="91"/>
      <c r="C1483" s="220"/>
      <c r="D1483" s="91"/>
      <c r="E1483" s="221"/>
      <c r="F1483" s="91"/>
      <c r="G1483" s="91"/>
      <c r="H1483" s="242"/>
      <c r="I1483" s="91"/>
      <c r="J1483" s="234"/>
      <c r="K1483" s="243"/>
      <c r="L1483" s="243"/>
      <c r="M1483" s="234"/>
      <c r="N1483" s="235"/>
      <c r="O1483" s="236"/>
      <c r="P1483" s="236"/>
      <c r="Q1483" s="236"/>
      <c r="R1483" s="236"/>
      <c r="S1483" s="236"/>
      <c r="T1483" s="236"/>
      <c r="U1483" s="236"/>
      <c r="V1483" s="236"/>
      <c r="W1483" s="236"/>
      <c r="X1483" s="244"/>
      <c r="Y1483" s="244"/>
      <c r="Z1483" s="237"/>
      <c r="AA1483" s="244"/>
      <c r="AB1483" s="244"/>
      <c r="AC1483" s="244"/>
      <c r="AD1483" s="244"/>
      <c r="AE1483" s="234"/>
      <c r="AF1483" s="234"/>
      <c r="AG1483" s="238"/>
      <c r="AH1483" s="239"/>
      <c r="AI1483" s="238"/>
      <c r="AJ1483" s="238"/>
      <c r="AK1483" s="234"/>
      <c r="AL1483" s="234"/>
      <c r="AM1483" s="234"/>
      <c r="AN1483" s="234"/>
      <c r="AO1483" s="234"/>
    </row>
    <row r="1484" ht="15.75" customHeight="1">
      <c r="A1484" s="91"/>
      <c r="B1484" s="91"/>
      <c r="C1484" s="220"/>
      <c r="D1484" s="91"/>
      <c r="E1484" s="221"/>
      <c r="F1484" s="91"/>
      <c r="G1484" s="91"/>
      <c r="H1484" s="242"/>
      <c r="I1484" s="91"/>
      <c r="J1484" s="234"/>
      <c r="K1484" s="243"/>
      <c r="L1484" s="243"/>
      <c r="M1484" s="234"/>
      <c r="N1484" s="235"/>
      <c r="O1484" s="236"/>
      <c r="P1484" s="236"/>
      <c r="Q1484" s="236"/>
      <c r="R1484" s="236"/>
      <c r="S1484" s="236"/>
      <c r="T1484" s="236"/>
      <c r="U1484" s="236"/>
      <c r="V1484" s="236"/>
      <c r="W1484" s="236"/>
      <c r="X1484" s="244"/>
      <c r="Y1484" s="244"/>
      <c r="Z1484" s="237"/>
      <c r="AA1484" s="244"/>
      <c r="AB1484" s="244"/>
      <c r="AC1484" s="244"/>
      <c r="AD1484" s="244"/>
      <c r="AE1484" s="234"/>
      <c r="AF1484" s="234"/>
      <c r="AG1484" s="238"/>
      <c r="AH1484" s="239"/>
      <c r="AI1484" s="238"/>
      <c r="AJ1484" s="238"/>
      <c r="AK1484" s="234"/>
      <c r="AL1484" s="234"/>
      <c r="AM1484" s="234"/>
      <c r="AN1484" s="234"/>
      <c r="AO1484" s="234"/>
    </row>
    <row r="1485" ht="15.75" customHeight="1">
      <c r="A1485" s="91"/>
      <c r="B1485" s="91"/>
      <c r="C1485" s="220"/>
      <c r="D1485" s="91"/>
      <c r="E1485" s="221"/>
      <c r="F1485" s="91"/>
      <c r="G1485" s="91"/>
      <c r="H1485" s="242"/>
      <c r="I1485" s="91"/>
      <c r="J1485" s="234"/>
      <c r="K1485" s="243"/>
      <c r="L1485" s="243"/>
      <c r="M1485" s="234"/>
      <c r="N1485" s="235"/>
      <c r="O1485" s="236"/>
      <c r="P1485" s="236"/>
      <c r="Q1485" s="236"/>
      <c r="R1485" s="236"/>
      <c r="S1485" s="236"/>
      <c r="T1485" s="236"/>
      <c r="U1485" s="236"/>
      <c r="V1485" s="236"/>
      <c r="W1485" s="236"/>
      <c r="X1485" s="244"/>
      <c r="Y1485" s="244"/>
      <c r="Z1485" s="237"/>
      <c r="AA1485" s="244"/>
      <c r="AB1485" s="244"/>
      <c r="AC1485" s="244"/>
      <c r="AD1485" s="244"/>
      <c r="AE1485" s="234"/>
      <c r="AF1485" s="234"/>
      <c r="AG1485" s="238"/>
      <c r="AH1485" s="239"/>
      <c r="AI1485" s="238"/>
      <c r="AJ1485" s="238"/>
      <c r="AK1485" s="234"/>
      <c r="AL1485" s="234"/>
      <c r="AM1485" s="234"/>
      <c r="AN1485" s="234"/>
      <c r="AO1485" s="234"/>
    </row>
    <row r="1486" ht="15.75" customHeight="1">
      <c r="A1486" s="91"/>
      <c r="B1486" s="91"/>
      <c r="C1486" s="220"/>
      <c r="D1486" s="91"/>
      <c r="E1486" s="221"/>
      <c r="F1486" s="91"/>
      <c r="G1486" s="91"/>
      <c r="H1486" s="242"/>
      <c r="I1486" s="91"/>
      <c r="J1486" s="234"/>
      <c r="K1486" s="243"/>
      <c r="L1486" s="243"/>
      <c r="M1486" s="234"/>
      <c r="N1486" s="235"/>
      <c r="O1486" s="236"/>
      <c r="P1486" s="236"/>
      <c r="Q1486" s="236"/>
      <c r="R1486" s="236"/>
      <c r="S1486" s="236"/>
      <c r="T1486" s="236"/>
      <c r="U1486" s="236"/>
      <c r="V1486" s="236"/>
      <c r="W1486" s="236"/>
      <c r="X1486" s="244"/>
      <c r="Y1486" s="244"/>
      <c r="Z1486" s="237"/>
      <c r="AA1486" s="244"/>
      <c r="AB1486" s="244"/>
      <c r="AC1486" s="244"/>
      <c r="AD1486" s="244"/>
      <c r="AE1486" s="234"/>
      <c r="AF1486" s="234"/>
      <c r="AG1486" s="238"/>
      <c r="AH1486" s="239"/>
      <c r="AI1486" s="238"/>
      <c r="AJ1486" s="238"/>
      <c r="AK1486" s="234"/>
      <c r="AL1486" s="234"/>
      <c r="AM1486" s="234"/>
      <c r="AN1486" s="234"/>
      <c r="AO1486" s="234"/>
    </row>
    <row r="1487" ht="15.75" customHeight="1">
      <c r="A1487" s="91"/>
      <c r="B1487" s="91"/>
      <c r="C1487" s="220"/>
      <c r="D1487" s="91"/>
      <c r="E1487" s="221"/>
      <c r="F1487" s="91"/>
      <c r="G1487" s="91"/>
      <c r="H1487" s="242"/>
      <c r="I1487" s="91"/>
      <c r="J1487" s="234"/>
      <c r="K1487" s="243"/>
      <c r="L1487" s="243"/>
      <c r="M1487" s="234"/>
      <c r="N1487" s="235"/>
      <c r="O1487" s="236"/>
      <c r="P1487" s="236"/>
      <c r="Q1487" s="236"/>
      <c r="R1487" s="236"/>
      <c r="S1487" s="236"/>
      <c r="T1487" s="236"/>
      <c r="U1487" s="236"/>
      <c r="V1487" s="236"/>
      <c r="W1487" s="236"/>
      <c r="X1487" s="244"/>
      <c r="Y1487" s="244"/>
      <c r="Z1487" s="237"/>
      <c r="AA1487" s="244"/>
      <c r="AB1487" s="244"/>
      <c r="AC1487" s="244"/>
      <c r="AD1487" s="244"/>
      <c r="AE1487" s="234"/>
      <c r="AF1487" s="234"/>
      <c r="AG1487" s="238"/>
      <c r="AH1487" s="239"/>
      <c r="AI1487" s="238"/>
      <c r="AJ1487" s="238"/>
      <c r="AK1487" s="234"/>
      <c r="AL1487" s="234"/>
      <c r="AM1487" s="234"/>
      <c r="AN1487" s="234"/>
      <c r="AO1487" s="234"/>
    </row>
    <row r="1488" ht="15.75" customHeight="1">
      <c r="A1488" s="91"/>
      <c r="B1488" s="91"/>
      <c r="C1488" s="220"/>
      <c r="D1488" s="91"/>
      <c r="E1488" s="221"/>
      <c r="F1488" s="91"/>
      <c r="G1488" s="91"/>
      <c r="H1488" s="242"/>
      <c r="I1488" s="91"/>
      <c r="J1488" s="234"/>
      <c r="K1488" s="243"/>
      <c r="L1488" s="243"/>
      <c r="M1488" s="234"/>
      <c r="N1488" s="235"/>
      <c r="O1488" s="236"/>
      <c r="P1488" s="236"/>
      <c r="Q1488" s="236"/>
      <c r="R1488" s="236"/>
      <c r="S1488" s="236"/>
      <c r="T1488" s="236"/>
      <c r="U1488" s="236"/>
      <c r="V1488" s="236"/>
      <c r="W1488" s="236"/>
      <c r="X1488" s="244"/>
      <c r="Y1488" s="244"/>
      <c r="Z1488" s="237"/>
      <c r="AA1488" s="244"/>
      <c r="AB1488" s="244"/>
      <c r="AC1488" s="244"/>
      <c r="AD1488" s="244"/>
      <c r="AE1488" s="234"/>
      <c r="AF1488" s="234"/>
      <c r="AG1488" s="238"/>
      <c r="AH1488" s="239"/>
      <c r="AI1488" s="238"/>
      <c r="AJ1488" s="238"/>
      <c r="AK1488" s="234"/>
      <c r="AL1488" s="234"/>
      <c r="AM1488" s="234"/>
      <c r="AN1488" s="234"/>
      <c r="AO1488" s="234"/>
    </row>
    <row r="1489" ht="15.75" customHeight="1">
      <c r="A1489" s="91"/>
      <c r="B1489" s="91"/>
      <c r="C1489" s="220"/>
      <c r="D1489" s="91"/>
      <c r="E1489" s="221"/>
      <c r="F1489" s="91"/>
      <c r="G1489" s="91"/>
      <c r="H1489" s="242"/>
      <c r="I1489" s="91"/>
      <c r="J1489" s="234"/>
      <c r="K1489" s="243"/>
      <c r="L1489" s="243"/>
      <c r="M1489" s="234"/>
      <c r="N1489" s="235"/>
      <c r="O1489" s="236"/>
      <c r="P1489" s="236"/>
      <c r="Q1489" s="236"/>
      <c r="R1489" s="236"/>
      <c r="S1489" s="236"/>
      <c r="T1489" s="236"/>
      <c r="U1489" s="236"/>
      <c r="V1489" s="236"/>
      <c r="W1489" s="236"/>
      <c r="X1489" s="244"/>
      <c r="Y1489" s="244"/>
      <c r="Z1489" s="237"/>
      <c r="AA1489" s="244"/>
      <c r="AB1489" s="244"/>
      <c r="AC1489" s="244"/>
      <c r="AD1489" s="244"/>
      <c r="AE1489" s="234"/>
      <c r="AF1489" s="234"/>
      <c r="AG1489" s="238"/>
      <c r="AH1489" s="239"/>
      <c r="AI1489" s="238"/>
      <c r="AJ1489" s="238"/>
      <c r="AK1489" s="234"/>
      <c r="AL1489" s="234"/>
      <c r="AM1489" s="234"/>
      <c r="AN1489" s="234"/>
      <c r="AO1489" s="234"/>
    </row>
    <row r="1490" ht="15.75" customHeight="1">
      <c r="A1490" s="91"/>
      <c r="B1490" s="91"/>
      <c r="C1490" s="220"/>
      <c r="D1490" s="91"/>
      <c r="E1490" s="221"/>
      <c r="F1490" s="91"/>
      <c r="G1490" s="91"/>
      <c r="H1490" s="242"/>
      <c r="I1490" s="91"/>
      <c r="J1490" s="234"/>
      <c r="K1490" s="243"/>
      <c r="L1490" s="243"/>
      <c r="M1490" s="234"/>
      <c r="N1490" s="235"/>
      <c r="O1490" s="236"/>
      <c r="P1490" s="236"/>
      <c r="Q1490" s="236"/>
      <c r="R1490" s="236"/>
      <c r="S1490" s="236"/>
      <c r="T1490" s="236"/>
      <c r="U1490" s="236"/>
      <c r="V1490" s="236"/>
      <c r="W1490" s="236"/>
      <c r="X1490" s="244"/>
      <c r="Y1490" s="244"/>
      <c r="Z1490" s="237"/>
      <c r="AA1490" s="244"/>
      <c r="AB1490" s="244"/>
      <c r="AC1490" s="244"/>
      <c r="AD1490" s="244"/>
      <c r="AE1490" s="234"/>
      <c r="AF1490" s="234"/>
      <c r="AG1490" s="238"/>
      <c r="AH1490" s="239"/>
      <c r="AI1490" s="238"/>
      <c r="AJ1490" s="238"/>
      <c r="AK1490" s="234"/>
      <c r="AL1490" s="234"/>
      <c r="AM1490" s="234"/>
      <c r="AN1490" s="234"/>
      <c r="AO1490" s="234"/>
    </row>
    <row r="1491" ht="15.75" customHeight="1">
      <c r="A1491" s="91"/>
      <c r="B1491" s="91"/>
      <c r="C1491" s="220"/>
      <c r="D1491" s="91"/>
      <c r="E1491" s="221"/>
      <c r="F1491" s="91"/>
      <c r="G1491" s="91"/>
      <c r="H1491" s="242"/>
      <c r="I1491" s="91"/>
      <c r="J1491" s="234"/>
      <c r="K1491" s="243"/>
      <c r="L1491" s="243"/>
      <c r="M1491" s="234"/>
      <c r="N1491" s="235"/>
      <c r="O1491" s="236"/>
      <c r="P1491" s="236"/>
      <c r="Q1491" s="236"/>
      <c r="R1491" s="236"/>
      <c r="S1491" s="236"/>
      <c r="T1491" s="236"/>
      <c r="U1491" s="236"/>
      <c r="V1491" s="236"/>
      <c r="W1491" s="236"/>
      <c r="X1491" s="244"/>
      <c r="Y1491" s="244"/>
      <c r="Z1491" s="237"/>
      <c r="AA1491" s="244"/>
      <c r="AB1491" s="244"/>
      <c r="AC1491" s="244"/>
      <c r="AD1491" s="244"/>
      <c r="AE1491" s="234"/>
      <c r="AF1491" s="234"/>
      <c r="AG1491" s="238"/>
      <c r="AH1491" s="239"/>
      <c r="AI1491" s="238"/>
      <c r="AJ1491" s="238"/>
      <c r="AK1491" s="234"/>
      <c r="AL1491" s="234"/>
      <c r="AM1491" s="234"/>
      <c r="AN1491" s="234"/>
      <c r="AO1491" s="234"/>
    </row>
    <row r="1492" ht="15.75" customHeight="1">
      <c r="A1492" s="91"/>
      <c r="B1492" s="91"/>
      <c r="C1492" s="220"/>
      <c r="D1492" s="91"/>
      <c r="E1492" s="221"/>
      <c r="F1492" s="91"/>
      <c r="G1492" s="91"/>
      <c r="H1492" s="242"/>
      <c r="I1492" s="91"/>
      <c r="J1492" s="234"/>
      <c r="K1492" s="243"/>
      <c r="L1492" s="243"/>
      <c r="M1492" s="234"/>
      <c r="N1492" s="235"/>
      <c r="O1492" s="236"/>
      <c r="P1492" s="236"/>
      <c r="Q1492" s="236"/>
      <c r="R1492" s="236"/>
      <c r="S1492" s="236"/>
      <c r="T1492" s="236"/>
      <c r="U1492" s="236"/>
      <c r="V1492" s="236"/>
      <c r="W1492" s="236"/>
      <c r="X1492" s="244"/>
      <c r="Y1492" s="244"/>
      <c r="Z1492" s="237"/>
      <c r="AA1492" s="244"/>
      <c r="AB1492" s="244"/>
      <c r="AC1492" s="244"/>
      <c r="AD1492" s="244"/>
      <c r="AE1492" s="234"/>
      <c r="AF1492" s="234"/>
      <c r="AG1492" s="238"/>
      <c r="AH1492" s="239"/>
      <c r="AI1492" s="238"/>
      <c r="AJ1492" s="238"/>
      <c r="AK1492" s="234"/>
      <c r="AL1492" s="234"/>
      <c r="AM1492" s="234"/>
      <c r="AN1492" s="234"/>
      <c r="AO1492" s="234"/>
    </row>
    <row r="1493" ht="15.75" customHeight="1">
      <c r="A1493" s="91"/>
      <c r="B1493" s="91"/>
      <c r="C1493" s="220"/>
      <c r="D1493" s="91"/>
      <c r="E1493" s="221"/>
      <c r="F1493" s="91"/>
      <c r="G1493" s="91"/>
      <c r="H1493" s="242"/>
      <c r="I1493" s="91"/>
      <c r="J1493" s="234"/>
      <c r="K1493" s="243"/>
      <c r="L1493" s="243"/>
      <c r="M1493" s="234"/>
      <c r="N1493" s="235"/>
      <c r="O1493" s="236"/>
      <c r="P1493" s="236"/>
      <c r="Q1493" s="236"/>
      <c r="R1493" s="236"/>
      <c r="S1493" s="236"/>
      <c r="T1493" s="236"/>
      <c r="U1493" s="236"/>
      <c r="V1493" s="236"/>
      <c r="W1493" s="236"/>
      <c r="X1493" s="244"/>
      <c r="Y1493" s="244"/>
      <c r="Z1493" s="237"/>
      <c r="AA1493" s="244"/>
      <c r="AB1493" s="244"/>
      <c r="AC1493" s="244"/>
      <c r="AD1493" s="244"/>
      <c r="AE1493" s="234"/>
      <c r="AF1493" s="234"/>
      <c r="AG1493" s="238"/>
      <c r="AH1493" s="239"/>
      <c r="AI1493" s="238"/>
      <c r="AJ1493" s="238"/>
      <c r="AK1493" s="234"/>
      <c r="AL1493" s="234"/>
      <c r="AM1493" s="234"/>
      <c r="AN1493" s="234"/>
      <c r="AO1493" s="234"/>
    </row>
    <row r="1494" ht="15.75" customHeight="1">
      <c r="A1494" s="91"/>
      <c r="B1494" s="91"/>
      <c r="C1494" s="220"/>
      <c r="D1494" s="91"/>
      <c r="E1494" s="221"/>
      <c r="F1494" s="91"/>
      <c r="G1494" s="91"/>
      <c r="H1494" s="242"/>
      <c r="I1494" s="91"/>
      <c r="J1494" s="234"/>
      <c r="K1494" s="243"/>
      <c r="L1494" s="243"/>
      <c r="M1494" s="234"/>
      <c r="N1494" s="235"/>
      <c r="O1494" s="236"/>
      <c r="P1494" s="236"/>
      <c r="Q1494" s="236"/>
      <c r="R1494" s="236"/>
      <c r="S1494" s="236"/>
      <c r="T1494" s="236"/>
      <c r="U1494" s="236"/>
      <c r="V1494" s="236"/>
      <c r="W1494" s="236"/>
      <c r="X1494" s="244"/>
      <c r="Y1494" s="244"/>
      <c r="Z1494" s="237"/>
      <c r="AA1494" s="244"/>
      <c r="AB1494" s="244"/>
      <c r="AC1494" s="244"/>
      <c r="AD1494" s="244"/>
      <c r="AE1494" s="234"/>
      <c r="AF1494" s="234"/>
      <c r="AG1494" s="238"/>
      <c r="AH1494" s="239"/>
      <c r="AI1494" s="238"/>
      <c r="AJ1494" s="238"/>
      <c r="AK1494" s="234"/>
      <c r="AL1494" s="234"/>
      <c r="AM1494" s="234"/>
      <c r="AN1494" s="234"/>
      <c r="AO1494" s="234"/>
    </row>
    <row r="1495" ht="15.75" customHeight="1">
      <c r="A1495" s="91"/>
      <c r="B1495" s="91"/>
      <c r="C1495" s="220"/>
      <c r="D1495" s="91"/>
      <c r="E1495" s="221"/>
      <c r="F1495" s="91"/>
      <c r="G1495" s="91"/>
      <c r="H1495" s="242"/>
      <c r="I1495" s="91"/>
      <c r="J1495" s="234"/>
      <c r="K1495" s="243"/>
      <c r="L1495" s="243"/>
      <c r="M1495" s="234"/>
      <c r="N1495" s="235"/>
      <c r="O1495" s="236"/>
      <c r="P1495" s="236"/>
      <c r="Q1495" s="236"/>
      <c r="R1495" s="236"/>
      <c r="S1495" s="236"/>
      <c r="T1495" s="236"/>
      <c r="U1495" s="236"/>
      <c r="V1495" s="236"/>
      <c r="W1495" s="236"/>
      <c r="X1495" s="244"/>
      <c r="Y1495" s="244"/>
      <c r="Z1495" s="237"/>
      <c r="AA1495" s="244"/>
      <c r="AB1495" s="244"/>
      <c r="AC1495" s="244"/>
      <c r="AD1495" s="244"/>
      <c r="AE1495" s="234"/>
      <c r="AF1495" s="234"/>
      <c r="AG1495" s="238"/>
      <c r="AH1495" s="239"/>
      <c r="AI1495" s="238"/>
      <c r="AJ1495" s="238"/>
      <c r="AK1495" s="234"/>
      <c r="AL1495" s="234"/>
      <c r="AM1495" s="234"/>
      <c r="AN1495" s="234"/>
      <c r="AO1495" s="234"/>
    </row>
    <row r="1496" ht="15.75" customHeight="1">
      <c r="A1496" s="91"/>
      <c r="B1496" s="91"/>
      <c r="C1496" s="220"/>
      <c r="D1496" s="91"/>
      <c r="E1496" s="221"/>
      <c r="F1496" s="91"/>
      <c r="G1496" s="91"/>
      <c r="H1496" s="242"/>
      <c r="I1496" s="91"/>
      <c r="J1496" s="234"/>
      <c r="K1496" s="243"/>
      <c r="L1496" s="243"/>
      <c r="M1496" s="234"/>
      <c r="N1496" s="235"/>
      <c r="O1496" s="236"/>
      <c r="P1496" s="236"/>
      <c r="Q1496" s="236"/>
      <c r="R1496" s="236"/>
      <c r="S1496" s="236"/>
      <c r="T1496" s="236"/>
      <c r="U1496" s="236"/>
      <c r="V1496" s="236"/>
      <c r="W1496" s="236"/>
      <c r="X1496" s="244"/>
      <c r="Y1496" s="244"/>
      <c r="Z1496" s="237"/>
      <c r="AA1496" s="244"/>
      <c r="AB1496" s="244"/>
      <c r="AC1496" s="244"/>
      <c r="AD1496" s="244"/>
      <c r="AE1496" s="234"/>
      <c r="AF1496" s="234"/>
      <c r="AG1496" s="238"/>
      <c r="AH1496" s="239"/>
      <c r="AI1496" s="238"/>
      <c r="AJ1496" s="238"/>
      <c r="AK1496" s="234"/>
      <c r="AL1496" s="234"/>
      <c r="AM1496" s="234"/>
      <c r="AN1496" s="234"/>
      <c r="AO1496" s="234"/>
    </row>
    <row r="1497" ht="15.75" customHeight="1">
      <c r="A1497" s="91"/>
      <c r="B1497" s="91"/>
      <c r="C1497" s="220"/>
      <c r="D1497" s="91"/>
      <c r="E1497" s="221"/>
      <c r="F1497" s="91"/>
      <c r="G1497" s="91"/>
      <c r="H1497" s="242"/>
      <c r="I1497" s="91"/>
      <c r="J1497" s="234"/>
      <c r="K1497" s="243"/>
      <c r="L1497" s="243"/>
      <c r="M1497" s="234"/>
      <c r="N1497" s="235"/>
      <c r="O1497" s="236"/>
      <c r="P1497" s="236"/>
      <c r="Q1497" s="236"/>
      <c r="R1497" s="236"/>
      <c r="S1497" s="236"/>
      <c r="T1497" s="236"/>
      <c r="U1497" s="236"/>
      <c r="V1497" s="236"/>
      <c r="W1497" s="236"/>
      <c r="X1497" s="244"/>
      <c r="Y1497" s="244"/>
      <c r="Z1497" s="237"/>
      <c r="AA1497" s="244"/>
      <c r="AB1497" s="244"/>
      <c r="AC1497" s="244"/>
      <c r="AD1497" s="244"/>
      <c r="AE1497" s="234"/>
      <c r="AF1497" s="234"/>
      <c r="AG1497" s="238"/>
      <c r="AH1497" s="239"/>
      <c r="AI1497" s="238"/>
      <c r="AJ1497" s="238"/>
      <c r="AK1497" s="234"/>
      <c r="AL1497" s="234"/>
      <c r="AM1497" s="234"/>
      <c r="AN1497" s="234"/>
      <c r="AO1497" s="234"/>
    </row>
    <row r="1498" ht="15.75" customHeight="1">
      <c r="A1498" s="91"/>
      <c r="B1498" s="91"/>
      <c r="C1498" s="220"/>
      <c r="D1498" s="91"/>
      <c r="E1498" s="221"/>
      <c r="F1498" s="91"/>
      <c r="G1498" s="91"/>
      <c r="H1498" s="242"/>
      <c r="I1498" s="91"/>
      <c r="J1498" s="234"/>
      <c r="K1498" s="243"/>
      <c r="L1498" s="243"/>
      <c r="M1498" s="234"/>
      <c r="N1498" s="235"/>
      <c r="O1498" s="236"/>
      <c r="P1498" s="236"/>
      <c r="Q1498" s="236"/>
      <c r="R1498" s="236"/>
      <c r="S1498" s="236"/>
      <c r="T1498" s="236"/>
      <c r="U1498" s="236"/>
      <c r="V1498" s="236"/>
      <c r="W1498" s="236"/>
      <c r="X1498" s="244"/>
      <c r="Y1498" s="244"/>
      <c r="Z1498" s="237"/>
      <c r="AA1498" s="244"/>
      <c r="AB1498" s="244"/>
      <c r="AC1498" s="244"/>
      <c r="AD1498" s="244"/>
      <c r="AE1498" s="234"/>
      <c r="AF1498" s="234"/>
      <c r="AG1498" s="238"/>
      <c r="AH1498" s="239"/>
      <c r="AI1498" s="238"/>
      <c r="AJ1498" s="238"/>
      <c r="AK1498" s="234"/>
      <c r="AL1498" s="234"/>
      <c r="AM1498" s="234"/>
      <c r="AN1498" s="234"/>
      <c r="AO1498" s="234"/>
    </row>
    <row r="1499" ht="15.75" customHeight="1">
      <c r="A1499" s="91"/>
      <c r="B1499" s="91"/>
      <c r="C1499" s="220"/>
      <c r="D1499" s="91"/>
      <c r="E1499" s="221"/>
      <c r="F1499" s="91"/>
      <c r="G1499" s="91"/>
      <c r="H1499" s="242"/>
      <c r="I1499" s="91"/>
      <c r="J1499" s="234"/>
      <c r="K1499" s="243"/>
      <c r="L1499" s="243"/>
      <c r="M1499" s="234"/>
      <c r="N1499" s="235"/>
      <c r="O1499" s="236"/>
      <c r="P1499" s="236"/>
      <c r="Q1499" s="236"/>
      <c r="R1499" s="236"/>
      <c r="S1499" s="236"/>
      <c r="T1499" s="236"/>
      <c r="U1499" s="236"/>
      <c r="V1499" s="236"/>
      <c r="W1499" s="236"/>
      <c r="X1499" s="244"/>
      <c r="Y1499" s="244"/>
      <c r="Z1499" s="237"/>
      <c r="AA1499" s="244"/>
      <c r="AB1499" s="244"/>
      <c r="AC1499" s="244"/>
      <c r="AD1499" s="244"/>
      <c r="AE1499" s="234"/>
      <c r="AF1499" s="234"/>
      <c r="AG1499" s="238"/>
      <c r="AH1499" s="239"/>
      <c r="AI1499" s="238"/>
      <c r="AJ1499" s="238"/>
      <c r="AK1499" s="234"/>
      <c r="AL1499" s="234"/>
      <c r="AM1499" s="234"/>
      <c r="AN1499" s="234"/>
      <c r="AO1499" s="234"/>
    </row>
    <row r="1500" ht="15.75" customHeight="1">
      <c r="A1500" s="91"/>
      <c r="B1500" s="91"/>
      <c r="C1500" s="220"/>
      <c r="D1500" s="91"/>
      <c r="E1500" s="221"/>
      <c r="F1500" s="91"/>
      <c r="G1500" s="91"/>
      <c r="H1500" s="242"/>
      <c r="I1500" s="91"/>
      <c r="J1500" s="234"/>
      <c r="K1500" s="243"/>
      <c r="L1500" s="243"/>
      <c r="M1500" s="234"/>
      <c r="N1500" s="235"/>
      <c r="O1500" s="236"/>
      <c r="P1500" s="236"/>
      <c r="Q1500" s="236"/>
      <c r="R1500" s="236"/>
      <c r="S1500" s="236"/>
      <c r="T1500" s="236"/>
      <c r="U1500" s="236"/>
      <c r="V1500" s="236"/>
      <c r="W1500" s="236"/>
      <c r="X1500" s="244"/>
      <c r="Y1500" s="244"/>
      <c r="Z1500" s="237"/>
      <c r="AA1500" s="244"/>
      <c r="AB1500" s="244"/>
      <c r="AC1500" s="244"/>
      <c r="AD1500" s="244"/>
      <c r="AE1500" s="234"/>
      <c r="AF1500" s="234"/>
      <c r="AG1500" s="238"/>
      <c r="AH1500" s="239"/>
      <c r="AI1500" s="238"/>
      <c r="AJ1500" s="238"/>
      <c r="AK1500" s="234"/>
      <c r="AL1500" s="234"/>
      <c r="AM1500" s="234"/>
      <c r="AN1500" s="234"/>
      <c r="AO1500" s="234"/>
    </row>
    <row r="1501" ht="15.75" customHeight="1">
      <c r="A1501" s="91"/>
      <c r="B1501" s="91"/>
      <c r="C1501" s="220"/>
      <c r="D1501" s="91"/>
      <c r="E1501" s="221"/>
      <c r="F1501" s="91"/>
      <c r="G1501" s="91"/>
      <c r="H1501" s="242"/>
      <c r="I1501" s="91"/>
      <c r="J1501" s="234"/>
      <c r="K1501" s="243"/>
      <c r="L1501" s="243"/>
      <c r="M1501" s="234"/>
      <c r="N1501" s="235"/>
      <c r="O1501" s="236"/>
      <c r="P1501" s="236"/>
      <c r="Q1501" s="236"/>
      <c r="R1501" s="236"/>
      <c r="S1501" s="236"/>
      <c r="T1501" s="236"/>
      <c r="U1501" s="236"/>
      <c r="V1501" s="236"/>
      <c r="W1501" s="236"/>
      <c r="X1501" s="244"/>
      <c r="Y1501" s="244"/>
      <c r="Z1501" s="237"/>
      <c r="AA1501" s="244"/>
      <c r="AB1501" s="244"/>
      <c r="AC1501" s="244"/>
      <c r="AD1501" s="244"/>
      <c r="AE1501" s="234"/>
      <c r="AF1501" s="234"/>
      <c r="AG1501" s="238"/>
      <c r="AH1501" s="239"/>
      <c r="AI1501" s="238"/>
      <c r="AJ1501" s="238"/>
      <c r="AK1501" s="234"/>
      <c r="AL1501" s="234"/>
      <c r="AM1501" s="234"/>
      <c r="AN1501" s="234"/>
      <c r="AO1501" s="234"/>
    </row>
    <row r="1502" ht="15.75" customHeight="1">
      <c r="A1502" s="91"/>
      <c r="B1502" s="91"/>
      <c r="C1502" s="220"/>
      <c r="D1502" s="91"/>
      <c r="E1502" s="221"/>
      <c r="F1502" s="91"/>
      <c r="G1502" s="91"/>
      <c r="H1502" s="242"/>
      <c r="I1502" s="91"/>
      <c r="J1502" s="234"/>
      <c r="K1502" s="243"/>
      <c r="L1502" s="243"/>
      <c r="M1502" s="234"/>
      <c r="N1502" s="235"/>
      <c r="O1502" s="236"/>
      <c r="P1502" s="236"/>
      <c r="Q1502" s="236"/>
      <c r="R1502" s="236"/>
      <c r="S1502" s="236"/>
      <c r="T1502" s="236"/>
      <c r="U1502" s="236"/>
      <c r="V1502" s="236"/>
      <c r="W1502" s="236"/>
      <c r="X1502" s="244"/>
      <c r="Y1502" s="244"/>
      <c r="Z1502" s="237"/>
      <c r="AA1502" s="244"/>
      <c r="AB1502" s="244"/>
      <c r="AC1502" s="244"/>
      <c r="AD1502" s="244"/>
      <c r="AE1502" s="234"/>
      <c r="AF1502" s="234"/>
      <c r="AG1502" s="238"/>
      <c r="AH1502" s="239"/>
      <c r="AI1502" s="238"/>
      <c r="AJ1502" s="238"/>
      <c r="AK1502" s="234"/>
      <c r="AL1502" s="234"/>
      <c r="AM1502" s="234"/>
      <c r="AN1502" s="234"/>
      <c r="AO1502" s="234"/>
    </row>
    <row r="1503" ht="15.75" customHeight="1">
      <c r="A1503" s="91"/>
      <c r="B1503" s="91"/>
      <c r="C1503" s="220"/>
      <c r="D1503" s="91"/>
      <c r="E1503" s="221"/>
      <c r="F1503" s="91"/>
      <c r="G1503" s="91"/>
      <c r="H1503" s="242"/>
      <c r="I1503" s="91"/>
      <c r="J1503" s="234"/>
      <c r="K1503" s="243"/>
      <c r="L1503" s="243"/>
      <c r="M1503" s="234"/>
      <c r="N1503" s="235"/>
      <c r="O1503" s="236"/>
      <c r="P1503" s="236"/>
      <c r="Q1503" s="236"/>
      <c r="R1503" s="236"/>
      <c r="S1503" s="236"/>
      <c r="T1503" s="236"/>
      <c r="U1503" s="236"/>
      <c r="V1503" s="236"/>
      <c r="W1503" s="236"/>
      <c r="X1503" s="244"/>
      <c r="Y1503" s="244"/>
      <c r="Z1503" s="237"/>
      <c r="AA1503" s="244"/>
      <c r="AB1503" s="244"/>
      <c r="AC1503" s="244"/>
      <c r="AD1503" s="244"/>
      <c r="AE1503" s="234"/>
      <c r="AF1503" s="234"/>
      <c r="AG1503" s="238"/>
      <c r="AH1503" s="239"/>
      <c r="AI1503" s="238"/>
      <c r="AJ1503" s="238"/>
      <c r="AK1503" s="234"/>
      <c r="AL1503" s="234"/>
      <c r="AM1503" s="234"/>
      <c r="AN1503" s="234"/>
      <c r="AO1503" s="234"/>
    </row>
    <row r="1504" ht="15.75" customHeight="1">
      <c r="A1504" s="91"/>
      <c r="B1504" s="91"/>
      <c r="C1504" s="220"/>
      <c r="D1504" s="91"/>
      <c r="E1504" s="221"/>
      <c r="F1504" s="91"/>
      <c r="G1504" s="91"/>
      <c r="H1504" s="242"/>
      <c r="I1504" s="91"/>
      <c r="J1504" s="234"/>
      <c r="K1504" s="243"/>
      <c r="L1504" s="243"/>
      <c r="M1504" s="234"/>
      <c r="N1504" s="235"/>
      <c r="O1504" s="236"/>
      <c r="P1504" s="236"/>
      <c r="Q1504" s="236"/>
      <c r="R1504" s="236"/>
      <c r="S1504" s="236"/>
      <c r="T1504" s="236"/>
      <c r="U1504" s="236"/>
      <c r="V1504" s="236"/>
      <c r="W1504" s="236"/>
      <c r="X1504" s="244"/>
      <c r="Y1504" s="244"/>
      <c r="Z1504" s="237"/>
      <c r="AA1504" s="244"/>
      <c r="AB1504" s="244"/>
      <c r="AC1504" s="244"/>
      <c r="AD1504" s="244"/>
      <c r="AE1504" s="234"/>
      <c r="AF1504" s="234"/>
      <c r="AG1504" s="238"/>
      <c r="AH1504" s="239"/>
      <c r="AI1504" s="238"/>
      <c r="AJ1504" s="238"/>
      <c r="AK1504" s="234"/>
      <c r="AL1504" s="234"/>
      <c r="AM1504" s="234"/>
      <c r="AN1504" s="234"/>
      <c r="AO1504" s="234"/>
    </row>
    <row r="1505" ht="15.75" customHeight="1">
      <c r="A1505" s="91"/>
      <c r="B1505" s="91"/>
      <c r="C1505" s="220"/>
      <c r="D1505" s="91"/>
      <c r="E1505" s="221"/>
      <c r="F1505" s="91"/>
      <c r="G1505" s="91"/>
      <c r="H1505" s="242"/>
      <c r="I1505" s="91"/>
      <c r="J1505" s="234"/>
      <c r="K1505" s="243"/>
      <c r="L1505" s="243"/>
      <c r="M1505" s="234"/>
      <c r="N1505" s="235"/>
      <c r="O1505" s="236"/>
      <c r="P1505" s="236"/>
      <c r="Q1505" s="236"/>
      <c r="R1505" s="236"/>
      <c r="S1505" s="236"/>
      <c r="T1505" s="236"/>
      <c r="U1505" s="236"/>
      <c r="V1505" s="236"/>
      <c r="W1505" s="236"/>
      <c r="X1505" s="244"/>
      <c r="Y1505" s="244"/>
      <c r="Z1505" s="237"/>
      <c r="AA1505" s="244"/>
      <c r="AB1505" s="244"/>
      <c r="AC1505" s="244"/>
      <c r="AD1505" s="244"/>
      <c r="AE1505" s="234"/>
      <c r="AF1505" s="234"/>
      <c r="AG1505" s="238"/>
      <c r="AH1505" s="239"/>
      <c r="AI1505" s="238"/>
      <c r="AJ1505" s="238"/>
      <c r="AK1505" s="234"/>
      <c r="AL1505" s="234"/>
      <c r="AM1505" s="234"/>
      <c r="AN1505" s="234"/>
      <c r="AO1505" s="234"/>
    </row>
    <row r="1506" ht="15.75" customHeight="1">
      <c r="A1506" s="91"/>
      <c r="B1506" s="91"/>
      <c r="C1506" s="220"/>
      <c r="D1506" s="91"/>
      <c r="E1506" s="221"/>
      <c r="F1506" s="91"/>
      <c r="G1506" s="91"/>
      <c r="H1506" s="242"/>
      <c r="I1506" s="91"/>
      <c r="J1506" s="234"/>
      <c r="K1506" s="243"/>
      <c r="L1506" s="243"/>
      <c r="M1506" s="234"/>
      <c r="N1506" s="235"/>
      <c r="O1506" s="236"/>
      <c r="P1506" s="236"/>
      <c r="Q1506" s="236"/>
      <c r="R1506" s="236"/>
      <c r="S1506" s="236"/>
      <c r="T1506" s="236"/>
      <c r="U1506" s="236"/>
      <c r="V1506" s="236"/>
      <c r="W1506" s="236"/>
      <c r="X1506" s="244"/>
      <c r="Y1506" s="244"/>
      <c r="Z1506" s="237"/>
      <c r="AA1506" s="244"/>
      <c r="AB1506" s="244"/>
      <c r="AC1506" s="244"/>
      <c r="AD1506" s="244"/>
      <c r="AE1506" s="234"/>
      <c r="AF1506" s="234"/>
      <c r="AG1506" s="238"/>
      <c r="AH1506" s="239"/>
      <c r="AI1506" s="238"/>
      <c r="AJ1506" s="238"/>
      <c r="AK1506" s="234"/>
      <c r="AL1506" s="234"/>
      <c r="AM1506" s="234"/>
      <c r="AN1506" s="234"/>
      <c r="AO1506" s="234"/>
    </row>
    <row r="1507" ht="15.75" customHeight="1">
      <c r="A1507" s="91"/>
      <c r="B1507" s="91"/>
      <c r="C1507" s="220"/>
      <c r="D1507" s="91"/>
      <c r="E1507" s="221"/>
      <c r="F1507" s="91"/>
      <c r="G1507" s="91"/>
      <c r="H1507" s="242"/>
      <c r="I1507" s="91"/>
      <c r="J1507" s="234"/>
      <c r="K1507" s="243"/>
      <c r="L1507" s="243"/>
      <c r="M1507" s="234"/>
      <c r="N1507" s="235"/>
      <c r="O1507" s="236"/>
      <c r="P1507" s="236"/>
      <c r="Q1507" s="236"/>
      <c r="R1507" s="236"/>
      <c r="S1507" s="236"/>
      <c r="T1507" s="236"/>
      <c r="U1507" s="236"/>
      <c r="V1507" s="236"/>
      <c r="W1507" s="236"/>
      <c r="X1507" s="244"/>
      <c r="Y1507" s="244"/>
      <c r="Z1507" s="237"/>
      <c r="AA1507" s="244"/>
      <c r="AB1507" s="244"/>
      <c r="AC1507" s="244"/>
      <c r="AD1507" s="244"/>
      <c r="AE1507" s="234"/>
      <c r="AF1507" s="234"/>
      <c r="AG1507" s="238"/>
      <c r="AH1507" s="239"/>
      <c r="AI1507" s="238"/>
      <c r="AJ1507" s="238"/>
      <c r="AK1507" s="234"/>
      <c r="AL1507" s="234"/>
      <c r="AM1507" s="234"/>
      <c r="AN1507" s="234"/>
      <c r="AO1507" s="234"/>
    </row>
    <row r="1508" ht="15.75" customHeight="1">
      <c r="A1508" s="91"/>
      <c r="B1508" s="91"/>
      <c r="C1508" s="220"/>
      <c r="D1508" s="91"/>
      <c r="E1508" s="221"/>
      <c r="F1508" s="91"/>
      <c r="G1508" s="91"/>
      <c r="H1508" s="242"/>
      <c r="I1508" s="91"/>
      <c r="J1508" s="234"/>
      <c r="K1508" s="243"/>
      <c r="L1508" s="243"/>
      <c r="M1508" s="234"/>
      <c r="N1508" s="235"/>
      <c r="O1508" s="236"/>
      <c r="P1508" s="236"/>
      <c r="Q1508" s="236"/>
      <c r="R1508" s="236"/>
      <c r="S1508" s="236"/>
      <c r="T1508" s="236"/>
      <c r="U1508" s="236"/>
      <c r="V1508" s="236"/>
      <c r="W1508" s="236"/>
      <c r="X1508" s="244"/>
      <c r="Y1508" s="244"/>
      <c r="Z1508" s="237"/>
      <c r="AA1508" s="244"/>
      <c r="AB1508" s="244"/>
      <c r="AC1508" s="244"/>
      <c r="AD1508" s="244"/>
      <c r="AE1508" s="234"/>
      <c r="AF1508" s="234"/>
      <c r="AG1508" s="238"/>
      <c r="AH1508" s="239"/>
      <c r="AI1508" s="238"/>
      <c r="AJ1508" s="238"/>
      <c r="AK1508" s="234"/>
      <c r="AL1508" s="234"/>
      <c r="AM1508" s="234"/>
      <c r="AN1508" s="234"/>
      <c r="AO1508" s="234"/>
    </row>
    <row r="1509" ht="15.75" customHeight="1">
      <c r="A1509" s="91"/>
      <c r="B1509" s="91"/>
      <c r="C1509" s="220"/>
      <c r="D1509" s="91"/>
      <c r="E1509" s="221"/>
      <c r="F1509" s="91"/>
      <c r="G1509" s="91"/>
      <c r="H1509" s="242"/>
      <c r="I1509" s="91"/>
      <c r="J1509" s="234"/>
      <c r="K1509" s="243"/>
      <c r="L1509" s="243"/>
      <c r="M1509" s="234"/>
      <c r="N1509" s="235"/>
      <c r="O1509" s="236"/>
      <c r="P1509" s="236"/>
      <c r="Q1509" s="236"/>
      <c r="R1509" s="236"/>
      <c r="S1509" s="236"/>
      <c r="T1509" s="236"/>
      <c r="U1509" s="236"/>
      <c r="V1509" s="236"/>
      <c r="W1509" s="236"/>
      <c r="X1509" s="244"/>
      <c r="Y1509" s="244"/>
      <c r="Z1509" s="237"/>
      <c r="AA1509" s="244"/>
      <c r="AB1509" s="244"/>
      <c r="AC1509" s="244"/>
      <c r="AD1509" s="244"/>
      <c r="AE1509" s="234"/>
      <c r="AF1509" s="234"/>
      <c r="AG1509" s="238"/>
      <c r="AH1509" s="239"/>
      <c r="AI1509" s="238"/>
      <c r="AJ1509" s="238"/>
      <c r="AK1509" s="234"/>
      <c r="AL1509" s="234"/>
      <c r="AM1509" s="234"/>
      <c r="AN1509" s="234"/>
      <c r="AO1509" s="234"/>
    </row>
    <row r="1510" ht="15.75" customHeight="1">
      <c r="A1510" s="91"/>
      <c r="B1510" s="91"/>
      <c r="C1510" s="220"/>
      <c r="D1510" s="91"/>
      <c r="E1510" s="221"/>
      <c r="F1510" s="91"/>
      <c r="G1510" s="91"/>
      <c r="H1510" s="242"/>
      <c r="I1510" s="91"/>
      <c r="J1510" s="234"/>
      <c r="K1510" s="243"/>
      <c r="L1510" s="243"/>
      <c r="M1510" s="234"/>
      <c r="N1510" s="235"/>
      <c r="O1510" s="236"/>
      <c r="P1510" s="236"/>
      <c r="Q1510" s="236"/>
      <c r="R1510" s="236"/>
      <c r="S1510" s="236"/>
      <c r="T1510" s="236"/>
      <c r="U1510" s="236"/>
      <c r="V1510" s="236"/>
      <c r="W1510" s="236"/>
      <c r="X1510" s="244"/>
      <c r="Y1510" s="244"/>
      <c r="Z1510" s="237"/>
      <c r="AA1510" s="244"/>
      <c r="AB1510" s="244"/>
      <c r="AC1510" s="244"/>
      <c r="AD1510" s="244"/>
      <c r="AE1510" s="234"/>
      <c r="AF1510" s="234"/>
      <c r="AG1510" s="238"/>
      <c r="AH1510" s="239"/>
      <c r="AI1510" s="238"/>
      <c r="AJ1510" s="238"/>
      <c r="AK1510" s="234"/>
      <c r="AL1510" s="234"/>
      <c r="AM1510" s="234"/>
      <c r="AN1510" s="234"/>
      <c r="AO1510" s="234"/>
    </row>
    <row r="1511" ht="15.75" customHeight="1">
      <c r="A1511" s="91"/>
      <c r="B1511" s="91"/>
      <c r="C1511" s="220"/>
      <c r="D1511" s="91"/>
      <c r="E1511" s="221"/>
      <c r="F1511" s="91"/>
      <c r="G1511" s="91"/>
      <c r="H1511" s="242"/>
      <c r="I1511" s="91"/>
      <c r="J1511" s="234"/>
      <c r="K1511" s="243"/>
      <c r="L1511" s="243"/>
      <c r="M1511" s="234"/>
      <c r="N1511" s="235"/>
      <c r="O1511" s="236"/>
      <c r="P1511" s="236"/>
      <c r="Q1511" s="236"/>
      <c r="R1511" s="236"/>
      <c r="S1511" s="236"/>
      <c r="T1511" s="236"/>
      <c r="U1511" s="236"/>
      <c r="V1511" s="236"/>
      <c r="W1511" s="236"/>
      <c r="X1511" s="244"/>
      <c r="Y1511" s="244"/>
      <c r="Z1511" s="237"/>
      <c r="AA1511" s="244"/>
      <c r="AB1511" s="244"/>
      <c r="AC1511" s="244"/>
      <c r="AD1511" s="244"/>
      <c r="AE1511" s="234"/>
      <c r="AF1511" s="234"/>
      <c r="AG1511" s="238"/>
      <c r="AH1511" s="239"/>
      <c r="AI1511" s="238"/>
      <c r="AJ1511" s="238"/>
      <c r="AK1511" s="234"/>
      <c r="AL1511" s="234"/>
      <c r="AM1511" s="234"/>
      <c r="AN1511" s="234"/>
      <c r="AO1511" s="234"/>
    </row>
    <row r="1512" ht="15.75" customHeight="1">
      <c r="A1512" s="91"/>
      <c r="B1512" s="91"/>
      <c r="C1512" s="220"/>
      <c r="D1512" s="91"/>
      <c r="E1512" s="221"/>
      <c r="F1512" s="91"/>
      <c r="G1512" s="91"/>
      <c r="H1512" s="242"/>
      <c r="I1512" s="91"/>
      <c r="J1512" s="234"/>
      <c r="K1512" s="243"/>
      <c r="L1512" s="243"/>
      <c r="M1512" s="234"/>
      <c r="N1512" s="235"/>
      <c r="O1512" s="236"/>
      <c r="P1512" s="236"/>
      <c r="Q1512" s="236"/>
      <c r="R1512" s="236"/>
      <c r="S1512" s="236"/>
      <c r="T1512" s="236"/>
      <c r="U1512" s="236"/>
      <c r="V1512" s="236"/>
      <c r="W1512" s="236"/>
      <c r="X1512" s="244"/>
      <c r="Y1512" s="244"/>
      <c r="Z1512" s="237"/>
      <c r="AA1512" s="244"/>
      <c r="AB1512" s="244"/>
      <c r="AC1512" s="244"/>
      <c r="AD1512" s="244"/>
      <c r="AE1512" s="234"/>
      <c r="AF1512" s="234"/>
      <c r="AG1512" s="238"/>
      <c r="AH1512" s="239"/>
      <c r="AI1512" s="238"/>
      <c r="AJ1512" s="238"/>
      <c r="AK1512" s="234"/>
      <c r="AL1512" s="234"/>
      <c r="AM1512" s="234"/>
      <c r="AN1512" s="234"/>
      <c r="AO1512" s="234"/>
    </row>
    <row r="1513" ht="15.75" customHeight="1">
      <c r="A1513" s="91"/>
      <c r="B1513" s="91"/>
      <c r="C1513" s="220"/>
      <c r="D1513" s="91"/>
      <c r="E1513" s="221"/>
      <c r="F1513" s="91"/>
      <c r="G1513" s="91"/>
      <c r="H1513" s="242"/>
      <c r="I1513" s="91"/>
      <c r="J1513" s="234"/>
      <c r="K1513" s="243"/>
      <c r="L1513" s="243"/>
      <c r="M1513" s="234"/>
      <c r="N1513" s="235"/>
      <c r="O1513" s="236"/>
      <c r="P1513" s="236"/>
      <c r="Q1513" s="236"/>
      <c r="R1513" s="236"/>
      <c r="S1513" s="236"/>
      <c r="T1513" s="236"/>
      <c r="U1513" s="236"/>
      <c r="V1513" s="236"/>
      <c r="W1513" s="236"/>
      <c r="X1513" s="244"/>
      <c r="Y1513" s="244"/>
      <c r="Z1513" s="237"/>
      <c r="AA1513" s="244"/>
      <c r="AB1513" s="244"/>
      <c r="AC1513" s="244"/>
      <c r="AD1513" s="244"/>
      <c r="AE1513" s="234"/>
      <c r="AF1513" s="234"/>
      <c r="AG1513" s="238"/>
      <c r="AH1513" s="239"/>
      <c r="AI1513" s="238"/>
      <c r="AJ1513" s="238"/>
      <c r="AK1513" s="234"/>
      <c r="AL1513" s="234"/>
      <c r="AM1513" s="234"/>
      <c r="AN1513" s="234"/>
      <c r="AO1513" s="234"/>
    </row>
    <row r="1514" ht="15.75" customHeight="1">
      <c r="A1514" s="91"/>
      <c r="B1514" s="91"/>
      <c r="C1514" s="220"/>
      <c r="D1514" s="91"/>
      <c r="E1514" s="221"/>
      <c r="F1514" s="91"/>
      <c r="G1514" s="91"/>
      <c r="H1514" s="242"/>
      <c r="I1514" s="91"/>
      <c r="J1514" s="234"/>
      <c r="K1514" s="243"/>
      <c r="L1514" s="243"/>
      <c r="M1514" s="234"/>
      <c r="N1514" s="235"/>
      <c r="O1514" s="236"/>
      <c r="P1514" s="236"/>
      <c r="Q1514" s="236"/>
      <c r="R1514" s="236"/>
      <c r="S1514" s="236"/>
      <c r="T1514" s="236"/>
      <c r="U1514" s="236"/>
      <c r="V1514" s="236"/>
      <c r="W1514" s="236"/>
      <c r="X1514" s="244"/>
      <c r="Y1514" s="244"/>
      <c r="Z1514" s="237"/>
      <c r="AA1514" s="244"/>
      <c r="AB1514" s="244"/>
      <c r="AC1514" s="244"/>
      <c r="AD1514" s="244"/>
      <c r="AE1514" s="234"/>
      <c r="AF1514" s="234"/>
      <c r="AG1514" s="238"/>
      <c r="AH1514" s="239"/>
      <c r="AI1514" s="238"/>
      <c r="AJ1514" s="238"/>
      <c r="AK1514" s="234"/>
      <c r="AL1514" s="234"/>
      <c r="AM1514" s="234"/>
      <c r="AN1514" s="234"/>
      <c r="AO1514" s="234"/>
    </row>
    <row r="1515" ht="15.75" customHeight="1">
      <c r="A1515" s="91"/>
      <c r="B1515" s="91"/>
      <c r="C1515" s="220"/>
      <c r="D1515" s="91"/>
      <c r="E1515" s="221"/>
      <c r="F1515" s="91"/>
      <c r="G1515" s="91"/>
      <c r="H1515" s="242"/>
      <c r="I1515" s="91"/>
      <c r="J1515" s="234"/>
      <c r="K1515" s="243"/>
      <c r="L1515" s="243"/>
      <c r="M1515" s="234"/>
      <c r="N1515" s="235"/>
      <c r="O1515" s="236"/>
      <c r="P1515" s="236"/>
      <c r="Q1515" s="236"/>
      <c r="R1515" s="236"/>
      <c r="S1515" s="236"/>
      <c r="T1515" s="236"/>
      <c r="U1515" s="236"/>
      <c r="V1515" s="236"/>
      <c r="W1515" s="236"/>
      <c r="X1515" s="244"/>
      <c r="Y1515" s="244"/>
      <c r="Z1515" s="237"/>
      <c r="AA1515" s="244"/>
      <c r="AB1515" s="244"/>
      <c r="AC1515" s="244"/>
      <c r="AD1515" s="244"/>
      <c r="AE1515" s="234"/>
      <c r="AF1515" s="234"/>
      <c r="AG1515" s="238"/>
      <c r="AH1515" s="239"/>
      <c r="AI1515" s="238"/>
      <c r="AJ1515" s="238"/>
      <c r="AK1515" s="234"/>
      <c r="AL1515" s="234"/>
      <c r="AM1515" s="234"/>
      <c r="AN1515" s="234"/>
      <c r="AO1515" s="234"/>
    </row>
    <row r="1516" ht="15.75" customHeight="1">
      <c r="A1516" s="91"/>
      <c r="B1516" s="91"/>
      <c r="C1516" s="220"/>
      <c r="D1516" s="91"/>
      <c r="E1516" s="221"/>
      <c r="F1516" s="91"/>
      <c r="G1516" s="91"/>
      <c r="H1516" s="242"/>
      <c r="I1516" s="91"/>
      <c r="J1516" s="234"/>
      <c r="K1516" s="243"/>
      <c r="L1516" s="243"/>
      <c r="M1516" s="234"/>
      <c r="N1516" s="235"/>
      <c r="O1516" s="236"/>
      <c r="P1516" s="236"/>
      <c r="Q1516" s="236"/>
      <c r="R1516" s="236"/>
      <c r="S1516" s="236"/>
      <c r="T1516" s="236"/>
      <c r="U1516" s="236"/>
      <c r="V1516" s="236"/>
      <c r="W1516" s="236"/>
      <c r="X1516" s="244"/>
      <c r="Y1516" s="244"/>
      <c r="Z1516" s="237"/>
      <c r="AA1516" s="244"/>
      <c r="AB1516" s="244"/>
      <c r="AC1516" s="244"/>
      <c r="AD1516" s="244"/>
      <c r="AE1516" s="234"/>
      <c r="AF1516" s="234"/>
      <c r="AG1516" s="238"/>
      <c r="AH1516" s="239"/>
      <c r="AI1516" s="238"/>
      <c r="AJ1516" s="238"/>
      <c r="AK1516" s="234"/>
      <c r="AL1516" s="234"/>
      <c r="AM1516" s="234"/>
      <c r="AN1516" s="234"/>
      <c r="AO1516" s="234"/>
    </row>
    <row r="1517" ht="15.75" customHeight="1">
      <c r="A1517" s="91"/>
      <c r="B1517" s="91"/>
      <c r="C1517" s="220"/>
      <c r="D1517" s="91"/>
      <c r="E1517" s="221"/>
      <c r="F1517" s="91"/>
      <c r="G1517" s="91"/>
      <c r="H1517" s="242"/>
      <c r="I1517" s="91"/>
      <c r="J1517" s="234"/>
      <c r="K1517" s="243"/>
      <c r="L1517" s="243"/>
      <c r="M1517" s="234"/>
      <c r="N1517" s="235"/>
      <c r="O1517" s="236"/>
      <c r="P1517" s="236"/>
      <c r="Q1517" s="236"/>
      <c r="R1517" s="236"/>
      <c r="S1517" s="236"/>
      <c r="T1517" s="236"/>
      <c r="U1517" s="236"/>
      <c r="V1517" s="236"/>
      <c r="W1517" s="236"/>
      <c r="X1517" s="244"/>
      <c r="Y1517" s="244"/>
      <c r="Z1517" s="237"/>
      <c r="AA1517" s="244"/>
      <c r="AB1517" s="244"/>
      <c r="AC1517" s="244"/>
      <c r="AD1517" s="244"/>
      <c r="AE1517" s="234"/>
      <c r="AF1517" s="234"/>
      <c r="AG1517" s="238"/>
      <c r="AH1517" s="239"/>
      <c r="AI1517" s="238"/>
      <c r="AJ1517" s="238"/>
      <c r="AK1517" s="234"/>
      <c r="AL1517" s="234"/>
      <c r="AM1517" s="234"/>
      <c r="AN1517" s="234"/>
      <c r="AO1517" s="234"/>
    </row>
    <row r="1518" ht="15.75" customHeight="1">
      <c r="A1518" s="91"/>
      <c r="B1518" s="91"/>
      <c r="C1518" s="220"/>
      <c r="D1518" s="91"/>
      <c r="E1518" s="221"/>
      <c r="F1518" s="91"/>
      <c r="G1518" s="91"/>
      <c r="H1518" s="242"/>
      <c r="I1518" s="91"/>
      <c r="J1518" s="234"/>
      <c r="K1518" s="243"/>
      <c r="L1518" s="243"/>
      <c r="M1518" s="234"/>
      <c r="N1518" s="235"/>
      <c r="O1518" s="236"/>
      <c r="P1518" s="236"/>
      <c r="Q1518" s="236"/>
      <c r="R1518" s="236"/>
      <c r="S1518" s="236"/>
      <c r="T1518" s="236"/>
      <c r="U1518" s="236"/>
      <c r="V1518" s="236"/>
      <c r="W1518" s="236"/>
      <c r="X1518" s="244"/>
      <c r="Y1518" s="244"/>
      <c r="Z1518" s="237"/>
      <c r="AA1518" s="244"/>
      <c r="AB1518" s="244"/>
      <c r="AC1518" s="244"/>
      <c r="AD1518" s="244"/>
      <c r="AE1518" s="234"/>
      <c r="AF1518" s="234"/>
      <c r="AG1518" s="238"/>
      <c r="AH1518" s="239"/>
      <c r="AI1518" s="238"/>
      <c r="AJ1518" s="238"/>
      <c r="AK1518" s="234"/>
      <c r="AL1518" s="234"/>
      <c r="AM1518" s="234"/>
      <c r="AN1518" s="234"/>
      <c r="AO1518" s="234"/>
    </row>
    <row r="1519" ht="15.75" customHeight="1">
      <c r="A1519" s="91"/>
      <c r="B1519" s="91"/>
      <c r="C1519" s="220"/>
      <c r="D1519" s="91"/>
      <c r="E1519" s="221"/>
      <c r="F1519" s="91"/>
      <c r="G1519" s="91"/>
      <c r="H1519" s="242"/>
      <c r="I1519" s="91"/>
      <c r="J1519" s="234"/>
      <c r="K1519" s="243"/>
      <c r="L1519" s="243"/>
      <c r="M1519" s="234"/>
      <c r="N1519" s="235"/>
      <c r="O1519" s="236"/>
      <c r="P1519" s="236"/>
      <c r="Q1519" s="236"/>
      <c r="R1519" s="236"/>
      <c r="S1519" s="236"/>
      <c r="T1519" s="236"/>
      <c r="U1519" s="236"/>
      <c r="V1519" s="236"/>
      <c r="W1519" s="236"/>
      <c r="X1519" s="244"/>
      <c r="Y1519" s="244"/>
      <c r="Z1519" s="237"/>
      <c r="AA1519" s="244"/>
      <c r="AB1519" s="244"/>
      <c r="AC1519" s="244"/>
      <c r="AD1519" s="244"/>
      <c r="AE1519" s="234"/>
      <c r="AF1519" s="234"/>
      <c r="AG1519" s="238"/>
      <c r="AH1519" s="239"/>
      <c r="AI1519" s="238"/>
      <c r="AJ1519" s="238"/>
      <c r="AK1519" s="234"/>
      <c r="AL1519" s="234"/>
      <c r="AM1519" s="234"/>
      <c r="AN1519" s="234"/>
      <c r="AO1519" s="234"/>
    </row>
    <row r="1520" ht="15.75" customHeight="1">
      <c r="A1520" s="91"/>
      <c r="B1520" s="91"/>
      <c r="C1520" s="220"/>
      <c r="D1520" s="91"/>
      <c r="E1520" s="221"/>
      <c r="F1520" s="91"/>
      <c r="G1520" s="91"/>
      <c r="H1520" s="242"/>
      <c r="I1520" s="91"/>
      <c r="J1520" s="234"/>
      <c r="K1520" s="243"/>
      <c r="L1520" s="243"/>
      <c r="M1520" s="234"/>
      <c r="N1520" s="235"/>
      <c r="O1520" s="236"/>
      <c r="P1520" s="236"/>
      <c r="Q1520" s="236"/>
      <c r="R1520" s="236"/>
      <c r="S1520" s="236"/>
      <c r="T1520" s="236"/>
      <c r="U1520" s="236"/>
      <c r="V1520" s="236"/>
      <c r="W1520" s="236"/>
      <c r="X1520" s="244"/>
      <c r="Y1520" s="244"/>
      <c r="Z1520" s="237"/>
      <c r="AA1520" s="244"/>
      <c r="AB1520" s="244"/>
      <c r="AC1520" s="244"/>
      <c r="AD1520" s="244"/>
      <c r="AE1520" s="234"/>
      <c r="AF1520" s="234"/>
      <c r="AG1520" s="238"/>
      <c r="AH1520" s="239"/>
      <c r="AI1520" s="238"/>
      <c r="AJ1520" s="238"/>
      <c r="AK1520" s="234"/>
      <c r="AL1520" s="234"/>
      <c r="AM1520" s="234"/>
      <c r="AN1520" s="234"/>
      <c r="AO1520" s="234"/>
    </row>
    <row r="1521" ht="15.75" customHeight="1">
      <c r="A1521" s="91"/>
      <c r="B1521" s="91"/>
      <c r="C1521" s="220"/>
      <c r="D1521" s="91"/>
      <c r="E1521" s="221"/>
      <c r="F1521" s="91"/>
      <c r="G1521" s="91"/>
      <c r="H1521" s="242"/>
      <c r="I1521" s="91"/>
      <c r="J1521" s="234"/>
      <c r="K1521" s="243"/>
      <c r="L1521" s="243"/>
      <c r="M1521" s="234"/>
      <c r="N1521" s="235"/>
      <c r="O1521" s="236"/>
      <c r="P1521" s="236"/>
      <c r="Q1521" s="236"/>
      <c r="R1521" s="236"/>
      <c r="S1521" s="236"/>
      <c r="T1521" s="236"/>
      <c r="U1521" s="236"/>
      <c r="V1521" s="236"/>
      <c r="W1521" s="236"/>
      <c r="X1521" s="244"/>
      <c r="Y1521" s="244"/>
      <c r="Z1521" s="237"/>
      <c r="AA1521" s="244"/>
      <c r="AB1521" s="244"/>
      <c r="AC1521" s="244"/>
      <c r="AD1521" s="244"/>
      <c r="AE1521" s="234"/>
      <c r="AF1521" s="234"/>
      <c r="AG1521" s="238"/>
      <c r="AH1521" s="239"/>
      <c r="AI1521" s="238"/>
      <c r="AJ1521" s="238"/>
      <c r="AK1521" s="234"/>
      <c r="AL1521" s="234"/>
      <c r="AM1521" s="234"/>
      <c r="AN1521" s="234"/>
      <c r="AO1521" s="234"/>
    </row>
    <row r="1522" ht="15.75" customHeight="1">
      <c r="A1522" s="91"/>
      <c r="B1522" s="91"/>
      <c r="C1522" s="220"/>
      <c r="D1522" s="91"/>
      <c r="E1522" s="221"/>
      <c r="F1522" s="91"/>
      <c r="G1522" s="91"/>
      <c r="H1522" s="242"/>
      <c r="I1522" s="91"/>
      <c r="J1522" s="234"/>
      <c r="K1522" s="243"/>
      <c r="L1522" s="243"/>
      <c r="M1522" s="234"/>
      <c r="N1522" s="235"/>
      <c r="O1522" s="236"/>
      <c r="P1522" s="236"/>
      <c r="Q1522" s="236"/>
      <c r="R1522" s="236"/>
      <c r="S1522" s="236"/>
      <c r="T1522" s="236"/>
      <c r="U1522" s="236"/>
      <c r="V1522" s="236"/>
      <c r="W1522" s="236"/>
      <c r="X1522" s="244"/>
      <c r="Y1522" s="244"/>
      <c r="Z1522" s="237"/>
      <c r="AA1522" s="244"/>
      <c r="AB1522" s="244"/>
      <c r="AC1522" s="244"/>
      <c r="AD1522" s="244"/>
      <c r="AE1522" s="234"/>
      <c r="AF1522" s="234"/>
      <c r="AG1522" s="238"/>
      <c r="AH1522" s="239"/>
      <c r="AI1522" s="238"/>
      <c r="AJ1522" s="238"/>
      <c r="AK1522" s="234"/>
      <c r="AL1522" s="234"/>
      <c r="AM1522" s="234"/>
      <c r="AN1522" s="234"/>
      <c r="AO1522" s="234"/>
    </row>
    <row r="1523" ht="15.75" customHeight="1">
      <c r="A1523" s="91"/>
      <c r="B1523" s="91"/>
      <c r="C1523" s="220"/>
      <c r="D1523" s="91"/>
      <c r="E1523" s="221"/>
      <c r="F1523" s="91"/>
      <c r="G1523" s="91"/>
      <c r="H1523" s="242"/>
      <c r="I1523" s="91"/>
      <c r="J1523" s="234"/>
      <c r="K1523" s="243"/>
      <c r="L1523" s="243"/>
      <c r="M1523" s="234"/>
      <c r="N1523" s="235"/>
      <c r="O1523" s="236"/>
      <c r="P1523" s="236"/>
      <c r="Q1523" s="236"/>
      <c r="R1523" s="236"/>
      <c r="S1523" s="236"/>
      <c r="T1523" s="236"/>
      <c r="U1523" s="236"/>
      <c r="V1523" s="236"/>
      <c r="W1523" s="236"/>
      <c r="X1523" s="244"/>
      <c r="Y1523" s="244"/>
      <c r="Z1523" s="237"/>
      <c r="AA1523" s="244"/>
      <c r="AB1523" s="244"/>
      <c r="AC1523" s="244"/>
      <c r="AD1523" s="244"/>
      <c r="AE1523" s="234"/>
      <c r="AF1523" s="234"/>
      <c r="AG1523" s="238"/>
      <c r="AH1523" s="239"/>
      <c r="AI1523" s="238"/>
      <c r="AJ1523" s="238"/>
      <c r="AK1523" s="234"/>
      <c r="AL1523" s="234"/>
      <c r="AM1523" s="234"/>
      <c r="AN1523" s="234"/>
      <c r="AO1523" s="234"/>
    </row>
    <row r="1524" ht="15.75" customHeight="1">
      <c r="A1524" s="91"/>
      <c r="B1524" s="91"/>
      <c r="C1524" s="220"/>
      <c r="D1524" s="91"/>
      <c r="E1524" s="221"/>
      <c r="F1524" s="91"/>
      <c r="G1524" s="91"/>
      <c r="H1524" s="242"/>
      <c r="I1524" s="91"/>
      <c r="J1524" s="234"/>
      <c r="K1524" s="243"/>
      <c r="L1524" s="243"/>
      <c r="M1524" s="234"/>
      <c r="N1524" s="235"/>
      <c r="O1524" s="236"/>
      <c r="P1524" s="236"/>
      <c r="Q1524" s="236"/>
      <c r="R1524" s="236"/>
      <c r="S1524" s="236"/>
      <c r="T1524" s="236"/>
      <c r="U1524" s="236"/>
      <c r="V1524" s="236"/>
      <c r="W1524" s="236"/>
      <c r="X1524" s="244"/>
      <c r="Y1524" s="244"/>
      <c r="Z1524" s="237"/>
      <c r="AA1524" s="244"/>
      <c r="AB1524" s="244"/>
      <c r="AC1524" s="244"/>
      <c r="AD1524" s="244"/>
      <c r="AE1524" s="234"/>
      <c r="AF1524" s="234"/>
      <c r="AG1524" s="238"/>
      <c r="AH1524" s="239"/>
      <c r="AI1524" s="238"/>
      <c r="AJ1524" s="238"/>
      <c r="AK1524" s="234"/>
      <c r="AL1524" s="234"/>
      <c r="AM1524" s="234"/>
      <c r="AN1524" s="234"/>
      <c r="AO1524" s="234"/>
    </row>
    <row r="1525" ht="15.75" customHeight="1">
      <c r="A1525" s="91"/>
      <c r="B1525" s="91"/>
      <c r="C1525" s="220"/>
      <c r="D1525" s="91"/>
      <c r="E1525" s="221"/>
      <c r="F1525" s="91"/>
      <c r="G1525" s="91"/>
      <c r="H1525" s="242"/>
      <c r="I1525" s="91"/>
      <c r="J1525" s="234"/>
      <c r="K1525" s="243"/>
      <c r="L1525" s="243"/>
      <c r="M1525" s="234"/>
      <c r="N1525" s="235"/>
      <c r="O1525" s="236"/>
      <c r="P1525" s="236"/>
      <c r="Q1525" s="236"/>
      <c r="R1525" s="236"/>
      <c r="S1525" s="236"/>
      <c r="T1525" s="236"/>
      <c r="U1525" s="236"/>
      <c r="V1525" s="236"/>
      <c r="W1525" s="236"/>
      <c r="X1525" s="244"/>
      <c r="Y1525" s="244"/>
      <c r="Z1525" s="237"/>
      <c r="AA1525" s="244"/>
      <c r="AB1525" s="244"/>
      <c r="AC1525" s="244"/>
      <c r="AD1525" s="244"/>
      <c r="AE1525" s="234"/>
      <c r="AF1525" s="234"/>
      <c r="AG1525" s="238"/>
      <c r="AH1525" s="239"/>
      <c r="AI1525" s="238"/>
      <c r="AJ1525" s="238"/>
      <c r="AK1525" s="234"/>
      <c r="AL1525" s="234"/>
      <c r="AM1525" s="234"/>
      <c r="AN1525" s="234"/>
      <c r="AO1525" s="234"/>
    </row>
    <row r="1526" ht="15.75" customHeight="1">
      <c r="A1526" s="91"/>
      <c r="B1526" s="91"/>
      <c r="C1526" s="220"/>
      <c r="D1526" s="91"/>
      <c r="E1526" s="221"/>
      <c r="F1526" s="91"/>
      <c r="G1526" s="91"/>
      <c r="H1526" s="242"/>
      <c r="I1526" s="91"/>
      <c r="J1526" s="234"/>
      <c r="K1526" s="243"/>
      <c r="L1526" s="243"/>
      <c r="M1526" s="234"/>
      <c r="N1526" s="235"/>
      <c r="O1526" s="236"/>
      <c r="P1526" s="236"/>
      <c r="Q1526" s="236"/>
      <c r="R1526" s="236"/>
      <c r="S1526" s="236"/>
      <c r="T1526" s="236"/>
      <c r="U1526" s="236"/>
      <c r="V1526" s="236"/>
      <c r="W1526" s="236"/>
      <c r="X1526" s="244"/>
      <c r="Y1526" s="244"/>
      <c r="Z1526" s="237"/>
      <c r="AA1526" s="244"/>
      <c r="AB1526" s="244"/>
      <c r="AC1526" s="244"/>
      <c r="AD1526" s="244"/>
      <c r="AE1526" s="234"/>
      <c r="AF1526" s="234"/>
      <c r="AG1526" s="238"/>
      <c r="AH1526" s="239"/>
      <c r="AI1526" s="238"/>
      <c r="AJ1526" s="238"/>
      <c r="AK1526" s="234"/>
      <c r="AL1526" s="234"/>
      <c r="AM1526" s="234"/>
      <c r="AN1526" s="234"/>
      <c r="AO1526" s="234"/>
    </row>
    <row r="1527" ht="15.75" customHeight="1">
      <c r="A1527" s="91"/>
      <c r="B1527" s="91"/>
      <c r="C1527" s="220"/>
      <c r="D1527" s="91"/>
      <c r="E1527" s="221"/>
      <c r="F1527" s="91"/>
      <c r="G1527" s="91"/>
      <c r="H1527" s="242"/>
      <c r="I1527" s="91"/>
      <c r="J1527" s="234"/>
      <c r="K1527" s="243"/>
      <c r="L1527" s="243"/>
      <c r="M1527" s="234"/>
      <c r="N1527" s="235"/>
      <c r="O1527" s="236"/>
      <c r="P1527" s="236"/>
      <c r="Q1527" s="236"/>
      <c r="R1527" s="236"/>
      <c r="S1527" s="236"/>
      <c r="T1527" s="236"/>
      <c r="U1527" s="236"/>
      <c r="V1527" s="236"/>
      <c r="W1527" s="236"/>
      <c r="X1527" s="244"/>
      <c r="Y1527" s="244"/>
      <c r="Z1527" s="237"/>
      <c r="AA1527" s="244"/>
      <c r="AB1527" s="244"/>
      <c r="AC1527" s="244"/>
      <c r="AD1527" s="244"/>
      <c r="AE1527" s="234"/>
      <c r="AF1527" s="234"/>
      <c r="AG1527" s="238"/>
      <c r="AH1527" s="239"/>
      <c r="AI1527" s="238"/>
      <c r="AJ1527" s="238"/>
      <c r="AK1527" s="234"/>
      <c r="AL1527" s="234"/>
      <c r="AM1527" s="234"/>
      <c r="AN1527" s="234"/>
      <c r="AO1527" s="234"/>
    </row>
    <row r="1528" ht="15.75" customHeight="1">
      <c r="A1528" s="91"/>
      <c r="B1528" s="91"/>
      <c r="C1528" s="220"/>
      <c r="D1528" s="91"/>
      <c r="E1528" s="221"/>
      <c r="F1528" s="91"/>
      <c r="G1528" s="91"/>
      <c r="H1528" s="242"/>
      <c r="I1528" s="91"/>
      <c r="J1528" s="234"/>
      <c r="K1528" s="243"/>
      <c r="L1528" s="243"/>
      <c r="M1528" s="234"/>
      <c r="N1528" s="235"/>
      <c r="O1528" s="236"/>
      <c r="P1528" s="236"/>
      <c r="Q1528" s="236"/>
      <c r="R1528" s="236"/>
      <c r="S1528" s="236"/>
      <c r="T1528" s="236"/>
      <c r="U1528" s="236"/>
      <c r="V1528" s="236"/>
      <c r="W1528" s="236"/>
      <c r="X1528" s="244"/>
      <c r="Y1528" s="244"/>
      <c r="Z1528" s="237"/>
      <c r="AA1528" s="244"/>
      <c r="AB1528" s="244"/>
      <c r="AC1528" s="244"/>
      <c r="AD1528" s="244"/>
      <c r="AE1528" s="234"/>
      <c r="AF1528" s="234"/>
      <c r="AG1528" s="238"/>
      <c r="AH1528" s="239"/>
      <c r="AI1528" s="238"/>
      <c r="AJ1528" s="238"/>
      <c r="AK1528" s="234"/>
      <c r="AL1528" s="234"/>
      <c r="AM1528" s="234"/>
      <c r="AN1528" s="234"/>
      <c r="AO1528" s="234"/>
    </row>
    <row r="1529" ht="15.75" customHeight="1">
      <c r="A1529" s="91"/>
      <c r="B1529" s="91"/>
      <c r="C1529" s="220"/>
      <c r="D1529" s="91"/>
      <c r="E1529" s="221"/>
      <c r="F1529" s="91"/>
      <c r="G1529" s="91"/>
      <c r="H1529" s="242"/>
      <c r="I1529" s="91"/>
      <c r="J1529" s="234"/>
      <c r="K1529" s="243"/>
      <c r="L1529" s="243"/>
      <c r="M1529" s="234"/>
      <c r="N1529" s="235"/>
      <c r="O1529" s="236"/>
      <c r="P1529" s="236"/>
      <c r="Q1529" s="236"/>
      <c r="R1529" s="236"/>
      <c r="S1529" s="236"/>
      <c r="T1529" s="236"/>
      <c r="U1529" s="236"/>
      <c r="V1529" s="236"/>
      <c r="W1529" s="236"/>
      <c r="X1529" s="244"/>
      <c r="Y1529" s="244"/>
      <c r="Z1529" s="237"/>
      <c r="AA1529" s="244"/>
      <c r="AB1529" s="244"/>
      <c r="AC1529" s="244"/>
      <c r="AD1529" s="244"/>
      <c r="AE1529" s="234"/>
      <c r="AF1529" s="234"/>
      <c r="AG1529" s="238"/>
      <c r="AH1529" s="239"/>
      <c r="AI1529" s="238"/>
      <c r="AJ1529" s="238"/>
      <c r="AK1529" s="234"/>
      <c r="AL1529" s="234"/>
      <c r="AM1529" s="234"/>
      <c r="AN1529" s="234"/>
      <c r="AO1529" s="234"/>
    </row>
    <row r="1530" ht="15.75" customHeight="1">
      <c r="A1530" s="91"/>
      <c r="B1530" s="91"/>
      <c r="C1530" s="220"/>
      <c r="D1530" s="91"/>
      <c r="E1530" s="221"/>
      <c r="F1530" s="91"/>
      <c r="G1530" s="91"/>
      <c r="H1530" s="242"/>
      <c r="I1530" s="91"/>
      <c r="J1530" s="234"/>
      <c r="K1530" s="243"/>
      <c r="L1530" s="243"/>
      <c r="M1530" s="234"/>
      <c r="N1530" s="235"/>
      <c r="O1530" s="236"/>
      <c r="P1530" s="236"/>
      <c r="Q1530" s="236"/>
      <c r="R1530" s="236"/>
      <c r="S1530" s="236"/>
      <c r="T1530" s="236"/>
      <c r="U1530" s="236"/>
      <c r="V1530" s="236"/>
      <c r="W1530" s="236"/>
      <c r="X1530" s="244"/>
      <c r="Y1530" s="244"/>
      <c r="Z1530" s="237"/>
      <c r="AA1530" s="244"/>
      <c r="AB1530" s="244"/>
      <c r="AC1530" s="244"/>
      <c r="AD1530" s="244"/>
      <c r="AE1530" s="234"/>
      <c r="AF1530" s="234"/>
      <c r="AG1530" s="238"/>
      <c r="AH1530" s="239"/>
      <c r="AI1530" s="238"/>
      <c r="AJ1530" s="238"/>
      <c r="AK1530" s="234"/>
      <c r="AL1530" s="234"/>
      <c r="AM1530" s="234"/>
      <c r="AN1530" s="234"/>
      <c r="AO1530" s="234"/>
    </row>
    <row r="1531" ht="15.75" customHeight="1">
      <c r="A1531" s="91"/>
      <c r="B1531" s="91"/>
      <c r="C1531" s="220"/>
      <c r="D1531" s="91"/>
      <c r="E1531" s="221"/>
      <c r="F1531" s="91"/>
      <c r="G1531" s="91"/>
      <c r="H1531" s="242"/>
      <c r="I1531" s="91"/>
      <c r="J1531" s="234"/>
      <c r="K1531" s="243"/>
      <c r="L1531" s="243"/>
      <c r="M1531" s="234"/>
      <c r="N1531" s="235"/>
      <c r="O1531" s="236"/>
      <c r="P1531" s="236"/>
      <c r="Q1531" s="236"/>
      <c r="R1531" s="236"/>
      <c r="S1531" s="236"/>
      <c r="T1531" s="236"/>
      <c r="U1531" s="236"/>
      <c r="V1531" s="236"/>
      <c r="W1531" s="236"/>
      <c r="X1531" s="244"/>
      <c r="Y1531" s="244"/>
      <c r="Z1531" s="237"/>
      <c r="AA1531" s="244"/>
      <c r="AB1531" s="244"/>
      <c r="AC1531" s="244"/>
      <c r="AD1531" s="244"/>
      <c r="AE1531" s="234"/>
      <c r="AF1531" s="234"/>
      <c r="AG1531" s="238"/>
      <c r="AH1531" s="239"/>
      <c r="AI1531" s="238"/>
      <c r="AJ1531" s="238"/>
      <c r="AK1531" s="234"/>
      <c r="AL1531" s="234"/>
      <c r="AM1531" s="234"/>
      <c r="AN1531" s="234"/>
      <c r="AO1531" s="234"/>
    </row>
    <row r="1532" ht="15.75" customHeight="1">
      <c r="A1532" s="91"/>
      <c r="B1532" s="91"/>
      <c r="C1532" s="220"/>
      <c r="D1532" s="91"/>
      <c r="E1532" s="221"/>
      <c r="F1532" s="91"/>
      <c r="G1532" s="91"/>
      <c r="H1532" s="242"/>
      <c r="I1532" s="91"/>
      <c r="J1532" s="234"/>
      <c r="K1532" s="243"/>
      <c r="L1532" s="243"/>
      <c r="M1532" s="234"/>
      <c r="N1532" s="235"/>
      <c r="O1532" s="236"/>
      <c r="P1532" s="236"/>
      <c r="Q1532" s="236"/>
      <c r="R1532" s="236"/>
      <c r="S1532" s="236"/>
      <c r="T1532" s="236"/>
      <c r="U1532" s="236"/>
      <c r="V1532" s="236"/>
      <c r="W1532" s="236"/>
      <c r="X1532" s="244"/>
      <c r="Y1532" s="244"/>
      <c r="Z1532" s="237"/>
      <c r="AA1532" s="244"/>
      <c r="AB1532" s="244"/>
      <c r="AC1532" s="244"/>
      <c r="AD1532" s="244"/>
      <c r="AE1532" s="234"/>
      <c r="AF1532" s="234"/>
      <c r="AG1532" s="238"/>
      <c r="AH1532" s="239"/>
      <c r="AI1532" s="238"/>
      <c r="AJ1532" s="238"/>
      <c r="AK1532" s="234"/>
      <c r="AL1532" s="234"/>
      <c r="AM1532" s="234"/>
      <c r="AN1532" s="234"/>
      <c r="AO1532" s="234"/>
    </row>
    <row r="1533" ht="15.75" customHeight="1">
      <c r="A1533" s="91"/>
      <c r="B1533" s="91"/>
      <c r="C1533" s="220"/>
      <c r="D1533" s="91"/>
      <c r="E1533" s="221"/>
      <c r="F1533" s="91"/>
      <c r="G1533" s="91"/>
      <c r="H1533" s="242"/>
      <c r="I1533" s="91"/>
      <c r="J1533" s="234"/>
      <c r="K1533" s="243"/>
      <c r="L1533" s="243"/>
      <c r="M1533" s="234"/>
      <c r="N1533" s="235"/>
      <c r="O1533" s="236"/>
      <c r="P1533" s="236"/>
      <c r="Q1533" s="236"/>
      <c r="R1533" s="236"/>
      <c r="S1533" s="236"/>
      <c r="T1533" s="236"/>
      <c r="U1533" s="236"/>
      <c r="V1533" s="236"/>
      <c r="W1533" s="236"/>
      <c r="X1533" s="244"/>
      <c r="Y1533" s="244"/>
      <c r="Z1533" s="237"/>
      <c r="AA1533" s="244"/>
      <c r="AB1533" s="244"/>
      <c r="AC1533" s="244"/>
      <c r="AD1533" s="244"/>
      <c r="AE1533" s="234"/>
      <c r="AF1533" s="234"/>
      <c r="AG1533" s="238"/>
      <c r="AH1533" s="239"/>
      <c r="AI1533" s="238"/>
      <c r="AJ1533" s="238"/>
      <c r="AK1533" s="234"/>
      <c r="AL1533" s="234"/>
      <c r="AM1533" s="234"/>
      <c r="AN1533" s="234"/>
      <c r="AO1533" s="234"/>
    </row>
    <row r="1534" ht="15.75" customHeight="1">
      <c r="A1534" s="91"/>
      <c r="B1534" s="91"/>
      <c r="C1534" s="220"/>
      <c r="D1534" s="91"/>
      <c r="E1534" s="221"/>
      <c r="F1534" s="91"/>
      <c r="G1534" s="91"/>
      <c r="H1534" s="242"/>
      <c r="I1534" s="91"/>
      <c r="J1534" s="234"/>
      <c r="K1534" s="243"/>
      <c r="L1534" s="243"/>
      <c r="M1534" s="234"/>
      <c r="N1534" s="235"/>
      <c r="O1534" s="236"/>
      <c r="P1534" s="236"/>
      <c r="Q1534" s="236"/>
      <c r="R1534" s="236"/>
      <c r="S1534" s="236"/>
      <c r="T1534" s="236"/>
      <c r="U1534" s="236"/>
      <c r="V1534" s="236"/>
      <c r="W1534" s="236"/>
      <c r="X1534" s="244"/>
      <c r="Y1534" s="244"/>
      <c r="Z1534" s="237"/>
      <c r="AA1534" s="244"/>
      <c r="AB1534" s="244"/>
      <c r="AC1534" s="244"/>
      <c r="AD1534" s="244"/>
      <c r="AE1534" s="234"/>
      <c r="AF1534" s="234"/>
      <c r="AG1534" s="238"/>
      <c r="AH1534" s="239"/>
      <c r="AI1534" s="238"/>
      <c r="AJ1534" s="238"/>
      <c r="AK1534" s="234"/>
      <c r="AL1534" s="234"/>
      <c r="AM1534" s="234"/>
      <c r="AN1534" s="234"/>
      <c r="AO1534" s="234"/>
    </row>
    <row r="1535" ht="15.75" customHeight="1">
      <c r="A1535" s="91"/>
      <c r="B1535" s="91"/>
      <c r="C1535" s="220"/>
      <c r="D1535" s="91"/>
      <c r="E1535" s="221"/>
      <c r="F1535" s="91"/>
      <c r="G1535" s="91"/>
      <c r="H1535" s="242"/>
      <c r="I1535" s="91"/>
      <c r="J1535" s="234"/>
      <c r="K1535" s="243"/>
      <c r="L1535" s="243"/>
      <c r="M1535" s="234"/>
      <c r="N1535" s="235"/>
      <c r="O1535" s="236"/>
      <c r="P1535" s="236"/>
      <c r="Q1535" s="236"/>
      <c r="R1535" s="236"/>
      <c r="S1535" s="236"/>
      <c r="T1535" s="236"/>
      <c r="U1535" s="236"/>
      <c r="V1535" s="236"/>
      <c r="W1535" s="236"/>
      <c r="X1535" s="244"/>
      <c r="Y1535" s="244"/>
      <c r="Z1535" s="237"/>
      <c r="AA1535" s="244"/>
      <c r="AB1535" s="244"/>
      <c r="AC1535" s="244"/>
      <c r="AD1535" s="244"/>
      <c r="AE1535" s="234"/>
      <c r="AF1535" s="234"/>
      <c r="AG1535" s="238"/>
      <c r="AH1535" s="239"/>
      <c r="AI1535" s="238"/>
      <c r="AJ1535" s="238"/>
      <c r="AK1535" s="234"/>
      <c r="AL1535" s="234"/>
      <c r="AM1535" s="234"/>
      <c r="AN1535" s="234"/>
      <c r="AO1535" s="234"/>
    </row>
    <row r="1536" ht="15.75" customHeight="1">
      <c r="A1536" s="91"/>
      <c r="B1536" s="91"/>
      <c r="C1536" s="220"/>
      <c r="D1536" s="91"/>
      <c r="E1536" s="221"/>
      <c r="F1536" s="91"/>
      <c r="G1536" s="91"/>
      <c r="H1536" s="242"/>
      <c r="I1536" s="91"/>
      <c r="J1536" s="234"/>
      <c r="K1536" s="243"/>
      <c r="L1536" s="243"/>
      <c r="M1536" s="234"/>
      <c r="N1536" s="235"/>
      <c r="O1536" s="236"/>
      <c r="P1536" s="236"/>
      <c r="Q1536" s="236"/>
      <c r="R1536" s="236"/>
      <c r="S1536" s="236"/>
      <c r="T1536" s="236"/>
      <c r="U1536" s="236"/>
      <c r="V1536" s="236"/>
      <c r="W1536" s="236"/>
      <c r="X1536" s="244"/>
      <c r="Y1536" s="244"/>
      <c r="Z1536" s="237"/>
      <c r="AA1536" s="244"/>
      <c r="AB1536" s="244"/>
      <c r="AC1536" s="244"/>
      <c r="AD1536" s="244"/>
      <c r="AE1536" s="234"/>
      <c r="AF1536" s="234"/>
      <c r="AG1536" s="238"/>
      <c r="AH1536" s="239"/>
      <c r="AI1536" s="238"/>
      <c r="AJ1536" s="238"/>
      <c r="AK1536" s="234"/>
      <c r="AL1536" s="234"/>
      <c r="AM1536" s="234"/>
      <c r="AN1536" s="234"/>
      <c r="AO1536" s="234"/>
    </row>
    <row r="1537" ht="15.75" customHeight="1">
      <c r="A1537" s="91"/>
      <c r="B1537" s="91"/>
      <c r="C1537" s="220"/>
      <c r="D1537" s="91"/>
      <c r="E1537" s="221"/>
      <c r="F1537" s="91"/>
      <c r="G1537" s="91"/>
      <c r="H1537" s="242"/>
      <c r="I1537" s="91"/>
      <c r="J1537" s="234"/>
      <c r="K1537" s="243"/>
      <c r="L1537" s="243"/>
      <c r="M1537" s="234"/>
      <c r="N1537" s="235"/>
      <c r="O1537" s="236"/>
      <c r="P1537" s="236"/>
      <c r="Q1537" s="236"/>
      <c r="R1537" s="236"/>
      <c r="S1537" s="236"/>
      <c r="T1537" s="236"/>
      <c r="U1537" s="236"/>
      <c r="V1537" s="236"/>
      <c r="W1537" s="236"/>
      <c r="X1537" s="244"/>
      <c r="Y1537" s="244"/>
      <c r="Z1537" s="237"/>
      <c r="AA1537" s="244"/>
      <c r="AB1537" s="244"/>
      <c r="AC1537" s="244"/>
      <c r="AD1537" s="244"/>
      <c r="AE1537" s="234"/>
      <c r="AF1537" s="234"/>
      <c r="AG1537" s="238"/>
      <c r="AH1537" s="239"/>
      <c r="AI1537" s="238"/>
      <c r="AJ1537" s="238"/>
      <c r="AK1537" s="234"/>
      <c r="AL1537" s="234"/>
      <c r="AM1537" s="234"/>
      <c r="AN1537" s="234"/>
      <c r="AO1537" s="234"/>
    </row>
    <row r="1538" ht="15.75" customHeight="1">
      <c r="A1538" s="91"/>
      <c r="B1538" s="91"/>
      <c r="C1538" s="220"/>
      <c r="D1538" s="91"/>
      <c r="E1538" s="221"/>
      <c r="F1538" s="91"/>
      <c r="G1538" s="91"/>
      <c r="H1538" s="242"/>
      <c r="I1538" s="91"/>
      <c r="J1538" s="234"/>
      <c r="K1538" s="243"/>
      <c r="L1538" s="243"/>
      <c r="M1538" s="234"/>
      <c r="N1538" s="235"/>
      <c r="O1538" s="236"/>
      <c r="P1538" s="236"/>
      <c r="Q1538" s="236"/>
      <c r="R1538" s="236"/>
      <c r="S1538" s="236"/>
      <c r="T1538" s="236"/>
      <c r="U1538" s="236"/>
      <c r="V1538" s="236"/>
      <c r="W1538" s="236"/>
      <c r="X1538" s="244"/>
      <c r="Y1538" s="244"/>
      <c r="Z1538" s="237"/>
      <c r="AA1538" s="244"/>
      <c r="AB1538" s="244"/>
      <c r="AC1538" s="244"/>
      <c r="AD1538" s="244"/>
      <c r="AE1538" s="234"/>
      <c r="AF1538" s="234"/>
      <c r="AG1538" s="238"/>
      <c r="AH1538" s="239"/>
      <c r="AI1538" s="238"/>
      <c r="AJ1538" s="238"/>
      <c r="AK1538" s="234"/>
      <c r="AL1538" s="234"/>
      <c r="AM1538" s="234"/>
      <c r="AN1538" s="234"/>
      <c r="AO1538" s="234"/>
    </row>
    <row r="1539" ht="15.75" customHeight="1">
      <c r="A1539" s="91"/>
      <c r="B1539" s="91"/>
      <c r="C1539" s="220"/>
      <c r="D1539" s="91"/>
      <c r="E1539" s="221"/>
      <c r="F1539" s="91"/>
      <c r="G1539" s="91"/>
      <c r="H1539" s="242"/>
      <c r="I1539" s="91"/>
      <c r="J1539" s="234"/>
      <c r="K1539" s="243"/>
      <c r="L1539" s="243"/>
      <c r="M1539" s="234"/>
      <c r="N1539" s="235"/>
      <c r="O1539" s="236"/>
      <c r="P1539" s="236"/>
      <c r="Q1539" s="236"/>
      <c r="R1539" s="236"/>
      <c r="S1539" s="236"/>
      <c r="T1539" s="236"/>
      <c r="U1539" s="236"/>
      <c r="V1539" s="236"/>
      <c r="W1539" s="236"/>
      <c r="X1539" s="244"/>
      <c r="Y1539" s="244"/>
      <c r="Z1539" s="237"/>
      <c r="AA1539" s="244"/>
      <c r="AB1539" s="244"/>
      <c r="AC1539" s="244"/>
      <c r="AD1539" s="244"/>
      <c r="AE1539" s="234"/>
      <c r="AF1539" s="234"/>
      <c r="AG1539" s="238"/>
      <c r="AH1539" s="239"/>
      <c r="AI1539" s="238"/>
      <c r="AJ1539" s="238"/>
      <c r="AK1539" s="234"/>
      <c r="AL1539" s="234"/>
      <c r="AM1539" s="234"/>
      <c r="AN1539" s="234"/>
      <c r="AO1539" s="234"/>
    </row>
    <row r="1540" ht="15.75" customHeight="1">
      <c r="A1540" s="91"/>
      <c r="B1540" s="91"/>
      <c r="C1540" s="220"/>
      <c r="D1540" s="91"/>
      <c r="E1540" s="221"/>
      <c r="F1540" s="91"/>
      <c r="G1540" s="91"/>
      <c r="H1540" s="242"/>
      <c r="I1540" s="91"/>
      <c r="J1540" s="234"/>
      <c r="K1540" s="243"/>
      <c r="L1540" s="243"/>
      <c r="M1540" s="234"/>
      <c r="N1540" s="235"/>
      <c r="O1540" s="236"/>
      <c r="P1540" s="236"/>
      <c r="Q1540" s="236"/>
      <c r="R1540" s="236"/>
      <c r="S1540" s="236"/>
      <c r="T1540" s="236"/>
      <c r="U1540" s="236"/>
      <c r="V1540" s="236"/>
      <c r="W1540" s="236"/>
      <c r="X1540" s="244"/>
      <c r="Y1540" s="244"/>
      <c r="Z1540" s="237"/>
      <c r="AA1540" s="244"/>
      <c r="AB1540" s="244"/>
      <c r="AC1540" s="244"/>
      <c r="AD1540" s="244"/>
      <c r="AE1540" s="234"/>
      <c r="AF1540" s="234"/>
      <c r="AG1540" s="238"/>
      <c r="AH1540" s="239"/>
      <c r="AI1540" s="238"/>
      <c r="AJ1540" s="238"/>
      <c r="AK1540" s="234"/>
      <c r="AL1540" s="234"/>
      <c r="AM1540" s="234"/>
      <c r="AN1540" s="234"/>
      <c r="AO1540" s="234"/>
    </row>
    <row r="1541" ht="15.75" customHeight="1">
      <c r="A1541" s="91"/>
      <c r="B1541" s="91"/>
      <c r="C1541" s="220"/>
      <c r="D1541" s="91"/>
      <c r="E1541" s="221"/>
      <c r="F1541" s="91"/>
      <c r="G1541" s="91"/>
      <c r="H1541" s="242"/>
      <c r="I1541" s="91"/>
      <c r="J1541" s="234"/>
      <c r="K1541" s="243"/>
      <c r="L1541" s="243"/>
      <c r="M1541" s="234"/>
      <c r="N1541" s="235"/>
      <c r="O1541" s="236"/>
      <c r="P1541" s="236"/>
      <c r="Q1541" s="236"/>
      <c r="R1541" s="236"/>
      <c r="S1541" s="236"/>
      <c r="T1541" s="236"/>
      <c r="U1541" s="236"/>
      <c r="V1541" s="236"/>
      <c r="W1541" s="236"/>
      <c r="X1541" s="244"/>
      <c r="Y1541" s="244"/>
      <c r="Z1541" s="237"/>
      <c r="AA1541" s="244"/>
      <c r="AB1541" s="244"/>
      <c r="AC1541" s="244"/>
      <c r="AD1541" s="244"/>
      <c r="AE1541" s="234"/>
      <c r="AF1541" s="234"/>
      <c r="AG1541" s="238"/>
      <c r="AH1541" s="239"/>
      <c r="AI1541" s="238"/>
      <c r="AJ1541" s="238"/>
      <c r="AK1541" s="234"/>
      <c r="AL1541" s="234"/>
      <c r="AM1541" s="234"/>
      <c r="AN1541" s="234"/>
      <c r="AO1541" s="234"/>
    </row>
    <row r="1542" ht="15.75" customHeight="1">
      <c r="A1542" s="91"/>
      <c r="B1542" s="91"/>
      <c r="C1542" s="220"/>
      <c r="D1542" s="91"/>
      <c r="E1542" s="221"/>
      <c r="F1542" s="91"/>
      <c r="G1542" s="91"/>
      <c r="H1542" s="242"/>
      <c r="I1542" s="91"/>
      <c r="J1542" s="234"/>
      <c r="K1542" s="243"/>
      <c r="L1542" s="243"/>
      <c r="M1542" s="234"/>
      <c r="N1542" s="235"/>
      <c r="O1542" s="236"/>
      <c r="P1542" s="236"/>
      <c r="Q1542" s="236"/>
      <c r="R1542" s="236"/>
      <c r="S1542" s="236"/>
      <c r="T1542" s="236"/>
      <c r="U1542" s="236"/>
      <c r="V1542" s="236"/>
      <c r="W1542" s="236"/>
      <c r="X1542" s="244"/>
      <c r="Y1542" s="244"/>
      <c r="Z1542" s="237"/>
      <c r="AA1542" s="244"/>
      <c r="AB1542" s="244"/>
      <c r="AC1542" s="244"/>
      <c r="AD1542" s="244"/>
      <c r="AE1542" s="234"/>
      <c r="AF1542" s="234"/>
      <c r="AG1542" s="238"/>
      <c r="AH1542" s="239"/>
      <c r="AI1542" s="238"/>
      <c r="AJ1542" s="238"/>
      <c r="AK1542" s="234"/>
      <c r="AL1542" s="234"/>
      <c r="AM1542" s="234"/>
      <c r="AN1542" s="234"/>
      <c r="AO1542" s="234"/>
    </row>
    <row r="1543" ht="15.75" customHeight="1">
      <c r="A1543" s="91"/>
      <c r="B1543" s="91"/>
      <c r="C1543" s="220"/>
      <c r="D1543" s="91"/>
      <c r="E1543" s="221"/>
      <c r="F1543" s="91"/>
      <c r="G1543" s="91"/>
      <c r="H1543" s="242"/>
      <c r="I1543" s="91"/>
      <c r="J1543" s="234"/>
      <c r="K1543" s="243"/>
      <c r="L1543" s="243"/>
      <c r="M1543" s="234"/>
      <c r="N1543" s="235"/>
      <c r="O1543" s="236"/>
      <c r="P1543" s="236"/>
      <c r="Q1543" s="236"/>
      <c r="R1543" s="236"/>
      <c r="S1543" s="236"/>
      <c r="T1543" s="236"/>
      <c r="U1543" s="236"/>
      <c r="V1543" s="236"/>
      <c r="W1543" s="236"/>
      <c r="X1543" s="244"/>
      <c r="Y1543" s="244"/>
      <c r="Z1543" s="237"/>
      <c r="AA1543" s="244"/>
      <c r="AB1543" s="244"/>
      <c r="AC1543" s="244"/>
      <c r="AD1543" s="244"/>
      <c r="AE1543" s="234"/>
      <c r="AF1543" s="234"/>
      <c r="AG1543" s="238"/>
      <c r="AH1543" s="239"/>
      <c r="AI1543" s="238"/>
      <c r="AJ1543" s="238"/>
      <c r="AK1543" s="234"/>
      <c r="AL1543" s="234"/>
      <c r="AM1543" s="234"/>
      <c r="AN1543" s="234"/>
      <c r="AO1543" s="234"/>
    </row>
    <row r="1544" ht="15.75" customHeight="1">
      <c r="A1544" s="91"/>
      <c r="B1544" s="91"/>
      <c r="C1544" s="220"/>
      <c r="D1544" s="91"/>
      <c r="E1544" s="221"/>
      <c r="F1544" s="91"/>
      <c r="G1544" s="91"/>
      <c r="H1544" s="242"/>
      <c r="I1544" s="91"/>
      <c r="J1544" s="234"/>
      <c r="K1544" s="243"/>
      <c r="L1544" s="243"/>
      <c r="M1544" s="234"/>
      <c r="N1544" s="235"/>
      <c r="O1544" s="236"/>
      <c r="P1544" s="236"/>
      <c r="Q1544" s="236"/>
      <c r="R1544" s="236"/>
      <c r="S1544" s="236"/>
      <c r="T1544" s="236"/>
      <c r="U1544" s="236"/>
      <c r="V1544" s="236"/>
      <c r="W1544" s="236"/>
      <c r="X1544" s="244"/>
      <c r="Y1544" s="244"/>
      <c r="Z1544" s="237"/>
      <c r="AA1544" s="244"/>
      <c r="AB1544" s="244"/>
      <c r="AC1544" s="244"/>
      <c r="AD1544" s="244"/>
      <c r="AE1544" s="234"/>
      <c r="AF1544" s="234"/>
      <c r="AG1544" s="238"/>
      <c r="AH1544" s="239"/>
      <c r="AI1544" s="238"/>
      <c r="AJ1544" s="238"/>
      <c r="AK1544" s="234"/>
      <c r="AL1544" s="234"/>
      <c r="AM1544" s="234"/>
      <c r="AN1544" s="234"/>
      <c r="AO1544" s="234"/>
    </row>
    <row r="1545" ht="15.75" customHeight="1">
      <c r="A1545" s="91"/>
      <c r="B1545" s="91"/>
      <c r="C1545" s="220"/>
      <c r="D1545" s="91"/>
      <c r="E1545" s="221"/>
      <c r="F1545" s="91"/>
      <c r="G1545" s="91"/>
      <c r="H1545" s="242"/>
      <c r="I1545" s="91"/>
      <c r="J1545" s="234"/>
      <c r="K1545" s="243"/>
      <c r="L1545" s="243"/>
      <c r="M1545" s="234"/>
      <c r="N1545" s="235"/>
      <c r="O1545" s="236"/>
      <c r="P1545" s="236"/>
      <c r="Q1545" s="236"/>
      <c r="R1545" s="236"/>
      <c r="S1545" s="236"/>
      <c r="T1545" s="236"/>
      <c r="U1545" s="236"/>
      <c r="V1545" s="236"/>
      <c r="W1545" s="236"/>
      <c r="X1545" s="244"/>
      <c r="Y1545" s="244"/>
      <c r="Z1545" s="237"/>
      <c r="AA1545" s="244"/>
      <c r="AB1545" s="244"/>
      <c r="AC1545" s="244"/>
      <c r="AD1545" s="244"/>
      <c r="AE1545" s="234"/>
      <c r="AF1545" s="234"/>
      <c r="AG1545" s="238"/>
      <c r="AH1545" s="239"/>
      <c r="AI1545" s="238"/>
      <c r="AJ1545" s="238"/>
      <c r="AK1545" s="234"/>
      <c r="AL1545" s="234"/>
      <c r="AM1545" s="234"/>
      <c r="AN1545" s="234"/>
      <c r="AO1545" s="234"/>
    </row>
    <row r="1546" ht="15.75" customHeight="1">
      <c r="A1546" s="91"/>
      <c r="B1546" s="91"/>
      <c r="C1546" s="220"/>
      <c r="D1546" s="91"/>
      <c r="E1546" s="221"/>
      <c r="F1546" s="91"/>
      <c r="G1546" s="91"/>
      <c r="H1546" s="242"/>
      <c r="I1546" s="91"/>
      <c r="J1546" s="234"/>
      <c r="K1546" s="243"/>
      <c r="L1546" s="243"/>
      <c r="M1546" s="234"/>
      <c r="N1546" s="235"/>
      <c r="O1546" s="236"/>
      <c r="P1546" s="236"/>
      <c r="Q1546" s="236"/>
      <c r="R1546" s="236"/>
      <c r="S1546" s="236"/>
      <c r="T1546" s="236"/>
      <c r="U1546" s="236"/>
      <c r="V1546" s="236"/>
      <c r="W1546" s="236"/>
      <c r="X1546" s="244"/>
      <c r="Y1546" s="244"/>
      <c r="Z1546" s="237"/>
      <c r="AA1546" s="244"/>
      <c r="AB1546" s="244"/>
      <c r="AC1546" s="244"/>
      <c r="AD1546" s="244"/>
      <c r="AE1546" s="234"/>
      <c r="AF1546" s="234"/>
      <c r="AG1546" s="238"/>
      <c r="AH1546" s="239"/>
      <c r="AI1546" s="238"/>
      <c r="AJ1546" s="238"/>
      <c r="AK1546" s="234"/>
      <c r="AL1546" s="234"/>
      <c r="AM1546" s="234"/>
      <c r="AN1546" s="234"/>
      <c r="AO1546" s="234"/>
    </row>
    <row r="1547" ht="15.75" customHeight="1">
      <c r="A1547" s="91"/>
      <c r="B1547" s="91"/>
      <c r="C1547" s="220"/>
      <c r="D1547" s="91"/>
      <c r="E1547" s="221"/>
      <c r="F1547" s="91"/>
      <c r="G1547" s="91"/>
      <c r="H1547" s="242"/>
      <c r="I1547" s="91"/>
      <c r="J1547" s="234"/>
      <c r="K1547" s="243"/>
      <c r="L1547" s="243"/>
      <c r="M1547" s="234"/>
      <c r="N1547" s="235"/>
      <c r="O1547" s="236"/>
      <c r="P1547" s="236"/>
      <c r="Q1547" s="236"/>
      <c r="R1547" s="236"/>
      <c r="S1547" s="236"/>
      <c r="T1547" s="236"/>
      <c r="U1547" s="236"/>
      <c r="V1547" s="236"/>
      <c r="W1547" s="236"/>
      <c r="X1547" s="244"/>
      <c r="Y1547" s="244"/>
      <c r="Z1547" s="237"/>
      <c r="AA1547" s="244"/>
      <c r="AB1547" s="244"/>
      <c r="AC1547" s="244"/>
      <c r="AD1547" s="244"/>
      <c r="AE1547" s="234"/>
      <c r="AF1547" s="234"/>
      <c r="AG1547" s="238"/>
      <c r="AH1547" s="239"/>
      <c r="AI1547" s="238"/>
      <c r="AJ1547" s="238"/>
      <c r="AK1547" s="234"/>
      <c r="AL1547" s="234"/>
      <c r="AM1547" s="234"/>
      <c r="AN1547" s="234"/>
      <c r="AO1547" s="234"/>
    </row>
    <row r="1548" ht="15.75" customHeight="1">
      <c r="A1548" s="91"/>
      <c r="B1548" s="91"/>
      <c r="C1548" s="220"/>
      <c r="D1548" s="91"/>
      <c r="E1548" s="221"/>
      <c r="F1548" s="91"/>
      <c r="G1548" s="91"/>
      <c r="H1548" s="242"/>
      <c r="I1548" s="91"/>
      <c r="J1548" s="234"/>
      <c r="K1548" s="243"/>
      <c r="L1548" s="243"/>
      <c r="M1548" s="234"/>
      <c r="N1548" s="235"/>
      <c r="O1548" s="236"/>
      <c r="P1548" s="236"/>
      <c r="Q1548" s="236"/>
      <c r="R1548" s="236"/>
      <c r="S1548" s="236"/>
      <c r="T1548" s="236"/>
      <c r="U1548" s="236"/>
      <c r="V1548" s="236"/>
      <c r="W1548" s="236"/>
      <c r="X1548" s="244"/>
      <c r="Y1548" s="244"/>
      <c r="Z1548" s="237"/>
      <c r="AA1548" s="244"/>
      <c r="AB1548" s="244"/>
      <c r="AC1548" s="244"/>
      <c r="AD1548" s="244"/>
      <c r="AE1548" s="234"/>
      <c r="AF1548" s="234"/>
      <c r="AG1548" s="238"/>
      <c r="AH1548" s="239"/>
      <c r="AI1548" s="238"/>
      <c r="AJ1548" s="238"/>
      <c r="AK1548" s="234"/>
      <c r="AL1548" s="234"/>
      <c r="AM1548" s="234"/>
      <c r="AN1548" s="234"/>
      <c r="AO1548" s="234"/>
    </row>
    <row r="1549" ht="15.75" customHeight="1">
      <c r="A1549" s="91"/>
      <c r="B1549" s="91"/>
      <c r="C1549" s="220"/>
      <c r="D1549" s="91"/>
      <c r="E1549" s="221"/>
      <c r="F1549" s="91"/>
      <c r="G1549" s="91"/>
      <c r="H1549" s="242"/>
      <c r="I1549" s="91"/>
      <c r="J1549" s="234"/>
      <c r="K1549" s="243"/>
      <c r="L1549" s="243"/>
      <c r="M1549" s="234"/>
      <c r="N1549" s="235"/>
      <c r="O1549" s="236"/>
      <c r="P1549" s="236"/>
      <c r="Q1549" s="236"/>
      <c r="R1549" s="236"/>
      <c r="S1549" s="236"/>
      <c r="T1549" s="236"/>
      <c r="U1549" s="236"/>
      <c r="V1549" s="236"/>
      <c r="W1549" s="236"/>
      <c r="X1549" s="244"/>
      <c r="Y1549" s="244"/>
      <c r="Z1549" s="237"/>
      <c r="AA1549" s="244"/>
      <c r="AB1549" s="244"/>
      <c r="AC1549" s="244"/>
      <c r="AD1549" s="244"/>
      <c r="AE1549" s="234"/>
      <c r="AF1549" s="234"/>
      <c r="AG1549" s="238"/>
      <c r="AH1549" s="239"/>
      <c r="AI1549" s="238"/>
      <c r="AJ1549" s="238"/>
      <c r="AK1549" s="234"/>
      <c r="AL1549" s="234"/>
      <c r="AM1549" s="234"/>
      <c r="AN1549" s="234"/>
      <c r="AO1549" s="234"/>
    </row>
    <row r="1550" ht="15.75" customHeight="1">
      <c r="A1550" s="91"/>
      <c r="B1550" s="91"/>
      <c r="C1550" s="220"/>
      <c r="D1550" s="91"/>
      <c r="E1550" s="221"/>
      <c r="F1550" s="91"/>
      <c r="G1550" s="91"/>
      <c r="H1550" s="242"/>
      <c r="I1550" s="91"/>
      <c r="J1550" s="234"/>
      <c r="K1550" s="243"/>
      <c r="L1550" s="243"/>
      <c r="M1550" s="234"/>
      <c r="N1550" s="235"/>
      <c r="O1550" s="236"/>
      <c r="P1550" s="236"/>
      <c r="Q1550" s="236"/>
      <c r="R1550" s="236"/>
      <c r="S1550" s="236"/>
      <c r="T1550" s="236"/>
      <c r="U1550" s="236"/>
      <c r="V1550" s="236"/>
      <c r="W1550" s="236"/>
      <c r="X1550" s="244"/>
      <c r="Y1550" s="244"/>
      <c r="Z1550" s="237"/>
      <c r="AA1550" s="244"/>
      <c r="AB1550" s="244"/>
      <c r="AC1550" s="244"/>
      <c r="AD1550" s="244"/>
      <c r="AE1550" s="234"/>
      <c r="AF1550" s="234"/>
      <c r="AG1550" s="238"/>
      <c r="AH1550" s="239"/>
      <c r="AI1550" s="238"/>
      <c r="AJ1550" s="238"/>
      <c r="AK1550" s="234"/>
      <c r="AL1550" s="234"/>
      <c r="AM1550" s="234"/>
      <c r="AN1550" s="234"/>
      <c r="AO1550" s="234"/>
    </row>
    <row r="1551" ht="15.75" customHeight="1">
      <c r="A1551" s="91"/>
      <c r="B1551" s="91"/>
      <c r="C1551" s="220"/>
      <c r="D1551" s="91"/>
      <c r="E1551" s="221"/>
      <c r="F1551" s="91"/>
      <c r="G1551" s="91"/>
      <c r="H1551" s="242"/>
      <c r="I1551" s="91"/>
      <c r="J1551" s="234"/>
      <c r="K1551" s="243"/>
      <c r="L1551" s="243"/>
      <c r="M1551" s="234"/>
      <c r="N1551" s="235"/>
      <c r="O1551" s="236"/>
      <c r="P1551" s="236"/>
      <c r="Q1551" s="236"/>
      <c r="R1551" s="236"/>
      <c r="S1551" s="236"/>
      <c r="T1551" s="236"/>
      <c r="U1551" s="236"/>
      <c r="V1551" s="236"/>
      <c r="W1551" s="236"/>
      <c r="X1551" s="244"/>
      <c r="Y1551" s="244"/>
      <c r="Z1551" s="237"/>
      <c r="AA1551" s="244"/>
      <c r="AB1551" s="244"/>
      <c r="AC1551" s="244"/>
      <c r="AD1551" s="244"/>
      <c r="AE1551" s="234"/>
      <c r="AF1551" s="234"/>
      <c r="AG1551" s="238"/>
      <c r="AH1551" s="239"/>
      <c r="AI1551" s="238"/>
      <c r="AJ1551" s="238"/>
      <c r="AK1551" s="234"/>
      <c r="AL1551" s="234"/>
      <c r="AM1551" s="234"/>
      <c r="AN1551" s="234"/>
      <c r="AO1551" s="234"/>
    </row>
    <row r="1552" ht="15.75" customHeight="1">
      <c r="A1552" s="91"/>
      <c r="B1552" s="91"/>
      <c r="C1552" s="220"/>
      <c r="D1552" s="91"/>
      <c r="E1552" s="221"/>
      <c r="F1552" s="91"/>
      <c r="G1552" s="91"/>
      <c r="H1552" s="242"/>
      <c r="I1552" s="91"/>
      <c r="J1552" s="234"/>
      <c r="K1552" s="243"/>
      <c r="L1552" s="243"/>
      <c r="M1552" s="234"/>
      <c r="N1552" s="235"/>
      <c r="O1552" s="236"/>
      <c r="P1552" s="236"/>
      <c r="Q1552" s="236"/>
      <c r="R1552" s="236"/>
      <c r="S1552" s="236"/>
      <c r="T1552" s="236"/>
      <c r="U1552" s="236"/>
      <c r="V1552" s="236"/>
      <c r="W1552" s="236"/>
      <c r="X1552" s="244"/>
      <c r="Y1552" s="244"/>
      <c r="Z1552" s="237"/>
      <c r="AA1552" s="244"/>
      <c r="AB1552" s="244"/>
      <c r="AC1552" s="244"/>
      <c r="AD1552" s="244"/>
      <c r="AE1552" s="234"/>
      <c r="AF1552" s="234"/>
      <c r="AG1552" s="238"/>
      <c r="AH1552" s="239"/>
      <c r="AI1552" s="238"/>
      <c r="AJ1552" s="238"/>
      <c r="AK1552" s="234"/>
      <c r="AL1552" s="234"/>
      <c r="AM1552" s="234"/>
      <c r="AN1552" s="234"/>
      <c r="AO1552" s="234"/>
    </row>
    <row r="1553" ht="15.75" customHeight="1">
      <c r="A1553" s="91"/>
      <c r="B1553" s="91"/>
      <c r="C1553" s="220"/>
      <c r="D1553" s="91"/>
      <c r="E1553" s="221"/>
      <c r="F1553" s="91"/>
      <c r="G1553" s="91"/>
      <c r="H1553" s="242"/>
      <c r="I1553" s="91"/>
      <c r="J1553" s="234"/>
      <c r="K1553" s="243"/>
      <c r="L1553" s="243"/>
      <c r="M1553" s="234"/>
      <c r="N1553" s="235"/>
      <c r="O1553" s="236"/>
      <c r="P1553" s="236"/>
      <c r="Q1553" s="236"/>
      <c r="R1553" s="236"/>
      <c r="S1553" s="236"/>
      <c r="T1553" s="236"/>
      <c r="U1553" s="236"/>
      <c r="V1553" s="236"/>
      <c r="W1553" s="236"/>
      <c r="X1553" s="244"/>
      <c r="Y1553" s="244"/>
      <c r="Z1553" s="237"/>
      <c r="AA1553" s="244"/>
      <c r="AB1553" s="244"/>
      <c r="AC1553" s="244"/>
      <c r="AD1553" s="244"/>
      <c r="AE1553" s="234"/>
      <c r="AF1553" s="234"/>
      <c r="AG1553" s="238"/>
      <c r="AH1553" s="239"/>
      <c r="AI1553" s="238"/>
      <c r="AJ1553" s="238"/>
      <c r="AK1553" s="234"/>
      <c r="AL1553" s="234"/>
      <c r="AM1553" s="234"/>
      <c r="AN1553" s="234"/>
      <c r="AO1553" s="234"/>
    </row>
    <row r="1554" ht="15.75" customHeight="1">
      <c r="A1554" s="91"/>
      <c r="B1554" s="91"/>
      <c r="C1554" s="220"/>
      <c r="D1554" s="91"/>
      <c r="E1554" s="221"/>
      <c r="F1554" s="91"/>
      <c r="G1554" s="91"/>
      <c r="H1554" s="242"/>
      <c r="I1554" s="91"/>
      <c r="J1554" s="234"/>
      <c r="K1554" s="243"/>
      <c r="L1554" s="243"/>
      <c r="M1554" s="234"/>
      <c r="N1554" s="235"/>
      <c r="O1554" s="236"/>
      <c r="P1554" s="236"/>
      <c r="Q1554" s="236"/>
      <c r="R1554" s="236"/>
      <c r="S1554" s="236"/>
      <c r="T1554" s="236"/>
      <c r="U1554" s="236"/>
      <c r="V1554" s="236"/>
      <c r="W1554" s="236"/>
      <c r="X1554" s="244"/>
      <c r="Y1554" s="244"/>
      <c r="Z1554" s="237"/>
      <c r="AA1554" s="244"/>
      <c r="AB1554" s="244"/>
      <c r="AC1554" s="244"/>
      <c r="AD1554" s="244"/>
      <c r="AE1554" s="234"/>
      <c r="AF1554" s="234"/>
      <c r="AG1554" s="238"/>
      <c r="AH1554" s="239"/>
      <c r="AI1554" s="238"/>
      <c r="AJ1554" s="238"/>
      <c r="AK1554" s="234"/>
      <c r="AL1554" s="234"/>
      <c r="AM1554" s="234"/>
      <c r="AN1554" s="234"/>
      <c r="AO1554" s="234"/>
    </row>
    <row r="1555" ht="15.75" customHeight="1">
      <c r="A1555" s="91"/>
      <c r="B1555" s="91"/>
      <c r="C1555" s="220"/>
      <c r="D1555" s="91"/>
      <c r="E1555" s="221"/>
      <c r="F1555" s="91"/>
      <c r="G1555" s="91"/>
      <c r="H1555" s="242"/>
      <c r="I1555" s="91"/>
      <c r="J1555" s="234"/>
      <c r="K1555" s="243"/>
      <c r="L1555" s="243"/>
      <c r="M1555" s="234"/>
      <c r="N1555" s="235"/>
      <c r="O1555" s="236"/>
      <c r="P1555" s="236"/>
      <c r="Q1555" s="236"/>
      <c r="R1555" s="236"/>
      <c r="S1555" s="236"/>
      <c r="T1555" s="236"/>
      <c r="U1555" s="236"/>
      <c r="V1555" s="236"/>
      <c r="W1555" s="236"/>
      <c r="X1555" s="244"/>
      <c r="Y1555" s="244"/>
      <c r="Z1555" s="237"/>
      <c r="AA1555" s="244"/>
      <c r="AB1555" s="244"/>
      <c r="AC1555" s="244"/>
      <c r="AD1555" s="244"/>
      <c r="AE1555" s="234"/>
      <c r="AF1555" s="234"/>
      <c r="AG1555" s="238"/>
      <c r="AH1555" s="239"/>
      <c r="AI1555" s="238"/>
      <c r="AJ1555" s="238"/>
      <c r="AK1555" s="234"/>
      <c r="AL1555" s="234"/>
      <c r="AM1555" s="234"/>
      <c r="AN1555" s="234"/>
      <c r="AO1555" s="234"/>
    </row>
    <row r="1556" ht="15.75" customHeight="1">
      <c r="A1556" s="91"/>
      <c r="B1556" s="91"/>
      <c r="C1556" s="220"/>
      <c r="D1556" s="91"/>
      <c r="E1556" s="221"/>
      <c r="F1556" s="91"/>
      <c r="G1556" s="91"/>
      <c r="H1556" s="242"/>
      <c r="I1556" s="91"/>
      <c r="J1556" s="234"/>
      <c r="K1556" s="243"/>
      <c r="L1556" s="243"/>
      <c r="M1556" s="234"/>
      <c r="N1556" s="235"/>
      <c r="O1556" s="236"/>
      <c r="P1556" s="236"/>
      <c r="Q1556" s="236"/>
      <c r="R1556" s="236"/>
      <c r="S1556" s="236"/>
      <c r="T1556" s="236"/>
      <c r="U1556" s="236"/>
      <c r="V1556" s="236"/>
      <c r="W1556" s="236"/>
      <c r="X1556" s="244"/>
      <c r="Y1556" s="244"/>
      <c r="Z1556" s="237"/>
      <c r="AA1556" s="244"/>
      <c r="AB1556" s="244"/>
      <c r="AC1556" s="244"/>
      <c r="AD1556" s="244"/>
      <c r="AE1556" s="234"/>
      <c r="AF1556" s="234"/>
      <c r="AG1556" s="238"/>
      <c r="AH1556" s="239"/>
      <c r="AI1556" s="238"/>
      <c r="AJ1556" s="238"/>
      <c r="AK1556" s="234"/>
      <c r="AL1556" s="234"/>
      <c r="AM1556" s="234"/>
      <c r="AN1556" s="234"/>
      <c r="AO1556" s="234"/>
    </row>
    <row r="1557" ht="15.75" customHeight="1">
      <c r="A1557" s="91"/>
      <c r="B1557" s="91"/>
      <c r="C1557" s="220"/>
      <c r="D1557" s="91"/>
      <c r="E1557" s="221"/>
      <c r="F1557" s="91"/>
      <c r="G1557" s="91"/>
      <c r="H1557" s="242"/>
      <c r="I1557" s="91"/>
      <c r="J1557" s="234"/>
      <c r="K1557" s="243"/>
      <c r="L1557" s="243"/>
      <c r="M1557" s="234"/>
      <c r="N1557" s="235"/>
      <c r="O1557" s="236"/>
      <c r="P1557" s="236"/>
      <c r="Q1557" s="236"/>
      <c r="R1557" s="236"/>
      <c r="S1557" s="236"/>
      <c r="T1557" s="236"/>
      <c r="U1557" s="236"/>
      <c r="V1557" s="236"/>
      <c r="W1557" s="236"/>
      <c r="X1557" s="244"/>
      <c r="Y1557" s="244"/>
      <c r="Z1557" s="237"/>
      <c r="AA1557" s="244"/>
      <c r="AB1557" s="244"/>
      <c r="AC1557" s="244"/>
      <c r="AD1557" s="244"/>
      <c r="AE1557" s="234"/>
      <c r="AF1557" s="234"/>
      <c r="AG1557" s="238"/>
      <c r="AH1557" s="239"/>
      <c r="AI1557" s="238"/>
      <c r="AJ1557" s="238"/>
      <c r="AK1557" s="234"/>
      <c r="AL1557" s="234"/>
      <c r="AM1557" s="234"/>
      <c r="AN1557" s="234"/>
      <c r="AO1557" s="234"/>
    </row>
    <row r="1558" ht="15.75" customHeight="1">
      <c r="A1558" s="91"/>
      <c r="B1558" s="91"/>
      <c r="C1558" s="220"/>
      <c r="D1558" s="91"/>
      <c r="E1558" s="221"/>
      <c r="F1558" s="91"/>
      <c r="G1558" s="91"/>
      <c r="H1558" s="242"/>
      <c r="I1558" s="91"/>
      <c r="J1558" s="234"/>
      <c r="K1558" s="243"/>
      <c r="L1558" s="243"/>
      <c r="M1558" s="234"/>
      <c r="N1558" s="235"/>
      <c r="O1558" s="236"/>
      <c r="P1558" s="236"/>
      <c r="Q1558" s="236"/>
      <c r="R1558" s="236"/>
      <c r="S1558" s="236"/>
      <c r="T1558" s="236"/>
      <c r="U1558" s="236"/>
      <c r="V1558" s="236"/>
      <c r="W1558" s="236"/>
      <c r="X1558" s="244"/>
      <c r="Y1558" s="244"/>
      <c r="Z1558" s="237"/>
      <c r="AA1558" s="244"/>
      <c r="AB1558" s="244"/>
      <c r="AC1558" s="244"/>
      <c r="AD1558" s="244"/>
      <c r="AE1558" s="234"/>
      <c r="AF1558" s="234"/>
      <c r="AG1558" s="238"/>
      <c r="AH1558" s="239"/>
      <c r="AI1558" s="238"/>
      <c r="AJ1558" s="238"/>
      <c r="AK1558" s="234"/>
      <c r="AL1558" s="234"/>
      <c r="AM1558" s="234"/>
      <c r="AN1558" s="234"/>
      <c r="AO1558" s="234"/>
    </row>
    <row r="1559" ht="15.75" customHeight="1">
      <c r="A1559" s="91"/>
      <c r="B1559" s="91"/>
      <c r="C1559" s="220"/>
      <c r="D1559" s="91"/>
      <c r="E1559" s="221"/>
      <c r="F1559" s="91"/>
      <c r="G1559" s="91"/>
      <c r="H1559" s="242"/>
      <c r="I1559" s="91"/>
      <c r="J1559" s="234"/>
      <c r="K1559" s="243"/>
      <c r="L1559" s="243"/>
      <c r="M1559" s="234"/>
      <c r="N1559" s="235"/>
      <c r="O1559" s="236"/>
      <c r="P1559" s="236"/>
      <c r="Q1559" s="236"/>
      <c r="R1559" s="236"/>
      <c r="S1559" s="236"/>
      <c r="T1559" s="236"/>
      <c r="U1559" s="236"/>
      <c r="V1559" s="236"/>
      <c r="W1559" s="236"/>
      <c r="X1559" s="244"/>
      <c r="Y1559" s="244"/>
      <c r="Z1559" s="237"/>
      <c r="AA1559" s="244"/>
      <c r="AB1559" s="244"/>
      <c r="AC1559" s="244"/>
      <c r="AD1559" s="244"/>
      <c r="AE1559" s="234"/>
      <c r="AF1559" s="234"/>
      <c r="AG1559" s="238"/>
      <c r="AH1559" s="239"/>
      <c r="AI1559" s="238"/>
      <c r="AJ1559" s="238"/>
      <c r="AK1559" s="234"/>
      <c r="AL1559" s="234"/>
      <c r="AM1559" s="234"/>
      <c r="AN1559" s="234"/>
      <c r="AO1559" s="234"/>
    </row>
    <row r="1560" ht="15.75" customHeight="1">
      <c r="A1560" s="91"/>
      <c r="B1560" s="91"/>
      <c r="C1560" s="220"/>
      <c r="D1560" s="91"/>
      <c r="E1560" s="221"/>
      <c r="F1560" s="91"/>
      <c r="G1560" s="91"/>
      <c r="H1560" s="242"/>
      <c r="I1560" s="91"/>
      <c r="J1560" s="234"/>
      <c r="K1560" s="243"/>
      <c r="L1560" s="243"/>
      <c r="M1560" s="234"/>
      <c r="N1560" s="235"/>
      <c r="O1560" s="236"/>
      <c r="P1560" s="236"/>
      <c r="Q1560" s="236"/>
      <c r="R1560" s="236"/>
      <c r="S1560" s="236"/>
      <c r="T1560" s="236"/>
      <c r="U1560" s="236"/>
      <c r="V1560" s="236"/>
      <c r="W1560" s="236"/>
      <c r="X1560" s="244"/>
      <c r="Y1560" s="244"/>
      <c r="Z1560" s="237"/>
      <c r="AA1560" s="244"/>
      <c r="AB1560" s="244"/>
      <c r="AC1560" s="244"/>
      <c r="AD1560" s="244"/>
      <c r="AE1560" s="234"/>
      <c r="AF1560" s="234"/>
      <c r="AG1560" s="238"/>
      <c r="AH1560" s="239"/>
      <c r="AI1560" s="238"/>
      <c r="AJ1560" s="238"/>
      <c r="AK1560" s="234"/>
      <c r="AL1560" s="234"/>
      <c r="AM1560" s="234"/>
      <c r="AN1560" s="234"/>
      <c r="AO1560" s="234"/>
    </row>
    <row r="1561" ht="15.75" customHeight="1">
      <c r="A1561" s="91"/>
      <c r="B1561" s="91"/>
      <c r="C1561" s="220"/>
      <c r="D1561" s="91"/>
      <c r="E1561" s="221"/>
      <c r="F1561" s="91"/>
      <c r="G1561" s="91"/>
      <c r="H1561" s="242"/>
      <c r="I1561" s="91"/>
      <c r="J1561" s="234"/>
      <c r="K1561" s="243"/>
      <c r="L1561" s="243"/>
      <c r="M1561" s="234"/>
      <c r="N1561" s="235"/>
      <c r="O1561" s="236"/>
      <c r="P1561" s="236"/>
      <c r="Q1561" s="236"/>
      <c r="R1561" s="236"/>
      <c r="S1561" s="236"/>
      <c r="T1561" s="236"/>
      <c r="U1561" s="236"/>
      <c r="V1561" s="236"/>
      <c r="W1561" s="236"/>
      <c r="X1561" s="244"/>
      <c r="Y1561" s="244"/>
      <c r="Z1561" s="237"/>
      <c r="AA1561" s="244"/>
      <c r="AB1561" s="244"/>
      <c r="AC1561" s="244"/>
      <c r="AD1561" s="244"/>
      <c r="AE1561" s="234"/>
      <c r="AF1561" s="234"/>
      <c r="AG1561" s="238"/>
      <c r="AH1561" s="239"/>
      <c r="AI1561" s="238"/>
      <c r="AJ1561" s="238"/>
      <c r="AK1561" s="234"/>
      <c r="AL1561" s="234"/>
      <c r="AM1561" s="234"/>
      <c r="AN1561" s="234"/>
      <c r="AO1561" s="234"/>
    </row>
    <row r="1562" ht="15.75" customHeight="1">
      <c r="A1562" s="91"/>
      <c r="B1562" s="91"/>
      <c r="C1562" s="220"/>
      <c r="D1562" s="91"/>
      <c r="E1562" s="221"/>
      <c r="F1562" s="91"/>
      <c r="G1562" s="91"/>
      <c r="H1562" s="242"/>
      <c r="I1562" s="91"/>
      <c r="J1562" s="234"/>
      <c r="K1562" s="243"/>
      <c r="L1562" s="243"/>
      <c r="M1562" s="234"/>
      <c r="N1562" s="235"/>
      <c r="O1562" s="236"/>
      <c r="P1562" s="236"/>
      <c r="Q1562" s="236"/>
      <c r="R1562" s="236"/>
      <c r="S1562" s="236"/>
      <c r="T1562" s="236"/>
      <c r="U1562" s="236"/>
      <c r="V1562" s="236"/>
      <c r="W1562" s="236"/>
      <c r="X1562" s="244"/>
      <c r="Y1562" s="244"/>
      <c r="Z1562" s="237"/>
      <c r="AA1562" s="244"/>
      <c r="AB1562" s="244"/>
      <c r="AC1562" s="244"/>
      <c r="AD1562" s="244"/>
      <c r="AE1562" s="234"/>
      <c r="AF1562" s="234"/>
      <c r="AG1562" s="238"/>
      <c r="AH1562" s="239"/>
      <c r="AI1562" s="238"/>
      <c r="AJ1562" s="238"/>
      <c r="AK1562" s="234"/>
      <c r="AL1562" s="234"/>
      <c r="AM1562" s="234"/>
      <c r="AN1562" s="234"/>
      <c r="AO1562" s="234"/>
    </row>
    <row r="1563" ht="15.75" customHeight="1">
      <c r="A1563" s="91"/>
      <c r="B1563" s="91"/>
      <c r="C1563" s="220"/>
      <c r="D1563" s="91"/>
      <c r="E1563" s="221"/>
      <c r="F1563" s="91"/>
      <c r="G1563" s="91"/>
      <c r="H1563" s="242"/>
      <c r="I1563" s="91"/>
      <c r="J1563" s="234"/>
      <c r="K1563" s="243"/>
      <c r="L1563" s="243"/>
      <c r="M1563" s="234"/>
      <c r="N1563" s="235"/>
      <c r="O1563" s="236"/>
      <c r="P1563" s="236"/>
      <c r="Q1563" s="236"/>
      <c r="R1563" s="236"/>
      <c r="S1563" s="236"/>
      <c r="T1563" s="236"/>
      <c r="U1563" s="236"/>
      <c r="V1563" s="236"/>
      <c r="W1563" s="236"/>
      <c r="X1563" s="244"/>
      <c r="Y1563" s="244"/>
      <c r="Z1563" s="237"/>
      <c r="AA1563" s="244"/>
      <c r="AB1563" s="244"/>
      <c r="AC1563" s="244"/>
      <c r="AD1563" s="244"/>
      <c r="AE1563" s="234"/>
      <c r="AF1563" s="234"/>
      <c r="AG1563" s="238"/>
      <c r="AH1563" s="239"/>
      <c r="AI1563" s="238"/>
      <c r="AJ1563" s="238"/>
      <c r="AK1563" s="234"/>
      <c r="AL1563" s="234"/>
      <c r="AM1563" s="234"/>
      <c r="AN1563" s="234"/>
      <c r="AO1563" s="234"/>
    </row>
    <row r="1564" ht="15.75" customHeight="1">
      <c r="A1564" s="91"/>
      <c r="B1564" s="91"/>
      <c r="C1564" s="220"/>
      <c r="D1564" s="91"/>
      <c r="E1564" s="221"/>
      <c r="F1564" s="91"/>
      <c r="G1564" s="91"/>
      <c r="H1564" s="242"/>
      <c r="I1564" s="91"/>
      <c r="J1564" s="234"/>
      <c r="K1564" s="243"/>
      <c r="L1564" s="243"/>
      <c r="M1564" s="234"/>
      <c r="N1564" s="235"/>
      <c r="O1564" s="236"/>
      <c r="P1564" s="236"/>
      <c r="Q1564" s="236"/>
      <c r="R1564" s="236"/>
      <c r="S1564" s="236"/>
      <c r="T1564" s="236"/>
      <c r="U1564" s="236"/>
      <c r="V1564" s="236"/>
      <c r="W1564" s="236"/>
      <c r="X1564" s="244"/>
      <c r="Y1564" s="244"/>
      <c r="Z1564" s="237"/>
      <c r="AA1564" s="244"/>
      <c r="AB1564" s="244"/>
      <c r="AC1564" s="244"/>
      <c r="AD1564" s="244"/>
      <c r="AE1564" s="234"/>
      <c r="AF1564" s="234"/>
      <c r="AG1564" s="238"/>
      <c r="AH1564" s="239"/>
      <c r="AI1564" s="238"/>
      <c r="AJ1564" s="238"/>
      <c r="AK1564" s="234"/>
      <c r="AL1564" s="234"/>
      <c r="AM1564" s="234"/>
      <c r="AN1564" s="234"/>
      <c r="AO1564" s="234"/>
    </row>
    <row r="1565" ht="15.75" customHeight="1">
      <c r="A1565" s="91"/>
      <c r="B1565" s="91"/>
      <c r="C1565" s="220"/>
      <c r="D1565" s="91"/>
      <c r="E1565" s="221"/>
      <c r="F1565" s="91"/>
      <c r="G1565" s="91"/>
      <c r="H1565" s="242"/>
      <c r="I1565" s="91"/>
      <c r="J1565" s="234"/>
      <c r="K1565" s="243"/>
      <c r="L1565" s="243"/>
      <c r="M1565" s="234"/>
      <c r="N1565" s="235"/>
      <c r="O1565" s="236"/>
      <c r="P1565" s="236"/>
      <c r="Q1565" s="236"/>
      <c r="R1565" s="236"/>
      <c r="S1565" s="236"/>
      <c r="T1565" s="236"/>
      <c r="U1565" s="236"/>
      <c r="V1565" s="236"/>
      <c r="W1565" s="236"/>
      <c r="X1565" s="244"/>
      <c r="Y1565" s="244"/>
      <c r="Z1565" s="237"/>
      <c r="AA1565" s="244"/>
      <c r="AB1565" s="244"/>
      <c r="AC1565" s="244"/>
      <c r="AD1565" s="244"/>
      <c r="AE1565" s="234"/>
      <c r="AF1565" s="234"/>
      <c r="AG1565" s="238"/>
      <c r="AH1565" s="239"/>
      <c r="AI1565" s="238"/>
      <c r="AJ1565" s="238"/>
      <c r="AK1565" s="234"/>
      <c r="AL1565" s="234"/>
      <c r="AM1565" s="234"/>
      <c r="AN1565" s="234"/>
      <c r="AO1565" s="234"/>
    </row>
    <row r="1566" ht="15.75" customHeight="1">
      <c r="A1566" s="91"/>
      <c r="B1566" s="91"/>
      <c r="C1566" s="220"/>
      <c r="D1566" s="91"/>
      <c r="E1566" s="221"/>
      <c r="F1566" s="91"/>
      <c r="G1566" s="91"/>
      <c r="H1566" s="242"/>
      <c r="I1566" s="91"/>
      <c r="J1566" s="234"/>
      <c r="K1566" s="243"/>
      <c r="L1566" s="243"/>
      <c r="M1566" s="234"/>
      <c r="N1566" s="235"/>
      <c r="O1566" s="236"/>
      <c r="P1566" s="236"/>
      <c r="Q1566" s="236"/>
      <c r="R1566" s="236"/>
      <c r="S1566" s="236"/>
      <c r="T1566" s="236"/>
      <c r="U1566" s="236"/>
      <c r="V1566" s="236"/>
      <c r="W1566" s="236"/>
      <c r="X1566" s="244"/>
      <c r="Y1566" s="244"/>
      <c r="Z1566" s="237"/>
      <c r="AA1566" s="244"/>
      <c r="AB1566" s="244"/>
      <c r="AC1566" s="244"/>
      <c r="AD1566" s="244"/>
      <c r="AE1566" s="234"/>
      <c r="AF1566" s="234"/>
      <c r="AG1566" s="238"/>
      <c r="AH1566" s="239"/>
      <c r="AI1566" s="238"/>
      <c r="AJ1566" s="238"/>
      <c r="AK1566" s="234"/>
      <c r="AL1566" s="234"/>
      <c r="AM1566" s="234"/>
      <c r="AN1566" s="234"/>
      <c r="AO1566" s="234"/>
    </row>
    <row r="1567" ht="15.75" customHeight="1">
      <c r="A1567" s="91"/>
      <c r="B1567" s="91"/>
      <c r="C1567" s="220"/>
      <c r="D1567" s="91"/>
      <c r="E1567" s="221"/>
      <c r="F1567" s="91"/>
      <c r="G1567" s="91"/>
      <c r="H1567" s="242"/>
      <c r="I1567" s="91"/>
      <c r="J1567" s="234"/>
      <c r="K1567" s="243"/>
      <c r="L1567" s="243"/>
      <c r="M1567" s="234"/>
      <c r="N1567" s="235"/>
      <c r="O1567" s="236"/>
      <c r="P1567" s="236"/>
      <c r="Q1567" s="236"/>
      <c r="R1567" s="236"/>
      <c r="S1567" s="236"/>
      <c r="T1567" s="236"/>
      <c r="U1567" s="236"/>
      <c r="V1567" s="236"/>
      <c r="W1567" s="236"/>
      <c r="X1567" s="244"/>
      <c r="Y1567" s="244"/>
      <c r="Z1567" s="237"/>
      <c r="AA1567" s="244"/>
      <c r="AB1567" s="244"/>
      <c r="AC1567" s="244"/>
      <c r="AD1567" s="244"/>
      <c r="AE1567" s="234"/>
      <c r="AF1567" s="234"/>
      <c r="AG1567" s="238"/>
      <c r="AH1567" s="239"/>
      <c r="AI1567" s="238"/>
      <c r="AJ1567" s="238"/>
      <c r="AK1567" s="234"/>
      <c r="AL1567" s="234"/>
      <c r="AM1567" s="234"/>
      <c r="AN1567" s="234"/>
      <c r="AO1567" s="234"/>
    </row>
    <row r="1568" ht="15.75" customHeight="1">
      <c r="A1568" s="91"/>
      <c r="B1568" s="91"/>
      <c r="C1568" s="220"/>
      <c r="D1568" s="91"/>
      <c r="E1568" s="221"/>
      <c r="F1568" s="91"/>
      <c r="G1568" s="91"/>
      <c r="H1568" s="242"/>
      <c r="I1568" s="91"/>
      <c r="J1568" s="234"/>
      <c r="K1568" s="243"/>
      <c r="L1568" s="243"/>
      <c r="M1568" s="234"/>
      <c r="N1568" s="235"/>
      <c r="O1568" s="236"/>
      <c r="P1568" s="236"/>
      <c r="Q1568" s="236"/>
      <c r="R1568" s="236"/>
      <c r="S1568" s="236"/>
      <c r="T1568" s="236"/>
      <c r="U1568" s="236"/>
      <c r="V1568" s="236"/>
      <c r="W1568" s="236"/>
      <c r="X1568" s="244"/>
      <c r="Y1568" s="244"/>
      <c r="Z1568" s="237"/>
      <c r="AA1568" s="244"/>
      <c r="AB1568" s="244"/>
      <c r="AC1568" s="244"/>
      <c r="AD1568" s="244"/>
      <c r="AE1568" s="234"/>
      <c r="AF1568" s="234"/>
      <c r="AG1568" s="238"/>
      <c r="AH1568" s="239"/>
      <c r="AI1568" s="238"/>
      <c r="AJ1568" s="238"/>
      <c r="AK1568" s="234"/>
      <c r="AL1568" s="234"/>
      <c r="AM1568" s="234"/>
      <c r="AN1568" s="234"/>
      <c r="AO1568" s="234"/>
    </row>
    <row r="1569" ht="15.75" customHeight="1">
      <c r="A1569" s="91"/>
      <c r="B1569" s="91"/>
      <c r="C1569" s="220"/>
      <c r="D1569" s="91"/>
      <c r="E1569" s="221"/>
      <c r="F1569" s="91"/>
      <c r="G1569" s="91"/>
      <c r="H1569" s="242"/>
      <c r="I1569" s="91"/>
      <c r="J1569" s="234"/>
      <c r="K1569" s="243"/>
      <c r="L1569" s="243"/>
      <c r="M1569" s="234"/>
      <c r="N1569" s="235"/>
      <c r="O1569" s="236"/>
      <c r="P1569" s="236"/>
      <c r="Q1569" s="236"/>
      <c r="R1569" s="236"/>
      <c r="S1569" s="236"/>
      <c r="T1569" s="236"/>
      <c r="U1569" s="236"/>
      <c r="V1569" s="236"/>
      <c r="W1569" s="236"/>
      <c r="X1569" s="244"/>
      <c r="Y1569" s="244"/>
      <c r="Z1569" s="237"/>
      <c r="AA1569" s="244"/>
      <c r="AB1569" s="244"/>
      <c r="AC1569" s="244"/>
      <c r="AD1569" s="244"/>
      <c r="AE1569" s="234"/>
      <c r="AF1569" s="234"/>
      <c r="AG1569" s="238"/>
      <c r="AH1569" s="239"/>
      <c r="AI1569" s="238"/>
      <c r="AJ1569" s="238"/>
      <c r="AK1569" s="234"/>
      <c r="AL1569" s="234"/>
      <c r="AM1569" s="234"/>
      <c r="AN1569" s="234"/>
      <c r="AO1569" s="234"/>
    </row>
    <row r="1570" ht="15.75" customHeight="1">
      <c r="A1570" s="91"/>
      <c r="B1570" s="91"/>
      <c r="C1570" s="220"/>
      <c r="D1570" s="91"/>
      <c r="E1570" s="221"/>
      <c r="F1570" s="91"/>
      <c r="G1570" s="91"/>
      <c r="H1570" s="242"/>
      <c r="I1570" s="91"/>
      <c r="J1570" s="234"/>
      <c r="K1570" s="243"/>
      <c r="L1570" s="243"/>
      <c r="M1570" s="234"/>
      <c r="N1570" s="235"/>
      <c r="O1570" s="236"/>
      <c r="P1570" s="236"/>
      <c r="Q1570" s="236"/>
      <c r="R1570" s="236"/>
      <c r="S1570" s="236"/>
      <c r="T1570" s="236"/>
      <c r="U1570" s="236"/>
      <c r="V1570" s="236"/>
      <c r="W1570" s="236"/>
      <c r="X1570" s="244"/>
      <c r="Y1570" s="244"/>
      <c r="Z1570" s="237"/>
      <c r="AA1570" s="244"/>
      <c r="AB1570" s="244"/>
      <c r="AC1570" s="244"/>
      <c r="AD1570" s="244"/>
      <c r="AE1570" s="234"/>
      <c r="AF1570" s="234"/>
      <c r="AG1570" s="238"/>
      <c r="AH1570" s="239"/>
      <c r="AI1570" s="238"/>
      <c r="AJ1570" s="238"/>
      <c r="AK1570" s="234"/>
      <c r="AL1570" s="234"/>
      <c r="AM1570" s="234"/>
      <c r="AN1570" s="234"/>
      <c r="AO1570" s="234"/>
    </row>
    <row r="1571" ht="15.75" customHeight="1">
      <c r="A1571" s="91"/>
      <c r="B1571" s="91"/>
      <c r="C1571" s="220"/>
      <c r="D1571" s="91"/>
      <c r="E1571" s="221"/>
      <c r="F1571" s="91"/>
      <c r="G1571" s="91"/>
      <c r="H1571" s="242"/>
      <c r="I1571" s="91"/>
      <c r="J1571" s="234"/>
      <c r="K1571" s="243"/>
      <c r="L1571" s="243"/>
      <c r="M1571" s="234"/>
      <c r="N1571" s="235"/>
      <c r="O1571" s="236"/>
      <c r="P1571" s="236"/>
      <c r="Q1571" s="236"/>
      <c r="R1571" s="236"/>
      <c r="S1571" s="236"/>
      <c r="T1571" s="236"/>
      <c r="U1571" s="236"/>
      <c r="V1571" s="236"/>
      <c r="W1571" s="236"/>
      <c r="X1571" s="244"/>
      <c r="Y1571" s="244"/>
      <c r="Z1571" s="237"/>
      <c r="AA1571" s="244"/>
      <c r="AB1571" s="244"/>
      <c r="AC1571" s="244"/>
      <c r="AD1571" s="244"/>
      <c r="AE1571" s="234"/>
      <c r="AF1571" s="234"/>
      <c r="AG1571" s="238"/>
      <c r="AH1571" s="239"/>
      <c r="AI1571" s="238"/>
      <c r="AJ1571" s="238"/>
      <c r="AK1571" s="234"/>
      <c r="AL1571" s="234"/>
      <c r="AM1571" s="234"/>
      <c r="AN1571" s="234"/>
      <c r="AO1571" s="234"/>
    </row>
    <row r="1572" ht="15.75" customHeight="1">
      <c r="A1572" s="91"/>
      <c r="B1572" s="91"/>
      <c r="C1572" s="220"/>
      <c r="D1572" s="91"/>
      <c r="E1572" s="221"/>
      <c r="F1572" s="91"/>
      <c r="G1572" s="91"/>
      <c r="H1572" s="242"/>
      <c r="I1572" s="91"/>
      <c r="J1572" s="234"/>
      <c r="K1572" s="243"/>
      <c r="L1572" s="243"/>
      <c r="M1572" s="234"/>
      <c r="N1572" s="235"/>
      <c r="O1572" s="236"/>
      <c r="P1572" s="236"/>
      <c r="Q1572" s="236"/>
      <c r="R1572" s="236"/>
      <c r="S1572" s="236"/>
      <c r="T1572" s="236"/>
      <c r="U1572" s="236"/>
      <c r="V1572" s="236"/>
      <c r="W1572" s="236"/>
      <c r="X1572" s="244"/>
      <c r="Y1572" s="244"/>
      <c r="Z1572" s="237"/>
      <c r="AA1572" s="244"/>
      <c r="AB1572" s="244"/>
      <c r="AC1572" s="244"/>
      <c r="AD1572" s="244"/>
      <c r="AE1572" s="234"/>
      <c r="AF1572" s="234"/>
      <c r="AG1572" s="238"/>
      <c r="AH1572" s="239"/>
      <c r="AI1572" s="238"/>
      <c r="AJ1572" s="238"/>
      <c r="AK1572" s="234"/>
      <c r="AL1572" s="234"/>
      <c r="AM1572" s="234"/>
      <c r="AN1572" s="234"/>
      <c r="AO1572" s="234"/>
    </row>
    <row r="1573" ht="15.75" customHeight="1">
      <c r="A1573" s="91"/>
      <c r="B1573" s="91"/>
      <c r="C1573" s="220"/>
      <c r="D1573" s="91"/>
      <c r="E1573" s="221"/>
      <c r="F1573" s="91"/>
      <c r="G1573" s="91"/>
      <c r="H1573" s="242"/>
      <c r="I1573" s="91"/>
      <c r="J1573" s="234"/>
      <c r="K1573" s="243"/>
      <c r="L1573" s="243"/>
      <c r="M1573" s="234"/>
      <c r="N1573" s="235"/>
      <c r="O1573" s="236"/>
      <c r="P1573" s="236"/>
      <c r="Q1573" s="236"/>
      <c r="R1573" s="236"/>
      <c r="S1573" s="236"/>
      <c r="T1573" s="236"/>
      <c r="U1573" s="236"/>
      <c r="V1573" s="236"/>
      <c r="W1573" s="236"/>
      <c r="X1573" s="244"/>
      <c r="Y1573" s="244"/>
      <c r="Z1573" s="237"/>
      <c r="AA1573" s="244"/>
      <c r="AB1573" s="244"/>
      <c r="AC1573" s="244"/>
      <c r="AD1573" s="244"/>
      <c r="AE1573" s="234"/>
      <c r="AF1573" s="234"/>
      <c r="AG1573" s="238"/>
      <c r="AH1573" s="239"/>
      <c r="AI1573" s="238"/>
      <c r="AJ1573" s="238"/>
      <c r="AK1573" s="234"/>
      <c r="AL1573" s="234"/>
      <c r="AM1573" s="234"/>
      <c r="AN1573" s="234"/>
      <c r="AO1573" s="234"/>
    </row>
    <row r="1574" ht="15.75" customHeight="1">
      <c r="A1574" s="91"/>
      <c r="B1574" s="91"/>
      <c r="C1574" s="220"/>
      <c r="D1574" s="91"/>
      <c r="E1574" s="221"/>
      <c r="F1574" s="91"/>
      <c r="G1574" s="91"/>
      <c r="H1574" s="242"/>
      <c r="I1574" s="91"/>
      <c r="J1574" s="234"/>
      <c r="K1574" s="243"/>
      <c r="L1574" s="243"/>
      <c r="M1574" s="234"/>
      <c r="N1574" s="235"/>
      <c r="O1574" s="236"/>
      <c r="P1574" s="236"/>
      <c r="Q1574" s="236"/>
      <c r="R1574" s="236"/>
      <c r="S1574" s="236"/>
      <c r="T1574" s="236"/>
      <c r="U1574" s="236"/>
      <c r="V1574" s="236"/>
      <c r="W1574" s="236"/>
      <c r="X1574" s="244"/>
      <c r="Y1574" s="244"/>
      <c r="Z1574" s="237"/>
      <c r="AA1574" s="244"/>
      <c r="AB1574" s="244"/>
      <c r="AC1574" s="244"/>
      <c r="AD1574" s="244"/>
      <c r="AE1574" s="234"/>
      <c r="AF1574" s="234"/>
      <c r="AG1574" s="238"/>
      <c r="AH1574" s="239"/>
      <c r="AI1574" s="238"/>
      <c r="AJ1574" s="238"/>
      <c r="AK1574" s="234"/>
      <c r="AL1574" s="234"/>
      <c r="AM1574" s="234"/>
      <c r="AN1574" s="234"/>
      <c r="AO1574" s="234"/>
    </row>
    <row r="1575" ht="15.75" customHeight="1">
      <c r="A1575" s="91"/>
      <c r="B1575" s="91"/>
      <c r="C1575" s="220"/>
      <c r="D1575" s="91"/>
      <c r="E1575" s="221"/>
      <c r="F1575" s="91"/>
      <c r="G1575" s="91"/>
      <c r="H1575" s="242"/>
      <c r="I1575" s="91"/>
      <c r="J1575" s="234"/>
      <c r="K1575" s="243"/>
      <c r="L1575" s="243"/>
      <c r="M1575" s="234"/>
      <c r="N1575" s="235"/>
      <c r="O1575" s="236"/>
      <c r="P1575" s="236"/>
      <c r="Q1575" s="236"/>
      <c r="R1575" s="236"/>
      <c r="S1575" s="236"/>
      <c r="T1575" s="236"/>
      <c r="U1575" s="236"/>
      <c r="V1575" s="236"/>
      <c r="W1575" s="236"/>
      <c r="X1575" s="244"/>
      <c r="Y1575" s="244"/>
      <c r="Z1575" s="237"/>
      <c r="AA1575" s="244"/>
      <c r="AB1575" s="244"/>
      <c r="AC1575" s="244"/>
      <c r="AD1575" s="244"/>
      <c r="AE1575" s="234"/>
      <c r="AF1575" s="234"/>
      <c r="AG1575" s="238"/>
      <c r="AH1575" s="239"/>
      <c r="AI1575" s="238"/>
      <c r="AJ1575" s="238"/>
      <c r="AK1575" s="234"/>
      <c r="AL1575" s="234"/>
      <c r="AM1575" s="234"/>
      <c r="AN1575" s="234"/>
      <c r="AO1575" s="234"/>
    </row>
    <row r="1576" ht="15.75" customHeight="1">
      <c r="A1576" s="91"/>
      <c r="B1576" s="91"/>
      <c r="C1576" s="220"/>
      <c r="D1576" s="91"/>
      <c r="E1576" s="221"/>
      <c r="F1576" s="91"/>
      <c r="G1576" s="91"/>
      <c r="H1576" s="242"/>
      <c r="I1576" s="91"/>
      <c r="J1576" s="234"/>
      <c r="K1576" s="243"/>
      <c r="L1576" s="243"/>
      <c r="M1576" s="234"/>
      <c r="N1576" s="235"/>
      <c r="O1576" s="236"/>
      <c r="P1576" s="236"/>
      <c r="Q1576" s="236"/>
      <c r="R1576" s="236"/>
      <c r="S1576" s="236"/>
      <c r="T1576" s="236"/>
      <c r="U1576" s="236"/>
      <c r="V1576" s="236"/>
      <c r="W1576" s="236"/>
      <c r="X1576" s="244"/>
      <c r="Y1576" s="244"/>
      <c r="Z1576" s="237"/>
      <c r="AA1576" s="244"/>
      <c r="AB1576" s="244"/>
      <c r="AC1576" s="244"/>
      <c r="AD1576" s="244"/>
      <c r="AE1576" s="234"/>
      <c r="AF1576" s="234"/>
      <c r="AG1576" s="238"/>
      <c r="AH1576" s="239"/>
      <c r="AI1576" s="238"/>
      <c r="AJ1576" s="238"/>
      <c r="AK1576" s="234"/>
      <c r="AL1576" s="234"/>
      <c r="AM1576" s="234"/>
      <c r="AN1576" s="234"/>
      <c r="AO1576" s="234"/>
    </row>
    <row r="1577" ht="15.75" customHeight="1">
      <c r="A1577" s="91"/>
      <c r="B1577" s="91"/>
      <c r="C1577" s="220"/>
      <c r="D1577" s="91"/>
      <c r="E1577" s="221"/>
      <c r="F1577" s="91"/>
      <c r="G1577" s="91"/>
      <c r="H1577" s="242"/>
      <c r="I1577" s="91"/>
      <c r="J1577" s="234"/>
      <c r="K1577" s="243"/>
      <c r="L1577" s="243"/>
      <c r="M1577" s="234"/>
      <c r="N1577" s="235"/>
      <c r="O1577" s="236"/>
      <c r="P1577" s="236"/>
      <c r="Q1577" s="236"/>
      <c r="R1577" s="236"/>
      <c r="S1577" s="236"/>
      <c r="T1577" s="236"/>
      <c r="U1577" s="236"/>
      <c r="V1577" s="236"/>
      <c r="W1577" s="236"/>
      <c r="X1577" s="244"/>
      <c r="Y1577" s="244"/>
      <c r="Z1577" s="237"/>
      <c r="AA1577" s="244"/>
      <c r="AB1577" s="244"/>
      <c r="AC1577" s="244"/>
      <c r="AD1577" s="244"/>
      <c r="AE1577" s="234"/>
      <c r="AF1577" s="234"/>
      <c r="AG1577" s="238"/>
      <c r="AH1577" s="239"/>
      <c r="AI1577" s="238"/>
      <c r="AJ1577" s="238"/>
      <c r="AK1577" s="234"/>
      <c r="AL1577" s="234"/>
      <c r="AM1577" s="234"/>
      <c r="AN1577" s="234"/>
      <c r="AO1577" s="234"/>
    </row>
    <row r="1578" ht="15.75" customHeight="1">
      <c r="A1578" s="91"/>
      <c r="B1578" s="91"/>
      <c r="C1578" s="220"/>
      <c r="D1578" s="91"/>
      <c r="E1578" s="221"/>
      <c r="F1578" s="91"/>
      <c r="G1578" s="91"/>
      <c r="H1578" s="242"/>
      <c r="I1578" s="91"/>
      <c r="J1578" s="234"/>
      <c r="K1578" s="243"/>
      <c r="L1578" s="243"/>
      <c r="M1578" s="234"/>
      <c r="N1578" s="235"/>
      <c r="O1578" s="236"/>
      <c r="P1578" s="236"/>
      <c r="Q1578" s="236"/>
      <c r="R1578" s="236"/>
      <c r="S1578" s="236"/>
      <c r="T1578" s="236"/>
      <c r="U1578" s="236"/>
      <c r="V1578" s="236"/>
      <c r="W1578" s="236"/>
      <c r="X1578" s="244"/>
      <c r="Y1578" s="244"/>
      <c r="Z1578" s="237"/>
      <c r="AA1578" s="244"/>
      <c r="AB1578" s="244"/>
      <c r="AC1578" s="244"/>
      <c r="AD1578" s="244"/>
      <c r="AE1578" s="234"/>
      <c r="AF1578" s="234"/>
      <c r="AG1578" s="238"/>
      <c r="AH1578" s="239"/>
      <c r="AI1578" s="238"/>
      <c r="AJ1578" s="238"/>
      <c r="AK1578" s="234"/>
      <c r="AL1578" s="234"/>
      <c r="AM1578" s="234"/>
      <c r="AN1578" s="234"/>
      <c r="AO1578" s="234"/>
    </row>
    <row r="1579" ht="15.75" customHeight="1">
      <c r="A1579" s="91"/>
      <c r="B1579" s="91"/>
      <c r="C1579" s="220"/>
      <c r="D1579" s="91"/>
      <c r="E1579" s="221"/>
      <c r="F1579" s="91"/>
      <c r="G1579" s="91"/>
      <c r="H1579" s="242"/>
      <c r="I1579" s="91"/>
      <c r="J1579" s="234"/>
      <c r="K1579" s="243"/>
      <c r="L1579" s="243"/>
      <c r="M1579" s="234"/>
      <c r="N1579" s="235"/>
      <c r="O1579" s="236"/>
      <c r="P1579" s="236"/>
      <c r="Q1579" s="236"/>
      <c r="R1579" s="236"/>
      <c r="S1579" s="236"/>
      <c r="T1579" s="236"/>
      <c r="U1579" s="236"/>
      <c r="V1579" s="236"/>
      <c r="W1579" s="236"/>
      <c r="X1579" s="244"/>
      <c r="Y1579" s="244"/>
      <c r="Z1579" s="237"/>
      <c r="AA1579" s="244"/>
      <c r="AB1579" s="244"/>
      <c r="AC1579" s="244"/>
      <c r="AD1579" s="244"/>
      <c r="AE1579" s="234"/>
      <c r="AF1579" s="234"/>
      <c r="AG1579" s="238"/>
      <c r="AH1579" s="239"/>
      <c r="AI1579" s="238"/>
      <c r="AJ1579" s="238"/>
      <c r="AK1579" s="234"/>
      <c r="AL1579" s="234"/>
      <c r="AM1579" s="234"/>
      <c r="AN1579" s="234"/>
      <c r="AO1579" s="234"/>
    </row>
    <row r="1580" ht="15.75" customHeight="1">
      <c r="A1580" s="91"/>
      <c r="B1580" s="91"/>
      <c r="C1580" s="220"/>
      <c r="D1580" s="91"/>
      <c r="E1580" s="221"/>
      <c r="F1580" s="91"/>
      <c r="G1580" s="91"/>
      <c r="H1580" s="242"/>
      <c r="I1580" s="91"/>
      <c r="J1580" s="234"/>
      <c r="K1580" s="243"/>
      <c r="L1580" s="243"/>
      <c r="M1580" s="234"/>
      <c r="N1580" s="235"/>
      <c r="O1580" s="236"/>
      <c r="P1580" s="236"/>
      <c r="Q1580" s="236"/>
      <c r="R1580" s="236"/>
      <c r="S1580" s="236"/>
      <c r="T1580" s="236"/>
      <c r="U1580" s="236"/>
      <c r="V1580" s="236"/>
      <c r="W1580" s="236"/>
      <c r="X1580" s="244"/>
      <c r="Y1580" s="244"/>
      <c r="Z1580" s="237"/>
      <c r="AA1580" s="244"/>
      <c r="AB1580" s="244"/>
      <c r="AC1580" s="244"/>
      <c r="AD1580" s="244"/>
      <c r="AE1580" s="234"/>
      <c r="AF1580" s="234"/>
      <c r="AG1580" s="238"/>
      <c r="AH1580" s="239"/>
      <c r="AI1580" s="238"/>
      <c r="AJ1580" s="238"/>
      <c r="AK1580" s="234"/>
      <c r="AL1580" s="234"/>
      <c r="AM1580" s="234"/>
      <c r="AN1580" s="234"/>
      <c r="AO1580" s="234"/>
    </row>
    <row r="1581" ht="15.75" customHeight="1">
      <c r="A1581" s="91"/>
      <c r="B1581" s="91"/>
      <c r="C1581" s="220"/>
      <c r="D1581" s="91"/>
      <c r="E1581" s="221"/>
      <c r="F1581" s="91"/>
      <c r="G1581" s="91"/>
      <c r="H1581" s="242"/>
      <c r="I1581" s="91"/>
      <c r="J1581" s="234"/>
      <c r="K1581" s="243"/>
      <c r="L1581" s="243"/>
      <c r="M1581" s="234"/>
      <c r="N1581" s="235"/>
      <c r="O1581" s="236"/>
      <c r="P1581" s="236"/>
      <c r="Q1581" s="236"/>
      <c r="R1581" s="236"/>
      <c r="S1581" s="236"/>
      <c r="T1581" s="236"/>
      <c r="U1581" s="236"/>
      <c r="V1581" s="236"/>
      <c r="W1581" s="236"/>
      <c r="X1581" s="244"/>
      <c r="Y1581" s="244"/>
      <c r="Z1581" s="237"/>
      <c r="AA1581" s="244"/>
      <c r="AB1581" s="244"/>
      <c r="AC1581" s="244"/>
      <c r="AD1581" s="244"/>
      <c r="AE1581" s="234"/>
      <c r="AF1581" s="234"/>
      <c r="AG1581" s="238"/>
      <c r="AH1581" s="239"/>
      <c r="AI1581" s="238"/>
      <c r="AJ1581" s="238"/>
      <c r="AK1581" s="234"/>
      <c r="AL1581" s="234"/>
      <c r="AM1581" s="234"/>
      <c r="AN1581" s="234"/>
      <c r="AO1581" s="234"/>
    </row>
    <row r="1582" ht="15.75" customHeight="1">
      <c r="A1582" s="91"/>
      <c r="B1582" s="91"/>
      <c r="C1582" s="220"/>
      <c r="D1582" s="91"/>
      <c r="E1582" s="221"/>
      <c r="F1582" s="91"/>
      <c r="G1582" s="91"/>
      <c r="H1582" s="242"/>
      <c r="I1582" s="91"/>
      <c r="J1582" s="234"/>
      <c r="K1582" s="243"/>
      <c r="L1582" s="243"/>
      <c r="M1582" s="234"/>
      <c r="N1582" s="235"/>
      <c r="O1582" s="236"/>
      <c r="P1582" s="236"/>
      <c r="Q1582" s="236"/>
      <c r="R1582" s="236"/>
      <c r="S1582" s="236"/>
      <c r="T1582" s="236"/>
      <c r="U1582" s="236"/>
      <c r="V1582" s="236"/>
      <c r="W1582" s="236"/>
      <c r="X1582" s="244"/>
      <c r="Y1582" s="244"/>
      <c r="Z1582" s="237"/>
      <c r="AA1582" s="244"/>
      <c r="AB1582" s="244"/>
      <c r="AC1582" s="244"/>
      <c r="AD1582" s="244"/>
      <c r="AE1582" s="234"/>
      <c r="AF1582" s="234"/>
      <c r="AG1582" s="238"/>
      <c r="AH1582" s="239"/>
      <c r="AI1582" s="238"/>
      <c r="AJ1582" s="238"/>
      <c r="AK1582" s="234"/>
      <c r="AL1582" s="234"/>
      <c r="AM1582" s="234"/>
      <c r="AN1582" s="234"/>
      <c r="AO1582" s="234"/>
    </row>
    <row r="1583" ht="15.75" customHeight="1">
      <c r="A1583" s="91"/>
      <c r="B1583" s="91"/>
      <c r="C1583" s="220"/>
      <c r="D1583" s="91"/>
      <c r="E1583" s="221"/>
      <c r="F1583" s="91"/>
      <c r="G1583" s="91"/>
      <c r="H1583" s="242"/>
      <c r="I1583" s="91"/>
      <c r="J1583" s="234"/>
      <c r="K1583" s="243"/>
      <c r="L1583" s="243"/>
      <c r="M1583" s="234"/>
      <c r="N1583" s="235"/>
      <c r="O1583" s="236"/>
      <c r="P1583" s="236"/>
      <c r="Q1583" s="236"/>
      <c r="R1583" s="236"/>
      <c r="S1583" s="236"/>
      <c r="T1583" s="236"/>
      <c r="U1583" s="236"/>
      <c r="V1583" s="236"/>
      <c r="W1583" s="236"/>
      <c r="X1583" s="244"/>
      <c r="Y1583" s="244"/>
      <c r="Z1583" s="237"/>
      <c r="AA1583" s="244"/>
      <c r="AB1583" s="244"/>
      <c r="AC1583" s="244"/>
      <c r="AD1583" s="244"/>
      <c r="AE1583" s="234"/>
      <c r="AF1583" s="234"/>
      <c r="AG1583" s="238"/>
      <c r="AH1583" s="239"/>
      <c r="AI1583" s="238"/>
      <c r="AJ1583" s="238"/>
      <c r="AK1583" s="234"/>
      <c r="AL1583" s="234"/>
      <c r="AM1583" s="234"/>
      <c r="AN1583" s="234"/>
      <c r="AO1583" s="234"/>
    </row>
    <row r="1584" ht="15.75" customHeight="1">
      <c r="A1584" s="91"/>
      <c r="B1584" s="91"/>
      <c r="C1584" s="220"/>
      <c r="D1584" s="91"/>
      <c r="E1584" s="221"/>
      <c r="F1584" s="91"/>
      <c r="G1584" s="91"/>
      <c r="H1584" s="242"/>
      <c r="I1584" s="91"/>
      <c r="J1584" s="234"/>
      <c r="K1584" s="243"/>
      <c r="L1584" s="243"/>
      <c r="M1584" s="234"/>
      <c r="N1584" s="235"/>
      <c r="O1584" s="236"/>
      <c r="P1584" s="236"/>
      <c r="Q1584" s="236"/>
      <c r="R1584" s="236"/>
      <c r="S1584" s="236"/>
      <c r="T1584" s="236"/>
      <c r="U1584" s="236"/>
      <c r="V1584" s="236"/>
      <c r="W1584" s="236"/>
      <c r="X1584" s="244"/>
      <c r="Y1584" s="244"/>
      <c r="Z1584" s="237"/>
      <c r="AA1584" s="244"/>
      <c r="AB1584" s="244"/>
      <c r="AC1584" s="244"/>
      <c r="AD1584" s="244"/>
      <c r="AE1584" s="234"/>
      <c r="AF1584" s="234"/>
      <c r="AG1584" s="238"/>
      <c r="AH1584" s="239"/>
      <c r="AI1584" s="238"/>
      <c r="AJ1584" s="238"/>
      <c r="AK1584" s="234"/>
      <c r="AL1584" s="234"/>
      <c r="AM1584" s="234"/>
      <c r="AN1584" s="234"/>
      <c r="AO1584" s="234"/>
    </row>
    <row r="1585" ht="15.75" customHeight="1">
      <c r="A1585" s="91"/>
      <c r="B1585" s="91"/>
      <c r="C1585" s="220"/>
      <c r="D1585" s="91"/>
      <c r="E1585" s="221"/>
      <c r="F1585" s="91"/>
      <c r="G1585" s="91"/>
      <c r="H1585" s="242"/>
      <c r="I1585" s="91"/>
      <c r="J1585" s="234"/>
      <c r="K1585" s="243"/>
      <c r="L1585" s="243"/>
      <c r="M1585" s="234"/>
      <c r="N1585" s="235"/>
      <c r="O1585" s="236"/>
      <c r="P1585" s="236"/>
      <c r="Q1585" s="236"/>
      <c r="R1585" s="236"/>
      <c r="S1585" s="236"/>
      <c r="T1585" s="236"/>
      <c r="U1585" s="236"/>
      <c r="V1585" s="236"/>
      <c r="W1585" s="236"/>
      <c r="X1585" s="244"/>
      <c r="Y1585" s="244"/>
      <c r="Z1585" s="237"/>
      <c r="AA1585" s="244"/>
      <c r="AB1585" s="244"/>
      <c r="AC1585" s="244"/>
      <c r="AD1585" s="244"/>
      <c r="AE1585" s="234"/>
      <c r="AF1585" s="234"/>
      <c r="AG1585" s="238"/>
      <c r="AH1585" s="239"/>
      <c r="AI1585" s="238"/>
      <c r="AJ1585" s="238"/>
      <c r="AK1585" s="234"/>
      <c r="AL1585" s="234"/>
      <c r="AM1585" s="234"/>
      <c r="AN1585" s="234"/>
      <c r="AO1585" s="234"/>
    </row>
    <row r="1586" ht="15.75" customHeight="1">
      <c r="A1586" s="91"/>
      <c r="B1586" s="91"/>
      <c r="C1586" s="220"/>
      <c r="D1586" s="91"/>
      <c r="E1586" s="221"/>
      <c r="F1586" s="91"/>
      <c r="G1586" s="91"/>
      <c r="H1586" s="242"/>
      <c r="I1586" s="91"/>
      <c r="J1586" s="234"/>
      <c r="K1586" s="243"/>
      <c r="L1586" s="243"/>
      <c r="M1586" s="234"/>
      <c r="N1586" s="235"/>
      <c r="O1586" s="236"/>
      <c r="P1586" s="236"/>
      <c r="Q1586" s="236"/>
      <c r="R1586" s="236"/>
      <c r="S1586" s="236"/>
      <c r="T1586" s="236"/>
      <c r="U1586" s="236"/>
      <c r="V1586" s="236"/>
      <c r="W1586" s="236"/>
      <c r="X1586" s="244"/>
      <c r="Y1586" s="244"/>
      <c r="Z1586" s="237"/>
      <c r="AA1586" s="244"/>
      <c r="AB1586" s="244"/>
      <c r="AC1586" s="244"/>
      <c r="AD1586" s="244"/>
      <c r="AE1586" s="234"/>
      <c r="AF1586" s="234"/>
      <c r="AG1586" s="238"/>
      <c r="AH1586" s="239"/>
      <c r="AI1586" s="238"/>
      <c r="AJ1586" s="238"/>
      <c r="AK1586" s="234"/>
      <c r="AL1586" s="234"/>
      <c r="AM1586" s="234"/>
      <c r="AN1586" s="234"/>
      <c r="AO1586" s="234"/>
    </row>
    <row r="1587" ht="15.75" customHeight="1">
      <c r="A1587" s="91"/>
      <c r="B1587" s="91"/>
      <c r="C1587" s="220"/>
      <c r="D1587" s="91"/>
      <c r="E1587" s="221"/>
      <c r="F1587" s="91"/>
      <c r="G1587" s="91"/>
      <c r="H1587" s="242"/>
      <c r="I1587" s="91"/>
      <c r="J1587" s="234"/>
      <c r="K1587" s="243"/>
      <c r="L1587" s="243"/>
      <c r="M1587" s="234"/>
      <c r="N1587" s="235"/>
      <c r="O1587" s="236"/>
      <c r="P1587" s="236"/>
      <c r="Q1587" s="236"/>
      <c r="R1587" s="236"/>
      <c r="S1587" s="236"/>
      <c r="T1587" s="236"/>
      <c r="U1587" s="236"/>
      <c r="V1587" s="236"/>
      <c r="W1587" s="236"/>
      <c r="X1587" s="244"/>
      <c r="Y1587" s="244"/>
      <c r="Z1587" s="237"/>
      <c r="AA1587" s="244"/>
      <c r="AB1587" s="244"/>
      <c r="AC1587" s="244"/>
      <c r="AD1587" s="244"/>
      <c r="AE1587" s="234"/>
      <c r="AF1587" s="234"/>
      <c r="AG1587" s="238"/>
      <c r="AH1587" s="239"/>
      <c r="AI1587" s="238"/>
      <c r="AJ1587" s="238"/>
      <c r="AK1587" s="234"/>
      <c r="AL1587" s="234"/>
      <c r="AM1587" s="234"/>
      <c r="AN1587" s="234"/>
      <c r="AO1587" s="234"/>
    </row>
    <row r="1588" ht="15.75" customHeight="1">
      <c r="A1588" s="91"/>
      <c r="B1588" s="91"/>
      <c r="C1588" s="220"/>
      <c r="D1588" s="91"/>
      <c r="E1588" s="221"/>
      <c r="F1588" s="91"/>
      <c r="G1588" s="91"/>
      <c r="H1588" s="242"/>
      <c r="I1588" s="91"/>
      <c r="J1588" s="234"/>
      <c r="K1588" s="243"/>
      <c r="L1588" s="243"/>
      <c r="M1588" s="234"/>
      <c r="N1588" s="235"/>
      <c r="O1588" s="236"/>
      <c r="P1588" s="236"/>
      <c r="Q1588" s="236"/>
      <c r="R1588" s="236"/>
      <c r="S1588" s="236"/>
      <c r="T1588" s="236"/>
      <c r="U1588" s="236"/>
      <c r="V1588" s="236"/>
      <c r="W1588" s="236"/>
      <c r="X1588" s="244"/>
      <c r="Y1588" s="244"/>
      <c r="Z1588" s="237"/>
      <c r="AA1588" s="244"/>
      <c r="AB1588" s="244"/>
      <c r="AC1588" s="244"/>
      <c r="AD1588" s="244"/>
      <c r="AE1588" s="234"/>
      <c r="AF1588" s="234"/>
      <c r="AG1588" s="238"/>
      <c r="AH1588" s="239"/>
      <c r="AI1588" s="238"/>
      <c r="AJ1588" s="238"/>
      <c r="AK1588" s="234"/>
      <c r="AL1588" s="234"/>
      <c r="AM1588" s="234"/>
      <c r="AN1588" s="234"/>
      <c r="AO1588" s="234"/>
    </row>
    <row r="1589" ht="15.75" customHeight="1">
      <c r="A1589" s="91"/>
      <c r="B1589" s="91"/>
      <c r="C1589" s="220"/>
      <c r="D1589" s="91"/>
      <c r="E1589" s="221"/>
      <c r="F1589" s="91"/>
      <c r="G1589" s="91"/>
      <c r="H1589" s="242"/>
      <c r="I1589" s="91"/>
      <c r="J1589" s="234"/>
      <c r="K1589" s="243"/>
      <c r="L1589" s="243"/>
      <c r="M1589" s="234"/>
      <c r="N1589" s="235"/>
      <c r="O1589" s="236"/>
      <c r="P1589" s="236"/>
      <c r="Q1589" s="236"/>
      <c r="R1589" s="236"/>
      <c r="S1589" s="236"/>
      <c r="T1589" s="236"/>
      <c r="U1589" s="236"/>
      <c r="V1589" s="236"/>
      <c r="W1589" s="236"/>
      <c r="X1589" s="244"/>
      <c r="Y1589" s="244"/>
      <c r="Z1589" s="237"/>
      <c r="AA1589" s="244"/>
      <c r="AB1589" s="244"/>
      <c r="AC1589" s="244"/>
      <c r="AD1589" s="244"/>
      <c r="AE1589" s="234"/>
      <c r="AF1589" s="234"/>
      <c r="AG1589" s="238"/>
      <c r="AH1589" s="239"/>
      <c r="AI1589" s="238"/>
      <c r="AJ1589" s="238"/>
      <c r="AK1589" s="234"/>
      <c r="AL1589" s="234"/>
      <c r="AM1589" s="234"/>
      <c r="AN1589" s="234"/>
      <c r="AO1589" s="234"/>
    </row>
    <row r="1590" ht="15.75" customHeight="1">
      <c r="A1590" s="91"/>
      <c r="B1590" s="91"/>
      <c r="C1590" s="220"/>
      <c r="D1590" s="91"/>
      <c r="E1590" s="221"/>
      <c r="F1590" s="91"/>
      <c r="G1590" s="91"/>
      <c r="H1590" s="242"/>
      <c r="I1590" s="91"/>
      <c r="J1590" s="234"/>
      <c r="K1590" s="243"/>
      <c r="L1590" s="243"/>
      <c r="M1590" s="234"/>
      <c r="N1590" s="235"/>
      <c r="O1590" s="236"/>
      <c r="P1590" s="236"/>
      <c r="Q1590" s="236"/>
      <c r="R1590" s="236"/>
      <c r="S1590" s="236"/>
      <c r="T1590" s="236"/>
      <c r="U1590" s="236"/>
      <c r="V1590" s="236"/>
      <c r="W1590" s="236"/>
      <c r="X1590" s="244"/>
      <c r="Y1590" s="244"/>
      <c r="Z1590" s="237"/>
      <c r="AA1590" s="244"/>
      <c r="AB1590" s="244"/>
      <c r="AC1590" s="244"/>
      <c r="AD1590" s="244"/>
      <c r="AE1590" s="234"/>
      <c r="AF1590" s="234"/>
      <c r="AG1590" s="238"/>
      <c r="AH1590" s="239"/>
      <c r="AI1590" s="238"/>
      <c r="AJ1590" s="238"/>
      <c r="AK1590" s="234"/>
      <c r="AL1590" s="234"/>
      <c r="AM1590" s="234"/>
      <c r="AN1590" s="234"/>
      <c r="AO1590" s="234"/>
    </row>
    <row r="1591" ht="15.75" customHeight="1">
      <c r="A1591" s="91"/>
      <c r="B1591" s="91"/>
      <c r="C1591" s="220"/>
      <c r="D1591" s="91"/>
      <c r="E1591" s="221"/>
      <c r="F1591" s="91"/>
      <c r="G1591" s="91"/>
      <c r="H1591" s="242"/>
      <c r="I1591" s="91"/>
      <c r="J1591" s="234"/>
      <c r="K1591" s="243"/>
      <c r="L1591" s="243"/>
      <c r="M1591" s="234"/>
      <c r="N1591" s="235"/>
      <c r="O1591" s="236"/>
      <c r="P1591" s="236"/>
      <c r="Q1591" s="236"/>
      <c r="R1591" s="236"/>
      <c r="S1591" s="236"/>
      <c r="T1591" s="236"/>
      <c r="U1591" s="236"/>
      <c r="V1591" s="236"/>
      <c r="W1591" s="236"/>
      <c r="X1591" s="244"/>
      <c r="Y1591" s="244"/>
      <c r="Z1591" s="237"/>
      <c r="AA1591" s="244"/>
      <c r="AB1591" s="244"/>
      <c r="AC1591" s="244"/>
      <c r="AD1591" s="244"/>
      <c r="AE1591" s="234"/>
      <c r="AF1591" s="234"/>
      <c r="AG1591" s="238"/>
      <c r="AH1591" s="239"/>
      <c r="AI1591" s="238"/>
      <c r="AJ1591" s="238"/>
      <c r="AK1591" s="234"/>
      <c r="AL1591" s="234"/>
      <c r="AM1591" s="234"/>
      <c r="AN1591" s="234"/>
      <c r="AO1591" s="234"/>
    </row>
    <row r="1592" ht="15.75" customHeight="1">
      <c r="A1592" s="91"/>
      <c r="B1592" s="91"/>
      <c r="C1592" s="220"/>
      <c r="D1592" s="91"/>
      <c r="E1592" s="221"/>
      <c r="F1592" s="91"/>
      <c r="G1592" s="91"/>
      <c r="H1592" s="242"/>
      <c r="I1592" s="91"/>
      <c r="J1592" s="234"/>
      <c r="K1592" s="243"/>
      <c r="L1592" s="243"/>
      <c r="M1592" s="234"/>
      <c r="N1592" s="235"/>
      <c r="O1592" s="236"/>
      <c r="P1592" s="236"/>
      <c r="Q1592" s="236"/>
      <c r="R1592" s="236"/>
      <c r="S1592" s="236"/>
      <c r="T1592" s="236"/>
      <c r="U1592" s="236"/>
      <c r="V1592" s="236"/>
      <c r="W1592" s="236"/>
      <c r="X1592" s="244"/>
      <c r="Y1592" s="244"/>
      <c r="Z1592" s="237"/>
      <c r="AA1592" s="244"/>
      <c r="AB1592" s="244"/>
      <c r="AC1592" s="244"/>
      <c r="AD1592" s="244"/>
      <c r="AE1592" s="234"/>
      <c r="AF1592" s="234"/>
      <c r="AG1592" s="238"/>
      <c r="AH1592" s="239"/>
      <c r="AI1592" s="238"/>
      <c r="AJ1592" s="238"/>
      <c r="AK1592" s="234"/>
      <c r="AL1592" s="234"/>
      <c r="AM1592" s="234"/>
      <c r="AN1592" s="234"/>
      <c r="AO1592" s="234"/>
    </row>
    <row r="1593" ht="15.75" customHeight="1">
      <c r="A1593" s="91"/>
      <c r="B1593" s="91"/>
      <c r="C1593" s="220"/>
      <c r="D1593" s="91"/>
      <c r="E1593" s="221"/>
      <c r="F1593" s="91"/>
      <c r="G1593" s="91"/>
      <c r="H1593" s="242"/>
      <c r="I1593" s="91"/>
      <c r="J1593" s="234"/>
      <c r="K1593" s="243"/>
      <c r="L1593" s="243"/>
      <c r="M1593" s="234"/>
      <c r="N1593" s="235"/>
      <c r="O1593" s="236"/>
      <c r="P1593" s="236"/>
      <c r="Q1593" s="236"/>
      <c r="R1593" s="236"/>
      <c r="S1593" s="236"/>
      <c r="T1593" s="236"/>
      <c r="U1593" s="236"/>
      <c r="V1593" s="236"/>
      <c r="W1593" s="236"/>
      <c r="X1593" s="244"/>
      <c r="Y1593" s="244"/>
      <c r="Z1593" s="237"/>
      <c r="AA1593" s="244"/>
      <c r="AB1593" s="244"/>
      <c r="AC1593" s="244"/>
      <c r="AD1593" s="244"/>
      <c r="AE1593" s="234"/>
      <c r="AF1593" s="234"/>
      <c r="AG1593" s="238"/>
      <c r="AH1593" s="239"/>
      <c r="AI1593" s="238"/>
      <c r="AJ1593" s="238"/>
      <c r="AK1593" s="234"/>
      <c r="AL1593" s="234"/>
      <c r="AM1593" s="234"/>
      <c r="AN1593" s="234"/>
      <c r="AO1593" s="234"/>
    </row>
    <row r="1594" ht="15.75" customHeight="1">
      <c r="A1594" s="91"/>
      <c r="B1594" s="91"/>
      <c r="C1594" s="220"/>
      <c r="D1594" s="91"/>
      <c r="E1594" s="221"/>
      <c r="F1594" s="91"/>
      <c r="G1594" s="91"/>
      <c r="H1594" s="242"/>
      <c r="I1594" s="91"/>
      <c r="J1594" s="234"/>
      <c r="K1594" s="243"/>
      <c r="L1594" s="243"/>
      <c r="M1594" s="234"/>
      <c r="N1594" s="235"/>
      <c r="O1594" s="236"/>
      <c r="P1594" s="236"/>
      <c r="Q1594" s="236"/>
      <c r="R1594" s="236"/>
      <c r="S1594" s="236"/>
      <c r="T1594" s="236"/>
      <c r="U1594" s="236"/>
      <c r="V1594" s="236"/>
      <c r="W1594" s="236"/>
      <c r="X1594" s="244"/>
      <c r="Y1594" s="244"/>
      <c r="Z1594" s="237"/>
      <c r="AA1594" s="244"/>
      <c r="AB1594" s="244"/>
      <c r="AC1594" s="244"/>
      <c r="AD1594" s="244"/>
      <c r="AE1594" s="234"/>
      <c r="AF1594" s="234"/>
      <c r="AG1594" s="238"/>
      <c r="AH1594" s="239"/>
      <c r="AI1594" s="238"/>
      <c r="AJ1594" s="238"/>
      <c r="AK1594" s="234"/>
      <c r="AL1594" s="234"/>
      <c r="AM1594" s="234"/>
      <c r="AN1594" s="234"/>
      <c r="AO1594" s="234"/>
    </row>
    <row r="1595" ht="15.75" customHeight="1">
      <c r="A1595" s="91"/>
      <c r="B1595" s="91"/>
      <c r="C1595" s="220"/>
      <c r="D1595" s="91"/>
      <c r="E1595" s="221"/>
      <c r="F1595" s="91"/>
      <c r="G1595" s="91"/>
      <c r="H1595" s="242"/>
      <c r="I1595" s="91"/>
      <c r="J1595" s="234"/>
      <c r="K1595" s="243"/>
      <c r="L1595" s="243"/>
      <c r="M1595" s="234"/>
      <c r="N1595" s="235"/>
      <c r="O1595" s="236"/>
      <c r="P1595" s="236"/>
      <c r="Q1595" s="236"/>
      <c r="R1595" s="236"/>
      <c r="S1595" s="236"/>
      <c r="T1595" s="236"/>
      <c r="U1595" s="236"/>
      <c r="V1595" s="236"/>
      <c r="W1595" s="236"/>
      <c r="X1595" s="244"/>
      <c r="Y1595" s="244"/>
      <c r="Z1595" s="237"/>
      <c r="AA1595" s="244"/>
      <c r="AB1595" s="244"/>
      <c r="AC1595" s="244"/>
      <c r="AD1595" s="244"/>
      <c r="AE1595" s="234"/>
      <c r="AF1595" s="234"/>
      <c r="AG1595" s="238"/>
      <c r="AH1595" s="239"/>
      <c r="AI1595" s="238"/>
      <c r="AJ1595" s="238"/>
      <c r="AK1595" s="234"/>
      <c r="AL1595" s="234"/>
      <c r="AM1595" s="234"/>
      <c r="AN1595" s="234"/>
      <c r="AO1595" s="234"/>
    </row>
    <row r="1596" ht="15.75" customHeight="1">
      <c r="A1596" s="91"/>
      <c r="B1596" s="91"/>
      <c r="C1596" s="220"/>
      <c r="D1596" s="91"/>
      <c r="E1596" s="221"/>
      <c r="F1596" s="91"/>
      <c r="G1596" s="91"/>
      <c r="H1596" s="242"/>
      <c r="I1596" s="91"/>
      <c r="J1596" s="234"/>
      <c r="K1596" s="243"/>
      <c r="L1596" s="243"/>
      <c r="M1596" s="234"/>
      <c r="N1596" s="235"/>
      <c r="O1596" s="236"/>
      <c r="P1596" s="236"/>
      <c r="Q1596" s="236"/>
      <c r="R1596" s="236"/>
      <c r="S1596" s="236"/>
      <c r="T1596" s="236"/>
      <c r="U1596" s="236"/>
      <c r="V1596" s="236"/>
      <c r="W1596" s="236"/>
      <c r="X1596" s="244"/>
      <c r="Y1596" s="244"/>
      <c r="Z1596" s="237"/>
      <c r="AA1596" s="244"/>
      <c r="AB1596" s="244"/>
      <c r="AC1596" s="244"/>
      <c r="AD1596" s="244"/>
      <c r="AE1596" s="234"/>
      <c r="AF1596" s="234"/>
      <c r="AG1596" s="238"/>
      <c r="AH1596" s="239"/>
      <c r="AI1596" s="238"/>
      <c r="AJ1596" s="238"/>
      <c r="AK1596" s="234"/>
      <c r="AL1596" s="234"/>
      <c r="AM1596" s="234"/>
      <c r="AN1596" s="234"/>
      <c r="AO1596" s="234"/>
    </row>
    <row r="1597" ht="15.75" customHeight="1">
      <c r="A1597" s="91"/>
      <c r="B1597" s="91"/>
      <c r="C1597" s="220"/>
      <c r="D1597" s="91"/>
      <c r="E1597" s="221"/>
      <c r="F1597" s="91"/>
      <c r="G1597" s="91"/>
      <c r="H1597" s="242"/>
      <c r="I1597" s="91"/>
      <c r="J1597" s="234"/>
      <c r="K1597" s="243"/>
      <c r="L1597" s="243"/>
      <c r="M1597" s="234"/>
      <c r="N1597" s="235"/>
      <c r="O1597" s="236"/>
      <c r="P1597" s="236"/>
      <c r="Q1597" s="236"/>
      <c r="R1597" s="236"/>
      <c r="S1597" s="236"/>
      <c r="T1597" s="236"/>
      <c r="U1597" s="236"/>
      <c r="V1597" s="236"/>
      <c r="W1597" s="236"/>
      <c r="X1597" s="244"/>
      <c r="Y1597" s="244"/>
      <c r="Z1597" s="237"/>
      <c r="AA1597" s="244"/>
      <c r="AB1597" s="244"/>
      <c r="AC1597" s="244"/>
      <c r="AD1597" s="244"/>
      <c r="AE1597" s="234"/>
      <c r="AF1597" s="234"/>
      <c r="AG1597" s="238"/>
      <c r="AH1597" s="239"/>
      <c r="AI1597" s="238"/>
      <c r="AJ1597" s="238"/>
      <c r="AK1597" s="234"/>
      <c r="AL1597" s="234"/>
      <c r="AM1597" s="234"/>
      <c r="AN1597" s="234"/>
      <c r="AO1597" s="234"/>
    </row>
    <row r="1598" ht="15.75" customHeight="1">
      <c r="A1598" s="91"/>
      <c r="B1598" s="91"/>
      <c r="C1598" s="220"/>
      <c r="D1598" s="91"/>
      <c r="E1598" s="221"/>
      <c r="F1598" s="91"/>
      <c r="G1598" s="91"/>
      <c r="H1598" s="242"/>
      <c r="I1598" s="91"/>
      <c r="J1598" s="234"/>
      <c r="K1598" s="243"/>
      <c r="L1598" s="243"/>
      <c r="M1598" s="234"/>
      <c r="N1598" s="235"/>
      <c r="O1598" s="236"/>
      <c r="P1598" s="236"/>
      <c r="Q1598" s="236"/>
      <c r="R1598" s="236"/>
      <c r="S1598" s="236"/>
      <c r="T1598" s="236"/>
      <c r="U1598" s="236"/>
      <c r="V1598" s="236"/>
      <c r="W1598" s="236"/>
      <c r="X1598" s="244"/>
      <c r="Y1598" s="244"/>
      <c r="Z1598" s="237"/>
      <c r="AA1598" s="244"/>
      <c r="AB1598" s="244"/>
      <c r="AC1598" s="244"/>
      <c r="AD1598" s="244"/>
      <c r="AE1598" s="234"/>
      <c r="AF1598" s="234"/>
      <c r="AG1598" s="238"/>
      <c r="AH1598" s="239"/>
      <c r="AI1598" s="238"/>
      <c r="AJ1598" s="238"/>
      <c r="AK1598" s="234"/>
      <c r="AL1598" s="234"/>
      <c r="AM1598" s="234"/>
      <c r="AN1598" s="234"/>
      <c r="AO1598" s="234"/>
    </row>
    <row r="1599" ht="15.75" customHeight="1">
      <c r="A1599" s="91"/>
      <c r="B1599" s="91"/>
      <c r="C1599" s="220"/>
      <c r="D1599" s="91"/>
      <c r="E1599" s="221"/>
      <c r="F1599" s="91"/>
      <c r="G1599" s="91"/>
      <c r="H1599" s="242"/>
      <c r="I1599" s="91"/>
      <c r="J1599" s="234"/>
      <c r="K1599" s="243"/>
      <c r="L1599" s="243"/>
      <c r="M1599" s="234"/>
      <c r="N1599" s="235"/>
      <c r="O1599" s="236"/>
      <c r="P1599" s="236"/>
      <c r="Q1599" s="236"/>
      <c r="R1599" s="236"/>
      <c r="S1599" s="236"/>
      <c r="T1599" s="236"/>
      <c r="U1599" s="236"/>
      <c r="V1599" s="236"/>
      <c r="W1599" s="236"/>
      <c r="X1599" s="244"/>
      <c r="Y1599" s="244"/>
      <c r="Z1599" s="237"/>
      <c r="AA1599" s="244"/>
      <c r="AB1599" s="244"/>
      <c r="AC1599" s="244"/>
      <c r="AD1599" s="244"/>
      <c r="AE1599" s="234"/>
      <c r="AF1599" s="234"/>
      <c r="AG1599" s="238"/>
      <c r="AH1599" s="239"/>
      <c r="AI1599" s="238"/>
      <c r="AJ1599" s="238"/>
      <c r="AK1599" s="234"/>
      <c r="AL1599" s="234"/>
      <c r="AM1599" s="234"/>
      <c r="AN1599" s="234"/>
      <c r="AO1599" s="234"/>
    </row>
    <row r="1600" ht="15.75" customHeight="1">
      <c r="A1600" s="91"/>
      <c r="B1600" s="91"/>
      <c r="C1600" s="220"/>
      <c r="D1600" s="91"/>
      <c r="E1600" s="221"/>
      <c r="F1600" s="91"/>
      <c r="G1600" s="91"/>
      <c r="H1600" s="242"/>
      <c r="I1600" s="91"/>
      <c r="J1600" s="234"/>
      <c r="K1600" s="243"/>
      <c r="L1600" s="243"/>
      <c r="M1600" s="234"/>
      <c r="N1600" s="235"/>
      <c r="O1600" s="236"/>
      <c r="P1600" s="236"/>
      <c r="Q1600" s="236"/>
      <c r="R1600" s="236"/>
      <c r="S1600" s="236"/>
      <c r="T1600" s="236"/>
      <c r="U1600" s="236"/>
      <c r="V1600" s="236"/>
      <c r="W1600" s="236"/>
      <c r="X1600" s="244"/>
      <c r="Y1600" s="244"/>
      <c r="Z1600" s="237"/>
      <c r="AA1600" s="244"/>
      <c r="AB1600" s="244"/>
      <c r="AC1600" s="244"/>
      <c r="AD1600" s="244"/>
      <c r="AE1600" s="234"/>
      <c r="AF1600" s="234"/>
      <c r="AG1600" s="238"/>
      <c r="AH1600" s="239"/>
      <c r="AI1600" s="238"/>
      <c r="AJ1600" s="238"/>
      <c r="AK1600" s="234"/>
      <c r="AL1600" s="234"/>
      <c r="AM1600" s="234"/>
      <c r="AN1600" s="234"/>
      <c r="AO1600" s="234"/>
    </row>
    <row r="1601" ht="15.75" customHeight="1">
      <c r="A1601" s="91"/>
      <c r="B1601" s="91"/>
      <c r="C1601" s="220"/>
      <c r="D1601" s="91"/>
      <c r="E1601" s="221"/>
      <c r="F1601" s="91"/>
      <c r="G1601" s="91"/>
      <c r="H1601" s="242"/>
      <c r="I1601" s="91"/>
      <c r="J1601" s="234"/>
      <c r="K1601" s="243"/>
      <c r="L1601" s="243"/>
      <c r="M1601" s="234"/>
      <c r="N1601" s="235"/>
      <c r="O1601" s="236"/>
      <c r="P1601" s="236"/>
      <c r="Q1601" s="236"/>
      <c r="R1601" s="236"/>
      <c r="S1601" s="236"/>
      <c r="T1601" s="236"/>
      <c r="U1601" s="236"/>
      <c r="V1601" s="236"/>
      <c r="W1601" s="236"/>
      <c r="X1601" s="244"/>
      <c r="Y1601" s="244"/>
      <c r="Z1601" s="237"/>
      <c r="AA1601" s="244"/>
      <c r="AB1601" s="244"/>
      <c r="AC1601" s="244"/>
      <c r="AD1601" s="244"/>
      <c r="AE1601" s="234"/>
      <c r="AF1601" s="234"/>
      <c r="AG1601" s="238"/>
      <c r="AH1601" s="239"/>
      <c r="AI1601" s="238"/>
      <c r="AJ1601" s="238"/>
      <c r="AK1601" s="234"/>
      <c r="AL1601" s="234"/>
      <c r="AM1601" s="234"/>
      <c r="AN1601" s="234"/>
      <c r="AO1601" s="234"/>
    </row>
    <row r="1602" ht="15.75" customHeight="1">
      <c r="A1602" s="91"/>
      <c r="B1602" s="91"/>
      <c r="C1602" s="220"/>
      <c r="D1602" s="91"/>
      <c r="E1602" s="221"/>
      <c r="F1602" s="91"/>
      <c r="G1602" s="91"/>
      <c r="H1602" s="242"/>
      <c r="I1602" s="91"/>
      <c r="J1602" s="234"/>
      <c r="K1602" s="243"/>
      <c r="L1602" s="243"/>
      <c r="M1602" s="234"/>
      <c r="N1602" s="235"/>
      <c r="O1602" s="236"/>
      <c r="P1602" s="236"/>
      <c r="Q1602" s="236"/>
      <c r="R1602" s="236"/>
      <c r="S1602" s="236"/>
      <c r="T1602" s="236"/>
      <c r="U1602" s="236"/>
      <c r="V1602" s="236"/>
      <c r="W1602" s="236"/>
      <c r="X1602" s="244"/>
      <c r="Y1602" s="244"/>
      <c r="Z1602" s="237"/>
      <c r="AA1602" s="244"/>
      <c r="AB1602" s="244"/>
      <c r="AC1602" s="244"/>
      <c r="AD1602" s="244"/>
      <c r="AE1602" s="234"/>
      <c r="AF1602" s="234"/>
      <c r="AG1602" s="238"/>
      <c r="AH1602" s="239"/>
      <c r="AI1602" s="238"/>
      <c r="AJ1602" s="238"/>
      <c r="AK1602" s="234"/>
      <c r="AL1602" s="234"/>
      <c r="AM1602" s="234"/>
      <c r="AN1602" s="234"/>
      <c r="AO1602" s="234"/>
    </row>
    <row r="1603" ht="15.75" customHeight="1">
      <c r="A1603" s="91"/>
      <c r="B1603" s="91"/>
      <c r="C1603" s="220"/>
      <c r="D1603" s="91"/>
      <c r="E1603" s="221"/>
      <c r="F1603" s="91"/>
      <c r="G1603" s="91"/>
      <c r="H1603" s="242"/>
      <c r="I1603" s="91"/>
      <c r="J1603" s="234"/>
      <c r="K1603" s="243"/>
      <c r="L1603" s="243"/>
      <c r="M1603" s="234"/>
      <c r="N1603" s="235"/>
      <c r="O1603" s="236"/>
      <c r="P1603" s="236"/>
      <c r="Q1603" s="236"/>
      <c r="R1603" s="236"/>
      <c r="S1603" s="236"/>
      <c r="T1603" s="236"/>
      <c r="U1603" s="236"/>
      <c r="V1603" s="236"/>
      <c r="W1603" s="236"/>
      <c r="X1603" s="244"/>
      <c r="Y1603" s="244"/>
      <c r="Z1603" s="237"/>
      <c r="AA1603" s="244"/>
      <c r="AB1603" s="244"/>
      <c r="AC1603" s="244"/>
      <c r="AD1603" s="244"/>
      <c r="AE1603" s="234"/>
      <c r="AF1603" s="234"/>
      <c r="AG1603" s="238"/>
      <c r="AH1603" s="239"/>
      <c r="AI1603" s="238"/>
      <c r="AJ1603" s="238"/>
      <c r="AK1603" s="234"/>
      <c r="AL1603" s="234"/>
      <c r="AM1603" s="234"/>
      <c r="AN1603" s="234"/>
      <c r="AO1603" s="234"/>
    </row>
    <row r="1604" ht="15.75" customHeight="1">
      <c r="A1604" s="91"/>
      <c r="B1604" s="91"/>
      <c r="C1604" s="220"/>
      <c r="D1604" s="91"/>
      <c r="E1604" s="221"/>
      <c r="F1604" s="91"/>
      <c r="G1604" s="91"/>
      <c r="H1604" s="242"/>
      <c r="I1604" s="91"/>
      <c r="J1604" s="234"/>
      <c r="K1604" s="243"/>
      <c r="L1604" s="243"/>
      <c r="M1604" s="234"/>
      <c r="N1604" s="235"/>
      <c r="O1604" s="236"/>
      <c r="P1604" s="236"/>
      <c r="Q1604" s="236"/>
      <c r="R1604" s="236"/>
      <c r="S1604" s="236"/>
      <c r="T1604" s="236"/>
      <c r="U1604" s="236"/>
      <c r="V1604" s="236"/>
      <c r="W1604" s="236"/>
      <c r="X1604" s="244"/>
      <c r="Y1604" s="244"/>
      <c r="Z1604" s="237"/>
      <c r="AA1604" s="244"/>
      <c r="AB1604" s="244"/>
      <c r="AC1604" s="244"/>
      <c r="AD1604" s="244"/>
      <c r="AE1604" s="234"/>
      <c r="AF1604" s="234"/>
      <c r="AG1604" s="238"/>
      <c r="AH1604" s="239"/>
      <c r="AI1604" s="238"/>
      <c r="AJ1604" s="238"/>
      <c r="AK1604" s="234"/>
      <c r="AL1604" s="234"/>
      <c r="AM1604" s="234"/>
      <c r="AN1604" s="234"/>
      <c r="AO1604" s="234"/>
    </row>
    <row r="1605" ht="15.75" customHeight="1">
      <c r="A1605" s="91"/>
      <c r="B1605" s="91"/>
      <c r="C1605" s="220"/>
      <c r="D1605" s="91"/>
      <c r="E1605" s="221"/>
      <c r="F1605" s="91"/>
      <c r="G1605" s="91"/>
      <c r="H1605" s="242"/>
      <c r="I1605" s="91"/>
      <c r="J1605" s="234"/>
      <c r="K1605" s="243"/>
      <c r="L1605" s="243"/>
      <c r="M1605" s="234"/>
      <c r="N1605" s="235"/>
      <c r="O1605" s="236"/>
      <c r="P1605" s="236"/>
      <c r="Q1605" s="236"/>
      <c r="R1605" s="236"/>
      <c r="S1605" s="236"/>
      <c r="T1605" s="236"/>
      <c r="U1605" s="236"/>
      <c r="V1605" s="236"/>
      <c r="W1605" s="236"/>
      <c r="X1605" s="244"/>
      <c r="Y1605" s="244"/>
      <c r="Z1605" s="237"/>
      <c r="AA1605" s="244"/>
      <c r="AB1605" s="244"/>
      <c r="AC1605" s="244"/>
      <c r="AD1605" s="244"/>
      <c r="AE1605" s="234"/>
      <c r="AF1605" s="234"/>
      <c r="AG1605" s="238"/>
      <c r="AH1605" s="239"/>
      <c r="AI1605" s="238"/>
      <c r="AJ1605" s="238"/>
      <c r="AK1605" s="234"/>
      <c r="AL1605" s="234"/>
      <c r="AM1605" s="234"/>
      <c r="AN1605" s="234"/>
      <c r="AO1605" s="234"/>
    </row>
    <row r="1606" ht="15.75" customHeight="1">
      <c r="A1606" s="91"/>
      <c r="B1606" s="91"/>
      <c r="C1606" s="220"/>
      <c r="D1606" s="91"/>
      <c r="E1606" s="221"/>
      <c r="F1606" s="91"/>
      <c r="G1606" s="91"/>
      <c r="H1606" s="242"/>
      <c r="I1606" s="91"/>
      <c r="J1606" s="234"/>
      <c r="K1606" s="243"/>
      <c r="L1606" s="243"/>
      <c r="M1606" s="234"/>
      <c r="N1606" s="235"/>
      <c r="O1606" s="236"/>
      <c r="P1606" s="236"/>
      <c r="Q1606" s="236"/>
      <c r="R1606" s="236"/>
      <c r="S1606" s="236"/>
      <c r="T1606" s="236"/>
      <c r="U1606" s="236"/>
      <c r="V1606" s="236"/>
      <c r="W1606" s="236"/>
      <c r="X1606" s="244"/>
      <c r="Y1606" s="244"/>
      <c r="Z1606" s="237"/>
      <c r="AA1606" s="244"/>
      <c r="AB1606" s="244"/>
      <c r="AC1606" s="244"/>
      <c r="AD1606" s="244"/>
      <c r="AE1606" s="234"/>
      <c r="AF1606" s="234"/>
      <c r="AG1606" s="238"/>
      <c r="AH1606" s="239"/>
      <c r="AI1606" s="238"/>
      <c r="AJ1606" s="238"/>
      <c r="AK1606" s="234"/>
      <c r="AL1606" s="234"/>
      <c r="AM1606" s="234"/>
      <c r="AN1606" s="234"/>
      <c r="AO1606" s="234"/>
    </row>
    <row r="1607" ht="15.75" customHeight="1">
      <c r="A1607" s="91"/>
      <c r="B1607" s="91"/>
      <c r="C1607" s="220"/>
      <c r="D1607" s="91"/>
      <c r="E1607" s="221"/>
      <c r="F1607" s="91"/>
      <c r="G1607" s="91"/>
      <c r="H1607" s="242"/>
      <c r="I1607" s="91"/>
      <c r="J1607" s="234"/>
      <c r="K1607" s="243"/>
      <c r="L1607" s="243"/>
      <c r="M1607" s="234"/>
      <c r="N1607" s="235"/>
      <c r="O1607" s="236"/>
      <c r="P1607" s="236"/>
      <c r="Q1607" s="236"/>
      <c r="R1607" s="236"/>
      <c r="S1607" s="236"/>
      <c r="T1607" s="236"/>
      <c r="U1607" s="236"/>
      <c r="V1607" s="236"/>
      <c r="W1607" s="236"/>
      <c r="X1607" s="244"/>
      <c r="Y1607" s="244"/>
      <c r="Z1607" s="237"/>
      <c r="AA1607" s="244"/>
      <c r="AB1607" s="244"/>
      <c r="AC1607" s="244"/>
      <c r="AD1607" s="244"/>
      <c r="AE1607" s="234"/>
      <c r="AF1607" s="234"/>
      <c r="AG1607" s="238"/>
      <c r="AH1607" s="239"/>
      <c r="AI1607" s="238"/>
      <c r="AJ1607" s="238"/>
      <c r="AK1607" s="234"/>
      <c r="AL1607" s="234"/>
      <c r="AM1607" s="234"/>
      <c r="AN1607" s="234"/>
      <c r="AO1607" s="234"/>
    </row>
    <row r="1608" ht="15.75" customHeight="1">
      <c r="A1608" s="91"/>
      <c r="B1608" s="91"/>
      <c r="C1608" s="220"/>
      <c r="D1608" s="91"/>
      <c r="E1608" s="221"/>
      <c r="F1608" s="91"/>
      <c r="G1608" s="91"/>
      <c r="H1608" s="242"/>
      <c r="I1608" s="91"/>
      <c r="J1608" s="234"/>
      <c r="K1608" s="243"/>
      <c r="L1608" s="243"/>
      <c r="M1608" s="234"/>
      <c r="N1608" s="235"/>
      <c r="O1608" s="236"/>
      <c r="P1608" s="236"/>
      <c r="Q1608" s="236"/>
      <c r="R1608" s="236"/>
      <c r="S1608" s="236"/>
      <c r="T1608" s="236"/>
      <c r="U1608" s="236"/>
      <c r="V1608" s="236"/>
      <c r="W1608" s="236"/>
      <c r="X1608" s="244"/>
      <c r="Y1608" s="244"/>
      <c r="Z1608" s="237"/>
      <c r="AA1608" s="244"/>
      <c r="AB1608" s="244"/>
      <c r="AC1608" s="244"/>
      <c r="AD1608" s="244"/>
      <c r="AE1608" s="234"/>
      <c r="AF1608" s="234"/>
      <c r="AG1608" s="238"/>
      <c r="AH1608" s="239"/>
      <c r="AI1608" s="238"/>
      <c r="AJ1608" s="238"/>
      <c r="AK1608" s="234"/>
      <c r="AL1608" s="234"/>
      <c r="AM1608" s="234"/>
      <c r="AN1608" s="234"/>
      <c r="AO1608" s="234"/>
    </row>
    <row r="1609" ht="15.75" customHeight="1">
      <c r="A1609" s="91"/>
      <c r="B1609" s="91"/>
      <c r="C1609" s="220"/>
      <c r="D1609" s="91"/>
      <c r="E1609" s="221"/>
      <c r="F1609" s="91"/>
      <c r="G1609" s="91"/>
      <c r="H1609" s="242"/>
      <c r="I1609" s="91"/>
      <c r="J1609" s="234"/>
      <c r="K1609" s="243"/>
      <c r="L1609" s="243"/>
      <c r="M1609" s="234"/>
      <c r="N1609" s="235"/>
      <c r="O1609" s="236"/>
      <c r="P1609" s="236"/>
      <c r="Q1609" s="236"/>
      <c r="R1609" s="236"/>
      <c r="S1609" s="236"/>
      <c r="T1609" s="236"/>
      <c r="U1609" s="236"/>
      <c r="V1609" s="236"/>
      <c r="W1609" s="236"/>
      <c r="X1609" s="244"/>
      <c r="Y1609" s="244"/>
      <c r="Z1609" s="237"/>
      <c r="AA1609" s="244"/>
      <c r="AB1609" s="244"/>
      <c r="AC1609" s="244"/>
      <c r="AD1609" s="244"/>
      <c r="AE1609" s="234"/>
      <c r="AF1609" s="234"/>
      <c r="AG1609" s="238"/>
      <c r="AH1609" s="239"/>
      <c r="AI1609" s="238"/>
      <c r="AJ1609" s="238"/>
      <c r="AK1609" s="234"/>
      <c r="AL1609" s="234"/>
      <c r="AM1609" s="234"/>
      <c r="AN1609" s="234"/>
      <c r="AO1609" s="234"/>
    </row>
    <row r="1610" ht="15.75" customHeight="1">
      <c r="A1610" s="91"/>
      <c r="B1610" s="91"/>
      <c r="C1610" s="220"/>
      <c r="D1610" s="91"/>
      <c r="E1610" s="221"/>
      <c r="F1610" s="91"/>
      <c r="G1610" s="91"/>
      <c r="H1610" s="242"/>
      <c r="I1610" s="91"/>
      <c r="J1610" s="234"/>
      <c r="K1610" s="243"/>
      <c r="L1610" s="243"/>
      <c r="M1610" s="234"/>
      <c r="N1610" s="235"/>
      <c r="O1610" s="236"/>
      <c r="P1610" s="236"/>
      <c r="Q1610" s="236"/>
      <c r="R1610" s="236"/>
      <c r="S1610" s="236"/>
      <c r="T1610" s="236"/>
      <c r="U1610" s="236"/>
      <c r="V1610" s="236"/>
      <c r="W1610" s="236"/>
      <c r="X1610" s="244"/>
      <c r="Y1610" s="244"/>
      <c r="Z1610" s="237"/>
      <c r="AA1610" s="244"/>
      <c r="AB1610" s="244"/>
      <c r="AC1610" s="244"/>
      <c r="AD1610" s="244"/>
      <c r="AE1610" s="234"/>
      <c r="AF1610" s="234"/>
      <c r="AG1610" s="238"/>
      <c r="AH1610" s="239"/>
      <c r="AI1610" s="238"/>
      <c r="AJ1610" s="238"/>
      <c r="AK1610" s="234"/>
      <c r="AL1610" s="234"/>
      <c r="AM1610" s="234"/>
      <c r="AN1610" s="234"/>
      <c r="AO1610" s="234"/>
    </row>
    <row r="1611" ht="15.75" customHeight="1">
      <c r="A1611" s="91"/>
      <c r="B1611" s="91"/>
      <c r="C1611" s="220"/>
      <c r="D1611" s="91"/>
      <c r="E1611" s="221"/>
      <c r="F1611" s="91"/>
      <c r="G1611" s="91"/>
      <c r="H1611" s="242"/>
      <c r="I1611" s="91"/>
      <c r="J1611" s="234"/>
      <c r="K1611" s="243"/>
      <c r="L1611" s="243"/>
      <c r="M1611" s="234"/>
      <c r="N1611" s="235"/>
      <c r="O1611" s="236"/>
      <c r="P1611" s="236"/>
      <c r="Q1611" s="236"/>
      <c r="R1611" s="236"/>
      <c r="S1611" s="236"/>
      <c r="T1611" s="236"/>
      <c r="U1611" s="236"/>
      <c r="V1611" s="236"/>
      <c r="W1611" s="236"/>
      <c r="X1611" s="244"/>
      <c r="Y1611" s="244"/>
      <c r="Z1611" s="237"/>
      <c r="AA1611" s="244"/>
      <c r="AB1611" s="244"/>
      <c r="AC1611" s="244"/>
      <c r="AD1611" s="244"/>
      <c r="AE1611" s="234"/>
      <c r="AF1611" s="234"/>
      <c r="AG1611" s="238"/>
      <c r="AH1611" s="239"/>
      <c r="AI1611" s="238"/>
      <c r="AJ1611" s="238"/>
      <c r="AK1611" s="234"/>
      <c r="AL1611" s="234"/>
      <c r="AM1611" s="234"/>
      <c r="AN1611" s="234"/>
      <c r="AO1611" s="234"/>
    </row>
    <row r="1612" ht="15.75" customHeight="1">
      <c r="A1612" s="91"/>
      <c r="B1612" s="91"/>
      <c r="C1612" s="220"/>
      <c r="D1612" s="91"/>
      <c r="E1612" s="221"/>
      <c r="F1612" s="91"/>
      <c r="G1612" s="91"/>
      <c r="H1612" s="242"/>
      <c r="I1612" s="91"/>
      <c r="J1612" s="234"/>
      <c r="K1612" s="243"/>
      <c r="L1612" s="243"/>
      <c r="M1612" s="234"/>
      <c r="N1612" s="235"/>
      <c r="O1612" s="236"/>
      <c r="P1612" s="236"/>
      <c r="Q1612" s="236"/>
      <c r="R1612" s="236"/>
      <c r="S1612" s="236"/>
      <c r="T1612" s="236"/>
      <c r="U1612" s="236"/>
      <c r="V1612" s="236"/>
      <c r="W1612" s="236"/>
      <c r="X1612" s="244"/>
      <c r="Y1612" s="244"/>
      <c r="Z1612" s="237"/>
      <c r="AA1612" s="244"/>
      <c r="AB1612" s="244"/>
      <c r="AC1612" s="244"/>
      <c r="AD1612" s="244"/>
      <c r="AE1612" s="234"/>
      <c r="AF1612" s="234"/>
      <c r="AG1612" s="238"/>
      <c r="AH1612" s="239"/>
      <c r="AI1612" s="238"/>
      <c r="AJ1612" s="238"/>
      <c r="AK1612" s="234"/>
      <c r="AL1612" s="234"/>
      <c r="AM1612" s="234"/>
      <c r="AN1612" s="234"/>
      <c r="AO1612" s="234"/>
    </row>
    <row r="1613" ht="15.75" customHeight="1">
      <c r="A1613" s="91"/>
      <c r="B1613" s="91"/>
      <c r="C1613" s="220"/>
      <c r="D1613" s="91"/>
      <c r="E1613" s="221"/>
      <c r="F1613" s="91"/>
      <c r="G1613" s="91"/>
      <c r="H1613" s="242"/>
      <c r="I1613" s="91"/>
      <c r="J1613" s="234"/>
      <c r="K1613" s="243"/>
      <c r="L1613" s="243"/>
      <c r="M1613" s="234"/>
      <c r="N1613" s="235"/>
      <c r="O1613" s="236"/>
      <c r="P1613" s="236"/>
      <c r="Q1613" s="236"/>
      <c r="R1613" s="236"/>
      <c r="S1613" s="236"/>
      <c r="T1613" s="236"/>
      <c r="U1613" s="236"/>
      <c r="V1613" s="236"/>
      <c r="W1613" s="236"/>
      <c r="X1613" s="244"/>
      <c r="Y1613" s="244"/>
      <c r="Z1613" s="237"/>
      <c r="AA1613" s="244"/>
      <c r="AB1613" s="244"/>
      <c r="AC1613" s="244"/>
      <c r="AD1613" s="244"/>
      <c r="AE1613" s="234"/>
      <c r="AF1613" s="234"/>
      <c r="AG1613" s="238"/>
      <c r="AH1613" s="239"/>
      <c r="AI1613" s="238"/>
      <c r="AJ1613" s="238"/>
      <c r="AK1613" s="234"/>
      <c r="AL1613" s="234"/>
      <c r="AM1613" s="234"/>
      <c r="AN1613" s="234"/>
      <c r="AO1613" s="234"/>
    </row>
    <row r="1614" ht="15.75" customHeight="1">
      <c r="A1614" s="91"/>
      <c r="B1614" s="91"/>
      <c r="C1614" s="220"/>
      <c r="D1614" s="91"/>
      <c r="E1614" s="221"/>
      <c r="F1614" s="91"/>
      <c r="G1614" s="91"/>
      <c r="H1614" s="242"/>
      <c r="I1614" s="91"/>
      <c r="J1614" s="234"/>
      <c r="K1614" s="243"/>
      <c r="L1614" s="243"/>
      <c r="M1614" s="234"/>
      <c r="N1614" s="235"/>
      <c r="O1614" s="236"/>
      <c r="P1614" s="236"/>
      <c r="Q1614" s="236"/>
      <c r="R1614" s="236"/>
      <c r="S1614" s="236"/>
      <c r="T1614" s="236"/>
      <c r="U1614" s="236"/>
      <c r="V1614" s="236"/>
      <c r="W1614" s="236"/>
      <c r="X1614" s="244"/>
      <c r="Y1614" s="244"/>
      <c r="Z1614" s="237"/>
      <c r="AA1614" s="244"/>
      <c r="AB1614" s="244"/>
      <c r="AC1614" s="244"/>
      <c r="AD1614" s="244"/>
      <c r="AE1614" s="234"/>
      <c r="AF1614" s="234"/>
      <c r="AG1614" s="238"/>
      <c r="AH1614" s="239"/>
      <c r="AI1614" s="238"/>
      <c r="AJ1614" s="238"/>
      <c r="AK1614" s="234"/>
      <c r="AL1614" s="234"/>
      <c r="AM1614" s="234"/>
      <c r="AN1614" s="234"/>
      <c r="AO1614" s="234"/>
    </row>
    <row r="1615" ht="15.75" customHeight="1">
      <c r="A1615" s="91"/>
      <c r="B1615" s="91"/>
      <c r="C1615" s="220"/>
      <c r="D1615" s="91"/>
      <c r="E1615" s="221"/>
      <c r="F1615" s="91"/>
      <c r="G1615" s="91"/>
      <c r="H1615" s="242"/>
      <c r="I1615" s="91"/>
      <c r="J1615" s="234"/>
      <c r="K1615" s="243"/>
      <c r="L1615" s="243"/>
      <c r="M1615" s="234"/>
      <c r="N1615" s="235"/>
      <c r="O1615" s="236"/>
      <c r="P1615" s="236"/>
      <c r="Q1615" s="236"/>
      <c r="R1615" s="236"/>
      <c r="S1615" s="236"/>
      <c r="T1615" s="236"/>
      <c r="U1615" s="236"/>
      <c r="V1615" s="236"/>
      <c r="W1615" s="236"/>
      <c r="X1615" s="244"/>
      <c r="Y1615" s="244"/>
      <c r="Z1615" s="237"/>
      <c r="AA1615" s="244"/>
      <c r="AB1615" s="244"/>
      <c r="AC1615" s="244"/>
      <c r="AD1615" s="244"/>
      <c r="AE1615" s="234"/>
      <c r="AF1615" s="234"/>
      <c r="AG1615" s="238"/>
      <c r="AH1615" s="239"/>
      <c r="AI1615" s="238"/>
      <c r="AJ1615" s="238"/>
      <c r="AK1615" s="234"/>
      <c r="AL1615" s="234"/>
      <c r="AM1615" s="234"/>
      <c r="AN1615" s="234"/>
      <c r="AO1615" s="234"/>
    </row>
    <row r="1616" ht="15.75" customHeight="1">
      <c r="A1616" s="91"/>
      <c r="B1616" s="91"/>
      <c r="C1616" s="220"/>
      <c r="D1616" s="91"/>
      <c r="E1616" s="221"/>
      <c r="F1616" s="91"/>
      <c r="G1616" s="91"/>
      <c r="H1616" s="242"/>
      <c r="I1616" s="91"/>
      <c r="J1616" s="234"/>
      <c r="K1616" s="243"/>
      <c r="L1616" s="243"/>
      <c r="M1616" s="234"/>
      <c r="N1616" s="235"/>
      <c r="O1616" s="236"/>
      <c r="P1616" s="236"/>
      <c r="Q1616" s="236"/>
      <c r="R1616" s="236"/>
      <c r="S1616" s="236"/>
      <c r="T1616" s="236"/>
      <c r="U1616" s="236"/>
      <c r="V1616" s="236"/>
      <c r="W1616" s="236"/>
      <c r="X1616" s="244"/>
      <c r="Y1616" s="244"/>
      <c r="Z1616" s="237"/>
      <c r="AA1616" s="244"/>
      <c r="AB1616" s="244"/>
      <c r="AC1616" s="244"/>
      <c r="AD1616" s="244"/>
      <c r="AE1616" s="234"/>
      <c r="AF1616" s="234"/>
      <c r="AG1616" s="238"/>
      <c r="AH1616" s="239"/>
      <c r="AI1616" s="238"/>
      <c r="AJ1616" s="238"/>
      <c r="AK1616" s="234"/>
      <c r="AL1616" s="234"/>
      <c r="AM1616" s="234"/>
      <c r="AN1616" s="234"/>
      <c r="AO1616" s="234"/>
    </row>
    <row r="1617" ht="15.75" customHeight="1">
      <c r="A1617" s="91"/>
      <c r="B1617" s="91"/>
      <c r="C1617" s="220"/>
      <c r="D1617" s="91"/>
      <c r="E1617" s="221"/>
      <c r="F1617" s="91"/>
      <c r="G1617" s="91"/>
      <c r="H1617" s="242"/>
      <c r="I1617" s="91"/>
      <c r="J1617" s="234"/>
      <c r="K1617" s="243"/>
      <c r="L1617" s="243"/>
      <c r="M1617" s="234"/>
      <c r="N1617" s="235"/>
      <c r="O1617" s="236"/>
      <c r="P1617" s="236"/>
      <c r="Q1617" s="236"/>
      <c r="R1617" s="236"/>
      <c r="S1617" s="236"/>
      <c r="T1617" s="236"/>
      <c r="U1617" s="236"/>
      <c r="V1617" s="236"/>
      <c r="W1617" s="236"/>
      <c r="X1617" s="244"/>
      <c r="Y1617" s="244"/>
      <c r="Z1617" s="237"/>
      <c r="AA1617" s="244"/>
      <c r="AB1617" s="244"/>
      <c r="AC1617" s="244"/>
      <c r="AD1617" s="244"/>
      <c r="AE1617" s="234"/>
      <c r="AF1617" s="234"/>
      <c r="AG1617" s="238"/>
      <c r="AH1617" s="239"/>
      <c r="AI1617" s="238"/>
      <c r="AJ1617" s="238"/>
      <c r="AK1617" s="234"/>
      <c r="AL1617" s="234"/>
      <c r="AM1617" s="234"/>
      <c r="AN1617" s="234"/>
      <c r="AO1617" s="234"/>
    </row>
    <row r="1618" ht="15.75" customHeight="1">
      <c r="A1618" s="91"/>
      <c r="B1618" s="91"/>
      <c r="C1618" s="220"/>
      <c r="D1618" s="91"/>
      <c r="E1618" s="221"/>
      <c r="F1618" s="91"/>
      <c r="G1618" s="91"/>
      <c r="H1618" s="242"/>
      <c r="I1618" s="91"/>
      <c r="J1618" s="234"/>
      <c r="K1618" s="243"/>
      <c r="L1618" s="243"/>
      <c r="M1618" s="234"/>
      <c r="N1618" s="235"/>
      <c r="O1618" s="236"/>
      <c r="P1618" s="236"/>
      <c r="Q1618" s="236"/>
      <c r="R1618" s="236"/>
      <c r="S1618" s="236"/>
      <c r="T1618" s="236"/>
      <c r="U1618" s="236"/>
      <c r="V1618" s="236"/>
      <c r="W1618" s="236"/>
      <c r="X1618" s="244"/>
      <c r="Y1618" s="244"/>
      <c r="Z1618" s="237"/>
      <c r="AA1618" s="244"/>
      <c r="AB1618" s="244"/>
      <c r="AC1618" s="244"/>
      <c r="AD1618" s="244"/>
      <c r="AE1618" s="234"/>
      <c r="AF1618" s="234"/>
      <c r="AG1618" s="238"/>
      <c r="AH1618" s="239"/>
      <c r="AI1618" s="238"/>
      <c r="AJ1618" s="238"/>
      <c r="AK1618" s="234"/>
      <c r="AL1618" s="234"/>
      <c r="AM1618" s="234"/>
      <c r="AN1618" s="234"/>
      <c r="AO1618" s="234"/>
    </row>
    <row r="1619" ht="15.75" customHeight="1">
      <c r="A1619" s="91"/>
      <c r="B1619" s="91"/>
      <c r="C1619" s="220"/>
      <c r="D1619" s="91"/>
      <c r="E1619" s="221"/>
      <c r="F1619" s="91"/>
      <c r="G1619" s="91"/>
      <c r="H1619" s="242"/>
      <c r="I1619" s="91"/>
      <c r="J1619" s="234"/>
      <c r="K1619" s="243"/>
      <c r="L1619" s="243"/>
      <c r="M1619" s="234"/>
      <c r="N1619" s="235"/>
      <c r="O1619" s="236"/>
      <c r="P1619" s="236"/>
      <c r="Q1619" s="236"/>
      <c r="R1619" s="236"/>
      <c r="S1619" s="236"/>
      <c r="T1619" s="236"/>
      <c r="U1619" s="236"/>
      <c r="V1619" s="236"/>
      <c r="W1619" s="236"/>
      <c r="X1619" s="244"/>
      <c r="Y1619" s="244"/>
      <c r="Z1619" s="237"/>
      <c r="AA1619" s="244"/>
      <c r="AB1619" s="244"/>
      <c r="AC1619" s="244"/>
      <c r="AD1619" s="244"/>
      <c r="AE1619" s="234"/>
      <c r="AF1619" s="234"/>
      <c r="AG1619" s="238"/>
      <c r="AH1619" s="239"/>
      <c r="AI1619" s="238"/>
      <c r="AJ1619" s="238"/>
      <c r="AK1619" s="234"/>
      <c r="AL1619" s="234"/>
      <c r="AM1619" s="234"/>
      <c r="AN1619" s="234"/>
      <c r="AO1619" s="234"/>
    </row>
    <row r="1620" ht="15.75" customHeight="1">
      <c r="A1620" s="91"/>
      <c r="B1620" s="91"/>
      <c r="C1620" s="220"/>
      <c r="D1620" s="91"/>
      <c r="E1620" s="221"/>
      <c r="F1620" s="91"/>
      <c r="G1620" s="91"/>
      <c r="H1620" s="242"/>
      <c r="I1620" s="91"/>
      <c r="J1620" s="234"/>
      <c r="K1620" s="243"/>
      <c r="L1620" s="243"/>
      <c r="M1620" s="234"/>
      <c r="N1620" s="235"/>
      <c r="O1620" s="236"/>
      <c r="P1620" s="236"/>
      <c r="Q1620" s="236"/>
      <c r="R1620" s="236"/>
      <c r="S1620" s="236"/>
      <c r="T1620" s="236"/>
      <c r="U1620" s="236"/>
      <c r="V1620" s="236"/>
      <c r="W1620" s="236"/>
      <c r="X1620" s="244"/>
      <c r="Y1620" s="244"/>
      <c r="Z1620" s="237"/>
      <c r="AA1620" s="244"/>
      <c r="AB1620" s="244"/>
      <c r="AC1620" s="244"/>
      <c r="AD1620" s="244"/>
      <c r="AE1620" s="234"/>
      <c r="AF1620" s="234"/>
      <c r="AG1620" s="238"/>
      <c r="AH1620" s="239"/>
      <c r="AI1620" s="238"/>
      <c r="AJ1620" s="238"/>
      <c r="AK1620" s="234"/>
      <c r="AL1620" s="234"/>
      <c r="AM1620" s="234"/>
      <c r="AN1620" s="234"/>
      <c r="AO1620" s="234"/>
    </row>
    <row r="1621" ht="15.75" customHeight="1">
      <c r="A1621" s="91"/>
      <c r="B1621" s="91"/>
      <c r="C1621" s="220"/>
      <c r="D1621" s="91"/>
      <c r="E1621" s="221"/>
      <c r="F1621" s="91"/>
      <c r="G1621" s="91"/>
      <c r="H1621" s="242"/>
      <c r="I1621" s="91"/>
      <c r="J1621" s="234"/>
      <c r="K1621" s="243"/>
      <c r="L1621" s="243"/>
      <c r="M1621" s="234"/>
      <c r="N1621" s="235"/>
      <c r="O1621" s="236"/>
      <c r="P1621" s="236"/>
      <c r="Q1621" s="236"/>
      <c r="R1621" s="236"/>
      <c r="S1621" s="236"/>
      <c r="T1621" s="236"/>
      <c r="U1621" s="236"/>
      <c r="V1621" s="236"/>
      <c r="W1621" s="236"/>
      <c r="X1621" s="244"/>
      <c r="Y1621" s="244"/>
      <c r="Z1621" s="237"/>
      <c r="AA1621" s="244"/>
      <c r="AB1621" s="244"/>
      <c r="AC1621" s="244"/>
      <c r="AD1621" s="244"/>
      <c r="AE1621" s="234"/>
      <c r="AF1621" s="234"/>
      <c r="AG1621" s="238"/>
      <c r="AH1621" s="239"/>
      <c r="AI1621" s="238"/>
      <c r="AJ1621" s="238"/>
      <c r="AK1621" s="234"/>
      <c r="AL1621" s="234"/>
      <c r="AM1621" s="234"/>
      <c r="AN1621" s="234"/>
      <c r="AO1621" s="234"/>
    </row>
    <row r="1622" ht="15.75" customHeight="1">
      <c r="A1622" s="91"/>
      <c r="B1622" s="91"/>
      <c r="C1622" s="220"/>
      <c r="D1622" s="91"/>
      <c r="E1622" s="221"/>
      <c r="F1622" s="91"/>
      <c r="G1622" s="91"/>
      <c r="H1622" s="242"/>
      <c r="I1622" s="91"/>
      <c r="J1622" s="234"/>
      <c r="K1622" s="243"/>
      <c r="L1622" s="243"/>
      <c r="M1622" s="234"/>
      <c r="N1622" s="235"/>
      <c r="O1622" s="236"/>
      <c r="P1622" s="236"/>
      <c r="Q1622" s="236"/>
      <c r="R1622" s="236"/>
      <c r="S1622" s="236"/>
      <c r="T1622" s="236"/>
      <c r="U1622" s="236"/>
      <c r="V1622" s="236"/>
      <c r="W1622" s="236"/>
      <c r="X1622" s="244"/>
      <c r="Y1622" s="244"/>
      <c r="Z1622" s="237"/>
      <c r="AA1622" s="244"/>
      <c r="AB1622" s="244"/>
      <c r="AC1622" s="244"/>
      <c r="AD1622" s="244"/>
      <c r="AE1622" s="234"/>
      <c r="AF1622" s="234"/>
      <c r="AG1622" s="238"/>
      <c r="AH1622" s="239"/>
      <c r="AI1622" s="238"/>
      <c r="AJ1622" s="238"/>
      <c r="AK1622" s="234"/>
      <c r="AL1622" s="234"/>
      <c r="AM1622" s="234"/>
      <c r="AN1622" s="234"/>
      <c r="AO1622" s="234"/>
    </row>
    <row r="1623" ht="15.75" customHeight="1">
      <c r="A1623" s="91"/>
      <c r="B1623" s="91"/>
      <c r="C1623" s="220"/>
      <c r="D1623" s="91"/>
      <c r="E1623" s="221"/>
      <c r="F1623" s="91"/>
      <c r="G1623" s="91"/>
      <c r="H1623" s="242"/>
      <c r="I1623" s="91"/>
      <c r="J1623" s="234"/>
      <c r="K1623" s="243"/>
      <c r="L1623" s="243"/>
      <c r="M1623" s="234"/>
      <c r="N1623" s="235"/>
      <c r="O1623" s="236"/>
      <c r="P1623" s="236"/>
      <c r="Q1623" s="236"/>
      <c r="R1623" s="236"/>
      <c r="S1623" s="236"/>
      <c r="T1623" s="236"/>
      <c r="U1623" s="236"/>
      <c r="V1623" s="236"/>
      <c r="W1623" s="236"/>
      <c r="X1623" s="244"/>
      <c r="Y1623" s="244"/>
      <c r="Z1623" s="237"/>
      <c r="AA1623" s="244"/>
      <c r="AB1623" s="244"/>
      <c r="AC1623" s="244"/>
      <c r="AD1623" s="244"/>
      <c r="AE1623" s="234"/>
      <c r="AF1623" s="234"/>
      <c r="AG1623" s="238"/>
      <c r="AH1623" s="239"/>
      <c r="AI1623" s="238"/>
      <c r="AJ1623" s="238"/>
      <c r="AK1623" s="234"/>
      <c r="AL1623" s="234"/>
      <c r="AM1623" s="234"/>
      <c r="AN1623" s="234"/>
      <c r="AO1623" s="234"/>
    </row>
    <row r="1624" ht="15.75" customHeight="1">
      <c r="A1624" s="91"/>
      <c r="B1624" s="91"/>
      <c r="C1624" s="220"/>
      <c r="D1624" s="91"/>
      <c r="E1624" s="221"/>
      <c r="F1624" s="91"/>
      <c r="G1624" s="91"/>
      <c r="H1624" s="242"/>
      <c r="I1624" s="91"/>
      <c r="J1624" s="234"/>
      <c r="K1624" s="243"/>
      <c r="L1624" s="243"/>
      <c r="M1624" s="234"/>
      <c r="N1624" s="235"/>
      <c r="O1624" s="236"/>
      <c r="P1624" s="236"/>
      <c r="Q1624" s="236"/>
      <c r="R1624" s="236"/>
      <c r="S1624" s="236"/>
      <c r="T1624" s="236"/>
      <c r="U1624" s="236"/>
      <c r="V1624" s="236"/>
      <c r="W1624" s="236"/>
      <c r="X1624" s="244"/>
      <c r="Y1624" s="244"/>
      <c r="Z1624" s="237"/>
      <c r="AA1624" s="244"/>
      <c r="AB1624" s="244"/>
      <c r="AC1624" s="244"/>
      <c r="AD1624" s="244"/>
      <c r="AE1624" s="234"/>
      <c r="AF1624" s="234"/>
      <c r="AG1624" s="238"/>
      <c r="AH1624" s="239"/>
      <c r="AI1624" s="238"/>
      <c r="AJ1624" s="238"/>
      <c r="AK1624" s="234"/>
      <c r="AL1624" s="234"/>
      <c r="AM1624" s="234"/>
      <c r="AN1624" s="234"/>
      <c r="AO1624" s="234"/>
    </row>
    <row r="1625" ht="15.75" customHeight="1">
      <c r="A1625" s="91"/>
      <c r="B1625" s="91"/>
      <c r="C1625" s="220"/>
      <c r="D1625" s="91"/>
      <c r="E1625" s="221"/>
      <c r="F1625" s="91"/>
      <c r="G1625" s="91"/>
      <c r="H1625" s="242"/>
      <c r="I1625" s="91"/>
      <c r="J1625" s="234"/>
      <c r="K1625" s="243"/>
      <c r="L1625" s="243"/>
      <c r="M1625" s="234"/>
      <c r="N1625" s="235"/>
      <c r="O1625" s="236"/>
      <c r="P1625" s="236"/>
      <c r="Q1625" s="236"/>
      <c r="R1625" s="236"/>
      <c r="S1625" s="236"/>
      <c r="T1625" s="236"/>
      <c r="U1625" s="236"/>
      <c r="V1625" s="236"/>
      <c r="W1625" s="236"/>
      <c r="X1625" s="244"/>
      <c r="Y1625" s="244"/>
      <c r="Z1625" s="237"/>
      <c r="AA1625" s="244"/>
      <c r="AB1625" s="244"/>
      <c r="AC1625" s="244"/>
      <c r="AD1625" s="244"/>
      <c r="AE1625" s="234"/>
      <c r="AF1625" s="234"/>
      <c r="AG1625" s="238"/>
      <c r="AH1625" s="239"/>
      <c r="AI1625" s="238"/>
      <c r="AJ1625" s="238"/>
      <c r="AK1625" s="234"/>
      <c r="AL1625" s="234"/>
      <c r="AM1625" s="234"/>
      <c r="AN1625" s="234"/>
      <c r="AO1625" s="234"/>
    </row>
    <row r="1626" ht="15.75" customHeight="1">
      <c r="A1626" s="91"/>
      <c r="B1626" s="91"/>
      <c r="C1626" s="220"/>
      <c r="D1626" s="91"/>
      <c r="E1626" s="221"/>
      <c r="F1626" s="91"/>
      <c r="G1626" s="91"/>
      <c r="H1626" s="242"/>
      <c r="I1626" s="91"/>
      <c r="J1626" s="234"/>
      <c r="K1626" s="243"/>
      <c r="L1626" s="243"/>
      <c r="M1626" s="234"/>
      <c r="N1626" s="235"/>
      <c r="O1626" s="236"/>
      <c r="P1626" s="236"/>
      <c r="Q1626" s="236"/>
      <c r="R1626" s="236"/>
      <c r="S1626" s="236"/>
      <c r="T1626" s="236"/>
      <c r="U1626" s="236"/>
      <c r="V1626" s="236"/>
      <c r="W1626" s="236"/>
      <c r="X1626" s="244"/>
      <c r="Y1626" s="244"/>
      <c r="Z1626" s="237"/>
      <c r="AA1626" s="244"/>
      <c r="AB1626" s="244"/>
      <c r="AC1626" s="244"/>
      <c r="AD1626" s="244"/>
      <c r="AE1626" s="234"/>
      <c r="AF1626" s="234"/>
      <c r="AG1626" s="238"/>
      <c r="AH1626" s="239"/>
      <c r="AI1626" s="238"/>
      <c r="AJ1626" s="238"/>
      <c r="AK1626" s="234"/>
      <c r="AL1626" s="234"/>
      <c r="AM1626" s="234"/>
      <c r="AN1626" s="234"/>
      <c r="AO1626" s="234"/>
    </row>
    <row r="1627" ht="15.75" customHeight="1">
      <c r="A1627" s="91"/>
      <c r="B1627" s="91"/>
      <c r="C1627" s="220"/>
      <c r="D1627" s="91"/>
      <c r="E1627" s="221"/>
      <c r="F1627" s="91"/>
      <c r="G1627" s="91"/>
      <c r="H1627" s="242"/>
      <c r="I1627" s="91"/>
      <c r="J1627" s="234"/>
      <c r="K1627" s="243"/>
      <c r="L1627" s="243"/>
      <c r="M1627" s="234"/>
      <c r="N1627" s="235"/>
      <c r="O1627" s="236"/>
      <c r="P1627" s="236"/>
      <c r="Q1627" s="236"/>
      <c r="R1627" s="236"/>
      <c r="S1627" s="236"/>
      <c r="T1627" s="236"/>
      <c r="U1627" s="236"/>
      <c r="V1627" s="236"/>
      <c r="W1627" s="236"/>
      <c r="X1627" s="244"/>
      <c r="Y1627" s="244"/>
      <c r="Z1627" s="237"/>
      <c r="AA1627" s="244"/>
      <c r="AB1627" s="244"/>
      <c r="AC1627" s="244"/>
      <c r="AD1627" s="244"/>
      <c r="AE1627" s="234"/>
      <c r="AF1627" s="234"/>
      <c r="AG1627" s="238"/>
      <c r="AH1627" s="239"/>
      <c r="AI1627" s="238"/>
      <c r="AJ1627" s="238"/>
      <c r="AK1627" s="234"/>
      <c r="AL1627" s="234"/>
      <c r="AM1627" s="234"/>
      <c r="AN1627" s="234"/>
      <c r="AO1627" s="234"/>
    </row>
    <row r="1628" ht="15.75" customHeight="1">
      <c r="A1628" s="91"/>
      <c r="B1628" s="91"/>
      <c r="C1628" s="220"/>
      <c r="D1628" s="91"/>
      <c r="E1628" s="221"/>
      <c r="F1628" s="91"/>
      <c r="G1628" s="91"/>
      <c r="H1628" s="242"/>
      <c r="I1628" s="91"/>
      <c r="J1628" s="234"/>
      <c r="K1628" s="243"/>
      <c r="L1628" s="243"/>
      <c r="M1628" s="234"/>
      <c r="N1628" s="235"/>
      <c r="O1628" s="236"/>
      <c r="P1628" s="236"/>
      <c r="Q1628" s="236"/>
      <c r="R1628" s="236"/>
      <c r="S1628" s="236"/>
      <c r="T1628" s="236"/>
      <c r="U1628" s="236"/>
      <c r="V1628" s="236"/>
      <c r="W1628" s="236"/>
      <c r="X1628" s="244"/>
      <c r="Y1628" s="244"/>
      <c r="Z1628" s="237"/>
      <c r="AA1628" s="244"/>
      <c r="AB1628" s="244"/>
      <c r="AC1628" s="244"/>
      <c r="AD1628" s="244"/>
      <c r="AE1628" s="234"/>
      <c r="AF1628" s="234"/>
      <c r="AG1628" s="238"/>
      <c r="AH1628" s="239"/>
      <c r="AI1628" s="238"/>
      <c r="AJ1628" s="238"/>
      <c r="AK1628" s="234"/>
      <c r="AL1628" s="234"/>
      <c r="AM1628" s="234"/>
      <c r="AN1628" s="234"/>
      <c r="AO1628" s="234"/>
    </row>
    <row r="1629" ht="15.75" customHeight="1">
      <c r="A1629" s="91"/>
      <c r="B1629" s="91"/>
      <c r="C1629" s="220"/>
      <c r="D1629" s="91"/>
      <c r="E1629" s="221"/>
      <c r="F1629" s="91"/>
      <c r="G1629" s="91"/>
      <c r="H1629" s="242"/>
      <c r="I1629" s="91"/>
      <c r="J1629" s="234"/>
      <c r="K1629" s="243"/>
      <c r="L1629" s="243"/>
      <c r="M1629" s="234"/>
      <c r="N1629" s="235"/>
      <c r="O1629" s="236"/>
      <c r="P1629" s="236"/>
      <c r="Q1629" s="236"/>
      <c r="R1629" s="236"/>
      <c r="S1629" s="236"/>
      <c r="T1629" s="236"/>
      <c r="U1629" s="236"/>
      <c r="V1629" s="236"/>
      <c r="W1629" s="236"/>
      <c r="X1629" s="244"/>
      <c r="Y1629" s="244"/>
      <c r="Z1629" s="237"/>
      <c r="AA1629" s="244"/>
      <c r="AB1629" s="244"/>
      <c r="AC1629" s="244"/>
      <c r="AD1629" s="244"/>
      <c r="AE1629" s="234"/>
      <c r="AF1629" s="234"/>
      <c r="AG1629" s="238"/>
      <c r="AH1629" s="239"/>
      <c r="AI1629" s="238"/>
      <c r="AJ1629" s="238"/>
      <c r="AK1629" s="234"/>
      <c r="AL1629" s="234"/>
      <c r="AM1629" s="234"/>
      <c r="AN1629" s="234"/>
      <c r="AO1629" s="234"/>
    </row>
    <row r="1630" ht="15.75" customHeight="1">
      <c r="A1630" s="91"/>
      <c r="B1630" s="91"/>
      <c r="C1630" s="220"/>
      <c r="D1630" s="91"/>
      <c r="E1630" s="221"/>
      <c r="F1630" s="91"/>
      <c r="G1630" s="91"/>
      <c r="H1630" s="242"/>
      <c r="I1630" s="91"/>
      <c r="J1630" s="234"/>
      <c r="K1630" s="243"/>
      <c r="L1630" s="243"/>
      <c r="M1630" s="234"/>
      <c r="N1630" s="235"/>
      <c r="O1630" s="236"/>
      <c r="P1630" s="236"/>
      <c r="Q1630" s="236"/>
      <c r="R1630" s="236"/>
      <c r="S1630" s="236"/>
      <c r="T1630" s="236"/>
      <c r="U1630" s="236"/>
      <c r="V1630" s="236"/>
      <c r="W1630" s="236"/>
      <c r="X1630" s="244"/>
      <c r="Y1630" s="244"/>
      <c r="Z1630" s="237"/>
      <c r="AA1630" s="244"/>
      <c r="AB1630" s="244"/>
      <c r="AC1630" s="244"/>
      <c r="AD1630" s="244"/>
      <c r="AE1630" s="234"/>
      <c r="AF1630" s="234"/>
      <c r="AG1630" s="238"/>
      <c r="AH1630" s="239"/>
      <c r="AI1630" s="238"/>
      <c r="AJ1630" s="238"/>
      <c r="AK1630" s="234"/>
      <c r="AL1630" s="234"/>
      <c r="AM1630" s="234"/>
      <c r="AN1630" s="234"/>
      <c r="AO1630" s="234"/>
    </row>
    <row r="1631" ht="15.75" customHeight="1">
      <c r="A1631" s="91"/>
      <c r="B1631" s="91"/>
      <c r="C1631" s="220"/>
      <c r="D1631" s="91"/>
      <c r="E1631" s="221"/>
      <c r="F1631" s="91"/>
      <c r="G1631" s="91"/>
      <c r="H1631" s="242"/>
      <c r="I1631" s="91"/>
      <c r="J1631" s="234"/>
      <c r="K1631" s="243"/>
      <c r="L1631" s="243"/>
      <c r="M1631" s="234"/>
      <c r="N1631" s="235"/>
      <c r="O1631" s="236"/>
      <c r="P1631" s="236"/>
      <c r="Q1631" s="236"/>
      <c r="R1631" s="236"/>
      <c r="S1631" s="236"/>
      <c r="T1631" s="236"/>
      <c r="U1631" s="236"/>
      <c r="V1631" s="236"/>
      <c r="W1631" s="236"/>
      <c r="X1631" s="244"/>
      <c r="Y1631" s="244"/>
      <c r="Z1631" s="237"/>
      <c r="AA1631" s="244"/>
      <c r="AB1631" s="244"/>
      <c r="AC1631" s="244"/>
      <c r="AD1631" s="244"/>
      <c r="AE1631" s="234"/>
      <c r="AF1631" s="234"/>
      <c r="AG1631" s="238"/>
      <c r="AH1631" s="239"/>
      <c r="AI1631" s="238"/>
      <c r="AJ1631" s="238"/>
      <c r="AK1631" s="234"/>
      <c r="AL1631" s="234"/>
      <c r="AM1631" s="234"/>
      <c r="AN1631" s="234"/>
      <c r="AO1631" s="234"/>
    </row>
    <row r="1632" ht="15.75" customHeight="1">
      <c r="A1632" s="91"/>
      <c r="B1632" s="91"/>
      <c r="C1632" s="220"/>
      <c r="D1632" s="91"/>
      <c r="E1632" s="221"/>
      <c r="F1632" s="91"/>
      <c r="G1632" s="91"/>
      <c r="H1632" s="242"/>
      <c r="I1632" s="91"/>
      <c r="J1632" s="234"/>
      <c r="K1632" s="243"/>
      <c r="L1632" s="243"/>
      <c r="M1632" s="234"/>
      <c r="N1632" s="235"/>
      <c r="O1632" s="236"/>
      <c r="P1632" s="236"/>
      <c r="Q1632" s="236"/>
      <c r="R1632" s="236"/>
      <c r="S1632" s="236"/>
      <c r="T1632" s="236"/>
      <c r="U1632" s="236"/>
      <c r="V1632" s="236"/>
      <c r="W1632" s="236"/>
      <c r="X1632" s="244"/>
      <c r="Y1632" s="244"/>
      <c r="Z1632" s="237"/>
      <c r="AA1632" s="244"/>
      <c r="AB1632" s="244"/>
      <c r="AC1632" s="244"/>
      <c r="AD1632" s="244"/>
      <c r="AE1632" s="234"/>
      <c r="AF1632" s="234"/>
      <c r="AG1632" s="238"/>
      <c r="AH1632" s="239"/>
      <c r="AI1632" s="238"/>
      <c r="AJ1632" s="238"/>
      <c r="AK1632" s="234"/>
      <c r="AL1632" s="234"/>
      <c r="AM1632" s="234"/>
      <c r="AN1632" s="234"/>
      <c r="AO1632" s="234"/>
    </row>
    <row r="1633" ht="15.75" customHeight="1">
      <c r="A1633" s="91"/>
      <c r="B1633" s="91"/>
      <c r="C1633" s="220"/>
      <c r="D1633" s="91"/>
      <c r="E1633" s="221"/>
      <c r="F1633" s="91"/>
      <c r="G1633" s="91"/>
      <c r="H1633" s="242"/>
      <c r="I1633" s="91"/>
      <c r="J1633" s="234"/>
      <c r="K1633" s="243"/>
      <c r="L1633" s="243"/>
      <c r="M1633" s="234"/>
      <c r="N1633" s="235"/>
      <c r="O1633" s="236"/>
      <c r="P1633" s="236"/>
      <c r="Q1633" s="236"/>
      <c r="R1633" s="236"/>
      <c r="S1633" s="236"/>
      <c r="T1633" s="236"/>
      <c r="U1633" s="236"/>
      <c r="V1633" s="236"/>
      <c r="W1633" s="236"/>
      <c r="X1633" s="244"/>
      <c r="Y1633" s="244"/>
      <c r="Z1633" s="237"/>
      <c r="AA1633" s="244"/>
      <c r="AB1633" s="244"/>
      <c r="AC1633" s="244"/>
      <c r="AD1633" s="244"/>
      <c r="AE1633" s="234"/>
      <c r="AF1633" s="234"/>
      <c r="AG1633" s="238"/>
      <c r="AH1633" s="239"/>
      <c r="AI1633" s="238"/>
      <c r="AJ1633" s="238"/>
      <c r="AK1633" s="234"/>
      <c r="AL1633" s="234"/>
      <c r="AM1633" s="234"/>
      <c r="AN1633" s="234"/>
      <c r="AO1633" s="234"/>
    </row>
    <row r="1634" ht="15.75" customHeight="1">
      <c r="A1634" s="91"/>
      <c r="B1634" s="91"/>
      <c r="C1634" s="220"/>
      <c r="D1634" s="91"/>
      <c r="E1634" s="221"/>
      <c r="F1634" s="91"/>
      <c r="G1634" s="91"/>
      <c r="H1634" s="242"/>
      <c r="I1634" s="91"/>
      <c r="J1634" s="234"/>
      <c r="K1634" s="243"/>
      <c r="L1634" s="243"/>
      <c r="M1634" s="234"/>
      <c r="N1634" s="235"/>
      <c r="O1634" s="236"/>
      <c r="P1634" s="236"/>
      <c r="Q1634" s="236"/>
      <c r="R1634" s="236"/>
      <c r="S1634" s="236"/>
      <c r="T1634" s="236"/>
      <c r="U1634" s="236"/>
      <c r="V1634" s="236"/>
      <c r="W1634" s="236"/>
      <c r="X1634" s="244"/>
      <c r="Y1634" s="244"/>
      <c r="Z1634" s="237"/>
      <c r="AA1634" s="244"/>
      <c r="AB1634" s="244"/>
      <c r="AC1634" s="244"/>
      <c r="AD1634" s="244"/>
      <c r="AE1634" s="234"/>
      <c r="AF1634" s="234"/>
      <c r="AG1634" s="238"/>
      <c r="AH1634" s="239"/>
      <c r="AI1634" s="238"/>
      <c r="AJ1634" s="238"/>
      <c r="AK1634" s="234"/>
      <c r="AL1634" s="234"/>
      <c r="AM1634" s="234"/>
      <c r="AN1634" s="234"/>
      <c r="AO1634" s="234"/>
    </row>
    <row r="1635" ht="15.75" customHeight="1">
      <c r="A1635" s="91"/>
      <c r="B1635" s="91"/>
      <c r="C1635" s="220"/>
      <c r="D1635" s="91"/>
      <c r="E1635" s="221"/>
      <c r="F1635" s="91"/>
      <c r="G1635" s="91"/>
      <c r="H1635" s="242"/>
      <c r="I1635" s="91"/>
      <c r="J1635" s="234"/>
      <c r="K1635" s="243"/>
      <c r="L1635" s="243"/>
      <c r="M1635" s="234"/>
      <c r="N1635" s="235"/>
      <c r="O1635" s="236"/>
      <c r="P1635" s="236"/>
      <c r="Q1635" s="236"/>
      <c r="R1635" s="236"/>
      <c r="S1635" s="236"/>
      <c r="T1635" s="236"/>
      <c r="U1635" s="236"/>
      <c r="V1635" s="236"/>
      <c r="W1635" s="236"/>
      <c r="X1635" s="244"/>
      <c r="Y1635" s="244"/>
      <c r="Z1635" s="237"/>
      <c r="AA1635" s="244"/>
      <c r="AB1635" s="244"/>
      <c r="AC1635" s="244"/>
      <c r="AD1635" s="244"/>
      <c r="AE1635" s="234"/>
      <c r="AF1635" s="234"/>
      <c r="AG1635" s="238"/>
      <c r="AH1635" s="239"/>
      <c r="AI1635" s="238"/>
      <c r="AJ1635" s="238"/>
      <c r="AK1635" s="234"/>
      <c r="AL1635" s="234"/>
      <c r="AM1635" s="234"/>
      <c r="AN1635" s="234"/>
      <c r="AO1635" s="234"/>
    </row>
    <row r="1636" ht="15.75" customHeight="1">
      <c r="A1636" s="91"/>
      <c r="B1636" s="91"/>
      <c r="C1636" s="220"/>
      <c r="D1636" s="91"/>
      <c r="E1636" s="221"/>
      <c r="F1636" s="91"/>
      <c r="G1636" s="91"/>
      <c r="H1636" s="242"/>
      <c r="I1636" s="91"/>
      <c r="J1636" s="234"/>
      <c r="K1636" s="243"/>
      <c r="L1636" s="243"/>
      <c r="M1636" s="234"/>
      <c r="N1636" s="235"/>
      <c r="O1636" s="236"/>
      <c r="P1636" s="236"/>
      <c r="Q1636" s="236"/>
      <c r="R1636" s="236"/>
      <c r="S1636" s="236"/>
      <c r="T1636" s="236"/>
      <c r="U1636" s="236"/>
      <c r="V1636" s="236"/>
      <c r="W1636" s="236"/>
      <c r="X1636" s="244"/>
      <c r="Y1636" s="244"/>
      <c r="Z1636" s="237"/>
      <c r="AA1636" s="244"/>
      <c r="AB1636" s="244"/>
      <c r="AC1636" s="244"/>
      <c r="AD1636" s="244"/>
      <c r="AE1636" s="234"/>
      <c r="AF1636" s="234"/>
      <c r="AG1636" s="238"/>
      <c r="AH1636" s="239"/>
      <c r="AI1636" s="238"/>
      <c r="AJ1636" s="238"/>
      <c r="AK1636" s="234"/>
      <c r="AL1636" s="234"/>
      <c r="AM1636" s="234"/>
      <c r="AN1636" s="234"/>
      <c r="AO1636" s="234"/>
    </row>
    <row r="1637" ht="15.75" customHeight="1">
      <c r="A1637" s="91"/>
      <c r="B1637" s="91"/>
      <c r="C1637" s="220"/>
      <c r="D1637" s="91"/>
      <c r="E1637" s="221"/>
      <c r="F1637" s="91"/>
      <c r="G1637" s="91"/>
      <c r="H1637" s="242"/>
      <c r="I1637" s="91"/>
      <c r="J1637" s="234"/>
      <c r="K1637" s="243"/>
      <c r="L1637" s="243"/>
      <c r="M1637" s="234"/>
      <c r="N1637" s="235"/>
      <c r="O1637" s="236"/>
      <c r="P1637" s="236"/>
      <c r="Q1637" s="236"/>
      <c r="R1637" s="236"/>
      <c r="S1637" s="236"/>
      <c r="T1637" s="236"/>
      <c r="U1637" s="236"/>
      <c r="V1637" s="236"/>
      <c r="W1637" s="236"/>
      <c r="X1637" s="244"/>
      <c r="Y1637" s="244"/>
      <c r="Z1637" s="237"/>
      <c r="AA1637" s="244"/>
      <c r="AB1637" s="244"/>
      <c r="AC1637" s="244"/>
      <c r="AD1637" s="244"/>
      <c r="AE1637" s="234"/>
      <c r="AF1637" s="234"/>
      <c r="AG1637" s="238"/>
      <c r="AH1637" s="239"/>
      <c r="AI1637" s="238"/>
      <c r="AJ1637" s="238"/>
      <c r="AK1637" s="234"/>
      <c r="AL1637" s="234"/>
      <c r="AM1637" s="234"/>
      <c r="AN1637" s="234"/>
      <c r="AO1637" s="234"/>
    </row>
    <row r="1638" ht="15.75" customHeight="1">
      <c r="A1638" s="91"/>
      <c r="B1638" s="91"/>
      <c r="C1638" s="220"/>
      <c r="D1638" s="91"/>
      <c r="E1638" s="221"/>
      <c r="F1638" s="91"/>
      <c r="G1638" s="91"/>
      <c r="H1638" s="242"/>
      <c r="I1638" s="91"/>
      <c r="J1638" s="234"/>
      <c r="K1638" s="243"/>
      <c r="L1638" s="243"/>
      <c r="M1638" s="234"/>
      <c r="N1638" s="235"/>
      <c r="O1638" s="236"/>
      <c r="P1638" s="236"/>
      <c r="Q1638" s="236"/>
      <c r="R1638" s="236"/>
      <c r="S1638" s="236"/>
      <c r="T1638" s="236"/>
      <c r="U1638" s="236"/>
      <c r="V1638" s="236"/>
      <c r="W1638" s="236"/>
      <c r="X1638" s="244"/>
      <c r="Y1638" s="244"/>
      <c r="Z1638" s="237"/>
      <c r="AA1638" s="244"/>
      <c r="AB1638" s="244"/>
      <c r="AC1638" s="244"/>
      <c r="AD1638" s="244"/>
      <c r="AE1638" s="234"/>
      <c r="AF1638" s="234"/>
      <c r="AG1638" s="238"/>
      <c r="AH1638" s="239"/>
      <c r="AI1638" s="238"/>
      <c r="AJ1638" s="238"/>
      <c r="AK1638" s="234"/>
      <c r="AL1638" s="234"/>
      <c r="AM1638" s="234"/>
      <c r="AN1638" s="234"/>
      <c r="AO1638" s="234"/>
    </row>
    <row r="1639" ht="15.75" customHeight="1">
      <c r="A1639" s="91"/>
      <c r="B1639" s="91"/>
      <c r="C1639" s="220"/>
      <c r="D1639" s="91"/>
      <c r="E1639" s="221"/>
      <c r="F1639" s="91"/>
      <c r="G1639" s="91"/>
      <c r="H1639" s="242"/>
      <c r="I1639" s="91"/>
      <c r="J1639" s="234"/>
      <c r="K1639" s="243"/>
      <c r="L1639" s="243"/>
      <c r="M1639" s="234"/>
      <c r="N1639" s="235"/>
      <c r="O1639" s="236"/>
      <c r="P1639" s="236"/>
      <c r="Q1639" s="236"/>
      <c r="R1639" s="236"/>
      <c r="S1639" s="236"/>
      <c r="T1639" s="236"/>
      <c r="U1639" s="236"/>
      <c r="V1639" s="236"/>
      <c r="W1639" s="236"/>
      <c r="X1639" s="244"/>
      <c r="Y1639" s="244"/>
      <c r="Z1639" s="237"/>
      <c r="AA1639" s="244"/>
      <c r="AB1639" s="244"/>
      <c r="AC1639" s="244"/>
      <c r="AD1639" s="244"/>
      <c r="AE1639" s="234"/>
      <c r="AF1639" s="234"/>
      <c r="AG1639" s="238"/>
      <c r="AH1639" s="239"/>
      <c r="AI1639" s="238"/>
      <c r="AJ1639" s="238"/>
      <c r="AK1639" s="234"/>
      <c r="AL1639" s="234"/>
      <c r="AM1639" s="234"/>
      <c r="AN1639" s="234"/>
      <c r="AO1639" s="234"/>
    </row>
    <row r="1640" ht="15.75" customHeight="1">
      <c r="A1640" s="91"/>
      <c r="B1640" s="91"/>
      <c r="C1640" s="220"/>
      <c r="D1640" s="91"/>
      <c r="E1640" s="221"/>
      <c r="F1640" s="91"/>
      <c r="G1640" s="91"/>
      <c r="H1640" s="242"/>
      <c r="I1640" s="91"/>
      <c r="J1640" s="234"/>
      <c r="K1640" s="243"/>
      <c r="L1640" s="243"/>
      <c r="M1640" s="234"/>
      <c r="N1640" s="235"/>
      <c r="O1640" s="236"/>
      <c r="P1640" s="236"/>
      <c r="Q1640" s="236"/>
      <c r="R1640" s="236"/>
      <c r="S1640" s="236"/>
      <c r="T1640" s="236"/>
      <c r="U1640" s="236"/>
      <c r="V1640" s="236"/>
      <c r="W1640" s="236"/>
      <c r="X1640" s="244"/>
      <c r="Y1640" s="244"/>
      <c r="Z1640" s="237"/>
      <c r="AA1640" s="244"/>
      <c r="AB1640" s="244"/>
      <c r="AC1640" s="244"/>
      <c r="AD1640" s="244"/>
      <c r="AE1640" s="234"/>
      <c r="AF1640" s="234"/>
      <c r="AG1640" s="238"/>
      <c r="AH1640" s="239"/>
      <c r="AI1640" s="238"/>
      <c r="AJ1640" s="238"/>
      <c r="AK1640" s="234"/>
      <c r="AL1640" s="234"/>
      <c r="AM1640" s="234"/>
      <c r="AN1640" s="234"/>
      <c r="AO1640" s="234"/>
    </row>
    <row r="1641" ht="15.75" customHeight="1">
      <c r="A1641" s="91"/>
      <c r="B1641" s="91"/>
      <c r="C1641" s="220"/>
      <c r="D1641" s="91"/>
      <c r="E1641" s="221"/>
      <c r="F1641" s="91"/>
      <c r="G1641" s="91"/>
      <c r="H1641" s="242"/>
      <c r="I1641" s="91"/>
      <c r="J1641" s="234"/>
      <c r="K1641" s="243"/>
      <c r="L1641" s="243"/>
      <c r="M1641" s="234"/>
      <c r="N1641" s="235"/>
      <c r="O1641" s="236"/>
      <c r="P1641" s="236"/>
      <c r="Q1641" s="236"/>
      <c r="R1641" s="236"/>
      <c r="S1641" s="236"/>
      <c r="T1641" s="236"/>
      <c r="U1641" s="236"/>
      <c r="V1641" s="236"/>
      <c r="W1641" s="236"/>
      <c r="X1641" s="244"/>
      <c r="Y1641" s="244"/>
      <c r="Z1641" s="237"/>
      <c r="AA1641" s="244"/>
      <c r="AB1641" s="244"/>
      <c r="AC1641" s="244"/>
      <c r="AD1641" s="244"/>
      <c r="AE1641" s="234"/>
      <c r="AF1641" s="234"/>
      <c r="AG1641" s="238"/>
      <c r="AH1641" s="239"/>
      <c r="AI1641" s="238"/>
      <c r="AJ1641" s="238"/>
      <c r="AK1641" s="234"/>
      <c r="AL1641" s="234"/>
      <c r="AM1641" s="234"/>
      <c r="AN1641" s="234"/>
      <c r="AO1641" s="234"/>
    </row>
    <row r="1642" ht="15.75" customHeight="1">
      <c r="A1642" s="91"/>
      <c r="B1642" s="91"/>
      <c r="C1642" s="220"/>
      <c r="D1642" s="91"/>
      <c r="E1642" s="221"/>
      <c r="F1642" s="91"/>
      <c r="G1642" s="91"/>
      <c r="H1642" s="242"/>
      <c r="I1642" s="91"/>
      <c r="J1642" s="234"/>
      <c r="K1642" s="243"/>
      <c r="L1642" s="243"/>
      <c r="M1642" s="234"/>
      <c r="N1642" s="235"/>
      <c r="O1642" s="236"/>
      <c r="P1642" s="236"/>
      <c r="Q1642" s="236"/>
      <c r="R1642" s="236"/>
      <c r="S1642" s="236"/>
      <c r="T1642" s="236"/>
      <c r="U1642" s="236"/>
      <c r="V1642" s="236"/>
      <c r="W1642" s="236"/>
      <c r="X1642" s="244"/>
      <c r="Y1642" s="244"/>
      <c r="Z1642" s="237"/>
      <c r="AA1642" s="244"/>
      <c r="AB1642" s="244"/>
      <c r="AC1642" s="244"/>
      <c r="AD1642" s="244"/>
      <c r="AE1642" s="234"/>
      <c r="AF1642" s="234"/>
      <c r="AG1642" s="238"/>
      <c r="AH1642" s="239"/>
      <c r="AI1642" s="238"/>
      <c r="AJ1642" s="238"/>
      <c r="AK1642" s="234"/>
      <c r="AL1642" s="234"/>
      <c r="AM1642" s="234"/>
      <c r="AN1642" s="234"/>
      <c r="AO1642" s="234"/>
    </row>
    <row r="1643" ht="15.75" customHeight="1">
      <c r="A1643" s="91"/>
      <c r="B1643" s="91"/>
      <c r="C1643" s="220"/>
      <c r="D1643" s="91"/>
      <c r="E1643" s="221"/>
      <c r="F1643" s="91"/>
      <c r="G1643" s="91"/>
      <c r="H1643" s="242"/>
      <c r="I1643" s="91"/>
      <c r="J1643" s="234"/>
      <c r="K1643" s="243"/>
      <c r="L1643" s="243"/>
      <c r="M1643" s="234"/>
      <c r="N1643" s="235"/>
      <c r="O1643" s="236"/>
      <c r="P1643" s="236"/>
      <c r="Q1643" s="236"/>
      <c r="R1643" s="236"/>
      <c r="S1643" s="236"/>
      <c r="T1643" s="236"/>
      <c r="U1643" s="236"/>
      <c r="V1643" s="236"/>
      <c r="W1643" s="236"/>
      <c r="X1643" s="244"/>
      <c r="Y1643" s="244"/>
      <c r="Z1643" s="237"/>
      <c r="AA1643" s="244"/>
      <c r="AB1643" s="244"/>
      <c r="AC1643" s="244"/>
      <c r="AD1643" s="244"/>
      <c r="AE1643" s="234"/>
      <c r="AF1643" s="234"/>
      <c r="AG1643" s="238"/>
      <c r="AH1643" s="239"/>
      <c r="AI1643" s="238"/>
      <c r="AJ1643" s="238"/>
      <c r="AK1643" s="234"/>
      <c r="AL1643" s="234"/>
      <c r="AM1643" s="234"/>
      <c r="AN1643" s="234"/>
      <c r="AO1643" s="234"/>
    </row>
    <row r="1644" ht="15.75" customHeight="1">
      <c r="A1644" s="91"/>
      <c r="B1644" s="91"/>
      <c r="C1644" s="220"/>
      <c r="D1644" s="91"/>
      <c r="E1644" s="221"/>
      <c r="F1644" s="91"/>
      <c r="G1644" s="91"/>
      <c r="H1644" s="242"/>
      <c r="I1644" s="91"/>
      <c r="J1644" s="234"/>
      <c r="K1644" s="243"/>
      <c r="L1644" s="243"/>
      <c r="M1644" s="234"/>
      <c r="N1644" s="235"/>
      <c r="O1644" s="236"/>
      <c r="P1644" s="236"/>
      <c r="Q1644" s="236"/>
      <c r="R1644" s="236"/>
      <c r="S1644" s="236"/>
      <c r="T1644" s="236"/>
      <c r="U1644" s="236"/>
      <c r="V1644" s="236"/>
      <c r="W1644" s="236"/>
      <c r="X1644" s="244"/>
      <c r="Y1644" s="244"/>
      <c r="Z1644" s="237"/>
      <c r="AA1644" s="244"/>
      <c r="AB1644" s="244"/>
      <c r="AC1644" s="244"/>
      <c r="AD1644" s="244"/>
      <c r="AE1644" s="234"/>
      <c r="AF1644" s="234"/>
      <c r="AG1644" s="238"/>
      <c r="AH1644" s="239"/>
      <c r="AI1644" s="238"/>
      <c r="AJ1644" s="238"/>
      <c r="AK1644" s="234"/>
      <c r="AL1644" s="234"/>
      <c r="AM1644" s="234"/>
      <c r="AN1644" s="234"/>
      <c r="AO1644" s="234"/>
    </row>
    <row r="1645" ht="15.75" customHeight="1">
      <c r="A1645" s="91"/>
      <c r="B1645" s="91"/>
      <c r="C1645" s="220"/>
      <c r="D1645" s="91"/>
      <c r="E1645" s="221"/>
      <c r="F1645" s="91"/>
      <c r="G1645" s="91"/>
      <c r="H1645" s="242"/>
      <c r="I1645" s="91"/>
      <c r="J1645" s="234"/>
      <c r="K1645" s="243"/>
      <c r="L1645" s="243"/>
      <c r="M1645" s="234"/>
      <c r="N1645" s="235"/>
      <c r="O1645" s="236"/>
      <c r="P1645" s="236"/>
      <c r="Q1645" s="236"/>
      <c r="R1645" s="236"/>
      <c r="S1645" s="236"/>
      <c r="T1645" s="236"/>
      <c r="U1645" s="236"/>
      <c r="V1645" s="236"/>
      <c r="W1645" s="236"/>
      <c r="X1645" s="244"/>
      <c r="Y1645" s="244"/>
      <c r="Z1645" s="237"/>
      <c r="AA1645" s="244"/>
      <c r="AB1645" s="244"/>
      <c r="AC1645" s="244"/>
      <c r="AD1645" s="244"/>
      <c r="AE1645" s="234"/>
      <c r="AF1645" s="234"/>
      <c r="AG1645" s="238"/>
      <c r="AH1645" s="239"/>
      <c r="AI1645" s="238"/>
      <c r="AJ1645" s="238"/>
      <c r="AK1645" s="234"/>
      <c r="AL1645" s="234"/>
      <c r="AM1645" s="234"/>
      <c r="AN1645" s="234"/>
      <c r="AO1645" s="234"/>
    </row>
    <row r="1646" ht="15.75" customHeight="1">
      <c r="A1646" s="91"/>
      <c r="B1646" s="91"/>
      <c r="C1646" s="220"/>
      <c r="D1646" s="91"/>
      <c r="E1646" s="221"/>
      <c r="F1646" s="91"/>
      <c r="G1646" s="91"/>
      <c r="H1646" s="242"/>
      <c r="I1646" s="91"/>
      <c r="J1646" s="234"/>
      <c r="K1646" s="243"/>
      <c r="L1646" s="243"/>
      <c r="M1646" s="234"/>
      <c r="N1646" s="235"/>
      <c r="O1646" s="236"/>
      <c r="P1646" s="236"/>
      <c r="Q1646" s="236"/>
      <c r="R1646" s="236"/>
      <c r="S1646" s="236"/>
      <c r="T1646" s="236"/>
      <c r="U1646" s="236"/>
      <c r="V1646" s="236"/>
      <c r="W1646" s="236"/>
      <c r="X1646" s="244"/>
      <c r="Y1646" s="244"/>
      <c r="Z1646" s="237"/>
      <c r="AA1646" s="244"/>
      <c r="AB1646" s="244"/>
      <c r="AC1646" s="244"/>
      <c r="AD1646" s="244"/>
      <c r="AE1646" s="234"/>
      <c r="AF1646" s="234"/>
      <c r="AG1646" s="238"/>
      <c r="AH1646" s="239"/>
      <c r="AI1646" s="238"/>
      <c r="AJ1646" s="238"/>
      <c r="AK1646" s="234"/>
      <c r="AL1646" s="234"/>
      <c r="AM1646" s="234"/>
      <c r="AN1646" s="234"/>
      <c r="AO1646" s="234"/>
    </row>
    <row r="1647" ht="15.75" customHeight="1">
      <c r="A1647" s="91"/>
      <c r="B1647" s="91"/>
      <c r="C1647" s="220"/>
      <c r="D1647" s="91"/>
      <c r="E1647" s="221"/>
      <c r="F1647" s="91"/>
      <c r="G1647" s="91"/>
      <c r="H1647" s="242"/>
      <c r="I1647" s="91"/>
      <c r="J1647" s="234"/>
      <c r="K1647" s="243"/>
      <c r="L1647" s="243"/>
      <c r="M1647" s="234"/>
      <c r="N1647" s="235"/>
      <c r="O1647" s="236"/>
      <c r="P1647" s="236"/>
      <c r="Q1647" s="236"/>
      <c r="R1647" s="236"/>
      <c r="S1647" s="236"/>
      <c r="T1647" s="236"/>
      <c r="U1647" s="236"/>
      <c r="V1647" s="236"/>
      <c r="W1647" s="236"/>
      <c r="X1647" s="244"/>
      <c r="Y1647" s="244"/>
      <c r="Z1647" s="237"/>
      <c r="AA1647" s="244"/>
      <c r="AB1647" s="244"/>
      <c r="AC1647" s="244"/>
      <c r="AD1647" s="244"/>
      <c r="AE1647" s="234"/>
      <c r="AF1647" s="234"/>
      <c r="AG1647" s="238"/>
      <c r="AH1647" s="239"/>
      <c r="AI1647" s="238"/>
      <c r="AJ1647" s="238"/>
      <c r="AK1647" s="234"/>
      <c r="AL1647" s="234"/>
      <c r="AM1647" s="234"/>
      <c r="AN1647" s="234"/>
      <c r="AO1647" s="234"/>
    </row>
    <row r="1648" ht="15.75" customHeight="1">
      <c r="A1648" s="91"/>
      <c r="B1648" s="91"/>
      <c r="C1648" s="220"/>
      <c r="D1648" s="91"/>
      <c r="E1648" s="221"/>
      <c r="F1648" s="91"/>
      <c r="G1648" s="91"/>
      <c r="H1648" s="242"/>
      <c r="I1648" s="91"/>
      <c r="J1648" s="234"/>
      <c r="K1648" s="243"/>
      <c r="L1648" s="243"/>
      <c r="M1648" s="234"/>
      <c r="N1648" s="235"/>
      <c r="O1648" s="236"/>
      <c r="P1648" s="236"/>
      <c r="Q1648" s="236"/>
      <c r="R1648" s="236"/>
      <c r="S1648" s="236"/>
      <c r="T1648" s="236"/>
      <c r="U1648" s="236"/>
      <c r="V1648" s="236"/>
      <c r="W1648" s="236"/>
      <c r="X1648" s="244"/>
      <c r="Y1648" s="244"/>
      <c r="Z1648" s="237"/>
      <c r="AA1648" s="244"/>
      <c r="AB1648" s="244"/>
      <c r="AC1648" s="244"/>
      <c r="AD1648" s="244"/>
      <c r="AE1648" s="234"/>
      <c r="AF1648" s="234"/>
      <c r="AG1648" s="238"/>
      <c r="AH1648" s="239"/>
      <c r="AI1648" s="238"/>
      <c r="AJ1648" s="238"/>
      <c r="AK1648" s="234"/>
      <c r="AL1648" s="234"/>
      <c r="AM1648" s="234"/>
      <c r="AN1648" s="234"/>
      <c r="AO1648" s="234"/>
    </row>
    <row r="1649" ht="15.75" customHeight="1">
      <c r="A1649" s="91"/>
      <c r="B1649" s="91"/>
      <c r="C1649" s="220"/>
      <c r="D1649" s="91"/>
      <c r="E1649" s="221"/>
      <c r="F1649" s="91"/>
      <c r="G1649" s="91"/>
      <c r="H1649" s="242"/>
      <c r="I1649" s="91"/>
      <c r="J1649" s="234"/>
      <c r="K1649" s="243"/>
      <c r="L1649" s="243"/>
      <c r="M1649" s="234"/>
      <c r="N1649" s="235"/>
      <c r="O1649" s="236"/>
      <c r="P1649" s="236"/>
      <c r="Q1649" s="236"/>
      <c r="R1649" s="236"/>
      <c r="S1649" s="236"/>
      <c r="T1649" s="236"/>
      <c r="U1649" s="236"/>
      <c r="V1649" s="236"/>
      <c r="W1649" s="236"/>
      <c r="X1649" s="244"/>
      <c r="Y1649" s="244"/>
      <c r="Z1649" s="237"/>
      <c r="AA1649" s="244"/>
      <c r="AB1649" s="244"/>
      <c r="AC1649" s="244"/>
      <c r="AD1649" s="244"/>
      <c r="AE1649" s="234"/>
      <c r="AF1649" s="234"/>
      <c r="AG1649" s="238"/>
      <c r="AH1649" s="239"/>
      <c r="AI1649" s="238"/>
      <c r="AJ1649" s="238"/>
      <c r="AK1649" s="234"/>
      <c r="AL1649" s="234"/>
      <c r="AM1649" s="234"/>
      <c r="AN1649" s="234"/>
      <c r="AO1649" s="234"/>
    </row>
    <row r="1650" ht="15.75" customHeight="1">
      <c r="A1650" s="91"/>
      <c r="B1650" s="91"/>
      <c r="C1650" s="220"/>
      <c r="D1650" s="91"/>
      <c r="E1650" s="221"/>
      <c r="F1650" s="91"/>
      <c r="G1650" s="91"/>
      <c r="H1650" s="242"/>
      <c r="I1650" s="91"/>
      <c r="J1650" s="234"/>
      <c r="K1650" s="243"/>
      <c r="L1650" s="243"/>
      <c r="M1650" s="234"/>
      <c r="N1650" s="235"/>
      <c r="O1650" s="236"/>
      <c r="P1650" s="236"/>
      <c r="Q1650" s="236"/>
      <c r="R1650" s="236"/>
      <c r="S1650" s="236"/>
      <c r="T1650" s="236"/>
      <c r="U1650" s="236"/>
      <c r="V1650" s="236"/>
      <c r="W1650" s="236"/>
      <c r="X1650" s="244"/>
      <c r="Y1650" s="244"/>
      <c r="Z1650" s="237"/>
      <c r="AA1650" s="244"/>
      <c r="AB1650" s="244"/>
      <c r="AC1650" s="244"/>
      <c r="AD1650" s="244"/>
      <c r="AE1650" s="234"/>
      <c r="AF1650" s="234"/>
      <c r="AG1650" s="238"/>
      <c r="AH1650" s="239"/>
      <c r="AI1650" s="238"/>
      <c r="AJ1650" s="238"/>
      <c r="AK1650" s="234"/>
      <c r="AL1650" s="234"/>
      <c r="AM1650" s="234"/>
      <c r="AN1650" s="234"/>
      <c r="AO1650" s="234"/>
    </row>
    <row r="1651" ht="15.75" customHeight="1">
      <c r="A1651" s="91"/>
      <c r="B1651" s="91"/>
      <c r="C1651" s="220"/>
      <c r="D1651" s="91"/>
      <c r="E1651" s="221"/>
      <c r="F1651" s="91"/>
      <c r="G1651" s="91"/>
      <c r="H1651" s="242"/>
      <c r="I1651" s="91"/>
      <c r="J1651" s="234"/>
      <c r="K1651" s="243"/>
      <c r="L1651" s="243"/>
      <c r="M1651" s="234"/>
      <c r="N1651" s="235"/>
      <c r="O1651" s="236"/>
      <c r="P1651" s="236"/>
      <c r="Q1651" s="236"/>
      <c r="R1651" s="236"/>
      <c r="S1651" s="236"/>
      <c r="T1651" s="236"/>
      <c r="U1651" s="236"/>
      <c r="V1651" s="236"/>
      <c r="W1651" s="236"/>
      <c r="X1651" s="244"/>
      <c r="Y1651" s="244"/>
      <c r="Z1651" s="237"/>
      <c r="AA1651" s="244"/>
      <c r="AB1651" s="244"/>
      <c r="AC1651" s="244"/>
      <c r="AD1651" s="244"/>
      <c r="AE1651" s="234"/>
      <c r="AF1651" s="234"/>
      <c r="AG1651" s="238"/>
      <c r="AH1651" s="239"/>
      <c r="AI1651" s="238"/>
      <c r="AJ1651" s="238"/>
      <c r="AK1651" s="234"/>
      <c r="AL1651" s="234"/>
      <c r="AM1651" s="234"/>
      <c r="AN1651" s="234"/>
      <c r="AO1651" s="234"/>
    </row>
    <row r="1652" ht="15.75" customHeight="1">
      <c r="A1652" s="91"/>
      <c r="B1652" s="91"/>
      <c r="C1652" s="220"/>
      <c r="D1652" s="91"/>
      <c r="E1652" s="221"/>
      <c r="F1652" s="91"/>
      <c r="G1652" s="91"/>
      <c r="H1652" s="242"/>
      <c r="I1652" s="91"/>
      <c r="J1652" s="234"/>
      <c r="K1652" s="243"/>
      <c r="L1652" s="243"/>
      <c r="M1652" s="234"/>
      <c r="N1652" s="235"/>
      <c r="O1652" s="236"/>
      <c r="P1652" s="236"/>
      <c r="Q1652" s="236"/>
      <c r="R1652" s="236"/>
      <c r="S1652" s="236"/>
      <c r="T1652" s="236"/>
      <c r="U1652" s="236"/>
      <c r="V1652" s="236"/>
      <c r="W1652" s="236"/>
      <c r="X1652" s="244"/>
      <c r="Y1652" s="244"/>
      <c r="Z1652" s="237"/>
      <c r="AA1652" s="244"/>
      <c r="AB1652" s="244"/>
      <c r="AC1652" s="244"/>
      <c r="AD1652" s="244"/>
      <c r="AE1652" s="234"/>
      <c r="AF1652" s="234"/>
      <c r="AG1652" s="238"/>
      <c r="AH1652" s="239"/>
      <c r="AI1652" s="238"/>
      <c r="AJ1652" s="238"/>
      <c r="AK1652" s="234"/>
      <c r="AL1652" s="234"/>
      <c r="AM1652" s="234"/>
      <c r="AN1652" s="234"/>
      <c r="AO1652" s="234"/>
    </row>
    <row r="1653" ht="15.75" customHeight="1">
      <c r="A1653" s="91"/>
      <c r="B1653" s="91"/>
      <c r="C1653" s="220"/>
      <c r="D1653" s="91"/>
      <c r="E1653" s="221"/>
      <c r="F1653" s="91"/>
      <c r="G1653" s="91"/>
      <c r="H1653" s="242"/>
      <c r="I1653" s="91"/>
      <c r="J1653" s="234"/>
      <c r="K1653" s="243"/>
      <c r="L1653" s="243"/>
      <c r="M1653" s="234"/>
      <c r="N1653" s="235"/>
      <c r="O1653" s="236"/>
      <c r="P1653" s="236"/>
      <c r="Q1653" s="236"/>
      <c r="R1653" s="236"/>
      <c r="S1653" s="236"/>
      <c r="T1653" s="236"/>
      <c r="U1653" s="236"/>
      <c r="V1653" s="236"/>
      <c r="W1653" s="236"/>
      <c r="X1653" s="244"/>
      <c r="Y1653" s="244"/>
      <c r="Z1653" s="237"/>
      <c r="AA1653" s="244"/>
      <c r="AB1653" s="244"/>
      <c r="AC1653" s="244"/>
      <c r="AD1653" s="244"/>
      <c r="AE1653" s="234"/>
      <c r="AF1653" s="234"/>
      <c r="AG1653" s="238"/>
      <c r="AH1653" s="239"/>
      <c r="AI1653" s="238"/>
      <c r="AJ1653" s="238"/>
      <c r="AK1653" s="234"/>
      <c r="AL1653" s="234"/>
      <c r="AM1653" s="234"/>
      <c r="AN1653" s="234"/>
      <c r="AO1653" s="234"/>
    </row>
    <row r="1654" ht="15.75" customHeight="1">
      <c r="A1654" s="91"/>
      <c r="B1654" s="91"/>
      <c r="C1654" s="220"/>
      <c r="D1654" s="91"/>
      <c r="E1654" s="221"/>
      <c r="F1654" s="91"/>
      <c r="G1654" s="91"/>
      <c r="H1654" s="242"/>
      <c r="I1654" s="91"/>
      <c r="J1654" s="234"/>
      <c r="K1654" s="243"/>
      <c r="L1654" s="243"/>
      <c r="M1654" s="234"/>
      <c r="N1654" s="235"/>
      <c r="O1654" s="236"/>
      <c r="P1654" s="236"/>
      <c r="Q1654" s="236"/>
      <c r="R1654" s="236"/>
      <c r="S1654" s="236"/>
      <c r="T1654" s="236"/>
      <c r="U1654" s="236"/>
      <c r="V1654" s="236"/>
      <c r="W1654" s="236"/>
      <c r="X1654" s="244"/>
      <c r="Y1654" s="244"/>
      <c r="Z1654" s="237"/>
      <c r="AA1654" s="244"/>
      <c r="AB1654" s="244"/>
      <c r="AC1654" s="244"/>
      <c r="AD1654" s="244"/>
      <c r="AE1654" s="234"/>
      <c r="AF1654" s="234"/>
      <c r="AG1654" s="238"/>
      <c r="AH1654" s="239"/>
      <c r="AI1654" s="238"/>
      <c r="AJ1654" s="238"/>
      <c r="AK1654" s="234"/>
      <c r="AL1654" s="234"/>
      <c r="AM1654" s="234"/>
      <c r="AN1654" s="234"/>
      <c r="AO1654" s="234"/>
    </row>
    <row r="1655" ht="15.75" customHeight="1">
      <c r="A1655" s="91"/>
      <c r="B1655" s="91"/>
      <c r="C1655" s="220"/>
      <c r="D1655" s="91"/>
      <c r="E1655" s="221"/>
      <c r="F1655" s="91"/>
      <c r="G1655" s="91"/>
      <c r="H1655" s="242"/>
      <c r="I1655" s="91"/>
      <c r="J1655" s="234"/>
      <c r="K1655" s="243"/>
      <c r="L1655" s="243"/>
      <c r="M1655" s="234"/>
      <c r="N1655" s="235"/>
      <c r="O1655" s="236"/>
      <c r="P1655" s="236"/>
      <c r="Q1655" s="236"/>
      <c r="R1655" s="236"/>
      <c r="S1655" s="236"/>
      <c r="T1655" s="236"/>
      <c r="U1655" s="236"/>
      <c r="V1655" s="236"/>
      <c r="W1655" s="236"/>
      <c r="X1655" s="244"/>
      <c r="Y1655" s="244"/>
      <c r="Z1655" s="237"/>
      <c r="AA1655" s="244"/>
      <c r="AB1655" s="244"/>
      <c r="AC1655" s="244"/>
      <c r="AD1655" s="244"/>
      <c r="AE1655" s="234"/>
      <c r="AF1655" s="234"/>
      <c r="AG1655" s="238"/>
      <c r="AH1655" s="239"/>
      <c r="AI1655" s="238"/>
      <c r="AJ1655" s="238"/>
      <c r="AK1655" s="234"/>
      <c r="AL1655" s="234"/>
      <c r="AM1655" s="234"/>
      <c r="AN1655" s="234"/>
      <c r="AO1655" s="234"/>
    </row>
    <row r="1656" ht="15.75" customHeight="1">
      <c r="A1656" s="91"/>
      <c r="B1656" s="91"/>
      <c r="C1656" s="220"/>
      <c r="D1656" s="91"/>
      <c r="E1656" s="221"/>
      <c r="F1656" s="91"/>
      <c r="G1656" s="91"/>
      <c r="H1656" s="242"/>
      <c r="I1656" s="91"/>
      <c r="J1656" s="234"/>
      <c r="K1656" s="243"/>
      <c r="L1656" s="243"/>
      <c r="M1656" s="234"/>
      <c r="N1656" s="235"/>
      <c r="O1656" s="236"/>
      <c r="P1656" s="236"/>
      <c r="Q1656" s="236"/>
      <c r="R1656" s="236"/>
      <c r="S1656" s="236"/>
      <c r="T1656" s="236"/>
      <c r="U1656" s="236"/>
      <c r="V1656" s="236"/>
      <c r="W1656" s="236"/>
      <c r="X1656" s="244"/>
      <c r="Y1656" s="244"/>
      <c r="Z1656" s="237"/>
      <c r="AA1656" s="244"/>
      <c r="AB1656" s="244"/>
      <c r="AC1656" s="244"/>
      <c r="AD1656" s="244"/>
      <c r="AE1656" s="234"/>
      <c r="AF1656" s="234"/>
      <c r="AG1656" s="238"/>
      <c r="AH1656" s="239"/>
      <c r="AI1656" s="238"/>
      <c r="AJ1656" s="238"/>
      <c r="AK1656" s="234"/>
      <c r="AL1656" s="234"/>
      <c r="AM1656" s="234"/>
      <c r="AN1656" s="234"/>
      <c r="AO1656" s="234"/>
    </row>
    <row r="1657" ht="15.75" customHeight="1">
      <c r="A1657" s="91"/>
      <c r="B1657" s="91"/>
      <c r="C1657" s="220"/>
      <c r="D1657" s="91"/>
      <c r="E1657" s="221"/>
      <c r="F1657" s="91"/>
      <c r="G1657" s="91"/>
      <c r="H1657" s="242"/>
      <c r="I1657" s="91"/>
      <c r="J1657" s="234"/>
      <c r="K1657" s="243"/>
      <c r="L1657" s="243"/>
      <c r="M1657" s="234"/>
      <c r="N1657" s="235"/>
      <c r="O1657" s="236"/>
      <c r="P1657" s="236"/>
      <c r="Q1657" s="236"/>
      <c r="R1657" s="236"/>
      <c r="S1657" s="236"/>
      <c r="T1657" s="236"/>
      <c r="U1657" s="236"/>
      <c r="V1657" s="236"/>
      <c r="W1657" s="236"/>
      <c r="X1657" s="244"/>
      <c r="Y1657" s="244"/>
      <c r="Z1657" s="237"/>
      <c r="AA1657" s="244"/>
      <c r="AB1657" s="244"/>
      <c r="AC1657" s="244"/>
      <c r="AD1657" s="244"/>
      <c r="AE1657" s="234"/>
      <c r="AF1657" s="234"/>
      <c r="AG1657" s="238"/>
      <c r="AH1657" s="239"/>
      <c r="AI1657" s="238"/>
      <c r="AJ1657" s="238"/>
      <c r="AK1657" s="234"/>
      <c r="AL1657" s="234"/>
      <c r="AM1657" s="234"/>
      <c r="AN1657" s="234"/>
      <c r="AO1657" s="234"/>
    </row>
    <row r="1658" ht="15.75" customHeight="1">
      <c r="A1658" s="91"/>
      <c r="B1658" s="91"/>
      <c r="C1658" s="220"/>
      <c r="D1658" s="91"/>
      <c r="E1658" s="221"/>
      <c r="F1658" s="91"/>
      <c r="G1658" s="91"/>
      <c r="H1658" s="242"/>
      <c r="I1658" s="91"/>
      <c r="J1658" s="234"/>
      <c r="K1658" s="243"/>
      <c r="L1658" s="243"/>
      <c r="M1658" s="234"/>
      <c r="N1658" s="235"/>
      <c r="O1658" s="236"/>
      <c r="P1658" s="236"/>
      <c r="Q1658" s="236"/>
      <c r="R1658" s="236"/>
      <c r="S1658" s="236"/>
      <c r="T1658" s="236"/>
      <c r="U1658" s="236"/>
      <c r="V1658" s="236"/>
      <c r="W1658" s="236"/>
      <c r="X1658" s="244"/>
      <c r="Y1658" s="244"/>
      <c r="Z1658" s="237"/>
      <c r="AA1658" s="244"/>
      <c r="AB1658" s="244"/>
      <c r="AC1658" s="244"/>
      <c r="AD1658" s="244"/>
      <c r="AE1658" s="234"/>
      <c r="AF1658" s="234"/>
      <c r="AG1658" s="238"/>
      <c r="AH1658" s="239"/>
      <c r="AI1658" s="238"/>
      <c r="AJ1658" s="238"/>
      <c r="AK1658" s="234"/>
      <c r="AL1658" s="234"/>
      <c r="AM1658" s="234"/>
      <c r="AN1658" s="234"/>
      <c r="AO1658" s="234"/>
    </row>
    <row r="1659" ht="15.75" customHeight="1">
      <c r="A1659" s="91"/>
      <c r="B1659" s="91"/>
      <c r="C1659" s="220"/>
      <c r="D1659" s="91"/>
      <c r="E1659" s="221"/>
      <c r="F1659" s="91"/>
      <c r="G1659" s="91"/>
      <c r="H1659" s="242"/>
      <c r="I1659" s="91"/>
      <c r="J1659" s="234"/>
      <c r="K1659" s="243"/>
      <c r="L1659" s="243"/>
      <c r="M1659" s="234"/>
      <c r="N1659" s="235"/>
      <c r="O1659" s="236"/>
      <c r="P1659" s="236"/>
      <c r="Q1659" s="236"/>
      <c r="R1659" s="236"/>
      <c r="S1659" s="236"/>
      <c r="T1659" s="236"/>
      <c r="U1659" s="236"/>
      <c r="V1659" s="236"/>
      <c r="W1659" s="236"/>
      <c r="X1659" s="244"/>
      <c r="Y1659" s="244"/>
      <c r="Z1659" s="237"/>
      <c r="AA1659" s="244"/>
      <c r="AB1659" s="244"/>
      <c r="AC1659" s="244"/>
      <c r="AD1659" s="244"/>
      <c r="AE1659" s="234"/>
      <c r="AF1659" s="234"/>
      <c r="AG1659" s="238"/>
      <c r="AH1659" s="239"/>
      <c r="AI1659" s="238"/>
      <c r="AJ1659" s="238"/>
      <c r="AK1659" s="234"/>
      <c r="AL1659" s="234"/>
      <c r="AM1659" s="234"/>
      <c r="AN1659" s="234"/>
      <c r="AO1659" s="234"/>
    </row>
    <row r="1660" ht="15.75" customHeight="1">
      <c r="A1660" s="91"/>
      <c r="B1660" s="91"/>
      <c r="C1660" s="220"/>
      <c r="D1660" s="91"/>
      <c r="E1660" s="221"/>
      <c r="F1660" s="91"/>
      <c r="G1660" s="91"/>
      <c r="H1660" s="242"/>
      <c r="I1660" s="91"/>
      <c r="J1660" s="234"/>
      <c r="K1660" s="243"/>
      <c r="L1660" s="243"/>
      <c r="M1660" s="234"/>
      <c r="N1660" s="235"/>
      <c r="O1660" s="236"/>
      <c r="P1660" s="236"/>
      <c r="Q1660" s="236"/>
      <c r="R1660" s="236"/>
      <c r="S1660" s="236"/>
      <c r="T1660" s="236"/>
      <c r="U1660" s="236"/>
      <c r="V1660" s="236"/>
      <c r="W1660" s="236"/>
      <c r="X1660" s="244"/>
      <c r="Y1660" s="244"/>
      <c r="Z1660" s="237"/>
      <c r="AA1660" s="244"/>
      <c r="AB1660" s="244"/>
      <c r="AC1660" s="244"/>
      <c r="AD1660" s="244"/>
      <c r="AE1660" s="234"/>
      <c r="AF1660" s="234"/>
      <c r="AG1660" s="238"/>
      <c r="AH1660" s="239"/>
      <c r="AI1660" s="238"/>
      <c r="AJ1660" s="238"/>
      <c r="AK1660" s="234"/>
      <c r="AL1660" s="234"/>
      <c r="AM1660" s="234"/>
      <c r="AN1660" s="234"/>
      <c r="AO1660" s="234"/>
    </row>
    <row r="1661" ht="15.75" customHeight="1">
      <c r="A1661" s="91"/>
      <c r="B1661" s="91"/>
      <c r="C1661" s="220"/>
      <c r="D1661" s="91"/>
      <c r="E1661" s="221"/>
      <c r="F1661" s="91"/>
      <c r="G1661" s="91"/>
      <c r="H1661" s="242"/>
      <c r="I1661" s="91"/>
      <c r="J1661" s="234"/>
      <c r="K1661" s="243"/>
      <c r="L1661" s="243"/>
      <c r="M1661" s="234"/>
      <c r="N1661" s="235"/>
      <c r="O1661" s="236"/>
      <c r="P1661" s="236"/>
      <c r="Q1661" s="236"/>
      <c r="R1661" s="236"/>
      <c r="S1661" s="236"/>
      <c r="T1661" s="236"/>
      <c r="U1661" s="236"/>
      <c r="V1661" s="236"/>
      <c r="W1661" s="236"/>
      <c r="X1661" s="244"/>
      <c r="Y1661" s="244"/>
      <c r="Z1661" s="237"/>
      <c r="AA1661" s="244"/>
      <c r="AB1661" s="244"/>
      <c r="AC1661" s="244"/>
      <c r="AD1661" s="244"/>
      <c r="AE1661" s="234"/>
      <c r="AF1661" s="234"/>
      <c r="AG1661" s="238"/>
      <c r="AH1661" s="239"/>
      <c r="AI1661" s="238"/>
      <c r="AJ1661" s="238"/>
      <c r="AK1661" s="234"/>
      <c r="AL1661" s="234"/>
      <c r="AM1661" s="234"/>
      <c r="AN1661" s="234"/>
      <c r="AO1661" s="234"/>
    </row>
    <row r="1662" ht="15.75" customHeight="1">
      <c r="A1662" s="91"/>
      <c r="B1662" s="91"/>
      <c r="C1662" s="220"/>
      <c r="D1662" s="91"/>
      <c r="E1662" s="221"/>
      <c r="F1662" s="91"/>
      <c r="G1662" s="91"/>
      <c r="H1662" s="242"/>
      <c r="I1662" s="91"/>
      <c r="J1662" s="234"/>
      <c r="K1662" s="243"/>
      <c r="L1662" s="243"/>
      <c r="M1662" s="234"/>
      <c r="N1662" s="235"/>
      <c r="O1662" s="236"/>
      <c r="P1662" s="236"/>
      <c r="Q1662" s="236"/>
      <c r="R1662" s="236"/>
      <c r="S1662" s="236"/>
      <c r="T1662" s="236"/>
      <c r="U1662" s="236"/>
      <c r="V1662" s="236"/>
      <c r="W1662" s="236"/>
      <c r="X1662" s="244"/>
      <c r="Y1662" s="244"/>
      <c r="Z1662" s="237"/>
      <c r="AA1662" s="244"/>
      <c r="AB1662" s="244"/>
      <c r="AC1662" s="244"/>
      <c r="AD1662" s="244"/>
      <c r="AE1662" s="234"/>
      <c r="AF1662" s="234"/>
      <c r="AG1662" s="238"/>
      <c r="AH1662" s="239"/>
      <c r="AI1662" s="238"/>
      <c r="AJ1662" s="238"/>
      <c r="AK1662" s="234"/>
      <c r="AL1662" s="234"/>
      <c r="AM1662" s="234"/>
      <c r="AN1662" s="234"/>
      <c r="AO1662" s="234"/>
    </row>
    <row r="1663" ht="15.75" customHeight="1">
      <c r="A1663" s="91"/>
      <c r="B1663" s="91"/>
      <c r="C1663" s="220"/>
      <c r="D1663" s="91"/>
      <c r="E1663" s="221"/>
      <c r="F1663" s="91"/>
      <c r="G1663" s="91"/>
      <c r="H1663" s="242"/>
      <c r="I1663" s="91"/>
      <c r="J1663" s="234"/>
      <c r="K1663" s="243"/>
      <c r="L1663" s="243"/>
      <c r="M1663" s="234"/>
      <c r="N1663" s="235"/>
      <c r="O1663" s="236"/>
      <c r="P1663" s="236"/>
      <c r="Q1663" s="236"/>
      <c r="R1663" s="236"/>
      <c r="S1663" s="236"/>
      <c r="T1663" s="236"/>
      <c r="U1663" s="236"/>
      <c r="V1663" s="236"/>
      <c r="W1663" s="236"/>
      <c r="X1663" s="244"/>
      <c r="Y1663" s="244"/>
      <c r="Z1663" s="237"/>
      <c r="AA1663" s="244"/>
      <c r="AB1663" s="244"/>
      <c r="AC1663" s="244"/>
      <c r="AD1663" s="244"/>
      <c r="AE1663" s="234"/>
      <c r="AF1663" s="234"/>
      <c r="AG1663" s="238"/>
      <c r="AH1663" s="239"/>
      <c r="AI1663" s="238"/>
      <c r="AJ1663" s="238"/>
      <c r="AK1663" s="234"/>
      <c r="AL1663" s="234"/>
      <c r="AM1663" s="234"/>
      <c r="AN1663" s="234"/>
      <c r="AO1663" s="234"/>
    </row>
    <row r="1664" ht="15.75" customHeight="1">
      <c r="A1664" s="91"/>
      <c r="B1664" s="91"/>
      <c r="C1664" s="220"/>
      <c r="D1664" s="91"/>
      <c r="E1664" s="221"/>
      <c r="F1664" s="91"/>
      <c r="G1664" s="91"/>
      <c r="H1664" s="242"/>
      <c r="I1664" s="91"/>
      <c r="J1664" s="234"/>
      <c r="K1664" s="243"/>
      <c r="L1664" s="243"/>
      <c r="M1664" s="234"/>
      <c r="N1664" s="235"/>
      <c r="O1664" s="236"/>
      <c r="P1664" s="236"/>
      <c r="Q1664" s="236"/>
      <c r="R1664" s="236"/>
      <c r="S1664" s="236"/>
      <c r="T1664" s="236"/>
      <c r="U1664" s="236"/>
      <c r="V1664" s="236"/>
      <c r="W1664" s="236"/>
      <c r="X1664" s="244"/>
      <c r="Y1664" s="244"/>
      <c r="Z1664" s="237"/>
      <c r="AA1664" s="244"/>
      <c r="AB1664" s="244"/>
      <c r="AC1664" s="244"/>
      <c r="AD1664" s="244"/>
      <c r="AE1664" s="234"/>
      <c r="AF1664" s="234"/>
      <c r="AG1664" s="238"/>
      <c r="AH1664" s="239"/>
      <c r="AI1664" s="238"/>
      <c r="AJ1664" s="238"/>
      <c r="AK1664" s="234"/>
      <c r="AL1664" s="234"/>
      <c r="AM1664" s="234"/>
      <c r="AN1664" s="234"/>
      <c r="AO1664" s="234"/>
    </row>
    <row r="1665" ht="15.75" customHeight="1">
      <c r="A1665" s="91"/>
      <c r="B1665" s="91"/>
      <c r="C1665" s="220"/>
      <c r="D1665" s="91"/>
      <c r="E1665" s="221"/>
      <c r="F1665" s="91"/>
      <c r="G1665" s="91"/>
      <c r="H1665" s="242"/>
      <c r="I1665" s="91"/>
      <c r="J1665" s="234"/>
      <c r="K1665" s="243"/>
      <c r="L1665" s="243"/>
      <c r="M1665" s="234"/>
      <c r="N1665" s="235"/>
      <c r="O1665" s="236"/>
      <c r="P1665" s="236"/>
      <c r="Q1665" s="236"/>
      <c r="R1665" s="236"/>
      <c r="S1665" s="236"/>
      <c r="T1665" s="236"/>
      <c r="U1665" s="236"/>
      <c r="V1665" s="236"/>
      <c r="W1665" s="236"/>
      <c r="X1665" s="244"/>
      <c r="Y1665" s="244"/>
      <c r="Z1665" s="237"/>
      <c r="AA1665" s="244"/>
      <c r="AB1665" s="244"/>
      <c r="AC1665" s="244"/>
      <c r="AD1665" s="244"/>
      <c r="AE1665" s="234"/>
      <c r="AF1665" s="234"/>
      <c r="AG1665" s="238"/>
      <c r="AH1665" s="239"/>
      <c r="AI1665" s="238"/>
      <c r="AJ1665" s="238"/>
      <c r="AK1665" s="234"/>
      <c r="AL1665" s="234"/>
      <c r="AM1665" s="234"/>
      <c r="AN1665" s="234"/>
      <c r="AO1665" s="234"/>
    </row>
    <row r="1666" ht="15.75" customHeight="1">
      <c r="A1666" s="91"/>
      <c r="B1666" s="91"/>
      <c r="C1666" s="220"/>
      <c r="D1666" s="91"/>
      <c r="E1666" s="221"/>
      <c r="F1666" s="91"/>
      <c r="G1666" s="91"/>
      <c r="H1666" s="242"/>
      <c r="I1666" s="91"/>
      <c r="J1666" s="234"/>
      <c r="K1666" s="243"/>
      <c r="L1666" s="243"/>
      <c r="M1666" s="234"/>
      <c r="N1666" s="235"/>
      <c r="O1666" s="236"/>
      <c r="P1666" s="236"/>
      <c r="Q1666" s="236"/>
      <c r="R1666" s="236"/>
      <c r="S1666" s="236"/>
      <c r="T1666" s="236"/>
      <c r="U1666" s="236"/>
      <c r="V1666" s="236"/>
      <c r="W1666" s="236"/>
      <c r="X1666" s="244"/>
      <c r="Y1666" s="244"/>
      <c r="Z1666" s="237"/>
      <c r="AA1666" s="244"/>
      <c r="AB1666" s="244"/>
      <c r="AC1666" s="244"/>
      <c r="AD1666" s="244"/>
      <c r="AE1666" s="234"/>
      <c r="AF1666" s="234"/>
      <c r="AG1666" s="238"/>
      <c r="AH1666" s="239"/>
      <c r="AI1666" s="238"/>
      <c r="AJ1666" s="238"/>
      <c r="AK1666" s="234"/>
      <c r="AL1666" s="234"/>
      <c r="AM1666" s="234"/>
      <c r="AN1666" s="234"/>
      <c r="AO1666" s="234"/>
    </row>
    <row r="1667" ht="15.75" customHeight="1">
      <c r="A1667" s="91"/>
      <c r="B1667" s="91"/>
      <c r="C1667" s="220"/>
      <c r="D1667" s="91"/>
      <c r="E1667" s="221"/>
      <c r="F1667" s="91"/>
      <c r="G1667" s="91"/>
      <c r="H1667" s="242"/>
      <c r="I1667" s="91"/>
      <c r="J1667" s="234"/>
      <c r="K1667" s="243"/>
      <c r="L1667" s="243"/>
      <c r="M1667" s="234"/>
      <c r="N1667" s="235"/>
      <c r="O1667" s="236"/>
      <c r="P1667" s="236"/>
      <c r="Q1667" s="236"/>
      <c r="R1667" s="236"/>
      <c r="S1667" s="236"/>
      <c r="T1667" s="236"/>
      <c r="U1667" s="236"/>
      <c r="V1667" s="236"/>
      <c r="W1667" s="236"/>
      <c r="X1667" s="244"/>
      <c r="Y1667" s="244"/>
      <c r="Z1667" s="237"/>
      <c r="AA1667" s="244"/>
      <c r="AB1667" s="244"/>
      <c r="AC1667" s="244"/>
      <c r="AD1667" s="244"/>
      <c r="AE1667" s="234"/>
      <c r="AF1667" s="234"/>
      <c r="AG1667" s="238"/>
      <c r="AH1667" s="239"/>
      <c r="AI1667" s="238"/>
      <c r="AJ1667" s="238"/>
      <c r="AK1667" s="234"/>
      <c r="AL1667" s="234"/>
      <c r="AM1667" s="234"/>
      <c r="AN1667" s="234"/>
      <c r="AO1667" s="234"/>
    </row>
    <row r="1668" ht="15.75" customHeight="1">
      <c r="A1668" s="91"/>
      <c r="B1668" s="91"/>
      <c r="C1668" s="220"/>
      <c r="D1668" s="91"/>
      <c r="E1668" s="221"/>
      <c r="F1668" s="91"/>
      <c r="G1668" s="91"/>
      <c r="H1668" s="242"/>
      <c r="I1668" s="91"/>
      <c r="J1668" s="234"/>
      <c r="K1668" s="243"/>
      <c r="L1668" s="243"/>
      <c r="M1668" s="234"/>
      <c r="N1668" s="235"/>
      <c r="O1668" s="236"/>
      <c r="P1668" s="236"/>
      <c r="Q1668" s="236"/>
      <c r="R1668" s="236"/>
      <c r="S1668" s="236"/>
      <c r="T1668" s="236"/>
      <c r="U1668" s="236"/>
      <c r="V1668" s="236"/>
      <c r="W1668" s="236"/>
      <c r="X1668" s="244"/>
      <c r="Y1668" s="244"/>
      <c r="Z1668" s="237"/>
      <c r="AA1668" s="244"/>
      <c r="AB1668" s="244"/>
      <c r="AC1668" s="244"/>
      <c r="AD1668" s="244"/>
      <c r="AE1668" s="234"/>
      <c r="AF1668" s="234"/>
      <c r="AG1668" s="238"/>
      <c r="AH1668" s="239"/>
      <c r="AI1668" s="238"/>
      <c r="AJ1668" s="238"/>
      <c r="AK1668" s="234"/>
      <c r="AL1668" s="234"/>
      <c r="AM1668" s="234"/>
      <c r="AN1668" s="234"/>
      <c r="AO1668" s="234"/>
    </row>
    <row r="1669" ht="15.75" customHeight="1">
      <c r="A1669" s="91"/>
      <c r="B1669" s="91"/>
      <c r="C1669" s="220"/>
      <c r="D1669" s="91"/>
      <c r="E1669" s="221"/>
      <c r="F1669" s="91"/>
      <c r="G1669" s="91"/>
      <c r="H1669" s="242"/>
      <c r="I1669" s="91"/>
      <c r="J1669" s="234"/>
      <c r="K1669" s="243"/>
      <c r="L1669" s="243"/>
      <c r="M1669" s="234"/>
      <c r="N1669" s="235"/>
      <c r="O1669" s="236"/>
      <c r="P1669" s="236"/>
      <c r="Q1669" s="236"/>
      <c r="R1669" s="236"/>
      <c r="S1669" s="236"/>
      <c r="T1669" s="236"/>
      <c r="U1669" s="236"/>
      <c r="V1669" s="236"/>
      <c r="W1669" s="236"/>
      <c r="X1669" s="244"/>
      <c r="Y1669" s="244"/>
      <c r="Z1669" s="237"/>
      <c r="AA1669" s="244"/>
      <c r="AB1669" s="244"/>
      <c r="AC1669" s="244"/>
      <c r="AD1669" s="244"/>
      <c r="AE1669" s="234"/>
      <c r="AF1669" s="234"/>
      <c r="AG1669" s="238"/>
      <c r="AH1669" s="239"/>
      <c r="AI1669" s="238"/>
      <c r="AJ1669" s="238"/>
      <c r="AK1669" s="234"/>
      <c r="AL1669" s="234"/>
      <c r="AM1669" s="234"/>
      <c r="AN1669" s="234"/>
      <c r="AO1669" s="234"/>
    </row>
    <row r="1670" ht="15.75" customHeight="1">
      <c r="A1670" s="91"/>
      <c r="B1670" s="91"/>
      <c r="C1670" s="220"/>
      <c r="D1670" s="91"/>
      <c r="E1670" s="221"/>
      <c r="F1670" s="91"/>
      <c r="G1670" s="91"/>
      <c r="H1670" s="242"/>
      <c r="I1670" s="91"/>
      <c r="J1670" s="234"/>
      <c r="K1670" s="243"/>
      <c r="L1670" s="243"/>
      <c r="M1670" s="234"/>
      <c r="N1670" s="235"/>
      <c r="O1670" s="236"/>
      <c r="P1670" s="236"/>
      <c r="Q1670" s="236"/>
      <c r="R1670" s="236"/>
      <c r="S1670" s="236"/>
      <c r="T1670" s="236"/>
      <c r="U1670" s="236"/>
      <c r="V1670" s="236"/>
      <c r="W1670" s="236"/>
      <c r="X1670" s="244"/>
      <c r="Y1670" s="244"/>
      <c r="Z1670" s="237"/>
      <c r="AA1670" s="244"/>
      <c r="AB1670" s="244"/>
      <c r="AC1670" s="244"/>
      <c r="AD1670" s="244"/>
      <c r="AE1670" s="234"/>
      <c r="AF1670" s="234"/>
      <c r="AG1670" s="238"/>
      <c r="AH1670" s="239"/>
      <c r="AI1670" s="238"/>
      <c r="AJ1670" s="238"/>
      <c r="AK1670" s="234"/>
      <c r="AL1670" s="234"/>
      <c r="AM1670" s="234"/>
      <c r="AN1670" s="234"/>
      <c r="AO1670" s="234"/>
    </row>
    <row r="1671" ht="15.75" customHeight="1">
      <c r="A1671" s="91"/>
      <c r="B1671" s="91"/>
      <c r="C1671" s="220"/>
      <c r="D1671" s="91"/>
      <c r="E1671" s="221"/>
      <c r="F1671" s="91"/>
      <c r="G1671" s="91"/>
      <c r="H1671" s="242"/>
      <c r="I1671" s="91"/>
      <c r="J1671" s="234"/>
      <c r="K1671" s="243"/>
      <c r="L1671" s="243"/>
      <c r="M1671" s="234"/>
      <c r="N1671" s="235"/>
      <c r="O1671" s="236"/>
      <c r="P1671" s="236"/>
      <c r="Q1671" s="236"/>
      <c r="R1671" s="236"/>
      <c r="S1671" s="236"/>
      <c r="T1671" s="236"/>
      <c r="U1671" s="236"/>
      <c r="V1671" s="236"/>
      <c r="W1671" s="236"/>
      <c r="X1671" s="244"/>
      <c r="Y1671" s="244"/>
      <c r="Z1671" s="237"/>
      <c r="AA1671" s="244"/>
      <c r="AB1671" s="244"/>
      <c r="AC1671" s="244"/>
      <c r="AD1671" s="244"/>
      <c r="AE1671" s="234"/>
      <c r="AF1671" s="234"/>
      <c r="AG1671" s="238"/>
      <c r="AH1671" s="239"/>
      <c r="AI1671" s="238"/>
      <c r="AJ1671" s="238"/>
      <c r="AK1671" s="234"/>
      <c r="AL1671" s="234"/>
      <c r="AM1671" s="234"/>
      <c r="AN1671" s="234"/>
      <c r="AO1671" s="234"/>
    </row>
    <row r="1672" ht="15.75" customHeight="1">
      <c r="A1672" s="91"/>
      <c r="B1672" s="91"/>
      <c r="C1672" s="220"/>
      <c r="D1672" s="91"/>
      <c r="E1672" s="221"/>
      <c r="F1672" s="91"/>
      <c r="G1672" s="91"/>
      <c r="H1672" s="242"/>
      <c r="I1672" s="91"/>
      <c r="J1672" s="234"/>
      <c r="K1672" s="243"/>
      <c r="L1672" s="243"/>
      <c r="M1672" s="234"/>
      <c r="N1672" s="235"/>
      <c r="O1672" s="236"/>
      <c r="P1672" s="236"/>
      <c r="Q1672" s="236"/>
      <c r="R1672" s="236"/>
      <c r="S1672" s="236"/>
      <c r="T1672" s="236"/>
      <c r="U1672" s="236"/>
      <c r="V1672" s="236"/>
      <c r="W1672" s="236"/>
      <c r="X1672" s="244"/>
      <c r="Y1672" s="244"/>
      <c r="Z1672" s="237"/>
      <c r="AA1672" s="244"/>
      <c r="AB1672" s="244"/>
      <c r="AC1672" s="244"/>
      <c r="AD1672" s="244"/>
      <c r="AE1672" s="234"/>
      <c r="AF1672" s="234"/>
      <c r="AG1672" s="238"/>
      <c r="AH1672" s="239"/>
      <c r="AI1672" s="238"/>
      <c r="AJ1672" s="238"/>
      <c r="AK1672" s="234"/>
      <c r="AL1672" s="234"/>
      <c r="AM1672" s="234"/>
      <c r="AN1672" s="234"/>
      <c r="AO1672" s="234"/>
    </row>
    <row r="1673" ht="15.75" customHeight="1">
      <c r="A1673" s="91"/>
      <c r="B1673" s="91"/>
      <c r="C1673" s="220"/>
      <c r="D1673" s="91"/>
      <c r="E1673" s="221"/>
      <c r="F1673" s="91"/>
      <c r="G1673" s="91"/>
      <c r="H1673" s="242"/>
      <c r="I1673" s="91"/>
      <c r="J1673" s="234"/>
      <c r="K1673" s="243"/>
      <c r="L1673" s="243"/>
      <c r="M1673" s="234"/>
      <c r="N1673" s="235"/>
      <c r="O1673" s="236"/>
      <c r="P1673" s="236"/>
      <c r="Q1673" s="236"/>
      <c r="R1673" s="236"/>
      <c r="S1673" s="236"/>
      <c r="T1673" s="236"/>
      <c r="U1673" s="236"/>
      <c r="V1673" s="236"/>
      <c r="W1673" s="236"/>
      <c r="X1673" s="244"/>
      <c r="Y1673" s="244"/>
      <c r="Z1673" s="237"/>
      <c r="AA1673" s="244"/>
      <c r="AB1673" s="244"/>
      <c r="AC1673" s="244"/>
      <c r="AD1673" s="244"/>
      <c r="AE1673" s="234"/>
      <c r="AF1673" s="234"/>
      <c r="AG1673" s="238"/>
      <c r="AH1673" s="239"/>
      <c r="AI1673" s="238"/>
      <c r="AJ1673" s="238"/>
      <c r="AK1673" s="234"/>
      <c r="AL1673" s="234"/>
      <c r="AM1673" s="234"/>
      <c r="AN1673" s="234"/>
      <c r="AO1673" s="234"/>
    </row>
    <row r="1674" ht="15.75" customHeight="1">
      <c r="A1674" s="91"/>
      <c r="B1674" s="91"/>
      <c r="C1674" s="220"/>
      <c r="D1674" s="91"/>
      <c r="E1674" s="221"/>
      <c r="F1674" s="91"/>
      <c r="G1674" s="91"/>
      <c r="H1674" s="242"/>
      <c r="I1674" s="91"/>
      <c r="J1674" s="234"/>
      <c r="K1674" s="243"/>
      <c r="L1674" s="243"/>
      <c r="M1674" s="234"/>
      <c r="N1674" s="235"/>
      <c r="O1674" s="236"/>
      <c r="P1674" s="236"/>
      <c r="Q1674" s="236"/>
      <c r="R1674" s="236"/>
      <c r="S1674" s="236"/>
      <c r="T1674" s="236"/>
      <c r="U1674" s="236"/>
      <c r="V1674" s="236"/>
      <c r="W1674" s="236"/>
      <c r="X1674" s="244"/>
      <c r="Y1674" s="244"/>
      <c r="Z1674" s="237"/>
      <c r="AA1674" s="244"/>
      <c r="AB1674" s="244"/>
      <c r="AC1674" s="244"/>
      <c r="AD1674" s="244"/>
      <c r="AE1674" s="234"/>
      <c r="AF1674" s="234"/>
      <c r="AG1674" s="238"/>
      <c r="AH1674" s="239"/>
      <c r="AI1674" s="238"/>
      <c r="AJ1674" s="238"/>
      <c r="AK1674" s="234"/>
      <c r="AL1674" s="234"/>
      <c r="AM1674" s="234"/>
      <c r="AN1674" s="234"/>
      <c r="AO1674" s="234"/>
    </row>
    <row r="1675" ht="15.75" customHeight="1">
      <c r="A1675" s="91"/>
      <c r="B1675" s="91"/>
      <c r="C1675" s="220"/>
      <c r="D1675" s="91"/>
      <c r="E1675" s="221"/>
      <c r="F1675" s="91"/>
      <c r="G1675" s="91"/>
      <c r="H1675" s="242"/>
      <c r="I1675" s="91"/>
      <c r="J1675" s="234"/>
      <c r="K1675" s="243"/>
      <c r="L1675" s="243"/>
      <c r="M1675" s="234"/>
      <c r="N1675" s="235"/>
      <c r="O1675" s="236"/>
      <c r="P1675" s="236"/>
      <c r="Q1675" s="236"/>
      <c r="R1675" s="236"/>
      <c r="S1675" s="236"/>
      <c r="T1675" s="236"/>
      <c r="U1675" s="236"/>
      <c r="V1675" s="236"/>
      <c r="W1675" s="236"/>
      <c r="X1675" s="244"/>
      <c r="Y1675" s="244"/>
      <c r="Z1675" s="237"/>
      <c r="AA1675" s="244"/>
      <c r="AB1675" s="244"/>
      <c r="AC1675" s="244"/>
      <c r="AD1675" s="244"/>
      <c r="AE1675" s="234"/>
      <c r="AF1675" s="234"/>
      <c r="AG1675" s="238"/>
      <c r="AH1675" s="239"/>
      <c r="AI1675" s="238"/>
      <c r="AJ1675" s="238"/>
      <c r="AK1675" s="234"/>
      <c r="AL1675" s="234"/>
      <c r="AM1675" s="234"/>
      <c r="AN1675" s="234"/>
      <c r="AO1675" s="234"/>
    </row>
    <row r="1676" ht="15.75" customHeight="1">
      <c r="A1676" s="91"/>
      <c r="B1676" s="91"/>
      <c r="C1676" s="220"/>
      <c r="D1676" s="91"/>
      <c r="E1676" s="221"/>
      <c r="F1676" s="91"/>
      <c r="G1676" s="91"/>
      <c r="H1676" s="242"/>
      <c r="I1676" s="91"/>
      <c r="J1676" s="234"/>
      <c r="K1676" s="243"/>
      <c r="L1676" s="243"/>
      <c r="M1676" s="234"/>
      <c r="N1676" s="235"/>
      <c r="O1676" s="236"/>
      <c r="P1676" s="236"/>
      <c r="Q1676" s="236"/>
      <c r="R1676" s="236"/>
      <c r="S1676" s="236"/>
      <c r="T1676" s="236"/>
      <c r="U1676" s="236"/>
      <c r="V1676" s="236"/>
      <c r="W1676" s="236"/>
      <c r="X1676" s="244"/>
      <c r="Y1676" s="244"/>
      <c r="Z1676" s="237"/>
      <c r="AA1676" s="244"/>
      <c r="AB1676" s="244"/>
      <c r="AC1676" s="244"/>
      <c r="AD1676" s="244"/>
      <c r="AE1676" s="234"/>
      <c r="AF1676" s="234"/>
      <c r="AG1676" s="238"/>
      <c r="AH1676" s="239"/>
      <c r="AI1676" s="238"/>
      <c r="AJ1676" s="238"/>
      <c r="AK1676" s="234"/>
      <c r="AL1676" s="234"/>
      <c r="AM1676" s="234"/>
      <c r="AN1676" s="234"/>
      <c r="AO1676" s="234"/>
    </row>
    <row r="1677" ht="15.75" customHeight="1">
      <c r="A1677" s="91"/>
      <c r="B1677" s="91"/>
      <c r="C1677" s="220"/>
      <c r="D1677" s="91"/>
      <c r="E1677" s="221"/>
      <c r="F1677" s="91"/>
      <c r="G1677" s="91"/>
      <c r="H1677" s="242"/>
      <c r="I1677" s="91"/>
      <c r="J1677" s="234"/>
      <c r="K1677" s="243"/>
      <c r="L1677" s="243"/>
      <c r="M1677" s="234"/>
      <c r="N1677" s="235"/>
      <c r="O1677" s="236"/>
      <c r="P1677" s="236"/>
      <c r="Q1677" s="236"/>
      <c r="R1677" s="236"/>
      <c r="S1677" s="236"/>
      <c r="T1677" s="236"/>
      <c r="U1677" s="236"/>
      <c r="V1677" s="236"/>
      <c r="W1677" s="236"/>
      <c r="X1677" s="244"/>
      <c r="Y1677" s="244"/>
      <c r="Z1677" s="237"/>
      <c r="AA1677" s="244"/>
      <c r="AB1677" s="244"/>
      <c r="AC1677" s="244"/>
      <c r="AD1677" s="244"/>
      <c r="AE1677" s="234"/>
      <c r="AF1677" s="234"/>
      <c r="AG1677" s="238"/>
      <c r="AH1677" s="239"/>
      <c r="AI1677" s="238"/>
      <c r="AJ1677" s="238"/>
      <c r="AK1677" s="234"/>
      <c r="AL1677" s="234"/>
      <c r="AM1677" s="234"/>
      <c r="AN1677" s="234"/>
      <c r="AO1677" s="234"/>
    </row>
    <row r="1678" ht="15.75" customHeight="1">
      <c r="A1678" s="91"/>
      <c r="B1678" s="91"/>
      <c r="C1678" s="220"/>
      <c r="D1678" s="91"/>
      <c r="E1678" s="221"/>
      <c r="F1678" s="91"/>
      <c r="G1678" s="91"/>
      <c r="H1678" s="242"/>
      <c r="I1678" s="91"/>
      <c r="J1678" s="234"/>
      <c r="K1678" s="243"/>
      <c r="L1678" s="243"/>
      <c r="M1678" s="234"/>
      <c r="N1678" s="235"/>
      <c r="O1678" s="236"/>
      <c r="P1678" s="236"/>
      <c r="Q1678" s="236"/>
      <c r="R1678" s="236"/>
      <c r="S1678" s="236"/>
      <c r="T1678" s="236"/>
      <c r="U1678" s="236"/>
      <c r="V1678" s="236"/>
      <c r="W1678" s="236"/>
      <c r="X1678" s="244"/>
      <c r="Y1678" s="244"/>
      <c r="Z1678" s="237"/>
      <c r="AA1678" s="244"/>
      <c r="AB1678" s="244"/>
      <c r="AC1678" s="244"/>
      <c r="AD1678" s="244"/>
      <c r="AE1678" s="234"/>
      <c r="AF1678" s="234"/>
      <c r="AG1678" s="238"/>
      <c r="AH1678" s="239"/>
      <c r="AI1678" s="238"/>
      <c r="AJ1678" s="238"/>
      <c r="AK1678" s="234"/>
      <c r="AL1678" s="234"/>
      <c r="AM1678" s="234"/>
      <c r="AN1678" s="234"/>
      <c r="AO1678" s="234"/>
    </row>
    <row r="1679" ht="15.75" customHeight="1">
      <c r="A1679" s="91"/>
      <c r="B1679" s="91"/>
      <c r="C1679" s="220"/>
      <c r="D1679" s="91"/>
      <c r="E1679" s="221"/>
      <c r="F1679" s="91"/>
      <c r="G1679" s="91"/>
      <c r="H1679" s="242"/>
      <c r="I1679" s="91"/>
      <c r="J1679" s="234"/>
      <c r="K1679" s="243"/>
      <c r="L1679" s="243"/>
      <c r="M1679" s="234"/>
      <c r="N1679" s="235"/>
      <c r="O1679" s="236"/>
      <c r="P1679" s="236"/>
      <c r="Q1679" s="236"/>
      <c r="R1679" s="236"/>
      <c r="S1679" s="236"/>
      <c r="T1679" s="236"/>
      <c r="U1679" s="236"/>
      <c r="V1679" s="236"/>
      <c r="W1679" s="236"/>
      <c r="X1679" s="244"/>
      <c r="Y1679" s="244"/>
      <c r="Z1679" s="237"/>
      <c r="AA1679" s="244"/>
      <c r="AB1679" s="244"/>
      <c r="AC1679" s="244"/>
      <c r="AD1679" s="244"/>
      <c r="AE1679" s="234"/>
      <c r="AF1679" s="234"/>
      <c r="AG1679" s="238"/>
      <c r="AH1679" s="239"/>
      <c r="AI1679" s="238"/>
      <c r="AJ1679" s="238"/>
      <c r="AK1679" s="234"/>
      <c r="AL1679" s="234"/>
      <c r="AM1679" s="234"/>
      <c r="AN1679" s="234"/>
      <c r="AO1679" s="234"/>
    </row>
    <row r="1680" ht="15.75" customHeight="1">
      <c r="A1680" s="91"/>
      <c r="B1680" s="91"/>
      <c r="C1680" s="220"/>
      <c r="D1680" s="91"/>
      <c r="E1680" s="221"/>
      <c r="F1680" s="91"/>
      <c r="G1680" s="91"/>
      <c r="H1680" s="242"/>
      <c r="I1680" s="91"/>
      <c r="J1680" s="234"/>
      <c r="K1680" s="243"/>
      <c r="L1680" s="243"/>
      <c r="M1680" s="234"/>
      <c r="N1680" s="235"/>
      <c r="O1680" s="236"/>
      <c r="P1680" s="236"/>
      <c r="Q1680" s="236"/>
      <c r="R1680" s="236"/>
      <c r="S1680" s="236"/>
      <c r="T1680" s="236"/>
      <c r="U1680" s="236"/>
      <c r="V1680" s="236"/>
      <c r="W1680" s="236"/>
      <c r="X1680" s="244"/>
      <c r="Y1680" s="244"/>
      <c r="Z1680" s="237"/>
      <c r="AA1680" s="244"/>
      <c r="AB1680" s="244"/>
      <c r="AC1680" s="244"/>
      <c r="AD1680" s="244"/>
      <c r="AE1680" s="234"/>
      <c r="AF1680" s="234"/>
      <c r="AG1680" s="238"/>
      <c r="AH1680" s="239"/>
      <c r="AI1680" s="238"/>
      <c r="AJ1680" s="238"/>
      <c r="AK1680" s="234"/>
      <c r="AL1680" s="234"/>
      <c r="AM1680" s="234"/>
      <c r="AN1680" s="234"/>
      <c r="AO1680" s="234"/>
    </row>
    <row r="1681" ht="15.75" customHeight="1">
      <c r="A1681" s="91"/>
      <c r="B1681" s="91"/>
      <c r="C1681" s="220"/>
      <c r="D1681" s="91"/>
      <c r="E1681" s="221"/>
      <c r="F1681" s="91"/>
      <c r="G1681" s="91"/>
      <c r="H1681" s="242"/>
      <c r="I1681" s="91"/>
      <c r="J1681" s="234"/>
      <c r="K1681" s="243"/>
      <c r="L1681" s="243"/>
      <c r="M1681" s="234"/>
      <c r="N1681" s="235"/>
      <c r="O1681" s="236"/>
      <c r="P1681" s="236"/>
      <c r="Q1681" s="236"/>
      <c r="R1681" s="236"/>
      <c r="S1681" s="236"/>
      <c r="T1681" s="236"/>
      <c r="U1681" s="236"/>
      <c r="V1681" s="236"/>
      <c r="W1681" s="236"/>
      <c r="X1681" s="244"/>
      <c r="Y1681" s="244"/>
      <c r="Z1681" s="237"/>
      <c r="AA1681" s="244"/>
      <c r="AB1681" s="244"/>
      <c r="AC1681" s="244"/>
      <c r="AD1681" s="244"/>
      <c r="AE1681" s="234"/>
      <c r="AF1681" s="234"/>
      <c r="AG1681" s="238"/>
      <c r="AH1681" s="239"/>
      <c r="AI1681" s="238"/>
      <c r="AJ1681" s="238"/>
      <c r="AK1681" s="234"/>
      <c r="AL1681" s="234"/>
      <c r="AM1681" s="234"/>
      <c r="AN1681" s="234"/>
      <c r="AO1681" s="234"/>
    </row>
    <row r="1682" ht="15.75" customHeight="1">
      <c r="A1682" s="91"/>
      <c r="B1682" s="91"/>
      <c r="C1682" s="220"/>
      <c r="D1682" s="91"/>
      <c r="E1682" s="221"/>
      <c r="F1682" s="91"/>
      <c r="G1682" s="91"/>
      <c r="H1682" s="242"/>
      <c r="I1682" s="91"/>
      <c r="J1682" s="234"/>
      <c r="K1682" s="243"/>
      <c r="L1682" s="243"/>
      <c r="M1682" s="234"/>
      <c r="N1682" s="235"/>
      <c r="O1682" s="236"/>
      <c r="P1682" s="236"/>
      <c r="Q1682" s="236"/>
      <c r="R1682" s="236"/>
      <c r="S1682" s="236"/>
      <c r="T1682" s="236"/>
      <c r="U1682" s="236"/>
      <c r="V1682" s="236"/>
      <c r="W1682" s="236"/>
      <c r="X1682" s="244"/>
      <c r="Y1682" s="244"/>
      <c r="Z1682" s="237"/>
      <c r="AA1682" s="244"/>
      <c r="AB1682" s="244"/>
      <c r="AC1682" s="244"/>
      <c r="AD1682" s="244"/>
      <c r="AE1682" s="234"/>
      <c r="AF1682" s="234"/>
      <c r="AG1682" s="238"/>
      <c r="AH1682" s="239"/>
      <c r="AI1682" s="238"/>
      <c r="AJ1682" s="238"/>
      <c r="AK1682" s="234"/>
      <c r="AL1682" s="234"/>
      <c r="AM1682" s="234"/>
      <c r="AN1682" s="234"/>
      <c r="AO1682" s="234"/>
    </row>
    <row r="1683" ht="15.75" customHeight="1">
      <c r="A1683" s="91"/>
      <c r="B1683" s="91"/>
      <c r="C1683" s="220"/>
      <c r="D1683" s="91"/>
      <c r="E1683" s="221"/>
      <c r="F1683" s="91"/>
      <c r="G1683" s="91"/>
      <c r="H1683" s="242"/>
      <c r="I1683" s="91"/>
      <c r="J1683" s="234"/>
      <c r="K1683" s="243"/>
      <c r="L1683" s="243"/>
      <c r="M1683" s="234"/>
      <c r="N1683" s="235"/>
      <c r="O1683" s="236"/>
      <c r="P1683" s="236"/>
      <c r="Q1683" s="236"/>
      <c r="R1683" s="236"/>
      <c r="S1683" s="236"/>
      <c r="T1683" s="236"/>
      <c r="U1683" s="236"/>
      <c r="V1683" s="236"/>
      <c r="W1683" s="236"/>
      <c r="X1683" s="244"/>
      <c r="Y1683" s="244"/>
      <c r="Z1683" s="237"/>
      <c r="AA1683" s="244"/>
      <c r="AB1683" s="244"/>
      <c r="AC1683" s="244"/>
      <c r="AD1683" s="244"/>
      <c r="AE1683" s="234"/>
      <c r="AF1683" s="234"/>
      <c r="AG1683" s="238"/>
      <c r="AH1683" s="239"/>
      <c r="AI1683" s="238"/>
      <c r="AJ1683" s="238"/>
      <c r="AK1683" s="234"/>
      <c r="AL1683" s="234"/>
      <c r="AM1683" s="234"/>
      <c r="AN1683" s="234"/>
      <c r="AO1683" s="234"/>
    </row>
    <row r="1684" ht="15.75" customHeight="1">
      <c r="A1684" s="91"/>
      <c r="B1684" s="91"/>
      <c r="C1684" s="220"/>
      <c r="D1684" s="91"/>
      <c r="E1684" s="221"/>
      <c r="F1684" s="91"/>
      <c r="G1684" s="91"/>
      <c r="H1684" s="242"/>
      <c r="I1684" s="91"/>
      <c r="J1684" s="234"/>
      <c r="K1684" s="243"/>
      <c r="L1684" s="243"/>
      <c r="M1684" s="234"/>
      <c r="N1684" s="235"/>
      <c r="O1684" s="236"/>
      <c r="P1684" s="236"/>
      <c r="Q1684" s="236"/>
      <c r="R1684" s="236"/>
      <c r="S1684" s="236"/>
      <c r="T1684" s="236"/>
      <c r="U1684" s="236"/>
      <c r="V1684" s="236"/>
      <c r="W1684" s="236"/>
      <c r="X1684" s="244"/>
      <c r="Y1684" s="244"/>
      <c r="Z1684" s="237"/>
      <c r="AA1684" s="244"/>
      <c r="AB1684" s="244"/>
      <c r="AC1684" s="244"/>
      <c r="AD1684" s="244"/>
      <c r="AE1684" s="234"/>
      <c r="AF1684" s="234"/>
      <c r="AG1684" s="238"/>
      <c r="AH1684" s="239"/>
      <c r="AI1684" s="238"/>
      <c r="AJ1684" s="238"/>
      <c r="AK1684" s="234"/>
      <c r="AL1684" s="234"/>
      <c r="AM1684" s="234"/>
      <c r="AN1684" s="234"/>
      <c r="AO1684" s="234"/>
    </row>
    <row r="1685" ht="15.75" customHeight="1">
      <c r="A1685" s="91"/>
      <c r="B1685" s="91"/>
      <c r="C1685" s="220"/>
      <c r="D1685" s="91"/>
      <c r="E1685" s="221"/>
      <c r="F1685" s="91"/>
      <c r="G1685" s="91"/>
      <c r="H1685" s="242"/>
      <c r="I1685" s="91"/>
      <c r="J1685" s="234"/>
      <c r="K1685" s="243"/>
      <c r="L1685" s="243"/>
      <c r="M1685" s="234"/>
      <c r="N1685" s="235"/>
      <c r="O1685" s="236"/>
      <c r="P1685" s="236"/>
      <c r="Q1685" s="236"/>
      <c r="R1685" s="236"/>
      <c r="S1685" s="236"/>
      <c r="T1685" s="236"/>
      <c r="U1685" s="236"/>
      <c r="V1685" s="236"/>
      <c r="W1685" s="236"/>
      <c r="X1685" s="244"/>
      <c r="Y1685" s="244"/>
      <c r="Z1685" s="237"/>
      <c r="AA1685" s="244"/>
      <c r="AB1685" s="244"/>
      <c r="AC1685" s="244"/>
      <c r="AD1685" s="244"/>
      <c r="AE1685" s="234"/>
      <c r="AF1685" s="234"/>
      <c r="AG1685" s="238"/>
      <c r="AH1685" s="239"/>
      <c r="AI1685" s="238"/>
      <c r="AJ1685" s="238"/>
      <c r="AK1685" s="234"/>
      <c r="AL1685" s="234"/>
      <c r="AM1685" s="234"/>
      <c r="AN1685" s="234"/>
      <c r="AO1685" s="234"/>
    </row>
    <row r="1686" ht="15.75" customHeight="1">
      <c r="A1686" s="91"/>
      <c r="B1686" s="91"/>
      <c r="C1686" s="220"/>
      <c r="D1686" s="91"/>
      <c r="E1686" s="221"/>
      <c r="F1686" s="91"/>
      <c r="G1686" s="91"/>
      <c r="H1686" s="242"/>
      <c r="I1686" s="91"/>
      <c r="J1686" s="234"/>
      <c r="K1686" s="243"/>
      <c r="L1686" s="243"/>
      <c r="M1686" s="234"/>
      <c r="N1686" s="235"/>
      <c r="O1686" s="236"/>
      <c r="P1686" s="236"/>
      <c r="Q1686" s="236"/>
      <c r="R1686" s="236"/>
      <c r="S1686" s="236"/>
      <c r="T1686" s="236"/>
      <c r="U1686" s="236"/>
      <c r="V1686" s="236"/>
      <c r="W1686" s="236"/>
      <c r="X1686" s="244"/>
      <c r="Y1686" s="244"/>
      <c r="Z1686" s="237"/>
      <c r="AA1686" s="244"/>
      <c r="AB1686" s="244"/>
      <c r="AC1686" s="244"/>
      <c r="AD1686" s="244"/>
      <c r="AE1686" s="234"/>
      <c r="AF1686" s="234"/>
      <c r="AG1686" s="238"/>
      <c r="AH1686" s="239"/>
      <c r="AI1686" s="238"/>
      <c r="AJ1686" s="238"/>
      <c r="AK1686" s="234"/>
      <c r="AL1686" s="234"/>
      <c r="AM1686" s="234"/>
      <c r="AN1686" s="234"/>
      <c r="AO1686" s="234"/>
    </row>
    <row r="1687" ht="15.75" customHeight="1">
      <c r="A1687" s="91"/>
      <c r="B1687" s="91"/>
      <c r="C1687" s="220"/>
      <c r="D1687" s="91"/>
      <c r="E1687" s="221"/>
      <c r="F1687" s="91"/>
      <c r="G1687" s="91"/>
      <c r="H1687" s="242"/>
      <c r="I1687" s="91"/>
      <c r="J1687" s="234"/>
      <c r="K1687" s="243"/>
      <c r="L1687" s="243"/>
      <c r="M1687" s="234"/>
      <c r="N1687" s="235"/>
      <c r="O1687" s="236"/>
      <c r="P1687" s="236"/>
      <c r="Q1687" s="236"/>
      <c r="R1687" s="236"/>
      <c r="S1687" s="236"/>
      <c r="T1687" s="236"/>
      <c r="U1687" s="236"/>
      <c r="V1687" s="236"/>
      <c r="W1687" s="236"/>
      <c r="X1687" s="244"/>
      <c r="Y1687" s="244"/>
      <c r="Z1687" s="237"/>
      <c r="AA1687" s="244"/>
      <c r="AB1687" s="244"/>
      <c r="AC1687" s="244"/>
      <c r="AD1687" s="244"/>
      <c r="AE1687" s="234"/>
      <c r="AF1687" s="234"/>
      <c r="AG1687" s="238"/>
      <c r="AH1687" s="239"/>
      <c r="AI1687" s="238"/>
      <c r="AJ1687" s="238"/>
      <c r="AK1687" s="234"/>
      <c r="AL1687" s="234"/>
      <c r="AM1687" s="234"/>
      <c r="AN1687" s="234"/>
      <c r="AO1687" s="234"/>
    </row>
    <row r="1688" ht="15.75" customHeight="1">
      <c r="A1688" s="91"/>
      <c r="B1688" s="91"/>
      <c r="C1688" s="220"/>
      <c r="D1688" s="91"/>
      <c r="E1688" s="221"/>
      <c r="F1688" s="91"/>
      <c r="G1688" s="91"/>
      <c r="H1688" s="242"/>
      <c r="I1688" s="91"/>
      <c r="J1688" s="234"/>
      <c r="K1688" s="243"/>
      <c r="L1688" s="243"/>
      <c r="M1688" s="234"/>
      <c r="N1688" s="235"/>
      <c r="O1688" s="236"/>
      <c r="P1688" s="236"/>
      <c r="Q1688" s="236"/>
      <c r="R1688" s="236"/>
      <c r="S1688" s="236"/>
      <c r="T1688" s="236"/>
      <c r="U1688" s="236"/>
      <c r="V1688" s="236"/>
      <c r="W1688" s="236"/>
      <c r="X1688" s="244"/>
      <c r="Y1688" s="244"/>
      <c r="Z1688" s="237"/>
      <c r="AA1688" s="244"/>
      <c r="AB1688" s="244"/>
      <c r="AC1688" s="244"/>
      <c r="AD1688" s="244"/>
      <c r="AE1688" s="234"/>
      <c r="AF1688" s="234"/>
      <c r="AG1688" s="238"/>
      <c r="AH1688" s="239"/>
      <c r="AI1688" s="238"/>
      <c r="AJ1688" s="238"/>
      <c r="AK1688" s="234"/>
      <c r="AL1688" s="234"/>
      <c r="AM1688" s="234"/>
      <c r="AN1688" s="234"/>
      <c r="AO1688" s="234"/>
    </row>
    <row r="1689" ht="15.75" customHeight="1">
      <c r="A1689" s="91"/>
      <c r="B1689" s="91"/>
      <c r="C1689" s="220"/>
      <c r="D1689" s="91"/>
      <c r="E1689" s="221"/>
      <c r="F1689" s="91"/>
      <c r="G1689" s="91"/>
      <c r="H1689" s="242"/>
      <c r="I1689" s="91"/>
      <c r="J1689" s="234"/>
      <c r="K1689" s="243"/>
      <c r="L1689" s="243"/>
      <c r="M1689" s="234"/>
      <c r="N1689" s="235"/>
      <c r="O1689" s="236"/>
      <c r="P1689" s="236"/>
      <c r="Q1689" s="236"/>
      <c r="R1689" s="236"/>
      <c r="S1689" s="236"/>
      <c r="T1689" s="236"/>
      <c r="U1689" s="236"/>
      <c r="V1689" s="236"/>
      <c r="W1689" s="236"/>
      <c r="X1689" s="244"/>
      <c r="Y1689" s="244"/>
      <c r="Z1689" s="237"/>
      <c r="AA1689" s="244"/>
      <c r="AB1689" s="244"/>
      <c r="AC1689" s="244"/>
      <c r="AD1689" s="244"/>
      <c r="AE1689" s="234"/>
      <c r="AF1689" s="234"/>
      <c r="AG1689" s="238"/>
      <c r="AH1689" s="239"/>
      <c r="AI1689" s="238"/>
      <c r="AJ1689" s="238"/>
      <c r="AK1689" s="234"/>
      <c r="AL1689" s="234"/>
      <c r="AM1689" s="234"/>
      <c r="AN1689" s="234"/>
      <c r="AO1689" s="234"/>
    </row>
    <row r="1690" ht="15.75" customHeight="1">
      <c r="A1690" s="91"/>
      <c r="B1690" s="91"/>
      <c r="C1690" s="220"/>
      <c r="D1690" s="91"/>
      <c r="E1690" s="221"/>
      <c r="F1690" s="91"/>
      <c r="G1690" s="91"/>
      <c r="H1690" s="242"/>
      <c r="I1690" s="91"/>
      <c r="J1690" s="234"/>
      <c r="K1690" s="243"/>
      <c r="L1690" s="243"/>
      <c r="M1690" s="234"/>
      <c r="N1690" s="235"/>
      <c r="O1690" s="236"/>
      <c r="P1690" s="236"/>
      <c r="Q1690" s="236"/>
      <c r="R1690" s="236"/>
      <c r="S1690" s="236"/>
      <c r="T1690" s="236"/>
      <c r="U1690" s="236"/>
      <c r="V1690" s="236"/>
      <c r="W1690" s="236"/>
      <c r="X1690" s="244"/>
      <c r="Y1690" s="244"/>
      <c r="Z1690" s="237"/>
      <c r="AA1690" s="244"/>
      <c r="AB1690" s="244"/>
      <c r="AC1690" s="244"/>
      <c r="AD1690" s="244"/>
      <c r="AE1690" s="234"/>
      <c r="AF1690" s="234"/>
      <c r="AG1690" s="238"/>
      <c r="AH1690" s="239"/>
      <c r="AI1690" s="238"/>
      <c r="AJ1690" s="238"/>
      <c r="AK1690" s="234"/>
      <c r="AL1690" s="234"/>
      <c r="AM1690" s="234"/>
      <c r="AN1690" s="234"/>
      <c r="AO1690" s="234"/>
    </row>
    <row r="1691" ht="15.75" customHeight="1">
      <c r="A1691" s="91"/>
      <c r="B1691" s="91"/>
      <c r="C1691" s="220"/>
      <c r="D1691" s="91"/>
      <c r="E1691" s="221"/>
      <c r="F1691" s="91"/>
      <c r="G1691" s="91"/>
      <c r="H1691" s="242"/>
      <c r="I1691" s="91"/>
      <c r="J1691" s="234"/>
      <c r="K1691" s="243"/>
      <c r="L1691" s="243"/>
      <c r="M1691" s="234"/>
      <c r="N1691" s="235"/>
      <c r="O1691" s="236"/>
      <c r="P1691" s="236"/>
      <c r="Q1691" s="236"/>
      <c r="R1691" s="236"/>
      <c r="S1691" s="236"/>
      <c r="T1691" s="236"/>
      <c r="U1691" s="236"/>
      <c r="V1691" s="236"/>
      <c r="W1691" s="236"/>
      <c r="X1691" s="244"/>
      <c r="Y1691" s="244"/>
      <c r="Z1691" s="237"/>
      <c r="AA1691" s="244"/>
      <c r="AB1691" s="244"/>
      <c r="AC1691" s="244"/>
      <c r="AD1691" s="244"/>
      <c r="AE1691" s="234"/>
      <c r="AF1691" s="234"/>
      <c r="AG1691" s="238"/>
      <c r="AH1691" s="239"/>
      <c r="AI1691" s="238"/>
      <c r="AJ1691" s="238"/>
      <c r="AK1691" s="234"/>
      <c r="AL1691" s="234"/>
      <c r="AM1691" s="234"/>
      <c r="AN1691" s="234"/>
      <c r="AO1691" s="234"/>
    </row>
    <row r="1692" ht="15.75" customHeight="1">
      <c r="A1692" s="91"/>
      <c r="B1692" s="91"/>
      <c r="C1692" s="220"/>
      <c r="D1692" s="91"/>
      <c r="E1692" s="221"/>
      <c r="F1692" s="91"/>
      <c r="G1692" s="91"/>
      <c r="H1692" s="242"/>
      <c r="I1692" s="91"/>
      <c r="J1692" s="234"/>
      <c r="K1692" s="243"/>
      <c r="L1692" s="243"/>
      <c r="M1692" s="234"/>
      <c r="N1692" s="235"/>
      <c r="O1692" s="236"/>
      <c r="P1692" s="236"/>
      <c r="Q1692" s="236"/>
      <c r="R1692" s="236"/>
      <c r="S1692" s="236"/>
      <c r="T1692" s="236"/>
      <c r="U1692" s="236"/>
      <c r="V1692" s="236"/>
      <c r="W1692" s="236"/>
      <c r="X1692" s="244"/>
      <c r="Y1692" s="244"/>
      <c r="Z1692" s="237"/>
      <c r="AA1692" s="244"/>
      <c r="AB1692" s="244"/>
      <c r="AC1692" s="244"/>
      <c r="AD1692" s="244"/>
      <c r="AE1692" s="234"/>
      <c r="AF1692" s="234"/>
      <c r="AG1692" s="238"/>
      <c r="AH1692" s="239"/>
      <c r="AI1692" s="238"/>
      <c r="AJ1692" s="238"/>
      <c r="AK1692" s="234"/>
      <c r="AL1692" s="234"/>
      <c r="AM1692" s="234"/>
      <c r="AN1692" s="234"/>
      <c r="AO1692" s="234"/>
    </row>
    <row r="1693" ht="15.75" customHeight="1">
      <c r="A1693" s="91"/>
      <c r="B1693" s="91"/>
      <c r="C1693" s="220"/>
      <c r="D1693" s="91"/>
      <c r="E1693" s="221"/>
      <c r="F1693" s="91"/>
      <c r="G1693" s="91"/>
      <c r="H1693" s="242"/>
      <c r="I1693" s="91"/>
      <c r="J1693" s="234"/>
      <c r="K1693" s="243"/>
      <c r="L1693" s="243"/>
      <c r="M1693" s="234"/>
      <c r="N1693" s="235"/>
      <c r="O1693" s="236"/>
      <c r="P1693" s="236"/>
      <c r="Q1693" s="236"/>
      <c r="R1693" s="236"/>
      <c r="S1693" s="236"/>
      <c r="T1693" s="236"/>
      <c r="U1693" s="236"/>
      <c r="V1693" s="236"/>
      <c r="W1693" s="236"/>
      <c r="X1693" s="244"/>
      <c r="Y1693" s="244"/>
      <c r="Z1693" s="237"/>
      <c r="AA1693" s="244"/>
      <c r="AB1693" s="244"/>
      <c r="AC1693" s="244"/>
      <c r="AD1693" s="244"/>
      <c r="AE1693" s="234"/>
      <c r="AF1693" s="234"/>
      <c r="AG1693" s="238"/>
      <c r="AH1693" s="239"/>
      <c r="AI1693" s="238"/>
      <c r="AJ1693" s="238"/>
      <c r="AK1693" s="234"/>
      <c r="AL1693" s="234"/>
      <c r="AM1693" s="234"/>
      <c r="AN1693" s="234"/>
      <c r="AO1693" s="234"/>
    </row>
    <row r="1694" ht="15.75" customHeight="1">
      <c r="A1694" s="91"/>
      <c r="B1694" s="91"/>
      <c r="C1694" s="220"/>
      <c r="D1694" s="91"/>
      <c r="E1694" s="221"/>
      <c r="F1694" s="91"/>
      <c r="G1694" s="91"/>
      <c r="H1694" s="242"/>
      <c r="I1694" s="91"/>
      <c r="J1694" s="234"/>
      <c r="K1694" s="243"/>
      <c r="L1694" s="243"/>
      <c r="M1694" s="234"/>
      <c r="N1694" s="235"/>
      <c r="O1694" s="236"/>
      <c r="P1694" s="236"/>
      <c r="Q1694" s="236"/>
      <c r="R1694" s="236"/>
      <c r="S1694" s="236"/>
      <c r="T1694" s="236"/>
      <c r="U1694" s="236"/>
      <c r="V1694" s="236"/>
      <c r="W1694" s="236"/>
      <c r="X1694" s="244"/>
      <c r="Y1694" s="244"/>
      <c r="Z1694" s="237"/>
      <c r="AA1694" s="244"/>
      <c r="AB1694" s="244"/>
      <c r="AC1694" s="244"/>
      <c r="AD1694" s="244"/>
      <c r="AE1694" s="234"/>
      <c r="AF1694" s="234"/>
      <c r="AG1694" s="238"/>
      <c r="AH1694" s="239"/>
      <c r="AI1694" s="238"/>
      <c r="AJ1694" s="238"/>
      <c r="AK1694" s="234"/>
      <c r="AL1694" s="234"/>
      <c r="AM1694" s="234"/>
      <c r="AN1694" s="234"/>
      <c r="AO1694" s="234"/>
    </row>
    <row r="1695" ht="15.75" customHeight="1">
      <c r="A1695" s="91"/>
      <c r="B1695" s="91"/>
      <c r="C1695" s="220"/>
      <c r="D1695" s="91"/>
      <c r="E1695" s="221"/>
      <c r="F1695" s="91"/>
      <c r="G1695" s="91"/>
      <c r="H1695" s="242"/>
      <c r="I1695" s="91"/>
      <c r="J1695" s="234"/>
      <c r="K1695" s="243"/>
      <c r="L1695" s="243"/>
      <c r="M1695" s="234"/>
      <c r="N1695" s="235"/>
      <c r="O1695" s="236"/>
      <c r="P1695" s="236"/>
      <c r="Q1695" s="236"/>
      <c r="R1695" s="236"/>
      <c r="S1695" s="236"/>
      <c r="T1695" s="236"/>
      <c r="U1695" s="236"/>
      <c r="V1695" s="236"/>
      <c r="W1695" s="236"/>
      <c r="X1695" s="244"/>
      <c r="Y1695" s="244"/>
      <c r="Z1695" s="237"/>
      <c r="AA1695" s="244"/>
      <c r="AB1695" s="244"/>
      <c r="AC1695" s="244"/>
      <c r="AD1695" s="244"/>
      <c r="AE1695" s="234"/>
      <c r="AF1695" s="234"/>
      <c r="AG1695" s="238"/>
      <c r="AH1695" s="239"/>
      <c r="AI1695" s="238"/>
      <c r="AJ1695" s="238"/>
      <c r="AK1695" s="234"/>
      <c r="AL1695" s="234"/>
      <c r="AM1695" s="234"/>
      <c r="AN1695" s="234"/>
      <c r="AO1695" s="234"/>
    </row>
    <row r="1696" ht="15.75" customHeight="1">
      <c r="A1696" s="91"/>
      <c r="B1696" s="91"/>
      <c r="C1696" s="220"/>
      <c r="D1696" s="91"/>
      <c r="E1696" s="221"/>
      <c r="F1696" s="91"/>
      <c r="G1696" s="91"/>
      <c r="H1696" s="242"/>
      <c r="I1696" s="91"/>
      <c r="J1696" s="234"/>
      <c r="K1696" s="243"/>
      <c r="L1696" s="243"/>
      <c r="M1696" s="234"/>
      <c r="N1696" s="235"/>
      <c r="O1696" s="236"/>
      <c r="P1696" s="236"/>
      <c r="Q1696" s="236"/>
      <c r="R1696" s="236"/>
      <c r="S1696" s="236"/>
      <c r="T1696" s="236"/>
      <c r="U1696" s="236"/>
      <c r="V1696" s="236"/>
      <c r="W1696" s="236"/>
      <c r="X1696" s="244"/>
      <c r="Y1696" s="244"/>
      <c r="Z1696" s="237"/>
      <c r="AA1696" s="244"/>
      <c r="AB1696" s="244"/>
      <c r="AC1696" s="244"/>
      <c r="AD1696" s="244"/>
      <c r="AE1696" s="234"/>
      <c r="AF1696" s="234"/>
      <c r="AG1696" s="238"/>
      <c r="AH1696" s="239"/>
      <c r="AI1696" s="238"/>
      <c r="AJ1696" s="238"/>
      <c r="AK1696" s="234"/>
      <c r="AL1696" s="234"/>
      <c r="AM1696" s="234"/>
      <c r="AN1696" s="234"/>
      <c r="AO1696" s="234"/>
    </row>
    <row r="1697" ht="15.75" customHeight="1">
      <c r="A1697" s="91"/>
      <c r="B1697" s="91"/>
      <c r="C1697" s="220"/>
      <c r="D1697" s="91"/>
      <c r="E1697" s="221"/>
      <c r="F1697" s="91"/>
      <c r="G1697" s="91"/>
      <c r="H1697" s="242"/>
      <c r="I1697" s="91"/>
      <c r="J1697" s="234"/>
      <c r="K1697" s="243"/>
      <c r="L1697" s="243"/>
      <c r="M1697" s="234"/>
      <c r="N1697" s="235"/>
      <c r="O1697" s="236"/>
      <c r="P1697" s="236"/>
      <c r="Q1697" s="236"/>
      <c r="R1697" s="236"/>
      <c r="S1697" s="236"/>
      <c r="T1697" s="236"/>
      <c r="U1697" s="236"/>
      <c r="V1697" s="236"/>
      <c r="W1697" s="236"/>
      <c r="X1697" s="244"/>
      <c r="Y1697" s="244"/>
      <c r="Z1697" s="237"/>
      <c r="AA1697" s="244"/>
      <c r="AB1697" s="244"/>
      <c r="AC1697" s="244"/>
      <c r="AD1697" s="244"/>
      <c r="AE1697" s="234"/>
      <c r="AF1697" s="234"/>
      <c r="AG1697" s="238"/>
      <c r="AH1697" s="239"/>
      <c r="AI1697" s="238"/>
      <c r="AJ1697" s="238"/>
      <c r="AK1697" s="234"/>
      <c r="AL1697" s="234"/>
      <c r="AM1697" s="234"/>
      <c r="AN1697" s="234"/>
      <c r="AO1697" s="234"/>
    </row>
    <row r="1698" ht="15.75" customHeight="1">
      <c r="A1698" s="91"/>
      <c r="B1698" s="91"/>
      <c r="C1698" s="220"/>
      <c r="D1698" s="91"/>
      <c r="E1698" s="221"/>
      <c r="F1698" s="91"/>
      <c r="G1698" s="91"/>
      <c r="H1698" s="242"/>
      <c r="I1698" s="91"/>
      <c r="J1698" s="234"/>
      <c r="K1698" s="243"/>
      <c r="L1698" s="243"/>
      <c r="M1698" s="234"/>
      <c r="N1698" s="235"/>
      <c r="O1698" s="236"/>
      <c r="P1698" s="236"/>
      <c r="Q1698" s="236"/>
      <c r="R1698" s="236"/>
      <c r="S1698" s="236"/>
      <c r="T1698" s="236"/>
      <c r="U1698" s="236"/>
      <c r="V1698" s="236"/>
      <c r="W1698" s="236"/>
      <c r="X1698" s="244"/>
      <c r="Y1698" s="244"/>
      <c r="Z1698" s="237"/>
      <c r="AA1698" s="244"/>
      <c r="AB1698" s="244"/>
      <c r="AC1698" s="244"/>
      <c r="AD1698" s="244"/>
      <c r="AE1698" s="234"/>
      <c r="AF1698" s="234"/>
      <c r="AG1698" s="238"/>
      <c r="AH1698" s="239"/>
      <c r="AI1698" s="238"/>
      <c r="AJ1698" s="238"/>
      <c r="AK1698" s="234"/>
      <c r="AL1698" s="234"/>
      <c r="AM1698" s="234"/>
      <c r="AN1698" s="234"/>
      <c r="AO1698" s="234"/>
    </row>
    <row r="1699" ht="15.75" customHeight="1">
      <c r="A1699" s="91"/>
      <c r="B1699" s="91"/>
      <c r="C1699" s="220"/>
      <c r="D1699" s="91"/>
      <c r="E1699" s="221"/>
      <c r="F1699" s="91"/>
      <c r="G1699" s="91"/>
      <c r="H1699" s="242"/>
      <c r="I1699" s="91"/>
      <c r="J1699" s="234"/>
      <c r="K1699" s="243"/>
      <c r="L1699" s="243"/>
      <c r="M1699" s="234"/>
      <c r="N1699" s="235"/>
      <c r="O1699" s="236"/>
      <c r="P1699" s="236"/>
      <c r="Q1699" s="236"/>
      <c r="R1699" s="236"/>
      <c r="S1699" s="236"/>
      <c r="T1699" s="236"/>
      <c r="U1699" s="236"/>
      <c r="V1699" s="236"/>
      <c r="W1699" s="236"/>
      <c r="X1699" s="244"/>
      <c r="Y1699" s="244"/>
      <c r="Z1699" s="237"/>
      <c r="AA1699" s="244"/>
      <c r="AB1699" s="244"/>
      <c r="AC1699" s="244"/>
      <c r="AD1699" s="244"/>
      <c r="AE1699" s="234"/>
      <c r="AF1699" s="234"/>
      <c r="AG1699" s="238"/>
      <c r="AH1699" s="239"/>
      <c r="AI1699" s="238"/>
      <c r="AJ1699" s="238"/>
      <c r="AK1699" s="234"/>
      <c r="AL1699" s="234"/>
      <c r="AM1699" s="234"/>
      <c r="AN1699" s="234"/>
      <c r="AO1699" s="234"/>
    </row>
    <row r="1700" ht="15.75" customHeight="1">
      <c r="A1700" s="91"/>
      <c r="B1700" s="91"/>
      <c r="C1700" s="220"/>
      <c r="D1700" s="91"/>
      <c r="E1700" s="221"/>
      <c r="F1700" s="91"/>
      <c r="G1700" s="91"/>
      <c r="H1700" s="242"/>
      <c r="I1700" s="91"/>
      <c r="J1700" s="234"/>
      <c r="K1700" s="243"/>
      <c r="L1700" s="243"/>
      <c r="M1700" s="234"/>
      <c r="N1700" s="235"/>
      <c r="O1700" s="236"/>
      <c r="P1700" s="236"/>
      <c r="Q1700" s="236"/>
      <c r="R1700" s="236"/>
      <c r="S1700" s="236"/>
      <c r="T1700" s="236"/>
      <c r="U1700" s="236"/>
      <c r="V1700" s="236"/>
      <c r="W1700" s="236"/>
      <c r="X1700" s="244"/>
      <c r="Y1700" s="244"/>
      <c r="Z1700" s="237"/>
      <c r="AA1700" s="244"/>
      <c r="AB1700" s="244"/>
      <c r="AC1700" s="244"/>
      <c r="AD1700" s="244"/>
      <c r="AE1700" s="234"/>
      <c r="AF1700" s="234"/>
      <c r="AG1700" s="238"/>
      <c r="AH1700" s="239"/>
      <c r="AI1700" s="238"/>
      <c r="AJ1700" s="238"/>
      <c r="AK1700" s="234"/>
      <c r="AL1700" s="234"/>
      <c r="AM1700" s="234"/>
      <c r="AN1700" s="234"/>
      <c r="AO1700" s="234"/>
    </row>
    <row r="1701" ht="15.75" customHeight="1">
      <c r="A1701" s="91"/>
      <c r="B1701" s="91"/>
      <c r="C1701" s="220"/>
      <c r="D1701" s="91"/>
      <c r="E1701" s="221"/>
      <c r="F1701" s="91"/>
      <c r="G1701" s="91"/>
      <c r="H1701" s="242"/>
      <c r="I1701" s="91"/>
      <c r="J1701" s="234"/>
      <c r="K1701" s="243"/>
      <c r="L1701" s="243"/>
      <c r="M1701" s="234"/>
      <c r="N1701" s="235"/>
      <c r="O1701" s="236"/>
      <c r="P1701" s="236"/>
      <c r="Q1701" s="236"/>
      <c r="R1701" s="236"/>
      <c r="S1701" s="236"/>
      <c r="T1701" s="236"/>
      <c r="U1701" s="236"/>
      <c r="V1701" s="236"/>
      <c r="W1701" s="236"/>
      <c r="X1701" s="244"/>
      <c r="Y1701" s="244"/>
      <c r="Z1701" s="237"/>
      <c r="AA1701" s="244"/>
      <c r="AB1701" s="244"/>
      <c r="AC1701" s="244"/>
      <c r="AD1701" s="244"/>
      <c r="AE1701" s="234"/>
      <c r="AF1701" s="234"/>
      <c r="AG1701" s="238"/>
      <c r="AH1701" s="239"/>
      <c r="AI1701" s="238"/>
      <c r="AJ1701" s="238"/>
      <c r="AK1701" s="234"/>
      <c r="AL1701" s="234"/>
      <c r="AM1701" s="234"/>
      <c r="AN1701" s="234"/>
      <c r="AO1701" s="234"/>
    </row>
    <row r="1702" ht="15.75" customHeight="1">
      <c r="A1702" s="91"/>
      <c r="B1702" s="91"/>
      <c r="C1702" s="220"/>
      <c r="D1702" s="91"/>
      <c r="E1702" s="221"/>
      <c r="F1702" s="91"/>
      <c r="G1702" s="91"/>
      <c r="H1702" s="242"/>
      <c r="I1702" s="91"/>
      <c r="J1702" s="234"/>
      <c r="K1702" s="243"/>
      <c r="L1702" s="243"/>
      <c r="M1702" s="234"/>
      <c r="N1702" s="235"/>
      <c r="O1702" s="236"/>
      <c r="P1702" s="236"/>
      <c r="Q1702" s="236"/>
      <c r="R1702" s="236"/>
      <c r="S1702" s="236"/>
      <c r="T1702" s="236"/>
      <c r="U1702" s="236"/>
      <c r="V1702" s="236"/>
      <c r="W1702" s="236"/>
      <c r="X1702" s="244"/>
      <c r="Y1702" s="244"/>
      <c r="Z1702" s="237"/>
      <c r="AA1702" s="244"/>
      <c r="AB1702" s="244"/>
      <c r="AC1702" s="244"/>
      <c r="AD1702" s="244"/>
      <c r="AE1702" s="234"/>
      <c r="AF1702" s="234"/>
      <c r="AG1702" s="238"/>
      <c r="AH1702" s="239"/>
      <c r="AI1702" s="238"/>
      <c r="AJ1702" s="238"/>
      <c r="AK1702" s="234"/>
      <c r="AL1702" s="234"/>
      <c r="AM1702" s="234"/>
      <c r="AN1702" s="234"/>
      <c r="AO1702" s="234"/>
    </row>
    <row r="1703" ht="15.75" customHeight="1">
      <c r="A1703" s="91"/>
      <c r="B1703" s="91"/>
      <c r="C1703" s="220"/>
      <c r="D1703" s="91"/>
      <c r="E1703" s="221"/>
      <c r="F1703" s="91"/>
      <c r="G1703" s="91"/>
      <c r="H1703" s="242"/>
      <c r="I1703" s="91"/>
      <c r="J1703" s="234"/>
      <c r="K1703" s="243"/>
      <c r="L1703" s="243"/>
      <c r="M1703" s="234"/>
      <c r="N1703" s="235"/>
      <c r="O1703" s="236"/>
      <c r="P1703" s="236"/>
      <c r="Q1703" s="236"/>
      <c r="R1703" s="236"/>
      <c r="S1703" s="236"/>
      <c r="T1703" s="236"/>
      <c r="U1703" s="236"/>
      <c r="V1703" s="236"/>
      <c r="W1703" s="236"/>
      <c r="X1703" s="244"/>
      <c r="Y1703" s="244"/>
      <c r="Z1703" s="237"/>
      <c r="AA1703" s="244"/>
      <c r="AB1703" s="244"/>
      <c r="AC1703" s="244"/>
      <c r="AD1703" s="244"/>
      <c r="AE1703" s="234"/>
      <c r="AF1703" s="234"/>
      <c r="AG1703" s="238"/>
      <c r="AH1703" s="239"/>
      <c r="AI1703" s="238"/>
      <c r="AJ1703" s="238"/>
      <c r="AK1703" s="234"/>
      <c r="AL1703" s="234"/>
      <c r="AM1703" s="234"/>
      <c r="AN1703" s="234"/>
      <c r="AO1703" s="234"/>
    </row>
    <row r="1704" ht="15.75" customHeight="1">
      <c r="A1704" s="91"/>
      <c r="B1704" s="91"/>
      <c r="C1704" s="220"/>
      <c r="D1704" s="91"/>
      <c r="E1704" s="221"/>
      <c r="F1704" s="91"/>
      <c r="G1704" s="91"/>
      <c r="H1704" s="242"/>
      <c r="I1704" s="91"/>
      <c r="J1704" s="234"/>
      <c r="K1704" s="243"/>
      <c r="L1704" s="243"/>
      <c r="M1704" s="234"/>
      <c r="N1704" s="235"/>
      <c r="O1704" s="236"/>
      <c r="P1704" s="236"/>
      <c r="Q1704" s="236"/>
      <c r="R1704" s="236"/>
      <c r="S1704" s="236"/>
      <c r="T1704" s="236"/>
      <c r="U1704" s="236"/>
      <c r="V1704" s="236"/>
      <c r="W1704" s="236"/>
      <c r="X1704" s="244"/>
      <c r="Y1704" s="244"/>
      <c r="Z1704" s="237"/>
      <c r="AA1704" s="244"/>
      <c r="AB1704" s="244"/>
      <c r="AC1704" s="244"/>
      <c r="AD1704" s="244"/>
      <c r="AE1704" s="234"/>
      <c r="AF1704" s="234"/>
      <c r="AG1704" s="238"/>
      <c r="AH1704" s="239"/>
      <c r="AI1704" s="238"/>
      <c r="AJ1704" s="238"/>
      <c r="AK1704" s="234"/>
      <c r="AL1704" s="234"/>
      <c r="AM1704" s="234"/>
      <c r="AN1704" s="234"/>
      <c r="AO1704" s="234"/>
    </row>
    <row r="1705" ht="15.75" customHeight="1">
      <c r="A1705" s="91"/>
      <c r="B1705" s="91"/>
      <c r="C1705" s="220"/>
      <c r="D1705" s="91"/>
      <c r="E1705" s="221"/>
      <c r="F1705" s="91"/>
      <c r="G1705" s="91"/>
      <c r="H1705" s="242"/>
      <c r="I1705" s="91"/>
      <c r="J1705" s="234"/>
      <c r="K1705" s="243"/>
      <c r="L1705" s="243"/>
      <c r="M1705" s="234"/>
      <c r="N1705" s="235"/>
      <c r="O1705" s="236"/>
      <c r="P1705" s="236"/>
      <c r="Q1705" s="236"/>
      <c r="R1705" s="236"/>
      <c r="S1705" s="236"/>
      <c r="T1705" s="236"/>
      <c r="U1705" s="236"/>
      <c r="V1705" s="236"/>
      <c r="W1705" s="236"/>
      <c r="X1705" s="244"/>
      <c r="Y1705" s="244"/>
      <c r="Z1705" s="237"/>
      <c r="AA1705" s="244"/>
      <c r="AB1705" s="244"/>
      <c r="AC1705" s="244"/>
      <c r="AD1705" s="244"/>
      <c r="AE1705" s="234"/>
      <c r="AF1705" s="234"/>
      <c r="AG1705" s="238"/>
      <c r="AH1705" s="239"/>
      <c r="AI1705" s="238"/>
      <c r="AJ1705" s="238"/>
      <c r="AK1705" s="234"/>
      <c r="AL1705" s="234"/>
      <c r="AM1705" s="234"/>
      <c r="AN1705" s="234"/>
      <c r="AO1705" s="234"/>
    </row>
    <row r="1706" ht="15.75" customHeight="1">
      <c r="A1706" s="91"/>
      <c r="B1706" s="91"/>
      <c r="C1706" s="220"/>
      <c r="D1706" s="91"/>
      <c r="E1706" s="221"/>
      <c r="F1706" s="91"/>
      <c r="G1706" s="91"/>
      <c r="H1706" s="242"/>
      <c r="I1706" s="91"/>
      <c r="J1706" s="234"/>
      <c r="K1706" s="243"/>
      <c r="L1706" s="243"/>
      <c r="M1706" s="234"/>
      <c r="N1706" s="235"/>
      <c r="O1706" s="236"/>
      <c r="P1706" s="236"/>
      <c r="Q1706" s="236"/>
      <c r="R1706" s="236"/>
      <c r="S1706" s="236"/>
      <c r="T1706" s="236"/>
      <c r="U1706" s="236"/>
      <c r="V1706" s="236"/>
      <c r="W1706" s="236"/>
      <c r="X1706" s="244"/>
      <c r="Y1706" s="244"/>
      <c r="Z1706" s="237"/>
      <c r="AA1706" s="244"/>
      <c r="AB1706" s="244"/>
      <c r="AC1706" s="244"/>
      <c r="AD1706" s="244"/>
      <c r="AE1706" s="234"/>
      <c r="AF1706" s="234"/>
      <c r="AG1706" s="238"/>
      <c r="AH1706" s="239"/>
      <c r="AI1706" s="238"/>
      <c r="AJ1706" s="238"/>
      <c r="AK1706" s="234"/>
      <c r="AL1706" s="234"/>
      <c r="AM1706" s="234"/>
      <c r="AN1706" s="234"/>
      <c r="AO1706" s="234"/>
    </row>
    <row r="1707" ht="15.75" customHeight="1">
      <c r="A1707" s="91"/>
      <c r="B1707" s="91"/>
      <c r="C1707" s="220"/>
      <c r="D1707" s="91"/>
      <c r="E1707" s="221"/>
      <c r="F1707" s="91"/>
      <c r="G1707" s="91"/>
      <c r="H1707" s="242"/>
      <c r="I1707" s="91"/>
      <c r="J1707" s="234"/>
      <c r="K1707" s="243"/>
      <c r="L1707" s="243"/>
      <c r="M1707" s="234"/>
      <c r="N1707" s="235"/>
      <c r="O1707" s="236"/>
      <c r="P1707" s="236"/>
      <c r="Q1707" s="236"/>
      <c r="R1707" s="236"/>
      <c r="S1707" s="236"/>
      <c r="T1707" s="236"/>
      <c r="U1707" s="236"/>
      <c r="V1707" s="236"/>
      <c r="W1707" s="236"/>
      <c r="X1707" s="244"/>
      <c r="Y1707" s="244"/>
      <c r="Z1707" s="237"/>
      <c r="AA1707" s="244"/>
      <c r="AB1707" s="244"/>
      <c r="AC1707" s="244"/>
      <c r="AD1707" s="244"/>
      <c r="AE1707" s="234"/>
      <c r="AF1707" s="234"/>
      <c r="AG1707" s="238"/>
      <c r="AH1707" s="239"/>
      <c r="AI1707" s="238"/>
      <c r="AJ1707" s="238"/>
      <c r="AK1707" s="234"/>
      <c r="AL1707" s="234"/>
      <c r="AM1707" s="234"/>
      <c r="AN1707" s="234"/>
      <c r="AO1707" s="234"/>
    </row>
    <row r="1708" ht="15.75" customHeight="1">
      <c r="A1708" s="91"/>
      <c r="B1708" s="91"/>
      <c r="C1708" s="220"/>
      <c r="D1708" s="91"/>
      <c r="E1708" s="221"/>
      <c r="F1708" s="91"/>
      <c r="G1708" s="91"/>
      <c r="H1708" s="242"/>
      <c r="I1708" s="91"/>
      <c r="J1708" s="234"/>
      <c r="K1708" s="243"/>
      <c r="L1708" s="243"/>
      <c r="M1708" s="234"/>
      <c r="N1708" s="235"/>
      <c r="O1708" s="236"/>
      <c r="P1708" s="236"/>
      <c r="Q1708" s="236"/>
      <c r="R1708" s="236"/>
      <c r="S1708" s="236"/>
      <c r="T1708" s="236"/>
      <c r="U1708" s="236"/>
      <c r="V1708" s="236"/>
      <c r="W1708" s="236"/>
      <c r="X1708" s="244"/>
      <c r="Y1708" s="244"/>
      <c r="Z1708" s="237"/>
      <c r="AA1708" s="244"/>
      <c r="AB1708" s="244"/>
      <c r="AC1708" s="244"/>
      <c r="AD1708" s="244"/>
      <c r="AE1708" s="234"/>
      <c r="AF1708" s="234"/>
      <c r="AG1708" s="238"/>
      <c r="AH1708" s="239"/>
      <c r="AI1708" s="238"/>
      <c r="AJ1708" s="238"/>
      <c r="AK1708" s="234"/>
      <c r="AL1708" s="234"/>
      <c r="AM1708" s="234"/>
      <c r="AN1708" s="234"/>
      <c r="AO1708" s="234"/>
    </row>
    <row r="1709" ht="15.75" customHeight="1">
      <c r="A1709" s="91"/>
      <c r="B1709" s="91"/>
      <c r="C1709" s="220"/>
      <c r="D1709" s="91"/>
      <c r="E1709" s="221"/>
      <c r="F1709" s="91"/>
      <c r="G1709" s="91"/>
      <c r="H1709" s="242"/>
      <c r="I1709" s="91"/>
      <c r="J1709" s="234"/>
      <c r="K1709" s="243"/>
      <c r="L1709" s="243"/>
      <c r="M1709" s="234"/>
      <c r="N1709" s="235"/>
      <c r="O1709" s="236"/>
      <c r="P1709" s="236"/>
      <c r="Q1709" s="236"/>
      <c r="R1709" s="236"/>
      <c r="S1709" s="236"/>
      <c r="T1709" s="236"/>
      <c r="U1709" s="236"/>
      <c r="V1709" s="236"/>
      <c r="W1709" s="236"/>
      <c r="X1709" s="244"/>
      <c r="Y1709" s="244"/>
      <c r="Z1709" s="237"/>
      <c r="AA1709" s="244"/>
      <c r="AB1709" s="244"/>
      <c r="AC1709" s="244"/>
      <c r="AD1709" s="244"/>
      <c r="AE1709" s="234"/>
      <c r="AF1709" s="234"/>
      <c r="AG1709" s="238"/>
      <c r="AH1709" s="239"/>
      <c r="AI1709" s="238"/>
      <c r="AJ1709" s="238"/>
      <c r="AK1709" s="234"/>
      <c r="AL1709" s="234"/>
      <c r="AM1709" s="234"/>
      <c r="AN1709" s="234"/>
      <c r="AO1709" s="234"/>
    </row>
    <row r="1710" ht="15.75" customHeight="1">
      <c r="A1710" s="91"/>
      <c r="B1710" s="91"/>
      <c r="C1710" s="220"/>
      <c r="D1710" s="91"/>
      <c r="E1710" s="221"/>
      <c r="F1710" s="91"/>
      <c r="G1710" s="91"/>
      <c r="H1710" s="242"/>
      <c r="I1710" s="91"/>
      <c r="J1710" s="234"/>
      <c r="K1710" s="243"/>
      <c r="L1710" s="243"/>
      <c r="M1710" s="234"/>
      <c r="N1710" s="235"/>
      <c r="O1710" s="236"/>
      <c r="P1710" s="236"/>
      <c r="Q1710" s="236"/>
      <c r="R1710" s="236"/>
      <c r="S1710" s="236"/>
      <c r="T1710" s="236"/>
      <c r="U1710" s="236"/>
      <c r="V1710" s="236"/>
      <c r="W1710" s="236"/>
      <c r="X1710" s="244"/>
      <c r="Y1710" s="244"/>
      <c r="Z1710" s="237"/>
      <c r="AA1710" s="244"/>
      <c r="AB1710" s="244"/>
      <c r="AC1710" s="244"/>
      <c r="AD1710" s="244"/>
      <c r="AE1710" s="234"/>
      <c r="AF1710" s="234"/>
      <c r="AG1710" s="238"/>
      <c r="AH1710" s="239"/>
      <c r="AI1710" s="238"/>
      <c r="AJ1710" s="238"/>
      <c r="AK1710" s="234"/>
      <c r="AL1710" s="234"/>
      <c r="AM1710" s="234"/>
      <c r="AN1710" s="234"/>
      <c r="AO1710" s="234"/>
    </row>
    <row r="1711" ht="15.75" customHeight="1">
      <c r="A1711" s="91"/>
      <c r="B1711" s="91"/>
      <c r="C1711" s="220"/>
      <c r="D1711" s="91"/>
      <c r="E1711" s="221"/>
      <c r="F1711" s="91"/>
      <c r="G1711" s="91"/>
      <c r="H1711" s="242"/>
      <c r="I1711" s="91"/>
      <c r="J1711" s="234"/>
      <c r="K1711" s="243"/>
      <c r="L1711" s="243"/>
      <c r="M1711" s="234"/>
      <c r="N1711" s="235"/>
      <c r="O1711" s="236"/>
      <c r="P1711" s="236"/>
      <c r="Q1711" s="236"/>
      <c r="R1711" s="236"/>
      <c r="S1711" s="236"/>
      <c r="T1711" s="236"/>
      <c r="U1711" s="236"/>
      <c r="V1711" s="236"/>
      <c r="W1711" s="236"/>
      <c r="X1711" s="244"/>
      <c r="Y1711" s="244"/>
      <c r="Z1711" s="237"/>
      <c r="AA1711" s="244"/>
      <c r="AB1711" s="244"/>
      <c r="AC1711" s="244"/>
      <c r="AD1711" s="244"/>
      <c r="AE1711" s="234"/>
      <c r="AF1711" s="234"/>
      <c r="AG1711" s="238"/>
      <c r="AH1711" s="239"/>
      <c r="AI1711" s="238"/>
      <c r="AJ1711" s="238"/>
      <c r="AK1711" s="234"/>
      <c r="AL1711" s="234"/>
      <c r="AM1711" s="234"/>
      <c r="AN1711" s="234"/>
      <c r="AO1711" s="234"/>
    </row>
    <row r="1712" ht="15.75" customHeight="1">
      <c r="A1712" s="91"/>
      <c r="B1712" s="91"/>
      <c r="C1712" s="220"/>
      <c r="D1712" s="91"/>
      <c r="E1712" s="221"/>
      <c r="F1712" s="91"/>
      <c r="G1712" s="91"/>
      <c r="H1712" s="242"/>
      <c r="I1712" s="91"/>
      <c r="J1712" s="234"/>
      <c r="K1712" s="243"/>
      <c r="L1712" s="243"/>
      <c r="M1712" s="234"/>
      <c r="N1712" s="235"/>
      <c r="O1712" s="236"/>
      <c r="P1712" s="236"/>
      <c r="Q1712" s="236"/>
      <c r="R1712" s="236"/>
      <c r="S1712" s="236"/>
      <c r="T1712" s="236"/>
      <c r="U1712" s="236"/>
      <c r="V1712" s="236"/>
      <c r="W1712" s="236"/>
      <c r="X1712" s="244"/>
      <c r="Y1712" s="244"/>
      <c r="Z1712" s="237"/>
      <c r="AA1712" s="244"/>
      <c r="AB1712" s="244"/>
      <c r="AC1712" s="244"/>
      <c r="AD1712" s="244"/>
      <c r="AE1712" s="234"/>
      <c r="AF1712" s="234"/>
      <c r="AG1712" s="238"/>
      <c r="AH1712" s="239"/>
      <c r="AI1712" s="238"/>
      <c r="AJ1712" s="238"/>
      <c r="AK1712" s="234"/>
      <c r="AL1712" s="234"/>
      <c r="AM1712" s="234"/>
      <c r="AN1712" s="234"/>
      <c r="AO1712" s="234"/>
    </row>
    <row r="1713" ht="15.75" customHeight="1">
      <c r="A1713" s="91"/>
      <c r="B1713" s="91"/>
      <c r="C1713" s="220"/>
      <c r="D1713" s="91"/>
      <c r="E1713" s="221"/>
      <c r="F1713" s="91"/>
      <c r="G1713" s="91"/>
      <c r="H1713" s="242"/>
      <c r="I1713" s="91"/>
      <c r="J1713" s="234"/>
      <c r="K1713" s="243"/>
      <c r="L1713" s="243"/>
      <c r="M1713" s="234"/>
      <c r="N1713" s="235"/>
      <c r="O1713" s="236"/>
      <c r="P1713" s="236"/>
      <c r="Q1713" s="236"/>
      <c r="R1713" s="236"/>
      <c r="S1713" s="236"/>
      <c r="T1713" s="236"/>
      <c r="U1713" s="236"/>
      <c r="V1713" s="236"/>
      <c r="W1713" s="236"/>
      <c r="X1713" s="244"/>
      <c r="Y1713" s="244"/>
      <c r="Z1713" s="237"/>
      <c r="AA1713" s="244"/>
      <c r="AB1713" s="244"/>
      <c r="AC1713" s="244"/>
      <c r="AD1713" s="244"/>
      <c r="AE1713" s="234"/>
      <c r="AF1713" s="234"/>
      <c r="AG1713" s="238"/>
      <c r="AH1713" s="239"/>
      <c r="AI1713" s="238"/>
      <c r="AJ1713" s="238"/>
      <c r="AK1713" s="234"/>
      <c r="AL1713" s="234"/>
      <c r="AM1713" s="234"/>
      <c r="AN1713" s="234"/>
      <c r="AO1713" s="234"/>
    </row>
    <row r="1714" ht="15.75" customHeight="1">
      <c r="A1714" s="91"/>
      <c r="B1714" s="91"/>
      <c r="C1714" s="220"/>
      <c r="D1714" s="91"/>
      <c r="E1714" s="221"/>
      <c r="F1714" s="91"/>
      <c r="G1714" s="91"/>
      <c r="H1714" s="242"/>
      <c r="I1714" s="91"/>
      <c r="J1714" s="234"/>
      <c r="K1714" s="243"/>
      <c r="L1714" s="243"/>
      <c r="M1714" s="234"/>
      <c r="N1714" s="235"/>
      <c r="O1714" s="236"/>
      <c r="P1714" s="236"/>
      <c r="Q1714" s="236"/>
      <c r="R1714" s="236"/>
      <c r="S1714" s="236"/>
      <c r="T1714" s="236"/>
      <c r="U1714" s="236"/>
      <c r="V1714" s="236"/>
      <c r="W1714" s="236"/>
      <c r="X1714" s="244"/>
      <c r="Y1714" s="244"/>
      <c r="Z1714" s="237"/>
      <c r="AA1714" s="244"/>
      <c r="AB1714" s="244"/>
      <c r="AC1714" s="244"/>
      <c r="AD1714" s="244"/>
      <c r="AE1714" s="234"/>
      <c r="AF1714" s="234"/>
      <c r="AG1714" s="238"/>
      <c r="AH1714" s="239"/>
      <c r="AI1714" s="238"/>
      <c r="AJ1714" s="238"/>
      <c r="AK1714" s="234"/>
      <c r="AL1714" s="234"/>
      <c r="AM1714" s="234"/>
      <c r="AN1714" s="234"/>
      <c r="AO1714" s="234"/>
    </row>
    <row r="1715" ht="15.75" customHeight="1">
      <c r="A1715" s="91"/>
      <c r="B1715" s="91"/>
      <c r="C1715" s="220"/>
      <c r="D1715" s="91"/>
      <c r="E1715" s="221"/>
      <c r="F1715" s="91"/>
      <c r="G1715" s="91"/>
      <c r="H1715" s="242"/>
      <c r="I1715" s="91"/>
      <c r="J1715" s="234"/>
      <c r="K1715" s="243"/>
      <c r="L1715" s="243"/>
      <c r="M1715" s="234"/>
      <c r="N1715" s="235"/>
      <c r="O1715" s="236"/>
      <c r="P1715" s="236"/>
      <c r="Q1715" s="236"/>
      <c r="R1715" s="236"/>
      <c r="S1715" s="236"/>
      <c r="T1715" s="236"/>
      <c r="U1715" s="236"/>
      <c r="V1715" s="236"/>
      <c r="W1715" s="236"/>
      <c r="X1715" s="244"/>
      <c r="Y1715" s="244"/>
      <c r="Z1715" s="237"/>
      <c r="AA1715" s="244"/>
      <c r="AB1715" s="244"/>
      <c r="AC1715" s="244"/>
      <c r="AD1715" s="244"/>
      <c r="AE1715" s="234"/>
      <c r="AF1715" s="234"/>
      <c r="AG1715" s="238"/>
      <c r="AH1715" s="239"/>
      <c r="AI1715" s="238"/>
      <c r="AJ1715" s="238"/>
      <c r="AK1715" s="234"/>
      <c r="AL1715" s="234"/>
      <c r="AM1715" s="234"/>
      <c r="AN1715" s="234"/>
      <c r="AO1715" s="234"/>
    </row>
    <row r="1716" ht="15.75" customHeight="1">
      <c r="A1716" s="91"/>
      <c r="B1716" s="91"/>
      <c r="C1716" s="220"/>
      <c r="D1716" s="91"/>
      <c r="E1716" s="221"/>
      <c r="F1716" s="91"/>
      <c r="G1716" s="91"/>
      <c r="H1716" s="242"/>
      <c r="I1716" s="91"/>
      <c r="J1716" s="234"/>
      <c r="K1716" s="243"/>
      <c r="L1716" s="243"/>
      <c r="M1716" s="234"/>
      <c r="N1716" s="235"/>
      <c r="O1716" s="236"/>
      <c r="P1716" s="236"/>
      <c r="Q1716" s="236"/>
      <c r="R1716" s="236"/>
      <c r="S1716" s="236"/>
      <c r="T1716" s="236"/>
      <c r="U1716" s="236"/>
      <c r="V1716" s="236"/>
      <c r="W1716" s="236"/>
      <c r="X1716" s="244"/>
      <c r="Y1716" s="244"/>
      <c r="Z1716" s="237"/>
      <c r="AA1716" s="244"/>
      <c r="AB1716" s="244"/>
      <c r="AC1716" s="244"/>
      <c r="AD1716" s="244"/>
      <c r="AE1716" s="234"/>
      <c r="AF1716" s="234"/>
      <c r="AG1716" s="238"/>
      <c r="AH1716" s="239"/>
      <c r="AI1716" s="238"/>
      <c r="AJ1716" s="238"/>
      <c r="AK1716" s="234"/>
      <c r="AL1716" s="234"/>
      <c r="AM1716" s="234"/>
      <c r="AN1716" s="234"/>
      <c r="AO1716" s="234"/>
    </row>
    <row r="1717" ht="15.75" customHeight="1">
      <c r="A1717" s="91"/>
      <c r="B1717" s="91"/>
      <c r="C1717" s="220"/>
      <c r="D1717" s="91"/>
      <c r="E1717" s="221"/>
      <c r="F1717" s="91"/>
      <c r="G1717" s="91"/>
      <c r="H1717" s="242"/>
      <c r="I1717" s="91"/>
      <c r="J1717" s="234"/>
      <c r="K1717" s="243"/>
      <c r="L1717" s="243"/>
      <c r="M1717" s="234"/>
      <c r="N1717" s="235"/>
      <c r="O1717" s="236"/>
      <c r="P1717" s="236"/>
      <c r="Q1717" s="236"/>
      <c r="R1717" s="236"/>
      <c r="S1717" s="236"/>
      <c r="T1717" s="236"/>
      <c r="U1717" s="236"/>
      <c r="V1717" s="236"/>
      <c r="W1717" s="236"/>
      <c r="X1717" s="244"/>
      <c r="Y1717" s="244"/>
      <c r="Z1717" s="237"/>
      <c r="AA1717" s="244"/>
      <c r="AB1717" s="244"/>
      <c r="AC1717" s="244"/>
      <c r="AD1717" s="244"/>
      <c r="AE1717" s="234"/>
      <c r="AF1717" s="234"/>
      <c r="AG1717" s="238"/>
      <c r="AH1717" s="239"/>
      <c r="AI1717" s="238"/>
      <c r="AJ1717" s="238"/>
      <c r="AK1717" s="234"/>
      <c r="AL1717" s="234"/>
      <c r="AM1717" s="234"/>
      <c r="AN1717" s="234"/>
      <c r="AO1717" s="234"/>
    </row>
    <row r="1718" ht="15.75" customHeight="1">
      <c r="A1718" s="91"/>
      <c r="B1718" s="91"/>
      <c r="C1718" s="220"/>
      <c r="D1718" s="91"/>
      <c r="E1718" s="221"/>
      <c r="F1718" s="91"/>
      <c r="G1718" s="91"/>
      <c r="H1718" s="242"/>
      <c r="I1718" s="91"/>
      <c r="J1718" s="234"/>
      <c r="K1718" s="243"/>
      <c r="L1718" s="243"/>
      <c r="M1718" s="234"/>
      <c r="N1718" s="235"/>
      <c r="O1718" s="236"/>
      <c r="P1718" s="236"/>
      <c r="Q1718" s="236"/>
      <c r="R1718" s="236"/>
      <c r="S1718" s="236"/>
      <c r="T1718" s="236"/>
      <c r="U1718" s="236"/>
      <c r="V1718" s="236"/>
      <c r="W1718" s="236"/>
      <c r="X1718" s="244"/>
      <c r="Y1718" s="244"/>
      <c r="Z1718" s="237"/>
      <c r="AA1718" s="244"/>
      <c r="AB1718" s="244"/>
      <c r="AC1718" s="244"/>
      <c r="AD1718" s="244"/>
      <c r="AE1718" s="234"/>
      <c r="AF1718" s="234"/>
      <c r="AG1718" s="238"/>
      <c r="AH1718" s="239"/>
      <c r="AI1718" s="238"/>
      <c r="AJ1718" s="238"/>
      <c r="AK1718" s="234"/>
      <c r="AL1718" s="234"/>
      <c r="AM1718" s="234"/>
      <c r="AN1718" s="234"/>
      <c r="AO1718" s="234"/>
    </row>
    <row r="1719" ht="15.75" customHeight="1">
      <c r="A1719" s="91"/>
      <c r="B1719" s="91"/>
      <c r="C1719" s="220"/>
      <c r="D1719" s="91"/>
      <c r="E1719" s="221"/>
      <c r="F1719" s="91"/>
      <c r="G1719" s="91"/>
      <c r="H1719" s="242"/>
      <c r="I1719" s="91"/>
      <c r="J1719" s="234"/>
      <c r="K1719" s="243"/>
      <c r="L1719" s="243"/>
      <c r="M1719" s="234"/>
      <c r="N1719" s="235"/>
      <c r="O1719" s="236"/>
      <c r="P1719" s="236"/>
      <c r="Q1719" s="236"/>
      <c r="R1719" s="236"/>
      <c r="S1719" s="236"/>
      <c r="T1719" s="236"/>
      <c r="U1719" s="236"/>
      <c r="V1719" s="236"/>
      <c r="W1719" s="236"/>
      <c r="X1719" s="244"/>
      <c r="Y1719" s="244"/>
      <c r="Z1719" s="237"/>
      <c r="AA1719" s="244"/>
      <c r="AB1719" s="244"/>
      <c r="AC1719" s="244"/>
      <c r="AD1719" s="244"/>
      <c r="AE1719" s="234"/>
      <c r="AF1719" s="234"/>
      <c r="AG1719" s="238"/>
      <c r="AH1719" s="239"/>
      <c r="AI1719" s="238"/>
      <c r="AJ1719" s="238"/>
      <c r="AK1719" s="234"/>
      <c r="AL1719" s="234"/>
      <c r="AM1719" s="234"/>
      <c r="AN1719" s="234"/>
      <c r="AO1719" s="234"/>
    </row>
    <row r="1720" ht="15.75" customHeight="1">
      <c r="A1720" s="91"/>
      <c r="B1720" s="91"/>
      <c r="C1720" s="220"/>
      <c r="D1720" s="91"/>
      <c r="E1720" s="221"/>
      <c r="F1720" s="91"/>
      <c r="G1720" s="91"/>
      <c r="H1720" s="242"/>
      <c r="I1720" s="91"/>
      <c r="J1720" s="234"/>
      <c r="K1720" s="243"/>
      <c r="L1720" s="243"/>
      <c r="M1720" s="234"/>
      <c r="N1720" s="235"/>
      <c r="O1720" s="236"/>
      <c r="P1720" s="236"/>
      <c r="Q1720" s="236"/>
      <c r="R1720" s="236"/>
      <c r="S1720" s="236"/>
      <c r="T1720" s="236"/>
      <c r="U1720" s="236"/>
      <c r="V1720" s="236"/>
      <c r="W1720" s="236"/>
      <c r="X1720" s="244"/>
      <c r="Y1720" s="244"/>
      <c r="Z1720" s="237"/>
      <c r="AA1720" s="244"/>
      <c r="AB1720" s="244"/>
      <c r="AC1720" s="244"/>
      <c r="AD1720" s="244"/>
      <c r="AE1720" s="234"/>
      <c r="AF1720" s="234"/>
      <c r="AG1720" s="238"/>
      <c r="AH1720" s="239"/>
      <c r="AI1720" s="238"/>
      <c r="AJ1720" s="238"/>
      <c r="AK1720" s="234"/>
      <c r="AL1720" s="234"/>
      <c r="AM1720" s="234"/>
      <c r="AN1720" s="234"/>
      <c r="AO1720" s="234"/>
    </row>
    <row r="1721" ht="15.75" customHeight="1">
      <c r="A1721" s="91"/>
      <c r="B1721" s="91"/>
      <c r="C1721" s="220"/>
      <c r="D1721" s="91"/>
      <c r="E1721" s="221"/>
      <c r="F1721" s="91"/>
      <c r="G1721" s="91"/>
      <c r="H1721" s="242"/>
      <c r="I1721" s="91"/>
      <c r="J1721" s="234"/>
      <c r="K1721" s="243"/>
      <c r="L1721" s="243"/>
      <c r="M1721" s="234"/>
      <c r="N1721" s="235"/>
      <c r="O1721" s="236"/>
      <c r="P1721" s="236"/>
      <c r="Q1721" s="236"/>
      <c r="R1721" s="236"/>
      <c r="S1721" s="236"/>
      <c r="T1721" s="236"/>
      <c r="U1721" s="236"/>
      <c r="V1721" s="236"/>
      <c r="W1721" s="236"/>
      <c r="X1721" s="244"/>
      <c r="Y1721" s="244"/>
      <c r="Z1721" s="237"/>
      <c r="AA1721" s="244"/>
      <c r="AB1721" s="244"/>
      <c r="AC1721" s="244"/>
      <c r="AD1721" s="244"/>
      <c r="AE1721" s="234"/>
      <c r="AF1721" s="234"/>
      <c r="AG1721" s="238"/>
      <c r="AH1721" s="239"/>
      <c r="AI1721" s="238"/>
      <c r="AJ1721" s="238"/>
      <c r="AK1721" s="234"/>
      <c r="AL1721" s="234"/>
      <c r="AM1721" s="234"/>
      <c r="AN1721" s="234"/>
      <c r="AO1721" s="234"/>
    </row>
    <row r="1722" ht="15.75" customHeight="1">
      <c r="A1722" s="91"/>
      <c r="B1722" s="91"/>
      <c r="C1722" s="220"/>
      <c r="D1722" s="91"/>
      <c r="E1722" s="221"/>
      <c r="F1722" s="91"/>
      <c r="G1722" s="91"/>
      <c r="H1722" s="242"/>
      <c r="I1722" s="91"/>
      <c r="J1722" s="234"/>
      <c r="K1722" s="243"/>
      <c r="L1722" s="243"/>
      <c r="M1722" s="234"/>
      <c r="N1722" s="235"/>
      <c r="O1722" s="236"/>
      <c r="P1722" s="236"/>
      <c r="Q1722" s="236"/>
      <c r="R1722" s="236"/>
      <c r="S1722" s="236"/>
      <c r="T1722" s="236"/>
      <c r="U1722" s="236"/>
      <c r="V1722" s="236"/>
      <c r="W1722" s="236"/>
      <c r="X1722" s="244"/>
      <c r="Y1722" s="244"/>
      <c r="Z1722" s="237"/>
      <c r="AA1722" s="244"/>
      <c r="AB1722" s="244"/>
      <c r="AC1722" s="244"/>
      <c r="AD1722" s="244"/>
      <c r="AE1722" s="234"/>
      <c r="AF1722" s="234"/>
      <c r="AG1722" s="238"/>
      <c r="AH1722" s="239"/>
      <c r="AI1722" s="238"/>
      <c r="AJ1722" s="238"/>
      <c r="AK1722" s="234"/>
      <c r="AL1722" s="234"/>
      <c r="AM1722" s="234"/>
      <c r="AN1722" s="234"/>
      <c r="AO1722" s="234"/>
    </row>
    <row r="1723" ht="15.75" customHeight="1">
      <c r="A1723" s="91"/>
      <c r="B1723" s="91"/>
      <c r="C1723" s="220"/>
      <c r="D1723" s="91"/>
      <c r="E1723" s="221"/>
      <c r="F1723" s="91"/>
      <c r="G1723" s="91"/>
      <c r="H1723" s="242"/>
      <c r="I1723" s="91"/>
      <c r="J1723" s="234"/>
      <c r="K1723" s="243"/>
      <c r="L1723" s="243"/>
      <c r="M1723" s="234"/>
      <c r="N1723" s="235"/>
      <c r="O1723" s="236"/>
      <c r="P1723" s="236"/>
      <c r="Q1723" s="236"/>
      <c r="R1723" s="236"/>
      <c r="S1723" s="236"/>
      <c r="T1723" s="236"/>
      <c r="U1723" s="236"/>
      <c r="V1723" s="236"/>
      <c r="W1723" s="236"/>
      <c r="X1723" s="244"/>
      <c r="Y1723" s="244"/>
      <c r="Z1723" s="237"/>
      <c r="AA1723" s="244"/>
      <c r="AB1723" s="244"/>
      <c r="AC1723" s="244"/>
      <c r="AD1723" s="244"/>
      <c r="AE1723" s="234"/>
      <c r="AF1723" s="234"/>
      <c r="AG1723" s="238"/>
      <c r="AH1723" s="239"/>
      <c r="AI1723" s="238"/>
      <c r="AJ1723" s="238"/>
      <c r="AK1723" s="234"/>
      <c r="AL1723" s="234"/>
      <c r="AM1723" s="234"/>
      <c r="AN1723" s="234"/>
      <c r="AO1723" s="234"/>
    </row>
    <row r="1724" ht="15.75" customHeight="1">
      <c r="A1724" s="91"/>
      <c r="B1724" s="91"/>
      <c r="C1724" s="220"/>
      <c r="D1724" s="91"/>
      <c r="E1724" s="221"/>
      <c r="F1724" s="91"/>
      <c r="G1724" s="91"/>
      <c r="H1724" s="242"/>
      <c r="I1724" s="91"/>
      <c r="J1724" s="234"/>
      <c r="K1724" s="243"/>
      <c r="L1724" s="243"/>
      <c r="M1724" s="234"/>
      <c r="N1724" s="235"/>
      <c r="O1724" s="236"/>
      <c r="P1724" s="236"/>
      <c r="Q1724" s="236"/>
      <c r="R1724" s="236"/>
      <c r="S1724" s="236"/>
      <c r="T1724" s="236"/>
      <c r="U1724" s="236"/>
      <c r="V1724" s="236"/>
      <c r="W1724" s="236"/>
      <c r="X1724" s="244"/>
      <c r="Y1724" s="244"/>
      <c r="Z1724" s="237"/>
      <c r="AA1724" s="244"/>
      <c r="AB1724" s="244"/>
      <c r="AC1724" s="244"/>
      <c r="AD1724" s="244"/>
      <c r="AE1724" s="234"/>
      <c r="AF1724" s="234"/>
      <c r="AG1724" s="238"/>
      <c r="AH1724" s="239"/>
      <c r="AI1724" s="238"/>
      <c r="AJ1724" s="238"/>
      <c r="AK1724" s="234"/>
      <c r="AL1724" s="234"/>
      <c r="AM1724" s="234"/>
      <c r="AN1724" s="234"/>
      <c r="AO1724" s="234"/>
    </row>
    <row r="1725" ht="15.75" customHeight="1">
      <c r="A1725" s="91"/>
      <c r="B1725" s="91"/>
      <c r="C1725" s="220"/>
      <c r="D1725" s="91"/>
      <c r="E1725" s="221"/>
      <c r="F1725" s="91"/>
      <c r="G1725" s="91"/>
      <c r="H1725" s="242"/>
      <c r="I1725" s="91"/>
      <c r="J1725" s="234"/>
      <c r="K1725" s="243"/>
      <c r="L1725" s="243"/>
      <c r="M1725" s="234"/>
      <c r="N1725" s="235"/>
      <c r="O1725" s="236"/>
      <c r="P1725" s="236"/>
      <c r="Q1725" s="236"/>
      <c r="R1725" s="236"/>
      <c r="S1725" s="236"/>
      <c r="T1725" s="236"/>
      <c r="U1725" s="236"/>
      <c r="V1725" s="236"/>
      <c r="W1725" s="236"/>
      <c r="X1725" s="244"/>
      <c r="Y1725" s="244"/>
      <c r="Z1725" s="237"/>
      <c r="AA1725" s="244"/>
      <c r="AB1725" s="244"/>
      <c r="AC1725" s="244"/>
      <c r="AD1725" s="244"/>
      <c r="AE1725" s="234"/>
      <c r="AF1725" s="234"/>
      <c r="AG1725" s="238"/>
      <c r="AH1725" s="239"/>
      <c r="AI1725" s="238"/>
      <c r="AJ1725" s="238"/>
      <c r="AK1725" s="234"/>
      <c r="AL1725" s="234"/>
      <c r="AM1725" s="234"/>
      <c r="AN1725" s="234"/>
      <c r="AO1725" s="234"/>
    </row>
    <row r="1726" ht="15.75" customHeight="1">
      <c r="A1726" s="91"/>
      <c r="B1726" s="91"/>
      <c r="C1726" s="220"/>
      <c r="D1726" s="91"/>
      <c r="E1726" s="221"/>
      <c r="F1726" s="91"/>
      <c r="G1726" s="91"/>
      <c r="H1726" s="242"/>
      <c r="I1726" s="91"/>
      <c r="J1726" s="234"/>
      <c r="K1726" s="243"/>
      <c r="L1726" s="243"/>
      <c r="M1726" s="234"/>
      <c r="N1726" s="235"/>
      <c r="O1726" s="236"/>
      <c r="P1726" s="236"/>
      <c r="Q1726" s="236"/>
      <c r="R1726" s="236"/>
      <c r="S1726" s="236"/>
      <c r="T1726" s="236"/>
      <c r="U1726" s="236"/>
      <c r="V1726" s="236"/>
      <c r="W1726" s="236"/>
      <c r="X1726" s="244"/>
      <c r="Y1726" s="244"/>
      <c r="Z1726" s="237"/>
      <c r="AA1726" s="244"/>
      <c r="AB1726" s="244"/>
      <c r="AC1726" s="244"/>
      <c r="AD1726" s="244"/>
      <c r="AE1726" s="234"/>
      <c r="AF1726" s="234"/>
      <c r="AG1726" s="238"/>
      <c r="AH1726" s="239"/>
      <c r="AI1726" s="238"/>
      <c r="AJ1726" s="238"/>
      <c r="AK1726" s="234"/>
      <c r="AL1726" s="234"/>
      <c r="AM1726" s="234"/>
      <c r="AN1726" s="234"/>
      <c r="AO1726" s="234"/>
    </row>
    <row r="1727" ht="15.75" customHeight="1">
      <c r="A1727" s="91"/>
      <c r="B1727" s="91"/>
      <c r="C1727" s="220"/>
      <c r="D1727" s="91"/>
      <c r="E1727" s="221"/>
      <c r="F1727" s="91"/>
      <c r="G1727" s="91"/>
      <c r="H1727" s="242"/>
      <c r="I1727" s="91"/>
      <c r="J1727" s="234"/>
      <c r="K1727" s="243"/>
      <c r="L1727" s="243"/>
      <c r="M1727" s="234"/>
      <c r="N1727" s="235"/>
      <c r="O1727" s="236"/>
      <c r="P1727" s="236"/>
      <c r="Q1727" s="236"/>
      <c r="R1727" s="236"/>
      <c r="S1727" s="236"/>
      <c r="T1727" s="236"/>
      <c r="U1727" s="236"/>
      <c r="V1727" s="236"/>
      <c r="W1727" s="236"/>
      <c r="X1727" s="244"/>
      <c r="Y1727" s="244"/>
      <c r="Z1727" s="237"/>
      <c r="AA1727" s="244"/>
      <c r="AB1727" s="244"/>
      <c r="AC1727" s="244"/>
      <c r="AD1727" s="244"/>
      <c r="AE1727" s="234"/>
      <c r="AF1727" s="234"/>
      <c r="AG1727" s="238"/>
      <c r="AH1727" s="239"/>
      <c r="AI1727" s="238"/>
      <c r="AJ1727" s="238"/>
      <c r="AK1727" s="234"/>
      <c r="AL1727" s="234"/>
      <c r="AM1727" s="234"/>
      <c r="AN1727" s="234"/>
      <c r="AO1727" s="234"/>
    </row>
    <row r="1728" ht="15.75" customHeight="1">
      <c r="A1728" s="91"/>
      <c r="B1728" s="91"/>
      <c r="C1728" s="220"/>
      <c r="D1728" s="91"/>
      <c r="E1728" s="221"/>
      <c r="F1728" s="91"/>
      <c r="G1728" s="91"/>
      <c r="H1728" s="242"/>
      <c r="I1728" s="91"/>
      <c r="J1728" s="234"/>
      <c r="K1728" s="243"/>
      <c r="L1728" s="243"/>
      <c r="M1728" s="234"/>
      <c r="N1728" s="235"/>
      <c r="O1728" s="236"/>
      <c r="P1728" s="236"/>
      <c r="Q1728" s="236"/>
      <c r="R1728" s="236"/>
      <c r="S1728" s="236"/>
      <c r="T1728" s="236"/>
      <c r="U1728" s="236"/>
      <c r="V1728" s="236"/>
      <c r="W1728" s="236"/>
      <c r="X1728" s="244"/>
      <c r="Y1728" s="244"/>
      <c r="Z1728" s="237"/>
      <c r="AA1728" s="244"/>
      <c r="AB1728" s="244"/>
      <c r="AC1728" s="244"/>
      <c r="AD1728" s="244"/>
      <c r="AE1728" s="234"/>
      <c r="AF1728" s="234"/>
      <c r="AG1728" s="238"/>
      <c r="AH1728" s="239"/>
      <c r="AI1728" s="238"/>
      <c r="AJ1728" s="238"/>
      <c r="AK1728" s="234"/>
      <c r="AL1728" s="234"/>
      <c r="AM1728" s="234"/>
      <c r="AN1728" s="234"/>
      <c r="AO1728" s="234"/>
    </row>
    <row r="1729" ht="15.75" customHeight="1">
      <c r="A1729" s="91"/>
      <c r="B1729" s="91"/>
      <c r="C1729" s="220"/>
      <c r="D1729" s="91"/>
      <c r="E1729" s="221"/>
      <c r="F1729" s="91"/>
      <c r="G1729" s="91"/>
      <c r="H1729" s="242"/>
      <c r="I1729" s="91"/>
      <c r="J1729" s="234"/>
      <c r="K1729" s="243"/>
      <c r="L1729" s="243"/>
      <c r="M1729" s="234"/>
      <c r="N1729" s="235"/>
      <c r="O1729" s="236"/>
      <c r="P1729" s="236"/>
      <c r="Q1729" s="236"/>
      <c r="R1729" s="236"/>
      <c r="S1729" s="236"/>
      <c r="T1729" s="236"/>
      <c r="U1729" s="236"/>
      <c r="V1729" s="236"/>
      <c r="W1729" s="236"/>
      <c r="X1729" s="244"/>
      <c r="Y1729" s="244"/>
      <c r="Z1729" s="237"/>
      <c r="AA1729" s="244"/>
      <c r="AB1729" s="244"/>
      <c r="AC1729" s="244"/>
      <c r="AD1729" s="244"/>
      <c r="AE1729" s="234"/>
      <c r="AF1729" s="234"/>
      <c r="AG1729" s="238"/>
      <c r="AH1729" s="239"/>
      <c r="AI1729" s="238"/>
      <c r="AJ1729" s="238"/>
      <c r="AK1729" s="234"/>
      <c r="AL1729" s="234"/>
      <c r="AM1729" s="234"/>
      <c r="AN1729" s="234"/>
      <c r="AO1729" s="234"/>
    </row>
    <row r="1730" ht="15.75" customHeight="1">
      <c r="A1730" s="91"/>
      <c r="B1730" s="91"/>
      <c r="C1730" s="220"/>
      <c r="D1730" s="91"/>
      <c r="E1730" s="221"/>
      <c r="F1730" s="91"/>
      <c r="G1730" s="91"/>
      <c r="H1730" s="242"/>
      <c r="I1730" s="91"/>
      <c r="J1730" s="234"/>
      <c r="K1730" s="243"/>
      <c r="L1730" s="243"/>
      <c r="M1730" s="234"/>
      <c r="N1730" s="235"/>
      <c r="O1730" s="236"/>
      <c r="P1730" s="236"/>
      <c r="Q1730" s="236"/>
      <c r="R1730" s="236"/>
      <c r="S1730" s="236"/>
      <c r="T1730" s="236"/>
      <c r="U1730" s="236"/>
      <c r="V1730" s="236"/>
      <c r="W1730" s="236"/>
      <c r="X1730" s="244"/>
      <c r="Y1730" s="244"/>
      <c r="Z1730" s="237"/>
      <c r="AA1730" s="244"/>
      <c r="AB1730" s="244"/>
      <c r="AC1730" s="244"/>
      <c r="AD1730" s="244"/>
      <c r="AE1730" s="234"/>
      <c r="AF1730" s="234"/>
      <c r="AG1730" s="238"/>
      <c r="AH1730" s="239"/>
      <c r="AI1730" s="238"/>
      <c r="AJ1730" s="238"/>
      <c r="AK1730" s="234"/>
      <c r="AL1730" s="234"/>
      <c r="AM1730" s="234"/>
      <c r="AN1730" s="234"/>
      <c r="AO1730" s="234"/>
    </row>
    <row r="1731" ht="15.75" customHeight="1">
      <c r="A1731" s="91"/>
      <c r="B1731" s="91"/>
      <c r="C1731" s="220"/>
      <c r="D1731" s="91"/>
      <c r="E1731" s="221"/>
      <c r="F1731" s="91"/>
      <c r="G1731" s="91"/>
      <c r="H1731" s="242"/>
      <c r="I1731" s="91"/>
      <c r="J1731" s="234"/>
      <c r="K1731" s="243"/>
      <c r="L1731" s="243"/>
      <c r="M1731" s="234"/>
      <c r="N1731" s="235"/>
      <c r="O1731" s="236"/>
      <c r="P1731" s="236"/>
      <c r="Q1731" s="236"/>
      <c r="R1731" s="236"/>
      <c r="S1731" s="236"/>
      <c r="T1731" s="236"/>
      <c r="U1731" s="236"/>
      <c r="V1731" s="236"/>
      <c r="W1731" s="236"/>
      <c r="X1731" s="244"/>
      <c r="Y1731" s="244"/>
      <c r="Z1731" s="237"/>
      <c r="AA1731" s="244"/>
      <c r="AB1731" s="244"/>
      <c r="AC1731" s="244"/>
      <c r="AD1731" s="244"/>
      <c r="AE1731" s="234"/>
      <c r="AF1731" s="234"/>
      <c r="AG1731" s="238"/>
      <c r="AH1731" s="239"/>
      <c r="AI1731" s="238"/>
      <c r="AJ1731" s="238"/>
      <c r="AK1731" s="234"/>
      <c r="AL1731" s="234"/>
      <c r="AM1731" s="234"/>
      <c r="AN1731" s="234"/>
      <c r="AO1731" s="234"/>
    </row>
    <row r="1732" ht="15.75" customHeight="1">
      <c r="A1732" s="91"/>
      <c r="B1732" s="91"/>
      <c r="C1732" s="220"/>
      <c r="D1732" s="91"/>
      <c r="E1732" s="221"/>
      <c r="F1732" s="91"/>
      <c r="G1732" s="91"/>
      <c r="H1732" s="242"/>
      <c r="I1732" s="91"/>
      <c r="J1732" s="234"/>
      <c r="K1732" s="243"/>
      <c r="L1732" s="243"/>
      <c r="M1732" s="234"/>
      <c r="N1732" s="235"/>
      <c r="O1732" s="236"/>
      <c r="P1732" s="236"/>
      <c r="Q1732" s="236"/>
      <c r="R1732" s="236"/>
      <c r="S1732" s="236"/>
      <c r="T1732" s="236"/>
      <c r="U1732" s="236"/>
      <c r="V1732" s="236"/>
      <c r="W1732" s="236"/>
      <c r="X1732" s="244"/>
      <c r="Y1732" s="244"/>
      <c r="Z1732" s="237"/>
      <c r="AA1732" s="244"/>
      <c r="AB1732" s="244"/>
      <c r="AC1732" s="244"/>
      <c r="AD1732" s="244"/>
      <c r="AE1732" s="234"/>
      <c r="AF1732" s="234"/>
      <c r="AG1732" s="238"/>
      <c r="AH1732" s="239"/>
      <c r="AI1732" s="238"/>
      <c r="AJ1732" s="238"/>
      <c r="AK1732" s="234"/>
      <c r="AL1732" s="234"/>
      <c r="AM1732" s="234"/>
      <c r="AN1732" s="234"/>
      <c r="AO1732" s="234"/>
    </row>
    <row r="1733" ht="15.75" customHeight="1">
      <c r="A1733" s="91"/>
      <c r="B1733" s="91"/>
      <c r="C1733" s="220"/>
      <c r="D1733" s="91"/>
      <c r="E1733" s="221"/>
      <c r="F1733" s="91"/>
      <c r="G1733" s="91"/>
      <c r="H1733" s="242"/>
      <c r="I1733" s="91"/>
      <c r="J1733" s="234"/>
      <c r="K1733" s="243"/>
      <c r="L1733" s="243"/>
      <c r="M1733" s="234"/>
      <c r="N1733" s="235"/>
      <c r="O1733" s="236"/>
      <c r="P1733" s="236"/>
      <c r="Q1733" s="236"/>
      <c r="R1733" s="236"/>
      <c r="S1733" s="236"/>
      <c r="T1733" s="236"/>
      <c r="U1733" s="236"/>
      <c r="V1733" s="236"/>
      <c r="W1733" s="236"/>
      <c r="X1733" s="244"/>
      <c r="Y1733" s="244"/>
      <c r="Z1733" s="237"/>
      <c r="AA1733" s="244"/>
      <c r="AB1733" s="244"/>
      <c r="AC1733" s="244"/>
      <c r="AD1733" s="244"/>
      <c r="AE1733" s="234"/>
      <c r="AF1733" s="234"/>
      <c r="AG1733" s="238"/>
      <c r="AH1733" s="239"/>
      <c r="AI1733" s="238"/>
      <c r="AJ1733" s="238"/>
      <c r="AK1733" s="234"/>
      <c r="AL1733" s="234"/>
      <c r="AM1733" s="234"/>
      <c r="AN1733" s="234"/>
      <c r="AO1733" s="234"/>
    </row>
    <row r="1734" ht="15.75" customHeight="1">
      <c r="A1734" s="91"/>
      <c r="B1734" s="91"/>
      <c r="C1734" s="220"/>
      <c r="D1734" s="91"/>
      <c r="E1734" s="221"/>
      <c r="F1734" s="91"/>
      <c r="G1734" s="91"/>
      <c r="H1734" s="242"/>
      <c r="I1734" s="91"/>
      <c r="J1734" s="234"/>
      <c r="K1734" s="243"/>
      <c r="L1734" s="243"/>
      <c r="M1734" s="234"/>
      <c r="N1734" s="235"/>
      <c r="O1734" s="236"/>
      <c r="P1734" s="236"/>
      <c r="Q1734" s="236"/>
      <c r="R1734" s="236"/>
      <c r="S1734" s="236"/>
      <c r="T1734" s="236"/>
      <c r="U1734" s="236"/>
      <c r="V1734" s="236"/>
      <c r="W1734" s="236"/>
      <c r="X1734" s="244"/>
      <c r="Y1734" s="244"/>
      <c r="Z1734" s="237"/>
      <c r="AA1734" s="244"/>
      <c r="AB1734" s="244"/>
      <c r="AC1734" s="244"/>
      <c r="AD1734" s="244"/>
      <c r="AE1734" s="234"/>
      <c r="AF1734" s="234"/>
      <c r="AG1734" s="238"/>
      <c r="AH1734" s="239"/>
      <c r="AI1734" s="238"/>
      <c r="AJ1734" s="238"/>
      <c r="AK1734" s="234"/>
      <c r="AL1734" s="234"/>
      <c r="AM1734" s="234"/>
      <c r="AN1734" s="234"/>
      <c r="AO1734" s="234"/>
    </row>
    <row r="1735" ht="15.75" customHeight="1">
      <c r="A1735" s="91"/>
      <c r="B1735" s="91"/>
      <c r="C1735" s="220"/>
      <c r="D1735" s="91"/>
      <c r="E1735" s="221"/>
      <c r="F1735" s="91"/>
      <c r="G1735" s="91"/>
      <c r="H1735" s="242"/>
      <c r="I1735" s="91"/>
      <c r="J1735" s="234"/>
      <c r="K1735" s="243"/>
      <c r="L1735" s="243"/>
      <c r="M1735" s="234"/>
      <c r="N1735" s="235"/>
      <c r="O1735" s="236"/>
      <c r="P1735" s="236"/>
      <c r="Q1735" s="236"/>
      <c r="R1735" s="236"/>
      <c r="S1735" s="236"/>
      <c r="T1735" s="236"/>
      <c r="U1735" s="236"/>
      <c r="V1735" s="236"/>
      <c r="W1735" s="236"/>
      <c r="X1735" s="244"/>
      <c r="Y1735" s="244"/>
      <c r="Z1735" s="237"/>
      <c r="AA1735" s="244"/>
      <c r="AB1735" s="244"/>
      <c r="AC1735" s="244"/>
      <c r="AD1735" s="244"/>
      <c r="AE1735" s="234"/>
      <c r="AF1735" s="234"/>
      <c r="AG1735" s="238"/>
      <c r="AH1735" s="239"/>
      <c r="AI1735" s="238"/>
      <c r="AJ1735" s="238"/>
      <c r="AK1735" s="234"/>
      <c r="AL1735" s="234"/>
      <c r="AM1735" s="234"/>
      <c r="AN1735" s="234"/>
      <c r="AO1735" s="234"/>
    </row>
    <row r="1736" ht="15.75" customHeight="1">
      <c r="A1736" s="91"/>
      <c r="B1736" s="91"/>
      <c r="C1736" s="220"/>
      <c r="D1736" s="91"/>
      <c r="E1736" s="221"/>
      <c r="F1736" s="91"/>
      <c r="G1736" s="91"/>
      <c r="H1736" s="242"/>
      <c r="I1736" s="91"/>
      <c r="J1736" s="234"/>
      <c r="K1736" s="243"/>
      <c r="L1736" s="243"/>
      <c r="M1736" s="234"/>
      <c r="N1736" s="235"/>
      <c r="O1736" s="236"/>
      <c r="P1736" s="236"/>
      <c r="Q1736" s="236"/>
      <c r="R1736" s="236"/>
      <c r="S1736" s="236"/>
      <c r="T1736" s="236"/>
      <c r="U1736" s="236"/>
      <c r="V1736" s="236"/>
      <c r="W1736" s="236"/>
      <c r="X1736" s="244"/>
      <c r="Y1736" s="244"/>
      <c r="Z1736" s="237"/>
      <c r="AA1736" s="244"/>
      <c r="AB1736" s="244"/>
      <c r="AC1736" s="244"/>
      <c r="AD1736" s="244"/>
      <c r="AE1736" s="234"/>
      <c r="AF1736" s="234"/>
      <c r="AG1736" s="238"/>
      <c r="AH1736" s="239"/>
      <c r="AI1736" s="238"/>
      <c r="AJ1736" s="238"/>
      <c r="AK1736" s="234"/>
      <c r="AL1736" s="234"/>
      <c r="AM1736" s="234"/>
      <c r="AN1736" s="234"/>
      <c r="AO1736" s="234"/>
    </row>
    <row r="1737" ht="15.75" customHeight="1">
      <c r="A1737" s="91"/>
      <c r="B1737" s="91"/>
      <c r="C1737" s="220"/>
      <c r="D1737" s="91"/>
      <c r="E1737" s="221"/>
      <c r="F1737" s="91"/>
      <c r="G1737" s="91"/>
      <c r="H1737" s="242"/>
      <c r="I1737" s="91"/>
      <c r="J1737" s="234"/>
      <c r="K1737" s="243"/>
      <c r="L1737" s="243"/>
      <c r="M1737" s="234"/>
      <c r="N1737" s="235"/>
      <c r="O1737" s="236"/>
      <c r="P1737" s="236"/>
      <c r="Q1737" s="236"/>
      <c r="R1737" s="236"/>
      <c r="S1737" s="236"/>
      <c r="T1737" s="236"/>
      <c r="U1737" s="236"/>
      <c r="V1737" s="236"/>
      <c r="W1737" s="236"/>
      <c r="X1737" s="244"/>
      <c r="Y1737" s="244"/>
      <c r="Z1737" s="237"/>
      <c r="AA1737" s="244"/>
      <c r="AB1737" s="244"/>
      <c r="AC1737" s="244"/>
      <c r="AD1737" s="244"/>
      <c r="AE1737" s="234"/>
      <c r="AF1737" s="234"/>
      <c r="AG1737" s="238"/>
      <c r="AH1737" s="239"/>
      <c r="AI1737" s="238"/>
      <c r="AJ1737" s="238"/>
      <c r="AK1737" s="234"/>
      <c r="AL1737" s="234"/>
      <c r="AM1737" s="234"/>
      <c r="AN1737" s="234"/>
      <c r="AO1737" s="234"/>
    </row>
    <row r="1738" ht="15.75" customHeight="1">
      <c r="A1738" s="91"/>
      <c r="B1738" s="91"/>
      <c r="C1738" s="220"/>
      <c r="D1738" s="91"/>
      <c r="E1738" s="221"/>
      <c r="F1738" s="91"/>
      <c r="G1738" s="91"/>
      <c r="H1738" s="242"/>
      <c r="I1738" s="91"/>
      <c r="J1738" s="234"/>
      <c r="K1738" s="243"/>
      <c r="L1738" s="243"/>
      <c r="M1738" s="234"/>
      <c r="N1738" s="235"/>
      <c r="O1738" s="236"/>
      <c r="P1738" s="236"/>
      <c r="Q1738" s="236"/>
      <c r="R1738" s="236"/>
      <c r="S1738" s="236"/>
      <c r="T1738" s="236"/>
      <c r="U1738" s="236"/>
      <c r="V1738" s="236"/>
      <c r="W1738" s="236"/>
      <c r="X1738" s="244"/>
      <c r="Y1738" s="244"/>
      <c r="Z1738" s="237"/>
      <c r="AA1738" s="244"/>
      <c r="AB1738" s="244"/>
      <c r="AC1738" s="244"/>
      <c r="AD1738" s="244"/>
      <c r="AE1738" s="234"/>
      <c r="AF1738" s="234"/>
      <c r="AG1738" s="238"/>
      <c r="AH1738" s="239"/>
      <c r="AI1738" s="238"/>
      <c r="AJ1738" s="238"/>
      <c r="AK1738" s="234"/>
      <c r="AL1738" s="234"/>
      <c r="AM1738" s="234"/>
      <c r="AN1738" s="234"/>
      <c r="AO1738" s="234"/>
    </row>
    <row r="1739" ht="15.75" customHeight="1">
      <c r="A1739" s="91"/>
      <c r="B1739" s="91"/>
      <c r="C1739" s="220"/>
      <c r="D1739" s="91"/>
      <c r="E1739" s="221"/>
      <c r="F1739" s="91"/>
      <c r="G1739" s="91"/>
      <c r="H1739" s="242"/>
      <c r="I1739" s="91"/>
      <c r="J1739" s="234"/>
      <c r="K1739" s="243"/>
      <c r="L1739" s="243"/>
      <c r="M1739" s="234"/>
      <c r="N1739" s="235"/>
      <c r="O1739" s="236"/>
      <c r="P1739" s="236"/>
      <c r="Q1739" s="236"/>
      <c r="R1739" s="236"/>
      <c r="S1739" s="236"/>
      <c r="T1739" s="236"/>
      <c r="U1739" s="236"/>
      <c r="V1739" s="236"/>
      <c r="W1739" s="236"/>
      <c r="X1739" s="244"/>
      <c r="Y1739" s="244"/>
      <c r="Z1739" s="237"/>
      <c r="AA1739" s="244"/>
      <c r="AB1739" s="244"/>
      <c r="AC1739" s="244"/>
      <c r="AD1739" s="244"/>
      <c r="AE1739" s="234"/>
      <c r="AF1739" s="234"/>
      <c r="AG1739" s="238"/>
      <c r="AH1739" s="239"/>
      <c r="AI1739" s="238"/>
      <c r="AJ1739" s="238"/>
      <c r="AK1739" s="234"/>
      <c r="AL1739" s="234"/>
      <c r="AM1739" s="234"/>
      <c r="AN1739" s="234"/>
      <c r="AO1739" s="234"/>
    </row>
    <row r="1740" ht="15.75" customHeight="1">
      <c r="A1740" s="91"/>
      <c r="B1740" s="91"/>
      <c r="C1740" s="220"/>
      <c r="D1740" s="91"/>
      <c r="E1740" s="221"/>
      <c r="F1740" s="91"/>
      <c r="G1740" s="91"/>
      <c r="H1740" s="242"/>
      <c r="I1740" s="91"/>
      <c r="J1740" s="234"/>
      <c r="K1740" s="243"/>
      <c r="L1740" s="243"/>
      <c r="M1740" s="234"/>
      <c r="N1740" s="235"/>
      <c r="O1740" s="236"/>
      <c r="P1740" s="236"/>
      <c r="Q1740" s="236"/>
      <c r="R1740" s="236"/>
      <c r="S1740" s="236"/>
      <c r="T1740" s="236"/>
      <c r="U1740" s="236"/>
      <c r="V1740" s="236"/>
      <c r="W1740" s="236"/>
      <c r="X1740" s="244"/>
      <c r="Y1740" s="244"/>
      <c r="Z1740" s="237"/>
      <c r="AA1740" s="244"/>
      <c r="AB1740" s="244"/>
      <c r="AC1740" s="244"/>
      <c r="AD1740" s="244"/>
      <c r="AE1740" s="234"/>
      <c r="AF1740" s="234"/>
      <c r="AG1740" s="238"/>
      <c r="AH1740" s="239"/>
      <c r="AI1740" s="238"/>
      <c r="AJ1740" s="238"/>
      <c r="AK1740" s="234"/>
      <c r="AL1740" s="234"/>
      <c r="AM1740" s="234"/>
      <c r="AN1740" s="234"/>
      <c r="AO1740" s="234"/>
    </row>
    <row r="1741" ht="15.75" customHeight="1">
      <c r="A1741" s="91"/>
      <c r="B1741" s="91"/>
      <c r="C1741" s="220"/>
      <c r="D1741" s="91"/>
      <c r="E1741" s="221"/>
      <c r="F1741" s="91"/>
      <c r="G1741" s="91"/>
      <c r="H1741" s="242"/>
      <c r="I1741" s="91"/>
      <c r="J1741" s="234"/>
      <c r="K1741" s="243"/>
      <c r="L1741" s="243"/>
      <c r="M1741" s="234"/>
      <c r="N1741" s="235"/>
      <c r="O1741" s="236"/>
      <c r="P1741" s="236"/>
      <c r="Q1741" s="236"/>
      <c r="R1741" s="236"/>
      <c r="S1741" s="236"/>
      <c r="T1741" s="236"/>
      <c r="U1741" s="236"/>
      <c r="V1741" s="236"/>
      <c r="W1741" s="236"/>
      <c r="X1741" s="244"/>
      <c r="Y1741" s="244"/>
      <c r="Z1741" s="237"/>
      <c r="AA1741" s="244"/>
      <c r="AB1741" s="244"/>
      <c r="AC1741" s="244"/>
      <c r="AD1741" s="244"/>
      <c r="AE1741" s="234"/>
      <c r="AF1741" s="234"/>
      <c r="AG1741" s="238"/>
      <c r="AH1741" s="239"/>
      <c r="AI1741" s="238"/>
      <c r="AJ1741" s="238"/>
      <c r="AK1741" s="234"/>
      <c r="AL1741" s="234"/>
      <c r="AM1741" s="234"/>
      <c r="AN1741" s="234"/>
      <c r="AO1741" s="234"/>
    </row>
    <row r="1742" ht="15.75" customHeight="1">
      <c r="A1742" s="91"/>
      <c r="B1742" s="91"/>
      <c r="C1742" s="220"/>
      <c r="D1742" s="91"/>
      <c r="E1742" s="221"/>
      <c r="F1742" s="91"/>
      <c r="G1742" s="91"/>
      <c r="H1742" s="242"/>
      <c r="I1742" s="91"/>
      <c r="J1742" s="234"/>
      <c r="K1742" s="243"/>
      <c r="L1742" s="243"/>
      <c r="M1742" s="234"/>
      <c r="N1742" s="235"/>
      <c r="O1742" s="236"/>
      <c r="P1742" s="236"/>
      <c r="Q1742" s="236"/>
      <c r="R1742" s="236"/>
      <c r="S1742" s="236"/>
      <c r="T1742" s="236"/>
      <c r="U1742" s="236"/>
      <c r="V1742" s="236"/>
      <c r="W1742" s="236"/>
      <c r="X1742" s="244"/>
      <c r="Y1742" s="244"/>
      <c r="Z1742" s="237"/>
      <c r="AA1742" s="244"/>
      <c r="AB1742" s="244"/>
      <c r="AC1742" s="244"/>
      <c r="AD1742" s="244"/>
      <c r="AE1742" s="234"/>
      <c r="AF1742" s="234"/>
      <c r="AG1742" s="238"/>
      <c r="AH1742" s="239"/>
      <c r="AI1742" s="238"/>
      <c r="AJ1742" s="238"/>
      <c r="AK1742" s="234"/>
      <c r="AL1742" s="234"/>
      <c r="AM1742" s="234"/>
      <c r="AN1742" s="234"/>
      <c r="AO1742" s="234"/>
    </row>
    <row r="1743" ht="15.75" customHeight="1">
      <c r="A1743" s="91"/>
      <c r="B1743" s="91"/>
      <c r="C1743" s="220"/>
      <c r="D1743" s="91"/>
      <c r="E1743" s="221"/>
      <c r="F1743" s="91"/>
      <c r="G1743" s="91"/>
      <c r="H1743" s="242"/>
      <c r="I1743" s="91"/>
      <c r="J1743" s="234"/>
      <c r="K1743" s="243"/>
      <c r="L1743" s="243"/>
      <c r="M1743" s="234"/>
      <c r="N1743" s="235"/>
      <c r="O1743" s="236"/>
      <c r="P1743" s="236"/>
      <c r="Q1743" s="236"/>
      <c r="R1743" s="236"/>
      <c r="S1743" s="236"/>
      <c r="T1743" s="236"/>
      <c r="U1743" s="236"/>
      <c r="V1743" s="236"/>
      <c r="W1743" s="236"/>
      <c r="X1743" s="244"/>
      <c r="Y1743" s="244"/>
      <c r="Z1743" s="237"/>
      <c r="AA1743" s="244"/>
      <c r="AB1743" s="244"/>
      <c r="AC1743" s="244"/>
      <c r="AD1743" s="244"/>
      <c r="AE1743" s="234"/>
      <c r="AF1743" s="234"/>
      <c r="AG1743" s="238"/>
      <c r="AH1743" s="239"/>
      <c r="AI1743" s="238"/>
      <c r="AJ1743" s="238"/>
      <c r="AK1743" s="234"/>
      <c r="AL1743" s="234"/>
      <c r="AM1743" s="234"/>
      <c r="AN1743" s="234"/>
      <c r="AO1743" s="234"/>
    </row>
    <row r="1744" ht="15.75" customHeight="1">
      <c r="A1744" s="91"/>
      <c r="B1744" s="91"/>
      <c r="C1744" s="220"/>
      <c r="D1744" s="91"/>
      <c r="E1744" s="221"/>
      <c r="F1744" s="91"/>
      <c r="G1744" s="91"/>
      <c r="H1744" s="242"/>
      <c r="I1744" s="91"/>
      <c r="J1744" s="234"/>
      <c r="K1744" s="243"/>
      <c r="L1744" s="243"/>
      <c r="M1744" s="234"/>
      <c r="N1744" s="235"/>
      <c r="O1744" s="236"/>
      <c r="P1744" s="236"/>
      <c r="Q1744" s="236"/>
      <c r="R1744" s="236"/>
      <c r="S1744" s="236"/>
      <c r="T1744" s="236"/>
      <c r="U1744" s="236"/>
      <c r="V1744" s="236"/>
      <c r="W1744" s="236"/>
      <c r="X1744" s="244"/>
      <c r="Y1744" s="244"/>
      <c r="Z1744" s="237"/>
      <c r="AA1744" s="244"/>
      <c r="AB1744" s="244"/>
      <c r="AC1744" s="244"/>
      <c r="AD1744" s="244"/>
      <c r="AE1744" s="234"/>
      <c r="AF1744" s="234"/>
      <c r="AG1744" s="238"/>
      <c r="AH1744" s="239"/>
      <c r="AI1744" s="238"/>
      <c r="AJ1744" s="238"/>
      <c r="AK1744" s="234"/>
      <c r="AL1744" s="234"/>
      <c r="AM1744" s="234"/>
      <c r="AN1744" s="234"/>
      <c r="AO1744" s="234"/>
    </row>
    <row r="1745" ht="15.75" customHeight="1">
      <c r="A1745" s="91"/>
      <c r="B1745" s="91"/>
      <c r="C1745" s="220"/>
      <c r="D1745" s="91"/>
      <c r="E1745" s="221"/>
      <c r="F1745" s="91"/>
      <c r="G1745" s="91"/>
      <c r="H1745" s="242"/>
      <c r="I1745" s="91"/>
      <c r="J1745" s="234"/>
      <c r="K1745" s="243"/>
      <c r="L1745" s="243"/>
      <c r="M1745" s="234"/>
      <c r="N1745" s="235"/>
      <c r="O1745" s="236"/>
      <c r="P1745" s="236"/>
      <c r="Q1745" s="236"/>
      <c r="R1745" s="236"/>
      <c r="S1745" s="236"/>
      <c r="T1745" s="236"/>
      <c r="U1745" s="236"/>
      <c r="V1745" s="236"/>
      <c r="W1745" s="236"/>
      <c r="X1745" s="244"/>
      <c r="Y1745" s="244"/>
      <c r="Z1745" s="237"/>
      <c r="AA1745" s="244"/>
      <c r="AB1745" s="244"/>
      <c r="AC1745" s="244"/>
      <c r="AD1745" s="244"/>
      <c r="AE1745" s="234"/>
      <c r="AF1745" s="234"/>
      <c r="AG1745" s="238"/>
      <c r="AH1745" s="239"/>
      <c r="AI1745" s="238"/>
      <c r="AJ1745" s="238"/>
      <c r="AK1745" s="234"/>
      <c r="AL1745" s="234"/>
      <c r="AM1745" s="234"/>
      <c r="AN1745" s="234"/>
      <c r="AO1745" s="234"/>
    </row>
    <row r="1746" ht="15.75" customHeight="1">
      <c r="A1746" s="91"/>
      <c r="B1746" s="91"/>
      <c r="C1746" s="220"/>
      <c r="D1746" s="91"/>
      <c r="E1746" s="221"/>
      <c r="F1746" s="91"/>
      <c r="G1746" s="91"/>
      <c r="H1746" s="242"/>
      <c r="I1746" s="91"/>
      <c r="J1746" s="234"/>
      <c r="K1746" s="243"/>
      <c r="L1746" s="243"/>
      <c r="M1746" s="234"/>
      <c r="N1746" s="235"/>
      <c r="O1746" s="236"/>
      <c r="P1746" s="236"/>
      <c r="Q1746" s="236"/>
      <c r="R1746" s="236"/>
      <c r="S1746" s="236"/>
      <c r="T1746" s="236"/>
      <c r="U1746" s="236"/>
      <c r="V1746" s="236"/>
      <c r="W1746" s="236"/>
      <c r="X1746" s="244"/>
      <c r="Y1746" s="244"/>
      <c r="Z1746" s="237"/>
      <c r="AA1746" s="244"/>
      <c r="AB1746" s="244"/>
      <c r="AC1746" s="244"/>
      <c r="AD1746" s="244"/>
      <c r="AE1746" s="234"/>
      <c r="AF1746" s="234"/>
      <c r="AG1746" s="238"/>
      <c r="AH1746" s="239"/>
      <c r="AI1746" s="238"/>
      <c r="AJ1746" s="238"/>
      <c r="AK1746" s="234"/>
      <c r="AL1746" s="234"/>
      <c r="AM1746" s="234"/>
      <c r="AN1746" s="234"/>
      <c r="AO1746" s="234"/>
    </row>
    <row r="1747" ht="15.75" customHeight="1">
      <c r="A1747" s="91"/>
      <c r="B1747" s="91"/>
      <c r="C1747" s="220"/>
      <c r="D1747" s="91"/>
      <c r="E1747" s="221"/>
      <c r="F1747" s="91"/>
      <c r="G1747" s="91"/>
      <c r="H1747" s="242"/>
      <c r="I1747" s="91"/>
      <c r="J1747" s="234"/>
      <c r="K1747" s="243"/>
      <c r="L1747" s="243"/>
      <c r="M1747" s="234"/>
      <c r="N1747" s="235"/>
      <c r="O1747" s="236"/>
      <c r="P1747" s="236"/>
      <c r="Q1747" s="236"/>
      <c r="R1747" s="236"/>
      <c r="S1747" s="236"/>
      <c r="T1747" s="236"/>
      <c r="U1747" s="236"/>
      <c r="V1747" s="236"/>
      <c r="W1747" s="236"/>
      <c r="X1747" s="244"/>
      <c r="Y1747" s="244"/>
      <c r="Z1747" s="237"/>
      <c r="AA1747" s="244"/>
      <c r="AB1747" s="244"/>
      <c r="AC1747" s="244"/>
      <c r="AD1747" s="244"/>
      <c r="AE1747" s="234"/>
      <c r="AF1747" s="234"/>
      <c r="AG1747" s="238"/>
      <c r="AH1747" s="239"/>
      <c r="AI1747" s="238"/>
      <c r="AJ1747" s="238"/>
      <c r="AK1747" s="234"/>
      <c r="AL1747" s="234"/>
      <c r="AM1747" s="234"/>
      <c r="AN1747" s="234"/>
      <c r="AO1747" s="234"/>
    </row>
    <row r="1748" ht="15.75" customHeight="1">
      <c r="A1748" s="91"/>
      <c r="B1748" s="91"/>
      <c r="C1748" s="220"/>
      <c r="D1748" s="91"/>
      <c r="E1748" s="221"/>
      <c r="F1748" s="91"/>
      <c r="G1748" s="91"/>
      <c r="H1748" s="242"/>
      <c r="I1748" s="91"/>
      <c r="J1748" s="234"/>
      <c r="K1748" s="243"/>
      <c r="L1748" s="243"/>
      <c r="M1748" s="234"/>
      <c r="N1748" s="235"/>
      <c r="O1748" s="236"/>
      <c r="P1748" s="236"/>
      <c r="Q1748" s="236"/>
      <c r="R1748" s="236"/>
      <c r="S1748" s="236"/>
      <c r="T1748" s="236"/>
      <c r="U1748" s="236"/>
      <c r="V1748" s="236"/>
      <c r="W1748" s="236"/>
      <c r="X1748" s="244"/>
      <c r="Y1748" s="244"/>
      <c r="Z1748" s="237"/>
      <c r="AA1748" s="244"/>
      <c r="AB1748" s="244"/>
      <c r="AC1748" s="244"/>
      <c r="AD1748" s="244"/>
      <c r="AE1748" s="234"/>
      <c r="AF1748" s="234"/>
      <c r="AG1748" s="238"/>
      <c r="AH1748" s="239"/>
      <c r="AI1748" s="238"/>
      <c r="AJ1748" s="238"/>
      <c r="AK1748" s="234"/>
      <c r="AL1748" s="234"/>
      <c r="AM1748" s="234"/>
      <c r="AN1748" s="234"/>
      <c r="AO1748" s="234"/>
    </row>
    <row r="1749" ht="15.75" customHeight="1">
      <c r="A1749" s="91"/>
      <c r="B1749" s="91"/>
      <c r="C1749" s="220"/>
      <c r="D1749" s="91"/>
      <c r="E1749" s="221"/>
      <c r="F1749" s="91"/>
      <c r="G1749" s="91"/>
      <c r="H1749" s="242"/>
      <c r="I1749" s="91"/>
      <c r="J1749" s="234"/>
      <c r="K1749" s="243"/>
      <c r="L1749" s="243"/>
      <c r="M1749" s="234"/>
      <c r="N1749" s="235"/>
      <c r="O1749" s="236"/>
      <c r="P1749" s="236"/>
      <c r="Q1749" s="236"/>
      <c r="R1749" s="236"/>
      <c r="S1749" s="236"/>
      <c r="T1749" s="236"/>
      <c r="U1749" s="236"/>
      <c r="V1749" s="236"/>
      <c r="W1749" s="236"/>
      <c r="X1749" s="244"/>
      <c r="Y1749" s="244"/>
      <c r="Z1749" s="237"/>
      <c r="AA1749" s="244"/>
      <c r="AB1749" s="244"/>
      <c r="AC1749" s="244"/>
      <c r="AD1749" s="244"/>
      <c r="AE1749" s="234"/>
      <c r="AF1749" s="234"/>
      <c r="AG1749" s="238"/>
      <c r="AH1749" s="239"/>
      <c r="AI1749" s="238"/>
      <c r="AJ1749" s="238"/>
      <c r="AK1749" s="234"/>
      <c r="AL1749" s="234"/>
      <c r="AM1749" s="234"/>
      <c r="AN1749" s="234"/>
      <c r="AO1749" s="234"/>
    </row>
    <row r="1750" ht="15.75" customHeight="1">
      <c r="A1750" s="91"/>
      <c r="B1750" s="91"/>
      <c r="C1750" s="220"/>
      <c r="D1750" s="91"/>
      <c r="E1750" s="221"/>
      <c r="F1750" s="91"/>
      <c r="G1750" s="91"/>
      <c r="H1750" s="242"/>
      <c r="I1750" s="91"/>
      <c r="J1750" s="234"/>
      <c r="K1750" s="243"/>
      <c r="L1750" s="243"/>
      <c r="M1750" s="234"/>
      <c r="N1750" s="235"/>
      <c r="O1750" s="236"/>
      <c r="P1750" s="236"/>
      <c r="Q1750" s="236"/>
      <c r="R1750" s="236"/>
      <c r="S1750" s="236"/>
      <c r="T1750" s="236"/>
      <c r="U1750" s="236"/>
      <c r="V1750" s="236"/>
      <c r="W1750" s="236"/>
      <c r="X1750" s="244"/>
      <c r="Y1750" s="244"/>
      <c r="Z1750" s="237"/>
      <c r="AA1750" s="244"/>
      <c r="AB1750" s="244"/>
      <c r="AC1750" s="244"/>
      <c r="AD1750" s="244"/>
      <c r="AE1750" s="234"/>
      <c r="AF1750" s="234"/>
      <c r="AG1750" s="238"/>
      <c r="AH1750" s="239"/>
      <c r="AI1750" s="238"/>
      <c r="AJ1750" s="238"/>
      <c r="AK1750" s="234"/>
      <c r="AL1750" s="234"/>
      <c r="AM1750" s="234"/>
      <c r="AN1750" s="234"/>
      <c r="AO1750" s="234"/>
    </row>
    <row r="1751" ht="15.75" customHeight="1">
      <c r="A1751" s="91"/>
      <c r="B1751" s="91"/>
      <c r="C1751" s="220"/>
      <c r="D1751" s="91"/>
      <c r="E1751" s="221"/>
      <c r="F1751" s="91"/>
      <c r="G1751" s="91"/>
      <c r="H1751" s="242"/>
      <c r="I1751" s="91"/>
      <c r="J1751" s="234"/>
      <c r="K1751" s="243"/>
      <c r="L1751" s="243"/>
      <c r="M1751" s="234"/>
      <c r="N1751" s="235"/>
      <c r="O1751" s="236"/>
      <c r="P1751" s="236"/>
      <c r="Q1751" s="236"/>
      <c r="R1751" s="236"/>
      <c r="S1751" s="236"/>
      <c r="T1751" s="236"/>
      <c r="U1751" s="236"/>
      <c r="V1751" s="236"/>
      <c r="W1751" s="236"/>
      <c r="X1751" s="244"/>
      <c r="Y1751" s="244"/>
      <c r="Z1751" s="237"/>
      <c r="AA1751" s="244"/>
      <c r="AB1751" s="244"/>
      <c r="AC1751" s="244"/>
      <c r="AD1751" s="244"/>
      <c r="AE1751" s="234"/>
      <c r="AF1751" s="234"/>
      <c r="AG1751" s="238"/>
      <c r="AH1751" s="239"/>
      <c r="AI1751" s="238"/>
      <c r="AJ1751" s="238"/>
      <c r="AK1751" s="234"/>
      <c r="AL1751" s="234"/>
      <c r="AM1751" s="234"/>
      <c r="AN1751" s="234"/>
      <c r="AO1751" s="234"/>
    </row>
    <row r="1752" ht="15.75" customHeight="1">
      <c r="A1752" s="91"/>
      <c r="B1752" s="91"/>
      <c r="C1752" s="220"/>
      <c r="D1752" s="91"/>
      <c r="E1752" s="221"/>
      <c r="F1752" s="91"/>
      <c r="G1752" s="91"/>
      <c r="H1752" s="242"/>
      <c r="I1752" s="91"/>
      <c r="J1752" s="234"/>
      <c r="K1752" s="243"/>
      <c r="L1752" s="243"/>
      <c r="M1752" s="234"/>
      <c r="N1752" s="235"/>
      <c r="O1752" s="236"/>
      <c r="P1752" s="236"/>
      <c r="Q1752" s="236"/>
      <c r="R1752" s="236"/>
      <c r="S1752" s="236"/>
      <c r="T1752" s="236"/>
      <c r="U1752" s="236"/>
      <c r="V1752" s="236"/>
      <c r="W1752" s="236"/>
      <c r="X1752" s="244"/>
      <c r="Y1752" s="244"/>
      <c r="Z1752" s="237"/>
      <c r="AA1752" s="244"/>
      <c r="AB1752" s="244"/>
      <c r="AC1752" s="244"/>
      <c r="AD1752" s="244"/>
      <c r="AE1752" s="234"/>
      <c r="AF1752" s="234"/>
      <c r="AG1752" s="238"/>
      <c r="AH1752" s="239"/>
      <c r="AI1752" s="238"/>
      <c r="AJ1752" s="238"/>
      <c r="AK1752" s="234"/>
      <c r="AL1752" s="234"/>
      <c r="AM1752" s="234"/>
      <c r="AN1752" s="234"/>
      <c r="AO1752" s="234"/>
    </row>
    <row r="1753" ht="15.75" customHeight="1">
      <c r="A1753" s="91"/>
      <c r="B1753" s="91"/>
      <c r="C1753" s="220"/>
      <c r="D1753" s="91"/>
      <c r="E1753" s="221"/>
      <c r="F1753" s="91"/>
      <c r="G1753" s="91"/>
      <c r="H1753" s="242"/>
      <c r="I1753" s="91"/>
      <c r="J1753" s="234"/>
      <c r="K1753" s="243"/>
      <c r="L1753" s="243"/>
      <c r="M1753" s="234"/>
      <c r="N1753" s="235"/>
      <c r="O1753" s="236"/>
      <c r="P1753" s="236"/>
      <c r="Q1753" s="236"/>
      <c r="R1753" s="236"/>
      <c r="S1753" s="236"/>
      <c r="T1753" s="236"/>
      <c r="U1753" s="236"/>
      <c r="V1753" s="236"/>
      <c r="W1753" s="236"/>
      <c r="X1753" s="244"/>
      <c r="Y1753" s="244"/>
      <c r="Z1753" s="237"/>
      <c r="AA1753" s="244"/>
      <c r="AB1753" s="244"/>
      <c r="AC1753" s="244"/>
      <c r="AD1753" s="244"/>
      <c r="AE1753" s="234"/>
      <c r="AF1753" s="234"/>
      <c r="AG1753" s="238"/>
      <c r="AH1753" s="239"/>
      <c r="AI1753" s="238"/>
      <c r="AJ1753" s="238"/>
      <c r="AK1753" s="234"/>
      <c r="AL1753" s="234"/>
      <c r="AM1753" s="234"/>
      <c r="AN1753" s="234"/>
      <c r="AO1753" s="234"/>
    </row>
    <row r="1754" ht="15.75" customHeight="1">
      <c r="A1754" s="91"/>
      <c r="B1754" s="91"/>
      <c r="C1754" s="220"/>
      <c r="D1754" s="91"/>
      <c r="E1754" s="221"/>
      <c r="F1754" s="91"/>
      <c r="G1754" s="91"/>
      <c r="H1754" s="242"/>
      <c r="I1754" s="91"/>
      <c r="J1754" s="234"/>
      <c r="K1754" s="243"/>
      <c r="L1754" s="243"/>
      <c r="M1754" s="234"/>
      <c r="N1754" s="235"/>
      <c r="O1754" s="236"/>
      <c r="P1754" s="236"/>
      <c r="Q1754" s="236"/>
      <c r="R1754" s="236"/>
      <c r="S1754" s="236"/>
      <c r="T1754" s="236"/>
      <c r="U1754" s="236"/>
      <c r="V1754" s="236"/>
      <c r="W1754" s="236"/>
      <c r="X1754" s="244"/>
      <c r="Y1754" s="244"/>
      <c r="Z1754" s="237"/>
      <c r="AA1754" s="244"/>
      <c r="AB1754" s="244"/>
      <c r="AC1754" s="244"/>
      <c r="AD1754" s="244"/>
      <c r="AE1754" s="234"/>
      <c r="AF1754" s="234"/>
      <c r="AG1754" s="238"/>
      <c r="AH1754" s="239"/>
      <c r="AI1754" s="238"/>
      <c r="AJ1754" s="238"/>
      <c r="AK1754" s="234"/>
      <c r="AL1754" s="234"/>
      <c r="AM1754" s="234"/>
      <c r="AN1754" s="234"/>
      <c r="AO1754" s="234"/>
    </row>
    <row r="1755" ht="15.75" customHeight="1">
      <c r="A1755" s="91"/>
      <c r="B1755" s="91"/>
      <c r="C1755" s="220"/>
      <c r="D1755" s="91"/>
      <c r="E1755" s="221"/>
      <c r="F1755" s="91"/>
      <c r="G1755" s="91"/>
      <c r="H1755" s="242"/>
      <c r="I1755" s="91"/>
      <c r="J1755" s="234"/>
      <c r="K1755" s="243"/>
      <c r="L1755" s="243"/>
      <c r="M1755" s="234"/>
      <c r="N1755" s="235"/>
      <c r="O1755" s="236"/>
      <c r="P1755" s="236"/>
      <c r="Q1755" s="236"/>
      <c r="R1755" s="236"/>
      <c r="S1755" s="236"/>
      <c r="T1755" s="236"/>
      <c r="U1755" s="236"/>
      <c r="V1755" s="236"/>
      <c r="W1755" s="236"/>
      <c r="X1755" s="244"/>
      <c r="Y1755" s="244"/>
      <c r="Z1755" s="237"/>
      <c r="AA1755" s="244"/>
      <c r="AB1755" s="244"/>
      <c r="AC1755" s="244"/>
      <c r="AD1755" s="244"/>
      <c r="AE1755" s="234"/>
      <c r="AF1755" s="234"/>
      <c r="AG1755" s="238"/>
      <c r="AH1755" s="239"/>
      <c r="AI1755" s="238"/>
      <c r="AJ1755" s="238"/>
      <c r="AK1755" s="234"/>
      <c r="AL1755" s="234"/>
      <c r="AM1755" s="234"/>
      <c r="AN1755" s="234"/>
      <c r="AO1755" s="234"/>
    </row>
    <row r="1756" ht="15.75" customHeight="1">
      <c r="A1756" s="91"/>
      <c r="B1756" s="91"/>
      <c r="C1756" s="220"/>
      <c r="D1756" s="91"/>
      <c r="E1756" s="221"/>
      <c r="F1756" s="91"/>
      <c r="G1756" s="91"/>
      <c r="H1756" s="242"/>
      <c r="I1756" s="91"/>
      <c r="J1756" s="234"/>
      <c r="K1756" s="243"/>
      <c r="L1756" s="243"/>
      <c r="M1756" s="234"/>
      <c r="N1756" s="235"/>
      <c r="O1756" s="236"/>
      <c r="P1756" s="236"/>
      <c r="Q1756" s="236"/>
      <c r="R1756" s="236"/>
      <c r="S1756" s="236"/>
      <c r="T1756" s="236"/>
      <c r="U1756" s="236"/>
      <c r="V1756" s="236"/>
      <c r="W1756" s="236"/>
      <c r="X1756" s="244"/>
      <c r="Y1756" s="244"/>
      <c r="Z1756" s="237"/>
      <c r="AA1756" s="244"/>
      <c r="AB1756" s="244"/>
      <c r="AC1756" s="244"/>
      <c r="AD1756" s="244"/>
      <c r="AE1756" s="234"/>
      <c r="AF1756" s="234"/>
      <c r="AG1756" s="238"/>
      <c r="AH1756" s="239"/>
      <c r="AI1756" s="238"/>
      <c r="AJ1756" s="238"/>
      <c r="AK1756" s="234"/>
      <c r="AL1756" s="234"/>
      <c r="AM1756" s="234"/>
      <c r="AN1756" s="234"/>
      <c r="AO1756" s="234"/>
    </row>
    <row r="1757" ht="15.75" customHeight="1">
      <c r="A1757" s="91"/>
      <c r="B1757" s="91"/>
      <c r="C1757" s="220"/>
      <c r="D1757" s="91"/>
      <c r="E1757" s="221"/>
      <c r="F1757" s="91"/>
      <c r="G1757" s="91"/>
      <c r="H1757" s="242"/>
      <c r="I1757" s="91"/>
      <c r="J1757" s="234"/>
      <c r="K1757" s="243"/>
      <c r="L1757" s="243"/>
      <c r="M1757" s="234"/>
      <c r="N1757" s="235"/>
      <c r="O1757" s="236"/>
      <c r="P1757" s="236"/>
      <c r="Q1757" s="236"/>
      <c r="R1757" s="236"/>
      <c r="S1757" s="236"/>
      <c r="T1757" s="236"/>
      <c r="U1757" s="236"/>
      <c r="V1757" s="236"/>
      <c r="W1757" s="236"/>
      <c r="X1757" s="244"/>
      <c r="Y1757" s="244"/>
      <c r="Z1757" s="237"/>
      <c r="AA1757" s="244"/>
      <c r="AB1757" s="244"/>
      <c r="AC1757" s="244"/>
      <c r="AD1757" s="244"/>
      <c r="AE1757" s="234"/>
      <c r="AF1757" s="234"/>
      <c r="AG1757" s="238"/>
      <c r="AH1757" s="239"/>
      <c r="AI1757" s="238"/>
      <c r="AJ1757" s="238"/>
      <c r="AK1757" s="234"/>
      <c r="AL1757" s="234"/>
      <c r="AM1757" s="234"/>
      <c r="AN1757" s="234"/>
      <c r="AO1757" s="234"/>
    </row>
    <row r="1758" ht="15.75" customHeight="1">
      <c r="A1758" s="91"/>
      <c r="B1758" s="91"/>
      <c r="C1758" s="220"/>
      <c r="D1758" s="91"/>
      <c r="E1758" s="221"/>
      <c r="F1758" s="91"/>
      <c r="G1758" s="91"/>
      <c r="H1758" s="242"/>
      <c r="I1758" s="91"/>
      <c r="J1758" s="234"/>
      <c r="K1758" s="243"/>
      <c r="L1758" s="243"/>
      <c r="M1758" s="234"/>
      <c r="N1758" s="235"/>
      <c r="O1758" s="236"/>
      <c r="P1758" s="236"/>
      <c r="Q1758" s="236"/>
      <c r="R1758" s="236"/>
      <c r="S1758" s="236"/>
      <c r="T1758" s="236"/>
      <c r="U1758" s="236"/>
      <c r="V1758" s="236"/>
      <c r="W1758" s="236"/>
      <c r="X1758" s="244"/>
      <c r="Y1758" s="244"/>
      <c r="Z1758" s="237"/>
      <c r="AA1758" s="244"/>
      <c r="AB1758" s="244"/>
      <c r="AC1758" s="244"/>
      <c r="AD1758" s="244"/>
      <c r="AE1758" s="234"/>
      <c r="AF1758" s="234"/>
      <c r="AG1758" s="238"/>
      <c r="AH1758" s="239"/>
      <c r="AI1758" s="238"/>
      <c r="AJ1758" s="238"/>
      <c r="AK1758" s="234"/>
      <c r="AL1758" s="234"/>
      <c r="AM1758" s="234"/>
      <c r="AN1758" s="234"/>
      <c r="AO1758" s="234"/>
    </row>
    <row r="1759" ht="15.75" customHeight="1">
      <c r="A1759" s="91"/>
      <c r="B1759" s="91"/>
      <c r="C1759" s="220"/>
      <c r="D1759" s="91"/>
      <c r="E1759" s="221"/>
      <c r="F1759" s="91"/>
      <c r="G1759" s="91"/>
      <c r="H1759" s="242"/>
      <c r="I1759" s="91"/>
      <c r="J1759" s="234"/>
      <c r="K1759" s="243"/>
      <c r="L1759" s="243"/>
      <c r="M1759" s="234"/>
      <c r="N1759" s="235"/>
      <c r="O1759" s="236"/>
      <c r="P1759" s="236"/>
      <c r="Q1759" s="236"/>
      <c r="R1759" s="236"/>
      <c r="S1759" s="236"/>
      <c r="T1759" s="236"/>
      <c r="U1759" s="236"/>
      <c r="V1759" s="236"/>
      <c r="W1759" s="236"/>
      <c r="X1759" s="244"/>
      <c r="Y1759" s="244"/>
      <c r="Z1759" s="237"/>
      <c r="AA1759" s="244"/>
      <c r="AB1759" s="244"/>
      <c r="AC1759" s="244"/>
      <c r="AD1759" s="244"/>
      <c r="AE1759" s="234"/>
      <c r="AF1759" s="234"/>
      <c r="AG1759" s="238"/>
      <c r="AH1759" s="239"/>
      <c r="AI1759" s="238"/>
      <c r="AJ1759" s="238"/>
      <c r="AK1759" s="234"/>
      <c r="AL1759" s="234"/>
      <c r="AM1759" s="234"/>
      <c r="AN1759" s="234"/>
      <c r="AO1759" s="234"/>
    </row>
    <row r="1760" ht="15.75" customHeight="1">
      <c r="A1760" s="91"/>
      <c r="B1760" s="91"/>
      <c r="C1760" s="220"/>
      <c r="D1760" s="91"/>
      <c r="E1760" s="221"/>
      <c r="F1760" s="91"/>
      <c r="G1760" s="91"/>
      <c r="H1760" s="242"/>
      <c r="I1760" s="91"/>
      <c r="J1760" s="234"/>
      <c r="K1760" s="243"/>
      <c r="L1760" s="243"/>
      <c r="M1760" s="234"/>
      <c r="N1760" s="235"/>
      <c r="O1760" s="236"/>
      <c r="P1760" s="236"/>
      <c r="Q1760" s="236"/>
      <c r="R1760" s="236"/>
      <c r="S1760" s="236"/>
      <c r="T1760" s="236"/>
      <c r="U1760" s="236"/>
      <c r="V1760" s="236"/>
      <c r="W1760" s="236"/>
      <c r="X1760" s="244"/>
      <c r="Y1760" s="244"/>
      <c r="Z1760" s="237"/>
      <c r="AA1760" s="244"/>
      <c r="AB1760" s="244"/>
      <c r="AC1760" s="244"/>
      <c r="AD1760" s="244"/>
      <c r="AE1760" s="234"/>
      <c r="AF1760" s="234"/>
      <c r="AG1760" s="238"/>
      <c r="AH1760" s="239"/>
      <c r="AI1760" s="238"/>
      <c r="AJ1760" s="238"/>
      <c r="AK1760" s="234"/>
      <c r="AL1760" s="234"/>
      <c r="AM1760" s="234"/>
      <c r="AN1760" s="234"/>
      <c r="AO1760" s="234"/>
    </row>
    <row r="1761" ht="15.75" customHeight="1">
      <c r="A1761" s="91"/>
      <c r="B1761" s="91"/>
      <c r="C1761" s="220"/>
      <c r="D1761" s="91"/>
      <c r="E1761" s="221"/>
      <c r="F1761" s="91"/>
      <c r="G1761" s="91"/>
      <c r="H1761" s="242"/>
      <c r="I1761" s="91"/>
      <c r="J1761" s="234"/>
      <c r="K1761" s="243"/>
      <c r="L1761" s="243"/>
      <c r="M1761" s="234"/>
      <c r="N1761" s="235"/>
      <c r="O1761" s="236"/>
      <c r="P1761" s="236"/>
      <c r="Q1761" s="236"/>
      <c r="R1761" s="236"/>
      <c r="S1761" s="236"/>
      <c r="T1761" s="236"/>
      <c r="U1761" s="236"/>
      <c r="V1761" s="236"/>
      <c r="W1761" s="236"/>
      <c r="X1761" s="244"/>
      <c r="Y1761" s="244"/>
      <c r="Z1761" s="237"/>
      <c r="AA1761" s="244"/>
      <c r="AB1761" s="244"/>
      <c r="AC1761" s="244"/>
      <c r="AD1761" s="244"/>
      <c r="AE1761" s="234"/>
      <c r="AF1761" s="234"/>
      <c r="AG1761" s="238"/>
      <c r="AH1761" s="239"/>
      <c r="AI1761" s="238"/>
      <c r="AJ1761" s="238"/>
      <c r="AK1761" s="234"/>
      <c r="AL1761" s="234"/>
      <c r="AM1761" s="234"/>
      <c r="AN1761" s="234"/>
      <c r="AO1761" s="234"/>
    </row>
    <row r="1762" ht="15.75" customHeight="1">
      <c r="A1762" s="91"/>
      <c r="B1762" s="91"/>
      <c r="C1762" s="220"/>
      <c r="D1762" s="91"/>
      <c r="E1762" s="221"/>
      <c r="F1762" s="91"/>
      <c r="G1762" s="91"/>
      <c r="H1762" s="242"/>
      <c r="I1762" s="91"/>
      <c r="J1762" s="234"/>
      <c r="K1762" s="243"/>
      <c r="L1762" s="243"/>
      <c r="M1762" s="234"/>
      <c r="N1762" s="235"/>
      <c r="O1762" s="236"/>
      <c r="P1762" s="236"/>
      <c r="Q1762" s="236"/>
      <c r="R1762" s="236"/>
      <c r="S1762" s="236"/>
      <c r="T1762" s="236"/>
      <c r="U1762" s="236"/>
      <c r="V1762" s="236"/>
      <c r="W1762" s="236"/>
      <c r="X1762" s="244"/>
      <c r="Y1762" s="244"/>
      <c r="Z1762" s="237"/>
      <c r="AA1762" s="244"/>
      <c r="AB1762" s="244"/>
      <c r="AC1762" s="244"/>
      <c r="AD1762" s="244"/>
      <c r="AE1762" s="234"/>
      <c r="AF1762" s="234"/>
      <c r="AG1762" s="238"/>
      <c r="AH1762" s="239"/>
      <c r="AI1762" s="238"/>
      <c r="AJ1762" s="238"/>
      <c r="AK1762" s="234"/>
      <c r="AL1762" s="234"/>
      <c r="AM1762" s="234"/>
      <c r="AN1762" s="234"/>
      <c r="AO1762" s="234"/>
    </row>
    <row r="1763" ht="15.75" customHeight="1">
      <c r="A1763" s="91"/>
      <c r="B1763" s="91"/>
      <c r="C1763" s="220"/>
      <c r="D1763" s="91"/>
      <c r="E1763" s="221"/>
      <c r="F1763" s="91"/>
      <c r="G1763" s="91"/>
      <c r="H1763" s="242"/>
      <c r="I1763" s="91"/>
      <c r="J1763" s="234"/>
      <c r="K1763" s="243"/>
      <c r="L1763" s="243"/>
      <c r="M1763" s="234"/>
      <c r="N1763" s="235"/>
      <c r="O1763" s="236"/>
      <c r="P1763" s="236"/>
      <c r="Q1763" s="236"/>
      <c r="R1763" s="236"/>
      <c r="S1763" s="236"/>
      <c r="T1763" s="236"/>
      <c r="U1763" s="236"/>
      <c r="V1763" s="236"/>
      <c r="W1763" s="236"/>
      <c r="X1763" s="244"/>
      <c r="Y1763" s="244"/>
      <c r="Z1763" s="237"/>
      <c r="AA1763" s="244"/>
      <c r="AB1763" s="244"/>
      <c r="AC1763" s="244"/>
      <c r="AD1763" s="244"/>
      <c r="AE1763" s="234"/>
      <c r="AF1763" s="234"/>
      <c r="AG1763" s="238"/>
      <c r="AH1763" s="239"/>
      <c r="AI1763" s="238"/>
      <c r="AJ1763" s="238"/>
      <c r="AK1763" s="234"/>
      <c r="AL1763" s="234"/>
      <c r="AM1763" s="234"/>
      <c r="AN1763" s="234"/>
      <c r="AO1763" s="234"/>
    </row>
    <row r="1764" ht="15.75" customHeight="1">
      <c r="A1764" s="91"/>
      <c r="B1764" s="91"/>
      <c r="C1764" s="220"/>
      <c r="D1764" s="91"/>
      <c r="E1764" s="221"/>
      <c r="F1764" s="91"/>
      <c r="G1764" s="91"/>
      <c r="H1764" s="242"/>
      <c r="I1764" s="91"/>
      <c r="J1764" s="234"/>
      <c r="K1764" s="243"/>
      <c r="L1764" s="243"/>
      <c r="M1764" s="234"/>
      <c r="N1764" s="235"/>
      <c r="O1764" s="236"/>
      <c r="P1764" s="236"/>
      <c r="Q1764" s="236"/>
      <c r="R1764" s="236"/>
      <c r="S1764" s="236"/>
      <c r="T1764" s="236"/>
      <c r="U1764" s="236"/>
      <c r="V1764" s="236"/>
      <c r="W1764" s="236"/>
      <c r="X1764" s="244"/>
      <c r="Y1764" s="244"/>
      <c r="Z1764" s="237"/>
      <c r="AA1764" s="244"/>
      <c r="AB1764" s="244"/>
      <c r="AC1764" s="244"/>
      <c r="AD1764" s="244"/>
      <c r="AE1764" s="234"/>
      <c r="AF1764" s="234"/>
      <c r="AG1764" s="238"/>
      <c r="AH1764" s="239"/>
      <c r="AI1764" s="238"/>
      <c r="AJ1764" s="238"/>
      <c r="AK1764" s="234"/>
      <c r="AL1764" s="234"/>
      <c r="AM1764" s="234"/>
      <c r="AN1764" s="234"/>
      <c r="AO1764" s="234"/>
    </row>
    <row r="1765" ht="15.75" customHeight="1">
      <c r="A1765" s="91"/>
      <c r="B1765" s="91"/>
      <c r="C1765" s="220"/>
      <c r="D1765" s="91"/>
      <c r="E1765" s="221"/>
      <c r="F1765" s="91"/>
      <c r="G1765" s="91"/>
      <c r="H1765" s="242"/>
      <c r="I1765" s="91"/>
      <c r="J1765" s="234"/>
      <c r="K1765" s="243"/>
      <c r="L1765" s="243"/>
      <c r="M1765" s="234"/>
      <c r="N1765" s="235"/>
      <c r="O1765" s="236"/>
      <c r="P1765" s="236"/>
      <c r="Q1765" s="236"/>
      <c r="R1765" s="236"/>
      <c r="S1765" s="236"/>
      <c r="T1765" s="236"/>
      <c r="U1765" s="236"/>
      <c r="V1765" s="236"/>
      <c r="W1765" s="236"/>
      <c r="X1765" s="244"/>
      <c r="Y1765" s="244"/>
      <c r="Z1765" s="237"/>
      <c r="AA1765" s="244"/>
      <c r="AB1765" s="244"/>
      <c r="AC1765" s="244"/>
      <c r="AD1765" s="244"/>
      <c r="AE1765" s="234"/>
      <c r="AF1765" s="234"/>
      <c r="AG1765" s="238"/>
      <c r="AH1765" s="239"/>
      <c r="AI1765" s="238"/>
      <c r="AJ1765" s="238"/>
      <c r="AK1765" s="234"/>
      <c r="AL1765" s="234"/>
      <c r="AM1765" s="234"/>
      <c r="AN1765" s="234"/>
      <c r="AO1765" s="234"/>
    </row>
    <row r="1766" ht="15.75" customHeight="1">
      <c r="A1766" s="91"/>
      <c r="B1766" s="91"/>
      <c r="C1766" s="220"/>
      <c r="D1766" s="91"/>
      <c r="E1766" s="221"/>
      <c r="F1766" s="91"/>
      <c r="G1766" s="91"/>
      <c r="H1766" s="242"/>
      <c r="I1766" s="91"/>
      <c r="J1766" s="234"/>
      <c r="K1766" s="243"/>
      <c r="L1766" s="243"/>
      <c r="M1766" s="234"/>
      <c r="N1766" s="235"/>
      <c r="O1766" s="236"/>
      <c r="P1766" s="236"/>
      <c r="Q1766" s="236"/>
      <c r="R1766" s="236"/>
      <c r="S1766" s="236"/>
      <c r="T1766" s="236"/>
      <c r="U1766" s="236"/>
      <c r="V1766" s="236"/>
      <c r="W1766" s="236"/>
      <c r="X1766" s="244"/>
      <c r="Y1766" s="244"/>
      <c r="Z1766" s="237"/>
      <c r="AA1766" s="244"/>
      <c r="AB1766" s="244"/>
      <c r="AC1766" s="244"/>
      <c r="AD1766" s="244"/>
      <c r="AE1766" s="234"/>
      <c r="AF1766" s="234"/>
      <c r="AG1766" s="238"/>
      <c r="AH1766" s="239"/>
      <c r="AI1766" s="238"/>
      <c r="AJ1766" s="238"/>
      <c r="AK1766" s="234"/>
      <c r="AL1766" s="234"/>
      <c r="AM1766" s="234"/>
      <c r="AN1766" s="234"/>
      <c r="AO1766" s="234"/>
    </row>
    <row r="1767" ht="15.75" customHeight="1">
      <c r="A1767" s="91"/>
      <c r="B1767" s="91"/>
      <c r="C1767" s="220"/>
      <c r="D1767" s="91"/>
      <c r="E1767" s="221"/>
      <c r="F1767" s="91"/>
      <c r="G1767" s="91"/>
      <c r="H1767" s="242"/>
      <c r="I1767" s="91"/>
      <c r="J1767" s="234"/>
      <c r="K1767" s="243"/>
      <c r="L1767" s="243"/>
      <c r="M1767" s="234"/>
      <c r="N1767" s="235"/>
      <c r="O1767" s="236"/>
      <c r="P1767" s="236"/>
      <c r="Q1767" s="236"/>
      <c r="R1767" s="236"/>
      <c r="S1767" s="236"/>
      <c r="T1767" s="236"/>
      <c r="U1767" s="236"/>
      <c r="V1767" s="236"/>
      <c r="W1767" s="236"/>
      <c r="X1767" s="244"/>
      <c r="Y1767" s="244"/>
      <c r="Z1767" s="237"/>
      <c r="AA1767" s="244"/>
      <c r="AB1767" s="244"/>
      <c r="AC1767" s="244"/>
      <c r="AD1767" s="244"/>
      <c r="AE1767" s="234"/>
      <c r="AF1767" s="234"/>
      <c r="AG1767" s="238"/>
      <c r="AH1767" s="239"/>
      <c r="AI1767" s="238"/>
      <c r="AJ1767" s="238"/>
      <c r="AK1767" s="234"/>
      <c r="AL1767" s="234"/>
      <c r="AM1767" s="234"/>
      <c r="AN1767" s="234"/>
      <c r="AO1767" s="234"/>
    </row>
    <row r="1768" ht="15.75" customHeight="1">
      <c r="A1768" s="91"/>
      <c r="B1768" s="91"/>
      <c r="C1768" s="220"/>
      <c r="D1768" s="91"/>
      <c r="E1768" s="221"/>
      <c r="F1768" s="91"/>
      <c r="G1768" s="91"/>
      <c r="H1768" s="242"/>
      <c r="I1768" s="91"/>
      <c r="J1768" s="234"/>
      <c r="K1768" s="243"/>
      <c r="L1768" s="243"/>
      <c r="M1768" s="234"/>
      <c r="N1768" s="235"/>
      <c r="O1768" s="236"/>
      <c r="P1768" s="236"/>
      <c r="Q1768" s="236"/>
      <c r="R1768" s="236"/>
      <c r="S1768" s="236"/>
      <c r="T1768" s="236"/>
      <c r="U1768" s="236"/>
      <c r="V1768" s="236"/>
      <c r="W1768" s="236"/>
      <c r="X1768" s="244"/>
      <c r="Y1768" s="244"/>
      <c r="Z1768" s="237"/>
      <c r="AA1768" s="244"/>
      <c r="AB1768" s="244"/>
      <c r="AC1768" s="244"/>
      <c r="AD1768" s="244"/>
      <c r="AE1768" s="234"/>
      <c r="AF1768" s="234"/>
      <c r="AG1768" s="238"/>
      <c r="AH1768" s="239"/>
      <c r="AI1768" s="238"/>
      <c r="AJ1768" s="238"/>
      <c r="AK1768" s="234"/>
      <c r="AL1768" s="234"/>
      <c r="AM1768" s="234"/>
      <c r="AN1768" s="234"/>
      <c r="AO1768" s="234"/>
    </row>
    <row r="1769" ht="15.75" customHeight="1">
      <c r="A1769" s="91"/>
      <c r="B1769" s="91"/>
      <c r="C1769" s="220"/>
      <c r="D1769" s="91"/>
      <c r="E1769" s="221"/>
      <c r="F1769" s="91"/>
      <c r="G1769" s="91"/>
      <c r="H1769" s="242"/>
      <c r="I1769" s="91"/>
      <c r="J1769" s="234"/>
      <c r="K1769" s="243"/>
      <c r="L1769" s="243"/>
      <c r="M1769" s="234"/>
      <c r="N1769" s="235"/>
      <c r="O1769" s="236"/>
      <c r="P1769" s="236"/>
      <c r="Q1769" s="236"/>
      <c r="R1769" s="236"/>
      <c r="S1769" s="236"/>
      <c r="T1769" s="236"/>
      <c r="U1769" s="236"/>
      <c r="V1769" s="236"/>
      <c r="W1769" s="236"/>
      <c r="X1769" s="244"/>
      <c r="Y1769" s="244"/>
      <c r="Z1769" s="237"/>
      <c r="AA1769" s="244"/>
      <c r="AB1769" s="244"/>
      <c r="AC1769" s="244"/>
      <c r="AD1769" s="244"/>
      <c r="AE1769" s="234"/>
      <c r="AF1769" s="234"/>
      <c r="AG1769" s="238"/>
      <c r="AH1769" s="239"/>
      <c r="AI1769" s="238"/>
      <c r="AJ1769" s="238"/>
      <c r="AK1769" s="234"/>
      <c r="AL1769" s="234"/>
      <c r="AM1769" s="234"/>
      <c r="AN1769" s="234"/>
      <c r="AO1769" s="234"/>
    </row>
    <row r="1770" ht="15.75" customHeight="1">
      <c r="A1770" s="91"/>
      <c r="B1770" s="91"/>
      <c r="C1770" s="220"/>
      <c r="D1770" s="91"/>
      <c r="E1770" s="221"/>
      <c r="F1770" s="91"/>
      <c r="G1770" s="91"/>
      <c r="H1770" s="242"/>
      <c r="I1770" s="91"/>
      <c r="J1770" s="234"/>
      <c r="K1770" s="243"/>
      <c r="L1770" s="243"/>
      <c r="M1770" s="234"/>
      <c r="N1770" s="235"/>
      <c r="O1770" s="236"/>
      <c r="P1770" s="236"/>
      <c r="Q1770" s="236"/>
      <c r="R1770" s="236"/>
      <c r="S1770" s="236"/>
      <c r="T1770" s="236"/>
      <c r="U1770" s="236"/>
      <c r="V1770" s="236"/>
      <c r="W1770" s="236"/>
      <c r="X1770" s="244"/>
      <c r="Y1770" s="244"/>
      <c r="Z1770" s="237"/>
      <c r="AA1770" s="244"/>
      <c r="AB1770" s="244"/>
      <c r="AC1770" s="244"/>
      <c r="AD1770" s="244"/>
      <c r="AE1770" s="234"/>
      <c r="AF1770" s="234"/>
      <c r="AG1770" s="238"/>
      <c r="AH1770" s="239"/>
      <c r="AI1770" s="238"/>
      <c r="AJ1770" s="238"/>
      <c r="AK1770" s="234"/>
      <c r="AL1770" s="234"/>
      <c r="AM1770" s="234"/>
      <c r="AN1770" s="234"/>
      <c r="AO1770" s="234"/>
    </row>
    <row r="1771" ht="15.75" customHeight="1">
      <c r="A1771" s="91"/>
      <c r="B1771" s="91"/>
      <c r="C1771" s="220"/>
      <c r="D1771" s="91"/>
      <c r="E1771" s="221"/>
      <c r="F1771" s="91"/>
      <c r="G1771" s="91"/>
      <c r="H1771" s="242"/>
      <c r="I1771" s="91"/>
      <c r="J1771" s="234"/>
      <c r="K1771" s="243"/>
      <c r="L1771" s="243"/>
      <c r="M1771" s="234"/>
      <c r="N1771" s="235"/>
      <c r="O1771" s="236"/>
      <c r="P1771" s="236"/>
      <c r="Q1771" s="236"/>
      <c r="R1771" s="236"/>
      <c r="S1771" s="236"/>
      <c r="T1771" s="236"/>
      <c r="U1771" s="236"/>
      <c r="V1771" s="236"/>
      <c r="W1771" s="236"/>
      <c r="X1771" s="244"/>
      <c r="Y1771" s="244"/>
      <c r="Z1771" s="237"/>
      <c r="AA1771" s="244"/>
      <c r="AB1771" s="244"/>
      <c r="AC1771" s="244"/>
      <c r="AD1771" s="244"/>
      <c r="AE1771" s="234"/>
      <c r="AF1771" s="234"/>
      <c r="AG1771" s="238"/>
      <c r="AH1771" s="239"/>
      <c r="AI1771" s="238"/>
      <c r="AJ1771" s="238"/>
      <c r="AK1771" s="234"/>
      <c r="AL1771" s="234"/>
      <c r="AM1771" s="234"/>
      <c r="AN1771" s="234"/>
      <c r="AO1771" s="234"/>
    </row>
    <row r="1772" ht="15.75" customHeight="1">
      <c r="A1772" s="91"/>
      <c r="B1772" s="91"/>
      <c r="C1772" s="220"/>
      <c r="D1772" s="91"/>
      <c r="E1772" s="221"/>
      <c r="F1772" s="91"/>
      <c r="G1772" s="91"/>
      <c r="H1772" s="242"/>
      <c r="I1772" s="91"/>
      <c r="J1772" s="234"/>
      <c r="K1772" s="243"/>
      <c r="L1772" s="243"/>
      <c r="M1772" s="234"/>
      <c r="N1772" s="235"/>
      <c r="O1772" s="236"/>
      <c r="P1772" s="236"/>
      <c r="Q1772" s="236"/>
      <c r="R1772" s="236"/>
      <c r="S1772" s="236"/>
      <c r="T1772" s="236"/>
      <c r="U1772" s="236"/>
      <c r="V1772" s="236"/>
      <c r="W1772" s="236"/>
      <c r="X1772" s="244"/>
      <c r="Y1772" s="244"/>
      <c r="Z1772" s="237"/>
      <c r="AA1772" s="244"/>
      <c r="AB1772" s="244"/>
      <c r="AC1772" s="244"/>
      <c r="AD1772" s="244"/>
      <c r="AE1772" s="234"/>
      <c r="AF1772" s="234"/>
      <c r="AG1772" s="238"/>
      <c r="AH1772" s="239"/>
      <c r="AI1772" s="238"/>
      <c r="AJ1772" s="238"/>
      <c r="AK1772" s="234"/>
      <c r="AL1772" s="234"/>
      <c r="AM1772" s="234"/>
      <c r="AN1772" s="234"/>
      <c r="AO1772" s="234"/>
    </row>
    <row r="1773" ht="15.75" customHeight="1">
      <c r="A1773" s="91"/>
      <c r="B1773" s="91"/>
      <c r="C1773" s="220"/>
      <c r="D1773" s="91"/>
      <c r="E1773" s="221"/>
      <c r="F1773" s="91"/>
      <c r="G1773" s="91"/>
      <c r="H1773" s="242"/>
      <c r="I1773" s="91"/>
      <c r="J1773" s="234"/>
      <c r="K1773" s="243"/>
      <c r="L1773" s="243"/>
      <c r="M1773" s="234"/>
      <c r="N1773" s="235"/>
      <c r="O1773" s="236"/>
      <c r="P1773" s="236"/>
      <c r="Q1773" s="236"/>
      <c r="R1773" s="236"/>
      <c r="S1773" s="236"/>
      <c r="T1773" s="236"/>
      <c r="U1773" s="236"/>
      <c r="V1773" s="236"/>
      <c r="W1773" s="236"/>
      <c r="X1773" s="244"/>
      <c r="Y1773" s="244"/>
      <c r="Z1773" s="237"/>
      <c r="AA1773" s="244"/>
      <c r="AB1773" s="244"/>
      <c r="AC1773" s="244"/>
      <c r="AD1773" s="244"/>
      <c r="AE1773" s="234"/>
      <c r="AF1773" s="234"/>
      <c r="AG1773" s="238"/>
      <c r="AH1773" s="239"/>
      <c r="AI1773" s="238"/>
      <c r="AJ1773" s="238"/>
      <c r="AK1773" s="234"/>
      <c r="AL1773" s="234"/>
      <c r="AM1773" s="234"/>
      <c r="AN1773" s="234"/>
      <c r="AO1773" s="234"/>
    </row>
    <row r="1774" ht="15.75" customHeight="1">
      <c r="A1774" s="91"/>
      <c r="B1774" s="91"/>
      <c r="C1774" s="220"/>
      <c r="D1774" s="91"/>
      <c r="E1774" s="221"/>
      <c r="F1774" s="91"/>
      <c r="G1774" s="91"/>
      <c r="H1774" s="242"/>
      <c r="I1774" s="91"/>
      <c r="J1774" s="234"/>
      <c r="K1774" s="243"/>
      <c r="L1774" s="243"/>
      <c r="M1774" s="234"/>
      <c r="N1774" s="235"/>
      <c r="O1774" s="236"/>
      <c r="P1774" s="236"/>
      <c r="Q1774" s="236"/>
      <c r="R1774" s="236"/>
      <c r="S1774" s="236"/>
      <c r="T1774" s="236"/>
      <c r="U1774" s="236"/>
      <c r="V1774" s="236"/>
      <c r="W1774" s="236"/>
      <c r="X1774" s="244"/>
      <c r="Y1774" s="244"/>
      <c r="Z1774" s="237"/>
      <c r="AA1774" s="244"/>
      <c r="AB1774" s="244"/>
      <c r="AC1774" s="244"/>
      <c r="AD1774" s="244"/>
      <c r="AE1774" s="234"/>
      <c r="AF1774" s="234"/>
      <c r="AG1774" s="238"/>
      <c r="AH1774" s="239"/>
      <c r="AI1774" s="238"/>
      <c r="AJ1774" s="238"/>
      <c r="AK1774" s="234"/>
      <c r="AL1774" s="234"/>
      <c r="AM1774" s="234"/>
      <c r="AN1774" s="234"/>
      <c r="AO1774" s="234"/>
    </row>
    <row r="1775" ht="15.75" customHeight="1">
      <c r="A1775" s="91"/>
      <c r="B1775" s="91"/>
      <c r="C1775" s="220"/>
      <c r="D1775" s="91"/>
      <c r="E1775" s="221"/>
      <c r="F1775" s="91"/>
      <c r="G1775" s="91"/>
      <c r="H1775" s="242"/>
      <c r="I1775" s="91"/>
      <c r="J1775" s="234"/>
      <c r="K1775" s="243"/>
      <c r="L1775" s="243"/>
      <c r="M1775" s="234"/>
      <c r="N1775" s="235"/>
      <c r="O1775" s="236"/>
      <c r="P1775" s="236"/>
      <c r="Q1775" s="236"/>
      <c r="R1775" s="236"/>
      <c r="S1775" s="236"/>
      <c r="T1775" s="236"/>
      <c r="U1775" s="236"/>
      <c r="V1775" s="236"/>
      <c r="W1775" s="236"/>
      <c r="X1775" s="244"/>
      <c r="Y1775" s="244"/>
      <c r="Z1775" s="237"/>
      <c r="AA1775" s="244"/>
      <c r="AB1775" s="244"/>
      <c r="AC1775" s="244"/>
      <c r="AD1775" s="244"/>
      <c r="AE1775" s="234"/>
      <c r="AF1775" s="234"/>
      <c r="AG1775" s="238"/>
      <c r="AH1775" s="239"/>
      <c r="AI1775" s="238"/>
      <c r="AJ1775" s="238"/>
      <c r="AK1775" s="234"/>
      <c r="AL1775" s="234"/>
      <c r="AM1775" s="234"/>
      <c r="AN1775" s="234"/>
      <c r="AO1775" s="234"/>
    </row>
    <row r="1776" ht="15.75" customHeight="1">
      <c r="A1776" s="91"/>
      <c r="B1776" s="91"/>
      <c r="C1776" s="220"/>
      <c r="D1776" s="91"/>
      <c r="E1776" s="221"/>
      <c r="F1776" s="91"/>
      <c r="G1776" s="91"/>
      <c r="H1776" s="242"/>
      <c r="I1776" s="91"/>
      <c r="J1776" s="234"/>
      <c r="K1776" s="243"/>
      <c r="L1776" s="243"/>
      <c r="M1776" s="234"/>
      <c r="N1776" s="235"/>
      <c r="O1776" s="236"/>
      <c r="P1776" s="236"/>
      <c r="Q1776" s="236"/>
      <c r="R1776" s="236"/>
      <c r="S1776" s="236"/>
      <c r="T1776" s="236"/>
      <c r="U1776" s="236"/>
      <c r="V1776" s="236"/>
      <c r="W1776" s="236"/>
      <c r="X1776" s="244"/>
      <c r="Y1776" s="244"/>
      <c r="Z1776" s="237"/>
      <c r="AA1776" s="244"/>
      <c r="AB1776" s="244"/>
      <c r="AC1776" s="244"/>
      <c r="AD1776" s="244"/>
      <c r="AE1776" s="234"/>
      <c r="AF1776" s="234"/>
      <c r="AG1776" s="238"/>
      <c r="AH1776" s="239"/>
      <c r="AI1776" s="238"/>
      <c r="AJ1776" s="238"/>
      <c r="AK1776" s="234"/>
      <c r="AL1776" s="234"/>
      <c r="AM1776" s="234"/>
      <c r="AN1776" s="234"/>
      <c r="AO1776" s="234"/>
    </row>
    <row r="1777" ht="15.75" customHeight="1">
      <c r="A1777" s="91"/>
      <c r="B1777" s="91"/>
      <c r="C1777" s="220"/>
      <c r="D1777" s="91"/>
      <c r="E1777" s="221"/>
      <c r="F1777" s="91"/>
      <c r="G1777" s="91"/>
      <c r="H1777" s="242"/>
      <c r="I1777" s="91"/>
      <c r="J1777" s="234"/>
      <c r="K1777" s="243"/>
      <c r="L1777" s="243"/>
      <c r="M1777" s="234"/>
      <c r="N1777" s="235"/>
      <c r="O1777" s="236"/>
      <c r="P1777" s="236"/>
      <c r="Q1777" s="236"/>
      <c r="R1777" s="236"/>
      <c r="S1777" s="236"/>
      <c r="T1777" s="236"/>
      <c r="U1777" s="236"/>
      <c r="V1777" s="236"/>
      <c r="W1777" s="236"/>
      <c r="X1777" s="244"/>
      <c r="Y1777" s="244"/>
      <c r="Z1777" s="237"/>
      <c r="AA1777" s="244"/>
      <c r="AB1777" s="244"/>
      <c r="AC1777" s="244"/>
      <c r="AD1777" s="244"/>
      <c r="AE1777" s="234"/>
      <c r="AF1777" s="234"/>
      <c r="AG1777" s="238"/>
      <c r="AH1777" s="239"/>
      <c r="AI1777" s="238"/>
      <c r="AJ1777" s="238"/>
      <c r="AK1777" s="234"/>
      <c r="AL1777" s="234"/>
      <c r="AM1777" s="234"/>
      <c r="AN1777" s="234"/>
      <c r="AO1777" s="234"/>
    </row>
    <row r="1778" ht="15.75" customHeight="1">
      <c r="A1778" s="91"/>
      <c r="B1778" s="91"/>
      <c r="C1778" s="220"/>
      <c r="D1778" s="91"/>
      <c r="E1778" s="221"/>
      <c r="F1778" s="91"/>
      <c r="G1778" s="91"/>
      <c r="H1778" s="242"/>
      <c r="I1778" s="91"/>
      <c r="J1778" s="234"/>
      <c r="K1778" s="243"/>
      <c r="L1778" s="243"/>
      <c r="M1778" s="234"/>
      <c r="N1778" s="235"/>
      <c r="O1778" s="236"/>
      <c r="P1778" s="236"/>
      <c r="Q1778" s="236"/>
      <c r="R1778" s="236"/>
      <c r="S1778" s="236"/>
      <c r="T1778" s="236"/>
      <c r="U1778" s="236"/>
      <c r="V1778" s="236"/>
      <c r="W1778" s="236"/>
      <c r="X1778" s="244"/>
      <c r="Y1778" s="244"/>
      <c r="Z1778" s="237"/>
      <c r="AA1778" s="244"/>
      <c r="AB1778" s="244"/>
      <c r="AC1778" s="244"/>
      <c r="AD1778" s="244"/>
      <c r="AE1778" s="234"/>
      <c r="AF1778" s="234"/>
      <c r="AG1778" s="238"/>
      <c r="AH1778" s="239"/>
      <c r="AI1778" s="238"/>
      <c r="AJ1778" s="238"/>
      <c r="AK1778" s="234"/>
      <c r="AL1778" s="234"/>
      <c r="AM1778" s="234"/>
      <c r="AN1778" s="234"/>
      <c r="AO1778" s="234"/>
    </row>
    <row r="1779" ht="15.75" customHeight="1">
      <c r="A1779" s="91"/>
      <c r="B1779" s="91"/>
      <c r="C1779" s="220"/>
      <c r="D1779" s="91"/>
      <c r="E1779" s="221"/>
      <c r="F1779" s="91"/>
      <c r="G1779" s="91"/>
      <c r="H1779" s="242"/>
      <c r="I1779" s="91"/>
      <c r="J1779" s="234"/>
      <c r="K1779" s="243"/>
      <c r="L1779" s="243"/>
      <c r="M1779" s="234"/>
      <c r="N1779" s="235"/>
      <c r="O1779" s="236"/>
      <c r="P1779" s="236"/>
      <c r="Q1779" s="236"/>
      <c r="R1779" s="236"/>
      <c r="S1779" s="236"/>
      <c r="T1779" s="236"/>
      <c r="U1779" s="236"/>
      <c r="V1779" s="236"/>
      <c r="W1779" s="236"/>
      <c r="X1779" s="244"/>
      <c r="Y1779" s="244"/>
      <c r="Z1779" s="237"/>
      <c r="AA1779" s="244"/>
      <c r="AB1779" s="244"/>
      <c r="AC1779" s="244"/>
      <c r="AD1779" s="244"/>
      <c r="AE1779" s="234"/>
      <c r="AF1779" s="234"/>
      <c r="AG1779" s="238"/>
      <c r="AH1779" s="239"/>
      <c r="AI1779" s="238"/>
      <c r="AJ1779" s="238"/>
      <c r="AK1779" s="234"/>
      <c r="AL1779" s="234"/>
      <c r="AM1779" s="234"/>
      <c r="AN1779" s="234"/>
      <c r="AO1779" s="234"/>
    </row>
    <row r="1780" ht="15.75" customHeight="1">
      <c r="A1780" s="91"/>
      <c r="B1780" s="91"/>
      <c r="C1780" s="220"/>
      <c r="D1780" s="91"/>
      <c r="E1780" s="221"/>
      <c r="F1780" s="91"/>
      <c r="G1780" s="91"/>
      <c r="H1780" s="242"/>
      <c r="I1780" s="91"/>
      <c r="J1780" s="234"/>
      <c r="K1780" s="243"/>
      <c r="L1780" s="243"/>
      <c r="M1780" s="234"/>
      <c r="N1780" s="235"/>
      <c r="O1780" s="236"/>
      <c r="P1780" s="236"/>
      <c r="Q1780" s="236"/>
      <c r="R1780" s="236"/>
      <c r="S1780" s="236"/>
      <c r="T1780" s="236"/>
      <c r="U1780" s="236"/>
      <c r="V1780" s="236"/>
      <c r="W1780" s="236"/>
      <c r="X1780" s="244"/>
      <c r="Y1780" s="244"/>
      <c r="Z1780" s="237"/>
      <c r="AA1780" s="244"/>
      <c r="AB1780" s="244"/>
      <c r="AC1780" s="244"/>
      <c r="AD1780" s="244"/>
      <c r="AE1780" s="234"/>
      <c r="AF1780" s="234"/>
      <c r="AG1780" s="238"/>
      <c r="AH1780" s="239"/>
      <c r="AI1780" s="238"/>
      <c r="AJ1780" s="238"/>
      <c r="AK1780" s="234"/>
      <c r="AL1780" s="234"/>
      <c r="AM1780" s="234"/>
      <c r="AN1780" s="234"/>
      <c r="AO1780" s="234"/>
    </row>
    <row r="1781" ht="15.75" customHeight="1">
      <c r="A1781" s="91"/>
      <c r="B1781" s="91"/>
      <c r="C1781" s="220"/>
      <c r="D1781" s="91"/>
      <c r="E1781" s="221"/>
      <c r="F1781" s="91"/>
      <c r="G1781" s="91"/>
      <c r="H1781" s="242"/>
      <c r="I1781" s="91"/>
      <c r="J1781" s="234"/>
      <c r="K1781" s="243"/>
      <c r="L1781" s="243"/>
      <c r="M1781" s="234"/>
      <c r="N1781" s="235"/>
      <c r="O1781" s="236"/>
      <c r="P1781" s="236"/>
      <c r="Q1781" s="236"/>
      <c r="R1781" s="236"/>
      <c r="S1781" s="236"/>
      <c r="T1781" s="236"/>
      <c r="U1781" s="236"/>
      <c r="V1781" s="236"/>
      <c r="W1781" s="236"/>
      <c r="X1781" s="244"/>
      <c r="Y1781" s="244"/>
      <c r="Z1781" s="237"/>
      <c r="AA1781" s="244"/>
      <c r="AB1781" s="244"/>
      <c r="AC1781" s="244"/>
      <c r="AD1781" s="244"/>
      <c r="AE1781" s="234"/>
      <c r="AF1781" s="234"/>
      <c r="AG1781" s="238"/>
      <c r="AH1781" s="239"/>
      <c r="AI1781" s="238"/>
      <c r="AJ1781" s="238"/>
      <c r="AK1781" s="234"/>
      <c r="AL1781" s="234"/>
      <c r="AM1781" s="234"/>
      <c r="AN1781" s="234"/>
      <c r="AO1781" s="234"/>
    </row>
    <row r="1782" ht="15.75" customHeight="1">
      <c r="A1782" s="91"/>
      <c r="B1782" s="91"/>
      <c r="C1782" s="220"/>
      <c r="D1782" s="91"/>
      <c r="E1782" s="221"/>
      <c r="F1782" s="91"/>
      <c r="G1782" s="91"/>
      <c r="H1782" s="242"/>
      <c r="I1782" s="91"/>
      <c r="J1782" s="234"/>
      <c r="K1782" s="243"/>
      <c r="L1782" s="243"/>
      <c r="M1782" s="234"/>
      <c r="N1782" s="235"/>
      <c r="O1782" s="236"/>
      <c r="P1782" s="236"/>
      <c r="Q1782" s="236"/>
      <c r="R1782" s="236"/>
      <c r="S1782" s="236"/>
      <c r="T1782" s="236"/>
      <c r="U1782" s="236"/>
      <c r="V1782" s="236"/>
      <c r="W1782" s="236"/>
      <c r="X1782" s="244"/>
      <c r="Y1782" s="244"/>
      <c r="Z1782" s="237"/>
      <c r="AA1782" s="244"/>
      <c r="AB1782" s="244"/>
      <c r="AC1782" s="244"/>
      <c r="AD1782" s="244"/>
      <c r="AE1782" s="234"/>
      <c r="AF1782" s="234"/>
      <c r="AG1782" s="238"/>
      <c r="AH1782" s="239"/>
      <c r="AI1782" s="238"/>
      <c r="AJ1782" s="238"/>
      <c r="AK1782" s="234"/>
      <c r="AL1782" s="234"/>
      <c r="AM1782" s="234"/>
      <c r="AN1782" s="234"/>
      <c r="AO1782" s="234"/>
    </row>
    <row r="1783" ht="15.75" customHeight="1">
      <c r="A1783" s="91"/>
      <c r="B1783" s="91"/>
      <c r="C1783" s="220"/>
      <c r="D1783" s="91"/>
      <c r="E1783" s="221"/>
      <c r="F1783" s="91"/>
      <c r="G1783" s="91"/>
      <c r="H1783" s="242"/>
      <c r="I1783" s="91"/>
      <c r="J1783" s="234"/>
      <c r="K1783" s="243"/>
      <c r="L1783" s="243"/>
      <c r="M1783" s="234"/>
      <c r="N1783" s="235"/>
      <c r="O1783" s="236"/>
      <c r="P1783" s="236"/>
      <c r="Q1783" s="236"/>
      <c r="R1783" s="236"/>
      <c r="S1783" s="236"/>
      <c r="T1783" s="236"/>
      <c r="U1783" s="236"/>
      <c r="V1783" s="236"/>
      <c r="W1783" s="236"/>
      <c r="X1783" s="244"/>
      <c r="Y1783" s="244"/>
      <c r="Z1783" s="237"/>
      <c r="AA1783" s="244"/>
      <c r="AB1783" s="244"/>
      <c r="AC1783" s="244"/>
      <c r="AD1783" s="244"/>
      <c r="AE1783" s="234"/>
      <c r="AF1783" s="234"/>
      <c r="AG1783" s="238"/>
      <c r="AH1783" s="239"/>
      <c r="AI1783" s="238"/>
      <c r="AJ1783" s="238"/>
      <c r="AK1783" s="234"/>
      <c r="AL1783" s="234"/>
      <c r="AM1783" s="234"/>
      <c r="AN1783" s="234"/>
      <c r="AO1783" s="234"/>
    </row>
    <row r="1784" ht="15.75" customHeight="1">
      <c r="A1784" s="91"/>
      <c r="B1784" s="91"/>
      <c r="C1784" s="220"/>
      <c r="D1784" s="91"/>
      <c r="E1784" s="221"/>
      <c r="F1784" s="91"/>
      <c r="G1784" s="91"/>
      <c r="H1784" s="242"/>
      <c r="I1784" s="91"/>
      <c r="J1784" s="234"/>
      <c r="K1784" s="243"/>
      <c r="L1784" s="243"/>
      <c r="M1784" s="234"/>
      <c r="N1784" s="235"/>
      <c r="O1784" s="236"/>
      <c r="P1784" s="236"/>
      <c r="Q1784" s="236"/>
      <c r="R1784" s="236"/>
      <c r="S1784" s="236"/>
      <c r="T1784" s="236"/>
      <c r="U1784" s="236"/>
      <c r="V1784" s="236"/>
      <c r="W1784" s="236"/>
      <c r="X1784" s="244"/>
      <c r="Y1784" s="244"/>
      <c r="Z1784" s="237"/>
      <c r="AA1784" s="244"/>
      <c r="AB1784" s="244"/>
      <c r="AC1784" s="244"/>
      <c r="AD1784" s="244"/>
      <c r="AE1784" s="234"/>
      <c r="AF1784" s="234"/>
      <c r="AG1784" s="238"/>
      <c r="AH1784" s="239"/>
      <c r="AI1784" s="238"/>
      <c r="AJ1784" s="238"/>
      <c r="AK1784" s="234"/>
      <c r="AL1784" s="234"/>
      <c r="AM1784" s="234"/>
      <c r="AN1784" s="234"/>
      <c r="AO1784" s="234"/>
    </row>
    <row r="1785" ht="15.75" customHeight="1">
      <c r="A1785" s="91"/>
      <c r="B1785" s="91"/>
      <c r="C1785" s="220"/>
      <c r="D1785" s="91"/>
      <c r="E1785" s="221"/>
      <c r="F1785" s="91"/>
      <c r="G1785" s="91"/>
      <c r="H1785" s="242"/>
      <c r="I1785" s="91"/>
      <c r="J1785" s="234"/>
      <c r="K1785" s="243"/>
      <c r="L1785" s="243"/>
      <c r="M1785" s="234"/>
      <c r="N1785" s="235"/>
      <c r="O1785" s="236"/>
      <c r="P1785" s="236"/>
      <c r="Q1785" s="236"/>
      <c r="R1785" s="236"/>
      <c r="S1785" s="236"/>
      <c r="T1785" s="236"/>
      <c r="U1785" s="236"/>
      <c r="V1785" s="236"/>
      <c r="W1785" s="236"/>
      <c r="X1785" s="244"/>
      <c r="Y1785" s="244"/>
      <c r="Z1785" s="237"/>
      <c r="AA1785" s="244"/>
      <c r="AB1785" s="244"/>
      <c r="AC1785" s="244"/>
      <c r="AD1785" s="244"/>
      <c r="AE1785" s="234"/>
      <c r="AF1785" s="234"/>
      <c r="AG1785" s="238"/>
      <c r="AH1785" s="239"/>
      <c r="AI1785" s="238"/>
      <c r="AJ1785" s="238"/>
      <c r="AK1785" s="234"/>
      <c r="AL1785" s="234"/>
      <c r="AM1785" s="234"/>
      <c r="AN1785" s="234"/>
      <c r="AO1785" s="234"/>
    </row>
    <row r="1786" ht="15.75" customHeight="1">
      <c r="A1786" s="91"/>
      <c r="B1786" s="91"/>
      <c r="C1786" s="220"/>
      <c r="D1786" s="91"/>
      <c r="E1786" s="221"/>
      <c r="F1786" s="91"/>
      <c r="G1786" s="91"/>
      <c r="H1786" s="242"/>
      <c r="I1786" s="91"/>
      <c r="J1786" s="234"/>
      <c r="K1786" s="243"/>
      <c r="L1786" s="243"/>
      <c r="M1786" s="234"/>
      <c r="N1786" s="235"/>
      <c r="O1786" s="236"/>
      <c r="P1786" s="236"/>
      <c r="Q1786" s="236"/>
      <c r="R1786" s="236"/>
      <c r="S1786" s="236"/>
      <c r="T1786" s="236"/>
      <c r="U1786" s="236"/>
      <c r="V1786" s="236"/>
      <c r="W1786" s="236"/>
      <c r="X1786" s="244"/>
      <c r="Y1786" s="244"/>
      <c r="Z1786" s="237"/>
      <c r="AA1786" s="244"/>
      <c r="AB1786" s="244"/>
      <c r="AC1786" s="244"/>
      <c r="AD1786" s="244"/>
      <c r="AE1786" s="234"/>
      <c r="AF1786" s="234"/>
      <c r="AG1786" s="238"/>
      <c r="AH1786" s="239"/>
      <c r="AI1786" s="238"/>
      <c r="AJ1786" s="238"/>
      <c r="AK1786" s="234"/>
      <c r="AL1786" s="234"/>
      <c r="AM1786" s="234"/>
      <c r="AN1786" s="234"/>
      <c r="AO1786" s="234"/>
    </row>
    <row r="1787" ht="15.75" customHeight="1">
      <c r="A1787" s="91"/>
      <c r="B1787" s="91"/>
      <c r="C1787" s="220"/>
      <c r="D1787" s="91"/>
      <c r="E1787" s="221"/>
      <c r="F1787" s="91"/>
      <c r="G1787" s="91"/>
      <c r="H1787" s="242"/>
      <c r="I1787" s="91"/>
      <c r="J1787" s="234"/>
      <c r="K1787" s="243"/>
      <c r="L1787" s="243"/>
      <c r="M1787" s="234"/>
      <c r="N1787" s="235"/>
      <c r="O1787" s="236"/>
      <c r="P1787" s="236"/>
      <c r="Q1787" s="236"/>
      <c r="R1787" s="236"/>
      <c r="S1787" s="236"/>
      <c r="T1787" s="236"/>
      <c r="U1787" s="236"/>
      <c r="V1787" s="236"/>
      <c r="W1787" s="236"/>
      <c r="X1787" s="244"/>
      <c r="Y1787" s="244"/>
      <c r="Z1787" s="237"/>
      <c r="AA1787" s="244"/>
      <c r="AB1787" s="244"/>
      <c r="AC1787" s="244"/>
      <c r="AD1787" s="244"/>
      <c r="AE1787" s="234"/>
      <c r="AF1787" s="234"/>
      <c r="AG1787" s="238"/>
      <c r="AH1787" s="239"/>
      <c r="AI1787" s="238"/>
      <c r="AJ1787" s="238"/>
      <c r="AK1787" s="234"/>
      <c r="AL1787" s="234"/>
      <c r="AM1787" s="234"/>
      <c r="AN1787" s="234"/>
      <c r="AO1787" s="234"/>
    </row>
    <row r="1788" ht="15.75" customHeight="1">
      <c r="A1788" s="91"/>
      <c r="B1788" s="91"/>
      <c r="C1788" s="220"/>
      <c r="D1788" s="91"/>
      <c r="E1788" s="221"/>
      <c r="F1788" s="91"/>
      <c r="G1788" s="91"/>
      <c r="H1788" s="242"/>
      <c r="I1788" s="91"/>
      <c r="J1788" s="234"/>
      <c r="K1788" s="243"/>
      <c r="L1788" s="243"/>
      <c r="M1788" s="234"/>
      <c r="N1788" s="235"/>
      <c r="O1788" s="236"/>
      <c r="P1788" s="236"/>
      <c r="Q1788" s="236"/>
      <c r="R1788" s="236"/>
      <c r="S1788" s="236"/>
      <c r="T1788" s="236"/>
      <c r="U1788" s="236"/>
      <c r="V1788" s="236"/>
      <c r="W1788" s="236"/>
      <c r="X1788" s="244"/>
      <c r="Y1788" s="244"/>
      <c r="Z1788" s="237"/>
      <c r="AA1788" s="244"/>
      <c r="AB1788" s="244"/>
      <c r="AC1788" s="244"/>
      <c r="AD1788" s="244"/>
      <c r="AE1788" s="234"/>
      <c r="AF1788" s="234"/>
      <c r="AG1788" s="238"/>
      <c r="AH1788" s="239"/>
      <c r="AI1788" s="238"/>
      <c r="AJ1788" s="238"/>
      <c r="AK1788" s="234"/>
      <c r="AL1788" s="234"/>
      <c r="AM1788" s="234"/>
      <c r="AN1788" s="234"/>
      <c r="AO1788" s="234"/>
    </row>
    <row r="1789" ht="15.75" customHeight="1">
      <c r="A1789" s="91"/>
      <c r="B1789" s="91"/>
      <c r="C1789" s="220"/>
      <c r="D1789" s="91"/>
      <c r="E1789" s="221"/>
      <c r="F1789" s="91"/>
      <c r="G1789" s="91"/>
      <c r="H1789" s="242"/>
      <c r="I1789" s="91"/>
      <c r="J1789" s="234"/>
      <c r="K1789" s="243"/>
      <c r="L1789" s="243"/>
      <c r="M1789" s="234"/>
      <c r="N1789" s="235"/>
      <c r="O1789" s="236"/>
      <c r="P1789" s="236"/>
      <c r="Q1789" s="236"/>
      <c r="R1789" s="236"/>
      <c r="S1789" s="236"/>
      <c r="T1789" s="236"/>
      <c r="U1789" s="236"/>
      <c r="V1789" s="236"/>
      <c r="W1789" s="236"/>
      <c r="X1789" s="244"/>
      <c r="Y1789" s="244"/>
      <c r="Z1789" s="237"/>
      <c r="AA1789" s="244"/>
      <c r="AB1789" s="244"/>
      <c r="AC1789" s="244"/>
      <c r="AD1789" s="244"/>
      <c r="AE1789" s="234"/>
      <c r="AF1789" s="234"/>
      <c r="AG1789" s="238"/>
      <c r="AH1789" s="239"/>
      <c r="AI1789" s="238"/>
      <c r="AJ1789" s="238"/>
      <c r="AK1789" s="234"/>
      <c r="AL1789" s="234"/>
      <c r="AM1789" s="234"/>
      <c r="AN1789" s="234"/>
      <c r="AO1789" s="234"/>
    </row>
    <row r="1790" ht="15.75" customHeight="1">
      <c r="A1790" s="91"/>
      <c r="B1790" s="91"/>
      <c r="C1790" s="220"/>
      <c r="D1790" s="91"/>
      <c r="E1790" s="221"/>
      <c r="F1790" s="91"/>
      <c r="G1790" s="91"/>
      <c r="H1790" s="242"/>
      <c r="I1790" s="91"/>
      <c r="J1790" s="234"/>
      <c r="K1790" s="243"/>
      <c r="L1790" s="243"/>
      <c r="M1790" s="234"/>
      <c r="N1790" s="235"/>
      <c r="O1790" s="236"/>
      <c r="P1790" s="236"/>
      <c r="Q1790" s="236"/>
      <c r="R1790" s="236"/>
      <c r="S1790" s="236"/>
      <c r="T1790" s="236"/>
      <c r="U1790" s="236"/>
      <c r="V1790" s="236"/>
      <c r="W1790" s="236"/>
      <c r="X1790" s="244"/>
      <c r="Y1790" s="244"/>
      <c r="Z1790" s="237"/>
      <c r="AA1790" s="244"/>
      <c r="AB1790" s="244"/>
      <c r="AC1790" s="244"/>
      <c r="AD1790" s="244"/>
      <c r="AE1790" s="234"/>
      <c r="AF1790" s="234"/>
      <c r="AG1790" s="238"/>
      <c r="AH1790" s="239"/>
      <c r="AI1790" s="238"/>
      <c r="AJ1790" s="238"/>
      <c r="AK1790" s="234"/>
      <c r="AL1790" s="234"/>
      <c r="AM1790" s="234"/>
      <c r="AN1790" s="234"/>
      <c r="AO1790" s="234"/>
    </row>
    <row r="1791" ht="15.75" customHeight="1">
      <c r="A1791" s="91"/>
      <c r="B1791" s="91"/>
      <c r="C1791" s="220"/>
      <c r="D1791" s="91"/>
      <c r="E1791" s="221"/>
      <c r="F1791" s="91"/>
      <c r="G1791" s="91"/>
      <c r="H1791" s="242"/>
      <c r="I1791" s="91"/>
      <c r="J1791" s="234"/>
      <c r="K1791" s="243"/>
      <c r="L1791" s="243"/>
      <c r="M1791" s="234"/>
      <c r="N1791" s="235"/>
      <c r="O1791" s="236"/>
      <c r="P1791" s="236"/>
      <c r="Q1791" s="236"/>
      <c r="R1791" s="236"/>
      <c r="S1791" s="236"/>
      <c r="T1791" s="236"/>
      <c r="U1791" s="236"/>
      <c r="V1791" s="236"/>
      <c r="W1791" s="236"/>
      <c r="X1791" s="244"/>
      <c r="Y1791" s="244"/>
      <c r="Z1791" s="237"/>
      <c r="AA1791" s="244"/>
      <c r="AB1791" s="244"/>
      <c r="AC1791" s="244"/>
      <c r="AD1791" s="244"/>
      <c r="AE1791" s="234"/>
      <c r="AF1791" s="234"/>
      <c r="AG1791" s="238"/>
      <c r="AH1791" s="239"/>
      <c r="AI1791" s="238"/>
      <c r="AJ1791" s="238"/>
      <c r="AK1791" s="234"/>
      <c r="AL1791" s="234"/>
      <c r="AM1791" s="234"/>
      <c r="AN1791" s="234"/>
      <c r="AO1791" s="234"/>
    </row>
    <row r="1792" ht="15.75" customHeight="1">
      <c r="A1792" s="91"/>
      <c r="B1792" s="91"/>
      <c r="C1792" s="220"/>
      <c r="D1792" s="91"/>
      <c r="E1792" s="221"/>
      <c r="F1792" s="91"/>
      <c r="G1792" s="91"/>
      <c r="H1792" s="242"/>
      <c r="I1792" s="91"/>
      <c r="J1792" s="234"/>
      <c r="K1792" s="243"/>
      <c r="L1792" s="243"/>
      <c r="M1792" s="234"/>
      <c r="N1792" s="235"/>
      <c r="O1792" s="236"/>
      <c r="P1792" s="236"/>
      <c r="Q1792" s="236"/>
      <c r="R1792" s="236"/>
      <c r="S1792" s="236"/>
      <c r="T1792" s="236"/>
      <c r="U1792" s="236"/>
      <c r="V1792" s="236"/>
      <c r="W1792" s="236"/>
      <c r="X1792" s="244"/>
      <c r="Y1792" s="244"/>
      <c r="Z1792" s="237"/>
      <c r="AA1792" s="244"/>
      <c r="AB1792" s="244"/>
      <c r="AC1792" s="244"/>
      <c r="AD1792" s="244"/>
      <c r="AE1792" s="234"/>
      <c r="AF1792" s="234"/>
      <c r="AG1792" s="238"/>
      <c r="AH1792" s="239"/>
      <c r="AI1792" s="238"/>
      <c r="AJ1792" s="238"/>
      <c r="AK1792" s="234"/>
      <c r="AL1792" s="234"/>
      <c r="AM1792" s="234"/>
      <c r="AN1792" s="234"/>
      <c r="AO1792" s="234"/>
    </row>
    <row r="1793" ht="15.75" customHeight="1">
      <c r="A1793" s="91"/>
      <c r="B1793" s="91"/>
      <c r="C1793" s="220"/>
      <c r="D1793" s="91"/>
      <c r="E1793" s="221"/>
      <c r="F1793" s="91"/>
      <c r="G1793" s="91"/>
      <c r="H1793" s="242"/>
      <c r="I1793" s="91"/>
      <c r="J1793" s="234"/>
      <c r="K1793" s="243"/>
      <c r="L1793" s="243"/>
      <c r="M1793" s="234"/>
      <c r="N1793" s="235"/>
      <c r="O1793" s="236"/>
      <c r="P1793" s="236"/>
      <c r="Q1793" s="236"/>
      <c r="R1793" s="236"/>
      <c r="S1793" s="236"/>
      <c r="T1793" s="236"/>
      <c r="U1793" s="236"/>
      <c r="V1793" s="236"/>
      <c r="W1793" s="236"/>
      <c r="X1793" s="244"/>
      <c r="Y1793" s="244"/>
      <c r="Z1793" s="237"/>
      <c r="AA1793" s="244"/>
      <c r="AB1793" s="244"/>
      <c r="AC1793" s="244"/>
      <c r="AD1793" s="244"/>
      <c r="AE1793" s="234"/>
      <c r="AF1793" s="234"/>
      <c r="AG1793" s="238"/>
      <c r="AH1793" s="239"/>
      <c r="AI1793" s="238"/>
      <c r="AJ1793" s="238"/>
      <c r="AK1793" s="234"/>
      <c r="AL1793" s="234"/>
      <c r="AM1793" s="234"/>
      <c r="AN1793" s="234"/>
      <c r="AO1793" s="234"/>
    </row>
    <row r="1794" ht="15.75" customHeight="1">
      <c r="A1794" s="91"/>
      <c r="B1794" s="91"/>
      <c r="C1794" s="220"/>
      <c r="D1794" s="91"/>
      <c r="E1794" s="221"/>
      <c r="F1794" s="91"/>
      <c r="G1794" s="91"/>
      <c r="H1794" s="242"/>
      <c r="I1794" s="91"/>
      <c r="J1794" s="234"/>
      <c r="K1794" s="243"/>
      <c r="L1794" s="243"/>
      <c r="M1794" s="234"/>
      <c r="N1794" s="235"/>
      <c r="O1794" s="236"/>
      <c r="P1794" s="236"/>
      <c r="Q1794" s="236"/>
      <c r="R1794" s="236"/>
      <c r="S1794" s="236"/>
      <c r="T1794" s="236"/>
      <c r="U1794" s="236"/>
      <c r="V1794" s="236"/>
      <c r="W1794" s="236"/>
      <c r="X1794" s="244"/>
      <c r="Y1794" s="244"/>
      <c r="Z1794" s="237"/>
      <c r="AA1794" s="244"/>
      <c r="AB1794" s="244"/>
      <c r="AC1794" s="244"/>
      <c r="AD1794" s="244"/>
      <c r="AE1794" s="234"/>
      <c r="AF1794" s="234"/>
      <c r="AG1794" s="238"/>
      <c r="AH1794" s="239"/>
      <c r="AI1794" s="238"/>
      <c r="AJ1794" s="238"/>
      <c r="AK1794" s="234"/>
      <c r="AL1794" s="234"/>
      <c r="AM1794" s="234"/>
      <c r="AN1794" s="234"/>
      <c r="AO1794" s="234"/>
    </row>
    <row r="1795" ht="15.75" customHeight="1">
      <c r="A1795" s="91"/>
      <c r="B1795" s="91"/>
      <c r="C1795" s="220"/>
      <c r="D1795" s="91"/>
      <c r="E1795" s="221"/>
      <c r="F1795" s="91"/>
      <c r="G1795" s="91"/>
      <c r="H1795" s="242"/>
      <c r="I1795" s="91"/>
      <c r="J1795" s="234"/>
      <c r="K1795" s="243"/>
      <c r="L1795" s="243"/>
      <c r="M1795" s="234"/>
      <c r="N1795" s="235"/>
      <c r="O1795" s="236"/>
      <c r="P1795" s="236"/>
      <c r="Q1795" s="236"/>
      <c r="R1795" s="236"/>
      <c r="S1795" s="236"/>
      <c r="T1795" s="236"/>
      <c r="U1795" s="236"/>
      <c r="V1795" s="236"/>
      <c r="W1795" s="236"/>
      <c r="X1795" s="244"/>
      <c r="Y1795" s="244"/>
      <c r="Z1795" s="237"/>
      <c r="AA1795" s="244"/>
      <c r="AB1795" s="244"/>
      <c r="AC1795" s="244"/>
      <c r="AD1795" s="244"/>
      <c r="AE1795" s="234"/>
      <c r="AF1795" s="234"/>
      <c r="AG1795" s="238"/>
      <c r="AH1795" s="239"/>
      <c r="AI1795" s="238"/>
      <c r="AJ1795" s="238"/>
      <c r="AK1795" s="234"/>
      <c r="AL1795" s="234"/>
      <c r="AM1795" s="234"/>
      <c r="AN1795" s="234"/>
      <c r="AO1795" s="234"/>
    </row>
    <row r="1796" ht="15.75" customHeight="1">
      <c r="A1796" s="91"/>
      <c r="B1796" s="91"/>
      <c r="C1796" s="220"/>
      <c r="D1796" s="91"/>
      <c r="E1796" s="221"/>
      <c r="F1796" s="91"/>
      <c r="G1796" s="91"/>
      <c r="H1796" s="242"/>
      <c r="I1796" s="91"/>
      <c r="J1796" s="234"/>
      <c r="K1796" s="243"/>
      <c r="L1796" s="243"/>
      <c r="M1796" s="234"/>
      <c r="N1796" s="235"/>
      <c r="O1796" s="236"/>
      <c r="P1796" s="236"/>
      <c r="Q1796" s="236"/>
      <c r="R1796" s="236"/>
      <c r="S1796" s="236"/>
      <c r="T1796" s="236"/>
      <c r="U1796" s="236"/>
      <c r="V1796" s="236"/>
      <c r="W1796" s="236"/>
      <c r="X1796" s="244"/>
      <c r="Y1796" s="244"/>
      <c r="Z1796" s="237"/>
      <c r="AA1796" s="244"/>
      <c r="AB1796" s="244"/>
      <c r="AC1796" s="244"/>
      <c r="AD1796" s="244"/>
      <c r="AE1796" s="234"/>
      <c r="AF1796" s="234"/>
      <c r="AG1796" s="238"/>
      <c r="AH1796" s="239"/>
      <c r="AI1796" s="238"/>
      <c r="AJ1796" s="238"/>
      <c r="AK1796" s="234"/>
      <c r="AL1796" s="234"/>
      <c r="AM1796" s="234"/>
      <c r="AN1796" s="234"/>
      <c r="AO1796" s="234"/>
    </row>
    <row r="1797" ht="15.75" customHeight="1">
      <c r="A1797" s="91"/>
      <c r="B1797" s="91"/>
      <c r="C1797" s="220"/>
      <c r="D1797" s="91"/>
      <c r="E1797" s="221"/>
      <c r="F1797" s="91"/>
      <c r="G1797" s="91"/>
      <c r="H1797" s="242"/>
      <c r="I1797" s="91"/>
      <c r="J1797" s="234"/>
      <c r="K1797" s="243"/>
      <c r="L1797" s="243"/>
      <c r="M1797" s="234"/>
      <c r="N1797" s="235"/>
      <c r="O1797" s="236"/>
      <c r="P1797" s="236"/>
      <c r="Q1797" s="236"/>
      <c r="R1797" s="236"/>
      <c r="S1797" s="236"/>
      <c r="T1797" s="236"/>
      <c r="U1797" s="236"/>
      <c r="V1797" s="236"/>
      <c r="W1797" s="236"/>
      <c r="X1797" s="244"/>
      <c r="Y1797" s="244"/>
      <c r="Z1797" s="237"/>
      <c r="AA1797" s="244"/>
      <c r="AB1797" s="244"/>
      <c r="AC1797" s="244"/>
      <c r="AD1797" s="244"/>
      <c r="AE1797" s="234"/>
      <c r="AF1797" s="234"/>
      <c r="AG1797" s="238"/>
      <c r="AH1797" s="239"/>
      <c r="AI1797" s="238"/>
      <c r="AJ1797" s="238"/>
      <c r="AK1797" s="234"/>
      <c r="AL1797" s="234"/>
      <c r="AM1797" s="234"/>
      <c r="AN1797" s="234"/>
      <c r="AO1797" s="234"/>
    </row>
    <row r="1798" ht="15.75" customHeight="1">
      <c r="A1798" s="91"/>
      <c r="B1798" s="91"/>
      <c r="C1798" s="220"/>
      <c r="D1798" s="91"/>
      <c r="E1798" s="221"/>
      <c r="F1798" s="91"/>
      <c r="G1798" s="91"/>
      <c r="H1798" s="242"/>
      <c r="I1798" s="91"/>
      <c r="J1798" s="234"/>
      <c r="K1798" s="243"/>
      <c r="L1798" s="243"/>
      <c r="M1798" s="234"/>
      <c r="N1798" s="235"/>
      <c r="O1798" s="236"/>
      <c r="P1798" s="236"/>
      <c r="Q1798" s="236"/>
      <c r="R1798" s="236"/>
      <c r="S1798" s="236"/>
      <c r="T1798" s="236"/>
      <c r="U1798" s="236"/>
      <c r="V1798" s="236"/>
      <c r="W1798" s="236"/>
      <c r="X1798" s="244"/>
      <c r="Y1798" s="244"/>
      <c r="Z1798" s="237"/>
      <c r="AA1798" s="244"/>
      <c r="AB1798" s="244"/>
      <c r="AC1798" s="244"/>
      <c r="AD1798" s="244"/>
      <c r="AE1798" s="234"/>
      <c r="AF1798" s="234"/>
      <c r="AG1798" s="238"/>
      <c r="AH1798" s="239"/>
      <c r="AI1798" s="238"/>
      <c r="AJ1798" s="238"/>
      <c r="AK1798" s="234"/>
      <c r="AL1798" s="234"/>
      <c r="AM1798" s="234"/>
      <c r="AN1798" s="234"/>
      <c r="AO1798" s="234"/>
    </row>
    <row r="1799" ht="15.75" customHeight="1">
      <c r="A1799" s="91"/>
      <c r="B1799" s="91"/>
      <c r="C1799" s="220"/>
      <c r="D1799" s="91"/>
      <c r="E1799" s="221"/>
      <c r="F1799" s="91"/>
      <c r="G1799" s="91"/>
      <c r="H1799" s="242"/>
      <c r="I1799" s="91"/>
      <c r="J1799" s="234"/>
      <c r="K1799" s="243"/>
      <c r="L1799" s="243"/>
      <c r="M1799" s="234"/>
      <c r="N1799" s="235"/>
      <c r="O1799" s="236"/>
      <c r="P1799" s="236"/>
      <c r="Q1799" s="236"/>
      <c r="R1799" s="236"/>
      <c r="S1799" s="236"/>
      <c r="T1799" s="236"/>
      <c r="U1799" s="236"/>
      <c r="V1799" s="236"/>
      <c r="W1799" s="236"/>
      <c r="X1799" s="244"/>
      <c r="Y1799" s="244"/>
      <c r="Z1799" s="237"/>
      <c r="AA1799" s="244"/>
      <c r="AB1799" s="244"/>
      <c r="AC1799" s="244"/>
      <c r="AD1799" s="244"/>
      <c r="AE1799" s="234"/>
      <c r="AF1799" s="234"/>
      <c r="AG1799" s="238"/>
      <c r="AH1799" s="239"/>
      <c r="AI1799" s="238"/>
      <c r="AJ1799" s="238"/>
      <c r="AK1799" s="234"/>
      <c r="AL1799" s="234"/>
      <c r="AM1799" s="234"/>
      <c r="AN1799" s="234"/>
      <c r="AO1799" s="234"/>
    </row>
    <row r="1800" ht="15.75" customHeight="1">
      <c r="A1800" s="91"/>
      <c r="B1800" s="91"/>
      <c r="C1800" s="220"/>
      <c r="D1800" s="91"/>
      <c r="E1800" s="221"/>
      <c r="F1800" s="91"/>
      <c r="G1800" s="91"/>
      <c r="H1800" s="242"/>
      <c r="I1800" s="91"/>
      <c r="J1800" s="234"/>
      <c r="K1800" s="243"/>
      <c r="L1800" s="243"/>
      <c r="M1800" s="234"/>
      <c r="N1800" s="235"/>
      <c r="O1800" s="236"/>
      <c r="P1800" s="236"/>
      <c r="Q1800" s="236"/>
      <c r="R1800" s="236"/>
      <c r="S1800" s="236"/>
      <c r="T1800" s="236"/>
      <c r="U1800" s="236"/>
      <c r="V1800" s="236"/>
      <c r="W1800" s="236"/>
      <c r="X1800" s="244"/>
      <c r="Y1800" s="244"/>
      <c r="Z1800" s="237"/>
      <c r="AA1800" s="244"/>
      <c r="AB1800" s="244"/>
      <c r="AC1800" s="244"/>
      <c r="AD1800" s="244"/>
      <c r="AE1800" s="234"/>
      <c r="AF1800" s="234"/>
      <c r="AG1800" s="238"/>
      <c r="AH1800" s="239"/>
      <c r="AI1800" s="238"/>
      <c r="AJ1800" s="238"/>
      <c r="AK1800" s="234"/>
      <c r="AL1800" s="234"/>
      <c r="AM1800" s="234"/>
      <c r="AN1800" s="234"/>
      <c r="AO1800" s="234"/>
    </row>
    <row r="1801" ht="15.75" customHeight="1">
      <c r="A1801" s="91"/>
      <c r="B1801" s="91"/>
      <c r="C1801" s="220"/>
      <c r="D1801" s="91"/>
      <c r="E1801" s="221"/>
      <c r="F1801" s="91"/>
      <c r="G1801" s="91"/>
      <c r="H1801" s="242"/>
      <c r="I1801" s="91"/>
      <c r="J1801" s="234"/>
      <c r="K1801" s="243"/>
      <c r="L1801" s="243"/>
      <c r="M1801" s="234"/>
      <c r="N1801" s="235"/>
      <c r="O1801" s="236"/>
      <c r="P1801" s="236"/>
      <c r="Q1801" s="236"/>
      <c r="R1801" s="236"/>
      <c r="S1801" s="236"/>
      <c r="T1801" s="236"/>
      <c r="U1801" s="236"/>
      <c r="V1801" s="236"/>
      <c r="W1801" s="236"/>
      <c r="X1801" s="244"/>
      <c r="Y1801" s="244"/>
      <c r="Z1801" s="237"/>
      <c r="AA1801" s="244"/>
      <c r="AB1801" s="244"/>
      <c r="AC1801" s="244"/>
      <c r="AD1801" s="244"/>
      <c r="AE1801" s="234"/>
      <c r="AF1801" s="234"/>
      <c r="AG1801" s="238"/>
      <c r="AH1801" s="239"/>
      <c r="AI1801" s="238"/>
      <c r="AJ1801" s="238"/>
      <c r="AK1801" s="234"/>
      <c r="AL1801" s="234"/>
      <c r="AM1801" s="234"/>
      <c r="AN1801" s="234"/>
      <c r="AO1801" s="234"/>
    </row>
    <row r="1802" ht="15.75" customHeight="1">
      <c r="A1802" s="91"/>
      <c r="B1802" s="91"/>
      <c r="C1802" s="220"/>
      <c r="D1802" s="91"/>
      <c r="E1802" s="221"/>
      <c r="F1802" s="91"/>
      <c r="G1802" s="91"/>
      <c r="H1802" s="242"/>
      <c r="I1802" s="91"/>
      <c r="J1802" s="234"/>
      <c r="K1802" s="243"/>
      <c r="L1802" s="243"/>
      <c r="M1802" s="234"/>
      <c r="N1802" s="235"/>
      <c r="O1802" s="236"/>
      <c r="P1802" s="236"/>
      <c r="Q1802" s="236"/>
      <c r="R1802" s="236"/>
      <c r="S1802" s="236"/>
      <c r="T1802" s="236"/>
      <c r="U1802" s="236"/>
      <c r="V1802" s="236"/>
      <c r="W1802" s="236"/>
      <c r="X1802" s="244"/>
      <c r="Y1802" s="244"/>
      <c r="Z1802" s="237"/>
      <c r="AA1802" s="244"/>
      <c r="AB1802" s="244"/>
      <c r="AC1802" s="244"/>
      <c r="AD1802" s="244"/>
      <c r="AE1802" s="234"/>
      <c r="AF1802" s="234"/>
      <c r="AG1802" s="238"/>
      <c r="AH1802" s="239"/>
      <c r="AI1802" s="238"/>
      <c r="AJ1802" s="238"/>
      <c r="AK1802" s="234"/>
      <c r="AL1802" s="234"/>
      <c r="AM1802" s="234"/>
      <c r="AN1802" s="234"/>
      <c r="AO1802" s="234"/>
    </row>
    <row r="1803" ht="15.75" customHeight="1">
      <c r="A1803" s="91"/>
      <c r="B1803" s="91"/>
      <c r="C1803" s="220"/>
      <c r="D1803" s="91"/>
      <c r="E1803" s="221"/>
      <c r="F1803" s="91"/>
      <c r="G1803" s="91"/>
      <c r="H1803" s="242"/>
      <c r="I1803" s="91"/>
      <c r="J1803" s="234"/>
      <c r="K1803" s="243"/>
      <c r="L1803" s="243"/>
      <c r="M1803" s="234"/>
      <c r="N1803" s="235"/>
      <c r="O1803" s="236"/>
      <c r="P1803" s="236"/>
      <c r="Q1803" s="236"/>
      <c r="R1803" s="236"/>
      <c r="S1803" s="236"/>
      <c r="T1803" s="236"/>
      <c r="U1803" s="236"/>
      <c r="V1803" s="236"/>
      <c r="W1803" s="236"/>
      <c r="X1803" s="244"/>
      <c r="Y1803" s="244"/>
      <c r="Z1803" s="237"/>
      <c r="AA1803" s="244"/>
      <c r="AB1803" s="244"/>
      <c r="AC1803" s="244"/>
      <c r="AD1803" s="244"/>
      <c r="AE1803" s="234"/>
      <c r="AF1803" s="234"/>
      <c r="AG1803" s="238"/>
      <c r="AH1803" s="239"/>
      <c r="AI1803" s="238"/>
      <c r="AJ1803" s="238"/>
      <c r="AK1803" s="234"/>
      <c r="AL1803" s="234"/>
      <c r="AM1803" s="234"/>
      <c r="AN1803" s="234"/>
      <c r="AO1803" s="234"/>
    </row>
    <row r="1804" ht="15.75" customHeight="1">
      <c r="A1804" s="91"/>
      <c r="B1804" s="91"/>
      <c r="C1804" s="220"/>
      <c r="D1804" s="91"/>
      <c r="E1804" s="221"/>
      <c r="F1804" s="91"/>
      <c r="G1804" s="91"/>
      <c r="H1804" s="242"/>
      <c r="I1804" s="91"/>
      <c r="J1804" s="234"/>
      <c r="K1804" s="243"/>
      <c r="L1804" s="243"/>
      <c r="M1804" s="234"/>
      <c r="N1804" s="235"/>
      <c r="O1804" s="236"/>
      <c r="P1804" s="236"/>
      <c r="Q1804" s="236"/>
      <c r="R1804" s="236"/>
      <c r="S1804" s="236"/>
      <c r="T1804" s="236"/>
      <c r="U1804" s="236"/>
      <c r="V1804" s="236"/>
      <c r="W1804" s="236"/>
      <c r="X1804" s="244"/>
      <c r="Y1804" s="244"/>
      <c r="Z1804" s="237"/>
      <c r="AA1804" s="244"/>
      <c r="AB1804" s="244"/>
      <c r="AC1804" s="244"/>
      <c r="AD1804" s="244"/>
      <c r="AE1804" s="234"/>
      <c r="AF1804" s="234"/>
      <c r="AG1804" s="238"/>
      <c r="AH1804" s="239"/>
      <c r="AI1804" s="238"/>
      <c r="AJ1804" s="238"/>
      <c r="AK1804" s="234"/>
      <c r="AL1804" s="234"/>
      <c r="AM1804" s="234"/>
      <c r="AN1804" s="234"/>
      <c r="AO1804" s="234"/>
    </row>
    <row r="1805" ht="15.75" customHeight="1">
      <c r="A1805" s="91"/>
      <c r="B1805" s="91"/>
      <c r="C1805" s="220"/>
      <c r="D1805" s="91"/>
      <c r="E1805" s="221"/>
      <c r="F1805" s="91"/>
      <c r="G1805" s="91"/>
      <c r="H1805" s="242"/>
      <c r="I1805" s="91"/>
      <c r="J1805" s="234"/>
      <c r="K1805" s="243"/>
      <c r="L1805" s="243"/>
      <c r="M1805" s="234"/>
      <c r="N1805" s="235"/>
      <c r="O1805" s="236"/>
      <c r="P1805" s="236"/>
      <c r="Q1805" s="236"/>
      <c r="R1805" s="236"/>
      <c r="S1805" s="236"/>
      <c r="T1805" s="236"/>
      <c r="U1805" s="236"/>
      <c r="V1805" s="236"/>
      <c r="W1805" s="236"/>
      <c r="X1805" s="244"/>
      <c r="Y1805" s="244"/>
      <c r="Z1805" s="237"/>
      <c r="AA1805" s="244"/>
      <c r="AB1805" s="244"/>
      <c r="AC1805" s="244"/>
      <c r="AD1805" s="244"/>
      <c r="AE1805" s="234"/>
      <c r="AF1805" s="234"/>
      <c r="AG1805" s="238"/>
      <c r="AH1805" s="239"/>
      <c r="AI1805" s="238"/>
      <c r="AJ1805" s="238"/>
      <c r="AK1805" s="234"/>
      <c r="AL1805" s="234"/>
      <c r="AM1805" s="234"/>
      <c r="AN1805" s="234"/>
      <c r="AO1805" s="234"/>
    </row>
    <row r="1806" ht="15.75" customHeight="1">
      <c r="A1806" s="91"/>
      <c r="B1806" s="91"/>
      <c r="C1806" s="220"/>
      <c r="D1806" s="91"/>
      <c r="E1806" s="221"/>
      <c r="F1806" s="91"/>
      <c r="G1806" s="91"/>
      <c r="H1806" s="242"/>
      <c r="I1806" s="91"/>
      <c r="J1806" s="234"/>
      <c r="K1806" s="243"/>
      <c r="L1806" s="243"/>
      <c r="M1806" s="234"/>
      <c r="N1806" s="235"/>
      <c r="O1806" s="236"/>
      <c r="P1806" s="236"/>
      <c r="Q1806" s="236"/>
      <c r="R1806" s="236"/>
      <c r="S1806" s="236"/>
      <c r="T1806" s="236"/>
      <c r="U1806" s="236"/>
      <c r="V1806" s="236"/>
      <c r="W1806" s="236"/>
      <c r="X1806" s="244"/>
      <c r="Y1806" s="244"/>
      <c r="Z1806" s="237"/>
      <c r="AA1806" s="244"/>
      <c r="AB1806" s="244"/>
      <c r="AC1806" s="244"/>
      <c r="AD1806" s="244"/>
      <c r="AE1806" s="234"/>
      <c r="AF1806" s="234"/>
      <c r="AG1806" s="238"/>
      <c r="AH1806" s="239"/>
      <c r="AI1806" s="238"/>
      <c r="AJ1806" s="238"/>
      <c r="AK1806" s="234"/>
      <c r="AL1806" s="234"/>
      <c r="AM1806" s="234"/>
      <c r="AN1806" s="234"/>
      <c r="AO1806" s="234"/>
    </row>
    <row r="1807" ht="15.75" customHeight="1">
      <c r="A1807" s="91"/>
      <c r="B1807" s="91"/>
      <c r="C1807" s="220"/>
      <c r="D1807" s="91"/>
      <c r="E1807" s="221"/>
      <c r="F1807" s="91"/>
      <c r="G1807" s="91"/>
      <c r="H1807" s="242"/>
      <c r="I1807" s="91"/>
      <c r="J1807" s="234"/>
      <c r="K1807" s="243"/>
      <c r="L1807" s="243"/>
      <c r="M1807" s="234"/>
      <c r="N1807" s="235"/>
      <c r="O1807" s="236"/>
      <c r="P1807" s="236"/>
      <c r="Q1807" s="236"/>
      <c r="R1807" s="236"/>
      <c r="S1807" s="236"/>
      <c r="T1807" s="236"/>
      <c r="U1807" s="236"/>
      <c r="V1807" s="236"/>
      <c r="W1807" s="236"/>
      <c r="X1807" s="244"/>
      <c r="Y1807" s="244"/>
      <c r="Z1807" s="237"/>
      <c r="AA1807" s="244"/>
      <c r="AB1807" s="244"/>
      <c r="AC1807" s="244"/>
      <c r="AD1807" s="244"/>
      <c r="AE1807" s="234"/>
      <c r="AF1807" s="234"/>
      <c r="AG1807" s="238"/>
      <c r="AH1807" s="239"/>
      <c r="AI1807" s="238"/>
      <c r="AJ1807" s="238"/>
      <c r="AK1807" s="234"/>
      <c r="AL1807" s="234"/>
      <c r="AM1807" s="234"/>
      <c r="AN1807" s="234"/>
      <c r="AO1807" s="234"/>
    </row>
    <row r="1808" ht="15.75" customHeight="1">
      <c r="A1808" s="91"/>
      <c r="B1808" s="91"/>
      <c r="C1808" s="220"/>
      <c r="D1808" s="91"/>
      <c r="E1808" s="221"/>
      <c r="F1808" s="91"/>
      <c r="G1808" s="91"/>
      <c r="H1808" s="242"/>
      <c r="I1808" s="91"/>
      <c r="J1808" s="234"/>
      <c r="K1808" s="243"/>
      <c r="L1808" s="243"/>
      <c r="M1808" s="234"/>
      <c r="N1808" s="235"/>
      <c r="O1808" s="236"/>
      <c r="P1808" s="236"/>
      <c r="Q1808" s="236"/>
      <c r="R1808" s="236"/>
      <c r="S1808" s="236"/>
      <c r="T1808" s="236"/>
      <c r="U1808" s="236"/>
      <c r="V1808" s="236"/>
      <c r="W1808" s="236"/>
      <c r="X1808" s="244"/>
      <c r="Y1808" s="244"/>
      <c r="Z1808" s="237"/>
      <c r="AA1808" s="244"/>
      <c r="AB1808" s="244"/>
      <c r="AC1808" s="244"/>
      <c r="AD1808" s="244"/>
      <c r="AE1808" s="234"/>
      <c r="AF1808" s="234"/>
      <c r="AG1808" s="238"/>
      <c r="AH1808" s="239"/>
      <c r="AI1808" s="238"/>
      <c r="AJ1808" s="238"/>
      <c r="AK1808" s="234"/>
      <c r="AL1808" s="234"/>
      <c r="AM1808" s="234"/>
      <c r="AN1808" s="234"/>
      <c r="AO1808" s="234"/>
    </row>
    <row r="1809" ht="15.75" customHeight="1">
      <c r="A1809" s="91"/>
      <c r="B1809" s="91"/>
      <c r="C1809" s="220"/>
      <c r="D1809" s="91"/>
      <c r="E1809" s="221"/>
      <c r="F1809" s="91"/>
      <c r="G1809" s="91"/>
      <c r="H1809" s="242"/>
      <c r="I1809" s="91"/>
      <c r="J1809" s="234"/>
      <c r="K1809" s="243"/>
      <c r="L1809" s="243"/>
      <c r="M1809" s="234"/>
      <c r="N1809" s="235"/>
      <c r="O1809" s="236"/>
      <c r="P1809" s="236"/>
      <c r="Q1809" s="236"/>
      <c r="R1809" s="236"/>
      <c r="S1809" s="236"/>
      <c r="T1809" s="236"/>
      <c r="U1809" s="236"/>
      <c r="V1809" s="236"/>
      <c r="W1809" s="236"/>
      <c r="X1809" s="244"/>
      <c r="Y1809" s="244"/>
      <c r="Z1809" s="237"/>
      <c r="AA1809" s="244"/>
      <c r="AB1809" s="244"/>
      <c r="AC1809" s="244"/>
      <c r="AD1809" s="244"/>
      <c r="AE1809" s="234"/>
      <c r="AF1809" s="234"/>
      <c r="AG1809" s="238"/>
      <c r="AH1809" s="239"/>
      <c r="AI1809" s="238"/>
      <c r="AJ1809" s="238"/>
      <c r="AK1809" s="234"/>
      <c r="AL1809" s="234"/>
      <c r="AM1809" s="234"/>
      <c r="AN1809" s="234"/>
      <c r="AO1809" s="234"/>
    </row>
    <row r="1810" ht="15.75" customHeight="1">
      <c r="A1810" s="91"/>
      <c r="B1810" s="91"/>
      <c r="C1810" s="220"/>
      <c r="D1810" s="91"/>
      <c r="E1810" s="221"/>
      <c r="F1810" s="91"/>
      <c r="G1810" s="91"/>
      <c r="H1810" s="242"/>
      <c r="I1810" s="91"/>
      <c r="J1810" s="234"/>
      <c r="K1810" s="243"/>
      <c r="L1810" s="243"/>
      <c r="M1810" s="234"/>
      <c r="N1810" s="235"/>
      <c r="O1810" s="236"/>
      <c r="P1810" s="236"/>
      <c r="Q1810" s="236"/>
      <c r="R1810" s="236"/>
      <c r="S1810" s="236"/>
      <c r="T1810" s="236"/>
      <c r="U1810" s="236"/>
      <c r="V1810" s="236"/>
      <c r="W1810" s="236"/>
      <c r="X1810" s="244"/>
      <c r="Y1810" s="244"/>
      <c r="Z1810" s="237"/>
      <c r="AA1810" s="244"/>
      <c r="AB1810" s="244"/>
      <c r="AC1810" s="244"/>
      <c r="AD1810" s="244"/>
      <c r="AE1810" s="234"/>
      <c r="AF1810" s="234"/>
      <c r="AG1810" s="238"/>
      <c r="AH1810" s="239"/>
      <c r="AI1810" s="238"/>
      <c r="AJ1810" s="238"/>
      <c r="AK1810" s="234"/>
      <c r="AL1810" s="234"/>
      <c r="AM1810" s="234"/>
      <c r="AN1810" s="234"/>
      <c r="AO1810" s="234"/>
    </row>
    <row r="1811" ht="15.75" customHeight="1">
      <c r="A1811" s="91"/>
      <c r="B1811" s="91"/>
      <c r="C1811" s="220"/>
      <c r="D1811" s="91"/>
      <c r="E1811" s="221"/>
      <c r="F1811" s="91"/>
      <c r="G1811" s="91"/>
      <c r="H1811" s="242"/>
      <c r="I1811" s="91"/>
      <c r="J1811" s="234"/>
      <c r="K1811" s="243"/>
      <c r="L1811" s="243"/>
      <c r="M1811" s="234"/>
      <c r="N1811" s="235"/>
      <c r="O1811" s="236"/>
      <c r="P1811" s="236"/>
      <c r="Q1811" s="236"/>
      <c r="R1811" s="236"/>
      <c r="S1811" s="236"/>
      <c r="T1811" s="236"/>
      <c r="U1811" s="236"/>
      <c r="V1811" s="236"/>
      <c r="W1811" s="236"/>
      <c r="X1811" s="244"/>
      <c r="Y1811" s="244"/>
      <c r="Z1811" s="237"/>
      <c r="AA1811" s="244"/>
      <c r="AB1811" s="244"/>
      <c r="AC1811" s="244"/>
      <c r="AD1811" s="244"/>
      <c r="AE1811" s="234"/>
      <c r="AF1811" s="234"/>
      <c r="AG1811" s="238"/>
      <c r="AH1811" s="239"/>
      <c r="AI1811" s="238"/>
      <c r="AJ1811" s="238"/>
      <c r="AK1811" s="234"/>
      <c r="AL1811" s="234"/>
      <c r="AM1811" s="234"/>
      <c r="AN1811" s="234"/>
      <c r="AO1811" s="234"/>
    </row>
    <row r="1812" ht="15.75" customHeight="1">
      <c r="A1812" s="91"/>
      <c r="B1812" s="91"/>
      <c r="C1812" s="220"/>
      <c r="D1812" s="91"/>
      <c r="E1812" s="221"/>
      <c r="F1812" s="91"/>
      <c r="G1812" s="91"/>
      <c r="H1812" s="242"/>
      <c r="I1812" s="91"/>
      <c r="J1812" s="234"/>
      <c r="K1812" s="243"/>
      <c r="L1812" s="243"/>
      <c r="M1812" s="234"/>
      <c r="N1812" s="235"/>
      <c r="O1812" s="236"/>
      <c r="P1812" s="236"/>
      <c r="Q1812" s="236"/>
      <c r="R1812" s="236"/>
      <c r="S1812" s="236"/>
      <c r="T1812" s="236"/>
      <c r="U1812" s="236"/>
      <c r="V1812" s="236"/>
      <c r="W1812" s="236"/>
      <c r="X1812" s="244"/>
      <c r="Y1812" s="244"/>
      <c r="Z1812" s="237"/>
      <c r="AA1812" s="244"/>
      <c r="AB1812" s="244"/>
      <c r="AC1812" s="244"/>
      <c r="AD1812" s="244"/>
      <c r="AE1812" s="234"/>
      <c r="AF1812" s="234"/>
      <c r="AG1812" s="238"/>
      <c r="AH1812" s="239"/>
      <c r="AI1812" s="238"/>
      <c r="AJ1812" s="238"/>
      <c r="AK1812" s="234"/>
      <c r="AL1812" s="234"/>
      <c r="AM1812" s="234"/>
      <c r="AN1812" s="234"/>
      <c r="AO1812" s="234"/>
    </row>
    <row r="1813" ht="15.75" customHeight="1">
      <c r="A1813" s="91"/>
      <c r="B1813" s="91"/>
      <c r="C1813" s="220"/>
      <c r="D1813" s="91"/>
      <c r="E1813" s="221"/>
      <c r="F1813" s="91"/>
      <c r="G1813" s="91"/>
      <c r="H1813" s="242"/>
      <c r="I1813" s="91"/>
      <c r="J1813" s="234"/>
      <c r="K1813" s="243"/>
      <c r="L1813" s="243"/>
      <c r="M1813" s="234"/>
      <c r="N1813" s="235"/>
      <c r="O1813" s="236"/>
      <c r="P1813" s="236"/>
      <c r="Q1813" s="236"/>
      <c r="R1813" s="236"/>
      <c r="S1813" s="236"/>
      <c r="T1813" s="236"/>
      <c r="U1813" s="236"/>
      <c r="V1813" s="236"/>
      <c r="W1813" s="236"/>
      <c r="X1813" s="244"/>
      <c r="Y1813" s="244"/>
      <c r="Z1813" s="237"/>
      <c r="AA1813" s="244"/>
      <c r="AB1813" s="244"/>
      <c r="AC1813" s="244"/>
      <c r="AD1813" s="244"/>
      <c r="AE1813" s="234"/>
      <c r="AF1813" s="234"/>
      <c r="AG1813" s="238"/>
      <c r="AH1813" s="239"/>
      <c r="AI1813" s="238"/>
      <c r="AJ1813" s="238"/>
      <c r="AK1813" s="234"/>
      <c r="AL1813" s="234"/>
      <c r="AM1813" s="234"/>
      <c r="AN1813" s="234"/>
      <c r="AO1813" s="234"/>
    </row>
    <row r="1814" ht="15.75" customHeight="1">
      <c r="A1814" s="91"/>
      <c r="B1814" s="91"/>
      <c r="C1814" s="220"/>
      <c r="D1814" s="91"/>
      <c r="E1814" s="221"/>
      <c r="F1814" s="91"/>
      <c r="G1814" s="91"/>
      <c r="H1814" s="242"/>
      <c r="I1814" s="91"/>
      <c r="J1814" s="234"/>
      <c r="K1814" s="243"/>
      <c r="L1814" s="243"/>
      <c r="M1814" s="234"/>
      <c r="N1814" s="235"/>
      <c r="O1814" s="236"/>
      <c r="P1814" s="236"/>
      <c r="Q1814" s="236"/>
      <c r="R1814" s="236"/>
      <c r="S1814" s="236"/>
      <c r="T1814" s="236"/>
      <c r="U1814" s="236"/>
      <c r="V1814" s="236"/>
      <c r="W1814" s="236"/>
      <c r="X1814" s="244"/>
      <c r="Y1814" s="244"/>
      <c r="Z1814" s="237"/>
      <c r="AA1814" s="244"/>
      <c r="AB1814" s="244"/>
      <c r="AC1814" s="244"/>
      <c r="AD1814" s="244"/>
      <c r="AE1814" s="234"/>
      <c r="AF1814" s="234"/>
      <c r="AG1814" s="238"/>
      <c r="AH1814" s="239"/>
      <c r="AI1814" s="238"/>
      <c r="AJ1814" s="238"/>
      <c r="AK1814" s="234"/>
      <c r="AL1814" s="234"/>
      <c r="AM1814" s="234"/>
      <c r="AN1814" s="234"/>
      <c r="AO1814" s="234"/>
    </row>
    <row r="1815" ht="15.75" customHeight="1">
      <c r="A1815" s="91"/>
      <c r="B1815" s="91"/>
      <c r="C1815" s="220"/>
      <c r="D1815" s="91"/>
      <c r="E1815" s="221"/>
      <c r="F1815" s="91"/>
      <c r="G1815" s="91"/>
      <c r="H1815" s="242"/>
      <c r="I1815" s="91"/>
      <c r="J1815" s="234"/>
      <c r="K1815" s="243"/>
      <c r="L1815" s="243"/>
      <c r="M1815" s="234"/>
      <c r="N1815" s="235"/>
      <c r="O1815" s="236"/>
      <c r="P1815" s="236"/>
      <c r="Q1815" s="236"/>
      <c r="R1815" s="236"/>
      <c r="S1815" s="236"/>
      <c r="T1815" s="236"/>
      <c r="U1815" s="236"/>
      <c r="V1815" s="236"/>
      <c r="W1815" s="236"/>
      <c r="X1815" s="244"/>
      <c r="Y1815" s="244"/>
      <c r="Z1815" s="237"/>
      <c r="AA1815" s="244"/>
      <c r="AB1815" s="244"/>
      <c r="AC1815" s="244"/>
      <c r="AD1815" s="244"/>
      <c r="AE1815" s="234"/>
      <c r="AF1815" s="234"/>
      <c r="AG1815" s="238"/>
      <c r="AH1815" s="239"/>
      <c r="AI1815" s="238"/>
      <c r="AJ1815" s="238"/>
      <c r="AK1815" s="234"/>
      <c r="AL1815" s="234"/>
      <c r="AM1815" s="234"/>
      <c r="AN1815" s="234"/>
      <c r="AO1815" s="234"/>
    </row>
    <row r="1816" ht="15.75" customHeight="1">
      <c r="A1816" s="91"/>
      <c r="B1816" s="91"/>
      <c r="C1816" s="220"/>
      <c r="D1816" s="91"/>
      <c r="E1816" s="221"/>
      <c r="F1816" s="91"/>
      <c r="G1816" s="91"/>
      <c r="H1816" s="242"/>
      <c r="I1816" s="91"/>
      <c r="J1816" s="234"/>
      <c r="K1816" s="243"/>
      <c r="L1816" s="243"/>
      <c r="M1816" s="234"/>
      <c r="N1816" s="235"/>
      <c r="O1816" s="236"/>
      <c r="P1816" s="236"/>
      <c r="Q1816" s="236"/>
      <c r="R1816" s="236"/>
      <c r="S1816" s="236"/>
      <c r="T1816" s="236"/>
      <c r="U1816" s="236"/>
      <c r="V1816" s="236"/>
      <c r="W1816" s="236"/>
      <c r="X1816" s="244"/>
      <c r="Y1816" s="244"/>
      <c r="Z1816" s="237"/>
      <c r="AA1816" s="244"/>
      <c r="AB1816" s="244"/>
      <c r="AC1816" s="244"/>
      <c r="AD1816" s="244"/>
      <c r="AE1816" s="234"/>
      <c r="AF1816" s="234"/>
      <c r="AG1816" s="238"/>
      <c r="AH1816" s="239"/>
      <c r="AI1816" s="238"/>
      <c r="AJ1816" s="238"/>
      <c r="AK1816" s="234"/>
      <c r="AL1816" s="234"/>
      <c r="AM1816" s="234"/>
      <c r="AN1816" s="234"/>
      <c r="AO1816" s="234"/>
    </row>
    <row r="1817" ht="15.75" customHeight="1">
      <c r="A1817" s="91"/>
      <c r="B1817" s="91"/>
      <c r="C1817" s="220"/>
      <c r="D1817" s="91"/>
      <c r="E1817" s="221"/>
      <c r="F1817" s="91"/>
      <c r="G1817" s="91"/>
      <c r="H1817" s="242"/>
      <c r="I1817" s="91"/>
      <c r="J1817" s="234"/>
      <c r="K1817" s="243"/>
      <c r="L1817" s="243"/>
      <c r="M1817" s="234"/>
      <c r="N1817" s="235"/>
      <c r="O1817" s="236"/>
      <c r="P1817" s="236"/>
      <c r="Q1817" s="236"/>
      <c r="R1817" s="236"/>
      <c r="S1817" s="236"/>
      <c r="T1817" s="236"/>
      <c r="U1817" s="236"/>
      <c r="V1817" s="236"/>
      <c r="W1817" s="236"/>
      <c r="X1817" s="244"/>
      <c r="Y1817" s="244"/>
      <c r="Z1817" s="237"/>
      <c r="AA1817" s="244"/>
      <c r="AB1817" s="244"/>
      <c r="AC1817" s="244"/>
      <c r="AD1817" s="244"/>
      <c r="AE1817" s="234"/>
      <c r="AF1817" s="234"/>
      <c r="AG1817" s="238"/>
      <c r="AH1817" s="239"/>
      <c r="AI1817" s="238"/>
      <c r="AJ1817" s="238"/>
      <c r="AK1817" s="234"/>
      <c r="AL1817" s="234"/>
      <c r="AM1817" s="234"/>
      <c r="AN1817" s="234"/>
      <c r="AO1817" s="234"/>
    </row>
    <row r="1818" ht="15.75" customHeight="1">
      <c r="A1818" s="91"/>
      <c r="B1818" s="91"/>
      <c r="C1818" s="220"/>
      <c r="D1818" s="91"/>
      <c r="E1818" s="221"/>
      <c r="F1818" s="91"/>
      <c r="G1818" s="91"/>
      <c r="H1818" s="242"/>
      <c r="I1818" s="91"/>
      <c r="J1818" s="234"/>
      <c r="K1818" s="243"/>
      <c r="L1818" s="243"/>
      <c r="M1818" s="234"/>
      <c r="N1818" s="235"/>
      <c r="O1818" s="236"/>
      <c r="P1818" s="236"/>
      <c r="Q1818" s="236"/>
      <c r="R1818" s="236"/>
      <c r="S1818" s="236"/>
      <c r="T1818" s="236"/>
      <c r="U1818" s="236"/>
      <c r="V1818" s="236"/>
      <c r="W1818" s="236"/>
      <c r="X1818" s="244"/>
      <c r="Y1818" s="244"/>
      <c r="Z1818" s="237"/>
      <c r="AA1818" s="244"/>
      <c r="AB1818" s="244"/>
      <c r="AC1818" s="244"/>
      <c r="AD1818" s="244"/>
      <c r="AE1818" s="234"/>
      <c r="AF1818" s="234"/>
      <c r="AG1818" s="238"/>
      <c r="AH1818" s="239"/>
      <c r="AI1818" s="238"/>
      <c r="AJ1818" s="238"/>
      <c r="AK1818" s="234"/>
      <c r="AL1818" s="234"/>
      <c r="AM1818" s="234"/>
      <c r="AN1818" s="234"/>
      <c r="AO1818" s="234"/>
    </row>
    <row r="1819" ht="15.75" customHeight="1">
      <c r="A1819" s="91"/>
      <c r="B1819" s="91"/>
      <c r="C1819" s="220"/>
      <c r="D1819" s="91"/>
      <c r="E1819" s="221"/>
      <c r="F1819" s="91"/>
      <c r="G1819" s="91"/>
      <c r="H1819" s="242"/>
      <c r="I1819" s="91"/>
      <c r="J1819" s="234"/>
      <c r="K1819" s="243"/>
      <c r="L1819" s="243"/>
      <c r="M1819" s="234"/>
      <c r="N1819" s="235"/>
      <c r="O1819" s="236"/>
      <c r="P1819" s="236"/>
      <c r="Q1819" s="236"/>
      <c r="R1819" s="236"/>
      <c r="S1819" s="236"/>
      <c r="T1819" s="236"/>
      <c r="U1819" s="236"/>
      <c r="V1819" s="236"/>
      <c r="W1819" s="236"/>
      <c r="X1819" s="244"/>
      <c r="Y1819" s="244"/>
      <c r="Z1819" s="237"/>
      <c r="AA1819" s="244"/>
      <c r="AB1819" s="244"/>
      <c r="AC1819" s="244"/>
      <c r="AD1819" s="244"/>
      <c r="AE1819" s="234"/>
      <c r="AF1819" s="234"/>
      <c r="AG1819" s="238"/>
      <c r="AH1819" s="239"/>
      <c r="AI1819" s="238"/>
      <c r="AJ1819" s="238"/>
      <c r="AK1819" s="234"/>
      <c r="AL1819" s="234"/>
      <c r="AM1819" s="234"/>
      <c r="AN1819" s="234"/>
      <c r="AO1819" s="234"/>
    </row>
    <row r="1820" ht="15.75" customHeight="1">
      <c r="A1820" s="91"/>
      <c r="B1820" s="91"/>
      <c r="C1820" s="220"/>
      <c r="D1820" s="91"/>
      <c r="E1820" s="221"/>
      <c r="F1820" s="91"/>
      <c r="G1820" s="91"/>
      <c r="H1820" s="242"/>
      <c r="I1820" s="91"/>
      <c r="J1820" s="234"/>
      <c r="K1820" s="243"/>
      <c r="L1820" s="243"/>
      <c r="M1820" s="234"/>
      <c r="N1820" s="235"/>
      <c r="O1820" s="236"/>
      <c r="P1820" s="236"/>
      <c r="Q1820" s="236"/>
      <c r="R1820" s="236"/>
      <c r="S1820" s="236"/>
      <c r="T1820" s="236"/>
      <c r="U1820" s="236"/>
      <c r="V1820" s="236"/>
      <c r="W1820" s="236"/>
      <c r="X1820" s="244"/>
      <c r="Y1820" s="244"/>
      <c r="Z1820" s="237"/>
      <c r="AA1820" s="244"/>
      <c r="AB1820" s="244"/>
      <c r="AC1820" s="244"/>
      <c r="AD1820" s="244"/>
      <c r="AE1820" s="234"/>
      <c r="AF1820" s="234"/>
      <c r="AG1820" s="238"/>
      <c r="AH1820" s="239"/>
      <c r="AI1820" s="238"/>
      <c r="AJ1820" s="238"/>
      <c r="AK1820" s="234"/>
      <c r="AL1820" s="234"/>
      <c r="AM1820" s="234"/>
      <c r="AN1820" s="234"/>
      <c r="AO1820" s="234"/>
    </row>
    <row r="1821" ht="15.75" customHeight="1">
      <c r="A1821" s="91"/>
      <c r="B1821" s="91"/>
      <c r="C1821" s="220"/>
      <c r="D1821" s="91"/>
      <c r="E1821" s="221"/>
      <c r="F1821" s="91"/>
      <c r="G1821" s="91"/>
      <c r="H1821" s="242"/>
      <c r="I1821" s="91"/>
      <c r="J1821" s="234"/>
      <c r="K1821" s="243"/>
      <c r="L1821" s="243"/>
      <c r="M1821" s="234"/>
      <c r="N1821" s="235"/>
      <c r="O1821" s="236"/>
      <c r="P1821" s="236"/>
      <c r="Q1821" s="236"/>
      <c r="R1821" s="236"/>
      <c r="S1821" s="236"/>
      <c r="T1821" s="236"/>
      <c r="U1821" s="236"/>
      <c r="V1821" s="236"/>
      <c r="W1821" s="236"/>
      <c r="X1821" s="244"/>
      <c r="Y1821" s="244"/>
      <c r="Z1821" s="237"/>
      <c r="AA1821" s="244"/>
      <c r="AB1821" s="244"/>
      <c r="AC1821" s="244"/>
      <c r="AD1821" s="244"/>
      <c r="AE1821" s="234"/>
      <c r="AF1821" s="234"/>
      <c r="AG1821" s="238"/>
      <c r="AH1821" s="239"/>
      <c r="AI1821" s="238"/>
      <c r="AJ1821" s="238"/>
      <c r="AK1821" s="234"/>
      <c r="AL1821" s="234"/>
      <c r="AM1821" s="234"/>
      <c r="AN1821" s="234"/>
      <c r="AO1821" s="234"/>
    </row>
    <row r="1822" ht="15.75" customHeight="1">
      <c r="A1822" s="91"/>
      <c r="B1822" s="91"/>
      <c r="C1822" s="220"/>
      <c r="D1822" s="91"/>
      <c r="E1822" s="221"/>
      <c r="F1822" s="91"/>
      <c r="G1822" s="91"/>
      <c r="H1822" s="242"/>
      <c r="I1822" s="91"/>
      <c r="J1822" s="234"/>
      <c r="K1822" s="243"/>
      <c r="L1822" s="243"/>
      <c r="M1822" s="234"/>
      <c r="N1822" s="235"/>
      <c r="O1822" s="236"/>
      <c r="P1822" s="236"/>
      <c r="Q1822" s="236"/>
      <c r="R1822" s="236"/>
      <c r="S1822" s="236"/>
      <c r="T1822" s="236"/>
      <c r="U1822" s="236"/>
      <c r="V1822" s="236"/>
      <c r="W1822" s="236"/>
      <c r="X1822" s="244"/>
      <c r="Y1822" s="244"/>
      <c r="Z1822" s="237"/>
      <c r="AA1822" s="244"/>
      <c r="AB1822" s="244"/>
      <c r="AC1822" s="244"/>
      <c r="AD1822" s="244"/>
      <c r="AE1822" s="234"/>
      <c r="AF1822" s="234"/>
      <c r="AG1822" s="238"/>
      <c r="AH1822" s="239"/>
      <c r="AI1822" s="238"/>
      <c r="AJ1822" s="238"/>
      <c r="AK1822" s="234"/>
      <c r="AL1822" s="234"/>
      <c r="AM1822" s="234"/>
      <c r="AN1822" s="234"/>
      <c r="AO1822" s="234"/>
    </row>
    <row r="1823" ht="15.75" customHeight="1">
      <c r="A1823" s="91"/>
      <c r="B1823" s="91"/>
      <c r="C1823" s="220"/>
      <c r="D1823" s="91"/>
      <c r="E1823" s="221"/>
      <c r="F1823" s="91"/>
      <c r="G1823" s="91"/>
      <c r="H1823" s="242"/>
      <c r="I1823" s="91"/>
      <c r="J1823" s="234"/>
      <c r="K1823" s="243"/>
      <c r="L1823" s="243"/>
      <c r="M1823" s="234"/>
      <c r="N1823" s="235"/>
      <c r="O1823" s="236"/>
      <c r="P1823" s="236"/>
      <c r="Q1823" s="236"/>
      <c r="R1823" s="236"/>
      <c r="S1823" s="236"/>
      <c r="T1823" s="236"/>
      <c r="U1823" s="236"/>
      <c r="V1823" s="236"/>
      <c r="W1823" s="236"/>
      <c r="X1823" s="244"/>
      <c r="Y1823" s="244"/>
      <c r="Z1823" s="237"/>
      <c r="AA1823" s="244"/>
      <c r="AB1823" s="244"/>
      <c r="AC1823" s="244"/>
      <c r="AD1823" s="244"/>
      <c r="AE1823" s="234"/>
      <c r="AF1823" s="234"/>
      <c r="AG1823" s="238"/>
      <c r="AH1823" s="239"/>
      <c r="AI1823" s="238"/>
      <c r="AJ1823" s="238"/>
      <c r="AK1823" s="234"/>
      <c r="AL1823" s="234"/>
      <c r="AM1823" s="234"/>
      <c r="AN1823" s="234"/>
      <c r="AO1823" s="234"/>
    </row>
    <row r="1824" ht="15.75" customHeight="1">
      <c r="A1824" s="91"/>
      <c r="B1824" s="91"/>
      <c r="C1824" s="220"/>
      <c r="D1824" s="91"/>
      <c r="E1824" s="221"/>
      <c r="F1824" s="91"/>
      <c r="G1824" s="91"/>
      <c r="H1824" s="242"/>
      <c r="I1824" s="91"/>
      <c r="J1824" s="234"/>
      <c r="K1824" s="243"/>
      <c r="L1824" s="243"/>
      <c r="M1824" s="234"/>
      <c r="N1824" s="235"/>
      <c r="O1824" s="236"/>
      <c r="P1824" s="236"/>
      <c r="Q1824" s="236"/>
      <c r="R1824" s="236"/>
      <c r="S1824" s="236"/>
      <c r="T1824" s="236"/>
      <c r="U1824" s="236"/>
      <c r="V1824" s="236"/>
      <c r="W1824" s="236"/>
      <c r="X1824" s="244"/>
      <c r="Y1824" s="244"/>
      <c r="Z1824" s="237"/>
      <c r="AA1824" s="244"/>
      <c r="AB1824" s="244"/>
      <c r="AC1824" s="244"/>
      <c r="AD1824" s="244"/>
      <c r="AE1824" s="234"/>
      <c r="AF1824" s="234"/>
      <c r="AG1824" s="238"/>
      <c r="AH1824" s="239"/>
      <c r="AI1824" s="238"/>
      <c r="AJ1824" s="238"/>
      <c r="AK1824" s="234"/>
      <c r="AL1824" s="234"/>
      <c r="AM1824" s="234"/>
      <c r="AN1824" s="234"/>
      <c r="AO1824" s="234"/>
    </row>
    <row r="1825" ht="15.75" customHeight="1">
      <c r="A1825" s="91"/>
      <c r="B1825" s="91"/>
      <c r="C1825" s="220"/>
      <c r="D1825" s="91"/>
      <c r="E1825" s="221"/>
      <c r="F1825" s="91"/>
      <c r="G1825" s="91"/>
      <c r="H1825" s="242"/>
      <c r="I1825" s="91"/>
      <c r="J1825" s="234"/>
      <c r="K1825" s="243"/>
      <c r="L1825" s="243"/>
      <c r="M1825" s="234"/>
      <c r="N1825" s="235"/>
      <c r="O1825" s="236"/>
      <c r="P1825" s="236"/>
      <c r="Q1825" s="236"/>
      <c r="R1825" s="236"/>
      <c r="S1825" s="236"/>
      <c r="T1825" s="236"/>
      <c r="U1825" s="236"/>
      <c r="V1825" s="236"/>
      <c r="W1825" s="236"/>
      <c r="X1825" s="244"/>
      <c r="Y1825" s="244"/>
      <c r="Z1825" s="237"/>
      <c r="AA1825" s="244"/>
      <c r="AB1825" s="244"/>
      <c r="AC1825" s="244"/>
      <c r="AD1825" s="244"/>
      <c r="AE1825" s="234"/>
      <c r="AF1825" s="234"/>
      <c r="AG1825" s="238"/>
      <c r="AH1825" s="239"/>
      <c r="AI1825" s="238"/>
      <c r="AJ1825" s="238"/>
      <c r="AK1825" s="234"/>
      <c r="AL1825" s="234"/>
      <c r="AM1825" s="234"/>
      <c r="AN1825" s="234"/>
      <c r="AO1825" s="234"/>
    </row>
    <row r="1826" ht="15.75" customHeight="1">
      <c r="A1826" s="91"/>
      <c r="B1826" s="91"/>
      <c r="C1826" s="220"/>
      <c r="D1826" s="91"/>
      <c r="E1826" s="221"/>
      <c r="F1826" s="91"/>
      <c r="G1826" s="91"/>
      <c r="H1826" s="242"/>
      <c r="I1826" s="91"/>
      <c r="J1826" s="234"/>
      <c r="K1826" s="243"/>
      <c r="L1826" s="243"/>
      <c r="M1826" s="234"/>
      <c r="N1826" s="235"/>
      <c r="O1826" s="236"/>
      <c r="P1826" s="236"/>
      <c r="Q1826" s="236"/>
      <c r="R1826" s="236"/>
      <c r="S1826" s="236"/>
      <c r="T1826" s="236"/>
      <c r="U1826" s="236"/>
      <c r="V1826" s="236"/>
      <c r="W1826" s="236"/>
      <c r="X1826" s="244"/>
      <c r="Y1826" s="244"/>
      <c r="Z1826" s="237"/>
      <c r="AA1826" s="244"/>
      <c r="AB1826" s="244"/>
      <c r="AC1826" s="244"/>
      <c r="AD1826" s="244"/>
      <c r="AE1826" s="234"/>
      <c r="AF1826" s="234"/>
      <c r="AG1826" s="238"/>
      <c r="AH1826" s="239"/>
      <c r="AI1826" s="238"/>
      <c r="AJ1826" s="238"/>
      <c r="AK1826" s="234"/>
      <c r="AL1826" s="234"/>
      <c r="AM1826" s="234"/>
      <c r="AN1826" s="234"/>
      <c r="AO1826" s="234"/>
    </row>
    <row r="1827" ht="15.75" customHeight="1">
      <c r="A1827" s="91"/>
      <c r="B1827" s="91"/>
      <c r="C1827" s="220"/>
      <c r="D1827" s="91"/>
      <c r="E1827" s="221"/>
      <c r="F1827" s="91"/>
      <c r="G1827" s="91"/>
      <c r="H1827" s="242"/>
      <c r="I1827" s="91"/>
      <c r="J1827" s="234"/>
      <c r="K1827" s="243"/>
      <c r="L1827" s="243"/>
      <c r="M1827" s="234"/>
      <c r="N1827" s="235"/>
      <c r="O1827" s="236"/>
      <c r="P1827" s="236"/>
      <c r="Q1827" s="236"/>
      <c r="R1827" s="236"/>
      <c r="S1827" s="236"/>
      <c r="T1827" s="236"/>
      <c r="U1827" s="236"/>
      <c r="V1827" s="236"/>
      <c r="W1827" s="236"/>
      <c r="X1827" s="244"/>
      <c r="Y1827" s="244"/>
      <c r="Z1827" s="237"/>
      <c r="AA1827" s="244"/>
      <c r="AB1827" s="244"/>
      <c r="AC1827" s="244"/>
      <c r="AD1827" s="244"/>
      <c r="AE1827" s="234"/>
      <c r="AF1827" s="234"/>
      <c r="AG1827" s="238"/>
      <c r="AH1827" s="239"/>
      <c r="AI1827" s="238"/>
      <c r="AJ1827" s="238"/>
      <c r="AK1827" s="234"/>
      <c r="AL1827" s="234"/>
      <c r="AM1827" s="234"/>
      <c r="AN1827" s="234"/>
      <c r="AO1827" s="234"/>
    </row>
    <row r="1828" ht="15.75" customHeight="1">
      <c r="A1828" s="91"/>
      <c r="B1828" s="91"/>
      <c r="C1828" s="220"/>
      <c r="D1828" s="91"/>
      <c r="E1828" s="221"/>
      <c r="F1828" s="91"/>
      <c r="G1828" s="91"/>
      <c r="H1828" s="242"/>
      <c r="I1828" s="91"/>
      <c r="J1828" s="234"/>
      <c r="K1828" s="243"/>
      <c r="L1828" s="243"/>
      <c r="M1828" s="234"/>
      <c r="N1828" s="235"/>
      <c r="O1828" s="236"/>
      <c r="P1828" s="236"/>
      <c r="Q1828" s="236"/>
      <c r="R1828" s="236"/>
      <c r="S1828" s="236"/>
      <c r="T1828" s="236"/>
      <c r="U1828" s="236"/>
      <c r="V1828" s="236"/>
      <c r="W1828" s="236"/>
      <c r="X1828" s="244"/>
      <c r="Y1828" s="244"/>
      <c r="Z1828" s="237"/>
      <c r="AA1828" s="244"/>
      <c r="AB1828" s="244"/>
      <c r="AC1828" s="244"/>
      <c r="AD1828" s="244"/>
      <c r="AE1828" s="234"/>
      <c r="AF1828" s="234"/>
      <c r="AG1828" s="238"/>
      <c r="AH1828" s="239"/>
      <c r="AI1828" s="238"/>
      <c r="AJ1828" s="238"/>
      <c r="AK1828" s="234"/>
      <c r="AL1828" s="234"/>
      <c r="AM1828" s="234"/>
      <c r="AN1828" s="234"/>
      <c r="AO1828" s="234"/>
    </row>
    <row r="1829" ht="15.75" customHeight="1">
      <c r="A1829" s="91"/>
      <c r="B1829" s="91"/>
      <c r="C1829" s="220"/>
      <c r="D1829" s="91"/>
      <c r="E1829" s="221"/>
      <c r="F1829" s="91"/>
      <c r="G1829" s="91"/>
      <c r="H1829" s="242"/>
      <c r="I1829" s="91"/>
      <c r="J1829" s="234"/>
      <c r="K1829" s="243"/>
      <c r="L1829" s="243"/>
      <c r="M1829" s="234"/>
      <c r="N1829" s="235"/>
      <c r="O1829" s="236"/>
      <c r="P1829" s="236"/>
      <c r="Q1829" s="236"/>
      <c r="R1829" s="236"/>
      <c r="S1829" s="236"/>
      <c r="T1829" s="236"/>
      <c r="U1829" s="236"/>
      <c r="V1829" s="236"/>
      <c r="W1829" s="236"/>
      <c r="X1829" s="244"/>
      <c r="Y1829" s="244"/>
      <c r="Z1829" s="237"/>
      <c r="AA1829" s="244"/>
      <c r="AB1829" s="244"/>
      <c r="AC1829" s="244"/>
      <c r="AD1829" s="244"/>
      <c r="AE1829" s="234"/>
      <c r="AF1829" s="234"/>
      <c r="AG1829" s="238"/>
      <c r="AH1829" s="239"/>
      <c r="AI1829" s="238"/>
      <c r="AJ1829" s="238"/>
      <c r="AK1829" s="234"/>
      <c r="AL1829" s="234"/>
      <c r="AM1829" s="234"/>
      <c r="AN1829" s="234"/>
      <c r="AO1829" s="234"/>
    </row>
    <row r="1830" ht="15.75" customHeight="1">
      <c r="A1830" s="91"/>
      <c r="B1830" s="91"/>
      <c r="C1830" s="220"/>
      <c r="D1830" s="91"/>
      <c r="E1830" s="221"/>
      <c r="F1830" s="91"/>
      <c r="G1830" s="91"/>
      <c r="H1830" s="242"/>
      <c r="I1830" s="91"/>
      <c r="J1830" s="234"/>
      <c r="K1830" s="243"/>
      <c r="L1830" s="243"/>
      <c r="M1830" s="234"/>
      <c r="N1830" s="235"/>
      <c r="O1830" s="236"/>
      <c r="P1830" s="236"/>
      <c r="Q1830" s="236"/>
      <c r="R1830" s="236"/>
      <c r="S1830" s="236"/>
      <c r="T1830" s="236"/>
      <c r="U1830" s="236"/>
      <c r="V1830" s="236"/>
      <c r="W1830" s="236"/>
      <c r="X1830" s="244"/>
      <c r="Y1830" s="244"/>
      <c r="Z1830" s="237"/>
      <c r="AA1830" s="244"/>
      <c r="AB1830" s="244"/>
      <c r="AC1830" s="244"/>
      <c r="AD1830" s="244"/>
      <c r="AE1830" s="234"/>
      <c r="AF1830" s="234"/>
      <c r="AG1830" s="238"/>
      <c r="AH1830" s="239"/>
      <c r="AI1830" s="238"/>
      <c r="AJ1830" s="238"/>
      <c r="AK1830" s="234"/>
      <c r="AL1830" s="234"/>
      <c r="AM1830" s="234"/>
      <c r="AN1830" s="234"/>
      <c r="AO1830" s="234"/>
    </row>
    <row r="1831" ht="15.75" customHeight="1">
      <c r="A1831" s="91"/>
      <c r="B1831" s="91"/>
      <c r="C1831" s="220"/>
      <c r="D1831" s="91"/>
      <c r="E1831" s="221"/>
      <c r="F1831" s="91"/>
      <c r="G1831" s="91"/>
      <c r="H1831" s="242"/>
      <c r="I1831" s="91"/>
      <c r="J1831" s="234"/>
      <c r="K1831" s="243"/>
      <c r="L1831" s="243"/>
      <c r="M1831" s="234"/>
      <c r="N1831" s="235"/>
      <c r="O1831" s="236"/>
      <c r="P1831" s="236"/>
      <c r="Q1831" s="236"/>
      <c r="R1831" s="236"/>
      <c r="S1831" s="236"/>
      <c r="T1831" s="236"/>
      <c r="U1831" s="236"/>
      <c r="V1831" s="236"/>
      <c r="W1831" s="236"/>
      <c r="X1831" s="244"/>
      <c r="Y1831" s="244"/>
      <c r="Z1831" s="237"/>
      <c r="AA1831" s="244"/>
      <c r="AB1831" s="244"/>
      <c r="AC1831" s="244"/>
      <c r="AD1831" s="244"/>
      <c r="AE1831" s="234"/>
      <c r="AF1831" s="234"/>
      <c r="AG1831" s="238"/>
      <c r="AH1831" s="239"/>
      <c r="AI1831" s="238"/>
      <c r="AJ1831" s="238"/>
      <c r="AK1831" s="234"/>
      <c r="AL1831" s="234"/>
      <c r="AM1831" s="234"/>
      <c r="AN1831" s="234"/>
      <c r="AO1831" s="234"/>
    </row>
    <row r="1832" ht="15.75" customHeight="1">
      <c r="A1832" s="91"/>
      <c r="B1832" s="91"/>
      <c r="C1832" s="220"/>
      <c r="D1832" s="91"/>
      <c r="E1832" s="221"/>
      <c r="F1832" s="91"/>
      <c r="G1832" s="91"/>
      <c r="H1832" s="242"/>
      <c r="I1832" s="91"/>
      <c r="J1832" s="234"/>
      <c r="K1832" s="243"/>
      <c r="L1832" s="243"/>
      <c r="M1832" s="234"/>
      <c r="N1832" s="235"/>
      <c r="O1832" s="236"/>
      <c r="P1832" s="236"/>
      <c r="Q1832" s="236"/>
      <c r="R1832" s="236"/>
      <c r="S1832" s="236"/>
      <c r="T1832" s="236"/>
      <c r="U1832" s="236"/>
      <c r="V1832" s="236"/>
      <c r="W1832" s="236"/>
      <c r="X1832" s="244"/>
      <c r="Y1832" s="244"/>
      <c r="Z1832" s="237"/>
      <c r="AA1832" s="244"/>
      <c r="AB1832" s="244"/>
      <c r="AC1832" s="244"/>
      <c r="AD1832" s="244"/>
      <c r="AE1832" s="234"/>
      <c r="AF1832" s="234"/>
      <c r="AG1832" s="238"/>
      <c r="AH1832" s="239"/>
      <c r="AI1832" s="238"/>
      <c r="AJ1832" s="238"/>
      <c r="AK1832" s="234"/>
      <c r="AL1832" s="234"/>
      <c r="AM1832" s="234"/>
      <c r="AN1832" s="234"/>
      <c r="AO1832" s="234"/>
    </row>
    <row r="1833" ht="15.75" customHeight="1">
      <c r="A1833" s="91"/>
      <c r="B1833" s="91"/>
      <c r="C1833" s="220"/>
      <c r="D1833" s="91"/>
      <c r="E1833" s="221"/>
      <c r="F1833" s="91"/>
      <c r="G1833" s="91"/>
      <c r="H1833" s="242"/>
      <c r="I1833" s="91"/>
      <c r="J1833" s="234"/>
      <c r="K1833" s="243"/>
      <c r="L1833" s="243"/>
      <c r="M1833" s="234"/>
      <c r="N1833" s="235"/>
      <c r="O1833" s="236"/>
      <c r="P1833" s="236"/>
      <c r="Q1833" s="236"/>
      <c r="R1833" s="236"/>
      <c r="S1833" s="236"/>
      <c r="T1833" s="236"/>
      <c r="U1833" s="236"/>
      <c r="V1833" s="236"/>
      <c r="W1833" s="236"/>
      <c r="X1833" s="244"/>
      <c r="Y1833" s="244"/>
      <c r="Z1833" s="237"/>
      <c r="AA1833" s="244"/>
      <c r="AB1833" s="244"/>
      <c r="AC1833" s="244"/>
      <c r="AD1833" s="244"/>
      <c r="AE1833" s="234"/>
      <c r="AF1833" s="234"/>
      <c r="AG1833" s="238"/>
      <c r="AH1833" s="239"/>
      <c r="AI1833" s="238"/>
      <c r="AJ1833" s="238"/>
      <c r="AK1833" s="234"/>
      <c r="AL1833" s="234"/>
      <c r="AM1833" s="234"/>
      <c r="AN1833" s="234"/>
      <c r="AO1833" s="234"/>
    </row>
    <row r="1834" ht="15.75" customHeight="1">
      <c r="A1834" s="91"/>
      <c r="B1834" s="91"/>
      <c r="C1834" s="220"/>
      <c r="D1834" s="91"/>
      <c r="E1834" s="221"/>
      <c r="F1834" s="91"/>
      <c r="G1834" s="91"/>
      <c r="H1834" s="242"/>
      <c r="I1834" s="91"/>
      <c r="J1834" s="234"/>
      <c r="K1834" s="243"/>
      <c r="L1834" s="243"/>
      <c r="M1834" s="234"/>
      <c r="N1834" s="235"/>
      <c r="O1834" s="236"/>
      <c r="P1834" s="236"/>
      <c r="Q1834" s="236"/>
      <c r="R1834" s="236"/>
      <c r="S1834" s="236"/>
      <c r="T1834" s="236"/>
      <c r="U1834" s="236"/>
      <c r="V1834" s="236"/>
      <c r="W1834" s="236"/>
      <c r="X1834" s="244"/>
      <c r="Y1834" s="244"/>
      <c r="Z1834" s="237"/>
      <c r="AA1834" s="244"/>
      <c r="AB1834" s="244"/>
      <c r="AC1834" s="244"/>
      <c r="AD1834" s="244"/>
      <c r="AE1834" s="234"/>
      <c r="AF1834" s="234"/>
      <c r="AG1834" s="238"/>
      <c r="AH1834" s="239"/>
      <c r="AI1834" s="238"/>
      <c r="AJ1834" s="238"/>
      <c r="AK1834" s="234"/>
      <c r="AL1834" s="234"/>
      <c r="AM1834" s="234"/>
      <c r="AN1834" s="234"/>
      <c r="AO1834" s="234"/>
    </row>
    <row r="1835" ht="15.75" customHeight="1">
      <c r="A1835" s="91"/>
      <c r="B1835" s="91"/>
      <c r="C1835" s="220"/>
      <c r="D1835" s="91"/>
      <c r="E1835" s="221"/>
      <c r="F1835" s="91"/>
      <c r="G1835" s="91"/>
      <c r="H1835" s="242"/>
      <c r="I1835" s="91"/>
      <c r="J1835" s="234"/>
      <c r="K1835" s="243"/>
      <c r="L1835" s="243"/>
      <c r="M1835" s="234"/>
      <c r="N1835" s="235"/>
      <c r="O1835" s="236"/>
      <c r="P1835" s="236"/>
      <c r="Q1835" s="236"/>
      <c r="R1835" s="236"/>
      <c r="S1835" s="236"/>
      <c r="T1835" s="236"/>
      <c r="U1835" s="236"/>
      <c r="V1835" s="236"/>
      <c r="W1835" s="236"/>
      <c r="X1835" s="244"/>
      <c r="Y1835" s="244"/>
      <c r="Z1835" s="237"/>
      <c r="AA1835" s="244"/>
      <c r="AB1835" s="244"/>
      <c r="AC1835" s="244"/>
      <c r="AD1835" s="244"/>
      <c r="AE1835" s="234"/>
      <c r="AF1835" s="234"/>
      <c r="AG1835" s="238"/>
      <c r="AH1835" s="239"/>
      <c r="AI1835" s="238"/>
      <c r="AJ1835" s="238"/>
      <c r="AK1835" s="234"/>
      <c r="AL1835" s="234"/>
      <c r="AM1835" s="234"/>
      <c r="AN1835" s="234"/>
      <c r="AO1835" s="234"/>
    </row>
    <row r="1836" ht="15.75" customHeight="1">
      <c r="A1836" s="91"/>
      <c r="B1836" s="91"/>
      <c r="C1836" s="220"/>
      <c r="D1836" s="91"/>
      <c r="E1836" s="221"/>
      <c r="F1836" s="91"/>
      <c r="G1836" s="91"/>
      <c r="H1836" s="242"/>
      <c r="I1836" s="91"/>
      <c r="J1836" s="234"/>
      <c r="K1836" s="243"/>
      <c r="L1836" s="243"/>
      <c r="M1836" s="234"/>
      <c r="N1836" s="235"/>
      <c r="O1836" s="236"/>
      <c r="P1836" s="236"/>
      <c r="Q1836" s="236"/>
      <c r="R1836" s="236"/>
      <c r="S1836" s="236"/>
      <c r="T1836" s="236"/>
      <c r="U1836" s="236"/>
      <c r="V1836" s="236"/>
      <c r="W1836" s="236"/>
      <c r="X1836" s="244"/>
      <c r="Y1836" s="244"/>
      <c r="Z1836" s="237"/>
      <c r="AA1836" s="244"/>
      <c r="AB1836" s="244"/>
      <c r="AC1836" s="244"/>
      <c r="AD1836" s="244"/>
      <c r="AE1836" s="234"/>
      <c r="AF1836" s="234"/>
      <c r="AG1836" s="238"/>
      <c r="AH1836" s="239"/>
      <c r="AI1836" s="238"/>
      <c r="AJ1836" s="238"/>
      <c r="AK1836" s="234"/>
      <c r="AL1836" s="234"/>
      <c r="AM1836" s="234"/>
      <c r="AN1836" s="234"/>
      <c r="AO1836" s="234"/>
    </row>
    <row r="1837" ht="15.75" customHeight="1">
      <c r="A1837" s="91"/>
      <c r="B1837" s="91"/>
      <c r="C1837" s="220"/>
      <c r="D1837" s="91"/>
      <c r="E1837" s="221"/>
      <c r="F1837" s="91"/>
      <c r="G1837" s="91"/>
      <c r="H1837" s="242"/>
      <c r="I1837" s="91"/>
      <c r="J1837" s="234"/>
      <c r="K1837" s="243"/>
      <c r="L1837" s="243"/>
      <c r="M1837" s="234"/>
      <c r="N1837" s="235"/>
      <c r="O1837" s="236"/>
      <c r="P1837" s="236"/>
      <c r="Q1837" s="236"/>
      <c r="R1837" s="236"/>
      <c r="S1837" s="236"/>
      <c r="T1837" s="236"/>
      <c r="U1837" s="236"/>
      <c r="V1837" s="236"/>
      <c r="W1837" s="236"/>
      <c r="X1837" s="244"/>
      <c r="Y1837" s="244"/>
      <c r="Z1837" s="237"/>
      <c r="AA1837" s="244"/>
      <c r="AB1837" s="244"/>
      <c r="AC1837" s="244"/>
      <c r="AD1837" s="244"/>
      <c r="AE1837" s="234"/>
      <c r="AF1837" s="234"/>
      <c r="AG1837" s="238"/>
      <c r="AH1837" s="239"/>
      <c r="AI1837" s="238"/>
      <c r="AJ1837" s="238"/>
      <c r="AK1837" s="234"/>
      <c r="AL1837" s="234"/>
      <c r="AM1837" s="234"/>
      <c r="AN1837" s="234"/>
      <c r="AO1837" s="234"/>
    </row>
    <row r="1838" ht="15.75" customHeight="1">
      <c r="A1838" s="91"/>
      <c r="B1838" s="91"/>
      <c r="C1838" s="220"/>
      <c r="D1838" s="91"/>
      <c r="E1838" s="221"/>
      <c r="F1838" s="91"/>
      <c r="G1838" s="91"/>
      <c r="H1838" s="242"/>
      <c r="I1838" s="91"/>
      <c r="J1838" s="234"/>
      <c r="K1838" s="243"/>
      <c r="L1838" s="243"/>
      <c r="M1838" s="234"/>
      <c r="N1838" s="235"/>
      <c r="O1838" s="236"/>
      <c r="P1838" s="236"/>
      <c r="Q1838" s="236"/>
      <c r="R1838" s="236"/>
      <c r="S1838" s="236"/>
      <c r="T1838" s="236"/>
      <c r="U1838" s="236"/>
      <c r="V1838" s="236"/>
      <c r="W1838" s="236"/>
      <c r="X1838" s="244"/>
      <c r="Y1838" s="244"/>
      <c r="Z1838" s="237"/>
      <c r="AA1838" s="244"/>
      <c r="AB1838" s="244"/>
      <c r="AC1838" s="244"/>
      <c r="AD1838" s="244"/>
      <c r="AE1838" s="234"/>
      <c r="AF1838" s="234"/>
      <c r="AG1838" s="238"/>
      <c r="AH1838" s="239"/>
      <c r="AI1838" s="238"/>
      <c r="AJ1838" s="238"/>
      <c r="AK1838" s="234"/>
      <c r="AL1838" s="234"/>
      <c r="AM1838" s="234"/>
      <c r="AN1838" s="234"/>
      <c r="AO1838" s="234"/>
    </row>
    <row r="1839" ht="15.75" customHeight="1">
      <c r="A1839" s="91"/>
      <c r="B1839" s="91"/>
      <c r="C1839" s="220"/>
      <c r="D1839" s="91"/>
      <c r="E1839" s="221"/>
      <c r="F1839" s="91"/>
      <c r="G1839" s="91"/>
      <c r="H1839" s="242"/>
      <c r="I1839" s="91"/>
      <c r="J1839" s="234"/>
      <c r="K1839" s="243"/>
      <c r="L1839" s="243"/>
      <c r="M1839" s="234"/>
      <c r="N1839" s="235"/>
      <c r="O1839" s="236"/>
      <c r="P1839" s="236"/>
      <c r="Q1839" s="236"/>
      <c r="R1839" s="236"/>
      <c r="S1839" s="236"/>
      <c r="T1839" s="236"/>
      <c r="U1839" s="236"/>
      <c r="V1839" s="236"/>
      <c r="W1839" s="236"/>
      <c r="X1839" s="244"/>
      <c r="Y1839" s="244"/>
      <c r="Z1839" s="237"/>
      <c r="AA1839" s="244"/>
      <c r="AB1839" s="244"/>
      <c r="AC1839" s="244"/>
      <c r="AD1839" s="244"/>
      <c r="AE1839" s="234"/>
      <c r="AF1839" s="234"/>
      <c r="AG1839" s="238"/>
      <c r="AH1839" s="239"/>
      <c r="AI1839" s="238"/>
      <c r="AJ1839" s="238"/>
      <c r="AK1839" s="234"/>
      <c r="AL1839" s="234"/>
      <c r="AM1839" s="234"/>
      <c r="AN1839" s="234"/>
      <c r="AO1839" s="234"/>
    </row>
    <row r="1840" ht="15.75" customHeight="1">
      <c r="A1840" s="91"/>
      <c r="B1840" s="91"/>
      <c r="C1840" s="220"/>
      <c r="D1840" s="91"/>
      <c r="E1840" s="221"/>
      <c r="F1840" s="91"/>
      <c r="G1840" s="91"/>
      <c r="H1840" s="242"/>
      <c r="I1840" s="91"/>
      <c r="J1840" s="234"/>
      <c r="K1840" s="243"/>
      <c r="L1840" s="243"/>
      <c r="M1840" s="234"/>
      <c r="N1840" s="235"/>
      <c r="O1840" s="236"/>
      <c r="P1840" s="236"/>
      <c r="Q1840" s="236"/>
      <c r="R1840" s="236"/>
      <c r="S1840" s="236"/>
      <c r="T1840" s="236"/>
      <c r="U1840" s="236"/>
      <c r="V1840" s="236"/>
      <c r="W1840" s="236"/>
      <c r="X1840" s="244"/>
      <c r="Y1840" s="244"/>
      <c r="Z1840" s="237"/>
      <c r="AA1840" s="244"/>
      <c r="AB1840" s="244"/>
      <c r="AC1840" s="244"/>
      <c r="AD1840" s="244"/>
      <c r="AE1840" s="234"/>
      <c r="AF1840" s="234"/>
      <c r="AG1840" s="238"/>
      <c r="AH1840" s="239"/>
      <c r="AI1840" s="238"/>
      <c r="AJ1840" s="238"/>
      <c r="AK1840" s="234"/>
      <c r="AL1840" s="234"/>
      <c r="AM1840" s="234"/>
      <c r="AN1840" s="234"/>
      <c r="AO1840" s="234"/>
    </row>
    <row r="1841" ht="15.75" customHeight="1">
      <c r="A1841" s="91"/>
      <c r="B1841" s="91"/>
      <c r="C1841" s="220"/>
      <c r="D1841" s="91"/>
      <c r="E1841" s="221"/>
      <c r="F1841" s="91"/>
      <c r="G1841" s="91"/>
      <c r="H1841" s="242"/>
      <c r="I1841" s="91"/>
      <c r="J1841" s="234"/>
      <c r="K1841" s="243"/>
      <c r="L1841" s="243"/>
      <c r="M1841" s="234"/>
      <c r="N1841" s="235"/>
      <c r="O1841" s="236"/>
      <c r="P1841" s="236"/>
      <c r="Q1841" s="236"/>
      <c r="R1841" s="236"/>
      <c r="S1841" s="236"/>
      <c r="T1841" s="236"/>
      <c r="U1841" s="236"/>
      <c r="V1841" s="236"/>
      <c r="W1841" s="236"/>
      <c r="X1841" s="244"/>
      <c r="Y1841" s="244"/>
      <c r="Z1841" s="237"/>
      <c r="AA1841" s="244"/>
      <c r="AB1841" s="244"/>
      <c r="AC1841" s="244"/>
      <c r="AD1841" s="244"/>
      <c r="AE1841" s="234"/>
      <c r="AF1841" s="234"/>
      <c r="AG1841" s="238"/>
      <c r="AH1841" s="239"/>
      <c r="AI1841" s="238"/>
      <c r="AJ1841" s="238"/>
      <c r="AK1841" s="234"/>
      <c r="AL1841" s="234"/>
      <c r="AM1841" s="234"/>
      <c r="AN1841" s="234"/>
      <c r="AO1841" s="234"/>
    </row>
    <row r="1842" ht="15.75" customHeight="1">
      <c r="A1842" s="91"/>
      <c r="B1842" s="91"/>
      <c r="C1842" s="220"/>
      <c r="D1842" s="91"/>
      <c r="E1842" s="221"/>
      <c r="F1842" s="91"/>
      <c r="G1842" s="91"/>
      <c r="H1842" s="242"/>
      <c r="I1842" s="91"/>
      <c r="J1842" s="234"/>
      <c r="K1842" s="243"/>
      <c r="L1842" s="243"/>
      <c r="M1842" s="234"/>
      <c r="N1842" s="235"/>
      <c r="O1842" s="236"/>
      <c r="P1842" s="236"/>
      <c r="Q1842" s="236"/>
      <c r="R1842" s="236"/>
      <c r="S1842" s="236"/>
      <c r="T1842" s="236"/>
      <c r="U1842" s="236"/>
      <c r="V1842" s="236"/>
      <c r="W1842" s="236"/>
      <c r="X1842" s="244"/>
      <c r="Y1842" s="244"/>
      <c r="Z1842" s="237"/>
      <c r="AA1842" s="244"/>
      <c r="AB1842" s="244"/>
      <c r="AC1842" s="244"/>
      <c r="AD1842" s="244"/>
      <c r="AE1842" s="234"/>
      <c r="AF1842" s="234"/>
      <c r="AG1842" s="238"/>
      <c r="AH1842" s="239"/>
      <c r="AI1842" s="238"/>
      <c r="AJ1842" s="238"/>
      <c r="AK1842" s="234"/>
      <c r="AL1842" s="234"/>
      <c r="AM1842" s="234"/>
      <c r="AN1842" s="234"/>
      <c r="AO1842" s="234"/>
    </row>
    <row r="1843" ht="15.75" customHeight="1">
      <c r="A1843" s="91"/>
      <c r="B1843" s="91"/>
      <c r="C1843" s="220"/>
      <c r="D1843" s="91"/>
      <c r="E1843" s="221"/>
      <c r="F1843" s="91"/>
      <c r="G1843" s="91"/>
      <c r="H1843" s="242"/>
      <c r="I1843" s="91"/>
      <c r="J1843" s="234"/>
      <c r="K1843" s="243"/>
      <c r="L1843" s="243"/>
      <c r="M1843" s="234"/>
      <c r="N1843" s="235"/>
      <c r="O1843" s="236"/>
      <c r="P1843" s="236"/>
      <c r="Q1843" s="236"/>
      <c r="R1843" s="236"/>
      <c r="S1843" s="236"/>
      <c r="T1843" s="236"/>
      <c r="U1843" s="236"/>
      <c r="V1843" s="236"/>
      <c r="W1843" s="236"/>
      <c r="X1843" s="244"/>
      <c r="Y1843" s="244"/>
      <c r="Z1843" s="237"/>
      <c r="AA1843" s="244"/>
      <c r="AB1843" s="244"/>
      <c r="AC1843" s="244"/>
      <c r="AD1843" s="244"/>
      <c r="AE1843" s="234"/>
      <c r="AF1843" s="234"/>
      <c r="AG1843" s="238"/>
      <c r="AH1843" s="239"/>
      <c r="AI1843" s="238"/>
      <c r="AJ1843" s="238"/>
      <c r="AK1843" s="234"/>
      <c r="AL1843" s="234"/>
      <c r="AM1843" s="234"/>
      <c r="AN1843" s="234"/>
      <c r="AO1843" s="234"/>
    </row>
    <row r="1844" ht="15.75" customHeight="1">
      <c r="A1844" s="91"/>
      <c r="B1844" s="91"/>
      <c r="C1844" s="220"/>
      <c r="D1844" s="91"/>
      <c r="E1844" s="221"/>
      <c r="F1844" s="91"/>
      <c r="G1844" s="91"/>
      <c r="H1844" s="242"/>
      <c r="I1844" s="91"/>
      <c r="J1844" s="234"/>
      <c r="K1844" s="243"/>
      <c r="L1844" s="243"/>
      <c r="M1844" s="234"/>
      <c r="N1844" s="235"/>
      <c r="O1844" s="236"/>
      <c r="P1844" s="236"/>
      <c r="Q1844" s="236"/>
      <c r="R1844" s="236"/>
      <c r="S1844" s="236"/>
      <c r="T1844" s="236"/>
      <c r="U1844" s="236"/>
      <c r="V1844" s="236"/>
      <c r="W1844" s="236"/>
      <c r="X1844" s="244"/>
      <c r="Y1844" s="244"/>
      <c r="Z1844" s="237"/>
      <c r="AA1844" s="244"/>
      <c r="AB1844" s="244"/>
      <c r="AC1844" s="244"/>
      <c r="AD1844" s="244"/>
      <c r="AE1844" s="234"/>
      <c r="AF1844" s="234"/>
      <c r="AG1844" s="238"/>
      <c r="AH1844" s="239"/>
      <c r="AI1844" s="238"/>
      <c r="AJ1844" s="238"/>
      <c r="AK1844" s="234"/>
      <c r="AL1844" s="234"/>
      <c r="AM1844" s="234"/>
      <c r="AN1844" s="234"/>
      <c r="AO1844" s="234"/>
    </row>
    <row r="1845" ht="15.75" customHeight="1">
      <c r="A1845" s="91"/>
      <c r="B1845" s="91"/>
      <c r="C1845" s="220"/>
      <c r="D1845" s="91"/>
      <c r="E1845" s="221"/>
      <c r="F1845" s="91"/>
      <c r="G1845" s="91"/>
      <c r="H1845" s="242"/>
      <c r="I1845" s="91"/>
      <c r="J1845" s="234"/>
      <c r="K1845" s="243"/>
      <c r="L1845" s="243"/>
      <c r="M1845" s="234"/>
      <c r="N1845" s="235"/>
      <c r="O1845" s="236"/>
      <c r="P1845" s="236"/>
      <c r="Q1845" s="236"/>
      <c r="R1845" s="236"/>
      <c r="S1845" s="236"/>
      <c r="T1845" s="236"/>
      <c r="U1845" s="236"/>
      <c r="V1845" s="236"/>
      <c r="W1845" s="236"/>
      <c r="X1845" s="244"/>
      <c r="Y1845" s="244"/>
      <c r="Z1845" s="237"/>
      <c r="AA1845" s="244"/>
      <c r="AB1845" s="244"/>
      <c r="AC1845" s="244"/>
      <c r="AD1845" s="244"/>
      <c r="AE1845" s="234"/>
      <c r="AF1845" s="234"/>
      <c r="AG1845" s="238"/>
      <c r="AH1845" s="239"/>
      <c r="AI1845" s="238"/>
      <c r="AJ1845" s="238"/>
      <c r="AK1845" s="234"/>
      <c r="AL1845" s="234"/>
      <c r="AM1845" s="234"/>
      <c r="AN1845" s="234"/>
      <c r="AO1845" s="234"/>
    </row>
    <row r="1846" ht="15.75" customHeight="1">
      <c r="A1846" s="91"/>
      <c r="B1846" s="91"/>
      <c r="C1846" s="220"/>
      <c r="D1846" s="91"/>
      <c r="E1846" s="221"/>
      <c r="F1846" s="91"/>
      <c r="G1846" s="91"/>
      <c r="H1846" s="242"/>
      <c r="I1846" s="91"/>
      <c r="J1846" s="234"/>
      <c r="K1846" s="243"/>
      <c r="L1846" s="243"/>
      <c r="M1846" s="234"/>
      <c r="N1846" s="235"/>
      <c r="O1846" s="236"/>
      <c r="P1846" s="236"/>
      <c r="Q1846" s="236"/>
      <c r="R1846" s="236"/>
      <c r="S1846" s="236"/>
      <c r="T1846" s="236"/>
      <c r="U1846" s="236"/>
      <c r="V1846" s="236"/>
      <c r="W1846" s="236"/>
      <c r="X1846" s="244"/>
      <c r="Y1846" s="244"/>
      <c r="Z1846" s="237"/>
      <c r="AA1846" s="244"/>
      <c r="AB1846" s="244"/>
      <c r="AC1846" s="244"/>
      <c r="AD1846" s="244"/>
      <c r="AE1846" s="234"/>
      <c r="AF1846" s="234"/>
      <c r="AG1846" s="238"/>
      <c r="AH1846" s="239"/>
      <c r="AI1846" s="238"/>
      <c r="AJ1846" s="238"/>
      <c r="AK1846" s="234"/>
      <c r="AL1846" s="234"/>
      <c r="AM1846" s="234"/>
      <c r="AN1846" s="234"/>
      <c r="AO1846" s="234"/>
    </row>
    <row r="1847" ht="15.75" customHeight="1">
      <c r="A1847" s="91"/>
      <c r="B1847" s="91"/>
      <c r="C1847" s="220"/>
      <c r="D1847" s="91"/>
      <c r="E1847" s="221"/>
      <c r="F1847" s="91"/>
      <c r="G1847" s="91"/>
      <c r="H1847" s="242"/>
      <c r="I1847" s="91"/>
      <c r="J1847" s="234"/>
      <c r="K1847" s="243"/>
      <c r="L1847" s="243"/>
      <c r="M1847" s="234"/>
      <c r="N1847" s="235"/>
      <c r="O1847" s="236"/>
      <c r="P1847" s="236"/>
      <c r="Q1847" s="236"/>
      <c r="R1847" s="236"/>
      <c r="S1847" s="236"/>
      <c r="T1847" s="236"/>
      <c r="U1847" s="236"/>
      <c r="V1847" s="236"/>
      <c r="W1847" s="236"/>
      <c r="X1847" s="244"/>
      <c r="Y1847" s="244"/>
      <c r="Z1847" s="237"/>
      <c r="AA1847" s="244"/>
      <c r="AB1847" s="244"/>
      <c r="AC1847" s="244"/>
      <c r="AD1847" s="244"/>
      <c r="AE1847" s="234"/>
      <c r="AF1847" s="234"/>
      <c r="AG1847" s="238"/>
      <c r="AH1847" s="239"/>
      <c r="AI1847" s="238"/>
      <c r="AJ1847" s="238"/>
      <c r="AK1847" s="234"/>
      <c r="AL1847" s="234"/>
      <c r="AM1847" s="234"/>
      <c r="AN1847" s="234"/>
      <c r="AO1847" s="234"/>
    </row>
    <row r="1848" ht="15.75" customHeight="1">
      <c r="A1848" s="91"/>
      <c r="B1848" s="91"/>
      <c r="C1848" s="220"/>
      <c r="D1848" s="91"/>
      <c r="E1848" s="221"/>
      <c r="F1848" s="91"/>
      <c r="G1848" s="91"/>
      <c r="H1848" s="242"/>
      <c r="I1848" s="91"/>
      <c r="J1848" s="234"/>
      <c r="K1848" s="243"/>
      <c r="L1848" s="243"/>
      <c r="M1848" s="234"/>
      <c r="N1848" s="235"/>
      <c r="O1848" s="236"/>
      <c r="P1848" s="236"/>
      <c r="Q1848" s="236"/>
      <c r="R1848" s="236"/>
      <c r="S1848" s="236"/>
      <c r="T1848" s="236"/>
      <c r="U1848" s="236"/>
      <c r="V1848" s="236"/>
      <c r="W1848" s="236"/>
      <c r="X1848" s="244"/>
      <c r="Y1848" s="244"/>
      <c r="Z1848" s="237"/>
      <c r="AA1848" s="244"/>
      <c r="AB1848" s="244"/>
      <c r="AC1848" s="244"/>
      <c r="AD1848" s="244"/>
      <c r="AE1848" s="234"/>
      <c r="AF1848" s="234"/>
      <c r="AG1848" s="238"/>
      <c r="AH1848" s="239"/>
      <c r="AI1848" s="238"/>
      <c r="AJ1848" s="238"/>
      <c r="AK1848" s="234"/>
      <c r="AL1848" s="234"/>
      <c r="AM1848" s="234"/>
      <c r="AN1848" s="234"/>
      <c r="AO1848" s="234"/>
    </row>
    <row r="1849" ht="15.75" customHeight="1">
      <c r="A1849" s="91"/>
      <c r="B1849" s="91"/>
      <c r="C1849" s="220"/>
      <c r="D1849" s="91"/>
      <c r="E1849" s="221"/>
      <c r="F1849" s="91"/>
      <c r="G1849" s="91"/>
      <c r="H1849" s="242"/>
      <c r="I1849" s="91"/>
      <c r="J1849" s="234"/>
      <c r="K1849" s="243"/>
      <c r="L1849" s="243"/>
      <c r="M1849" s="234"/>
      <c r="N1849" s="235"/>
      <c r="O1849" s="236"/>
      <c r="P1849" s="236"/>
      <c r="Q1849" s="236"/>
      <c r="R1849" s="236"/>
      <c r="S1849" s="236"/>
      <c r="T1849" s="236"/>
      <c r="U1849" s="236"/>
      <c r="V1849" s="236"/>
      <c r="W1849" s="236"/>
      <c r="X1849" s="244"/>
      <c r="Y1849" s="244"/>
      <c r="Z1849" s="237"/>
      <c r="AA1849" s="244"/>
      <c r="AB1849" s="244"/>
      <c r="AC1849" s="244"/>
      <c r="AD1849" s="244"/>
      <c r="AE1849" s="234"/>
      <c r="AF1849" s="234"/>
      <c r="AG1849" s="238"/>
      <c r="AH1849" s="239"/>
      <c r="AI1849" s="238"/>
      <c r="AJ1849" s="238"/>
      <c r="AK1849" s="234"/>
      <c r="AL1849" s="234"/>
      <c r="AM1849" s="234"/>
      <c r="AN1849" s="234"/>
      <c r="AO1849" s="234"/>
    </row>
    <row r="1850" ht="15.75" customHeight="1">
      <c r="A1850" s="91"/>
      <c r="B1850" s="91"/>
      <c r="C1850" s="220"/>
      <c r="D1850" s="91"/>
      <c r="E1850" s="221"/>
      <c r="F1850" s="91"/>
      <c r="G1850" s="91"/>
      <c r="H1850" s="242"/>
      <c r="I1850" s="91"/>
      <c r="J1850" s="234"/>
      <c r="K1850" s="243"/>
      <c r="L1850" s="243"/>
      <c r="M1850" s="234"/>
      <c r="N1850" s="235"/>
      <c r="O1850" s="236"/>
      <c r="P1850" s="236"/>
      <c r="Q1850" s="236"/>
      <c r="R1850" s="236"/>
      <c r="S1850" s="236"/>
      <c r="T1850" s="236"/>
      <c r="U1850" s="236"/>
      <c r="V1850" s="236"/>
      <c r="W1850" s="236"/>
      <c r="X1850" s="244"/>
      <c r="Y1850" s="244"/>
      <c r="Z1850" s="237"/>
      <c r="AA1850" s="244"/>
      <c r="AB1850" s="244"/>
      <c r="AC1850" s="244"/>
      <c r="AD1850" s="244"/>
      <c r="AE1850" s="234"/>
      <c r="AF1850" s="234"/>
      <c r="AG1850" s="238"/>
      <c r="AH1850" s="239"/>
      <c r="AI1850" s="238"/>
      <c r="AJ1850" s="238"/>
      <c r="AK1850" s="234"/>
      <c r="AL1850" s="234"/>
      <c r="AM1850" s="234"/>
      <c r="AN1850" s="234"/>
      <c r="AO1850" s="234"/>
    </row>
    <row r="1851" ht="15.75" customHeight="1">
      <c r="A1851" s="91"/>
      <c r="B1851" s="91"/>
      <c r="C1851" s="220"/>
      <c r="D1851" s="91"/>
      <c r="E1851" s="221"/>
      <c r="F1851" s="91"/>
      <c r="G1851" s="91"/>
      <c r="H1851" s="242"/>
      <c r="I1851" s="91"/>
      <c r="J1851" s="234"/>
      <c r="K1851" s="243"/>
      <c r="L1851" s="243"/>
      <c r="M1851" s="234"/>
      <c r="N1851" s="235"/>
      <c r="O1851" s="236"/>
      <c r="P1851" s="236"/>
      <c r="Q1851" s="236"/>
      <c r="R1851" s="236"/>
      <c r="S1851" s="236"/>
      <c r="T1851" s="236"/>
      <c r="U1851" s="236"/>
      <c r="V1851" s="236"/>
      <c r="W1851" s="236"/>
      <c r="X1851" s="244"/>
      <c r="Y1851" s="244"/>
      <c r="Z1851" s="237"/>
      <c r="AA1851" s="244"/>
      <c r="AB1851" s="244"/>
      <c r="AC1851" s="244"/>
      <c r="AD1851" s="244"/>
      <c r="AE1851" s="234"/>
      <c r="AF1851" s="234"/>
      <c r="AG1851" s="238"/>
      <c r="AH1851" s="239"/>
      <c r="AI1851" s="238"/>
      <c r="AJ1851" s="238"/>
      <c r="AK1851" s="234"/>
      <c r="AL1851" s="234"/>
      <c r="AM1851" s="234"/>
      <c r="AN1851" s="234"/>
      <c r="AO1851" s="234"/>
    </row>
    <row r="1852" ht="15.75" customHeight="1">
      <c r="A1852" s="91"/>
      <c r="B1852" s="91"/>
      <c r="C1852" s="220"/>
      <c r="D1852" s="91"/>
      <c r="E1852" s="221"/>
      <c r="F1852" s="91"/>
      <c r="G1852" s="91"/>
      <c r="H1852" s="242"/>
      <c r="I1852" s="91"/>
      <c r="J1852" s="234"/>
      <c r="K1852" s="243"/>
      <c r="L1852" s="243"/>
      <c r="M1852" s="234"/>
      <c r="N1852" s="235"/>
      <c r="O1852" s="236"/>
      <c r="P1852" s="236"/>
      <c r="Q1852" s="236"/>
      <c r="R1852" s="236"/>
      <c r="S1852" s="236"/>
      <c r="T1852" s="236"/>
      <c r="U1852" s="236"/>
      <c r="V1852" s="236"/>
      <c r="W1852" s="236"/>
      <c r="X1852" s="244"/>
      <c r="Y1852" s="244"/>
      <c r="Z1852" s="237"/>
      <c r="AA1852" s="244"/>
      <c r="AB1852" s="244"/>
      <c r="AC1852" s="244"/>
      <c r="AD1852" s="244"/>
      <c r="AE1852" s="234"/>
      <c r="AF1852" s="234"/>
      <c r="AG1852" s="238"/>
      <c r="AH1852" s="239"/>
      <c r="AI1852" s="238"/>
      <c r="AJ1852" s="238"/>
      <c r="AK1852" s="234"/>
      <c r="AL1852" s="234"/>
      <c r="AM1852" s="234"/>
      <c r="AN1852" s="234"/>
      <c r="AO1852" s="234"/>
    </row>
    <row r="1853" ht="15.75" customHeight="1">
      <c r="A1853" s="91"/>
      <c r="B1853" s="91"/>
      <c r="C1853" s="220"/>
      <c r="D1853" s="91"/>
      <c r="E1853" s="221"/>
      <c r="F1853" s="91"/>
      <c r="G1853" s="91"/>
      <c r="H1853" s="242"/>
      <c r="I1853" s="91"/>
      <c r="J1853" s="234"/>
      <c r="K1853" s="243"/>
      <c r="L1853" s="243"/>
      <c r="M1853" s="234"/>
      <c r="N1853" s="235"/>
      <c r="O1853" s="236"/>
      <c r="P1853" s="236"/>
      <c r="Q1853" s="236"/>
      <c r="R1853" s="236"/>
      <c r="S1853" s="236"/>
      <c r="T1853" s="236"/>
      <c r="U1853" s="236"/>
      <c r="V1853" s="236"/>
      <c r="W1853" s="236"/>
      <c r="X1853" s="244"/>
      <c r="Y1853" s="244"/>
      <c r="Z1853" s="237"/>
      <c r="AA1853" s="244"/>
      <c r="AB1853" s="244"/>
      <c r="AC1853" s="244"/>
      <c r="AD1853" s="244"/>
      <c r="AE1853" s="234"/>
      <c r="AF1853" s="234"/>
      <c r="AG1853" s="238"/>
      <c r="AH1853" s="239"/>
      <c r="AI1853" s="238"/>
      <c r="AJ1853" s="238"/>
      <c r="AK1853" s="234"/>
      <c r="AL1853" s="234"/>
      <c r="AM1853" s="234"/>
      <c r="AN1853" s="234"/>
      <c r="AO1853" s="234"/>
    </row>
    <row r="1854" ht="15.75" customHeight="1">
      <c r="A1854" s="91"/>
      <c r="B1854" s="91"/>
      <c r="C1854" s="220"/>
      <c r="D1854" s="91"/>
      <c r="E1854" s="221"/>
      <c r="F1854" s="91"/>
      <c r="G1854" s="91"/>
      <c r="H1854" s="242"/>
      <c r="I1854" s="91"/>
      <c r="J1854" s="234"/>
      <c r="K1854" s="243"/>
      <c r="L1854" s="243"/>
      <c r="M1854" s="234"/>
      <c r="N1854" s="235"/>
      <c r="O1854" s="236"/>
      <c r="P1854" s="236"/>
      <c r="Q1854" s="236"/>
      <c r="R1854" s="236"/>
      <c r="S1854" s="236"/>
      <c r="T1854" s="236"/>
      <c r="U1854" s="236"/>
      <c r="V1854" s="236"/>
      <c r="W1854" s="236"/>
      <c r="X1854" s="244"/>
      <c r="Y1854" s="244"/>
      <c r="Z1854" s="237"/>
      <c r="AA1854" s="244"/>
      <c r="AB1854" s="244"/>
      <c r="AC1854" s="244"/>
      <c r="AD1854" s="244"/>
      <c r="AE1854" s="234"/>
      <c r="AF1854" s="234"/>
      <c r="AG1854" s="238"/>
      <c r="AH1854" s="239"/>
      <c r="AI1854" s="238"/>
      <c r="AJ1854" s="238"/>
      <c r="AK1854" s="234"/>
      <c r="AL1854" s="234"/>
      <c r="AM1854" s="234"/>
      <c r="AN1854" s="234"/>
      <c r="AO1854" s="234"/>
    </row>
    <row r="1855" ht="15.75" customHeight="1">
      <c r="A1855" s="91"/>
      <c r="B1855" s="91"/>
      <c r="C1855" s="220"/>
      <c r="D1855" s="91"/>
      <c r="E1855" s="221"/>
      <c r="F1855" s="91"/>
      <c r="G1855" s="91"/>
      <c r="H1855" s="242"/>
      <c r="I1855" s="91"/>
      <c r="J1855" s="234"/>
      <c r="K1855" s="243"/>
      <c r="L1855" s="243"/>
      <c r="M1855" s="234"/>
      <c r="N1855" s="235"/>
      <c r="O1855" s="236"/>
      <c r="P1855" s="236"/>
      <c r="Q1855" s="236"/>
      <c r="R1855" s="236"/>
      <c r="S1855" s="236"/>
      <c r="T1855" s="236"/>
      <c r="U1855" s="236"/>
      <c r="V1855" s="236"/>
      <c r="W1855" s="236"/>
      <c r="X1855" s="244"/>
      <c r="Y1855" s="244"/>
      <c r="Z1855" s="237"/>
      <c r="AA1855" s="244"/>
      <c r="AB1855" s="244"/>
      <c r="AC1855" s="244"/>
      <c r="AD1855" s="244"/>
      <c r="AE1855" s="234"/>
      <c r="AF1855" s="234"/>
      <c r="AG1855" s="238"/>
      <c r="AH1855" s="239"/>
      <c r="AI1855" s="238"/>
      <c r="AJ1855" s="238"/>
      <c r="AK1855" s="234"/>
      <c r="AL1855" s="234"/>
      <c r="AM1855" s="234"/>
      <c r="AN1855" s="234"/>
      <c r="AO1855" s="234"/>
    </row>
    <row r="1856" ht="15.75" customHeight="1">
      <c r="A1856" s="91"/>
      <c r="B1856" s="91"/>
      <c r="C1856" s="220"/>
      <c r="D1856" s="91"/>
      <c r="E1856" s="221"/>
      <c r="F1856" s="91"/>
      <c r="G1856" s="91"/>
      <c r="H1856" s="242"/>
      <c r="I1856" s="91"/>
      <c r="J1856" s="234"/>
      <c r="K1856" s="243"/>
      <c r="L1856" s="243"/>
      <c r="M1856" s="234"/>
      <c r="N1856" s="235"/>
      <c r="O1856" s="236"/>
      <c r="P1856" s="236"/>
      <c r="Q1856" s="236"/>
      <c r="R1856" s="236"/>
      <c r="S1856" s="236"/>
      <c r="T1856" s="236"/>
      <c r="U1856" s="236"/>
      <c r="V1856" s="236"/>
      <c r="W1856" s="236"/>
      <c r="X1856" s="244"/>
      <c r="Y1856" s="244"/>
      <c r="Z1856" s="237"/>
      <c r="AA1856" s="244"/>
      <c r="AB1856" s="244"/>
      <c r="AC1856" s="244"/>
      <c r="AD1856" s="244"/>
      <c r="AE1856" s="234"/>
      <c r="AF1856" s="234"/>
      <c r="AG1856" s="238"/>
      <c r="AH1856" s="239"/>
      <c r="AI1856" s="238"/>
      <c r="AJ1856" s="238"/>
      <c r="AK1856" s="234"/>
      <c r="AL1856" s="234"/>
      <c r="AM1856" s="234"/>
      <c r="AN1856" s="234"/>
      <c r="AO1856" s="234"/>
    </row>
    <row r="1857" ht="15.75" customHeight="1">
      <c r="A1857" s="91"/>
      <c r="B1857" s="91"/>
      <c r="C1857" s="220"/>
      <c r="D1857" s="91"/>
      <c r="E1857" s="221"/>
      <c r="F1857" s="91"/>
      <c r="G1857" s="91"/>
      <c r="H1857" s="242"/>
      <c r="I1857" s="91"/>
      <c r="J1857" s="234"/>
      <c r="K1857" s="243"/>
      <c r="L1857" s="243"/>
      <c r="M1857" s="234"/>
      <c r="N1857" s="235"/>
      <c r="O1857" s="236"/>
      <c r="P1857" s="236"/>
      <c r="Q1857" s="236"/>
      <c r="R1857" s="236"/>
      <c r="S1857" s="236"/>
      <c r="T1857" s="236"/>
      <c r="U1857" s="236"/>
      <c r="V1857" s="236"/>
      <c r="W1857" s="236"/>
      <c r="X1857" s="244"/>
      <c r="Y1857" s="244"/>
      <c r="Z1857" s="237"/>
      <c r="AA1857" s="244"/>
      <c r="AB1857" s="244"/>
      <c r="AC1857" s="244"/>
      <c r="AD1857" s="244"/>
      <c r="AE1857" s="234"/>
      <c r="AF1857" s="234"/>
      <c r="AG1857" s="238"/>
      <c r="AH1857" s="239"/>
      <c r="AI1857" s="238"/>
      <c r="AJ1857" s="238"/>
      <c r="AK1857" s="234"/>
      <c r="AL1857" s="234"/>
      <c r="AM1857" s="234"/>
      <c r="AN1857" s="234"/>
      <c r="AO1857" s="234"/>
    </row>
    <row r="1858" ht="15.75" customHeight="1">
      <c r="A1858" s="91"/>
      <c r="B1858" s="91"/>
      <c r="C1858" s="220"/>
      <c r="D1858" s="91"/>
      <c r="E1858" s="221"/>
      <c r="F1858" s="91"/>
      <c r="G1858" s="91"/>
      <c r="H1858" s="242"/>
      <c r="I1858" s="91"/>
      <c r="J1858" s="234"/>
      <c r="K1858" s="243"/>
      <c r="L1858" s="243"/>
      <c r="M1858" s="234"/>
      <c r="N1858" s="235"/>
      <c r="O1858" s="236"/>
      <c r="P1858" s="236"/>
      <c r="Q1858" s="236"/>
      <c r="R1858" s="236"/>
      <c r="S1858" s="236"/>
      <c r="T1858" s="236"/>
      <c r="U1858" s="236"/>
      <c r="V1858" s="236"/>
      <c r="W1858" s="236"/>
      <c r="X1858" s="244"/>
      <c r="Y1858" s="244"/>
      <c r="Z1858" s="237"/>
      <c r="AA1858" s="244"/>
      <c r="AB1858" s="244"/>
      <c r="AC1858" s="244"/>
      <c r="AD1858" s="244"/>
      <c r="AE1858" s="234"/>
      <c r="AF1858" s="234"/>
      <c r="AG1858" s="238"/>
      <c r="AH1858" s="239"/>
      <c r="AI1858" s="238"/>
      <c r="AJ1858" s="238"/>
      <c r="AK1858" s="234"/>
      <c r="AL1858" s="234"/>
      <c r="AM1858" s="234"/>
      <c r="AN1858" s="234"/>
      <c r="AO1858" s="234"/>
    </row>
    <row r="1859" ht="15.75" customHeight="1">
      <c r="A1859" s="91"/>
      <c r="B1859" s="91"/>
      <c r="C1859" s="220"/>
      <c r="D1859" s="91"/>
      <c r="E1859" s="221"/>
      <c r="F1859" s="91"/>
      <c r="G1859" s="91"/>
      <c r="H1859" s="242"/>
      <c r="I1859" s="91"/>
      <c r="J1859" s="234"/>
      <c r="K1859" s="243"/>
      <c r="L1859" s="243"/>
      <c r="M1859" s="234"/>
      <c r="N1859" s="235"/>
      <c r="O1859" s="236"/>
      <c r="P1859" s="236"/>
      <c r="Q1859" s="236"/>
      <c r="R1859" s="236"/>
      <c r="S1859" s="236"/>
      <c r="T1859" s="236"/>
      <c r="U1859" s="236"/>
      <c r="V1859" s="236"/>
      <c r="W1859" s="236"/>
      <c r="X1859" s="244"/>
      <c r="Y1859" s="244"/>
      <c r="Z1859" s="237"/>
      <c r="AA1859" s="244"/>
      <c r="AB1859" s="244"/>
      <c r="AC1859" s="244"/>
      <c r="AD1859" s="244"/>
      <c r="AE1859" s="234"/>
      <c r="AF1859" s="234"/>
      <c r="AG1859" s="238"/>
      <c r="AH1859" s="239"/>
      <c r="AI1859" s="238"/>
      <c r="AJ1859" s="238"/>
      <c r="AK1859" s="234"/>
      <c r="AL1859" s="234"/>
      <c r="AM1859" s="234"/>
      <c r="AN1859" s="234"/>
      <c r="AO1859" s="234"/>
    </row>
    <row r="1860" ht="15.75" customHeight="1">
      <c r="A1860" s="91"/>
      <c r="B1860" s="91"/>
      <c r="C1860" s="220"/>
      <c r="D1860" s="91"/>
      <c r="E1860" s="221"/>
      <c r="F1860" s="91"/>
      <c r="G1860" s="91"/>
      <c r="H1860" s="242"/>
      <c r="I1860" s="91"/>
      <c r="J1860" s="234"/>
      <c r="K1860" s="243"/>
      <c r="L1860" s="243"/>
      <c r="M1860" s="234"/>
      <c r="N1860" s="235"/>
      <c r="O1860" s="236"/>
      <c r="P1860" s="236"/>
      <c r="Q1860" s="236"/>
      <c r="R1860" s="236"/>
      <c r="S1860" s="236"/>
      <c r="T1860" s="236"/>
      <c r="U1860" s="236"/>
      <c r="V1860" s="236"/>
      <c r="W1860" s="236"/>
      <c r="X1860" s="244"/>
      <c r="Y1860" s="244"/>
      <c r="Z1860" s="237"/>
      <c r="AA1860" s="244"/>
      <c r="AB1860" s="244"/>
      <c r="AC1860" s="244"/>
      <c r="AD1860" s="244"/>
      <c r="AE1860" s="234"/>
      <c r="AF1860" s="234"/>
      <c r="AG1860" s="238"/>
      <c r="AH1860" s="239"/>
      <c r="AI1860" s="238"/>
      <c r="AJ1860" s="238"/>
      <c r="AK1860" s="234"/>
      <c r="AL1860" s="234"/>
      <c r="AM1860" s="234"/>
      <c r="AN1860" s="234"/>
      <c r="AO1860" s="234"/>
    </row>
    <row r="1861" ht="15.75" customHeight="1">
      <c r="A1861" s="91"/>
      <c r="B1861" s="91"/>
      <c r="C1861" s="220"/>
      <c r="D1861" s="91"/>
      <c r="E1861" s="221"/>
      <c r="F1861" s="91"/>
      <c r="G1861" s="91"/>
      <c r="H1861" s="242"/>
      <c r="I1861" s="91"/>
      <c r="J1861" s="234"/>
      <c r="K1861" s="243"/>
      <c r="L1861" s="243"/>
      <c r="M1861" s="234"/>
      <c r="N1861" s="235"/>
      <c r="O1861" s="236"/>
      <c r="P1861" s="236"/>
      <c r="Q1861" s="236"/>
      <c r="R1861" s="236"/>
      <c r="S1861" s="236"/>
      <c r="T1861" s="236"/>
      <c r="U1861" s="236"/>
      <c r="V1861" s="236"/>
      <c r="W1861" s="236"/>
      <c r="X1861" s="244"/>
      <c r="Y1861" s="244"/>
      <c r="Z1861" s="237"/>
      <c r="AA1861" s="244"/>
      <c r="AB1861" s="244"/>
      <c r="AC1861" s="244"/>
      <c r="AD1861" s="244"/>
      <c r="AE1861" s="234"/>
      <c r="AF1861" s="234"/>
      <c r="AG1861" s="238"/>
      <c r="AH1861" s="239"/>
      <c r="AI1861" s="238"/>
      <c r="AJ1861" s="238"/>
      <c r="AK1861" s="234"/>
      <c r="AL1861" s="234"/>
      <c r="AM1861" s="234"/>
      <c r="AN1861" s="234"/>
      <c r="AO1861" s="234"/>
    </row>
    <row r="1862" ht="15.75" customHeight="1">
      <c r="A1862" s="91"/>
      <c r="B1862" s="91"/>
      <c r="C1862" s="220"/>
      <c r="D1862" s="91"/>
      <c r="E1862" s="221"/>
      <c r="F1862" s="91"/>
      <c r="G1862" s="91"/>
      <c r="H1862" s="242"/>
      <c r="I1862" s="91"/>
      <c r="J1862" s="234"/>
      <c r="K1862" s="243"/>
      <c r="L1862" s="243"/>
      <c r="M1862" s="234"/>
      <c r="N1862" s="235"/>
      <c r="O1862" s="236"/>
      <c r="P1862" s="236"/>
      <c r="Q1862" s="236"/>
      <c r="R1862" s="236"/>
      <c r="S1862" s="236"/>
      <c r="T1862" s="236"/>
      <c r="U1862" s="236"/>
      <c r="V1862" s="236"/>
      <c r="W1862" s="236"/>
      <c r="X1862" s="244"/>
      <c r="Y1862" s="244"/>
      <c r="Z1862" s="237"/>
      <c r="AA1862" s="244"/>
      <c r="AB1862" s="244"/>
      <c r="AC1862" s="244"/>
      <c r="AD1862" s="244"/>
      <c r="AE1862" s="234"/>
      <c r="AF1862" s="234"/>
      <c r="AG1862" s="238"/>
      <c r="AH1862" s="239"/>
      <c r="AI1862" s="238"/>
      <c r="AJ1862" s="238"/>
      <c r="AK1862" s="234"/>
      <c r="AL1862" s="234"/>
      <c r="AM1862" s="234"/>
      <c r="AN1862" s="234"/>
      <c r="AO1862" s="234"/>
    </row>
    <row r="1863" ht="15.75" customHeight="1">
      <c r="A1863" s="91"/>
      <c r="B1863" s="91"/>
      <c r="C1863" s="220"/>
      <c r="D1863" s="91"/>
      <c r="E1863" s="221"/>
      <c r="F1863" s="91"/>
      <c r="G1863" s="91"/>
      <c r="H1863" s="242"/>
      <c r="I1863" s="91"/>
      <c r="J1863" s="234"/>
      <c r="K1863" s="243"/>
      <c r="L1863" s="243"/>
      <c r="M1863" s="234"/>
      <c r="N1863" s="235"/>
      <c r="O1863" s="236"/>
      <c r="P1863" s="236"/>
      <c r="Q1863" s="236"/>
      <c r="R1863" s="236"/>
      <c r="S1863" s="236"/>
      <c r="T1863" s="236"/>
      <c r="U1863" s="236"/>
      <c r="V1863" s="236"/>
      <c r="W1863" s="236"/>
      <c r="X1863" s="244"/>
      <c r="Y1863" s="244"/>
      <c r="Z1863" s="237"/>
      <c r="AA1863" s="244"/>
      <c r="AB1863" s="244"/>
      <c r="AC1863" s="244"/>
      <c r="AD1863" s="244"/>
      <c r="AE1863" s="234"/>
      <c r="AF1863" s="234"/>
      <c r="AG1863" s="238"/>
      <c r="AH1863" s="239"/>
      <c r="AI1863" s="238"/>
      <c r="AJ1863" s="238"/>
      <c r="AK1863" s="234"/>
      <c r="AL1863" s="234"/>
      <c r="AM1863" s="234"/>
      <c r="AN1863" s="234"/>
      <c r="AO1863" s="234"/>
    </row>
    <row r="1864" ht="15.75" customHeight="1">
      <c r="A1864" s="91"/>
      <c r="B1864" s="91"/>
      <c r="C1864" s="220"/>
      <c r="D1864" s="91"/>
      <c r="E1864" s="221"/>
      <c r="F1864" s="91"/>
      <c r="G1864" s="91"/>
      <c r="H1864" s="242"/>
      <c r="I1864" s="91"/>
      <c r="J1864" s="234"/>
      <c r="K1864" s="243"/>
      <c r="L1864" s="243"/>
      <c r="M1864" s="234"/>
      <c r="N1864" s="235"/>
      <c r="O1864" s="236"/>
      <c r="P1864" s="236"/>
      <c r="Q1864" s="236"/>
      <c r="R1864" s="236"/>
      <c r="S1864" s="236"/>
      <c r="T1864" s="236"/>
      <c r="U1864" s="236"/>
      <c r="V1864" s="236"/>
      <c r="W1864" s="236"/>
      <c r="X1864" s="244"/>
      <c r="Y1864" s="244"/>
      <c r="Z1864" s="237"/>
      <c r="AA1864" s="244"/>
      <c r="AB1864" s="244"/>
      <c r="AC1864" s="244"/>
      <c r="AD1864" s="244"/>
      <c r="AE1864" s="234"/>
      <c r="AF1864" s="234"/>
      <c r="AG1864" s="238"/>
      <c r="AH1864" s="239"/>
      <c r="AI1864" s="238"/>
      <c r="AJ1864" s="238"/>
      <c r="AK1864" s="234"/>
      <c r="AL1864" s="234"/>
      <c r="AM1864" s="234"/>
      <c r="AN1864" s="234"/>
      <c r="AO1864" s="234"/>
    </row>
    <row r="1865" ht="15.75" customHeight="1">
      <c r="A1865" s="91"/>
      <c r="B1865" s="91"/>
      <c r="C1865" s="220"/>
      <c r="D1865" s="91"/>
      <c r="E1865" s="221"/>
      <c r="F1865" s="91"/>
      <c r="G1865" s="91"/>
      <c r="H1865" s="242"/>
      <c r="I1865" s="91"/>
      <c r="J1865" s="234"/>
      <c r="K1865" s="243"/>
      <c r="L1865" s="243"/>
      <c r="M1865" s="234"/>
      <c r="N1865" s="235"/>
      <c r="O1865" s="236"/>
      <c r="P1865" s="236"/>
      <c r="Q1865" s="236"/>
      <c r="R1865" s="236"/>
      <c r="S1865" s="236"/>
      <c r="T1865" s="236"/>
      <c r="U1865" s="236"/>
      <c r="V1865" s="236"/>
      <c r="W1865" s="236"/>
      <c r="X1865" s="244"/>
      <c r="Y1865" s="244"/>
      <c r="Z1865" s="237"/>
      <c r="AA1865" s="244"/>
      <c r="AB1865" s="244"/>
      <c r="AC1865" s="244"/>
      <c r="AD1865" s="244"/>
      <c r="AE1865" s="234"/>
      <c r="AF1865" s="234"/>
      <c r="AG1865" s="238"/>
      <c r="AH1865" s="239"/>
      <c r="AI1865" s="238"/>
      <c r="AJ1865" s="238"/>
      <c r="AK1865" s="234"/>
      <c r="AL1865" s="234"/>
      <c r="AM1865" s="234"/>
      <c r="AN1865" s="234"/>
      <c r="AO1865" s="234"/>
    </row>
    <row r="1866" ht="15.75" customHeight="1">
      <c r="A1866" s="91"/>
      <c r="B1866" s="91"/>
      <c r="C1866" s="220"/>
      <c r="D1866" s="91"/>
      <c r="E1866" s="221"/>
      <c r="F1866" s="91"/>
      <c r="G1866" s="91"/>
      <c r="H1866" s="242"/>
      <c r="I1866" s="91"/>
      <c r="J1866" s="234"/>
      <c r="K1866" s="243"/>
      <c r="L1866" s="243"/>
      <c r="M1866" s="234"/>
      <c r="N1866" s="235"/>
      <c r="O1866" s="236"/>
      <c r="P1866" s="236"/>
      <c r="Q1866" s="236"/>
      <c r="R1866" s="236"/>
      <c r="S1866" s="236"/>
      <c r="T1866" s="236"/>
      <c r="U1866" s="236"/>
      <c r="V1866" s="236"/>
      <c r="W1866" s="236"/>
      <c r="X1866" s="244"/>
      <c r="Y1866" s="244"/>
      <c r="Z1866" s="237"/>
      <c r="AA1866" s="244"/>
      <c r="AB1866" s="244"/>
      <c r="AC1866" s="244"/>
      <c r="AD1866" s="244"/>
      <c r="AE1866" s="234"/>
      <c r="AF1866" s="234"/>
      <c r="AG1866" s="238"/>
      <c r="AH1866" s="239"/>
      <c r="AI1866" s="238"/>
      <c r="AJ1866" s="238"/>
      <c r="AK1866" s="234"/>
      <c r="AL1866" s="234"/>
      <c r="AM1866" s="234"/>
      <c r="AN1866" s="234"/>
      <c r="AO1866" s="234"/>
    </row>
    <row r="1867" ht="15.75" customHeight="1">
      <c r="A1867" s="91"/>
      <c r="B1867" s="91"/>
      <c r="C1867" s="220"/>
      <c r="D1867" s="91"/>
      <c r="E1867" s="221"/>
      <c r="F1867" s="91"/>
      <c r="G1867" s="91"/>
      <c r="H1867" s="242"/>
      <c r="I1867" s="91"/>
      <c r="J1867" s="234"/>
      <c r="K1867" s="243"/>
      <c r="L1867" s="243"/>
      <c r="M1867" s="234"/>
      <c r="N1867" s="235"/>
      <c r="O1867" s="236"/>
      <c r="P1867" s="236"/>
      <c r="Q1867" s="236"/>
      <c r="R1867" s="236"/>
      <c r="S1867" s="236"/>
      <c r="T1867" s="236"/>
      <c r="U1867" s="236"/>
      <c r="V1867" s="236"/>
      <c r="W1867" s="236"/>
      <c r="X1867" s="244"/>
      <c r="Y1867" s="244"/>
      <c r="Z1867" s="237"/>
      <c r="AA1867" s="244"/>
      <c r="AB1867" s="244"/>
      <c r="AC1867" s="244"/>
      <c r="AD1867" s="244"/>
      <c r="AE1867" s="234"/>
      <c r="AF1867" s="234"/>
      <c r="AG1867" s="238"/>
      <c r="AH1867" s="239"/>
      <c r="AI1867" s="238"/>
      <c r="AJ1867" s="238"/>
      <c r="AK1867" s="234"/>
      <c r="AL1867" s="234"/>
      <c r="AM1867" s="234"/>
      <c r="AN1867" s="234"/>
      <c r="AO1867" s="234"/>
    </row>
    <row r="1868" ht="15.75" customHeight="1">
      <c r="A1868" s="91"/>
      <c r="B1868" s="91"/>
      <c r="C1868" s="220"/>
      <c r="D1868" s="91"/>
      <c r="E1868" s="221"/>
      <c r="F1868" s="91"/>
      <c r="G1868" s="91"/>
      <c r="H1868" s="242"/>
      <c r="I1868" s="91"/>
      <c r="J1868" s="234"/>
      <c r="K1868" s="243"/>
      <c r="L1868" s="243"/>
      <c r="M1868" s="234"/>
      <c r="N1868" s="235"/>
      <c r="O1868" s="236"/>
      <c r="P1868" s="236"/>
      <c r="Q1868" s="236"/>
      <c r="R1868" s="236"/>
      <c r="S1868" s="236"/>
      <c r="T1868" s="236"/>
      <c r="U1868" s="236"/>
      <c r="V1868" s="236"/>
      <c r="W1868" s="236"/>
      <c r="X1868" s="244"/>
      <c r="Y1868" s="244"/>
      <c r="Z1868" s="237"/>
      <c r="AA1868" s="244"/>
      <c r="AB1868" s="244"/>
      <c r="AC1868" s="244"/>
      <c r="AD1868" s="244"/>
      <c r="AE1868" s="234"/>
      <c r="AF1868" s="234"/>
      <c r="AG1868" s="238"/>
      <c r="AH1868" s="239"/>
      <c r="AI1868" s="238"/>
      <c r="AJ1868" s="238"/>
      <c r="AK1868" s="234"/>
      <c r="AL1868" s="234"/>
      <c r="AM1868" s="234"/>
      <c r="AN1868" s="234"/>
      <c r="AO1868" s="234"/>
    </row>
    <row r="1869" ht="15.75" customHeight="1">
      <c r="A1869" s="91"/>
      <c r="B1869" s="91"/>
      <c r="C1869" s="220"/>
      <c r="D1869" s="91"/>
      <c r="E1869" s="221"/>
      <c r="F1869" s="91"/>
      <c r="G1869" s="91"/>
      <c r="H1869" s="242"/>
      <c r="I1869" s="91"/>
      <c r="J1869" s="234"/>
      <c r="K1869" s="243"/>
      <c r="L1869" s="243"/>
      <c r="M1869" s="234"/>
      <c r="N1869" s="235"/>
      <c r="O1869" s="236"/>
      <c r="P1869" s="236"/>
      <c r="Q1869" s="236"/>
      <c r="R1869" s="236"/>
      <c r="S1869" s="236"/>
      <c r="T1869" s="236"/>
      <c r="U1869" s="236"/>
      <c r="V1869" s="236"/>
      <c r="W1869" s="236"/>
      <c r="X1869" s="244"/>
      <c r="Y1869" s="244"/>
      <c r="Z1869" s="237"/>
      <c r="AA1869" s="244"/>
      <c r="AB1869" s="244"/>
      <c r="AC1869" s="244"/>
      <c r="AD1869" s="244"/>
      <c r="AE1869" s="234"/>
      <c r="AF1869" s="234"/>
      <c r="AG1869" s="238"/>
      <c r="AH1869" s="239"/>
      <c r="AI1869" s="238"/>
      <c r="AJ1869" s="238"/>
      <c r="AK1869" s="234"/>
      <c r="AL1869" s="234"/>
      <c r="AM1869" s="234"/>
      <c r="AN1869" s="234"/>
      <c r="AO1869" s="234"/>
    </row>
    <row r="1870" ht="15.75" customHeight="1">
      <c r="A1870" s="91"/>
      <c r="B1870" s="91"/>
      <c r="C1870" s="220"/>
      <c r="D1870" s="91"/>
      <c r="E1870" s="221"/>
      <c r="F1870" s="91"/>
      <c r="G1870" s="91"/>
      <c r="H1870" s="242"/>
      <c r="I1870" s="91"/>
      <c r="J1870" s="234"/>
      <c r="K1870" s="243"/>
      <c r="L1870" s="243"/>
      <c r="M1870" s="234"/>
      <c r="N1870" s="235"/>
      <c r="O1870" s="236"/>
      <c r="P1870" s="236"/>
      <c r="Q1870" s="236"/>
      <c r="R1870" s="236"/>
      <c r="S1870" s="236"/>
      <c r="T1870" s="236"/>
      <c r="U1870" s="236"/>
      <c r="V1870" s="236"/>
      <c r="W1870" s="236"/>
      <c r="X1870" s="244"/>
      <c r="Y1870" s="244"/>
      <c r="Z1870" s="237"/>
      <c r="AA1870" s="244"/>
      <c r="AB1870" s="244"/>
      <c r="AC1870" s="244"/>
      <c r="AD1870" s="244"/>
      <c r="AE1870" s="234"/>
      <c r="AF1870" s="234"/>
      <c r="AG1870" s="238"/>
      <c r="AH1870" s="239"/>
      <c r="AI1870" s="238"/>
      <c r="AJ1870" s="238"/>
      <c r="AK1870" s="234"/>
      <c r="AL1870" s="234"/>
      <c r="AM1870" s="234"/>
      <c r="AN1870" s="234"/>
      <c r="AO1870" s="234"/>
    </row>
    <row r="1871" ht="15.75" customHeight="1">
      <c r="A1871" s="91"/>
      <c r="B1871" s="91"/>
      <c r="C1871" s="220"/>
      <c r="D1871" s="91"/>
      <c r="E1871" s="221"/>
      <c r="F1871" s="91"/>
      <c r="G1871" s="91"/>
      <c r="H1871" s="242"/>
      <c r="I1871" s="91"/>
      <c r="J1871" s="234"/>
      <c r="K1871" s="243"/>
      <c r="L1871" s="243"/>
      <c r="M1871" s="234"/>
      <c r="N1871" s="235"/>
      <c r="O1871" s="236"/>
      <c r="P1871" s="236"/>
      <c r="Q1871" s="236"/>
      <c r="R1871" s="236"/>
      <c r="S1871" s="236"/>
      <c r="T1871" s="236"/>
      <c r="U1871" s="236"/>
      <c r="V1871" s="236"/>
      <c r="W1871" s="236"/>
      <c r="X1871" s="244"/>
      <c r="Y1871" s="244"/>
      <c r="Z1871" s="237"/>
      <c r="AA1871" s="244"/>
      <c r="AB1871" s="244"/>
      <c r="AC1871" s="244"/>
      <c r="AD1871" s="244"/>
      <c r="AE1871" s="234"/>
      <c r="AF1871" s="234"/>
      <c r="AG1871" s="238"/>
      <c r="AH1871" s="239"/>
      <c r="AI1871" s="238"/>
      <c r="AJ1871" s="238"/>
      <c r="AK1871" s="234"/>
      <c r="AL1871" s="234"/>
      <c r="AM1871" s="234"/>
      <c r="AN1871" s="234"/>
      <c r="AO1871" s="234"/>
    </row>
    <row r="1872" ht="15.75" customHeight="1">
      <c r="A1872" s="91"/>
      <c r="B1872" s="91"/>
      <c r="C1872" s="220"/>
      <c r="D1872" s="91"/>
      <c r="E1872" s="221"/>
      <c r="F1872" s="91"/>
      <c r="G1872" s="91"/>
      <c r="H1872" s="242"/>
      <c r="I1872" s="91"/>
      <c r="J1872" s="234"/>
      <c r="K1872" s="243"/>
      <c r="L1872" s="243"/>
      <c r="M1872" s="234"/>
      <c r="N1872" s="235"/>
      <c r="O1872" s="236"/>
      <c r="P1872" s="236"/>
      <c r="Q1872" s="236"/>
      <c r="R1872" s="236"/>
      <c r="S1872" s="236"/>
      <c r="T1872" s="236"/>
      <c r="U1872" s="236"/>
      <c r="V1872" s="236"/>
      <c r="W1872" s="236"/>
      <c r="X1872" s="244"/>
      <c r="Y1872" s="244"/>
      <c r="Z1872" s="237"/>
      <c r="AA1872" s="244"/>
      <c r="AB1872" s="244"/>
      <c r="AC1872" s="244"/>
      <c r="AD1872" s="244"/>
      <c r="AE1872" s="234"/>
      <c r="AF1872" s="234"/>
      <c r="AG1872" s="238"/>
      <c r="AH1872" s="239"/>
      <c r="AI1872" s="238"/>
      <c r="AJ1872" s="238"/>
      <c r="AK1872" s="234"/>
      <c r="AL1872" s="234"/>
      <c r="AM1872" s="234"/>
      <c r="AN1872" s="234"/>
      <c r="AO1872" s="234"/>
    </row>
    <row r="1873" ht="15.75" customHeight="1">
      <c r="A1873" s="91"/>
      <c r="B1873" s="91"/>
      <c r="C1873" s="220"/>
      <c r="D1873" s="91"/>
      <c r="E1873" s="221"/>
      <c r="F1873" s="91"/>
      <c r="G1873" s="91"/>
      <c r="H1873" s="242"/>
      <c r="I1873" s="91"/>
      <c r="J1873" s="234"/>
      <c r="K1873" s="243"/>
      <c r="L1873" s="243"/>
      <c r="M1873" s="234"/>
      <c r="N1873" s="235"/>
      <c r="O1873" s="236"/>
      <c r="P1873" s="236"/>
      <c r="Q1873" s="236"/>
      <c r="R1873" s="236"/>
      <c r="S1873" s="236"/>
      <c r="T1873" s="236"/>
      <c r="U1873" s="236"/>
      <c r="V1873" s="236"/>
      <c r="W1873" s="236"/>
      <c r="X1873" s="244"/>
      <c r="Y1873" s="244"/>
      <c r="Z1873" s="237"/>
      <c r="AA1873" s="244"/>
      <c r="AB1873" s="244"/>
      <c r="AC1873" s="244"/>
      <c r="AD1873" s="244"/>
      <c r="AE1873" s="234"/>
      <c r="AF1873" s="234"/>
      <c r="AG1873" s="238"/>
      <c r="AH1873" s="239"/>
      <c r="AI1873" s="238"/>
      <c r="AJ1873" s="238"/>
      <c r="AK1873" s="234"/>
      <c r="AL1873" s="234"/>
      <c r="AM1873" s="234"/>
      <c r="AN1873" s="234"/>
      <c r="AO1873" s="234"/>
    </row>
    <row r="1874" ht="15.75" customHeight="1">
      <c r="A1874" s="91"/>
      <c r="B1874" s="91"/>
      <c r="C1874" s="220"/>
      <c r="D1874" s="91"/>
      <c r="E1874" s="221"/>
      <c r="F1874" s="91"/>
      <c r="G1874" s="91"/>
      <c r="H1874" s="242"/>
      <c r="I1874" s="91"/>
      <c r="J1874" s="234"/>
      <c r="K1874" s="243"/>
      <c r="L1874" s="243"/>
      <c r="M1874" s="234"/>
      <c r="N1874" s="235"/>
      <c r="O1874" s="236"/>
      <c r="P1874" s="236"/>
      <c r="Q1874" s="236"/>
      <c r="R1874" s="236"/>
      <c r="S1874" s="236"/>
      <c r="T1874" s="236"/>
      <c r="U1874" s="236"/>
      <c r="V1874" s="236"/>
      <c r="W1874" s="236"/>
      <c r="X1874" s="244"/>
      <c r="Y1874" s="244"/>
      <c r="Z1874" s="237"/>
      <c r="AA1874" s="244"/>
      <c r="AB1874" s="244"/>
      <c r="AC1874" s="244"/>
      <c r="AD1874" s="244"/>
      <c r="AE1874" s="234"/>
      <c r="AF1874" s="234"/>
      <c r="AG1874" s="238"/>
      <c r="AH1874" s="239"/>
      <c r="AI1874" s="238"/>
      <c r="AJ1874" s="238"/>
      <c r="AK1874" s="234"/>
      <c r="AL1874" s="234"/>
      <c r="AM1874" s="234"/>
      <c r="AN1874" s="234"/>
      <c r="AO1874" s="234"/>
    </row>
    <row r="1875" ht="15.75" customHeight="1">
      <c r="A1875" s="91"/>
      <c r="B1875" s="91"/>
      <c r="C1875" s="220"/>
      <c r="D1875" s="91"/>
      <c r="E1875" s="221"/>
      <c r="F1875" s="91"/>
      <c r="G1875" s="91"/>
      <c r="H1875" s="242"/>
      <c r="I1875" s="91"/>
      <c r="J1875" s="234"/>
      <c r="K1875" s="243"/>
      <c r="L1875" s="243"/>
      <c r="M1875" s="234"/>
      <c r="N1875" s="235"/>
      <c r="O1875" s="236"/>
      <c r="P1875" s="236"/>
      <c r="Q1875" s="236"/>
      <c r="R1875" s="236"/>
      <c r="S1875" s="236"/>
      <c r="T1875" s="236"/>
      <c r="U1875" s="236"/>
      <c r="V1875" s="236"/>
      <c r="W1875" s="236"/>
      <c r="X1875" s="244"/>
      <c r="Y1875" s="244"/>
      <c r="Z1875" s="237"/>
      <c r="AA1875" s="244"/>
      <c r="AB1875" s="244"/>
      <c r="AC1875" s="244"/>
      <c r="AD1875" s="244"/>
      <c r="AE1875" s="234"/>
      <c r="AF1875" s="234"/>
      <c r="AG1875" s="238"/>
      <c r="AH1875" s="239"/>
      <c r="AI1875" s="238"/>
      <c r="AJ1875" s="238"/>
      <c r="AK1875" s="234"/>
      <c r="AL1875" s="234"/>
      <c r="AM1875" s="234"/>
      <c r="AN1875" s="234"/>
      <c r="AO1875" s="234"/>
    </row>
    <row r="1876" ht="15.75" customHeight="1">
      <c r="A1876" s="91"/>
      <c r="B1876" s="91"/>
      <c r="C1876" s="220"/>
      <c r="D1876" s="91"/>
      <c r="E1876" s="221"/>
      <c r="F1876" s="91"/>
      <c r="G1876" s="91"/>
      <c r="H1876" s="242"/>
      <c r="I1876" s="91"/>
      <c r="J1876" s="234"/>
      <c r="K1876" s="243"/>
      <c r="L1876" s="243"/>
      <c r="M1876" s="234"/>
      <c r="N1876" s="235"/>
      <c r="O1876" s="236"/>
      <c r="P1876" s="236"/>
      <c r="Q1876" s="236"/>
      <c r="R1876" s="236"/>
      <c r="S1876" s="236"/>
      <c r="T1876" s="236"/>
      <c r="U1876" s="236"/>
      <c r="V1876" s="236"/>
      <c r="W1876" s="236"/>
      <c r="X1876" s="244"/>
      <c r="Y1876" s="244"/>
      <c r="Z1876" s="237"/>
      <c r="AA1876" s="244"/>
      <c r="AB1876" s="244"/>
      <c r="AC1876" s="244"/>
      <c r="AD1876" s="244"/>
      <c r="AE1876" s="234"/>
      <c r="AF1876" s="234"/>
      <c r="AG1876" s="238"/>
      <c r="AH1876" s="239"/>
      <c r="AI1876" s="238"/>
      <c r="AJ1876" s="238"/>
      <c r="AK1876" s="234"/>
      <c r="AL1876" s="234"/>
      <c r="AM1876" s="234"/>
      <c r="AN1876" s="234"/>
      <c r="AO1876" s="234"/>
    </row>
    <row r="1877" ht="15.75" customHeight="1">
      <c r="A1877" s="91"/>
      <c r="B1877" s="91"/>
      <c r="C1877" s="220"/>
      <c r="D1877" s="91"/>
      <c r="E1877" s="221"/>
      <c r="F1877" s="91"/>
      <c r="G1877" s="91"/>
      <c r="H1877" s="242"/>
      <c r="I1877" s="91"/>
      <c r="J1877" s="234"/>
      <c r="K1877" s="243"/>
      <c r="L1877" s="243"/>
      <c r="M1877" s="234"/>
      <c r="N1877" s="235"/>
      <c r="O1877" s="236"/>
      <c r="P1877" s="236"/>
      <c r="Q1877" s="236"/>
      <c r="R1877" s="236"/>
      <c r="S1877" s="236"/>
      <c r="T1877" s="236"/>
      <c r="U1877" s="236"/>
      <c r="V1877" s="236"/>
      <c r="W1877" s="236"/>
      <c r="X1877" s="244"/>
      <c r="Y1877" s="244"/>
      <c r="Z1877" s="237"/>
      <c r="AA1877" s="244"/>
      <c r="AB1877" s="244"/>
      <c r="AC1877" s="244"/>
      <c r="AD1877" s="244"/>
      <c r="AE1877" s="234"/>
      <c r="AF1877" s="234"/>
      <c r="AG1877" s="238"/>
      <c r="AH1877" s="239"/>
      <c r="AI1877" s="238"/>
      <c r="AJ1877" s="238"/>
      <c r="AK1877" s="234"/>
      <c r="AL1877" s="234"/>
      <c r="AM1877" s="234"/>
      <c r="AN1877" s="234"/>
      <c r="AO1877" s="234"/>
    </row>
    <row r="1878" ht="15.75" customHeight="1">
      <c r="A1878" s="91"/>
      <c r="B1878" s="91"/>
      <c r="C1878" s="220"/>
      <c r="D1878" s="91"/>
      <c r="E1878" s="221"/>
      <c r="F1878" s="91"/>
      <c r="G1878" s="91"/>
      <c r="H1878" s="242"/>
      <c r="I1878" s="91"/>
      <c r="J1878" s="234"/>
      <c r="K1878" s="243"/>
      <c r="L1878" s="243"/>
      <c r="M1878" s="234"/>
      <c r="N1878" s="235"/>
      <c r="O1878" s="236"/>
      <c r="P1878" s="236"/>
      <c r="Q1878" s="236"/>
      <c r="R1878" s="236"/>
      <c r="S1878" s="236"/>
      <c r="T1878" s="236"/>
      <c r="U1878" s="236"/>
      <c r="V1878" s="236"/>
      <c r="W1878" s="236"/>
      <c r="X1878" s="244"/>
      <c r="Y1878" s="244"/>
      <c r="Z1878" s="237"/>
      <c r="AA1878" s="244"/>
      <c r="AB1878" s="244"/>
      <c r="AC1878" s="244"/>
      <c r="AD1878" s="244"/>
      <c r="AE1878" s="234"/>
      <c r="AF1878" s="234"/>
      <c r="AG1878" s="238"/>
      <c r="AH1878" s="239"/>
      <c r="AI1878" s="238"/>
      <c r="AJ1878" s="238"/>
      <c r="AK1878" s="234"/>
      <c r="AL1878" s="234"/>
      <c r="AM1878" s="234"/>
      <c r="AN1878" s="234"/>
      <c r="AO1878" s="234"/>
    </row>
    <row r="1879" ht="15.75" customHeight="1">
      <c r="A1879" s="91"/>
      <c r="B1879" s="91"/>
      <c r="C1879" s="220"/>
      <c r="D1879" s="91"/>
      <c r="E1879" s="221"/>
      <c r="F1879" s="91"/>
      <c r="G1879" s="91"/>
      <c r="H1879" s="242"/>
      <c r="I1879" s="91"/>
      <c r="J1879" s="234"/>
      <c r="K1879" s="243"/>
      <c r="L1879" s="243"/>
      <c r="M1879" s="234"/>
      <c r="N1879" s="235"/>
      <c r="O1879" s="236"/>
      <c r="P1879" s="236"/>
      <c r="Q1879" s="236"/>
      <c r="R1879" s="236"/>
      <c r="S1879" s="236"/>
      <c r="T1879" s="236"/>
      <c r="U1879" s="236"/>
      <c r="V1879" s="236"/>
      <c r="W1879" s="236"/>
      <c r="X1879" s="244"/>
      <c r="Y1879" s="244"/>
      <c r="Z1879" s="237"/>
      <c r="AA1879" s="244"/>
      <c r="AB1879" s="244"/>
      <c r="AC1879" s="244"/>
      <c r="AD1879" s="244"/>
      <c r="AE1879" s="234"/>
      <c r="AF1879" s="234"/>
      <c r="AG1879" s="238"/>
      <c r="AH1879" s="239"/>
      <c r="AI1879" s="238"/>
      <c r="AJ1879" s="238"/>
      <c r="AK1879" s="234"/>
      <c r="AL1879" s="234"/>
      <c r="AM1879" s="234"/>
      <c r="AN1879" s="234"/>
      <c r="AO1879" s="234"/>
    </row>
    <row r="1880" ht="15.75" customHeight="1">
      <c r="A1880" s="91"/>
      <c r="B1880" s="91"/>
      <c r="C1880" s="220"/>
      <c r="D1880" s="91"/>
      <c r="E1880" s="221"/>
      <c r="F1880" s="91"/>
      <c r="G1880" s="91"/>
      <c r="H1880" s="242"/>
      <c r="I1880" s="91"/>
      <c r="J1880" s="234"/>
      <c r="K1880" s="243"/>
      <c r="L1880" s="243"/>
      <c r="M1880" s="234"/>
      <c r="N1880" s="235"/>
      <c r="O1880" s="236"/>
      <c r="P1880" s="236"/>
      <c r="Q1880" s="236"/>
      <c r="R1880" s="236"/>
      <c r="S1880" s="236"/>
      <c r="T1880" s="236"/>
      <c r="U1880" s="236"/>
      <c r="V1880" s="236"/>
      <c r="W1880" s="236"/>
      <c r="X1880" s="244"/>
      <c r="Y1880" s="244"/>
      <c r="Z1880" s="237"/>
      <c r="AA1880" s="244"/>
      <c r="AB1880" s="244"/>
      <c r="AC1880" s="244"/>
      <c r="AD1880" s="244"/>
      <c r="AE1880" s="234"/>
      <c r="AF1880" s="234"/>
      <c r="AG1880" s="238"/>
      <c r="AH1880" s="239"/>
      <c r="AI1880" s="238"/>
      <c r="AJ1880" s="238"/>
      <c r="AK1880" s="234"/>
      <c r="AL1880" s="234"/>
      <c r="AM1880" s="234"/>
      <c r="AN1880" s="234"/>
      <c r="AO1880" s="234"/>
    </row>
    <row r="1881" ht="15.75" customHeight="1">
      <c r="A1881" s="91"/>
      <c r="B1881" s="91"/>
      <c r="C1881" s="220"/>
      <c r="D1881" s="91"/>
      <c r="E1881" s="221"/>
      <c r="F1881" s="91"/>
      <c r="G1881" s="91"/>
      <c r="H1881" s="242"/>
      <c r="I1881" s="91"/>
      <c r="J1881" s="234"/>
      <c r="K1881" s="243"/>
      <c r="L1881" s="243"/>
      <c r="M1881" s="234"/>
      <c r="N1881" s="235"/>
      <c r="O1881" s="236"/>
      <c r="P1881" s="236"/>
      <c r="Q1881" s="236"/>
      <c r="R1881" s="236"/>
      <c r="S1881" s="236"/>
      <c r="T1881" s="236"/>
      <c r="U1881" s="236"/>
      <c r="V1881" s="236"/>
      <c r="W1881" s="236"/>
      <c r="X1881" s="244"/>
      <c r="Y1881" s="244"/>
      <c r="Z1881" s="237"/>
      <c r="AA1881" s="244"/>
      <c r="AB1881" s="244"/>
      <c r="AC1881" s="244"/>
      <c r="AD1881" s="244"/>
      <c r="AE1881" s="234"/>
      <c r="AF1881" s="234"/>
      <c r="AG1881" s="238"/>
      <c r="AH1881" s="239"/>
      <c r="AI1881" s="238"/>
      <c r="AJ1881" s="238"/>
      <c r="AK1881" s="234"/>
      <c r="AL1881" s="234"/>
      <c r="AM1881" s="234"/>
      <c r="AN1881" s="234"/>
      <c r="AO1881" s="234"/>
    </row>
    <row r="1882" ht="15.75" customHeight="1">
      <c r="A1882" s="91"/>
      <c r="B1882" s="91"/>
      <c r="C1882" s="220"/>
      <c r="D1882" s="91"/>
      <c r="E1882" s="221"/>
      <c r="F1882" s="91"/>
      <c r="G1882" s="91"/>
      <c r="H1882" s="242"/>
      <c r="I1882" s="91"/>
      <c r="J1882" s="234"/>
      <c r="K1882" s="243"/>
      <c r="L1882" s="243"/>
      <c r="M1882" s="234"/>
      <c r="N1882" s="235"/>
      <c r="O1882" s="236"/>
      <c r="P1882" s="236"/>
      <c r="Q1882" s="236"/>
      <c r="R1882" s="236"/>
      <c r="S1882" s="236"/>
      <c r="T1882" s="236"/>
      <c r="U1882" s="236"/>
      <c r="V1882" s="236"/>
      <c r="W1882" s="236"/>
      <c r="X1882" s="244"/>
      <c r="Y1882" s="244"/>
      <c r="Z1882" s="237"/>
      <c r="AA1882" s="244"/>
      <c r="AB1882" s="244"/>
      <c r="AC1882" s="244"/>
      <c r="AD1882" s="244"/>
      <c r="AE1882" s="234"/>
      <c r="AF1882" s="234"/>
      <c r="AG1882" s="238"/>
      <c r="AH1882" s="239"/>
      <c r="AI1882" s="238"/>
      <c r="AJ1882" s="238"/>
      <c r="AK1882" s="234"/>
      <c r="AL1882" s="234"/>
      <c r="AM1882" s="234"/>
      <c r="AN1882" s="234"/>
      <c r="AO1882" s="234"/>
    </row>
    <row r="1883" ht="15.75" customHeight="1">
      <c r="A1883" s="91"/>
      <c r="B1883" s="91"/>
      <c r="C1883" s="220"/>
      <c r="D1883" s="91"/>
      <c r="E1883" s="221"/>
      <c r="F1883" s="91"/>
      <c r="G1883" s="91"/>
      <c r="H1883" s="242"/>
      <c r="I1883" s="91"/>
      <c r="J1883" s="234"/>
      <c r="K1883" s="243"/>
      <c r="L1883" s="243"/>
      <c r="M1883" s="234"/>
      <c r="N1883" s="235"/>
      <c r="O1883" s="236"/>
      <c r="P1883" s="236"/>
      <c r="Q1883" s="236"/>
      <c r="R1883" s="236"/>
      <c r="S1883" s="236"/>
      <c r="T1883" s="236"/>
      <c r="U1883" s="236"/>
      <c r="V1883" s="236"/>
      <c r="W1883" s="236"/>
      <c r="X1883" s="244"/>
      <c r="Y1883" s="244"/>
      <c r="Z1883" s="237"/>
      <c r="AA1883" s="244"/>
      <c r="AB1883" s="244"/>
      <c r="AC1883" s="244"/>
      <c r="AD1883" s="244"/>
      <c r="AE1883" s="234"/>
      <c r="AF1883" s="234"/>
      <c r="AG1883" s="238"/>
      <c r="AH1883" s="239"/>
      <c r="AI1883" s="238"/>
      <c r="AJ1883" s="238"/>
      <c r="AK1883" s="234"/>
      <c r="AL1883" s="234"/>
      <c r="AM1883" s="234"/>
      <c r="AN1883" s="234"/>
      <c r="AO1883" s="234"/>
    </row>
    <row r="1884" ht="15.75" customHeight="1">
      <c r="A1884" s="91"/>
      <c r="B1884" s="91"/>
      <c r="C1884" s="220"/>
      <c r="D1884" s="91"/>
      <c r="E1884" s="221"/>
      <c r="F1884" s="91"/>
      <c r="G1884" s="91"/>
      <c r="H1884" s="242"/>
      <c r="I1884" s="91"/>
      <c r="J1884" s="234"/>
      <c r="K1884" s="243"/>
      <c r="L1884" s="243"/>
      <c r="M1884" s="234"/>
      <c r="N1884" s="235"/>
      <c r="O1884" s="236"/>
      <c r="P1884" s="236"/>
      <c r="Q1884" s="236"/>
      <c r="R1884" s="236"/>
      <c r="S1884" s="236"/>
      <c r="T1884" s="236"/>
      <c r="U1884" s="236"/>
      <c r="V1884" s="236"/>
      <c r="W1884" s="236"/>
      <c r="X1884" s="244"/>
      <c r="Y1884" s="244"/>
      <c r="Z1884" s="237"/>
      <c r="AA1884" s="244"/>
      <c r="AB1884" s="244"/>
      <c r="AC1884" s="244"/>
      <c r="AD1884" s="244"/>
      <c r="AE1884" s="234"/>
      <c r="AF1884" s="234"/>
      <c r="AG1884" s="238"/>
      <c r="AH1884" s="239"/>
      <c r="AI1884" s="238"/>
      <c r="AJ1884" s="238"/>
      <c r="AK1884" s="234"/>
      <c r="AL1884" s="234"/>
      <c r="AM1884" s="234"/>
      <c r="AN1884" s="234"/>
      <c r="AO1884" s="234"/>
    </row>
    <row r="1885" ht="15.75" customHeight="1">
      <c r="A1885" s="91"/>
      <c r="B1885" s="91"/>
      <c r="C1885" s="220"/>
      <c r="D1885" s="91"/>
      <c r="E1885" s="221"/>
      <c r="F1885" s="91"/>
      <c r="G1885" s="91"/>
      <c r="H1885" s="242"/>
      <c r="I1885" s="91"/>
      <c r="J1885" s="234"/>
      <c r="K1885" s="243"/>
      <c r="L1885" s="243"/>
      <c r="M1885" s="234"/>
      <c r="N1885" s="235"/>
      <c r="O1885" s="236"/>
      <c r="P1885" s="236"/>
      <c r="Q1885" s="236"/>
      <c r="R1885" s="236"/>
      <c r="S1885" s="236"/>
      <c r="T1885" s="236"/>
      <c r="U1885" s="236"/>
      <c r="V1885" s="236"/>
      <c r="W1885" s="236"/>
      <c r="X1885" s="244"/>
      <c r="Y1885" s="244"/>
      <c r="Z1885" s="237"/>
      <c r="AA1885" s="244"/>
      <c r="AB1885" s="244"/>
      <c r="AC1885" s="244"/>
      <c r="AD1885" s="244"/>
      <c r="AE1885" s="234"/>
      <c r="AF1885" s="234"/>
      <c r="AG1885" s="238"/>
      <c r="AH1885" s="239"/>
      <c r="AI1885" s="238"/>
      <c r="AJ1885" s="238"/>
      <c r="AK1885" s="234"/>
      <c r="AL1885" s="234"/>
      <c r="AM1885" s="234"/>
      <c r="AN1885" s="234"/>
      <c r="AO1885" s="234"/>
    </row>
    <row r="1886" ht="15.75" customHeight="1">
      <c r="A1886" s="91"/>
      <c r="B1886" s="91"/>
      <c r="C1886" s="220"/>
      <c r="D1886" s="91"/>
      <c r="E1886" s="221"/>
      <c r="F1886" s="91"/>
      <c r="G1886" s="91"/>
      <c r="H1886" s="242"/>
      <c r="I1886" s="91"/>
      <c r="J1886" s="234"/>
      <c r="K1886" s="243"/>
      <c r="L1886" s="243"/>
      <c r="M1886" s="234"/>
      <c r="N1886" s="235"/>
      <c r="O1886" s="236"/>
      <c r="P1886" s="236"/>
      <c r="Q1886" s="236"/>
      <c r="R1886" s="236"/>
      <c r="S1886" s="236"/>
      <c r="T1886" s="236"/>
      <c r="U1886" s="236"/>
      <c r="V1886" s="236"/>
      <c r="W1886" s="236"/>
      <c r="X1886" s="244"/>
      <c r="Y1886" s="244"/>
      <c r="Z1886" s="237"/>
      <c r="AA1886" s="244"/>
      <c r="AB1886" s="244"/>
      <c r="AC1886" s="244"/>
      <c r="AD1886" s="244"/>
      <c r="AE1886" s="234"/>
      <c r="AF1886" s="234"/>
      <c r="AG1886" s="238"/>
      <c r="AH1886" s="239"/>
      <c r="AI1886" s="238"/>
      <c r="AJ1886" s="238"/>
      <c r="AK1886" s="234"/>
      <c r="AL1886" s="234"/>
      <c r="AM1886" s="234"/>
      <c r="AN1886" s="234"/>
      <c r="AO1886" s="234"/>
    </row>
    <row r="1887" ht="15.75" customHeight="1">
      <c r="A1887" s="91"/>
      <c r="B1887" s="91"/>
      <c r="C1887" s="220"/>
      <c r="D1887" s="91"/>
      <c r="E1887" s="221"/>
      <c r="F1887" s="91"/>
      <c r="G1887" s="91"/>
      <c r="H1887" s="242"/>
      <c r="I1887" s="91"/>
      <c r="J1887" s="234"/>
      <c r="K1887" s="243"/>
      <c r="L1887" s="243"/>
      <c r="M1887" s="234"/>
      <c r="N1887" s="235"/>
      <c r="O1887" s="236"/>
      <c r="P1887" s="236"/>
      <c r="Q1887" s="236"/>
      <c r="R1887" s="236"/>
      <c r="S1887" s="236"/>
      <c r="T1887" s="236"/>
      <c r="U1887" s="236"/>
      <c r="V1887" s="236"/>
      <c r="W1887" s="236"/>
      <c r="X1887" s="244"/>
      <c r="Y1887" s="244"/>
      <c r="Z1887" s="237"/>
      <c r="AA1887" s="244"/>
      <c r="AB1887" s="244"/>
      <c r="AC1887" s="244"/>
      <c r="AD1887" s="244"/>
      <c r="AE1887" s="234"/>
      <c r="AF1887" s="234"/>
      <c r="AG1887" s="238"/>
      <c r="AH1887" s="239"/>
      <c r="AI1887" s="238"/>
      <c r="AJ1887" s="238"/>
      <c r="AK1887" s="234"/>
      <c r="AL1887" s="234"/>
      <c r="AM1887" s="234"/>
      <c r="AN1887" s="234"/>
      <c r="AO1887" s="234"/>
    </row>
    <row r="1888" ht="15.75" customHeight="1">
      <c r="A1888" s="91"/>
      <c r="B1888" s="91"/>
      <c r="C1888" s="220"/>
      <c r="D1888" s="91"/>
      <c r="E1888" s="221"/>
      <c r="F1888" s="91"/>
      <c r="G1888" s="91"/>
      <c r="H1888" s="242"/>
      <c r="I1888" s="91"/>
      <c r="J1888" s="234"/>
      <c r="K1888" s="243"/>
      <c r="L1888" s="243"/>
      <c r="M1888" s="234"/>
      <c r="N1888" s="235"/>
      <c r="O1888" s="236"/>
      <c r="P1888" s="236"/>
      <c r="Q1888" s="236"/>
      <c r="R1888" s="236"/>
      <c r="S1888" s="236"/>
      <c r="T1888" s="236"/>
      <c r="U1888" s="236"/>
      <c r="V1888" s="236"/>
      <c r="W1888" s="236"/>
      <c r="X1888" s="244"/>
      <c r="Y1888" s="244"/>
      <c r="Z1888" s="237"/>
      <c r="AA1888" s="244"/>
      <c r="AB1888" s="244"/>
      <c r="AC1888" s="244"/>
      <c r="AD1888" s="244"/>
      <c r="AE1888" s="234"/>
      <c r="AF1888" s="234"/>
      <c r="AG1888" s="238"/>
      <c r="AH1888" s="239"/>
      <c r="AI1888" s="238"/>
      <c r="AJ1888" s="238"/>
      <c r="AK1888" s="234"/>
      <c r="AL1888" s="234"/>
      <c r="AM1888" s="234"/>
      <c r="AN1888" s="234"/>
      <c r="AO1888" s="234"/>
    </row>
    <row r="1889" ht="15.75" customHeight="1">
      <c r="A1889" s="91"/>
      <c r="B1889" s="91"/>
      <c r="C1889" s="220"/>
      <c r="D1889" s="91"/>
      <c r="E1889" s="221"/>
      <c r="F1889" s="91"/>
      <c r="G1889" s="91"/>
      <c r="H1889" s="242"/>
      <c r="I1889" s="91"/>
      <c r="J1889" s="234"/>
      <c r="K1889" s="243"/>
      <c r="L1889" s="243"/>
      <c r="M1889" s="234"/>
      <c r="N1889" s="235"/>
      <c r="O1889" s="236"/>
      <c r="P1889" s="236"/>
      <c r="Q1889" s="236"/>
      <c r="R1889" s="236"/>
      <c r="S1889" s="236"/>
      <c r="T1889" s="236"/>
      <c r="U1889" s="236"/>
      <c r="V1889" s="236"/>
      <c r="W1889" s="236"/>
      <c r="X1889" s="244"/>
      <c r="Y1889" s="244"/>
      <c r="Z1889" s="237"/>
      <c r="AA1889" s="244"/>
      <c r="AB1889" s="244"/>
      <c r="AC1889" s="244"/>
      <c r="AD1889" s="244"/>
      <c r="AE1889" s="234"/>
      <c r="AF1889" s="234"/>
      <c r="AG1889" s="238"/>
      <c r="AH1889" s="239"/>
      <c r="AI1889" s="238"/>
      <c r="AJ1889" s="238"/>
      <c r="AK1889" s="234"/>
      <c r="AL1889" s="234"/>
      <c r="AM1889" s="234"/>
      <c r="AN1889" s="234"/>
      <c r="AO1889" s="234"/>
    </row>
    <row r="1890" ht="15.75" customHeight="1">
      <c r="A1890" s="91"/>
      <c r="B1890" s="91"/>
      <c r="C1890" s="220"/>
      <c r="D1890" s="91"/>
      <c r="E1890" s="221"/>
      <c r="F1890" s="91"/>
      <c r="G1890" s="91"/>
      <c r="H1890" s="242"/>
      <c r="I1890" s="91"/>
      <c r="J1890" s="234"/>
      <c r="K1890" s="243"/>
      <c r="L1890" s="243"/>
      <c r="M1890" s="234"/>
      <c r="N1890" s="235"/>
      <c r="O1890" s="236"/>
      <c r="P1890" s="236"/>
      <c r="Q1890" s="236"/>
      <c r="R1890" s="236"/>
      <c r="S1890" s="236"/>
      <c r="T1890" s="236"/>
      <c r="U1890" s="236"/>
      <c r="V1890" s="236"/>
      <c r="W1890" s="236"/>
      <c r="X1890" s="244"/>
      <c r="Y1890" s="244"/>
      <c r="Z1890" s="237"/>
      <c r="AA1890" s="244"/>
      <c r="AB1890" s="244"/>
      <c r="AC1890" s="244"/>
      <c r="AD1890" s="244"/>
      <c r="AE1890" s="234"/>
      <c r="AF1890" s="234"/>
      <c r="AG1890" s="238"/>
      <c r="AH1890" s="239"/>
      <c r="AI1890" s="238"/>
      <c r="AJ1890" s="238"/>
      <c r="AK1890" s="234"/>
      <c r="AL1890" s="234"/>
      <c r="AM1890" s="234"/>
      <c r="AN1890" s="234"/>
      <c r="AO1890" s="234"/>
    </row>
    <row r="1891" ht="15.75" customHeight="1">
      <c r="A1891" s="91"/>
      <c r="B1891" s="91"/>
      <c r="C1891" s="220"/>
      <c r="D1891" s="91"/>
      <c r="E1891" s="221"/>
      <c r="F1891" s="91"/>
      <c r="G1891" s="91"/>
      <c r="H1891" s="242"/>
      <c r="I1891" s="91"/>
      <c r="J1891" s="234"/>
      <c r="K1891" s="243"/>
      <c r="L1891" s="243"/>
      <c r="M1891" s="234"/>
      <c r="N1891" s="235"/>
      <c r="O1891" s="236"/>
      <c r="P1891" s="236"/>
      <c r="Q1891" s="236"/>
      <c r="R1891" s="236"/>
      <c r="S1891" s="236"/>
      <c r="T1891" s="236"/>
      <c r="U1891" s="236"/>
      <c r="V1891" s="236"/>
      <c r="W1891" s="236"/>
      <c r="X1891" s="244"/>
      <c r="Y1891" s="244"/>
      <c r="Z1891" s="237"/>
      <c r="AA1891" s="244"/>
      <c r="AB1891" s="244"/>
      <c r="AC1891" s="244"/>
      <c r="AD1891" s="244"/>
      <c r="AE1891" s="234"/>
      <c r="AF1891" s="234"/>
      <c r="AG1891" s="238"/>
      <c r="AH1891" s="239"/>
      <c r="AI1891" s="238"/>
      <c r="AJ1891" s="238"/>
      <c r="AK1891" s="234"/>
      <c r="AL1891" s="234"/>
      <c r="AM1891" s="234"/>
      <c r="AN1891" s="234"/>
      <c r="AO1891" s="234"/>
    </row>
    <row r="1892" ht="15.75" customHeight="1">
      <c r="A1892" s="91"/>
      <c r="B1892" s="91"/>
      <c r="C1892" s="220"/>
      <c r="D1892" s="91"/>
      <c r="E1892" s="221"/>
      <c r="F1892" s="91"/>
      <c r="G1892" s="91"/>
      <c r="H1892" s="242"/>
      <c r="I1892" s="91"/>
      <c r="J1892" s="234"/>
      <c r="K1892" s="243"/>
      <c r="L1892" s="243"/>
      <c r="M1892" s="234"/>
      <c r="N1892" s="235"/>
      <c r="O1892" s="236"/>
      <c r="P1892" s="236"/>
      <c r="Q1892" s="236"/>
      <c r="R1892" s="236"/>
      <c r="S1892" s="236"/>
      <c r="T1892" s="236"/>
      <c r="U1892" s="236"/>
      <c r="V1892" s="236"/>
      <c r="W1892" s="236"/>
      <c r="X1892" s="244"/>
      <c r="Y1892" s="244"/>
      <c r="Z1892" s="237"/>
      <c r="AA1892" s="244"/>
      <c r="AB1892" s="244"/>
      <c r="AC1892" s="244"/>
      <c r="AD1892" s="244"/>
      <c r="AE1892" s="234"/>
      <c r="AF1892" s="234"/>
      <c r="AG1892" s="238"/>
      <c r="AH1892" s="239"/>
      <c r="AI1892" s="238"/>
      <c r="AJ1892" s="238"/>
      <c r="AK1892" s="234"/>
      <c r="AL1892" s="234"/>
      <c r="AM1892" s="234"/>
      <c r="AN1892" s="234"/>
      <c r="AO1892" s="234"/>
    </row>
    <row r="1893" ht="15.75" customHeight="1">
      <c r="A1893" s="91"/>
      <c r="B1893" s="91"/>
      <c r="C1893" s="220"/>
      <c r="D1893" s="91"/>
      <c r="E1893" s="221"/>
      <c r="F1893" s="91"/>
      <c r="G1893" s="91"/>
      <c r="H1893" s="242"/>
      <c r="I1893" s="91"/>
      <c r="J1893" s="234"/>
      <c r="K1893" s="243"/>
      <c r="L1893" s="243"/>
      <c r="M1893" s="234"/>
      <c r="N1893" s="235"/>
      <c r="O1893" s="236"/>
      <c r="P1893" s="236"/>
      <c r="Q1893" s="236"/>
      <c r="R1893" s="236"/>
      <c r="S1893" s="236"/>
      <c r="T1893" s="236"/>
      <c r="U1893" s="236"/>
      <c r="V1893" s="236"/>
      <c r="W1893" s="236"/>
      <c r="X1893" s="244"/>
      <c r="Y1893" s="244"/>
      <c r="Z1893" s="237"/>
      <c r="AA1893" s="244"/>
      <c r="AB1893" s="244"/>
      <c r="AC1893" s="244"/>
      <c r="AD1893" s="244"/>
      <c r="AE1893" s="234"/>
      <c r="AF1893" s="234"/>
      <c r="AG1893" s="238"/>
      <c r="AH1893" s="239"/>
      <c r="AI1893" s="238"/>
      <c r="AJ1893" s="238"/>
      <c r="AK1893" s="234"/>
      <c r="AL1893" s="234"/>
      <c r="AM1893" s="234"/>
      <c r="AN1893" s="234"/>
      <c r="AO1893" s="234"/>
    </row>
    <row r="1894" ht="15.75" customHeight="1">
      <c r="A1894" s="91"/>
      <c r="B1894" s="91"/>
      <c r="C1894" s="220"/>
      <c r="D1894" s="91"/>
      <c r="E1894" s="221"/>
      <c r="F1894" s="91"/>
      <c r="G1894" s="91"/>
      <c r="H1894" s="242"/>
      <c r="I1894" s="91"/>
      <c r="J1894" s="234"/>
      <c r="K1894" s="243"/>
      <c r="L1894" s="243"/>
      <c r="M1894" s="234"/>
      <c r="N1894" s="235"/>
      <c r="O1894" s="236"/>
      <c r="P1894" s="236"/>
      <c r="Q1894" s="236"/>
      <c r="R1894" s="236"/>
      <c r="S1894" s="236"/>
      <c r="T1894" s="236"/>
      <c r="U1894" s="236"/>
      <c r="V1894" s="236"/>
      <c r="W1894" s="236"/>
      <c r="X1894" s="244"/>
      <c r="Y1894" s="244"/>
      <c r="Z1894" s="237"/>
      <c r="AA1894" s="244"/>
      <c r="AB1894" s="244"/>
      <c r="AC1894" s="244"/>
      <c r="AD1894" s="244"/>
      <c r="AE1894" s="234"/>
      <c r="AF1894" s="234"/>
      <c r="AG1894" s="238"/>
      <c r="AH1894" s="239"/>
      <c r="AI1894" s="238"/>
      <c r="AJ1894" s="238"/>
      <c r="AK1894" s="234"/>
      <c r="AL1894" s="234"/>
      <c r="AM1894" s="234"/>
      <c r="AN1894" s="234"/>
      <c r="AO1894" s="234"/>
    </row>
    <row r="1895" ht="15.75" customHeight="1">
      <c r="A1895" s="91"/>
      <c r="B1895" s="91"/>
      <c r="C1895" s="220"/>
      <c r="D1895" s="91"/>
      <c r="E1895" s="221"/>
      <c r="F1895" s="91"/>
      <c r="G1895" s="91"/>
      <c r="H1895" s="242"/>
      <c r="I1895" s="91"/>
      <c r="J1895" s="234"/>
      <c r="K1895" s="243"/>
      <c r="L1895" s="243"/>
      <c r="M1895" s="234"/>
      <c r="N1895" s="235"/>
      <c r="O1895" s="236"/>
      <c r="P1895" s="236"/>
      <c r="Q1895" s="236"/>
      <c r="R1895" s="236"/>
      <c r="S1895" s="236"/>
      <c r="T1895" s="236"/>
      <c r="U1895" s="236"/>
      <c r="V1895" s="236"/>
      <c r="W1895" s="236"/>
      <c r="X1895" s="244"/>
      <c r="Y1895" s="244"/>
      <c r="Z1895" s="237"/>
      <c r="AA1895" s="244"/>
      <c r="AB1895" s="244"/>
      <c r="AC1895" s="244"/>
      <c r="AD1895" s="244"/>
      <c r="AE1895" s="234"/>
      <c r="AF1895" s="234"/>
      <c r="AG1895" s="238"/>
      <c r="AH1895" s="239"/>
      <c r="AI1895" s="238"/>
      <c r="AJ1895" s="238"/>
      <c r="AK1895" s="234"/>
      <c r="AL1895" s="234"/>
      <c r="AM1895" s="234"/>
      <c r="AN1895" s="234"/>
      <c r="AO1895" s="234"/>
    </row>
    <row r="1896" ht="15.75" customHeight="1">
      <c r="A1896" s="91"/>
      <c r="B1896" s="91"/>
      <c r="C1896" s="220"/>
      <c r="D1896" s="91"/>
      <c r="E1896" s="221"/>
      <c r="F1896" s="91"/>
      <c r="G1896" s="91"/>
      <c r="H1896" s="242"/>
      <c r="I1896" s="91"/>
      <c r="J1896" s="234"/>
      <c r="K1896" s="243"/>
      <c r="L1896" s="243"/>
      <c r="M1896" s="234"/>
      <c r="N1896" s="235"/>
      <c r="O1896" s="236"/>
      <c r="P1896" s="236"/>
      <c r="Q1896" s="236"/>
      <c r="R1896" s="236"/>
      <c r="S1896" s="236"/>
      <c r="T1896" s="236"/>
      <c r="U1896" s="236"/>
      <c r="V1896" s="236"/>
      <c r="W1896" s="236"/>
      <c r="X1896" s="244"/>
      <c r="Y1896" s="244"/>
      <c r="Z1896" s="237"/>
      <c r="AA1896" s="244"/>
      <c r="AB1896" s="244"/>
      <c r="AC1896" s="244"/>
      <c r="AD1896" s="244"/>
      <c r="AE1896" s="234"/>
      <c r="AF1896" s="234"/>
      <c r="AG1896" s="238"/>
      <c r="AH1896" s="239"/>
      <c r="AI1896" s="238"/>
      <c r="AJ1896" s="238"/>
      <c r="AK1896" s="234"/>
      <c r="AL1896" s="234"/>
      <c r="AM1896" s="234"/>
      <c r="AN1896" s="234"/>
      <c r="AO1896" s="234"/>
    </row>
    <row r="1897" ht="15.75" customHeight="1">
      <c r="A1897" s="91"/>
      <c r="B1897" s="91"/>
      <c r="C1897" s="220"/>
      <c r="D1897" s="91"/>
      <c r="E1897" s="221"/>
      <c r="F1897" s="91"/>
      <c r="G1897" s="91"/>
      <c r="H1897" s="242"/>
      <c r="I1897" s="91"/>
      <c r="J1897" s="234"/>
      <c r="K1897" s="243"/>
      <c r="L1897" s="243"/>
      <c r="M1897" s="234"/>
      <c r="N1897" s="235"/>
      <c r="O1897" s="236"/>
      <c r="P1897" s="236"/>
      <c r="Q1897" s="236"/>
      <c r="R1897" s="236"/>
      <c r="S1897" s="236"/>
      <c r="T1897" s="236"/>
      <c r="U1897" s="236"/>
      <c r="V1897" s="236"/>
      <c r="W1897" s="236"/>
      <c r="X1897" s="244"/>
      <c r="Y1897" s="244"/>
      <c r="Z1897" s="237"/>
      <c r="AA1897" s="244"/>
      <c r="AB1897" s="244"/>
      <c r="AC1897" s="244"/>
      <c r="AD1897" s="244"/>
      <c r="AE1897" s="234"/>
      <c r="AF1897" s="234"/>
      <c r="AG1897" s="238"/>
      <c r="AH1897" s="239"/>
      <c r="AI1897" s="238"/>
      <c r="AJ1897" s="238"/>
      <c r="AK1897" s="234"/>
      <c r="AL1897" s="234"/>
      <c r="AM1897" s="234"/>
      <c r="AN1897" s="234"/>
      <c r="AO1897" s="234"/>
    </row>
    <row r="1898" ht="15.75" customHeight="1">
      <c r="A1898" s="91"/>
      <c r="B1898" s="91"/>
      <c r="C1898" s="220"/>
      <c r="D1898" s="91"/>
      <c r="E1898" s="221"/>
      <c r="F1898" s="91"/>
      <c r="G1898" s="91"/>
      <c r="H1898" s="242"/>
      <c r="I1898" s="91"/>
      <c r="J1898" s="234"/>
      <c r="K1898" s="243"/>
      <c r="L1898" s="243"/>
      <c r="M1898" s="234"/>
      <c r="N1898" s="235"/>
      <c r="O1898" s="236"/>
      <c r="P1898" s="236"/>
      <c r="Q1898" s="236"/>
      <c r="R1898" s="236"/>
      <c r="S1898" s="236"/>
      <c r="T1898" s="236"/>
      <c r="U1898" s="236"/>
      <c r="V1898" s="236"/>
      <c r="W1898" s="236"/>
      <c r="X1898" s="244"/>
      <c r="Y1898" s="244"/>
      <c r="Z1898" s="237"/>
      <c r="AA1898" s="244"/>
      <c r="AB1898" s="244"/>
      <c r="AC1898" s="244"/>
      <c r="AD1898" s="244"/>
      <c r="AE1898" s="234"/>
      <c r="AF1898" s="234"/>
      <c r="AG1898" s="238"/>
      <c r="AH1898" s="239"/>
      <c r="AI1898" s="238"/>
      <c r="AJ1898" s="238"/>
      <c r="AK1898" s="234"/>
      <c r="AL1898" s="234"/>
      <c r="AM1898" s="234"/>
      <c r="AN1898" s="234"/>
      <c r="AO1898" s="234"/>
    </row>
    <row r="1899" ht="15.75" customHeight="1">
      <c r="A1899" s="91"/>
      <c r="B1899" s="91"/>
      <c r="C1899" s="220"/>
      <c r="D1899" s="91"/>
      <c r="E1899" s="221"/>
      <c r="F1899" s="91"/>
      <c r="G1899" s="91"/>
      <c r="H1899" s="242"/>
      <c r="I1899" s="91"/>
      <c r="J1899" s="234"/>
      <c r="K1899" s="243"/>
      <c r="L1899" s="243"/>
      <c r="M1899" s="234"/>
      <c r="N1899" s="235"/>
      <c r="O1899" s="236"/>
      <c r="P1899" s="236"/>
      <c r="Q1899" s="236"/>
      <c r="R1899" s="236"/>
      <c r="S1899" s="236"/>
      <c r="T1899" s="236"/>
      <c r="U1899" s="236"/>
      <c r="V1899" s="236"/>
      <c r="W1899" s="236"/>
      <c r="X1899" s="244"/>
      <c r="Y1899" s="244"/>
      <c r="Z1899" s="237"/>
      <c r="AA1899" s="244"/>
      <c r="AB1899" s="244"/>
      <c r="AC1899" s="244"/>
      <c r="AD1899" s="244"/>
      <c r="AE1899" s="234"/>
      <c r="AF1899" s="234"/>
      <c r="AG1899" s="238"/>
      <c r="AH1899" s="239"/>
      <c r="AI1899" s="238"/>
      <c r="AJ1899" s="238"/>
      <c r="AK1899" s="234"/>
      <c r="AL1899" s="234"/>
      <c r="AM1899" s="234"/>
      <c r="AN1899" s="234"/>
      <c r="AO1899" s="234"/>
    </row>
    <row r="1900" ht="15.75" customHeight="1">
      <c r="A1900" s="91"/>
      <c r="B1900" s="91"/>
      <c r="C1900" s="220"/>
      <c r="D1900" s="91"/>
      <c r="E1900" s="221"/>
      <c r="F1900" s="91"/>
      <c r="G1900" s="91"/>
      <c r="H1900" s="242"/>
      <c r="I1900" s="91"/>
      <c r="J1900" s="234"/>
      <c r="K1900" s="243"/>
      <c r="L1900" s="243"/>
      <c r="M1900" s="234"/>
      <c r="N1900" s="235"/>
      <c r="O1900" s="236"/>
      <c r="P1900" s="236"/>
      <c r="Q1900" s="236"/>
      <c r="R1900" s="236"/>
      <c r="S1900" s="236"/>
      <c r="T1900" s="236"/>
      <c r="U1900" s="236"/>
      <c r="V1900" s="236"/>
      <c r="W1900" s="236"/>
      <c r="X1900" s="244"/>
      <c r="Y1900" s="244"/>
      <c r="Z1900" s="237"/>
      <c r="AA1900" s="244"/>
      <c r="AB1900" s="244"/>
      <c r="AC1900" s="244"/>
      <c r="AD1900" s="244"/>
      <c r="AE1900" s="234"/>
      <c r="AF1900" s="234"/>
      <c r="AG1900" s="238"/>
      <c r="AH1900" s="239"/>
      <c r="AI1900" s="238"/>
      <c r="AJ1900" s="238"/>
      <c r="AK1900" s="234"/>
      <c r="AL1900" s="234"/>
      <c r="AM1900" s="234"/>
      <c r="AN1900" s="234"/>
      <c r="AO1900" s="234"/>
    </row>
    <row r="1901" ht="15.75" customHeight="1">
      <c r="A1901" s="91"/>
      <c r="B1901" s="91"/>
      <c r="C1901" s="220"/>
      <c r="D1901" s="91"/>
      <c r="E1901" s="221"/>
      <c r="F1901" s="91"/>
      <c r="G1901" s="91"/>
      <c r="H1901" s="242"/>
      <c r="I1901" s="91"/>
      <c r="J1901" s="234"/>
      <c r="K1901" s="243"/>
      <c r="L1901" s="243"/>
      <c r="M1901" s="234"/>
      <c r="N1901" s="235"/>
      <c r="O1901" s="236"/>
      <c r="P1901" s="236"/>
      <c r="Q1901" s="236"/>
      <c r="R1901" s="236"/>
      <c r="S1901" s="236"/>
      <c r="T1901" s="236"/>
      <c r="U1901" s="236"/>
      <c r="V1901" s="236"/>
      <c r="W1901" s="236"/>
      <c r="X1901" s="244"/>
      <c r="Y1901" s="244"/>
      <c r="Z1901" s="237"/>
      <c r="AA1901" s="244"/>
      <c r="AB1901" s="244"/>
      <c r="AC1901" s="244"/>
      <c r="AD1901" s="244"/>
      <c r="AE1901" s="234"/>
      <c r="AF1901" s="234"/>
      <c r="AG1901" s="238"/>
      <c r="AH1901" s="239"/>
      <c r="AI1901" s="238"/>
      <c r="AJ1901" s="238"/>
      <c r="AK1901" s="234"/>
      <c r="AL1901" s="234"/>
      <c r="AM1901" s="234"/>
      <c r="AN1901" s="234"/>
      <c r="AO1901" s="234"/>
    </row>
    <row r="1902" ht="15.75" customHeight="1">
      <c r="A1902" s="91"/>
      <c r="B1902" s="91"/>
      <c r="C1902" s="220"/>
      <c r="D1902" s="91"/>
      <c r="E1902" s="221"/>
      <c r="F1902" s="91"/>
      <c r="G1902" s="91"/>
      <c r="H1902" s="242"/>
      <c r="I1902" s="91"/>
      <c r="J1902" s="234"/>
      <c r="K1902" s="243"/>
      <c r="L1902" s="243"/>
      <c r="M1902" s="234"/>
      <c r="N1902" s="235"/>
      <c r="O1902" s="236"/>
      <c r="P1902" s="236"/>
      <c r="Q1902" s="236"/>
      <c r="R1902" s="236"/>
      <c r="S1902" s="236"/>
      <c r="T1902" s="236"/>
      <c r="U1902" s="236"/>
      <c r="V1902" s="236"/>
      <c r="W1902" s="236"/>
      <c r="X1902" s="244"/>
      <c r="Y1902" s="244"/>
      <c r="Z1902" s="237"/>
      <c r="AA1902" s="244"/>
      <c r="AB1902" s="244"/>
      <c r="AC1902" s="244"/>
      <c r="AD1902" s="244"/>
      <c r="AE1902" s="234"/>
      <c r="AF1902" s="234"/>
      <c r="AG1902" s="238"/>
      <c r="AH1902" s="239"/>
      <c r="AI1902" s="238"/>
      <c r="AJ1902" s="238"/>
      <c r="AK1902" s="234"/>
      <c r="AL1902" s="234"/>
      <c r="AM1902" s="234"/>
      <c r="AN1902" s="234"/>
      <c r="AO1902" s="234"/>
    </row>
    <row r="1903" ht="15.75" customHeight="1">
      <c r="A1903" s="91"/>
      <c r="B1903" s="91"/>
      <c r="C1903" s="220"/>
      <c r="D1903" s="91"/>
      <c r="E1903" s="221"/>
      <c r="F1903" s="91"/>
      <c r="G1903" s="91"/>
      <c r="H1903" s="242"/>
      <c r="I1903" s="91"/>
      <c r="J1903" s="234"/>
      <c r="K1903" s="243"/>
      <c r="L1903" s="243"/>
      <c r="M1903" s="234"/>
      <c r="N1903" s="235"/>
      <c r="O1903" s="236"/>
      <c r="P1903" s="236"/>
      <c r="Q1903" s="236"/>
      <c r="R1903" s="236"/>
      <c r="S1903" s="236"/>
      <c r="T1903" s="236"/>
      <c r="U1903" s="236"/>
      <c r="V1903" s="236"/>
      <c r="W1903" s="236"/>
      <c r="X1903" s="244"/>
      <c r="Y1903" s="244"/>
      <c r="Z1903" s="237"/>
      <c r="AA1903" s="244"/>
      <c r="AB1903" s="244"/>
      <c r="AC1903" s="244"/>
      <c r="AD1903" s="244"/>
      <c r="AE1903" s="234"/>
      <c r="AF1903" s="234"/>
      <c r="AG1903" s="238"/>
      <c r="AH1903" s="239"/>
      <c r="AI1903" s="238"/>
      <c r="AJ1903" s="238"/>
      <c r="AK1903" s="234"/>
      <c r="AL1903" s="234"/>
      <c r="AM1903" s="234"/>
      <c r="AN1903" s="234"/>
      <c r="AO1903" s="234"/>
    </row>
    <row r="1904" ht="15.75" customHeight="1">
      <c r="A1904" s="91"/>
      <c r="B1904" s="91"/>
      <c r="C1904" s="220"/>
      <c r="D1904" s="91"/>
      <c r="E1904" s="221"/>
      <c r="F1904" s="91"/>
      <c r="G1904" s="91"/>
      <c r="H1904" s="242"/>
      <c r="I1904" s="91"/>
      <c r="J1904" s="234"/>
      <c r="K1904" s="243"/>
      <c r="L1904" s="243"/>
      <c r="M1904" s="234"/>
      <c r="N1904" s="235"/>
      <c r="O1904" s="236"/>
      <c r="P1904" s="236"/>
      <c r="Q1904" s="236"/>
      <c r="R1904" s="236"/>
      <c r="S1904" s="236"/>
      <c r="T1904" s="236"/>
      <c r="U1904" s="236"/>
      <c r="V1904" s="236"/>
      <c r="W1904" s="236"/>
      <c r="X1904" s="244"/>
      <c r="Y1904" s="244"/>
      <c r="Z1904" s="237"/>
      <c r="AA1904" s="244"/>
      <c r="AB1904" s="244"/>
      <c r="AC1904" s="244"/>
      <c r="AD1904" s="244"/>
      <c r="AE1904" s="234"/>
      <c r="AF1904" s="234"/>
      <c r="AG1904" s="238"/>
      <c r="AH1904" s="239"/>
      <c r="AI1904" s="238"/>
      <c r="AJ1904" s="238"/>
      <c r="AK1904" s="234"/>
      <c r="AL1904" s="234"/>
      <c r="AM1904" s="234"/>
      <c r="AN1904" s="234"/>
      <c r="AO1904" s="234"/>
    </row>
    <row r="1905" ht="15.75" customHeight="1">
      <c r="A1905" s="91"/>
      <c r="B1905" s="91"/>
      <c r="C1905" s="220"/>
      <c r="D1905" s="91"/>
      <c r="E1905" s="221"/>
      <c r="F1905" s="91"/>
      <c r="G1905" s="91"/>
      <c r="H1905" s="242"/>
      <c r="I1905" s="91"/>
      <c r="J1905" s="234"/>
      <c r="K1905" s="243"/>
      <c r="L1905" s="243"/>
      <c r="M1905" s="234"/>
      <c r="N1905" s="235"/>
      <c r="O1905" s="236"/>
      <c r="P1905" s="236"/>
      <c r="Q1905" s="236"/>
      <c r="R1905" s="236"/>
      <c r="S1905" s="236"/>
      <c r="T1905" s="236"/>
      <c r="U1905" s="236"/>
      <c r="V1905" s="236"/>
      <c r="W1905" s="236"/>
      <c r="X1905" s="244"/>
      <c r="Y1905" s="244"/>
      <c r="Z1905" s="237"/>
      <c r="AA1905" s="244"/>
      <c r="AB1905" s="244"/>
      <c r="AC1905" s="244"/>
      <c r="AD1905" s="244"/>
      <c r="AE1905" s="234"/>
      <c r="AF1905" s="234"/>
      <c r="AG1905" s="238"/>
      <c r="AH1905" s="239"/>
      <c r="AI1905" s="238"/>
      <c r="AJ1905" s="238"/>
      <c r="AK1905" s="234"/>
      <c r="AL1905" s="234"/>
      <c r="AM1905" s="234"/>
      <c r="AN1905" s="234"/>
      <c r="AO1905" s="234"/>
    </row>
    <row r="1906" ht="15.75" customHeight="1">
      <c r="A1906" s="91"/>
      <c r="B1906" s="91"/>
      <c r="C1906" s="220"/>
      <c r="D1906" s="91"/>
      <c r="E1906" s="221"/>
      <c r="F1906" s="91"/>
      <c r="G1906" s="91"/>
      <c r="H1906" s="242"/>
      <c r="I1906" s="91"/>
      <c r="J1906" s="234"/>
      <c r="K1906" s="243"/>
      <c r="L1906" s="243"/>
      <c r="M1906" s="234"/>
      <c r="N1906" s="235"/>
      <c r="O1906" s="236"/>
      <c r="P1906" s="236"/>
      <c r="Q1906" s="236"/>
      <c r="R1906" s="236"/>
      <c r="S1906" s="236"/>
      <c r="T1906" s="236"/>
      <c r="U1906" s="236"/>
      <c r="V1906" s="236"/>
      <c r="W1906" s="236"/>
      <c r="X1906" s="244"/>
      <c r="Y1906" s="244"/>
      <c r="Z1906" s="237"/>
      <c r="AA1906" s="244"/>
      <c r="AB1906" s="244"/>
      <c r="AC1906" s="244"/>
      <c r="AD1906" s="244"/>
      <c r="AE1906" s="234"/>
      <c r="AF1906" s="234"/>
      <c r="AG1906" s="238"/>
      <c r="AH1906" s="239"/>
      <c r="AI1906" s="238"/>
      <c r="AJ1906" s="238"/>
      <c r="AK1906" s="234"/>
      <c r="AL1906" s="234"/>
      <c r="AM1906" s="234"/>
      <c r="AN1906" s="234"/>
      <c r="AO1906" s="234"/>
    </row>
    <row r="1907" ht="15.75" customHeight="1">
      <c r="A1907" s="91"/>
      <c r="B1907" s="91"/>
      <c r="C1907" s="220"/>
      <c r="D1907" s="91"/>
      <c r="E1907" s="221"/>
      <c r="F1907" s="91"/>
      <c r="G1907" s="91"/>
      <c r="H1907" s="242"/>
      <c r="I1907" s="91"/>
      <c r="J1907" s="234"/>
      <c r="K1907" s="243"/>
      <c r="L1907" s="243"/>
      <c r="M1907" s="234"/>
      <c r="N1907" s="235"/>
      <c r="O1907" s="236"/>
      <c r="P1907" s="236"/>
      <c r="Q1907" s="236"/>
      <c r="R1907" s="236"/>
      <c r="S1907" s="236"/>
      <c r="T1907" s="236"/>
      <c r="U1907" s="236"/>
      <c r="V1907" s="236"/>
      <c r="W1907" s="236"/>
      <c r="X1907" s="244"/>
      <c r="Y1907" s="244"/>
      <c r="Z1907" s="237"/>
      <c r="AA1907" s="244"/>
      <c r="AB1907" s="244"/>
      <c r="AC1907" s="244"/>
      <c r="AD1907" s="244"/>
      <c r="AE1907" s="234"/>
      <c r="AF1907" s="234"/>
      <c r="AG1907" s="238"/>
      <c r="AH1907" s="239"/>
      <c r="AI1907" s="238"/>
      <c r="AJ1907" s="238"/>
      <c r="AK1907" s="234"/>
      <c r="AL1907" s="234"/>
      <c r="AM1907" s="234"/>
      <c r="AN1907" s="234"/>
      <c r="AO1907" s="234"/>
    </row>
    <row r="1908" ht="15.75" customHeight="1">
      <c r="A1908" s="91"/>
      <c r="B1908" s="91"/>
      <c r="C1908" s="220"/>
      <c r="D1908" s="91"/>
      <c r="E1908" s="221"/>
      <c r="F1908" s="91"/>
      <c r="G1908" s="91"/>
      <c r="H1908" s="242"/>
      <c r="I1908" s="91"/>
      <c r="J1908" s="234"/>
      <c r="K1908" s="243"/>
      <c r="L1908" s="243"/>
      <c r="M1908" s="234"/>
      <c r="N1908" s="235"/>
      <c r="O1908" s="236"/>
      <c r="P1908" s="236"/>
      <c r="Q1908" s="236"/>
      <c r="R1908" s="236"/>
      <c r="S1908" s="236"/>
      <c r="T1908" s="236"/>
      <c r="U1908" s="236"/>
      <c r="V1908" s="236"/>
      <c r="W1908" s="236"/>
      <c r="X1908" s="244"/>
      <c r="Y1908" s="244"/>
      <c r="Z1908" s="237"/>
      <c r="AA1908" s="244"/>
      <c r="AB1908" s="244"/>
      <c r="AC1908" s="244"/>
      <c r="AD1908" s="244"/>
      <c r="AE1908" s="234"/>
      <c r="AF1908" s="234"/>
      <c r="AG1908" s="238"/>
      <c r="AH1908" s="239"/>
      <c r="AI1908" s="238"/>
      <c r="AJ1908" s="238"/>
      <c r="AK1908" s="234"/>
      <c r="AL1908" s="234"/>
      <c r="AM1908" s="234"/>
      <c r="AN1908" s="234"/>
      <c r="AO1908" s="234"/>
    </row>
    <row r="1909" ht="15.75" customHeight="1">
      <c r="A1909" s="91"/>
      <c r="B1909" s="91"/>
      <c r="C1909" s="220"/>
      <c r="D1909" s="91"/>
      <c r="E1909" s="221"/>
      <c r="F1909" s="91"/>
      <c r="G1909" s="91"/>
      <c r="H1909" s="242"/>
      <c r="I1909" s="91"/>
      <c r="J1909" s="234"/>
      <c r="K1909" s="243"/>
      <c r="L1909" s="243"/>
      <c r="M1909" s="234"/>
      <c r="N1909" s="235"/>
      <c r="O1909" s="236"/>
      <c r="P1909" s="236"/>
      <c r="Q1909" s="236"/>
      <c r="R1909" s="236"/>
      <c r="S1909" s="236"/>
      <c r="T1909" s="236"/>
      <c r="U1909" s="236"/>
      <c r="V1909" s="236"/>
      <c r="W1909" s="236"/>
      <c r="X1909" s="244"/>
      <c r="Y1909" s="244"/>
      <c r="Z1909" s="237"/>
      <c r="AA1909" s="244"/>
      <c r="AB1909" s="244"/>
      <c r="AC1909" s="244"/>
      <c r="AD1909" s="244"/>
      <c r="AE1909" s="234"/>
      <c r="AF1909" s="234"/>
      <c r="AG1909" s="238"/>
      <c r="AH1909" s="239"/>
      <c r="AI1909" s="238"/>
      <c r="AJ1909" s="238"/>
      <c r="AK1909" s="234"/>
      <c r="AL1909" s="234"/>
      <c r="AM1909" s="234"/>
      <c r="AN1909" s="234"/>
      <c r="AO1909" s="234"/>
    </row>
    <row r="1910" ht="15.75" customHeight="1">
      <c r="A1910" s="91"/>
      <c r="B1910" s="91"/>
      <c r="C1910" s="220"/>
      <c r="D1910" s="91"/>
      <c r="E1910" s="221"/>
      <c r="F1910" s="91"/>
      <c r="G1910" s="91"/>
      <c r="H1910" s="242"/>
      <c r="I1910" s="91"/>
      <c r="J1910" s="234"/>
      <c r="K1910" s="243"/>
      <c r="L1910" s="243"/>
      <c r="M1910" s="234"/>
      <c r="N1910" s="235"/>
      <c r="O1910" s="236"/>
      <c r="P1910" s="236"/>
      <c r="Q1910" s="236"/>
      <c r="R1910" s="236"/>
      <c r="S1910" s="236"/>
      <c r="T1910" s="236"/>
      <c r="U1910" s="236"/>
      <c r="V1910" s="236"/>
      <c r="W1910" s="236"/>
      <c r="X1910" s="244"/>
      <c r="Y1910" s="244"/>
      <c r="Z1910" s="237"/>
      <c r="AA1910" s="244"/>
      <c r="AB1910" s="244"/>
      <c r="AC1910" s="244"/>
      <c r="AD1910" s="244"/>
      <c r="AE1910" s="234"/>
      <c r="AF1910" s="234"/>
      <c r="AG1910" s="238"/>
      <c r="AH1910" s="239"/>
      <c r="AI1910" s="238"/>
      <c r="AJ1910" s="238"/>
      <c r="AK1910" s="234"/>
      <c r="AL1910" s="234"/>
      <c r="AM1910" s="234"/>
      <c r="AN1910" s="234"/>
      <c r="AO1910" s="234"/>
    </row>
    <row r="1911" ht="15.75" customHeight="1">
      <c r="A1911" s="91"/>
      <c r="B1911" s="91"/>
      <c r="C1911" s="220"/>
      <c r="D1911" s="91"/>
      <c r="E1911" s="221"/>
      <c r="F1911" s="91"/>
      <c r="G1911" s="91"/>
      <c r="H1911" s="242"/>
      <c r="I1911" s="91"/>
      <c r="J1911" s="234"/>
      <c r="K1911" s="243"/>
      <c r="L1911" s="243"/>
      <c r="M1911" s="234"/>
      <c r="N1911" s="235"/>
      <c r="O1911" s="236"/>
      <c r="P1911" s="236"/>
      <c r="Q1911" s="236"/>
      <c r="R1911" s="236"/>
      <c r="S1911" s="236"/>
      <c r="T1911" s="236"/>
      <c r="U1911" s="236"/>
      <c r="V1911" s="236"/>
      <c r="W1911" s="236"/>
      <c r="X1911" s="244"/>
      <c r="Y1911" s="244"/>
      <c r="Z1911" s="237"/>
      <c r="AA1911" s="244"/>
      <c r="AB1911" s="244"/>
      <c r="AC1911" s="244"/>
      <c r="AD1911" s="244"/>
      <c r="AE1911" s="234"/>
      <c r="AF1911" s="234"/>
      <c r="AG1911" s="238"/>
      <c r="AH1911" s="239"/>
      <c r="AI1911" s="238"/>
      <c r="AJ1911" s="238"/>
      <c r="AK1911" s="234"/>
      <c r="AL1911" s="234"/>
      <c r="AM1911" s="234"/>
      <c r="AN1911" s="234"/>
      <c r="AO1911" s="234"/>
    </row>
    <row r="1912" ht="15.75" customHeight="1">
      <c r="A1912" s="91"/>
      <c r="B1912" s="91"/>
      <c r="C1912" s="220"/>
      <c r="D1912" s="91"/>
      <c r="E1912" s="221"/>
      <c r="F1912" s="91"/>
      <c r="G1912" s="91"/>
      <c r="H1912" s="242"/>
      <c r="I1912" s="91"/>
      <c r="J1912" s="234"/>
      <c r="K1912" s="243"/>
      <c r="L1912" s="243"/>
      <c r="M1912" s="234"/>
      <c r="N1912" s="235"/>
      <c r="O1912" s="236"/>
      <c r="P1912" s="236"/>
      <c r="Q1912" s="236"/>
      <c r="R1912" s="236"/>
      <c r="S1912" s="236"/>
      <c r="T1912" s="236"/>
      <c r="U1912" s="236"/>
      <c r="V1912" s="236"/>
      <c r="W1912" s="236"/>
      <c r="X1912" s="244"/>
      <c r="Y1912" s="244"/>
      <c r="Z1912" s="237"/>
      <c r="AA1912" s="244"/>
      <c r="AB1912" s="244"/>
      <c r="AC1912" s="244"/>
      <c r="AD1912" s="244"/>
      <c r="AE1912" s="234"/>
      <c r="AF1912" s="234"/>
      <c r="AG1912" s="238"/>
      <c r="AH1912" s="239"/>
      <c r="AI1912" s="238"/>
      <c r="AJ1912" s="238"/>
      <c r="AK1912" s="234"/>
      <c r="AL1912" s="234"/>
      <c r="AM1912" s="234"/>
      <c r="AN1912" s="234"/>
      <c r="AO1912" s="234"/>
    </row>
    <row r="1913" ht="15.75" customHeight="1">
      <c r="A1913" s="91"/>
      <c r="B1913" s="91"/>
      <c r="C1913" s="220"/>
      <c r="D1913" s="91"/>
      <c r="E1913" s="221"/>
      <c r="F1913" s="91"/>
      <c r="G1913" s="91"/>
      <c r="H1913" s="242"/>
      <c r="I1913" s="91"/>
      <c r="J1913" s="234"/>
      <c r="K1913" s="243"/>
      <c r="L1913" s="243"/>
      <c r="M1913" s="234"/>
      <c r="N1913" s="235"/>
      <c r="O1913" s="236"/>
      <c r="P1913" s="236"/>
      <c r="Q1913" s="236"/>
      <c r="R1913" s="236"/>
      <c r="S1913" s="236"/>
      <c r="T1913" s="236"/>
      <c r="U1913" s="236"/>
      <c r="V1913" s="236"/>
      <c r="W1913" s="236"/>
      <c r="X1913" s="244"/>
      <c r="Y1913" s="244"/>
      <c r="Z1913" s="237"/>
      <c r="AA1913" s="244"/>
      <c r="AB1913" s="244"/>
      <c r="AC1913" s="244"/>
      <c r="AD1913" s="244"/>
      <c r="AE1913" s="234"/>
      <c r="AF1913" s="234"/>
      <c r="AG1913" s="238"/>
      <c r="AH1913" s="239"/>
      <c r="AI1913" s="238"/>
      <c r="AJ1913" s="238"/>
      <c r="AK1913" s="234"/>
      <c r="AL1913" s="234"/>
      <c r="AM1913" s="234"/>
      <c r="AN1913" s="234"/>
      <c r="AO1913" s="234"/>
    </row>
    <row r="1914" ht="15.75" customHeight="1">
      <c r="A1914" s="91"/>
      <c r="B1914" s="91"/>
      <c r="C1914" s="220"/>
      <c r="D1914" s="91"/>
      <c r="E1914" s="221"/>
      <c r="F1914" s="91"/>
      <c r="G1914" s="91"/>
      <c r="H1914" s="242"/>
      <c r="I1914" s="91"/>
      <c r="J1914" s="234"/>
      <c r="K1914" s="243"/>
      <c r="L1914" s="243"/>
      <c r="M1914" s="234"/>
      <c r="N1914" s="235"/>
      <c r="O1914" s="236"/>
      <c r="P1914" s="236"/>
      <c r="Q1914" s="236"/>
      <c r="R1914" s="236"/>
      <c r="S1914" s="236"/>
      <c r="T1914" s="236"/>
      <c r="U1914" s="236"/>
      <c r="V1914" s="236"/>
      <c r="W1914" s="236"/>
      <c r="X1914" s="244"/>
      <c r="Y1914" s="244"/>
      <c r="Z1914" s="237"/>
      <c r="AA1914" s="244"/>
      <c r="AB1914" s="244"/>
      <c r="AC1914" s="244"/>
      <c r="AD1914" s="244"/>
      <c r="AE1914" s="234"/>
      <c r="AF1914" s="234"/>
      <c r="AG1914" s="238"/>
      <c r="AH1914" s="239"/>
      <c r="AI1914" s="238"/>
      <c r="AJ1914" s="238"/>
      <c r="AK1914" s="234"/>
      <c r="AL1914" s="234"/>
      <c r="AM1914" s="234"/>
      <c r="AN1914" s="234"/>
      <c r="AO1914" s="234"/>
    </row>
    <row r="1915" ht="15.75" customHeight="1">
      <c r="A1915" s="91"/>
      <c r="B1915" s="91"/>
      <c r="C1915" s="220"/>
      <c r="D1915" s="91"/>
      <c r="E1915" s="221"/>
      <c r="F1915" s="91"/>
      <c r="G1915" s="91"/>
      <c r="H1915" s="242"/>
      <c r="I1915" s="91"/>
      <c r="J1915" s="234"/>
      <c r="K1915" s="243"/>
      <c r="L1915" s="243"/>
      <c r="M1915" s="234"/>
      <c r="N1915" s="235"/>
      <c r="O1915" s="236"/>
      <c r="P1915" s="236"/>
      <c r="Q1915" s="236"/>
      <c r="R1915" s="236"/>
      <c r="S1915" s="236"/>
      <c r="T1915" s="236"/>
      <c r="U1915" s="236"/>
      <c r="V1915" s="236"/>
      <c r="W1915" s="236"/>
      <c r="X1915" s="244"/>
      <c r="Y1915" s="244"/>
      <c r="Z1915" s="237"/>
      <c r="AA1915" s="244"/>
      <c r="AB1915" s="244"/>
      <c r="AC1915" s="244"/>
      <c r="AD1915" s="244"/>
      <c r="AE1915" s="234"/>
      <c r="AF1915" s="234"/>
      <c r="AG1915" s="238"/>
      <c r="AH1915" s="239"/>
      <c r="AI1915" s="238"/>
      <c r="AJ1915" s="238"/>
      <c r="AK1915" s="234"/>
      <c r="AL1915" s="234"/>
      <c r="AM1915" s="234"/>
      <c r="AN1915" s="234"/>
      <c r="AO1915" s="234"/>
    </row>
    <row r="1916" ht="15.75" customHeight="1">
      <c r="A1916" s="91"/>
      <c r="B1916" s="91"/>
      <c r="C1916" s="220"/>
      <c r="D1916" s="91"/>
      <c r="E1916" s="221"/>
      <c r="F1916" s="91"/>
      <c r="G1916" s="91"/>
      <c r="H1916" s="242"/>
      <c r="I1916" s="91"/>
      <c r="J1916" s="234"/>
      <c r="K1916" s="243"/>
      <c r="L1916" s="243"/>
      <c r="M1916" s="234"/>
      <c r="N1916" s="235"/>
      <c r="O1916" s="236"/>
      <c r="P1916" s="236"/>
      <c r="Q1916" s="236"/>
      <c r="R1916" s="236"/>
      <c r="S1916" s="236"/>
      <c r="T1916" s="236"/>
      <c r="U1916" s="236"/>
      <c r="V1916" s="236"/>
      <c r="W1916" s="236"/>
      <c r="X1916" s="244"/>
      <c r="Y1916" s="244"/>
      <c r="Z1916" s="237"/>
      <c r="AA1916" s="244"/>
      <c r="AB1916" s="244"/>
      <c r="AC1916" s="244"/>
      <c r="AD1916" s="244"/>
      <c r="AE1916" s="234"/>
      <c r="AF1916" s="234"/>
      <c r="AG1916" s="238"/>
      <c r="AH1916" s="239"/>
      <c r="AI1916" s="238"/>
      <c r="AJ1916" s="238"/>
      <c r="AK1916" s="234"/>
      <c r="AL1916" s="234"/>
      <c r="AM1916" s="234"/>
      <c r="AN1916" s="234"/>
      <c r="AO1916" s="234"/>
    </row>
    <row r="1917" ht="15.75" customHeight="1">
      <c r="A1917" s="91"/>
      <c r="B1917" s="91"/>
      <c r="C1917" s="220"/>
      <c r="D1917" s="91"/>
      <c r="E1917" s="221"/>
      <c r="F1917" s="91"/>
      <c r="G1917" s="91"/>
      <c r="H1917" s="242"/>
      <c r="I1917" s="91"/>
      <c r="J1917" s="234"/>
      <c r="K1917" s="243"/>
      <c r="L1917" s="243"/>
      <c r="M1917" s="234"/>
      <c r="N1917" s="235"/>
      <c r="O1917" s="236"/>
      <c r="P1917" s="236"/>
      <c r="Q1917" s="236"/>
      <c r="R1917" s="236"/>
      <c r="S1917" s="236"/>
      <c r="T1917" s="236"/>
      <c r="U1917" s="236"/>
      <c r="V1917" s="236"/>
      <c r="W1917" s="236"/>
      <c r="X1917" s="244"/>
      <c r="Y1917" s="244"/>
      <c r="Z1917" s="237"/>
      <c r="AA1917" s="244"/>
      <c r="AB1917" s="244"/>
      <c r="AC1917" s="244"/>
      <c r="AD1917" s="244"/>
      <c r="AE1917" s="234"/>
      <c r="AF1917" s="234"/>
      <c r="AG1917" s="238"/>
      <c r="AH1917" s="239"/>
      <c r="AI1917" s="238"/>
      <c r="AJ1917" s="238"/>
      <c r="AK1917" s="234"/>
      <c r="AL1917" s="234"/>
      <c r="AM1917" s="234"/>
      <c r="AN1917" s="234"/>
      <c r="AO1917" s="234"/>
    </row>
    <row r="1918" ht="15.75" customHeight="1">
      <c r="A1918" s="91"/>
      <c r="B1918" s="91"/>
      <c r="C1918" s="220"/>
      <c r="D1918" s="91"/>
      <c r="E1918" s="221"/>
      <c r="F1918" s="91"/>
      <c r="G1918" s="91"/>
      <c r="H1918" s="242"/>
      <c r="I1918" s="91"/>
      <c r="J1918" s="234"/>
      <c r="K1918" s="243"/>
      <c r="L1918" s="243"/>
      <c r="M1918" s="234"/>
      <c r="N1918" s="235"/>
      <c r="O1918" s="236"/>
      <c r="P1918" s="236"/>
      <c r="Q1918" s="236"/>
      <c r="R1918" s="236"/>
      <c r="S1918" s="236"/>
      <c r="T1918" s="236"/>
      <c r="U1918" s="236"/>
      <c r="V1918" s="236"/>
      <c r="W1918" s="236"/>
      <c r="X1918" s="244"/>
      <c r="Y1918" s="244"/>
      <c r="Z1918" s="237"/>
      <c r="AA1918" s="244"/>
      <c r="AB1918" s="244"/>
      <c r="AC1918" s="244"/>
      <c r="AD1918" s="244"/>
      <c r="AE1918" s="234"/>
      <c r="AF1918" s="234"/>
      <c r="AG1918" s="238"/>
      <c r="AH1918" s="239"/>
      <c r="AI1918" s="238"/>
      <c r="AJ1918" s="238"/>
      <c r="AK1918" s="234"/>
      <c r="AL1918" s="234"/>
      <c r="AM1918" s="234"/>
      <c r="AN1918" s="234"/>
      <c r="AO1918" s="234"/>
    </row>
    <row r="1919" ht="15.75" customHeight="1">
      <c r="A1919" s="91"/>
      <c r="B1919" s="91"/>
      <c r="C1919" s="220"/>
      <c r="D1919" s="91"/>
      <c r="E1919" s="221"/>
      <c r="F1919" s="91"/>
      <c r="G1919" s="91"/>
      <c r="H1919" s="242"/>
      <c r="I1919" s="91"/>
      <c r="J1919" s="234"/>
      <c r="K1919" s="243"/>
      <c r="L1919" s="243"/>
      <c r="M1919" s="234"/>
      <c r="N1919" s="235"/>
      <c r="O1919" s="236"/>
      <c r="P1919" s="236"/>
      <c r="Q1919" s="236"/>
      <c r="R1919" s="236"/>
      <c r="S1919" s="236"/>
      <c r="T1919" s="236"/>
      <c r="U1919" s="236"/>
      <c r="V1919" s="236"/>
      <c r="W1919" s="236"/>
      <c r="X1919" s="244"/>
      <c r="Y1919" s="244"/>
      <c r="Z1919" s="237"/>
      <c r="AA1919" s="244"/>
      <c r="AB1919" s="244"/>
      <c r="AC1919" s="244"/>
      <c r="AD1919" s="244"/>
      <c r="AE1919" s="234"/>
      <c r="AF1919" s="234"/>
      <c r="AG1919" s="238"/>
      <c r="AH1919" s="239"/>
      <c r="AI1919" s="238"/>
      <c r="AJ1919" s="238"/>
      <c r="AK1919" s="234"/>
      <c r="AL1919" s="234"/>
      <c r="AM1919" s="234"/>
      <c r="AN1919" s="234"/>
      <c r="AO1919" s="234"/>
    </row>
    <row r="1920" ht="15.75" customHeight="1">
      <c r="A1920" s="91"/>
      <c r="B1920" s="91"/>
      <c r="C1920" s="220"/>
      <c r="D1920" s="91"/>
      <c r="E1920" s="221"/>
      <c r="F1920" s="91"/>
      <c r="G1920" s="91"/>
      <c r="H1920" s="242"/>
      <c r="I1920" s="91"/>
      <c r="J1920" s="234"/>
      <c r="K1920" s="243"/>
      <c r="L1920" s="243"/>
      <c r="M1920" s="234"/>
      <c r="N1920" s="235"/>
      <c r="O1920" s="236"/>
      <c r="P1920" s="236"/>
      <c r="Q1920" s="236"/>
      <c r="R1920" s="236"/>
      <c r="S1920" s="236"/>
      <c r="T1920" s="236"/>
      <c r="U1920" s="236"/>
      <c r="V1920" s="236"/>
      <c r="W1920" s="236"/>
      <c r="X1920" s="244"/>
      <c r="Y1920" s="244"/>
      <c r="Z1920" s="237"/>
      <c r="AA1920" s="244"/>
      <c r="AB1920" s="244"/>
      <c r="AC1920" s="244"/>
      <c r="AD1920" s="244"/>
      <c r="AE1920" s="234"/>
      <c r="AF1920" s="234"/>
      <c r="AG1920" s="238"/>
      <c r="AH1920" s="239"/>
      <c r="AI1920" s="238"/>
      <c r="AJ1920" s="238"/>
      <c r="AK1920" s="234"/>
      <c r="AL1920" s="234"/>
      <c r="AM1920" s="234"/>
      <c r="AN1920" s="234"/>
      <c r="AO1920" s="234"/>
    </row>
    <row r="1921" ht="15.75" customHeight="1">
      <c r="A1921" s="91"/>
      <c r="B1921" s="91"/>
      <c r="C1921" s="220"/>
      <c r="D1921" s="91"/>
      <c r="E1921" s="221"/>
      <c r="F1921" s="91"/>
      <c r="G1921" s="91"/>
      <c r="H1921" s="242"/>
      <c r="I1921" s="91"/>
      <c r="J1921" s="234"/>
      <c r="K1921" s="243"/>
      <c r="L1921" s="243"/>
      <c r="M1921" s="234"/>
      <c r="N1921" s="235"/>
      <c r="O1921" s="236"/>
      <c r="P1921" s="236"/>
      <c r="Q1921" s="236"/>
      <c r="R1921" s="236"/>
      <c r="S1921" s="236"/>
      <c r="T1921" s="236"/>
      <c r="U1921" s="236"/>
      <c r="V1921" s="236"/>
      <c r="W1921" s="236"/>
      <c r="X1921" s="244"/>
      <c r="Y1921" s="244"/>
      <c r="Z1921" s="237"/>
      <c r="AA1921" s="244"/>
      <c r="AB1921" s="244"/>
      <c r="AC1921" s="244"/>
      <c r="AD1921" s="244"/>
      <c r="AE1921" s="234"/>
      <c r="AF1921" s="234"/>
      <c r="AG1921" s="238"/>
      <c r="AH1921" s="239"/>
      <c r="AI1921" s="238"/>
      <c r="AJ1921" s="238"/>
      <c r="AK1921" s="234"/>
      <c r="AL1921" s="234"/>
      <c r="AM1921" s="234"/>
      <c r="AN1921" s="234"/>
      <c r="AO1921" s="234"/>
    </row>
    <row r="1922" ht="15.75" customHeight="1">
      <c r="A1922" s="91"/>
      <c r="B1922" s="91"/>
      <c r="C1922" s="220"/>
      <c r="D1922" s="91"/>
      <c r="E1922" s="221"/>
      <c r="F1922" s="91"/>
      <c r="G1922" s="91"/>
      <c r="H1922" s="242"/>
      <c r="I1922" s="91"/>
      <c r="J1922" s="234"/>
      <c r="K1922" s="243"/>
      <c r="L1922" s="243"/>
      <c r="M1922" s="234"/>
      <c r="N1922" s="235"/>
      <c r="O1922" s="236"/>
      <c r="P1922" s="236"/>
      <c r="Q1922" s="236"/>
      <c r="R1922" s="236"/>
      <c r="S1922" s="236"/>
      <c r="T1922" s="236"/>
      <c r="U1922" s="236"/>
      <c r="V1922" s="236"/>
      <c r="W1922" s="236"/>
      <c r="X1922" s="244"/>
      <c r="Y1922" s="244"/>
      <c r="Z1922" s="237"/>
      <c r="AA1922" s="244"/>
      <c r="AB1922" s="244"/>
      <c r="AC1922" s="244"/>
      <c r="AD1922" s="244"/>
      <c r="AE1922" s="234"/>
      <c r="AF1922" s="234"/>
      <c r="AG1922" s="238"/>
      <c r="AH1922" s="239"/>
      <c r="AI1922" s="238"/>
      <c r="AJ1922" s="238"/>
      <c r="AK1922" s="234"/>
      <c r="AL1922" s="234"/>
      <c r="AM1922" s="234"/>
      <c r="AN1922" s="234"/>
      <c r="AO1922" s="234"/>
    </row>
    <row r="1923" ht="15.75" customHeight="1">
      <c r="A1923" s="91"/>
      <c r="B1923" s="91"/>
      <c r="C1923" s="220"/>
      <c r="D1923" s="91"/>
      <c r="E1923" s="221"/>
      <c r="F1923" s="91"/>
      <c r="G1923" s="91"/>
      <c r="H1923" s="242"/>
      <c r="I1923" s="61" t="s">
        <v>0</v>
      </c>
      <c r="J1923" s="234"/>
      <c r="K1923" s="243"/>
      <c r="L1923" s="243"/>
      <c r="M1923" s="234"/>
      <c r="N1923" s="235"/>
      <c r="O1923" s="236"/>
      <c r="P1923" s="236"/>
      <c r="Q1923" s="236"/>
      <c r="R1923" s="236"/>
      <c r="S1923" s="236"/>
      <c r="T1923" s="236"/>
      <c r="U1923" s="236"/>
      <c r="V1923" s="236"/>
      <c r="W1923" s="236"/>
      <c r="X1923" s="244"/>
      <c r="Y1923" s="244"/>
      <c r="Z1923" s="237"/>
      <c r="AA1923" s="244"/>
      <c r="AB1923" s="244"/>
      <c r="AC1923" s="244"/>
      <c r="AD1923" s="244"/>
      <c r="AE1923" s="234"/>
      <c r="AF1923" s="234"/>
      <c r="AG1923" s="238"/>
      <c r="AH1923" s="239"/>
      <c r="AI1923" s="238"/>
      <c r="AJ1923" s="238"/>
      <c r="AK1923" s="234"/>
      <c r="AL1923" s="234"/>
      <c r="AM1923" s="234"/>
      <c r="AN1923" s="234"/>
      <c r="AO1923" s="234"/>
    </row>
  </sheetData>
  <autoFilter ref="$A$1:$AO$983"/>
  <customSheetViews>
    <customSheetView guid="{303C54EC-9D0C-4832-9CE8-E39D5BEC77B0}" filter="1" showAutoFilter="1">
      <autoFilter ref="$A$1:$AO$983">
        <filterColumn colId="1">
          <filters>
            <filter val="Aprotech"/>
            <filter val="Comintel"/>
            <filter val="TI2 Pty Ltd"/>
            <filter val="AIRONIX"/>
            <filter val="captec"/>
          </filters>
        </filterColumn>
      </autoFilter>
      <extLst>
        <ext uri="GoogleSheetsCustomDataVersion1">
          <go:sheetsCustomData xmlns:go="http://customooxmlschemas.google.com/" filterViewId="1011236521"/>
        </ext>
      </extLst>
    </customSheetView>
    <customSheetView guid="{C9A0C243-7E73-4FE7-8E7C-67ABE88D82FD}" filter="1" showAutoFilter="1">
      <autoFilter ref="$A$1:$AN$420"/>
      <extLst>
        <ext uri="GoogleSheetsCustomDataVersion1">
          <go:sheetsCustomData xmlns:go="http://customooxmlschemas.google.com/" filterViewId="1262880151"/>
        </ext>
      </extLst>
    </customSheetView>
    <customSheetView guid="{8798D8E6-08A3-4DF0-BF38-B8A7A8E14894}" filter="1" showAutoFilter="1">
      <autoFilter ref="$A$1:$AN$420"/>
      <extLst>
        <ext uri="GoogleSheetsCustomDataVersion1">
          <go:sheetsCustomData xmlns:go="http://customooxmlschemas.google.com/" filterViewId="1475389726"/>
        </ext>
      </extLst>
    </customSheetView>
    <customSheetView guid="{CF86F120-DE02-4EBC-8B6A-E39704F3764C}" filter="1" showAutoFilter="1">
      <autoFilter ref="$A$1:$AO$491"/>
      <extLst>
        <ext uri="GoogleSheetsCustomDataVersion1">
          <go:sheetsCustomData xmlns:go="http://customooxmlschemas.google.com/" filterViewId="1984834004"/>
        </ext>
      </extLst>
    </customSheetView>
  </customSheetView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9.71"/>
    <col customWidth="1" min="2" max="2" width="14.57"/>
    <col customWidth="1" min="3" max="3" width="12.14"/>
    <col customWidth="1" min="4" max="4" width="19.14"/>
    <col customWidth="1" min="5" max="5" width="31.29"/>
    <col customWidth="1" min="6" max="6" width="7.71"/>
    <col customWidth="1" min="7" max="7" width="10.43"/>
    <col customWidth="1" min="8" max="8" width="11.57"/>
    <col customWidth="1" min="9" max="9" width="8.43"/>
    <col customWidth="1" min="10" max="10" width="12.57"/>
    <col customWidth="1" min="11" max="13" width="10.29"/>
    <col customWidth="1" min="14" max="14" width="12.0"/>
    <col customWidth="1" min="15" max="15" width="13.71"/>
    <col customWidth="1" min="16" max="16" width="11.0"/>
    <col customWidth="1" min="17" max="17" width="12.29"/>
    <col customWidth="1" min="18" max="18" width="17.14"/>
    <col customWidth="1" min="19" max="19" width="15.71"/>
    <col customWidth="1" min="20" max="20" width="13.57"/>
    <col customWidth="1" min="21" max="21" width="15.29"/>
    <col customWidth="1" min="22" max="22" width="13.57"/>
    <col customWidth="1" min="23" max="23" width="14.14"/>
    <col customWidth="1" min="24" max="24" width="15.71"/>
    <col customWidth="1" min="25" max="25" width="13.43"/>
    <col customWidth="1" min="26" max="26" width="10.14"/>
    <col customWidth="1" min="27" max="27" width="16.57"/>
    <col customWidth="1" min="28" max="28" width="18.57"/>
    <col customWidth="1" min="29" max="29" width="10.14"/>
  </cols>
  <sheetData>
    <row r="1" ht="45.0" customHeight="1">
      <c r="A1" s="752" t="s">
        <v>3462</v>
      </c>
      <c r="B1" s="753" t="s">
        <v>3463</v>
      </c>
      <c r="C1" s="754" t="s">
        <v>2</v>
      </c>
      <c r="D1" s="755" t="s">
        <v>3</v>
      </c>
      <c r="E1" s="3" t="s">
        <v>4</v>
      </c>
      <c r="F1" s="756" t="s">
        <v>5</v>
      </c>
      <c r="G1" s="757" t="s">
        <v>3464</v>
      </c>
      <c r="H1" s="758" t="s">
        <v>7</v>
      </c>
      <c r="I1" s="755" t="s">
        <v>8</v>
      </c>
      <c r="J1" s="755" t="s">
        <v>9</v>
      </c>
      <c r="K1" s="6" t="s">
        <v>10</v>
      </c>
      <c r="L1" s="759" t="s">
        <v>11</v>
      </c>
      <c r="M1" s="760" t="s">
        <v>3465</v>
      </c>
      <c r="N1" s="760" t="s">
        <v>12</v>
      </c>
      <c r="O1" s="759" t="s">
        <v>3466</v>
      </c>
      <c r="P1" s="761" t="s">
        <v>15</v>
      </c>
      <c r="Q1" s="761" t="s">
        <v>17</v>
      </c>
      <c r="R1" s="759" t="s">
        <v>18</v>
      </c>
      <c r="S1" s="762" t="s">
        <v>19</v>
      </c>
      <c r="T1" s="762" t="s">
        <v>20</v>
      </c>
      <c r="U1" s="762" t="s">
        <v>21</v>
      </c>
      <c r="V1" s="762" t="s">
        <v>3467</v>
      </c>
      <c r="W1" s="762" t="s">
        <v>23</v>
      </c>
      <c r="X1" s="763" t="s">
        <v>24</v>
      </c>
      <c r="Y1" s="763" t="s">
        <v>25</v>
      </c>
      <c r="Z1" s="763" t="s">
        <v>3468</v>
      </c>
      <c r="AA1" s="763" t="s">
        <v>27</v>
      </c>
      <c r="AB1" s="763" t="s">
        <v>3469</v>
      </c>
      <c r="AC1" s="763" t="s">
        <v>29</v>
      </c>
    </row>
    <row r="2" ht="15.75" hidden="1" customHeight="1">
      <c r="A2" s="764">
        <v>43021.0</v>
      </c>
      <c r="B2" s="144" t="s">
        <v>3470</v>
      </c>
      <c r="C2" s="765" t="s">
        <v>3471</v>
      </c>
      <c r="D2" s="368" t="s">
        <v>3472</v>
      </c>
      <c r="E2" s="368" t="s">
        <v>3473</v>
      </c>
      <c r="F2" s="253">
        <v>2.0</v>
      </c>
      <c r="G2" s="254">
        <v>714.0</v>
      </c>
      <c r="H2" s="267">
        <f t="shared" ref="H2:H15" si="1">G2*F2</f>
        <v>1428</v>
      </c>
      <c r="I2" s="256" t="s">
        <v>3474</v>
      </c>
      <c r="J2" s="333" t="s">
        <v>3475</v>
      </c>
      <c r="K2" s="258">
        <v>43104.0</v>
      </c>
      <c r="L2" s="258">
        <v>43102.0</v>
      </c>
      <c r="M2" s="333"/>
      <c r="N2" s="333" t="s">
        <v>1537</v>
      </c>
      <c r="O2" s="310" t="s">
        <v>3476</v>
      </c>
      <c r="P2" s="596"/>
      <c r="Q2" s="330"/>
      <c r="R2" s="597"/>
      <c r="S2" s="330"/>
      <c r="T2" s="766"/>
      <c r="U2" s="766"/>
      <c r="V2" s="766"/>
      <c r="W2" s="767"/>
      <c r="X2" s="252" t="s">
        <v>3477</v>
      </c>
      <c r="Y2" s="765">
        <v>4.978297505E9</v>
      </c>
      <c r="Z2" s="765"/>
      <c r="AA2" s="765"/>
      <c r="AB2" s="765"/>
      <c r="AC2" s="253" t="s">
        <v>284</v>
      </c>
    </row>
    <row r="3" ht="15.75" hidden="1" customHeight="1">
      <c r="A3" s="764">
        <v>43021.0</v>
      </c>
      <c r="B3" s="144" t="s">
        <v>3470</v>
      </c>
      <c r="C3" s="765" t="s">
        <v>3471</v>
      </c>
      <c r="D3" s="368" t="s">
        <v>3478</v>
      </c>
      <c r="E3" s="368" t="s">
        <v>3479</v>
      </c>
      <c r="F3" s="253">
        <v>2.0</v>
      </c>
      <c r="G3" s="254">
        <v>44.0</v>
      </c>
      <c r="H3" s="267">
        <f t="shared" si="1"/>
        <v>88</v>
      </c>
      <c r="I3" s="256" t="s">
        <v>3474</v>
      </c>
      <c r="J3" s="333" t="s">
        <v>3475</v>
      </c>
      <c r="K3" s="258">
        <v>43104.0</v>
      </c>
      <c r="L3" s="258">
        <v>43102.0</v>
      </c>
      <c r="M3" s="333"/>
      <c r="N3" s="333" t="s">
        <v>1537</v>
      </c>
      <c r="O3" s="310" t="s">
        <v>3480</v>
      </c>
      <c r="P3" s="596"/>
      <c r="Q3" s="330"/>
      <c r="R3" s="597"/>
      <c r="S3" s="330"/>
      <c r="T3" s="766"/>
      <c r="U3" s="766"/>
      <c r="V3" s="766"/>
      <c r="W3" s="767"/>
      <c r="X3" s="252" t="s">
        <v>3477</v>
      </c>
      <c r="Y3" s="765">
        <v>4.978297505E9</v>
      </c>
      <c r="Z3" s="765"/>
      <c r="AA3" s="765"/>
      <c r="AB3" s="765"/>
      <c r="AC3" s="253" t="s">
        <v>284</v>
      </c>
    </row>
    <row r="4" ht="15.75" hidden="1" customHeight="1">
      <c r="A4" s="764">
        <v>43061.0</v>
      </c>
      <c r="B4" s="265" t="s">
        <v>373</v>
      </c>
      <c r="C4" s="765" t="s">
        <v>3471</v>
      </c>
      <c r="D4" s="252" t="s">
        <v>3481</v>
      </c>
      <c r="E4" s="252" t="s">
        <v>375</v>
      </c>
      <c r="F4" s="307">
        <v>40.0</v>
      </c>
      <c r="G4" s="254">
        <v>63.0</v>
      </c>
      <c r="H4" s="268">
        <f t="shared" si="1"/>
        <v>2520</v>
      </c>
      <c r="I4" s="266" t="s">
        <v>43</v>
      </c>
      <c r="J4" s="256" t="s">
        <v>90</v>
      </c>
      <c r="K4" s="258">
        <v>43109.0</v>
      </c>
      <c r="L4" s="258">
        <v>43109.0</v>
      </c>
      <c r="M4" s="253"/>
      <c r="N4" s="253" t="s">
        <v>90</v>
      </c>
      <c r="O4" s="310" t="s">
        <v>3482</v>
      </c>
      <c r="P4" s="268">
        <v>2352.0</v>
      </c>
      <c r="Q4" s="330"/>
      <c r="R4" s="340" t="s">
        <v>94</v>
      </c>
      <c r="S4" s="768">
        <v>43159.0</v>
      </c>
      <c r="T4" s="769">
        <v>43109.0</v>
      </c>
      <c r="U4" s="765" t="s">
        <v>3483</v>
      </c>
      <c r="V4" s="770">
        <v>70348.0</v>
      </c>
      <c r="W4" s="771">
        <v>43164.0</v>
      </c>
      <c r="X4" s="765" t="s">
        <v>3484</v>
      </c>
      <c r="Y4" s="765"/>
      <c r="Z4" s="765" t="s">
        <v>3485</v>
      </c>
      <c r="AA4" s="772">
        <v>74252.0</v>
      </c>
      <c r="AB4" s="765" t="s">
        <v>3486</v>
      </c>
      <c r="AC4" s="253" t="s">
        <v>377</v>
      </c>
    </row>
    <row r="5" ht="15.75" customHeight="1">
      <c r="A5" s="764">
        <v>43063.0</v>
      </c>
      <c r="B5" s="265" t="s">
        <v>77</v>
      </c>
      <c r="C5" s="765" t="s">
        <v>3471</v>
      </c>
      <c r="D5" s="252" t="s">
        <v>3487</v>
      </c>
      <c r="E5" s="252" t="s">
        <v>3488</v>
      </c>
      <c r="F5" s="266">
        <v>10.0</v>
      </c>
      <c r="G5" s="267">
        <v>90.0</v>
      </c>
      <c r="H5" s="268">
        <f t="shared" si="1"/>
        <v>900</v>
      </c>
      <c r="I5" s="256" t="s">
        <v>43</v>
      </c>
      <c r="J5" s="369" t="s">
        <v>316</v>
      </c>
      <c r="K5" s="258">
        <v>43103.0</v>
      </c>
      <c r="L5" s="258">
        <v>43090.0</v>
      </c>
      <c r="M5" s="333"/>
      <c r="N5" s="333" t="s">
        <v>3489</v>
      </c>
      <c r="O5" s="252" t="s">
        <v>3490</v>
      </c>
      <c r="P5" s="581">
        <v>840.0</v>
      </c>
      <c r="Q5" s="579">
        <v>25196.0</v>
      </c>
      <c r="R5" s="604" t="s">
        <v>3491</v>
      </c>
      <c r="S5" s="330"/>
      <c r="T5" s="769">
        <v>43090.0</v>
      </c>
      <c r="U5" s="765" t="s">
        <v>3492</v>
      </c>
      <c r="V5" s="772">
        <v>25196.0</v>
      </c>
      <c r="W5" s="769">
        <v>43105.0</v>
      </c>
      <c r="X5" s="252" t="s">
        <v>3493</v>
      </c>
      <c r="Y5" s="765">
        <v>1.71489824E8</v>
      </c>
      <c r="Z5" s="765"/>
      <c r="AA5" s="765"/>
      <c r="AB5" s="765"/>
      <c r="AC5" s="253" t="s">
        <v>284</v>
      </c>
    </row>
    <row r="6" ht="15.75" customHeight="1">
      <c r="A6" s="764">
        <v>43070.0</v>
      </c>
      <c r="B6" s="340" t="s">
        <v>77</v>
      </c>
      <c r="C6" s="765" t="s">
        <v>3471</v>
      </c>
      <c r="D6" s="310" t="s">
        <v>3494</v>
      </c>
      <c r="E6" s="310" t="s">
        <v>3495</v>
      </c>
      <c r="F6" s="256">
        <v>15.0</v>
      </c>
      <c r="G6" s="773">
        <v>234.0</v>
      </c>
      <c r="H6" s="255">
        <f t="shared" si="1"/>
        <v>3510</v>
      </c>
      <c r="I6" s="256" t="s">
        <v>43</v>
      </c>
      <c r="J6" s="369" t="s">
        <v>316</v>
      </c>
      <c r="K6" s="258">
        <v>43103.0</v>
      </c>
      <c r="L6" s="258">
        <v>43096.0</v>
      </c>
      <c r="M6" s="403"/>
      <c r="N6" s="403" t="s">
        <v>1998</v>
      </c>
      <c r="O6" s="310" t="s">
        <v>3496</v>
      </c>
      <c r="P6" s="268">
        <v>3228.75</v>
      </c>
      <c r="Q6" s="330"/>
      <c r="R6" s="310" t="s">
        <v>2000</v>
      </c>
      <c r="S6" s="768">
        <v>43164.0</v>
      </c>
      <c r="T6" s="769">
        <v>43091.0</v>
      </c>
      <c r="U6" s="765" t="s">
        <v>3497</v>
      </c>
      <c r="V6" s="774">
        <v>113910.0</v>
      </c>
      <c r="W6" s="771">
        <v>43164.0</v>
      </c>
      <c r="X6" s="252" t="s">
        <v>3493</v>
      </c>
      <c r="Y6" s="765">
        <v>1.71489824E8</v>
      </c>
      <c r="Z6" s="765"/>
      <c r="AA6" s="765"/>
      <c r="AB6" s="765"/>
      <c r="AC6" s="253" t="s">
        <v>284</v>
      </c>
    </row>
    <row r="7" ht="15.75" customHeight="1">
      <c r="A7" s="764">
        <v>43070.0</v>
      </c>
      <c r="B7" s="340" t="s">
        <v>77</v>
      </c>
      <c r="C7" s="765" t="s">
        <v>3471</v>
      </c>
      <c r="D7" s="310" t="s">
        <v>3494</v>
      </c>
      <c r="E7" s="310" t="s">
        <v>3498</v>
      </c>
      <c r="F7" s="256">
        <v>15.0</v>
      </c>
      <c r="G7" s="773">
        <v>25.0</v>
      </c>
      <c r="H7" s="255">
        <f t="shared" si="1"/>
        <v>375</v>
      </c>
      <c r="I7" s="256" t="s">
        <v>43</v>
      </c>
      <c r="J7" s="369" t="s">
        <v>316</v>
      </c>
      <c r="K7" s="258">
        <v>43103.0</v>
      </c>
      <c r="L7" s="258">
        <v>43096.0</v>
      </c>
      <c r="M7" s="403"/>
      <c r="N7" s="403" t="s">
        <v>1998</v>
      </c>
      <c r="O7" s="310" t="s">
        <v>3496</v>
      </c>
      <c r="P7" s="268">
        <v>346.5</v>
      </c>
      <c r="Q7" s="330"/>
      <c r="R7" s="310" t="s">
        <v>2000</v>
      </c>
      <c r="S7" s="768">
        <v>43164.0</v>
      </c>
      <c r="T7" s="769">
        <v>43091.0</v>
      </c>
      <c r="U7" s="765" t="s">
        <v>3497</v>
      </c>
      <c r="V7" s="772" t="s">
        <v>3499</v>
      </c>
      <c r="W7" s="771">
        <v>43164.0</v>
      </c>
      <c r="X7" s="252" t="s">
        <v>3493</v>
      </c>
      <c r="Y7" s="765">
        <v>1.71489824E8</v>
      </c>
      <c r="Z7" s="765"/>
      <c r="AA7" s="765"/>
      <c r="AB7" s="765"/>
      <c r="AC7" s="253" t="s">
        <v>284</v>
      </c>
    </row>
    <row r="8" ht="15.75" customHeight="1">
      <c r="A8" s="764">
        <v>43070.0</v>
      </c>
      <c r="B8" s="340" t="s">
        <v>77</v>
      </c>
      <c r="C8" s="765" t="s">
        <v>3471</v>
      </c>
      <c r="D8" s="310" t="s">
        <v>3494</v>
      </c>
      <c r="E8" s="310" t="s">
        <v>3500</v>
      </c>
      <c r="F8" s="256">
        <v>15.0</v>
      </c>
      <c r="G8" s="773">
        <v>18.0</v>
      </c>
      <c r="H8" s="255">
        <f t="shared" si="1"/>
        <v>270</v>
      </c>
      <c r="I8" s="256" t="s">
        <v>43</v>
      </c>
      <c r="J8" s="369" t="s">
        <v>316</v>
      </c>
      <c r="K8" s="258">
        <v>43103.0</v>
      </c>
      <c r="L8" s="258">
        <v>43096.0</v>
      </c>
      <c r="M8" s="403"/>
      <c r="N8" s="403" t="s">
        <v>1998</v>
      </c>
      <c r="O8" s="310" t="s">
        <v>3496</v>
      </c>
      <c r="P8" s="268">
        <v>220.5</v>
      </c>
      <c r="Q8" s="330"/>
      <c r="R8" s="310" t="s">
        <v>2000</v>
      </c>
      <c r="S8" s="768">
        <v>43164.0</v>
      </c>
      <c r="T8" s="769">
        <v>43091.0</v>
      </c>
      <c r="U8" s="765" t="s">
        <v>3497</v>
      </c>
      <c r="V8" s="772" t="s">
        <v>3499</v>
      </c>
      <c r="W8" s="771">
        <v>43164.0</v>
      </c>
      <c r="X8" s="252" t="s">
        <v>3493</v>
      </c>
      <c r="Y8" s="765">
        <v>1.71489824E8</v>
      </c>
      <c r="Z8" s="765"/>
      <c r="AA8" s="765"/>
      <c r="AB8" s="765"/>
      <c r="AC8" s="253" t="s">
        <v>284</v>
      </c>
    </row>
    <row r="9" ht="15.75" customHeight="1">
      <c r="A9" s="764">
        <v>43070.0</v>
      </c>
      <c r="B9" s="340" t="s">
        <v>77</v>
      </c>
      <c r="C9" s="765" t="s">
        <v>3471</v>
      </c>
      <c r="D9" s="310" t="s">
        <v>3494</v>
      </c>
      <c r="E9" s="310" t="s">
        <v>3501</v>
      </c>
      <c r="F9" s="266">
        <v>15.0</v>
      </c>
      <c r="G9" s="581">
        <v>2.0</v>
      </c>
      <c r="H9" s="255">
        <f t="shared" si="1"/>
        <v>30</v>
      </c>
      <c r="I9" s="256" t="s">
        <v>43</v>
      </c>
      <c r="J9" s="369" t="s">
        <v>316</v>
      </c>
      <c r="K9" s="258">
        <v>43103.0</v>
      </c>
      <c r="L9" s="258">
        <v>43091.0</v>
      </c>
      <c r="M9" s="333"/>
      <c r="N9" s="333" t="s">
        <v>2039</v>
      </c>
      <c r="O9" s="310" t="s">
        <v>3502</v>
      </c>
      <c r="P9" s="598"/>
      <c r="Q9" s="775">
        <v>363.0</v>
      </c>
      <c r="R9" s="320" t="s">
        <v>2194</v>
      </c>
      <c r="S9" s="330"/>
      <c r="T9" s="769">
        <v>43090.0</v>
      </c>
      <c r="U9" s="765" t="s">
        <v>3503</v>
      </c>
      <c r="V9" s="774">
        <v>1859.0</v>
      </c>
      <c r="W9" s="769">
        <v>43138.0</v>
      </c>
      <c r="X9" s="252" t="s">
        <v>3493</v>
      </c>
      <c r="Y9" s="765">
        <v>1.71489824E8</v>
      </c>
      <c r="Z9" s="765"/>
      <c r="AA9" s="765"/>
      <c r="AB9" s="765"/>
      <c r="AC9" s="253" t="s">
        <v>284</v>
      </c>
    </row>
    <row r="10" ht="15.75" customHeight="1">
      <c r="A10" s="764">
        <v>43070.0</v>
      </c>
      <c r="B10" s="340" t="s">
        <v>77</v>
      </c>
      <c r="C10" s="765" t="s">
        <v>3471</v>
      </c>
      <c r="D10" s="310" t="s">
        <v>3494</v>
      </c>
      <c r="E10" s="310" t="s">
        <v>3504</v>
      </c>
      <c r="F10" s="266">
        <v>15.0</v>
      </c>
      <c r="G10" s="581">
        <v>6.0</v>
      </c>
      <c r="H10" s="255">
        <f t="shared" si="1"/>
        <v>90</v>
      </c>
      <c r="I10" s="256" t="s">
        <v>43</v>
      </c>
      <c r="J10" s="369" t="s">
        <v>316</v>
      </c>
      <c r="K10" s="258">
        <v>43103.0</v>
      </c>
      <c r="L10" s="258">
        <v>43091.0</v>
      </c>
      <c r="M10" s="333"/>
      <c r="N10" s="333" t="s">
        <v>2039</v>
      </c>
      <c r="O10" s="310" t="s">
        <v>3502</v>
      </c>
      <c r="P10" s="598"/>
      <c r="Q10" s="775">
        <v>1496.0</v>
      </c>
      <c r="R10" s="320" t="s">
        <v>2194</v>
      </c>
      <c r="S10" s="330"/>
      <c r="T10" s="769">
        <v>43090.0</v>
      </c>
      <c r="U10" s="765" t="s">
        <v>3503</v>
      </c>
      <c r="V10" s="772" t="s">
        <v>3505</v>
      </c>
      <c r="W10" s="769">
        <v>43138.0</v>
      </c>
      <c r="X10" s="252" t="s">
        <v>3493</v>
      </c>
      <c r="Y10" s="765">
        <v>1.71489824E8</v>
      </c>
      <c r="Z10" s="765"/>
      <c r="AA10" s="765"/>
      <c r="AB10" s="765"/>
      <c r="AC10" s="253" t="s">
        <v>284</v>
      </c>
    </row>
    <row r="11" ht="15.75" hidden="1" customHeight="1">
      <c r="A11" s="764">
        <v>43073.0</v>
      </c>
      <c r="B11" s="265" t="s">
        <v>3506</v>
      </c>
      <c r="C11" s="765" t="s">
        <v>3471</v>
      </c>
      <c r="D11" s="252" t="s">
        <v>3507</v>
      </c>
      <c r="E11" s="252" t="s">
        <v>3508</v>
      </c>
      <c r="F11" s="253">
        <v>250.0</v>
      </c>
      <c r="G11" s="254">
        <v>174.5</v>
      </c>
      <c r="H11" s="255">
        <f t="shared" si="1"/>
        <v>43625</v>
      </c>
      <c r="I11" s="256" t="s">
        <v>171</v>
      </c>
      <c r="J11" s="269" t="s">
        <v>3509</v>
      </c>
      <c r="K11" s="258">
        <v>43112.0</v>
      </c>
      <c r="L11" s="258">
        <v>43105.0</v>
      </c>
      <c r="M11" s="333"/>
      <c r="N11" s="333" t="s">
        <v>3510</v>
      </c>
      <c r="O11" s="310" t="s">
        <v>3511</v>
      </c>
      <c r="P11" s="268">
        <v>41475.0</v>
      </c>
      <c r="Q11" s="330"/>
      <c r="R11" s="310" t="s">
        <v>3512</v>
      </c>
      <c r="S11" s="330"/>
      <c r="T11" s="765" t="s">
        <v>3513</v>
      </c>
      <c r="U11" s="765" t="s">
        <v>3514</v>
      </c>
      <c r="V11" s="770" t="s">
        <v>3515</v>
      </c>
      <c r="W11" s="769">
        <v>43130.0</v>
      </c>
      <c r="X11" s="252" t="s">
        <v>3516</v>
      </c>
      <c r="Y11" s="765" t="s">
        <v>3517</v>
      </c>
      <c r="Z11" s="765"/>
      <c r="AA11" s="765"/>
      <c r="AB11" s="765"/>
      <c r="AC11" s="253" t="s">
        <v>284</v>
      </c>
    </row>
    <row r="12" ht="15.75" hidden="1" customHeight="1">
      <c r="A12" s="776">
        <v>43073.0</v>
      </c>
      <c r="B12" s="265" t="s">
        <v>130</v>
      </c>
      <c r="C12" s="765" t="s">
        <v>3471</v>
      </c>
      <c r="D12" s="310" t="s">
        <v>3518</v>
      </c>
      <c r="E12" s="310" t="s">
        <v>3519</v>
      </c>
      <c r="F12" s="266">
        <v>1.0</v>
      </c>
      <c r="G12" s="267">
        <v>244.0</v>
      </c>
      <c r="H12" s="255">
        <f t="shared" si="1"/>
        <v>244</v>
      </c>
      <c r="I12" s="256" t="s">
        <v>420</v>
      </c>
      <c r="J12" s="777" t="s">
        <v>3520</v>
      </c>
      <c r="K12" s="258">
        <v>43108.0</v>
      </c>
      <c r="L12" s="258">
        <v>43087.0</v>
      </c>
      <c r="M12" s="333"/>
      <c r="N12" s="333" t="s">
        <v>90</v>
      </c>
      <c r="O12" s="310" t="s">
        <v>3521</v>
      </c>
      <c r="P12" s="268">
        <v>239.4</v>
      </c>
      <c r="Q12" s="330"/>
      <c r="R12" s="578" t="s">
        <v>94</v>
      </c>
      <c r="S12" s="330"/>
      <c r="T12" s="769">
        <v>43449.0</v>
      </c>
      <c r="U12" s="765" t="s">
        <v>3522</v>
      </c>
      <c r="V12" s="770">
        <v>7166.0</v>
      </c>
      <c r="W12" s="769">
        <v>43126.0</v>
      </c>
      <c r="X12" s="252" t="s">
        <v>3523</v>
      </c>
      <c r="Y12" s="252">
        <v>1.920631403E9</v>
      </c>
      <c r="Z12" s="765"/>
      <c r="AA12" s="765"/>
      <c r="AB12" s="765"/>
      <c r="AC12" s="253" t="s">
        <v>284</v>
      </c>
    </row>
    <row r="13" ht="15.75" hidden="1" customHeight="1">
      <c r="A13" s="764">
        <v>43076.0</v>
      </c>
      <c r="B13" s="265" t="s">
        <v>3506</v>
      </c>
      <c r="C13" s="765" t="s">
        <v>3471</v>
      </c>
      <c r="D13" s="252" t="s">
        <v>3524</v>
      </c>
      <c r="E13" s="252" t="s">
        <v>3525</v>
      </c>
      <c r="F13" s="253">
        <v>11.0</v>
      </c>
      <c r="G13" s="254">
        <v>174.5</v>
      </c>
      <c r="H13" s="255">
        <f t="shared" si="1"/>
        <v>1919.5</v>
      </c>
      <c r="I13" s="256" t="s">
        <v>171</v>
      </c>
      <c r="J13" s="269" t="s">
        <v>3509</v>
      </c>
      <c r="K13" s="258">
        <v>43112.0</v>
      </c>
      <c r="L13" s="258">
        <v>42738.0</v>
      </c>
      <c r="M13" s="333"/>
      <c r="N13" s="333" t="s">
        <v>3510</v>
      </c>
      <c r="O13" s="310" t="s">
        <v>3526</v>
      </c>
      <c r="P13" s="268">
        <v>1824.9</v>
      </c>
      <c r="Q13" s="330"/>
      <c r="R13" s="310" t="s">
        <v>3512</v>
      </c>
      <c r="S13" s="330"/>
      <c r="T13" s="769">
        <v>43104.0</v>
      </c>
      <c r="U13" s="765" t="s">
        <v>3527</v>
      </c>
      <c r="V13" s="774">
        <v>54584.0</v>
      </c>
      <c r="W13" s="769">
        <v>43095.0</v>
      </c>
      <c r="X13" s="252" t="s">
        <v>3516</v>
      </c>
      <c r="Y13" s="765" t="s">
        <v>3517</v>
      </c>
      <c r="Z13" s="765"/>
      <c r="AA13" s="765"/>
      <c r="AB13" s="765"/>
      <c r="AC13" s="253" t="s">
        <v>284</v>
      </c>
    </row>
    <row r="14" ht="15.75" hidden="1" customHeight="1">
      <c r="A14" s="764">
        <v>43073.0</v>
      </c>
      <c r="B14" s="265" t="s">
        <v>3506</v>
      </c>
      <c r="C14" s="765" t="s">
        <v>3471</v>
      </c>
      <c r="D14" s="252" t="s">
        <v>3528</v>
      </c>
      <c r="E14" s="252" t="s">
        <v>3529</v>
      </c>
      <c r="F14" s="253">
        <v>100.0</v>
      </c>
      <c r="G14" s="254">
        <v>174.5</v>
      </c>
      <c r="H14" s="255">
        <f t="shared" si="1"/>
        <v>17450</v>
      </c>
      <c r="I14" s="256" t="s">
        <v>171</v>
      </c>
      <c r="J14" s="269" t="s">
        <v>3509</v>
      </c>
      <c r="K14" s="258">
        <v>43119.0</v>
      </c>
      <c r="L14" s="258">
        <v>42747.0</v>
      </c>
      <c r="M14" s="333"/>
      <c r="N14" s="333" t="s">
        <v>3510</v>
      </c>
      <c r="O14" s="310" t="s">
        <v>3530</v>
      </c>
      <c r="P14" s="268">
        <v>16590.0</v>
      </c>
      <c r="Q14" s="330"/>
      <c r="R14" s="310" t="s">
        <v>3512</v>
      </c>
      <c r="S14" s="330"/>
      <c r="T14" s="769">
        <v>43115.0</v>
      </c>
      <c r="U14" s="765" t="s">
        <v>3531</v>
      </c>
      <c r="V14" s="770">
        <v>488576.0</v>
      </c>
      <c r="W14" s="769">
        <v>43130.0</v>
      </c>
      <c r="X14" s="765" t="s">
        <v>3532</v>
      </c>
      <c r="Y14" s="778" t="s">
        <v>3533</v>
      </c>
      <c r="Z14" s="765"/>
      <c r="AA14" s="765"/>
      <c r="AB14" s="765"/>
      <c r="AC14" s="253" t="s">
        <v>284</v>
      </c>
    </row>
    <row r="15" ht="15.75" customHeight="1">
      <c r="A15" s="764">
        <v>43075.0</v>
      </c>
      <c r="B15" s="340" t="s">
        <v>77</v>
      </c>
      <c r="C15" s="765" t="s">
        <v>3471</v>
      </c>
      <c r="D15" s="310" t="s">
        <v>3534</v>
      </c>
      <c r="E15" s="310" t="s">
        <v>3535</v>
      </c>
      <c r="F15" s="253">
        <v>15.0</v>
      </c>
      <c r="G15" s="254">
        <v>73.0</v>
      </c>
      <c r="H15" s="255">
        <f t="shared" si="1"/>
        <v>1095</v>
      </c>
      <c r="I15" s="256" t="s">
        <v>43</v>
      </c>
      <c r="J15" s="369" t="s">
        <v>316</v>
      </c>
      <c r="K15" s="258">
        <v>43103.0</v>
      </c>
      <c r="L15" s="258">
        <v>43091.0</v>
      </c>
      <c r="M15" s="253"/>
      <c r="N15" s="253" t="s">
        <v>3536</v>
      </c>
      <c r="O15" s="310" t="s">
        <v>3537</v>
      </c>
      <c r="P15" s="330">
        <v>1071.0</v>
      </c>
      <c r="Q15" s="579">
        <v>32141.0</v>
      </c>
      <c r="R15" s="330" t="s">
        <v>3538</v>
      </c>
      <c r="S15" s="330"/>
      <c r="T15" s="769">
        <v>43088.0</v>
      </c>
      <c r="U15" s="765" t="s">
        <v>3539</v>
      </c>
      <c r="V15" s="772">
        <v>32141.0</v>
      </c>
      <c r="W15" s="769">
        <v>43453.0</v>
      </c>
      <c r="X15" s="252" t="s">
        <v>3493</v>
      </c>
      <c r="Y15" s="765">
        <v>1.71489824E8</v>
      </c>
      <c r="Z15" s="765"/>
      <c r="AA15" s="765"/>
      <c r="AB15" s="765"/>
      <c r="AC15" s="253" t="s">
        <v>284</v>
      </c>
    </row>
    <row r="16" ht="15.75" customHeight="1">
      <c r="A16" s="764">
        <v>43083.0</v>
      </c>
      <c r="B16" s="265" t="s">
        <v>77</v>
      </c>
      <c r="C16" s="765" t="s">
        <v>3471</v>
      </c>
      <c r="D16" s="252" t="s">
        <v>3540</v>
      </c>
      <c r="E16" s="252" t="s">
        <v>3541</v>
      </c>
      <c r="F16" s="307">
        <v>10.0</v>
      </c>
      <c r="G16" s="254">
        <v>285.0</v>
      </c>
      <c r="H16" s="255">
        <f t="shared" ref="H16:H17" si="2">F16*G16</f>
        <v>2850</v>
      </c>
      <c r="I16" s="256" t="s">
        <v>43</v>
      </c>
      <c r="J16" s="369" t="s">
        <v>316</v>
      </c>
      <c r="K16" s="258">
        <v>43103.0</v>
      </c>
      <c r="L16" s="258">
        <v>43094.0</v>
      </c>
      <c r="M16" s="403"/>
      <c r="N16" s="403" t="s">
        <v>1998</v>
      </c>
      <c r="O16" s="310" t="s">
        <v>3542</v>
      </c>
      <c r="P16" s="268">
        <v>2625.0</v>
      </c>
      <c r="Q16" s="596"/>
      <c r="R16" s="310" t="s">
        <v>2000</v>
      </c>
      <c r="S16" s="768">
        <v>43164.0</v>
      </c>
      <c r="T16" s="769">
        <v>43091.0</v>
      </c>
      <c r="U16" s="765" t="s">
        <v>3543</v>
      </c>
      <c r="V16" s="774">
        <v>78776.0</v>
      </c>
      <c r="W16" s="771">
        <v>43164.0</v>
      </c>
      <c r="X16" s="252" t="s">
        <v>3493</v>
      </c>
      <c r="Y16" s="765">
        <v>1.71489824E8</v>
      </c>
      <c r="Z16" s="765"/>
      <c r="AA16" s="765"/>
      <c r="AB16" s="765"/>
      <c r="AC16" s="253" t="s">
        <v>284</v>
      </c>
    </row>
    <row r="17" ht="15.75" customHeight="1">
      <c r="A17" s="764">
        <v>43083.0</v>
      </c>
      <c r="B17" s="265" t="s">
        <v>77</v>
      </c>
      <c r="C17" s="765" t="s">
        <v>3471</v>
      </c>
      <c r="D17" s="252" t="s">
        <v>3540</v>
      </c>
      <c r="E17" s="252" t="s">
        <v>318</v>
      </c>
      <c r="F17" s="253">
        <v>26.0</v>
      </c>
      <c r="G17" s="254">
        <v>270.0</v>
      </c>
      <c r="H17" s="255">
        <f t="shared" si="2"/>
        <v>7020</v>
      </c>
      <c r="I17" s="256" t="s">
        <v>43</v>
      </c>
      <c r="J17" s="369" t="s">
        <v>316</v>
      </c>
      <c r="K17" s="258">
        <v>43136.0</v>
      </c>
      <c r="L17" s="258">
        <v>43136.0</v>
      </c>
      <c r="M17" s="403"/>
      <c r="N17" s="403" t="s">
        <v>1998</v>
      </c>
      <c r="O17" s="310" t="s">
        <v>3542</v>
      </c>
      <c r="P17" s="268">
        <v>6006.0</v>
      </c>
      <c r="Q17" s="330"/>
      <c r="R17" s="310" t="s">
        <v>2000</v>
      </c>
      <c r="S17" s="768">
        <v>43195.0</v>
      </c>
      <c r="T17" s="769">
        <v>43133.0</v>
      </c>
      <c r="U17" s="765" t="s">
        <v>3544</v>
      </c>
      <c r="V17" s="770">
        <v>175256.0</v>
      </c>
      <c r="W17" s="769">
        <v>43227.0</v>
      </c>
      <c r="X17" s="252" t="s">
        <v>3545</v>
      </c>
      <c r="Y17" s="765">
        <v>2.77959776E8</v>
      </c>
      <c r="Z17" s="765"/>
      <c r="AA17" s="765"/>
      <c r="AB17" s="765"/>
      <c r="AC17" s="253" t="s">
        <v>284</v>
      </c>
    </row>
    <row r="18" ht="15.75" hidden="1" customHeight="1">
      <c r="A18" s="764">
        <v>43084.0</v>
      </c>
      <c r="B18" s="597" t="s">
        <v>3546</v>
      </c>
      <c r="C18" s="765" t="s">
        <v>3471</v>
      </c>
      <c r="D18" s="252" t="s">
        <v>3547</v>
      </c>
      <c r="E18" s="252" t="s">
        <v>3548</v>
      </c>
      <c r="F18" s="253">
        <v>20.0</v>
      </c>
      <c r="G18" s="254">
        <v>72.0</v>
      </c>
      <c r="H18" s="255">
        <f t="shared" ref="H18:H41" si="3">G18*F18</f>
        <v>1440</v>
      </c>
      <c r="I18" s="256" t="s">
        <v>3474</v>
      </c>
      <c r="J18" s="269" t="s">
        <v>3549</v>
      </c>
      <c r="K18" s="258">
        <v>43111.0</v>
      </c>
      <c r="L18" s="258">
        <v>43109.0</v>
      </c>
      <c r="M18" s="333"/>
      <c r="N18" s="333" t="s">
        <v>2041</v>
      </c>
      <c r="O18" s="310" t="s">
        <v>3550</v>
      </c>
      <c r="P18" s="268">
        <v>1344.0</v>
      </c>
      <c r="Q18" s="330"/>
      <c r="R18" s="310" t="s">
        <v>2043</v>
      </c>
      <c r="S18" s="768">
        <v>43136.0</v>
      </c>
      <c r="T18" s="769">
        <v>43108.0</v>
      </c>
      <c r="U18" s="765" t="s">
        <v>3551</v>
      </c>
      <c r="V18" s="774">
        <v>39675.0</v>
      </c>
      <c r="W18" s="769">
        <v>43138.0</v>
      </c>
      <c r="X18" s="765" t="s">
        <v>3552</v>
      </c>
      <c r="Y18" s="765" t="s">
        <v>3553</v>
      </c>
      <c r="Z18" s="765"/>
      <c r="AA18" s="765"/>
      <c r="AB18" s="765"/>
      <c r="AC18" s="253" t="s">
        <v>284</v>
      </c>
    </row>
    <row r="19" ht="15.75" hidden="1" customHeight="1">
      <c r="A19" s="764">
        <v>43084.0</v>
      </c>
      <c r="B19" s="597" t="s">
        <v>3546</v>
      </c>
      <c r="C19" s="765" t="s">
        <v>3471</v>
      </c>
      <c r="D19" s="252" t="s">
        <v>3547</v>
      </c>
      <c r="E19" s="252" t="s">
        <v>700</v>
      </c>
      <c r="F19" s="253">
        <v>1.0</v>
      </c>
      <c r="G19" s="254">
        <v>25.0</v>
      </c>
      <c r="H19" s="255">
        <f t="shared" si="3"/>
        <v>25</v>
      </c>
      <c r="I19" s="779" t="s">
        <v>3474</v>
      </c>
      <c r="J19" s="269"/>
      <c r="K19" s="258">
        <v>43111.0</v>
      </c>
      <c r="L19" s="630"/>
      <c r="M19" s="333"/>
      <c r="N19" s="333"/>
      <c r="O19" s="310"/>
      <c r="P19" s="598"/>
      <c r="Q19" s="330"/>
      <c r="R19" s="310"/>
      <c r="S19" s="330"/>
      <c r="T19" s="765"/>
      <c r="U19" s="765"/>
      <c r="V19" s="765"/>
      <c r="W19" s="769"/>
      <c r="X19" s="765" t="s">
        <v>3552</v>
      </c>
      <c r="Y19" s="780" t="s">
        <v>3553</v>
      </c>
      <c r="Z19" s="765"/>
      <c r="AA19" s="765"/>
      <c r="AB19" s="765"/>
      <c r="AC19" s="253" t="s">
        <v>284</v>
      </c>
    </row>
    <row r="20" ht="15.75" hidden="1" customHeight="1">
      <c r="A20" s="764">
        <v>43090.0</v>
      </c>
      <c r="B20" s="265" t="s">
        <v>3506</v>
      </c>
      <c r="C20" s="765" t="s">
        <v>3471</v>
      </c>
      <c r="D20" s="252" t="s">
        <v>3554</v>
      </c>
      <c r="E20" s="252" t="s">
        <v>3525</v>
      </c>
      <c r="F20" s="253">
        <v>20.0</v>
      </c>
      <c r="G20" s="254">
        <v>174.5</v>
      </c>
      <c r="H20" s="255">
        <f t="shared" si="3"/>
        <v>3490</v>
      </c>
      <c r="I20" s="256" t="s">
        <v>171</v>
      </c>
      <c r="J20" s="269" t="s">
        <v>3509</v>
      </c>
      <c r="K20" s="258">
        <v>43112.0</v>
      </c>
      <c r="L20" s="258">
        <v>43105.0</v>
      </c>
      <c r="M20" s="333"/>
      <c r="N20" s="333" t="s">
        <v>3510</v>
      </c>
      <c r="O20" s="310" t="s">
        <v>3555</v>
      </c>
      <c r="P20" s="268">
        <v>3318.0</v>
      </c>
      <c r="Q20" s="330"/>
      <c r="R20" s="310" t="s">
        <v>3512</v>
      </c>
      <c r="S20" s="330"/>
      <c r="T20" s="769">
        <v>43109.0</v>
      </c>
      <c r="U20" s="765" t="s">
        <v>3556</v>
      </c>
      <c r="V20" s="774">
        <v>99242.0</v>
      </c>
      <c r="W20" s="769">
        <v>43095.0</v>
      </c>
      <c r="X20" s="252" t="s">
        <v>3516</v>
      </c>
      <c r="Y20" s="765" t="s">
        <v>3517</v>
      </c>
      <c r="Z20" s="765"/>
      <c r="AA20" s="765"/>
      <c r="AB20" s="765"/>
      <c r="AC20" s="253" t="s">
        <v>284</v>
      </c>
    </row>
    <row r="21" ht="15.75" customHeight="1">
      <c r="A21" s="764">
        <v>43090.0</v>
      </c>
      <c r="B21" s="144" t="s">
        <v>77</v>
      </c>
      <c r="C21" s="765" t="s">
        <v>3471</v>
      </c>
      <c r="D21" s="252" t="s">
        <v>3557</v>
      </c>
      <c r="E21" s="252" t="s">
        <v>3558</v>
      </c>
      <c r="F21" s="253">
        <v>1.0</v>
      </c>
      <c r="G21" s="254">
        <v>175.0</v>
      </c>
      <c r="H21" s="255">
        <f t="shared" si="3"/>
        <v>175</v>
      </c>
      <c r="I21" s="256" t="s">
        <v>43</v>
      </c>
      <c r="J21" s="781" t="s">
        <v>3559</v>
      </c>
      <c r="K21" s="258">
        <v>43130.0</v>
      </c>
      <c r="L21" s="258">
        <v>43129.0</v>
      </c>
      <c r="M21" s="333"/>
      <c r="N21" s="333" t="s">
        <v>1537</v>
      </c>
      <c r="O21" s="310" t="s">
        <v>3560</v>
      </c>
      <c r="P21" s="598"/>
      <c r="Q21" s="330"/>
      <c r="R21" s="310"/>
      <c r="S21" s="330"/>
      <c r="T21" s="766"/>
      <c r="U21" s="766"/>
      <c r="V21" s="766"/>
      <c r="W21" s="767"/>
      <c r="X21" s="252" t="s">
        <v>3561</v>
      </c>
      <c r="Y21" s="765">
        <v>8.219623344E9</v>
      </c>
      <c r="Z21" s="765"/>
      <c r="AA21" s="765"/>
      <c r="AB21" s="765"/>
      <c r="AC21" s="253" t="s">
        <v>284</v>
      </c>
    </row>
    <row r="22" ht="15.75" customHeight="1">
      <c r="A22" s="764">
        <v>43090.0</v>
      </c>
      <c r="B22" s="144" t="s">
        <v>77</v>
      </c>
      <c r="C22" s="765" t="s">
        <v>3471</v>
      </c>
      <c r="D22" s="252" t="s">
        <v>3557</v>
      </c>
      <c r="E22" s="252" t="s">
        <v>3562</v>
      </c>
      <c r="F22" s="253">
        <v>2.0</v>
      </c>
      <c r="G22" s="254">
        <v>6.0</v>
      </c>
      <c r="H22" s="255">
        <f t="shared" si="3"/>
        <v>12</v>
      </c>
      <c r="I22" s="256" t="s">
        <v>43</v>
      </c>
      <c r="J22" s="781" t="s">
        <v>3559</v>
      </c>
      <c r="K22" s="258">
        <v>43130.0</v>
      </c>
      <c r="L22" s="258">
        <v>43129.0</v>
      </c>
      <c r="M22" s="333"/>
      <c r="N22" s="333" t="s">
        <v>2039</v>
      </c>
      <c r="O22" s="310" t="s">
        <v>3563</v>
      </c>
      <c r="P22" s="598"/>
      <c r="Q22" s="330"/>
      <c r="R22" s="310"/>
      <c r="S22" s="330"/>
      <c r="T22" s="766"/>
      <c r="U22" s="766"/>
      <c r="V22" s="766"/>
      <c r="W22" s="767"/>
      <c r="X22" s="252" t="s">
        <v>3561</v>
      </c>
      <c r="Y22" s="765">
        <v>8.219623344E9</v>
      </c>
      <c r="Z22" s="765"/>
      <c r="AA22" s="765"/>
      <c r="AB22" s="765"/>
      <c r="AC22" s="253" t="s">
        <v>284</v>
      </c>
    </row>
    <row r="23" ht="15.75" customHeight="1">
      <c r="A23" s="764">
        <v>43090.0</v>
      </c>
      <c r="B23" s="144" t="s">
        <v>77</v>
      </c>
      <c r="C23" s="765" t="s">
        <v>3471</v>
      </c>
      <c r="D23" s="252" t="s">
        <v>3557</v>
      </c>
      <c r="E23" s="252" t="s">
        <v>3564</v>
      </c>
      <c r="F23" s="253">
        <v>2.0</v>
      </c>
      <c r="G23" s="254">
        <v>2.0</v>
      </c>
      <c r="H23" s="255">
        <f t="shared" si="3"/>
        <v>4</v>
      </c>
      <c r="I23" s="256" t="s">
        <v>43</v>
      </c>
      <c r="J23" s="781" t="s">
        <v>3559</v>
      </c>
      <c r="K23" s="258">
        <v>43130.0</v>
      </c>
      <c r="L23" s="258">
        <v>43129.0</v>
      </c>
      <c r="M23" s="333"/>
      <c r="N23" s="333" t="s">
        <v>2039</v>
      </c>
      <c r="O23" s="310" t="s">
        <v>3563</v>
      </c>
      <c r="P23" s="598"/>
      <c r="Q23" s="330"/>
      <c r="R23" s="310"/>
      <c r="S23" s="330"/>
      <c r="T23" s="766"/>
      <c r="U23" s="766"/>
      <c r="V23" s="766"/>
      <c r="W23" s="767"/>
      <c r="X23" s="252" t="s">
        <v>3561</v>
      </c>
      <c r="Y23" s="765">
        <v>8.219623344E9</v>
      </c>
      <c r="Z23" s="765"/>
      <c r="AA23" s="765"/>
      <c r="AB23" s="765"/>
      <c r="AC23" s="253" t="s">
        <v>284</v>
      </c>
    </row>
    <row r="24" ht="15.75" customHeight="1">
      <c r="A24" s="764">
        <v>43115.0</v>
      </c>
      <c r="B24" s="144" t="s">
        <v>77</v>
      </c>
      <c r="C24" s="765" t="s">
        <v>3471</v>
      </c>
      <c r="D24" s="252" t="s">
        <v>3565</v>
      </c>
      <c r="E24" s="252" t="s">
        <v>3558</v>
      </c>
      <c r="F24" s="253">
        <v>1.0</v>
      </c>
      <c r="G24" s="254">
        <v>200.0</v>
      </c>
      <c r="H24" s="255">
        <f t="shared" si="3"/>
        <v>200</v>
      </c>
      <c r="I24" s="256" t="s">
        <v>43</v>
      </c>
      <c r="J24" s="781" t="s">
        <v>3559</v>
      </c>
      <c r="K24" s="258">
        <v>43130.0</v>
      </c>
      <c r="L24" s="258">
        <v>43129.0</v>
      </c>
      <c r="M24" s="333"/>
      <c r="N24" s="333" t="s">
        <v>1537</v>
      </c>
      <c r="O24" s="310" t="s">
        <v>3560</v>
      </c>
      <c r="P24" s="598"/>
      <c r="Q24" s="330"/>
      <c r="R24" s="320"/>
      <c r="S24" s="330"/>
      <c r="T24" s="766"/>
      <c r="U24" s="766"/>
      <c r="V24" s="766"/>
      <c r="W24" s="767"/>
      <c r="X24" s="252" t="s">
        <v>3561</v>
      </c>
      <c r="Y24" s="765">
        <v>8.219623344E9</v>
      </c>
      <c r="Z24" s="765"/>
      <c r="AA24" s="765"/>
      <c r="AB24" s="765"/>
      <c r="AC24" s="253" t="s">
        <v>284</v>
      </c>
    </row>
    <row r="25" ht="15.75" hidden="1" customHeight="1">
      <c r="A25" s="764">
        <v>43091.0</v>
      </c>
      <c r="B25" s="265" t="s">
        <v>101</v>
      </c>
      <c r="C25" s="765" t="s">
        <v>3471</v>
      </c>
      <c r="D25" s="252" t="s">
        <v>3566</v>
      </c>
      <c r="E25" s="252" t="s">
        <v>3567</v>
      </c>
      <c r="F25" s="253">
        <v>20.0</v>
      </c>
      <c r="G25" s="254">
        <v>93.0</v>
      </c>
      <c r="H25" s="255">
        <f t="shared" si="3"/>
        <v>1860</v>
      </c>
      <c r="I25" s="256" t="s">
        <v>3474</v>
      </c>
      <c r="J25" s="369" t="s">
        <v>3568</v>
      </c>
      <c r="K25" s="258">
        <v>43144.0</v>
      </c>
      <c r="L25" s="258">
        <v>43139.0</v>
      </c>
      <c r="M25" s="333">
        <v>2.018021300002E12</v>
      </c>
      <c r="N25" s="333" t="s">
        <v>2034</v>
      </c>
      <c r="O25" s="310" t="s">
        <v>3569</v>
      </c>
      <c r="P25" s="268">
        <v>1848.0</v>
      </c>
      <c r="Q25" s="330"/>
      <c r="R25" s="320" t="s">
        <v>2036</v>
      </c>
      <c r="S25" s="768">
        <v>43195.0</v>
      </c>
      <c r="T25" s="769">
        <v>43138.0</v>
      </c>
      <c r="U25" s="765" t="s">
        <v>3570</v>
      </c>
      <c r="V25" s="770">
        <v>178407.0</v>
      </c>
      <c r="W25" s="769">
        <v>43199.0</v>
      </c>
      <c r="X25" s="765" t="s">
        <v>3571</v>
      </c>
      <c r="Y25" s="765" t="s">
        <v>3572</v>
      </c>
      <c r="Z25" s="765"/>
      <c r="AA25" s="765"/>
      <c r="AB25" s="765"/>
      <c r="AC25" s="253" t="s">
        <v>284</v>
      </c>
    </row>
    <row r="26" ht="15.75" hidden="1" customHeight="1">
      <c r="A26" s="764">
        <v>43091.0</v>
      </c>
      <c r="B26" s="265" t="s">
        <v>101</v>
      </c>
      <c r="C26" s="765" t="s">
        <v>3471</v>
      </c>
      <c r="D26" s="252" t="s">
        <v>3566</v>
      </c>
      <c r="E26" s="252" t="s">
        <v>3573</v>
      </c>
      <c r="F26" s="253">
        <v>20.0</v>
      </c>
      <c r="G26" s="254">
        <v>73.0</v>
      </c>
      <c r="H26" s="255">
        <f t="shared" si="3"/>
        <v>1460</v>
      </c>
      <c r="I26" s="256" t="s">
        <v>3474</v>
      </c>
      <c r="J26" s="369" t="s">
        <v>3568</v>
      </c>
      <c r="K26" s="258">
        <v>43144.0</v>
      </c>
      <c r="L26" s="258">
        <v>43139.0</v>
      </c>
      <c r="M26" s="333">
        <v>2.018021300002E12</v>
      </c>
      <c r="N26" s="333" t="s">
        <v>2034</v>
      </c>
      <c r="O26" s="310" t="s">
        <v>3569</v>
      </c>
      <c r="P26" s="268">
        <v>1449.0</v>
      </c>
      <c r="Q26" s="330"/>
      <c r="R26" s="320" t="s">
        <v>2036</v>
      </c>
      <c r="S26" s="768">
        <v>43195.0</v>
      </c>
      <c r="T26" s="769">
        <v>43138.0</v>
      </c>
      <c r="U26" s="765" t="s">
        <v>3570</v>
      </c>
      <c r="V26" s="765" t="s">
        <v>3574</v>
      </c>
      <c r="W26" s="769">
        <v>43199.0</v>
      </c>
      <c r="X26" s="765" t="s">
        <v>3571</v>
      </c>
      <c r="Y26" s="765" t="s">
        <v>3572</v>
      </c>
      <c r="Z26" s="765"/>
      <c r="AA26" s="765"/>
      <c r="AB26" s="765"/>
      <c r="AC26" s="253" t="s">
        <v>284</v>
      </c>
    </row>
    <row r="27" ht="15.75" hidden="1" customHeight="1">
      <c r="A27" s="764">
        <v>43091.0</v>
      </c>
      <c r="B27" s="265" t="s">
        <v>101</v>
      </c>
      <c r="C27" s="765" t="s">
        <v>3471</v>
      </c>
      <c r="D27" s="252" t="s">
        <v>3566</v>
      </c>
      <c r="E27" s="252" t="s">
        <v>3575</v>
      </c>
      <c r="F27" s="253">
        <v>20.0</v>
      </c>
      <c r="G27" s="254">
        <v>140.0</v>
      </c>
      <c r="H27" s="255">
        <f t="shared" si="3"/>
        <v>2800</v>
      </c>
      <c r="I27" s="256" t="s">
        <v>3474</v>
      </c>
      <c r="J27" s="369" t="s">
        <v>3568</v>
      </c>
      <c r="K27" s="258">
        <v>43144.0</v>
      </c>
      <c r="L27" s="258">
        <v>43139.0</v>
      </c>
      <c r="M27" s="333">
        <v>2.018021300002E12</v>
      </c>
      <c r="N27" s="333" t="s">
        <v>2034</v>
      </c>
      <c r="O27" s="310" t="s">
        <v>3569</v>
      </c>
      <c r="P27" s="268">
        <v>2793.0</v>
      </c>
      <c r="Q27" s="330"/>
      <c r="R27" s="320" t="s">
        <v>2036</v>
      </c>
      <c r="S27" s="768">
        <v>43195.0</v>
      </c>
      <c r="T27" s="769">
        <v>43138.0</v>
      </c>
      <c r="U27" s="765" t="s">
        <v>3570</v>
      </c>
      <c r="V27" s="765" t="s">
        <v>3574</v>
      </c>
      <c r="W27" s="769">
        <v>43199.0</v>
      </c>
      <c r="X27" s="765" t="s">
        <v>3571</v>
      </c>
      <c r="Y27" s="765" t="s">
        <v>3572</v>
      </c>
      <c r="Z27" s="765"/>
      <c r="AA27" s="765"/>
      <c r="AB27" s="765"/>
      <c r="AC27" s="253" t="s">
        <v>284</v>
      </c>
    </row>
    <row r="28" ht="15.75" hidden="1" customHeight="1">
      <c r="A28" s="764">
        <v>43091.0</v>
      </c>
      <c r="B28" s="265" t="s">
        <v>101</v>
      </c>
      <c r="C28" s="765" t="s">
        <v>3471</v>
      </c>
      <c r="D28" s="252" t="s">
        <v>3566</v>
      </c>
      <c r="E28" s="252" t="s">
        <v>3576</v>
      </c>
      <c r="F28" s="253">
        <v>20.0</v>
      </c>
      <c r="G28" s="254">
        <v>2.0</v>
      </c>
      <c r="H28" s="255">
        <f t="shared" si="3"/>
        <v>40</v>
      </c>
      <c r="I28" s="256" t="s">
        <v>3474</v>
      </c>
      <c r="J28" s="369" t="s">
        <v>3568</v>
      </c>
      <c r="K28" s="258">
        <v>43144.0</v>
      </c>
      <c r="L28" s="258"/>
      <c r="M28" s="266"/>
      <c r="N28" s="266" t="s">
        <v>179</v>
      </c>
      <c r="O28" s="310" t="s">
        <v>3577</v>
      </c>
      <c r="P28" s="598"/>
      <c r="Q28" s="330"/>
      <c r="R28" s="310"/>
      <c r="S28" s="330"/>
      <c r="T28" s="766"/>
      <c r="U28" s="766"/>
      <c r="V28" s="766"/>
      <c r="W28" s="767"/>
      <c r="X28" s="765" t="s">
        <v>3571</v>
      </c>
      <c r="Y28" s="765" t="s">
        <v>3572</v>
      </c>
      <c r="Z28" s="765"/>
      <c r="AA28" s="765"/>
      <c r="AB28" s="765"/>
      <c r="AC28" s="253" t="s">
        <v>284</v>
      </c>
    </row>
    <row r="29" ht="15.75" hidden="1" customHeight="1">
      <c r="A29" s="764">
        <v>43091.0</v>
      </c>
      <c r="B29" s="265" t="s">
        <v>101</v>
      </c>
      <c r="C29" s="765" t="s">
        <v>3471</v>
      </c>
      <c r="D29" s="252" t="s">
        <v>3566</v>
      </c>
      <c r="E29" s="252" t="s">
        <v>3578</v>
      </c>
      <c r="F29" s="253">
        <v>20.0</v>
      </c>
      <c r="G29" s="254">
        <v>2.5</v>
      </c>
      <c r="H29" s="255">
        <f t="shared" si="3"/>
        <v>50</v>
      </c>
      <c r="I29" s="256" t="s">
        <v>3474</v>
      </c>
      <c r="J29" s="369" t="s">
        <v>3568</v>
      </c>
      <c r="K29" s="258">
        <v>43144.0</v>
      </c>
      <c r="L29" s="258"/>
      <c r="M29" s="266"/>
      <c r="N29" s="266" t="s">
        <v>179</v>
      </c>
      <c r="O29" s="650" t="s">
        <v>3579</v>
      </c>
      <c r="P29" s="598"/>
      <c r="Q29" s="330"/>
      <c r="R29" s="310"/>
      <c r="S29" s="330"/>
      <c r="T29" s="766"/>
      <c r="U29" s="766"/>
      <c r="V29" s="766"/>
      <c r="W29" s="767"/>
      <c r="X29" s="765" t="s">
        <v>3571</v>
      </c>
      <c r="Y29" s="765" t="s">
        <v>3572</v>
      </c>
      <c r="Z29" s="765"/>
      <c r="AA29" s="765"/>
      <c r="AB29" s="765"/>
      <c r="AC29" s="253" t="s">
        <v>284</v>
      </c>
    </row>
    <row r="30" ht="15.75" hidden="1" customHeight="1">
      <c r="A30" s="764">
        <v>43091.0</v>
      </c>
      <c r="B30" s="265" t="s">
        <v>101</v>
      </c>
      <c r="C30" s="765" t="s">
        <v>3471</v>
      </c>
      <c r="D30" s="252" t="s">
        <v>3566</v>
      </c>
      <c r="E30" s="252" t="s">
        <v>3580</v>
      </c>
      <c r="F30" s="253">
        <v>20.0</v>
      </c>
      <c r="G30" s="254">
        <v>4.0</v>
      </c>
      <c r="H30" s="255">
        <f t="shared" si="3"/>
        <v>80</v>
      </c>
      <c r="I30" s="256" t="s">
        <v>3474</v>
      </c>
      <c r="J30" s="369" t="s">
        <v>3568</v>
      </c>
      <c r="K30" s="258">
        <v>43144.0</v>
      </c>
      <c r="L30" s="258">
        <v>43139.0</v>
      </c>
      <c r="M30" s="333">
        <v>2.018021300002E12</v>
      </c>
      <c r="N30" s="333" t="s">
        <v>2034</v>
      </c>
      <c r="O30" s="310" t="s">
        <v>3569</v>
      </c>
      <c r="P30" s="268">
        <v>63.0</v>
      </c>
      <c r="Q30" s="330"/>
      <c r="R30" s="320" t="s">
        <v>2036</v>
      </c>
      <c r="S30" s="768">
        <v>43195.0</v>
      </c>
      <c r="T30" s="769">
        <v>43138.0</v>
      </c>
      <c r="U30" s="765" t="s">
        <v>3570</v>
      </c>
      <c r="V30" s="765" t="s">
        <v>3574</v>
      </c>
      <c r="W30" s="769">
        <v>43199.0</v>
      </c>
      <c r="X30" s="765" t="s">
        <v>3571</v>
      </c>
      <c r="Y30" s="765" t="s">
        <v>3572</v>
      </c>
      <c r="Z30" s="765"/>
      <c r="AA30" s="765"/>
      <c r="AB30" s="765"/>
      <c r="AC30" s="253" t="s">
        <v>284</v>
      </c>
    </row>
    <row r="31" ht="15.75" hidden="1" customHeight="1">
      <c r="A31" s="764">
        <v>43091.0</v>
      </c>
      <c r="B31" s="265" t="s">
        <v>101</v>
      </c>
      <c r="C31" s="765" t="s">
        <v>3471</v>
      </c>
      <c r="D31" s="252" t="s">
        <v>3566</v>
      </c>
      <c r="E31" s="252" t="s">
        <v>3581</v>
      </c>
      <c r="F31" s="253">
        <v>20.0</v>
      </c>
      <c r="G31" s="254">
        <v>8.0</v>
      </c>
      <c r="H31" s="255">
        <f t="shared" si="3"/>
        <v>160</v>
      </c>
      <c r="I31" s="256" t="s">
        <v>3474</v>
      </c>
      <c r="J31" s="369" t="s">
        <v>3568</v>
      </c>
      <c r="K31" s="258">
        <v>43144.0</v>
      </c>
      <c r="L31" s="630"/>
      <c r="M31" s="333"/>
      <c r="N31" s="333"/>
      <c r="O31" s="310"/>
      <c r="P31" s="598"/>
      <c r="Q31" s="331" t="s">
        <v>3582</v>
      </c>
      <c r="R31" s="310"/>
      <c r="S31" s="330"/>
      <c r="T31" s="766"/>
      <c r="U31" s="766"/>
      <c r="V31" s="766"/>
      <c r="W31" s="767"/>
      <c r="X31" s="765" t="s">
        <v>3571</v>
      </c>
      <c r="Y31" s="765" t="s">
        <v>3572</v>
      </c>
      <c r="Z31" s="765"/>
      <c r="AA31" s="765"/>
      <c r="AB31" s="765"/>
      <c r="AC31" s="253" t="s">
        <v>284</v>
      </c>
    </row>
    <row r="32" ht="15.75" hidden="1" customHeight="1">
      <c r="A32" s="764">
        <v>43095.0</v>
      </c>
      <c r="B32" s="265" t="s">
        <v>3506</v>
      </c>
      <c r="C32" s="765" t="s">
        <v>3471</v>
      </c>
      <c r="D32" s="252" t="s">
        <v>3583</v>
      </c>
      <c r="E32" s="252" t="s">
        <v>3584</v>
      </c>
      <c r="F32" s="253">
        <v>100.0</v>
      </c>
      <c r="G32" s="254">
        <v>174.5</v>
      </c>
      <c r="H32" s="255">
        <f t="shared" si="3"/>
        <v>17450</v>
      </c>
      <c r="I32" s="256" t="s">
        <v>3585</v>
      </c>
      <c r="J32" s="269" t="s">
        <v>3509</v>
      </c>
      <c r="K32" s="258">
        <v>43137.0</v>
      </c>
      <c r="L32" s="258">
        <v>43133.0</v>
      </c>
      <c r="M32" s="333"/>
      <c r="N32" s="333" t="s">
        <v>3510</v>
      </c>
      <c r="O32" s="310" t="s">
        <v>3586</v>
      </c>
      <c r="P32" s="268">
        <v>16590.0</v>
      </c>
      <c r="Q32" s="330"/>
      <c r="R32" s="310" t="s">
        <v>3512</v>
      </c>
      <c r="S32" s="330"/>
      <c r="T32" s="771">
        <v>43138.0</v>
      </c>
      <c r="U32" s="252" t="s">
        <v>3587</v>
      </c>
      <c r="V32" s="774">
        <v>481028.0</v>
      </c>
      <c r="W32" s="769">
        <v>43130.0</v>
      </c>
      <c r="X32" s="252" t="s">
        <v>3588</v>
      </c>
      <c r="Y32" s="782" t="s">
        <v>3589</v>
      </c>
      <c r="Z32" s="765"/>
      <c r="AA32" s="765"/>
      <c r="AB32" s="765"/>
      <c r="AC32" s="253" t="s">
        <v>284</v>
      </c>
    </row>
    <row r="33" ht="15.75" hidden="1" customHeight="1">
      <c r="A33" s="764">
        <v>43095.0</v>
      </c>
      <c r="B33" s="265" t="s">
        <v>416</v>
      </c>
      <c r="C33" s="765" t="s">
        <v>3471</v>
      </c>
      <c r="D33" s="252" t="s">
        <v>3590</v>
      </c>
      <c r="E33" s="252" t="s">
        <v>3591</v>
      </c>
      <c r="F33" s="253">
        <v>1.0</v>
      </c>
      <c r="G33" s="254">
        <v>352.0</v>
      </c>
      <c r="H33" s="255">
        <f t="shared" si="3"/>
        <v>352</v>
      </c>
      <c r="I33" s="256" t="s">
        <v>420</v>
      </c>
      <c r="J33" s="269" t="s">
        <v>3592</v>
      </c>
      <c r="K33" s="258">
        <v>43132.0</v>
      </c>
      <c r="L33" s="258">
        <v>43112.0</v>
      </c>
      <c r="M33" s="333">
        <v>2.018020100001E12</v>
      </c>
      <c r="N33" s="333" t="s">
        <v>3593</v>
      </c>
      <c r="O33" s="310" t="s">
        <v>3594</v>
      </c>
      <c r="P33" s="598"/>
      <c r="Q33" s="579">
        <v>10401.0</v>
      </c>
      <c r="R33" s="310" t="s">
        <v>2080</v>
      </c>
      <c r="S33" s="768">
        <v>43190.0</v>
      </c>
      <c r="T33" s="769">
        <v>43105.0</v>
      </c>
      <c r="U33" s="765" t="s">
        <v>3595</v>
      </c>
      <c r="V33" s="772">
        <v>10401.0</v>
      </c>
      <c r="W33" s="769">
        <v>43188.0</v>
      </c>
      <c r="X33" s="765" t="s">
        <v>3596</v>
      </c>
      <c r="Y33" s="765" t="s">
        <v>3597</v>
      </c>
      <c r="Z33" s="765"/>
      <c r="AA33" s="765"/>
      <c r="AB33" s="765"/>
      <c r="AC33" s="253" t="s">
        <v>284</v>
      </c>
    </row>
    <row r="34" ht="15.75" hidden="1" customHeight="1">
      <c r="A34" s="764">
        <v>43095.0</v>
      </c>
      <c r="B34" s="265" t="s">
        <v>416</v>
      </c>
      <c r="C34" s="765" t="s">
        <v>3471</v>
      </c>
      <c r="D34" s="252" t="s">
        <v>3590</v>
      </c>
      <c r="E34" s="252" t="s">
        <v>3598</v>
      </c>
      <c r="F34" s="253">
        <v>2.0</v>
      </c>
      <c r="G34" s="254">
        <v>56.0</v>
      </c>
      <c r="H34" s="255">
        <f t="shared" si="3"/>
        <v>112</v>
      </c>
      <c r="I34" s="256" t="s">
        <v>420</v>
      </c>
      <c r="J34" s="269" t="s">
        <v>3592</v>
      </c>
      <c r="K34" s="258">
        <v>43132.0</v>
      </c>
      <c r="L34" s="258">
        <v>43112.0</v>
      </c>
      <c r="M34" s="253"/>
      <c r="N34" s="253" t="s">
        <v>2086</v>
      </c>
      <c r="O34" s="310" t="s">
        <v>3599</v>
      </c>
      <c r="P34" s="598"/>
      <c r="Q34" s="310">
        <v>2520.0</v>
      </c>
      <c r="R34" s="604" t="s">
        <v>2088</v>
      </c>
      <c r="S34" s="330"/>
      <c r="T34" s="769">
        <v>43111.0</v>
      </c>
      <c r="U34" s="765" t="s">
        <v>3600</v>
      </c>
      <c r="V34" s="772">
        <v>2520.0</v>
      </c>
      <c r="W34" s="767"/>
      <c r="X34" s="765" t="s">
        <v>3596</v>
      </c>
      <c r="Y34" s="765" t="s">
        <v>3597</v>
      </c>
      <c r="Z34" s="765"/>
      <c r="AA34" s="765"/>
      <c r="AB34" s="765"/>
      <c r="AC34" s="253" t="s">
        <v>284</v>
      </c>
    </row>
    <row r="35" ht="15.75" hidden="1" customHeight="1">
      <c r="A35" s="764">
        <v>43095.0</v>
      </c>
      <c r="B35" s="265" t="s">
        <v>119</v>
      </c>
      <c r="C35" s="765" t="s">
        <v>3471</v>
      </c>
      <c r="D35" s="252" t="s">
        <v>3601</v>
      </c>
      <c r="E35" s="252" t="s">
        <v>3602</v>
      </c>
      <c r="F35" s="253">
        <v>7.0</v>
      </c>
      <c r="G35" s="254">
        <v>1020.0</v>
      </c>
      <c r="H35" s="255">
        <f t="shared" si="3"/>
        <v>7140</v>
      </c>
      <c r="I35" s="256" t="s">
        <v>420</v>
      </c>
      <c r="J35" s="269" t="s">
        <v>3603</v>
      </c>
      <c r="K35" s="258">
        <v>43143.0</v>
      </c>
      <c r="L35" s="258">
        <v>43131.0</v>
      </c>
      <c r="M35" s="333"/>
      <c r="N35" s="333" t="s">
        <v>90</v>
      </c>
      <c r="O35" s="310" t="s">
        <v>3604</v>
      </c>
      <c r="P35" s="268">
        <v>5880.0</v>
      </c>
      <c r="Q35" s="330"/>
      <c r="R35" s="340" t="s">
        <v>94</v>
      </c>
      <c r="S35" s="768">
        <v>43190.0</v>
      </c>
      <c r="T35" s="769">
        <v>43131.0</v>
      </c>
      <c r="U35" s="765" t="s">
        <v>3605</v>
      </c>
      <c r="V35" s="770">
        <v>1356851.0</v>
      </c>
      <c r="W35" s="769">
        <v>43188.0</v>
      </c>
      <c r="X35" s="252" t="s">
        <v>3606</v>
      </c>
      <c r="Y35" s="765" t="s">
        <v>3607</v>
      </c>
      <c r="Z35" s="765"/>
      <c r="AA35" s="765"/>
      <c r="AB35" s="765"/>
      <c r="AC35" s="253" t="s">
        <v>284</v>
      </c>
    </row>
    <row r="36" ht="15.75" hidden="1" customHeight="1">
      <c r="A36" s="764">
        <v>43095.0</v>
      </c>
      <c r="B36" s="265" t="s">
        <v>119</v>
      </c>
      <c r="C36" s="765" t="s">
        <v>3471</v>
      </c>
      <c r="D36" s="252" t="s">
        <v>3601</v>
      </c>
      <c r="E36" s="252" t="s">
        <v>3608</v>
      </c>
      <c r="F36" s="253">
        <v>60.0</v>
      </c>
      <c r="G36" s="254">
        <v>370.0</v>
      </c>
      <c r="H36" s="255">
        <f t="shared" si="3"/>
        <v>22200</v>
      </c>
      <c r="I36" s="256" t="s">
        <v>420</v>
      </c>
      <c r="J36" s="269" t="s">
        <v>3603</v>
      </c>
      <c r="K36" s="258">
        <v>43143.0</v>
      </c>
      <c r="L36" s="258">
        <v>43131.0</v>
      </c>
      <c r="M36" s="333"/>
      <c r="N36" s="333" t="s">
        <v>90</v>
      </c>
      <c r="O36" s="310" t="s">
        <v>3604</v>
      </c>
      <c r="P36" s="268">
        <v>20916.0</v>
      </c>
      <c r="Q36" s="330"/>
      <c r="R36" s="340" t="s">
        <v>94</v>
      </c>
      <c r="S36" s="768">
        <v>43190.0</v>
      </c>
      <c r="T36" s="769">
        <v>43131.0</v>
      </c>
      <c r="U36" s="765" t="s">
        <v>3605</v>
      </c>
      <c r="V36" s="765" t="s">
        <v>3609</v>
      </c>
      <c r="W36" s="769">
        <v>43188.0</v>
      </c>
      <c r="X36" s="252" t="s">
        <v>3606</v>
      </c>
      <c r="Y36" s="765" t="s">
        <v>3607</v>
      </c>
      <c r="Z36" s="765"/>
      <c r="AA36" s="765"/>
      <c r="AB36" s="765"/>
      <c r="AC36" s="253" t="s">
        <v>284</v>
      </c>
    </row>
    <row r="37" ht="15.75" hidden="1" customHeight="1">
      <c r="A37" s="764">
        <v>43095.0</v>
      </c>
      <c r="B37" s="265" t="s">
        <v>119</v>
      </c>
      <c r="C37" s="765" t="s">
        <v>3471</v>
      </c>
      <c r="D37" s="252" t="s">
        <v>3601</v>
      </c>
      <c r="E37" s="252" t="s">
        <v>3610</v>
      </c>
      <c r="F37" s="253">
        <v>8.0</v>
      </c>
      <c r="G37" s="254">
        <v>1045.0</v>
      </c>
      <c r="H37" s="255">
        <f t="shared" si="3"/>
        <v>8360</v>
      </c>
      <c r="I37" s="256" t="s">
        <v>420</v>
      </c>
      <c r="J37" s="269" t="s">
        <v>3603</v>
      </c>
      <c r="K37" s="258">
        <v>43143.0</v>
      </c>
      <c r="L37" s="258">
        <v>43131.0</v>
      </c>
      <c r="M37" s="333"/>
      <c r="N37" s="333" t="s">
        <v>90</v>
      </c>
      <c r="O37" s="310" t="s">
        <v>3604</v>
      </c>
      <c r="P37" s="268">
        <v>7728.0</v>
      </c>
      <c r="Q37" s="330"/>
      <c r="R37" s="340" t="s">
        <v>94</v>
      </c>
      <c r="S37" s="768">
        <v>43190.0</v>
      </c>
      <c r="T37" s="769">
        <v>43131.0</v>
      </c>
      <c r="U37" s="765" t="s">
        <v>3605</v>
      </c>
      <c r="V37" s="765" t="s">
        <v>3609</v>
      </c>
      <c r="W37" s="769">
        <v>43188.0</v>
      </c>
      <c r="X37" s="252" t="s">
        <v>3606</v>
      </c>
      <c r="Y37" s="765" t="s">
        <v>3607</v>
      </c>
      <c r="Z37" s="765"/>
      <c r="AA37" s="765"/>
      <c r="AB37" s="765"/>
      <c r="AC37" s="253" t="s">
        <v>284</v>
      </c>
    </row>
    <row r="38" ht="15.75" hidden="1" customHeight="1">
      <c r="A38" s="764">
        <v>43095.0</v>
      </c>
      <c r="B38" s="265" t="s">
        <v>119</v>
      </c>
      <c r="C38" s="765" t="s">
        <v>3471</v>
      </c>
      <c r="D38" s="252" t="s">
        <v>3601</v>
      </c>
      <c r="E38" s="252" t="s">
        <v>3611</v>
      </c>
      <c r="F38" s="253">
        <v>14.0</v>
      </c>
      <c r="G38" s="254">
        <v>335.0</v>
      </c>
      <c r="H38" s="255">
        <f t="shared" si="3"/>
        <v>4690</v>
      </c>
      <c r="I38" s="256" t="s">
        <v>420</v>
      </c>
      <c r="J38" s="269" t="s">
        <v>3603</v>
      </c>
      <c r="K38" s="258">
        <v>43143.0</v>
      </c>
      <c r="L38" s="258">
        <v>43131.0</v>
      </c>
      <c r="M38" s="333"/>
      <c r="N38" s="333" t="s">
        <v>90</v>
      </c>
      <c r="O38" s="310" t="s">
        <v>3604</v>
      </c>
      <c r="P38" s="268">
        <v>4263.0</v>
      </c>
      <c r="Q38" s="330"/>
      <c r="R38" s="340" t="s">
        <v>94</v>
      </c>
      <c r="S38" s="768">
        <v>43190.0</v>
      </c>
      <c r="T38" s="769">
        <v>43131.0</v>
      </c>
      <c r="U38" s="765" t="s">
        <v>3605</v>
      </c>
      <c r="V38" s="765" t="s">
        <v>3609</v>
      </c>
      <c r="W38" s="769">
        <v>43188.0</v>
      </c>
      <c r="X38" s="252" t="s">
        <v>3606</v>
      </c>
      <c r="Y38" s="765" t="s">
        <v>3607</v>
      </c>
      <c r="Z38" s="765"/>
      <c r="AA38" s="765"/>
      <c r="AB38" s="765"/>
      <c r="AC38" s="253" t="s">
        <v>284</v>
      </c>
    </row>
    <row r="39" ht="15.75" hidden="1" customHeight="1">
      <c r="A39" s="764">
        <v>43095.0</v>
      </c>
      <c r="B39" s="265" t="s">
        <v>119</v>
      </c>
      <c r="C39" s="765" t="s">
        <v>3471</v>
      </c>
      <c r="D39" s="252" t="s">
        <v>3601</v>
      </c>
      <c r="E39" s="252" t="s">
        <v>3612</v>
      </c>
      <c r="F39" s="253">
        <v>13.0</v>
      </c>
      <c r="G39" s="254">
        <v>500.0</v>
      </c>
      <c r="H39" s="255">
        <f t="shared" si="3"/>
        <v>6500</v>
      </c>
      <c r="I39" s="256" t="s">
        <v>420</v>
      </c>
      <c r="J39" s="269" t="s">
        <v>3603</v>
      </c>
      <c r="K39" s="258">
        <v>43143.0</v>
      </c>
      <c r="L39" s="258">
        <v>43131.0</v>
      </c>
      <c r="M39" s="333"/>
      <c r="N39" s="333" t="s">
        <v>90</v>
      </c>
      <c r="O39" s="310" t="s">
        <v>3604</v>
      </c>
      <c r="P39" s="268">
        <v>5801.25</v>
      </c>
      <c r="Q39" s="330"/>
      <c r="R39" s="340" t="s">
        <v>94</v>
      </c>
      <c r="S39" s="768">
        <v>43190.0</v>
      </c>
      <c r="T39" s="769">
        <v>43131.0</v>
      </c>
      <c r="U39" s="765" t="s">
        <v>3605</v>
      </c>
      <c r="V39" s="765" t="s">
        <v>3609</v>
      </c>
      <c r="W39" s="769">
        <v>43188.0</v>
      </c>
      <c r="X39" s="252" t="s">
        <v>3606</v>
      </c>
      <c r="Y39" s="765" t="s">
        <v>3607</v>
      </c>
      <c r="Z39" s="765"/>
      <c r="AA39" s="765"/>
      <c r="AB39" s="765"/>
      <c r="AC39" s="253" t="s">
        <v>284</v>
      </c>
    </row>
    <row r="40" ht="15.75" hidden="1" customHeight="1">
      <c r="A40" s="764">
        <v>43095.0</v>
      </c>
      <c r="B40" s="265" t="s">
        <v>119</v>
      </c>
      <c r="C40" s="765" t="s">
        <v>3471</v>
      </c>
      <c r="D40" s="252" t="s">
        <v>3601</v>
      </c>
      <c r="E40" s="252" t="s">
        <v>3613</v>
      </c>
      <c r="F40" s="253">
        <v>24.0</v>
      </c>
      <c r="G40" s="254">
        <v>46.0</v>
      </c>
      <c r="H40" s="255">
        <f t="shared" si="3"/>
        <v>1104</v>
      </c>
      <c r="I40" s="256" t="s">
        <v>420</v>
      </c>
      <c r="J40" s="269" t="s">
        <v>3603</v>
      </c>
      <c r="K40" s="258">
        <v>43143.0</v>
      </c>
      <c r="L40" s="258">
        <v>43131.0</v>
      </c>
      <c r="M40" s="333"/>
      <c r="N40" s="333" t="s">
        <v>90</v>
      </c>
      <c r="O40" s="310" t="s">
        <v>3604</v>
      </c>
      <c r="P40" s="268">
        <v>957.6</v>
      </c>
      <c r="Q40" s="330"/>
      <c r="R40" s="340" t="s">
        <v>94</v>
      </c>
      <c r="S40" s="768">
        <v>43190.0</v>
      </c>
      <c r="T40" s="769">
        <v>43131.0</v>
      </c>
      <c r="U40" s="765" t="s">
        <v>3605</v>
      </c>
      <c r="V40" s="765" t="s">
        <v>3609</v>
      </c>
      <c r="W40" s="769">
        <v>43188.0</v>
      </c>
      <c r="X40" s="252" t="s">
        <v>3606</v>
      </c>
      <c r="Y40" s="765" t="s">
        <v>3607</v>
      </c>
      <c r="Z40" s="765"/>
      <c r="AA40" s="765"/>
      <c r="AB40" s="765"/>
      <c r="AC40" s="253" t="s">
        <v>284</v>
      </c>
    </row>
    <row r="41" ht="15.75" hidden="1" customHeight="1">
      <c r="A41" s="764">
        <v>43095.0</v>
      </c>
      <c r="B41" s="265" t="s">
        <v>119</v>
      </c>
      <c r="C41" s="765" t="s">
        <v>3471</v>
      </c>
      <c r="D41" s="252" t="s">
        <v>3601</v>
      </c>
      <c r="E41" s="252" t="s">
        <v>3614</v>
      </c>
      <c r="F41" s="253">
        <v>3.0</v>
      </c>
      <c r="G41" s="254">
        <v>179.0</v>
      </c>
      <c r="H41" s="255">
        <f t="shared" si="3"/>
        <v>537</v>
      </c>
      <c r="I41" s="256" t="s">
        <v>420</v>
      </c>
      <c r="J41" s="269" t="s">
        <v>3603</v>
      </c>
      <c r="K41" s="258">
        <v>43143.0</v>
      </c>
      <c r="L41" s="258">
        <v>43131.0</v>
      </c>
      <c r="M41" s="333"/>
      <c r="N41" s="333" t="s">
        <v>90</v>
      </c>
      <c r="O41" s="310" t="s">
        <v>3604</v>
      </c>
      <c r="P41" s="268">
        <v>472.5</v>
      </c>
      <c r="Q41" s="330"/>
      <c r="R41" s="340" t="s">
        <v>94</v>
      </c>
      <c r="S41" s="768">
        <v>43190.0</v>
      </c>
      <c r="T41" s="769">
        <v>43131.0</v>
      </c>
      <c r="U41" s="765" t="s">
        <v>3605</v>
      </c>
      <c r="V41" s="765" t="s">
        <v>3609</v>
      </c>
      <c r="W41" s="769">
        <v>43188.0</v>
      </c>
      <c r="X41" s="252" t="s">
        <v>3606</v>
      </c>
      <c r="Y41" s="765" t="s">
        <v>3607</v>
      </c>
      <c r="Z41" s="765"/>
      <c r="AA41" s="765"/>
      <c r="AB41" s="765"/>
      <c r="AC41" s="253" t="s">
        <v>284</v>
      </c>
    </row>
    <row r="42" ht="15.75" hidden="1" customHeight="1">
      <c r="A42" s="274">
        <v>43095.0</v>
      </c>
      <c r="B42" s="783" t="s">
        <v>119</v>
      </c>
      <c r="C42" s="765" t="s">
        <v>3471</v>
      </c>
      <c r="D42" s="276" t="s">
        <v>3615</v>
      </c>
      <c r="E42" s="276" t="s">
        <v>3616</v>
      </c>
      <c r="F42" s="279">
        <v>2.0</v>
      </c>
      <c r="G42" s="280">
        <v>1435.0</v>
      </c>
      <c r="H42" s="289"/>
      <c r="I42" s="282" t="s">
        <v>420</v>
      </c>
      <c r="J42" s="784" t="s">
        <v>3603</v>
      </c>
      <c r="K42" s="291">
        <v>43143.0</v>
      </c>
      <c r="L42" s="291"/>
      <c r="M42" s="283"/>
      <c r="N42" s="283"/>
      <c r="O42" s="785"/>
      <c r="P42" s="583"/>
      <c r="Q42" s="582"/>
      <c r="R42" s="786"/>
      <c r="S42" s="582"/>
      <c r="T42" s="787"/>
      <c r="U42" s="787"/>
      <c r="V42" s="787"/>
      <c r="W42" s="788"/>
      <c r="X42" s="252"/>
      <c r="Y42" s="765"/>
      <c r="Z42" s="789"/>
      <c r="AA42" s="789"/>
      <c r="AB42" s="789"/>
      <c r="AC42" s="253" t="s">
        <v>3617</v>
      </c>
    </row>
    <row r="43" ht="15.75" hidden="1" customHeight="1">
      <c r="A43" s="764">
        <v>43095.0</v>
      </c>
      <c r="B43" s="265" t="s">
        <v>119</v>
      </c>
      <c r="C43" s="765" t="s">
        <v>3471</v>
      </c>
      <c r="D43" s="252" t="s">
        <v>3601</v>
      </c>
      <c r="E43" s="252" t="s">
        <v>3618</v>
      </c>
      <c r="F43" s="253">
        <v>100.0</v>
      </c>
      <c r="G43" s="254">
        <v>105.0</v>
      </c>
      <c r="H43" s="255">
        <f t="shared" ref="H43:H51" si="4">G43*F43</f>
        <v>10500</v>
      </c>
      <c r="I43" s="256" t="s">
        <v>420</v>
      </c>
      <c r="J43" s="269" t="s">
        <v>3603</v>
      </c>
      <c r="K43" s="258">
        <v>43143.0</v>
      </c>
      <c r="L43" s="258">
        <v>43131.0</v>
      </c>
      <c r="M43" s="333"/>
      <c r="N43" s="333" t="s">
        <v>90</v>
      </c>
      <c r="O43" s="310" t="s">
        <v>3619</v>
      </c>
      <c r="P43" s="268">
        <v>8610.0</v>
      </c>
      <c r="Q43" s="596"/>
      <c r="R43" s="340" t="s">
        <v>94</v>
      </c>
      <c r="S43" s="768">
        <v>43190.0</v>
      </c>
      <c r="T43" s="769">
        <v>43131.0</v>
      </c>
      <c r="U43" s="765" t="s">
        <v>3620</v>
      </c>
      <c r="V43" s="772">
        <v>253866.0</v>
      </c>
      <c r="W43" s="771">
        <v>43167.0</v>
      </c>
      <c r="X43" s="252" t="s">
        <v>3606</v>
      </c>
      <c r="Y43" s="765" t="s">
        <v>3607</v>
      </c>
      <c r="Z43" s="765"/>
      <c r="AA43" s="765"/>
      <c r="AB43" s="765"/>
      <c r="AC43" s="253" t="s">
        <v>284</v>
      </c>
    </row>
    <row r="44" ht="15.75" hidden="1" customHeight="1">
      <c r="A44" s="764">
        <v>43097.0</v>
      </c>
      <c r="B44" s="597" t="s">
        <v>406</v>
      </c>
      <c r="C44" s="765" t="s">
        <v>3471</v>
      </c>
      <c r="D44" s="252" t="s">
        <v>3621</v>
      </c>
      <c r="E44" s="252" t="s">
        <v>3622</v>
      </c>
      <c r="F44" s="253">
        <v>2.0</v>
      </c>
      <c r="G44" s="254">
        <v>129.0</v>
      </c>
      <c r="H44" s="255">
        <f t="shared" si="4"/>
        <v>258</v>
      </c>
      <c r="I44" s="256" t="s">
        <v>43</v>
      </c>
      <c r="J44" s="777" t="s">
        <v>3623</v>
      </c>
      <c r="K44" s="258">
        <v>43104.0</v>
      </c>
      <c r="L44" s="258">
        <v>43103.0</v>
      </c>
      <c r="M44" s="333"/>
      <c r="N44" s="333" t="s">
        <v>3593</v>
      </c>
      <c r="O44" s="310" t="s">
        <v>3624</v>
      </c>
      <c r="P44" s="790"/>
      <c r="Q44" s="579">
        <v>7520.0</v>
      </c>
      <c r="R44" s="310" t="s">
        <v>2080</v>
      </c>
      <c r="S44" s="768">
        <v>43190.0</v>
      </c>
      <c r="T44" s="769">
        <v>43102.0</v>
      </c>
      <c r="U44" s="765" t="s">
        <v>3625</v>
      </c>
      <c r="V44" s="772">
        <v>7520.0</v>
      </c>
      <c r="W44" s="769">
        <v>43188.0</v>
      </c>
      <c r="X44" s="252" t="s">
        <v>3626</v>
      </c>
      <c r="Y44" s="765">
        <v>7.972488845E9</v>
      </c>
      <c r="Z44" s="765"/>
      <c r="AA44" s="765"/>
      <c r="AB44" s="765"/>
      <c r="AC44" s="253" t="s">
        <v>284</v>
      </c>
    </row>
    <row r="45" ht="15.75" hidden="1" customHeight="1">
      <c r="A45" s="764">
        <v>43097.0</v>
      </c>
      <c r="B45" s="265" t="s">
        <v>621</v>
      </c>
      <c r="C45" s="765" t="s">
        <v>3471</v>
      </c>
      <c r="D45" s="252" t="s">
        <v>3627</v>
      </c>
      <c r="E45" s="252" t="s">
        <v>3628</v>
      </c>
      <c r="F45" s="253">
        <v>2.0</v>
      </c>
      <c r="G45" s="254">
        <f>183*1.05</f>
        <v>192.15</v>
      </c>
      <c r="H45" s="255">
        <f t="shared" si="4"/>
        <v>384.3</v>
      </c>
      <c r="I45" s="256" t="s">
        <v>3474</v>
      </c>
      <c r="J45" s="269" t="s">
        <v>233</v>
      </c>
      <c r="K45" s="258">
        <v>43111.0</v>
      </c>
      <c r="L45" s="258">
        <v>43111.0</v>
      </c>
      <c r="M45" s="333"/>
      <c r="N45" s="333" t="s">
        <v>90</v>
      </c>
      <c r="O45" s="310" t="s">
        <v>3629</v>
      </c>
      <c r="P45" s="268">
        <v>357.0</v>
      </c>
      <c r="Q45" s="330"/>
      <c r="R45" s="340" t="s">
        <v>94</v>
      </c>
      <c r="S45" s="768">
        <v>43159.0</v>
      </c>
      <c r="T45" s="769">
        <v>43112.0</v>
      </c>
      <c r="U45" s="765" t="s">
        <v>3630</v>
      </c>
      <c r="V45" s="770">
        <v>10514.0</v>
      </c>
      <c r="W45" s="771">
        <v>43164.0</v>
      </c>
      <c r="X45" s="765" t="s">
        <v>3631</v>
      </c>
      <c r="Y45" s="765"/>
      <c r="Z45" s="765" t="s">
        <v>3632</v>
      </c>
      <c r="AA45" s="772">
        <v>11366.0</v>
      </c>
      <c r="AB45" s="765" t="s">
        <v>3633</v>
      </c>
      <c r="AC45" s="253" t="s">
        <v>377</v>
      </c>
    </row>
    <row r="46" ht="15.75" hidden="1" customHeight="1">
      <c r="A46" s="764">
        <v>43102.0</v>
      </c>
      <c r="B46" s="265" t="s">
        <v>229</v>
      </c>
      <c r="C46" s="765" t="s">
        <v>3471</v>
      </c>
      <c r="D46" s="252" t="s">
        <v>3634</v>
      </c>
      <c r="E46" s="252" t="s">
        <v>462</v>
      </c>
      <c r="F46" s="253">
        <v>32.0</v>
      </c>
      <c r="G46" s="254">
        <v>407.4</v>
      </c>
      <c r="H46" s="255">
        <f t="shared" si="4"/>
        <v>13036.8</v>
      </c>
      <c r="I46" s="256" t="s">
        <v>171</v>
      </c>
      <c r="J46" s="269" t="s">
        <v>233</v>
      </c>
      <c r="K46" s="258">
        <v>43118.0</v>
      </c>
      <c r="L46" s="258">
        <v>43118.0</v>
      </c>
      <c r="M46" s="333"/>
      <c r="N46" s="333" t="s">
        <v>90</v>
      </c>
      <c r="O46" s="310" t="s">
        <v>3635</v>
      </c>
      <c r="P46" s="268">
        <v>11928.0</v>
      </c>
      <c r="Q46" s="330"/>
      <c r="R46" s="340" t="s">
        <v>94</v>
      </c>
      <c r="S46" s="330"/>
      <c r="T46" s="769">
        <v>43118.0</v>
      </c>
      <c r="U46" s="770" t="s">
        <v>3636</v>
      </c>
      <c r="V46" s="770">
        <v>351280.0</v>
      </c>
      <c r="W46" s="769">
        <v>43126.0</v>
      </c>
      <c r="X46" s="765" t="s">
        <v>3637</v>
      </c>
      <c r="Y46" s="765"/>
      <c r="Z46" s="765" t="s">
        <v>3638</v>
      </c>
      <c r="AA46" s="772">
        <v>385107.0</v>
      </c>
      <c r="AB46" s="765" t="s">
        <v>3639</v>
      </c>
      <c r="AC46" s="253" t="s">
        <v>377</v>
      </c>
    </row>
    <row r="47" ht="15.75" hidden="1" customHeight="1">
      <c r="A47" s="764">
        <v>43102.0</v>
      </c>
      <c r="B47" s="265" t="s">
        <v>3640</v>
      </c>
      <c r="C47" s="765" t="s">
        <v>3471</v>
      </c>
      <c r="D47" s="252" t="s">
        <v>3641</v>
      </c>
      <c r="E47" s="252" t="s">
        <v>3642</v>
      </c>
      <c r="F47" s="253">
        <v>15.0</v>
      </c>
      <c r="G47" s="254">
        <v>281.0</v>
      </c>
      <c r="H47" s="255">
        <f t="shared" si="4"/>
        <v>4215</v>
      </c>
      <c r="I47" s="256" t="s">
        <v>3474</v>
      </c>
      <c r="J47" s="269" t="s">
        <v>3259</v>
      </c>
      <c r="K47" s="258">
        <v>43137.0</v>
      </c>
      <c r="L47" s="258">
        <v>43137.0</v>
      </c>
      <c r="M47" s="333">
        <v>2.018020600001E12</v>
      </c>
      <c r="N47" s="333" t="s">
        <v>3643</v>
      </c>
      <c r="O47" s="252" t="s">
        <v>3644</v>
      </c>
      <c r="P47" s="268">
        <v>4142.25</v>
      </c>
      <c r="Q47" s="330"/>
      <c r="R47" s="320" t="s">
        <v>2036</v>
      </c>
      <c r="S47" s="768">
        <v>43195.0</v>
      </c>
      <c r="T47" s="769">
        <v>43136.0</v>
      </c>
      <c r="U47" s="765" t="s">
        <v>3645</v>
      </c>
      <c r="V47" s="770">
        <v>206872.0</v>
      </c>
      <c r="W47" s="769">
        <v>43199.0</v>
      </c>
      <c r="X47" s="765" t="s">
        <v>3646</v>
      </c>
      <c r="Y47" s="765" t="s">
        <v>3647</v>
      </c>
      <c r="Z47" s="765"/>
      <c r="AA47" s="765"/>
      <c r="AB47" s="765"/>
      <c r="AC47" s="253" t="s">
        <v>284</v>
      </c>
    </row>
    <row r="48" ht="15.75" hidden="1" customHeight="1">
      <c r="A48" s="764">
        <v>43102.0</v>
      </c>
      <c r="B48" s="265" t="s">
        <v>3640</v>
      </c>
      <c r="C48" s="765" t="s">
        <v>3471</v>
      </c>
      <c r="D48" s="252" t="s">
        <v>3641</v>
      </c>
      <c r="E48" s="252" t="s">
        <v>3648</v>
      </c>
      <c r="F48" s="253">
        <v>30.0</v>
      </c>
      <c r="G48" s="254">
        <v>102.0</v>
      </c>
      <c r="H48" s="255">
        <f t="shared" si="4"/>
        <v>3060</v>
      </c>
      <c r="I48" s="256" t="s">
        <v>3474</v>
      </c>
      <c r="J48" s="269" t="s">
        <v>3259</v>
      </c>
      <c r="K48" s="258">
        <v>43137.0</v>
      </c>
      <c r="L48" s="258">
        <v>43137.0</v>
      </c>
      <c r="M48" s="333">
        <v>2.018020600001E12</v>
      </c>
      <c r="N48" s="333" t="s">
        <v>2034</v>
      </c>
      <c r="O48" s="252" t="s">
        <v>3644</v>
      </c>
      <c r="P48" s="268">
        <v>2992.5</v>
      </c>
      <c r="Q48" s="330"/>
      <c r="R48" s="320" t="s">
        <v>2036</v>
      </c>
      <c r="S48" s="768">
        <v>43195.0</v>
      </c>
      <c r="T48" s="769">
        <v>43136.0</v>
      </c>
      <c r="U48" s="765" t="s">
        <v>3645</v>
      </c>
      <c r="V48" s="765" t="s">
        <v>3649</v>
      </c>
      <c r="W48" s="769">
        <v>43199.0</v>
      </c>
      <c r="X48" s="765" t="s">
        <v>3646</v>
      </c>
      <c r="Y48" s="765" t="s">
        <v>3647</v>
      </c>
      <c r="Z48" s="765"/>
      <c r="AA48" s="765"/>
      <c r="AB48" s="765"/>
      <c r="AC48" s="253" t="s">
        <v>284</v>
      </c>
    </row>
    <row r="49" ht="15.75" hidden="1" customHeight="1">
      <c r="A49" s="764">
        <v>43103.0</v>
      </c>
      <c r="B49" s="597" t="s">
        <v>406</v>
      </c>
      <c r="C49" s="765" t="s">
        <v>3471</v>
      </c>
      <c r="D49" s="252" t="s">
        <v>3650</v>
      </c>
      <c r="E49" s="252" t="s">
        <v>3651</v>
      </c>
      <c r="F49" s="253">
        <v>1.0</v>
      </c>
      <c r="G49" s="254">
        <v>397.0</v>
      </c>
      <c r="H49" s="255">
        <f t="shared" si="4"/>
        <v>397</v>
      </c>
      <c r="I49" s="256" t="s">
        <v>43</v>
      </c>
      <c r="J49" s="777" t="s">
        <v>3623</v>
      </c>
      <c r="K49" s="258">
        <v>43110.0</v>
      </c>
      <c r="L49" s="258">
        <v>43108.0</v>
      </c>
      <c r="M49" s="333"/>
      <c r="N49" s="333" t="s">
        <v>3593</v>
      </c>
      <c r="O49" s="310" t="s">
        <v>3652</v>
      </c>
      <c r="P49" s="598"/>
      <c r="Q49" s="579">
        <v>11599.0</v>
      </c>
      <c r="R49" s="310" t="s">
        <v>2080</v>
      </c>
      <c r="S49" s="768">
        <v>43190.0</v>
      </c>
      <c r="T49" s="769">
        <v>43105.0</v>
      </c>
      <c r="U49" s="765" t="s">
        <v>3653</v>
      </c>
      <c r="V49" s="772">
        <v>11599.0</v>
      </c>
      <c r="W49" s="769">
        <v>43188.0</v>
      </c>
      <c r="X49" s="252" t="s">
        <v>3654</v>
      </c>
      <c r="Y49" s="765">
        <v>1.337859946E9</v>
      </c>
      <c r="Z49" s="765"/>
      <c r="AA49" s="765"/>
      <c r="AB49" s="765"/>
      <c r="AC49" s="253" t="s">
        <v>284</v>
      </c>
    </row>
    <row r="50" ht="15.75" hidden="1" customHeight="1">
      <c r="A50" s="764">
        <v>43103.0</v>
      </c>
      <c r="B50" s="265" t="s">
        <v>579</v>
      </c>
      <c r="C50" s="765" t="s">
        <v>3471</v>
      </c>
      <c r="D50" s="252" t="s">
        <v>3655</v>
      </c>
      <c r="E50" s="252" t="s">
        <v>581</v>
      </c>
      <c r="F50" s="253">
        <v>80.0</v>
      </c>
      <c r="G50" s="254">
        <v>94.5</v>
      </c>
      <c r="H50" s="255">
        <f t="shared" si="4"/>
        <v>7560</v>
      </c>
      <c r="I50" s="256" t="s">
        <v>171</v>
      </c>
      <c r="J50" s="333" t="s">
        <v>582</v>
      </c>
      <c r="K50" s="258">
        <v>43119.0</v>
      </c>
      <c r="L50" s="258">
        <v>43119.0</v>
      </c>
      <c r="M50" s="333"/>
      <c r="N50" s="333" t="s">
        <v>1439</v>
      </c>
      <c r="O50" s="310" t="s">
        <v>3656</v>
      </c>
      <c r="P50" s="598"/>
      <c r="Q50" s="579">
        <v>199013.0</v>
      </c>
      <c r="R50" s="310" t="s">
        <v>1976</v>
      </c>
      <c r="S50" s="768">
        <v>43164.0</v>
      </c>
      <c r="T50" s="769">
        <v>43119.0</v>
      </c>
      <c r="U50" s="765" t="s">
        <v>3657</v>
      </c>
      <c r="V50" s="772">
        <v>199013.0</v>
      </c>
      <c r="W50" s="769">
        <v>43165.0</v>
      </c>
      <c r="X50" s="765" t="s">
        <v>3658</v>
      </c>
      <c r="Y50" s="765"/>
      <c r="Z50" s="765" t="s">
        <v>3659</v>
      </c>
      <c r="AA50" s="772">
        <v>226800.0</v>
      </c>
      <c r="AB50" s="765" t="s">
        <v>3660</v>
      </c>
      <c r="AC50" s="253" t="s">
        <v>377</v>
      </c>
    </row>
    <row r="51" ht="15.75" hidden="1" customHeight="1">
      <c r="A51" s="764">
        <v>43103.0</v>
      </c>
      <c r="B51" s="265" t="s">
        <v>101</v>
      </c>
      <c r="C51" s="765" t="s">
        <v>3471</v>
      </c>
      <c r="D51" s="252" t="s">
        <v>3661</v>
      </c>
      <c r="E51" s="252" t="s">
        <v>3662</v>
      </c>
      <c r="F51" s="253">
        <v>2.0</v>
      </c>
      <c r="G51" s="254">
        <v>9.0</v>
      </c>
      <c r="H51" s="255">
        <f t="shared" si="4"/>
        <v>18</v>
      </c>
      <c r="I51" s="256" t="s">
        <v>3474</v>
      </c>
      <c r="J51" s="269" t="s">
        <v>3663</v>
      </c>
      <c r="K51" s="258">
        <v>43111.0</v>
      </c>
      <c r="L51" s="258">
        <v>43110.0</v>
      </c>
      <c r="M51" s="333"/>
      <c r="N51" s="333" t="s">
        <v>2028</v>
      </c>
      <c r="O51" s="310" t="s">
        <v>3664</v>
      </c>
      <c r="P51" s="598"/>
      <c r="Q51" s="310">
        <v>498.0</v>
      </c>
      <c r="R51" s="340" t="s">
        <v>2030</v>
      </c>
      <c r="S51" s="768">
        <v>43164.0</v>
      </c>
      <c r="T51" s="769">
        <v>43109.0</v>
      </c>
      <c r="U51" s="252" t="s">
        <v>3665</v>
      </c>
      <c r="V51" s="252">
        <v>498.0</v>
      </c>
      <c r="W51" s="771">
        <v>43164.0</v>
      </c>
      <c r="X51" s="252" t="s">
        <v>3666</v>
      </c>
      <c r="Y51" s="765" t="s">
        <v>3667</v>
      </c>
      <c r="Z51" s="765"/>
      <c r="AA51" s="765"/>
      <c r="AB51" s="765"/>
      <c r="AC51" s="253" t="s">
        <v>284</v>
      </c>
    </row>
    <row r="52" ht="15.75" hidden="1" customHeight="1">
      <c r="A52" s="764">
        <v>43103.0</v>
      </c>
      <c r="B52" s="265" t="s">
        <v>101</v>
      </c>
      <c r="C52" s="765" t="s">
        <v>3471</v>
      </c>
      <c r="D52" s="252" t="s">
        <v>3661</v>
      </c>
      <c r="E52" s="252" t="s">
        <v>3668</v>
      </c>
      <c r="F52" s="253">
        <v>1.0</v>
      </c>
      <c r="G52" s="254">
        <v>40.0</v>
      </c>
      <c r="H52" s="255">
        <v>40.0</v>
      </c>
      <c r="I52" s="256" t="s">
        <v>3474</v>
      </c>
      <c r="J52" s="269" t="s">
        <v>3663</v>
      </c>
      <c r="K52" s="258">
        <v>43111.0</v>
      </c>
      <c r="L52" s="258"/>
      <c r="M52" s="333"/>
      <c r="N52" s="333" t="s">
        <v>3663</v>
      </c>
      <c r="O52" s="310"/>
      <c r="P52" s="598"/>
      <c r="Q52" s="791">
        <v>1110.0</v>
      </c>
      <c r="R52" s="310" t="s">
        <v>3669</v>
      </c>
      <c r="S52" s="330"/>
      <c r="T52" s="766"/>
      <c r="U52" s="766"/>
      <c r="V52" s="766"/>
      <c r="W52" s="767"/>
      <c r="X52" s="766"/>
      <c r="Y52" s="765"/>
      <c r="Z52" s="765"/>
      <c r="AA52" s="765"/>
      <c r="AB52" s="765"/>
      <c r="AC52" s="253" t="s">
        <v>284</v>
      </c>
    </row>
    <row r="53" ht="15.75" hidden="1" customHeight="1">
      <c r="A53" s="764">
        <v>43104.0</v>
      </c>
      <c r="B53" s="597" t="s">
        <v>406</v>
      </c>
      <c r="C53" s="765" t="s">
        <v>3471</v>
      </c>
      <c r="D53" s="252" t="s">
        <v>3670</v>
      </c>
      <c r="E53" s="252" t="s">
        <v>3671</v>
      </c>
      <c r="F53" s="253">
        <v>2.0</v>
      </c>
      <c r="G53" s="254">
        <v>145.0</v>
      </c>
      <c r="H53" s="255">
        <f t="shared" ref="H53:H86" si="5">G53*F53</f>
        <v>290</v>
      </c>
      <c r="I53" s="256" t="s">
        <v>43</v>
      </c>
      <c r="J53" s="777" t="s">
        <v>3623</v>
      </c>
      <c r="K53" s="258">
        <v>43110.0</v>
      </c>
      <c r="L53" s="258">
        <v>43110.0</v>
      </c>
      <c r="M53" s="333"/>
      <c r="N53" s="333" t="s">
        <v>3593</v>
      </c>
      <c r="O53" s="310" t="s">
        <v>3672</v>
      </c>
      <c r="P53" s="598"/>
      <c r="Q53" s="579">
        <v>8232.0</v>
      </c>
      <c r="R53" s="310" t="s">
        <v>2080</v>
      </c>
      <c r="S53" s="768">
        <v>43190.0</v>
      </c>
      <c r="T53" s="769">
        <v>43109.0</v>
      </c>
      <c r="U53" s="765" t="s">
        <v>3673</v>
      </c>
      <c r="V53" s="772">
        <v>25232.0</v>
      </c>
      <c r="W53" s="769">
        <v>43188.0</v>
      </c>
      <c r="X53" s="252" t="s">
        <v>3654</v>
      </c>
      <c r="Y53" s="765">
        <v>1.337859946E9</v>
      </c>
      <c r="Z53" s="765"/>
      <c r="AA53" s="765"/>
      <c r="AB53" s="765"/>
      <c r="AC53" s="253" t="s">
        <v>284</v>
      </c>
    </row>
    <row r="54" ht="15.75" hidden="1" customHeight="1">
      <c r="A54" s="764">
        <v>43104.0</v>
      </c>
      <c r="B54" s="597" t="s">
        <v>406</v>
      </c>
      <c r="C54" s="765" t="s">
        <v>3471</v>
      </c>
      <c r="D54" s="252" t="s">
        <v>3670</v>
      </c>
      <c r="E54" s="252" t="s">
        <v>3674</v>
      </c>
      <c r="F54" s="253">
        <v>5.0</v>
      </c>
      <c r="G54" s="254">
        <v>73.0</v>
      </c>
      <c r="H54" s="255">
        <f t="shared" si="5"/>
        <v>365</v>
      </c>
      <c r="I54" s="256" t="s">
        <v>43</v>
      </c>
      <c r="J54" s="777" t="s">
        <v>3623</v>
      </c>
      <c r="K54" s="258">
        <v>43110.0</v>
      </c>
      <c r="L54" s="258">
        <v>43110.0</v>
      </c>
      <c r="M54" s="333"/>
      <c r="N54" s="333" t="s">
        <v>3593</v>
      </c>
      <c r="O54" s="310" t="s">
        <v>3672</v>
      </c>
      <c r="P54" s="598"/>
      <c r="Q54" s="579">
        <v>10290.0</v>
      </c>
      <c r="R54" s="310" t="s">
        <v>2080</v>
      </c>
      <c r="S54" s="768">
        <v>43190.0</v>
      </c>
      <c r="T54" s="769">
        <v>43109.0</v>
      </c>
      <c r="U54" s="765" t="s">
        <v>3673</v>
      </c>
      <c r="V54" s="765" t="s">
        <v>3675</v>
      </c>
      <c r="W54" s="769">
        <v>43188.0</v>
      </c>
      <c r="X54" s="252" t="s">
        <v>3654</v>
      </c>
      <c r="Y54" s="765">
        <v>1.337859946E9</v>
      </c>
      <c r="Z54" s="765"/>
      <c r="AA54" s="765"/>
      <c r="AB54" s="765"/>
      <c r="AC54" s="253" t="s">
        <v>284</v>
      </c>
    </row>
    <row r="55" ht="15.75" hidden="1" customHeight="1">
      <c r="A55" s="764">
        <v>43104.0</v>
      </c>
      <c r="B55" s="597" t="s">
        <v>406</v>
      </c>
      <c r="C55" s="765" t="s">
        <v>3471</v>
      </c>
      <c r="D55" s="252" t="s">
        <v>3670</v>
      </c>
      <c r="E55" s="252" t="s">
        <v>3676</v>
      </c>
      <c r="F55" s="253">
        <v>5.0</v>
      </c>
      <c r="G55" s="254">
        <v>48.0</v>
      </c>
      <c r="H55" s="255">
        <f t="shared" si="5"/>
        <v>240</v>
      </c>
      <c r="I55" s="256" t="s">
        <v>43</v>
      </c>
      <c r="J55" s="777" t="s">
        <v>3623</v>
      </c>
      <c r="K55" s="258">
        <v>43110.0</v>
      </c>
      <c r="L55" s="258">
        <v>43110.0</v>
      </c>
      <c r="M55" s="333"/>
      <c r="N55" s="333" t="s">
        <v>3593</v>
      </c>
      <c r="O55" s="310" t="s">
        <v>3672</v>
      </c>
      <c r="P55" s="598"/>
      <c r="Q55" s="579">
        <v>6710.0</v>
      </c>
      <c r="R55" s="310" t="s">
        <v>2080</v>
      </c>
      <c r="S55" s="768">
        <v>43190.0</v>
      </c>
      <c r="T55" s="769">
        <v>43109.0</v>
      </c>
      <c r="U55" s="765" t="s">
        <v>3673</v>
      </c>
      <c r="V55" s="765" t="s">
        <v>3675</v>
      </c>
      <c r="W55" s="769">
        <v>43188.0</v>
      </c>
      <c r="X55" s="252" t="s">
        <v>3654</v>
      </c>
      <c r="Y55" s="765">
        <v>1.337859946E9</v>
      </c>
      <c r="Z55" s="765"/>
      <c r="AA55" s="765"/>
      <c r="AB55" s="765"/>
      <c r="AC55" s="253" t="s">
        <v>284</v>
      </c>
    </row>
    <row r="56" ht="15.75" hidden="1" customHeight="1">
      <c r="A56" s="764">
        <v>43105.0</v>
      </c>
      <c r="B56" s="265" t="s">
        <v>3677</v>
      </c>
      <c r="C56" s="765" t="s">
        <v>3471</v>
      </c>
      <c r="D56" s="252" t="s">
        <v>3678</v>
      </c>
      <c r="E56" s="252" t="s">
        <v>3679</v>
      </c>
      <c r="F56" s="253">
        <v>1.0</v>
      </c>
      <c r="G56" s="254">
        <v>209.0</v>
      </c>
      <c r="H56" s="255">
        <f t="shared" si="5"/>
        <v>209</v>
      </c>
      <c r="I56" s="256" t="s">
        <v>3474</v>
      </c>
      <c r="J56" s="269" t="s">
        <v>3680</v>
      </c>
      <c r="K56" s="258">
        <v>43129.0</v>
      </c>
      <c r="L56" s="258">
        <v>43125.0</v>
      </c>
      <c r="M56" s="333"/>
      <c r="N56" s="333" t="s">
        <v>2041</v>
      </c>
      <c r="O56" s="310" t="s">
        <v>3681</v>
      </c>
      <c r="P56" s="268">
        <v>197.4</v>
      </c>
      <c r="Q56" s="330"/>
      <c r="R56" s="310" t="s">
        <v>2043</v>
      </c>
      <c r="S56" s="768">
        <v>43139.0</v>
      </c>
      <c r="T56" s="769">
        <v>43125.0</v>
      </c>
      <c r="U56" s="765" t="s">
        <v>3682</v>
      </c>
      <c r="V56" s="772">
        <v>30417.0</v>
      </c>
      <c r="W56" s="769">
        <v>43138.0</v>
      </c>
      <c r="X56" s="252" t="s">
        <v>3683</v>
      </c>
      <c r="Y56" s="765">
        <v>7.71342552913E11</v>
      </c>
      <c r="Z56" s="765"/>
      <c r="AA56" s="765"/>
      <c r="AB56" s="765"/>
      <c r="AC56" s="253" t="s">
        <v>284</v>
      </c>
    </row>
    <row r="57" ht="15.75" hidden="1" customHeight="1">
      <c r="A57" s="764">
        <v>43105.0</v>
      </c>
      <c r="B57" s="265" t="s">
        <v>3677</v>
      </c>
      <c r="C57" s="765" t="s">
        <v>3471</v>
      </c>
      <c r="D57" s="252" t="s">
        <v>3678</v>
      </c>
      <c r="E57" s="252" t="s">
        <v>3684</v>
      </c>
      <c r="F57" s="253">
        <v>1.0</v>
      </c>
      <c r="G57" s="254">
        <v>276.0</v>
      </c>
      <c r="H57" s="255">
        <f t="shared" si="5"/>
        <v>276</v>
      </c>
      <c r="I57" s="256" t="s">
        <v>3474</v>
      </c>
      <c r="J57" s="269" t="s">
        <v>3680</v>
      </c>
      <c r="K57" s="258">
        <v>43129.0</v>
      </c>
      <c r="L57" s="258">
        <v>43126.0</v>
      </c>
      <c r="M57" s="333"/>
      <c r="N57" s="333" t="s">
        <v>2041</v>
      </c>
      <c r="O57" s="310" t="s">
        <v>3681</v>
      </c>
      <c r="P57" s="268">
        <v>260.4</v>
      </c>
      <c r="Q57" s="330"/>
      <c r="R57" s="310" t="s">
        <v>2043</v>
      </c>
      <c r="S57" s="768">
        <v>43139.0</v>
      </c>
      <c r="T57" s="769">
        <v>43125.0</v>
      </c>
      <c r="U57" s="765" t="s">
        <v>3685</v>
      </c>
      <c r="V57" s="772">
        <v>7627.0</v>
      </c>
      <c r="W57" s="769">
        <v>43138.0</v>
      </c>
      <c r="X57" s="252" t="s">
        <v>3683</v>
      </c>
      <c r="Y57" s="765">
        <v>7.71342552913E11</v>
      </c>
      <c r="Z57" s="765"/>
      <c r="AA57" s="765"/>
      <c r="AB57" s="765"/>
      <c r="AC57" s="253" t="s">
        <v>284</v>
      </c>
    </row>
    <row r="58" ht="15.75" hidden="1" customHeight="1">
      <c r="A58" s="764">
        <v>43105.0</v>
      </c>
      <c r="B58" s="265" t="s">
        <v>3677</v>
      </c>
      <c r="C58" s="765" t="s">
        <v>3471</v>
      </c>
      <c r="D58" s="252" t="s">
        <v>3678</v>
      </c>
      <c r="E58" s="252" t="s">
        <v>3686</v>
      </c>
      <c r="F58" s="253">
        <v>1.0</v>
      </c>
      <c r="G58" s="254">
        <v>31.0</v>
      </c>
      <c r="H58" s="255">
        <f t="shared" si="5"/>
        <v>31</v>
      </c>
      <c r="I58" s="256" t="s">
        <v>3474</v>
      </c>
      <c r="J58" s="269" t="s">
        <v>3680</v>
      </c>
      <c r="K58" s="258">
        <v>43129.0</v>
      </c>
      <c r="L58" s="258">
        <v>43125.0</v>
      </c>
      <c r="M58" s="333"/>
      <c r="N58" s="333" t="s">
        <v>2041</v>
      </c>
      <c r="O58" s="310" t="s">
        <v>3681</v>
      </c>
      <c r="P58" s="268">
        <v>27.3</v>
      </c>
      <c r="Q58" s="330"/>
      <c r="R58" s="310" t="s">
        <v>2043</v>
      </c>
      <c r="S58" s="768">
        <v>43139.0</v>
      </c>
      <c r="T58" s="769">
        <v>43125.0</v>
      </c>
      <c r="U58" s="765" t="s">
        <v>3682</v>
      </c>
      <c r="V58" s="765" t="s">
        <v>3687</v>
      </c>
      <c r="W58" s="769">
        <v>43138.0</v>
      </c>
      <c r="X58" s="252" t="s">
        <v>3683</v>
      </c>
      <c r="Y58" s="765">
        <v>7.71342552913E11</v>
      </c>
      <c r="Z58" s="765"/>
      <c r="AA58" s="765"/>
      <c r="AB58" s="765"/>
      <c r="AC58" s="253" t="s">
        <v>284</v>
      </c>
    </row>
    <row r="59" ht="15.75" hidden="1" customHeight="1">
      <c r="A59" s="764">
        <v>43105.0</v>
      </c>
      <c r="B59" s="265" t="s">
        <v>3677</v>
      </c>
      <c r="C59" s="765" t="s">
        <v>3471</v>
      </c>
      <c r="D59" s="252" t="s">
        <v>3678</v>
      </c>
      <c r="E59" s="252" t="s">
        <v>3688</v>
      </c>
      <c r="F59" s="253">
        <v>1.0</v>
      </c>
      <c r="G59" s="254">
        <v>121.0</v>
      </c>
      <c r="H59" s="255">
        <f t="shared" si="5"/>
        <v>121</v>
      </c>
      <c r="I59" s="256" t="s">
        <v>3474</v>
      </c>
      <c r="J59" s="269" t="s">
        <v>3680</v>
      </c>
      <c r="K59" s="258">
        <v>43129.0</v>
      </c>
      <c r="L59" s="258">
        <v>43110.0</v>
      </c>
      <c r="M59" s="333"/>
      <c r="N59" s="333" t="s">
        <v>3593</v>
      </c>
      <c r="O59" s="310" t="s">
        <v>3689</v>
      </c>
      <c r="P59" s="598"/>
      <c r="Q59" s="579">
        <v>3352.0</v>
      </c>
      <c r="R59" s="310" t="s">
        <v>2080</v>
      </c>
      <c r="S59" s="768">
        <v>43190.0</v>
      </c>
      <c r="T59" s="769">
        <v>43109.0</v>
      </c>
      <c r="U59" s="765" t="s">
        <v>3690</v>
      </c>
      <c r="V59" s="772">
        <v>3352.0</v>
      </c>
      <c r="W59" s="769">
        <v>43188.0</v>
      </c>
      <c r="X59" s="252" t="s">
        <v>3683</v>
      </c>
      <c r="Y59" s="765">
        <v>7.71342552913E11</v>
      </c>
      <c r="Z59" s="765"/>
      <c r="AA59" s="765"/>
      <c r="AB59" s="765"/>
      <c r="AC59" s="253" t="s">
        <v>284</v>
      </c>
    </row>
    <row r="60" ht="15.75" hidden="1" customHeight="1">
      <c r="A60" s="764">
        <v>43105.0</v>
      </c>
      <c r="B60" s="265" t="s">
        <v>3677</v>
      </c>
      <c r="C60" s="765" t="s">
        <v>3471</v>
      </c>
      <c r="D60" s="252" t="s">
        <v>3678</v>
      </c>
      <c r="E60" s="252" t="s">
        <v>3691</v>
      </c>
      <c r="F60" s="253">
        <v>1.0</v>
      </c>
      <c r="G60" s="254">
        <v>64.0</v>
      </c>
      <c r="H60" s="255">
        <f t="shared" si="5"/>
        <v>64</v>
      </c>
      <c r="I60" s="256" t="s">
        <v>3474</v>
      </c>
      <c r="J60" s="269" t="s">
        <v>3680</v>
      </c>
      <c r="K60" s="258">
        <v>43129.0</v>
      </c>
      <c r="L60" s="258">
        <v>43126.0</v>
      </c>
      <c r="M60" s="333"/>
      <c r="N60" s="333" t="s">
        <v>90</v>
      </c>
      <c r="O60" s="310" t="s">
        <v>3692</v>
      </c>
      <c r="P60" s="268">
        <v>56.7</v>
      </c>
      <c r="Q60" s="330"/>
      <c r="R60" s="340" t="s">
        <v>94</v>
      </c>
      <c r="S60" s="768">
        <v>43190.0</v>
      </c>
      <c r="T60" s="769">
        <v>43126.0</v>
      </c>
      <c r="U60" s="765" t="s">
        <v>3693</v>
      </c>
      <c r="V60" s="772">
        <v>41300.0</v>
      </c>
      <c r="W60" s="771">
        <v>43167.0</v>
      </c>
      <c r="X60" s="252" t="s">
        <v>3683</v>
      </c>
      <c r="Y60" s="765">
        <v>7.71342552913E11</v>
      </c>
      <c r="Z60" s="765"/>
      <c r="AA60" s="765"/>
      <c r="AB60" s="765"/>
      <c r="AC60" s="253" t="s">
        <v>284</v>
      </c>
    </row>
    <row r="61" ht="15.75" hidden="1" customHeight="1">
      <c r="A61" s="764">
        <v>43105.0</v>
      </c>
      <c r="B61" s="265" t="s">
        <v>3677</v>
      </c>
      <c r="C61" s="765" t="s">
        <v>3471</v>
      </c>
      <c r="D61" s="252" t="s">
        <v>3678</v>
      </c>
      <c r="E61" s="252" t="s">
        <v>3694</v>
      </c>
      <c r="F61" s="253">
        <v>10.0</v>
      </c>
      <c r="G61" s="254">
        <v>135.0</v>
      </c>
      <c r="H61" s="255">
        <f t="shared" si="5"/>
        <v>1350</v>
      </c>
      <c r="I61" s="256" t="s">
        <v>3474</v>
      </c>
      <c r="J61" s="269" t="s">
        <v>3680</v>
      </c>
      <c r="K61" s="258">
        <v>43129.0</v>
      </c>
      <c r="L61" s="258">
        <v>43126.0</v>
      </c>
      <c r="M61" s="333"/>
      <c r="N61" s="333" t="s">
        <v>90</v>
      </c>
      <c r="O61" s="310" t="s">
        <v>3692</v>
      </c>
      <c r="P61" s="268">
        <v>1344.0</v>
      </c>
      <c r="Q61" s="330"/>
      <c r="R61" s="340" t="s">
        <v>94</v>
      </c>
      <c r="S61" s="768">
        <v>43190.0</v>
      </c>
      <c r="T61" s="769">
        <v>43126.0</v>
      </c>
      <c r="U61" s="765" t="s">
        <v>3693</v>
      </c>
      <c r="V61" s="765" t="s">
        <v>3695</v>
      </c>
      <c r="W61" s="771">
        <v>43167.0</v>
      </c>
      <c r="X61" s="252" t="s">
        <v>3683</v>
      </c>
      <c r="Y61" s="765">
        <v>7.71342552913E11</v>
      </c>
      <c r="Z61" s="765"/>
      <c r="AA61" s="765"/>
      <c r="AB61" s="765"/>
      <c r="AC61" s="253" t="s">
        <v>284</v>
      </c>
    </row>
    <row r="62" ht="15.75" hidden="1" customHeight="1">
      <c r="A62" s="764">
        <v>43108.0</v>
      </c>
      <c r="B62" s="265" t="s">
        <v>579</v>
      </c>
      <c r="C62" s="765" t="s">
        <v>3471</v>
      </c>
      <c r="D62" s="252" t="s">
        <v>3696</v>
      </c>
      <c r="E62" s="252" t="s">
        <v>581</v>
      </c>
      <c r="F62" s="253">
        <v>1.0</v>
      </c>
      <c r="G62" s="254">
        <v>96.6</v>
      </c>
      <c r="H62" s="255">
        <f t="shared" si="5"/>
        <v>96.6</v>
      </c>
      <c r="I62" s="256" t="s">
        <v>171</v>
      </c>
      <c r="J62" s="333" t="s">
        <v>582</v>
      </c>
      <c r="K62" s="258">
        <v>43109.0</v>
      </c>
      <c r="L62" s="258">
        <v>43109.0</v>
      </c>
      <c r="M62" s="333"/>
      <c r="N62" s="333" t="s">
        <v>1439</v>
      </c>
      <c r="O62" s="310" t="s">
        <v>3697</v>
      </c>
      <c r="P62" s="598"/>
      <c r="Q62" s="579">
        <v>2475.0</v>
      </c>
      <c r="R62" s="310" t="s">
        <v>1976</v>
      </c>
      <c r="S62" s="768">
        <v>43164.0</v>
      </c>
      <c r="T62" s="769">
        <v>43109.0</v>
      </c>
      <c r="U62" s="765" t="s">
        <v>3698</v>
      </c>
      <c r="V62" s="772">
        <v>2475.0</v>
      </c>
      <c r="W62" s="769">
        <v>43165.0</v>
      </c>
      <c r="X62" s="765" t="s">
        <v>3699</v>
      </c>
      <c r="Y62" s="765"/>
      <c r="Z62" s="765" t="s">
        <v>3700</v>
      </c>
      <c r="AA62" s="772">
        <v>2946.0</v>
      </c>
      <c r="AB62" s="765" t="s">
        <v>3486</v>
      </c>
      <c r="AC62" s="253" t="s">
        <v>377</v>
      </c>
    </row>
    <row r="63" ht="15.75" hidden="1" customHeight="1">
      <c r="A63" s="764">
        <v>43111.0</v>
      </c>
      <c r="B63" s="265" t="s">
        <v>3701</v>
      </c>
      <c r="C63" s="765" t="s">
        <v>3471</v>
      </c>
      <c r="D63" s="252" t="s">
        <v>3702</v>
      </c>
      <c r="E63" s="252" t="s">
        <v>3703</v>
      </c>
      <c r="F63" s="253">
        <v>5.0</v>
      </c>
      <c r="G63" s="254">
        <v>167.0</v>
      </c>
      <c r="H63" s="255">
        <f t="shared" si="5"/>
        <v>835</v>
      </c>
      <c r="I63" s="256" t="s">
        <v>420</v>
      </c>
      <c r="J63" s="269" t="s">
        <v>3704</v>
      </c>
      <c r="K63" s="258">
        <v>43153.0</v>
      </c>
      <c r="L63" s="258">
        <v>43125.0</v>
      </c>
      <c r="M63" s="333">
        <v>2.018022200001E12</v>
      </c>
      <c r="N63" s="333" t="s">
        <v>2041</v>
      </c>
      <c r="O63" s="310" t="s">
        <v>3705</v>
      </c>
      <c r="P63" s="268">
        <v>813.75</v>
      </c>
      <c r="Q63" s="330"/>
      <c r="R63" s="310" t="s">
        <v>2043</v>
      </c>
      <c r="S63" s="768">
        <v>43139.0</v>
      </c>
      <c r="T63" s="769">
        <v>43125.0</v>
      </c>
      <c r="U63" s="765" t="s">
        <v>3682</v>
      </c>
      <c r="V63" s="765" t="s">
        <v>3687</v>
      </c>
      <c r="W63" s="769">
        <v>43138.0</v>
      </c>
      <c r="X63" s="252" t="s">
        <v>3706</v>
      </c>
      <c r="Y63" s="765">
        <v>2.90667204E8</v>
      </c>
      <c r="Z63" s="765"/>
      <c r="AA63" s="765"/>
      <c r="AB63" s="765"/>
      <c r="AC63" s="253" t="s">
        <v>284</v>
      </c>
    </row>
    <row r="64" ht="15.75" hidden="1" customHeight="1">
      <c r="A64" s="764">
        <v>43111.0</v>
      </c>
      <c r="B64" s="144" t="s">
        <v>464</v>
      </c>
      <c r="C64" s="765" t="s">
        <v>3471</v>
      </c>
      <c r="D64" s="252" t="s">
        <v>3707</v>
      </c>
      <c r="E64" s="252" t="s">
        <v>3708</v>
      </c>
      <c r="F64" s="253">
        <v>1.0</v>
      </c>
      <c r="G64" s="254">
        <v>460.0</v>
      </c>
      <c r="H64" s="255">
        <f t="shared" si="5"/>
        <v>460</v>
      </c>
      <c r="I64" s="256" t="s">
        <v>3474</v>
      </c>
      <c r="J64" s="269" t="s">
        <v>3709</v>
      </c>
      <c r="K64" s="258">
        <v>43167.0</v>
      </c>
      <c r="L64" s="258">
        <v>43158.0</v>
      </c>
      <c r="M64" s="333"/>
      <c r="N64" s="333"/>
      <c r="O64" s="310" t="s">
        <v>3710</v>
      </c>
      <c r="P64" s="598"/>
      <c r="Q64" s="330"/>
      <c r="R64" s="310"/>
      <c r="S64" s="330"/>
      <c r="T64" s="766"/>
      <c r="U64" s="766"/>
      <c r="V64" s="766"/>
      <c r="W64" s="767"/>
      <c r="X64" s="765" t="s">
        <v>3711</v>
      </c>
      <c r="Y64" s="765" t="s">
        <v>3712</v>
      </c>
      <c r="Z64" s="765"/>
      <c r="AA64" s="765"/>
      <c r="AB64" s="765"/>
      <c r="AC64" s="253" t="s">
        <v>284</v>
      </c>
    </row>
    <row r="65" ht="15.75" hidden="1" customHeight="1">
      <c r="A65" s="764">
        <v>43111.0</v>
      </c>
      <c r="B65" s="144" t="s">
        <v>464</v>
      </c>
      <c r="C65" s="765" t="s">
        <v>3471</v>
      </c>
      <c r="D65" s="252" t="s">
        <v>3707</v>
      </c>
      <c r="E65" s="252" t="s">
        <v>700</v>
      </c>
      <c r="F65" s="253">
        <v>1.0</v>
      </c>
      <c r="G65" s="254">
        <f>25</f>
        <v>25</v>
      </c>
      <c r="H65" s="267">
        <f t="shared" si="5"/>
        <v>25</v>
      </c>
      <c r="I65" s="256" t="s">
        <v>3474</v>
      </c>
      <c r="J65" s="269" t="s">
        <v>3709</v>
      </c>
      <c r="K65" s="258">
        <v>43167.0</v>
      </c>
      <c r="L65" s="630"/>
      <c r="M65" s="333"/>
      <c r="N65" s="333"/>
      <c r="O65" s="310"/>
      <c r="P65" s="598"/>
      <c r="Q65" s="330"/>
      <c r="R65" s="310"/>
      <c r="S65" s="330"/>
      <c r="T65" s="766"/>
      <c r="U65" s="766"/>
      <c r="V65" s="766"/>
      <c r="W65" s="767"/>
      <c r="X65" s="765" t="s">
        <v>3711</v>
      </c>
      <c r="Y65" s="765" t="s">
        <v>3712</v>
      </c>
      <c r="Z65" s="765"/>
      <c r="AA65" s="765"/>
      <c r="AB65" s="765"/>
      <c r="AC65" s="253" t="s">
        <v>284</v>
      </c>
    </row>
    <row r="66" ht="15.75" hidden="1" customHeight="1">
      <c r="A66" s="764">
        <v>43111.0</v>
      </c>
      <c r="B66" s="144" t="s">
        <v>3470</v>
      </c>
      <c r="C66" s="765" t="s">
        <v>3471</v>
      </c>
      <c r="D66" s="252" t="s">
        <v>3713</v>
      </c>
      <c r="E66" s="252" t="s">
        <v>3714</v>
      </c>
      <c r="F66" s="253">
        <v>5.0</v>
      </c>
      <c r="G66" s="254">
        <v>700.0</v>
      </c>
      <c r="H66" s="255">
        <f t="shared" si="5"/>
        <v>3500</v>
      </c>
      <c r="I66" s="256" t="s">
        <v>3474</v>
      </c>
      <c r="J66" s="333" t="s">
        <v>3475</v>
      </c>
      <c r="K66" s="258">
        <v>43152.0</v>
      </c>
      <c r="L66" s="258">
        <v>43143.0</v>
      </c>
      <c r="M66" s="333"/>
      <c r="N66" s="333" t="s">
        <v>3715</v>
      </c>
      <c r="O66" s="310" t="s">
        <v>3716</v>
      </c>
      <c r="P66" s="598"/>
      <c r="Q66" s="330"/>
      <c r="R66" s="310"/>
      <c r="S66" s="330"/>
      <c r="T66" s="765" t="s">
        <v>3717</v>
      </c>
      <c r="U66" s="765" t="s">
        <v>3717</v>
      </c>
      <c r="V66" s="765" t="s">
        <v>3717</v>
      </c>
      <c r="W66" s="767"/>
      <c r="X66" s="252" t="s">
        <v>3718</v>
      </c>
      <c r="Y66" s="765">
        <v>1.103436283E9</v>
      </c>
      <c r="Z66" s="765"/>
      <c r="AA66" s="765"/>
      <c r="AB66" s="765"/>
      <c r="AC66" s="253" t="s">
        <v>284</v>
      </c>
    </row>
    <row r="67" ht="15.75" hidden="1" customHeight="1">
      <c r="A67" s="764">
        <v>43112.0</v>
      </c>
      <c r="B67" s="597" t="s">
        <v>406</v>
      </c>
      <c r="C67" s="765" t="s">
        <v>3471</v>
      </c>
      <c r="D67" s="252" t="s">
        <v>3719</v>
      </c>
      <c r="E67" s="252" t="s">
        <v>3720</v>
      </c>
      <c r="F67" s="253">
        <v>3.0</v>
      </c>
      <c r="G67" s="254">
        <v>5.0</v>
      </c>
      <c r="H67" s="267">
        <f t="shared" si="5"/>
        <v>15</v>
      </c>
      <c r="I67" s="256" t="s">
        <v>43</v>
      </c>
      <c r="J67" s="777" t="s">
        <v>3623</v>
      </c>
      <c r="K67" s="258">
        <v>43118.0</v>
      </c>
      <c r="L67" s="258">
        <v>43117.0</v>
      </c>
      <c r="M67" s="333"/>
      <c r="N67" s="333" t="s">
        <v>3593</v>
      </c>
      <c r="O67" s="310" t="s">
        <v>3721</v>
      </c>
      <c r="P67" s="598"/>
      <c r="Q67" s="579">
        <v>425.0</v>
      </c>
      <c r="R67" s="310" t="s">
        <v>2080</v>
      </c>
      <c r="S67" s="768">
        <v>43190.0</v>
      </c>
      <c r="T67" s="769">
        <v>43116.0</v>
      </c>
      <c r="U67" s="765" t="s">
        <v>3722</v>
      </c>
      <c r="V67" s="772">
        <v>30602.0</v>
      </c>
      <c r="W67" s="769">
        <v>43188.0</v>
      </c>
      <c r="X67" s="252" t="s">
        <v>3723</v>
      </c>
      <c r="Y67" s="765">
        <v>8.911917501E9</v>
      </c>
      <c r="Z67" s="765"/>
      <c r="AA67" s="765"/>
      <c r="AB67" s="765"/>
      <c r="AC67" s="253" t="s">
        <v>284</v>
      </c>
    </row>
    <row r="68" ht="15.75" hidden="1" customHeight="1">
      <c r="A68" s="764">
        <v>43112.0</v>
      </c>
      <c r="B68" s="597" t="s">
        <v>406</v>
      </c>
      <c r="C68" s="765" t="s">
        <v>3471</v>
      </c>
      <c r="D68" s="252" t="s">
        <v>3719</v>
      </c>
      <c r="E68" s="252" t="s">
        <v>3724</v>
      </c>
      <c r="F68" s="253">
        <v>3.0</v>
      </c>
      <c r="G68" s="254">
        <v>8.5</v>
      </c>
      <c r="H68" s="267">
        <f t="shared" si="5"/>
        <v>25.5</v>
      </c>
      <c r="I68" s="256" t="s">
        <v>43</v>
      </c>
      <c r="J68" s="777" t="s">
        <v>3623</v>
      </c>
      <c r="K68" s="258">
        <v>43118.0</v>
      </c>
      <c r="L68" s="258">
        <v>43117.0</v>
      </c>
      <c r="M68" s="333"/>
      <c r="N68" s="333" t="s">
        <v>3593</v>
      </c>
      <c r="O68" s="310" t="s">
        <v>3721</v>
      </c>
      <c r="P68" s="598"/>
      <c r="Q68" s="579">
        <v>611.0</v>
      </c>
      <c r="R68" s="310" t="s">
        <v>2080</v>
      </c>
      <c r="S68" s="768">
        <v>43190.0</v>
      </c>
      <c r="T68" s="769">
        <v>43116.0</v>
      </c>
      <c r="U68" s="765" t="s">
        <v>3722</v>
      </c>
      <c r="V68" s="765" t="s">
        <v>3725</v>
      </c>
      <c r="W68" s="769">
        <v>43188.0</v>
      </c>
      <c r="X68" s="252" t="s">
        <v>3723</v>
      </c>
      <c r="Y68" s="765">
        <v>8.911917501E9</v>
      </c>
      <c r="Z68" s="765"/>
      <c r="AA68" s="765"/>
      <c r="AB68" s="765"/>
      <c r="AC68" s="253" t="s">
        <v>284</v>
      </c>
    </row>
    <row r="69" ht="15.75" hidden="1" customHeight="1">
      <c r="A69" s="764">
        <v>43112.0</v>
      </c>
      <c r="B69" s="597" t="s">
        <v>406</v>
      </c>
      <c r="C69" s="765" t="s">
        <v>3471</v>
      </c>
      <c r="D69" s="252" t="s">
        <v>3719</v>
      </c>
      <c r="E69" s="252" t="s">
        <v>3726</v>
      </c>
      <c r="F69" s="253">
        <v>3.0</v>
      </c>
      <c r="G69" s="254">
        <v>250.0</v>
      </c>
      <c r="H69" s="267">
        <f t="shared" si="5"/>
        <v>750</v>
      </c>
      <c r="I69" s="256" t="s">
        <v>43</v>
      </c>
      <c r="J69" s="777" t="s">
        <v>3623</v>
      </c>
      <c r="K69" s="258">
        <v>43118.0</v>
      </c>
      <c r="L69" s="258">
        <v>43117.0</v>
      </c>
      <c r="M69" s="333"/>
      <c r="N69" s="333" t="s">
        <v>3593</v>
      </c>
      <c r="O69" s="310" t="s">
        <v>3721</v>
      </c>
      <c r="P69" s="598"/>
      <c r="Q69" s="579">
        <v>21370.0</v>
      </c>
      <c r="R69" s="310" t="s">
        <v>2080</v>
      </c>
      <c r="S69" s="768">
        <v>43190.0</v>
      </c>
      <c r="T69" s="769">
        <v>43116.0</v>
      </c>
      <c r="U69" s="765" t="s">
        <v>3722</v>
      </c>
      <c r="V69" s="765" t="s">
        <v>3725</v>
      </c>
      <c r="W69" s="769">
        <v>43188.0</v>
      </c>
      <c r="X69" s="252" t="s">
        <v>3723</v>
      </c>
      <c r="Y69" s="765">
        <v>8.911917501E9</v>
      </c>
      <c r="Z69" s="765"/>
      <c r="AA69" s="765"/>
      <c r="AB69" s="765"/>
      <c r="AC69" s="253" t="s">
        <v>284</v>
      </c>
    </row>
    <row r="70" ht="15.75" hidden="1" customHeight="1">
      <c r="A70" s="764">
        <v>43112.0</v>
      </c>
      <c r="B70" s="597" t="s">
        <v>406</v>
      </c>
      <c r="C70" s="765" t="s">
        <v>3471</v>
      </c>
      <c r="D70" s="252" t="s">
        <v>3719</v>
      </c>
      <c r="E70" s="252" t="s">
        <v>3727</v>
      </c>
      <c r="F70" s="253">
        <v>3.0</v>
      </c>
      <c r="G70" s="254">
        <v>55.0</v>
      </c>
      <c r="H70" s="268">
        <f t="shared" si="5"/>
        <v>165</v>
      </c>
      <c r="I70" s="256" t="s">
        <v>43</v>
      </c>
      <c r="J70" s="777" t="s">
        <v>3623</v>
      </c>
      <c r="K70" s="258">
        <v>43118.0</v>
      </c>
      <c r="L70" s="258">
        <v>43117.0</v>
      </c>
      <c r="M70" s="333"/>
      <c r="N70" s="333" t="s">
        <v>3593</v>
      </c>
      <c r="O70" s="310" t="s">
        <v>3721</v>
      </c>
      <c r="P70" s="598"/>
      <c r="Q70" s="579">
        <v>4914.0</v>
      </c>
      <c r="R70" s="310" t="s">
        <v>2080</v>
      </c>
      <c r="S70" s="768">
        <v>43190.0</v>
      </c>
      <c r="T70" s="769">
        <v>43116.0</v>
      </c>
      <c r="U70" s="765" t="s">
        <v>3722</v>
      </c>
      <c r="V70" s="765" t="s">
        <v>3725</v>
      </c>
      <c r="W70" s="769">
        <v>43188.0</v>
      </c>
      <c r="X70" s="252" t="s">
        <v>3723</v>
      </c>
      <c r="Y70" s="765">
        <v>8.911917501E9</v>
      </c>
      <c r="Z70" s="765"/>
      <c r="AA70" s="765"/>
      <c r="AB70" s="765"/>
      <c r="AC70" s="253" t="s">
        <v>284</v>
      </c>
    </row>
    <row r="71" ht="15.75" hidden="1" customHeight="1">
      <c r="A71" s="764">
        <v>43112.0</v>
      </c>
      <c r="B71" s="597" t="s">
        <v>406</v>
      </c>
      <c r="C71" s="765" t="s">
        <v>3471</v>
      </c>
      <c r="D71" s="252" t="s">
        <v>3719</v>
      </c>
      <c r="E71" s="252" t="s">
        <v>3728</v>
      </c>
      <c r="F71" s="253">
        <v>3.0</v>
      </c>
      <c r="G71" s="254">
        <v>39.0</v>
      </c>
      <c r="H71" s="267">
        <f t="shared" si="5"/>
        <v>117</v>
      </c>
      <c r="I71" s="256" t="s">
        <v>43</v>
      </c>
      <c r="J71" s="777" t="s">
        <v>3623</v>
      </c>
      <c r="K71" s="258">
        <v>43118.0</v>
      </c>
      <c r="L71" s="258">
        <v>43117.0</v>
      </c>
      <c r="M71" s="333"/>
      <c r="N71" s="333" t="s">
        <v>3593</v>
      </c>
      <c r="O71" s="310" t="s">
        <v>3721</v>
      </c>
      <c r="P71" s="598"/>
      <c r="Q71" s="579">
        <v>3282.0</v>
      </c>
      <c r="R71" s="310" t="s">
        <v>2080</v>
      </c>
      <c r="S71" s="768">
        <v>43190.0</v>
      </c>
      <c r="T71" s="769">
        <v>43116.0</v>
      </c>
      <c r="U71" s="765" t="s">
        <v>3722</v>
      </c>
      <c r="V71" s="765" t="s">
        <v>3725</v>
      </c>
      <c r="W71" s="769">
        <v>43188.0</v>
      </c>
      <c r="X71" s="252" t="s">
        <v>3723</v>
      </c>
      <c r="Y71" s="765">
        <v>8.911917501E9</v>
      </c>
      <c r="Z71" s="765"/>
      <c r="AA71" s="765"/>
      <c r="AB71" s="765"/>
      <c r="AC71" s="253" t="s">
        <v>284</v>
      </c>
    </row>
    <row r="72" ht="25.5" hidden="1" customHeight="1">
      <c r="A72" s="764">
        <v>43112.0</v>
      </c>
      <c r="B72" s="597" t="s">
        <v>3729</v>
      </c>
      <c r="C72" s="765" t="s">
        <v>3471</v>
      </c>
      <c r="D72" s="765" t="s">
        <v>3730</v>
      </c>
      <c r="E72" s="765" t="s">
        <v>3731</v>
      </c>
      <c r="F72" s="253">
        <v>1.0</v>
      </c>
      <c r="G72" s="254">
        <v>1088.0</v>
      </c>
      <c r="H72" s="267">
        <f t="shared" si="5"/>
        <v>1088</v>
      </c>
      <c r="I72" s="256" t="s">
        <v>3474</v>
      </c>
      <c r="J72" s="333" t="s">
        <v>3732</v>
      </c>
      <c r="K72" s="258">
        <v>43125.0</v>
      </c>
      <c r="L72" s="258">
        <v>43119.0</v>
      </c>
      <c r="M72" s="266"/>
      <c r="N72" s="266" t="s">
        <v>2263</v>
      </c>
      <c r="O72" s="310" t="s">
        <v>3733</v>
      </c>
      <c r="P72" s="598"/>
      <c r="Q72" s="791">
        <v>32340.0</v>
      </c>
      <c r="R72" s="340" t="s">
        <v>2265</v>
      </c>
      <c r="S72" s="330"/>
      <c r="T72" s="769">
        <v>43119.0</v>
      </c>
      <c r="U72" s="765" t="s">
        <v>3734</v>
      </c>
      <c r="V72" s="770">
        <v>32340.0</v>
      </c>
      <c r="W72" s="769">
        <v>43136.0</v>
      </c>
      <c r="X72" s="252" t="s">
        <v>3735</v>
      </c>
      <c r="Y72" s="765" t="s">
        <v>3736</v>
      </c>
      <c r="Z72" s="765"/>
      <c r="AA72" s="765"/>
      <c r="AB72" s="765"/>
      <c r="AC72" s="253" t="s">
        <v>284</v>
      </c>
    </row>
    <row r="73" ht="15.75" hidden="1" customHeight="1">
      <c r="A73" s="764">
        <v>43112.0</v>
      </c>
      <c r="B73" s="597" t="s">
        <v>3729</v>
      </c>
      <c r="C73" s="765" t="s">
        <v>3471</v>
      </c>
      <c r="D73" s="765" t="s">
        <v>3730</v>
      </c>
      <c r="E73" s="765" t="s">
        <v>700</v>
      </c>
      <c r="F73" s="253">
        <v>1.0</v>
      </c>
      <c r="G73" s="254">
        <f>25</f>
        <v>25</v>
      </c>
      <c r="H73" s="267">
        <f t="shared" si="5"/>
        <v>25</v>
      </c>
      <c r="I73" s="256" t="s">
        <v>3474</v>
      </c>
      <c r="J73" s="333" t="s">
        <v>3732</v>
      </c>
      <c r="K73" s="258">
        <v>43125.0</v>
      </c>
      <c r="L73" s="630"/>
      <c r="M73" s="333"/>
      <c r="N73" s="333"/>
      <c r="O73" s="310"/>
      <c r="P73" s="598"/>
      <c r="Q73" s="330"/>
      <c r="R73" s="310"/>
      <c r="S73" s="330"/>
      <c r="T73" s="766"/>
      <c r="U73" s="766"/>
      <c r="V73" s="766"/>
      <c r="W73" s="767"/>
      <c r="X73" s="252" t="s">
        <v>3735</v>
      </c>
      <c r="Y73" s="765" t="s">
        <v>3736</v>
      </c>
      <c r="Z73" s="765"/>
      <c r="AA73" s="765"/>
      <c r="AB73" s="765"/>
      <c r="AC73" s="253" t="s">
        <v>284</v>
      </c>
    </row>
    <row r="74" ht="15.75" hidden="1" customHeight="1">
      <c r="A74" s="764">
        <v>43112.0</v>
      </c>
      <c r="B74" s="265" t="s">
        <v>101</v>
      </c>
      <c r="C74" s="765" t="s">
        <v>3471</v>
      </c>
      <c r="D74" s="765" t="s">
        <v>3737</v>
      </c>
      <c r="E74" s="765" t="s">
        <v>3738</v>
      </c>
      <c r="F74" s="253">
        <v>3.0</v>
      </c>
      <c r="G74" s="254">
        <v>472.0</v>
      </c>
      <c r="H74" s="267">
        <f t="shared" si="5"/>
        <v>1416</v>
      </c>
      <c r="I74" s="256" t="s">
        <v>3474</v>
      </c>
      <c r="J74" s="269" t="s">
        <v>3739</v>
      </c>
      <c r="K74" s="258">
        <v>43132.0</v>
      </c>
      <c r="L74" s="258">
        <v>43129.0</v>
      </c>
      <c r="M74" s="403"/>
      <c r="N74" s="403" t="s">
        <v>2028</v>
      </c>
      <c r="O74" s="310" t="s">
        <v>3740</v>
      </c>
      <c r="P74" s="598"/>
      <c r="Q74" s="579">
        <v>37692.0</v>
      </c>
      <c r="R74" s="578" t="s">
        <v>2030</v>
      </c>
      <c r="S74" s="768">
        <v>43164.0</v>
      </c>
      <c r="T74" s="769">
        <v>43126.0</v>
      </c>
      <c r="U74" s="765" t="s">
        <v>3741</v>
      </c>
      <c r="V74" s="770">
        <v>38065.0</v>
      </c>
      <c r="W74" s="771">
        <v>43164.0</v>
      </c>
      <c r="X74" s="252" t="s">
        <v>3742</v>
      </c>
      <c r="Y74" s="765">
        <v>2.891154652E9</v>
      </c>
      <c r="Z74" s="765"/>
      <c r="AA74" s="765"/>
      <c r="AB74" s="765"/>
      <c r="AC74" s="253" t="s">
        <v>284</v>
      </c>
    </row>
    <row r="75" ht="15.75" hidden="1" customHeight="1">
      <c r="A75" s="764">
        <v>43112.0</v>
      </c>
      <c r="B75" s="265" t="s">
        <v>101</v>
      </c>
      <c r="C75" s="765" t="s">
        <v>3471</v>
      </c>
      <c r="D75" s="765" t="s">
        <v>3737</v>
      </c>
      <c r="E75" s="765" t="s">
        <v>3743</v>
      </c>
      <c r="F75" s="253">
        <v>3.0</v>
      </c>
      <c r="G75" s="254">
        <v>52.0</v>
      </c>
      <c r="H75" s="267">
        <f t="shared" si="5"/>
        <v>156</v>
      </c>
      <c r="I75" s="256" t="s">
        <v>3474</v>
      </c>
      <c r="J75" s="269" t="s">
        <v>3739</v>
      </c>
      <c r="K75" s="258">
        <v>43132.0</v>
      </c>
      <c r="L75" s="266" t="s">
        <v>179</v>
      </c>
      <c r="M75" s="333"/>
      <c r="N75" s="333"/>
      <c r="O75" s="310" t="s">
        <v>3744</v>
      </c>
      <c r="P75" s="598"/>
      <c r="Q75" s="330"/>
      <c r="R75" s="310"/>
      <c r="S75" s="330"/>
      <c r="T75" s="766"/>
      <c r="U75" s="766"/>
      <c r="V75" s="766"/>
      <c r="W75" s="767"/>
      <c r="X75" s="252" t="s">
        <v>3742</v>
      </c>
      <c r="Y75" s="765">
        <v>2.891154652E9</v>
      </c>
      <c r="Z75" s="765"/>
      <c r="AA75" s="765"/>
      <c r="AB75" s="765"/>
      <c r="AC75" s="253" t="s">
        <v>284</v>
      </c>
    </row>
    <row r="76" ht="15.75" hidden="1" customHeight="1">
      <c r="A76" s="764">
        <v>43112.0</v>
      </c>
      <c r="B76" s="265" t="s">
        <v>101</v>
      </c>
      <c r="C76" s="765" t="s">
        <v>3471</v>
      </c>
      <c r="D76" s="765" t="s">
        <v>3737</v>
      </c>
      <c r="E76" s="765" t="s">
        <v>3745</v>
      </c>
      <c r="F76" s="253">
        <v>3.0</v>
      </c>
      <c r="G76" s="254">
        <v>4.0</v>
      </c>
      <c r="H76" s="267">
        <f t="shared" si="5"/>
        <v>12</v>
      </c>
      <c r="I76" s="256" t="s">
        <v>3474</v>
      </c>
      <c r="J76" s="269" t="s">
        <v>3739</v>
      </c>
      <c r="K76" s="258">
        <v>43132.0</v>
      </c>
      <c r="L76" s="258">
        <v>43129.0</v>
      </c>
      <c r="M76" s="403"/>
      <c r="N76" s="403" t="s">
        <v>2028</v>
      </c>
      <c r="O76" s="310" t="s">
        <v>3740</v>
      </c>
      <c r="P76" s="598"/>
      <c r="Q76" s="579">
        <v>373.0</v>
      </c>
      <c r="R76" s="578" t="s">
        <v>2030</v>
      </c>
      <c r="S76" s="768">
        <v>43164.0</v>
      </c>
      <c r="T76" s="769">
        <v>43126.0</v>
      </c>
      <c r="U76" s="765" t="s">
        <v>3741</v>
      </c>
      <c r="V76" s="765" t="s">
        <v>3746</v>
      </c>
      <c r="W76" s="771">
        <v>43164.0</v>
      </c>
      <c r="X76" s="252" t="s">
        <v>3742</v>
      </c>
      <c r="Y76" s="765">
        <v>2.891154652E9</v>
      </c>
      <c r="Z76" s="765"/>
      <c r="AA76" s="765"/>
      <c r="AB76" s="765"/>
      <c r="AC76" s="253" t="s">
        <v>284</v>
      </c>
    </row>
    <row r="77" ht="15.75" hidden="1" customHeight="1">
      <c r="A77" s="764">
        <v>43118.0</v>
      </c>
      <c r="B77" s="265" t="s">
        <v>548</v>
      </c>
      <c r="C77" s="765" t="s">
        <v>3471</v>
      </c>
      <c r="D77" s="765" t="s">
        <v>3747</v>
      </c>
      <c r="E77" s="765" t="s">
        <v>3748</v>
      </c>
      <c r="F77" s="253">
        <v>1.0</v>
      </c>
      <c r="G77" s="254">
        <v>2294.0</v>
      </c>
      <c r="H77" s="267">
        <f t="shared" si="5"/>
        <v>2294</v>
      </c>
      <c r="I77" s="256" t="s">
        <v>3474</v>
      </c>
      <c r="J77" s="269" t="s">
        <v>3749</v>
      </c>
      <c r="K77" s="258">
        <v>43171.0</v>
      </c>
      <c r="L77" s="258">
        <v>43161.0</v>
      </c>
      <c r="M77" s="333"/>
      <c r="N77" s="333" t="s">
        <v>3593</v>
      </c>
      <c r="O77" s="310" t="s">
        <v>3750</v>
      </c>
      <c r="P77" s="598"/>
      <c r="Q77" s="579">
        <v>64219.0</v>
      </c>
      <c r="R77" s="310" t="s">
        <v>2080</v>
      </c>
      <c r="S77" s="768">
        <v>43251.0</v>
      </c>
      <c r="T77" s="769">
        <v>43160.0</v>
      </c>
      <c r="U77" s="765" t="s">
        <v>3751</v>
      </c>
      <c r="V77" s="770">
        <v>64219.0</v>
      </c>
      <c r="W77" s="771">
        <v>43251.0</v>
      </c>
      <c r="X77" s="252" t="s">
        <v>3752</v>
      </c>
      <c r="Y77" s="765">
        <v>4.004678648E9</v>
      </c>
      <c r="Z77" s="765"/>
      <c r="AA77" s="765"/>
      <c r="AB77" s="765"/>
      <c r="AC77" s="253" t="s">
        <v>284</v>
      </c>
    </row>
    <row r="78" ht="15.75" hidden="1" customHeight="1">
      <c r="A78" s="764">
        <v>43118.0</v>
      </c>
      <c r="B78" s="265" t="s">
        <v>416</v>
      </c>
      <c r="C78" s="765" t="s">
        <v>3471</v>
      </c>
      <c r="D78" s="252" t="s">
        <v>3753</v>
      </c>
      <c r="E78" s="252" t="s">
        <v>3754</v>
      </c>
      <c r="F78" s="253">
        <v>4.0</v>
      </c>
      <c r="G78" s="254">
        <v>51.0</v>
      </c>
      <c r="H78" s="267">
        <f t="shared" si="5"/>
        <v>204</v>
      </c>
      <c r="I78" s="256" t="s">
        <v>420</v>
      </c>
      <c r="J78" s="269" t="s">
        <v>71</v>
      </c>
      <c r="K78" s="258">
        <v>43132.0</v>
      </c>
      <c r="L78" s="258">
        <v>43124.0</v>
      </c>
      <c r="M78" s="333"/>
      <c r="N78" s="333" t="s">
        <v>90</v>
      </c>
      <c r="O78" s="310" t="s">
        <v>3755</v>
      </c>
      <c r="P78" s="268">
        <v>193.2</v>
      </c>
      <c r="Q78" s="330"/>
      <c r="R78" s="340" t="s">
        <v>94</v>
      </c>
      <c r="S78" s="768">
        <v>43159.0</v>
      </c>
      <c r="T78" s="769">
        <v>43123.0</v>
      </c>
      <c r="U78" s="765" t="s">
        <v>3756</v>
      </c>
      <c r="V78" s="774">
        <v>5697.0</v>
      </c>
      <c r="W78" s="771">
        <v>43164.0</v>
      </c>
      <c r="X78" s="765" t="s">
        <v>3596</v>
      </c>
      <c r="Y78" s="765" t="s">
        <v>3597</v>
      </c>
      <c r="Z78" s="765"/>
      <c r="AA78" s="765"/>
      <c r="AB78" s="765"/>
      <c r="AC78" s="253" t="s">
        <v>284</v>
      </c>
    </row>
    <row r="79" ht="15.75" hidden="1" customHeight="1">
      <c r="A79" s="764">
        <v>43118.0</v>
      </c>
      <c r="B79" s="265" t="s">
        <v>416</v>
      </c>
      <c r="C79" s="765" t="s">
        <v>3471</v>
      </c>
      <c r="D79" s="252" t="s">
        <v>3753</v>
      </c>
      <c r="E79" s="252" t="s">
        <v>3598</v>
      </c>
      <c r="F79" s="253">
        <v>1.0</v>
      </c>
      <c r="G79" s="254">
        <v>56.0</v>
      </c>
      <c r="H79" s="267">
        <f t="shared" si="5"/>
        <v>56</v>
      </c>
      <c r="I79" s="256" t="s">
        <v>420</v>
      </c>
      <c r="J79" s="269" t="s">
        <v>71</v>
      </c>
      <c r="K79" s="258">
        <v>43132.0</v>
      </c>
      <c r="L79" s="258">
        <v>43124.0</v>
      </c>
      <c r="M79" s="253"/>
      <c r="N79" s="253" t="s">
        <v>2086</v>
      </c>
      <c r="O79" s="310" t="s">
        <v>3757</v>
      </c>
      <c r="P79" s="598"/>
      <c r="Q79" s="579">
        <v>1260.0</v>
      </c>
      <c r="R79" s="604" t="s">
        <v>2088</v>
      </c>
      <c r="S79" s="792"/>
      <c r="T79" s="771">
        <v>43124.0</v>
      </c>
      <c r="U79" s="252" t="s">
        <v>3758</v>
      </c>
      <c r="V79" s="770">
        <v>1260.0</v>
      </c>
      <c r="W79" s="769">
        <v>43124.0</v>
      </c>
      <c r="X79" s="765" t="s">
        <v>3596</v>
      </c>
      <c r="Y79" s="765" t="s">
        <v>3597</v>
      </c>
      <c r="Z79" s="765"/>
      <c r="AA79" s="765"/>
      <c r="AB79" s="765"/>
      <c r="AC79" s="253" t="s">
        <v>284</v>
      </c>
    </row>
    <row r="80" ht="15.75" hidden="1" customHeight="1">
      <c r="A80" s="764">
        <v>43118.0</v>
      </c>
      <c r="B80" s="265" t="s">
        <v>229</v>
      </c>
      <c r="C80" s="765" t="s">
        <v>3471</v>
      </c>
      <c r="D80" s="602" t="s">
        <v>3759</v>
      </c>
      <c r="E80" s="602" t="s">
        <v>462</v>
      </c>
      <c r="F80" s="307">
        <v>80.0</v>
      </c>
      <c r="G80" s="325">
        <v>407.4</v>
      </c>
      <c r="H80" s="267">
        <f t="shared" si="5"/>
        <v>32592</v>
      </c>
      <c r="I80" s="256" t="s">
        <v>171</v>
      </c>
      <c r="J80" s="269" t="s">
        <v>233</v>
      </c>
      <c r="K80" s="258">
        <v>43139.0</v>
      </c>
      <c r="L80" s="258">
        <v>43139.0</v>
      </c>
      <c r="M80" s="333"/>
      <c r="N80" s="333" t="s">
        <v>90</v>
      </c>
      <c r="O80" s="310" t="s">
        <v>3760</v>
      </c>
      <c r="P80" s="268">
        <v>29820.0</v>
      </c>
      <c r="Q80" s="330"/>
      <c r="R80" s="340" t="s">
        <v>94</v>
      </c>
      <c r="S80" s="768">
        <v>43190.0</v>
      </c>
      <c r="T80" s="769">
        <v>43139.0</v>
      </c>
      <c r="U80" s="765" t="s">
        <v>3761</v>
      </c>
      <c r="V80" s="774">
        <v>882106.0</v>
      </c>
      <c r="W80" s="769">
        <v>43180.0</v>
      </c>
      <c r="X80" s="765" t="s">
        <v>3762</v>
      </c>
      <c r="Y80" s="765"/>
      <c r="Z80" s="765" t="s">
        <v>3763</v>
      </c>
      <c r="AA80" s="772">
        <v>972640.0</v>
      </c>
      <c r="AB80" s="765" t="s">
        <v>3764</v>
      </c>
      <c r="AC80" s="253" t="s">
        <v>377</v>
      </c>
    </row>
    <row r="81" ht="15.75" hidden="1" customHeight="1">
      <c r="A81" s="764">
        <v>43118.0</v>
      </c>
      <c r="B81" s="265" t="s">
        <v>229</v>
      </c>
      <c r="C81" s="765" t="s">
        <v>3471</v>
      </c>
      <c r="D81" s="602" t="s">
        <v>3759</v>
      </c>
      <c r="E81" s="602" t="s">
        <v>3765</v>
      </c>
      <c r="F81" s="266">
        <v>2.0</v>
      </c>
      <c r="G81" s="793">
        <v>336.0</v>
      </c>
      <c r="H81" s="267">
        <f t="shared" si="5"/>
        <v>672</v>
      </c>
      <c r="I81" s="256" t="s">
        <v>171</v>
      </c>
      <c r="J81" s="269" t="s">
        <v>233</v>
      </c>
      <c r="K81" s="258">
        <v>43139.0</v>
      </c>
      <c r="L81" s="258">
        <v>43139.0</v>
      </c>
      <c r="M81" s="333"/>
      <c r="N81" s="333" t="s">
        <v>90</v>
      </c>
      <c r="O81" s="310" t="s">
        <v>3760</v>
      </c>
      <c r="P81" s="268">
        <v>602.7</v>
      </c>
      <c r="Q81" s="330"/>
      <c r="R81" s="340" t="s">
        <v>94</v>
      </c>
      <c r="S81" s="768">
        <v>43190.0</v>
      </c>
      <c r="T81" s="769">
        <v>43139.0</v>
      </c>
      <c r="U81" s="765" t="s">
        <v>3761</v>
      </c>
      <c r="V81" s="765" t="s">
        <v>3766</v>
      </c>
      <c r="W81" s="769">
        <v>43180.0</v>
      </c>
      <c r="X81" s="765" t="s">
        <v>3762</v>
      </c>
      <c r="Y81" s="765"/>
      <c r="Z81" s="765" t="s">
        <v>3763</v>
      </c>
      <c r="AA81" s="765" t="s">
        <v>3767</v>
      </c>
      <c r="AB81" s="765" t="s">
        <v>3764</v>
      </c>
      <c r="AC81" s="253" t="s">
        <v>377</v>
      </c>
    </row>
    <row r="82" ht="15.75" customHeight="1">
      <c r="A82" s="764">
        <v>43119.0</v>
      </c>
      <c r="B82" s="265" t="s">
        <v>77</v>
      </c>
      <c r="C82" s="765" t="s">
        <v>3471</v>
      </c>
      <c r="D82" s="252" t="s">
        <v>3768</v>
      </c>
      <c r="E82" s="252" t="s">
        <v>478</v>
      </c>
      <c r="F82" s="266">
        <v>50.0</v>
      </c>
      <c r="G82" s="338">
        <v>2.25</v>
      </c>
      <c r="H82" s="267">
        <f t="shared" si="5"/>
        <v>112.5</v>
      </c>
      <c r="I82" s="592" t="s">
        <v>43</v>
      </c>
      <c r="J82" s="369" t="s">
        <v>316</v>
      </c>
      <c r="K82" s="258">
        <v>43157.0</v>
      </c>
      <c r="L82" s="258">
        <v>43140.0</v>
      </c>
      <c r="M82" s="333"/>
      <c r="N82" s="333" t="s">
        <v>3769</v>
      </c>
      <c r="O82" s="310" t="s">
        <v>3770</v>
      </c>
      <c r="P82" s="598"/>
      <c r="Q82" s="330"/>
      <c r="R82" s="388" t="s">
        <v>2131</v>
      </c>
      <c r="S82" s="330"/>
      <c r="T82" s="765" t="s">
        <v>3717</v>
      </c>
      <c r="U82" s="765" t="s">
        <v>3717</v>
      </c>
      <c r="V82" s="765" t="s">
        <v>3717</v>
      </c>
      <c r="W82" s="769"/>
      <c r="X82" s="252" t="s">
        <v>3771</v>
      </c>
      <c r="Y82" s="765">
        <v>2.92481022E8</v>
      </c>
      <c r="Z82" s="765"/>
      <c r="AA82" s="765"/>
      <c r="AB82" s="765"/>
      <c r="AC82" s="253" t="s">
        <v>284</v>
      </c>
    </row>
    <row r="83" ht="15.75" hidden="1" customHeight="1">
      <c r="A83" s="764">
        <v>43119.0</v>
      </c>
      <c r="B83" s="265" t="s">
        <v>326</v>
      </c>
      <c r="C83" s="765" t="s">
        <v>3471</v>
      </c>
      <c r="D83" s="765" t="s">
        <v>3772</v>
      </c>
      <c r="E83" s="765" t="s">
        <v>3773</v>
      </c>
      <c r="F83" s="266">
        <v>10.0</v>
      </c>
      <c r="G83" s="338">
        <v>567.0</v>
      </c>
      <c r="H83" s="267">
        <f t="shared" si="5"/>
        <v>5670</v>
      </c>
      <c r="I83" s="256" t="s">
        <v>3474</v>
      </c>
      <c r="J83" s="269" t="s">
        <v>3774</v>
      </c>
      <c r="K83" s="258">
        <v>43137.0</v>
      </c>
      <c r="L83" s="258">
        <v>43133.0</v>
      </c>
      <c r="M83" s="333">
        <v>2.018020600002E12</v>
      </c>
      <c r="N83" s="333" t="s">
        <v>3775</v>
      </c>
      <c r="O83" s="252" t="s">
        <v>3776</v>
      </c>
      <c r="P83" s="268">
        <v>5355.0</v>
      </c>
      <c r="Q83" s="330"/>
      <c r="R83" s="422" t="s">
        <v>2207</v>
      </c>
      <c r="S83" s="768">
        <v>43189.0</v>
      </c>
      <c r="T83" s="769">
        <v>43133.0</v>
      </c>
      <c r="U83" s="765" t="s">
        <v>3777</v>
      </c>
      <c r="V83" s="770">
        <v>163574.0</v>
      </c>
      <c r="W83" s="769">
        <v>43188.0</v>
      </c>
      <c r="X83" s="765" t="s">
        <v>3778</v>
      </c>
      <c r="Y83" s="765" t="s">
        <v>3779</v>
      </c>
      <c r="Z83" s="765"/>
      <c r="AA83" s="765"/>
      <c r="AB83" s="765"/>
      <c r="AC83" s="253" t="s">
        <v>284</v>
      </c>
    </row>
    <row r="84" ht="15.75" hidden="1" customHeight="1">
      <c r="A84" s="764">
        <v>43119.0</v>
      </c>
      <c r="B84" s="265" t="s">
        <v>326</v>
      </c>
      <c r="C84" s="765" t="s">
        <v>3471</v>
      </c>
      <c r="D84" s="765" t="s">
        <v>3772</v>
      </c>
      <c r="E84" s="765" t="s">
        <v>53</v>
      </c>
      <c r="F84" s="266">
        <v>10.0</v>
      </c>
      <c r="G84" s="338">
        <v>31.0</v>
      </c>
      <c r="H84" s="267">
        <f t="shared" si="5"/>
        <v>310</v>
      </c>
      <c r="I84" s="256" t="s">
        <v>3474</v>
      </c>
      <c r="J84" s="269" t="s">
        <v>3774</v>
      </c>
      <c r="K84" s="258">
        <v>43137.0</v>
      </c>
      <c r="L84" s="258">
        <v>43133.0</v>
      </c>
      <c r="M84" s="333">
        <v>2.018020600002E12</v>
      </c>
      <c r="N84" s="333" t="s">
        <v>3775</v>
      </c>
      <c r="O84" s="252" t="s">
        <v>3776</v>
      </c>
      <c r="P84" s="268">
        <v>226.8</v>
      </c>
      <c r="Q84" s="600"/>
      <c r="R84" s="422" t="s">
        <v>2207</v>
      </c>
      <c r="S84" s="768">
        <v>43189.0</v>
      </c>
      <c r="T84" s="769">
        <v>43133.0</v>
      </c>
      <c r="U84" s="765" t="s">
        <v>3777</v>
      </c>
      <c r="V84" s="765" t="s">
        <v>3780</v>
      </c>
      <c r="W84" s="769">
        <v>43188.0</v>
      </c>
      <c r="X84" s="765" t="s">
        <v>3778</v>
      </c>
      <c r="Y84" s="765" t="s">
        <v>3779</v>
      </c>
      <c r="Z84" s="765"/>
      <c r="AA84" s="765"/>
      <c r="AB84" s="765"/>
      <c r="AC84" s="253" t="s">
        <v>284</v>
      </c>
    </row>
    <row r="85" ht="15.75" hidden="1" customHeight="1">
      <c r="A85" s="764">
        <v>43119.0</v>
      </c>
      <c r="B85" s="265" t="s">
        <v>326</v>
      </c>
      <c r="C85" s="765" t="s">
        <v>3471</v>
      </c>
      <c r="D85" s="765" t="s">
        <v>3772</v>
      </c>
      <c r="E85" s="765" t="s">
        <v>59</v>
      </c>
      <c r="F85" s="266">
        <v>10.0</v>
      </c>
      <c r="G85" s="338">
        <v>4.0</v>
      </c>
      <c r="H85" s="267">
        <f t="shared" si="5"/>
        <v>40</v>
      </c>
      <c r="I85" s="256" t="s">
        <v>3474</v>
      </c>
      <c r="J85" s="269" t="s">
        <v>3774</v>
      </c>
      <c r="K85" s="258">
        <v>43137.0</v>
      </c>
      <c r="L85" s="258">
        <v>43133.0</v>
      </c>
      <c r="M85" s="333">
        <v>2.018020600002E12</v>
      </c>
      <c r="N85" s="333" t="s">
        <v>3775</v>
      </c>
      <c r="O85" s="252" t="s">
        <v>3776</v>
      </c>
      <c r="P85" s="268">
        <v>21.0</v>
      </c>
      <c r="Q85" s="330"/>
      <c r="R85" s="422" t="s">
        <v>2207</v>
      </c>
      <c r="S85" s="768">
        <v>43189.0</v>
      </c>
      <c r="T85" s="769">
        <v>43133.0</v>
      </c>
      <c r="U85" s="765" t="s">
        <v>3777</v>
      </c>
      <c r="V85" s="765" t="s">
        <v>3780</v>
      </c>
      <c r="W85" s="769">
        <v>43188.0</v>
      </c>
      <c r="X85" s="765" t="s">
        <v>3778</v>
      </c>
      <c r="Y85" s="765" t="s">
        <v>3779</v>
      </c>
      <c r="Z85" s="765"/>
      <c r="AA85" s="765"/>
      <c r="AB85" s="765"/>
      <c r="AC85" s="253" t="s">
        <v>284</v>
      </c>
    </row>
    <row r="86" ht="15.75" hidden="1" customHeight="1">
      <c r="A86" s="764">
        <v>43119.0</v>
      </c>
      <c r="B86" s="265" t="s">
        <v>326</v>
      </c>
      <c r="C86" s="765" t="s">
        <v>3471</v>
      </c>
      <c r="D86" s="765" t="s">
        <v>3772</v>
      </c>
      <c r="E86" s="765" t="s">
        <v>3781</v>
      </c>
      <c r="F86" s="266">
        <v>10.0</v>
      </c>
      <c r="G86" s="338">
        <v>273.0</v>
      </c>
      <c r="H86" s="267">
        <f t="shared" si="5"/>
        <v>2730</v>
      </c>
      <c r="I86" s="256" t="s">
        <v>3474</v>
      </c>
      <c r="J86" s="269" t="s">
        <v>3774</v>
      </c>
      <c r="K86" s="258">
        <v>43137.0</v>
      </c>
      <c r="L86" s="258">
        <v>43133.0</v>
      </c>
      <c r="M86" s="333">
        <v>2.018020600003E12</v>
      </c>
      <c r="N86" s="333" t="s">
        <v>45</v>
      </c>
      <c r="O86" s="252" t="s">
        <v>3782</v>
      </c>
      <c r="P86" s="268">
        <v>2257.5</v>
      </c>
      <c r="Q86" s="330"/>
      <c r="R86" s="340" t="s">
        <v>47</v>
      </c>
      <c r="S86" s="768">
        <v>43164.0</v>
      </c>
      <c r="T86" s="769">
        <v>43130.0</v>
      </c>
      <c r="U86" s="765" t="s">
        <v>3783</v>
      </c>
      <c r="V86" s="770">
        <v>65807.0</v>
      </c>
      <c r="W86" s="771">
        <v>43164.0</v>
      </c>
      <c r="X86" s="765" t="s">
        <v>3778</v>
      </c>
      <c r="Y86" s="765" t="s">
        <v>3779</v>
      </c>
      <c r="Z86" s="765"/>
      <c r="AA86" s="765"/>
      <c r="AB86" s="765"/>
      <c r="AC86" s="253" t="s">
        <v>284</v>
      </c>
    </row>
    <row r="87" ht="15.75" hidden="1" customHeight="1">
      <c r="A87" s="764">
        <v>43119.0</v>
      </c>
      <c r="B87" s="265" t="s">
        <v>119</v>
      </c>
      <c r="C87" s="765" t="s">
        <v>3471</v>
      </c>
      <c r="D87" s="252" t="s">
        <v>3784</v>
      </c>
      <c r="E87" s="252" t="s">
        <v>3612</v>
      </c>
      <c r="F87" s="253">
        <v>2.0</v>
      </c>
      <c r="G87" s="254">
        <v>500.0</v>
      </c>
      <c r="H87" s="255">
        <f t="shared" ref="H87:H88" si="6">F87*G87</f>
        <v>1000</v>
      </c>
      <c r="I87" s="256" t="s">
        <v>420</v>
      </c>
      <c r="J87" s="269" t="s">
        <v>3785</v>
      </c>
      <c r="K87" s="258">
        <v>43143.0</v>
      </c>
      <c r="L87" s="258">
        <v>43131.0</v>
      </c>
      <c r="M87" s="333"/>
      <c r="N87" s="333" t="s">
        <v>90</v>
      </c>
      <c r="O87" s="310" t="s">
        <v>3786</v>
      </c>
      <c r="P87" s="268">
        <v>892.5</v>
      </c>
      <c r="Q87" s="330"/>
      <c r="R87" s="340" t="s">
        <v>94</v>
      </c>
      <c r="S87" s="768">
        <v>43190.0</v>
      </c>
      <c r="T87" s="769">
        <v>43131.0</v>
      </c>
      <c r="U87" s="765" t="s">
        <v>3787</v>
      </c>
      <c r="V87" s="770">
        <v>26315.0</v>
      </c>
      <c r="W87" s="771">
        <v>43167.0</v>
      </c>
      <c r="X87" s="252" t="s">
        <v>3606</v>
      </c>
      <c r="Y87" s="765" t="s">
        <v>3607</v>
      </c>
      <c r="Z87" s="765"/>
      <c r="AA87" s="765"/>
      <c r="AB87" s="765"/>
      <c r="AC87" s="253" t="s">
        <v>284</v>
      </c>
    </row>
    <row r="88" ht="15.75" hidden="1" customHeight="1">
      <c r="A88" s="764">
        <v>43119.0</v>
      </c>
      <c r="B88" s="265" t="s">
        <v>119</v>
      </c>
      <c r="C88" s="765" t="s">
        <v>3471</v>
      </c>
      <c r="D88" s="252" t="s">
        <v>3784</v>
      </c>
      <c r="E88" s="252" t="s">
        <v>3788</v>
      </c>
      <c r="F88" s="253">
        <v>12.0</v>
      </c>
      <c r="G88" s="254">
        <v>930.0</v>
      </c>
      <c r="H88" s="255">
        <f t="shared" si="6"/>
        <v>11160</v>
      </c>
      <c r="I88" s="256" t="s">
        <v>420</v>
      </c>
      <c r="J88" s="269" t="s">
        <v>3785</v>
      </c>
      <c r="K88" s="258">
        <v>43143.0</v>
      </c>
      <c r="L88" s="258">
        <v>43126.0</v>
      </c>
      <c r="M88" s="253"/>
      <c r="N88" s="253" t="s">
        <v>3789</v>
      </c>
      <c r="O88" s="310" t="s">
        <v>3790</v>
      </c>
      <c r="P88" s="310">
        <v>10218.6</v>
      </c>
      <c r="Q88" s="794"/>
      <c r="R88" s="320" t="s">
        <v>3435</v>
      </c>
      <c r="S88" s="330"/>
      <c r="T88" s="769">
        <v>43126.0</v>
      </c>
      <c r="U88" s="765" t="s">
        <v>3791</v>
      </c>
      <c r="V88" s="770">
        <v>297770.0</v>
      </c>
      <c r="W88" s="769">
        <v>43130.0</v>
      </c>
      <c r="X88" s="252" t="s">
        <v>3606</v>
      </c>
      <c r="Y88" s="765" t="s">
        <v>3607</v>
      </c>
      <c r="Z88" s="765"/>
      <c r="AA88" s="765"/>
      <c r="AB88" s="765"/>
      <c r="AC88" s="253" t="s">
        <v>284</v>
      </c>
    </row>
    <row r="89" ht="15.75" hidden="1" customHeight="1">
      <c r="A89" s="776">
        <v>43122.0</v>
      </c>
      <c r="B89" s="340" t="s">
        <v>54</v>
      </c>
      <c r="C89" s="765" t="s">
        <v>3471</v>
      </c>
      <c r="D89" s="310" t="s">
        <v>3792</v>
      </c>
      <c r="E89" s="310" t="s">
        <v>3793</v>
      </c>
      <c r="F89" s="266">
        <v>4.0</v>
      </c>
      <c r="G89" s="254">
        <v>150.15</v>
      </c>
      <c r="H89" s="267">
        <f t="shared" ref="H89:H124" si="7">G89*F89</f>
        <v>600.6</v>
      </c>
      <c r="I89" s="266" t="s">
        <v>43</v>
      </c>
      <c r="J89" s="253" t="s">
        <v>90</v>
      </c>
      <c r="K89" s="258">
        <v>43139.0</v>
      </c>
      <c r="L89" s="258">
        <v>43139.0</v>
      </c>
      <c r="M89" s="333"/>
      <c r="N89" s="333" t="s">
        <v>90</v>
      </c>
      <c r="O89" s="310" t="s">
        <v>3794</v>
      </c>
      <c r="P89" s="268">
        <v>537.6</v>
      </c>
      <c r="Q89" s="330"/>
      <c r="R89" s="340" t="s">
        <v>94</v>
      </c>
      <c r="S89" s="768">
        <v>43190.0</v>
      </c>
      <c r="T89" s="769">
        <v>43139.0</v>
      </c>
      <c r="U89" s="765" t="s">
        <v>3795</v>
      </c>
      <c r="V89" s="770">
        <v>15588.0</v>
      </c>
      <c r="W89" s="771">
        <v>43167.0</v>
      </c>
      <c r="X89" s="765" t="s">
        <v>3796</v>
      </c>
      <c r="Y89" s="765"/>
      <c r="Z89" s="765" t="s">
        <v>3797</v>
      </c>
      <c r="AA89" s="770">
        <v>17579.0</v>
      </c>
      <c r="AB89" s="765" t="s">
        <v>3764</v>
      </c>
      <c r="AC89" s="253" t="s">
        <v>377</v>
      </c>
    </row>
    <row r="90" ht="15.75" hidden="1" customHeight="1">
      <c r="A90" s="764">
        <v>43122.0</v>
      </c>
      <c r="B90" s="597" t="s">
        <v>406</v>
      </c>
      <c r="C90" s="765" t="s">
        <v>3471</v>
      </c>
      <c r="D90" s="252" t="s">
        <v>3798</v>
      </c>
      <c r="E90" s="252" t="s">
        <v>3799</v>
      </c>
      <c r="F90" s="253">
        <v>1.0</v>
      </c>
      <c r="G90" s="254">
        <v>100.0</v>
      </c>
      <c r="H90" s="255">
        <f t="shared" si="7"/>
        <v>100</v>
      </c>
      <c r="I90" s="256" t="s">
        <v>43</v>
      </c>
      <c r="J90" s="777" t="s">
        <v>3623</v>
      </c>
      <c r="K90" s="258">
        <v>43129.0</v>
      </c>
      <c r="L90" s="258">
        <v>43126.0</v>
      </c>
      <c r="M90" s="333"/>
      <c r="N90" s="333" t="s">
        <v>3593</v>
      </c>
      <c r="O90" s="252" t="s">
        <v>3800</v>
      </c>
      <c r="P90" s="598"/>
      <c r="Q90" s="579">
        <v>2774.0</v>
      </c>
      <c r="R90" s="310" t="s">
        <v>2080</v>
      </c>
      <c r="S90" s="768">
        <v>43220.0</v>
      </c>
      <c r="T90" s="769">
        <v>43126.0</v>
      </c>
      <c r="U90" s="765" t="s">
        <v>3801</v>
      </c>
      <c r="V90" s="770">
        <v>2774.0</v>
      </c>
      <c r="W90" s="769">
        <v>43225.0</v>
      </c>
      <c r="X90" s="252" t="s">
        <v>3802</v>
      </c>
      <c r="Y90" s="765">
        <v>7.508940854E9</v>
      </c>
      <c r="Z90" s="765"/>
      <c r="AA90" s="765"/>
      <c r="AB90" s="765"/>
      <c r="AC90" s="253" t="s">
        <v>284</v>
      </c>
    </row>
    <row r="91" ht="15.75" hidden="1" customHeight="1">
      <c r="A91" s="764">
        <v>43122.0</v>
      </c>
      <c r="B91" s="795" t="s">
        <v>406</v>
      </c>
      <c r="C91" s="765" t="s">
        <v>3471</v>
      </c>
      <c r="D91" s="252" t="s">
        <v>3803</v>
      </c>
      <c r="E91" s="252" t="s">
        <v>3804</v>
      </c>
      <c r="F91" s="253">
        <v>5.0</v>
      </c>
      <c r="G91" s="254">
        <v>685.0</v>
      </c>
      <c r="H91" s="367">
        <f t="shared" si="7"/>
        <v>3425</v>
      </c>
      <c r="I91" s="256" t="s">
        <v>43</v>
      </c>
      <c r="J91" s="333" t="s">
        <v>3805</v>
      </c>
      <c r="K91" s="258">
        <v>43174.0</v>
      </c>
      <c r="L91" s="258">
        <v>43171.0</v>
      </c>
      <c r="M91" s="333"/>
      <c r="N91" s="333" t="s">
        <v>1537</v>
      </c>
      <c r="O91" s="310" t="s">
        <v>3806</v>
      </c>
      <c r="P91" s="598"/>
      <c r="Q91" s="330"/>
      <c r="R91" s="320"/>
      <c r="S91" s="330"/>
      <c r="T91" s="766"/>
      <c r="U91" s="766"/>
      <c r="V91" s="766"/>
      <c r="W91" s="767"/>
      <c r="X91" s="252" t="s">
        <v>3807</v>
      </c>
      <c r="Y91" s="765">
        <v>1.85039024E8</v>
      </c>
      <c r="Z91" s="765"/>
      <c r="AA91" s="765"/>
      <c r="AB91" s="765"/>
      <c r="AC91" s="253" t="s">
        <v>284</v>
      </c>
    </row>
    <row r="92" ht="15.75" hidden="1" customHeight="1">
      <c r="A92" s="764">
        <v>43122.0</v>
      </c>
      <c r="B92" s="795" t="s">
        <v>406</v>
      </c>
      <c r="C92" s="765" t="s">
        <v>3471</v>
      </c>
      <c r="D92" s="252" t="s">
        <v>3803</v>
      </c>
      <c r="E92" s="252" t="s">
        <v>512</v>
      </c>
      <c r="F92" s="253">
        <v>5.0</v>
      </c>
      <c r="G92" s="254">
        <v>39.0</v>
      </c>
      <c r="H92" s="367">
        <f t="shared" si="7"/>
        <v>195</v>
      </c>
      <c r="I92" s="256" t="s">
        <v>43</v>
      </c>
      <c r="J92" s="333" t="s">
        <v>3805</v>
      </c>
      <c r="K92" s="258">
        <v>43174.0</v>
      </c>
      <c r="L92" s="258">
        <v>43133.0</v>
      </c>
      <c r="M92" s="333"/>
      <c r="N92" s="333" t="s">
        <v>2170</v>
      </c>
      <c r="O92" s="310" t="s">
        <v>3808</v>
      </c>
      <c r="P92" s="267">
        <v>173.25</v>
      </c>
      <c r="Q92" s="579">
        <v>5068.0</v>
      </c>
      <c r="R92" s="310" t="s">
        <v>2172</v>
      </c>
      <c r="S92" s="330"/>
      <c r="T92" s="765" t="s">
        <v>3717</v>
      </c>
      <c r="U92" s="765" t="s">
        <v>3717</v>
      </c>
      <c r="V92" s="765" t="s">
        <v>3717</v>
      </c>
      <c r="W92" s="769">
        <v>43129.0</v>
      </c>
      <c r="X92" s="252" t="s">
        <v>3807</v>
      </c>
      <c r="Y92" s="765">
        <v>1.85039024E8</v>
      </c>
      <c r="Z92" s="765"/>
      <c r="AA92" s="765"/>
      <c r="AB92" s="765"/>
      <c r="AC92" s="253" t="s">
        <v>284</v>
      </c>
    </row>
    <row r="93" ht="15.75" hidden="1" customHeight="1">
      <c r="A93" s="764">
        <v>43122.0</v>
      </c>
      <c r="B93" s="795" t="s">
        <v>406</v>
      </c>
      <c r="C93" s="765" t="s">
        <v>3471</v>
      </c>
      <c r="D93" s="252" t="s">
        <v>3803</v>
      </c>
      <c r="E93" s="252" t="s">
        <v>515</v>
      </c>
      <c r="F93" s="253">
        <v>5.0</v>
      </c>
      <c r="G93" s="254">
        <v>43.0</v>
      </c>
      <c r="H93" s="367">
        <f t="shared" si="7"/>
        <v>215</v>
      </c>
      <c r="I93" s="256" t="s">
        <v>43</v>
      </c>
      <c r="J93" s="333" t="s">
        <v>3805</v>
      </c>
      <c r="K93" s="258">
        <v>43174.0</v>
      </c>
      <c r="L93" s="258">
        <v>43133.0</v>
      </c>
      <c r="M93" s="333"/>
      <c r="N93" s="333" t="s">
        <v>2170</v>
      </c>
      <c r="O93" s="310" t="s">
        <v>3808</v>
      </c>
      <c r="P93" s="268">
        <v>197.4</v>
      </c>
      <c r="Q93" s="579">
        <v>5774.0</v>
      </c>
      <c r="R93" s="310" t="s">
        <v>2172</v>
      </c>
      <c r="S93" s="330"/>
      <c r="T93" s="765" t="s">
        <v>3717</v>
      </c>
      <c r="U93" s="765" t="s">
        <v>3717</v>
      </c>
      <c r="V93" s="765" t="s">
        <v>3717</v>
      </c>
      <c r="W93" s="769">
        <v>43129.0</v>
      </c>
      <c r="X93" s="252" t="s">
        <v>3807</v>
      </c>
      <c r="Y93" s="765">
        <v>1.85039024E8</v>
      </c>
      <c r="Z93" s="765"/>
      <c r="AA93" s="765"/>
      <c r="AB93" s="765"/>
      <c r="AC93" s="253" t="s">
        <v>284</v>
      </c>
    </row>
    <row r="94" ht="15.75" hidden="1" customHeight="1">
      <c r="A94" s="764">
        <v>43122.0</v>
      </c>
      <c r="B94" s="265" t="s">
        <v>3506</v>
      </c>
      <c r="C94" s="765" t="s">
        <v>3471</v>
      </c>
      <c r="D94" s="252" t="s">
        <v>3809</v>
      </c>
      <c r="E94" s="252" t="s">
        <v>3810</v>
      </c>
      <c r="F94" s="253">
        <v>15.0</v>
      </c>
      <c r="G94" s="254">
        <v>174.5</v>
      </c>
      <c r="H94" s="255">
        <f t="shared" si="7"/>
        <v>2617.5</v>
      </c>
      <c r="I94" s="256" t="s">
        <v>3585</v>
      </c>
      <c r="J94" s="269" t="s">
        <v>3509</v>
      </c>
      <c r="K94" s="258">
        <v>43137.0</v>
      </c>
      <c r="L94" s="258">
        <v>43132.0</v>
      </c>
      <c r="M94" s="333"/>
      <c r="N94" s="333" t="s">
        <v>3510</v>
      </c>
      <c r="O94" s="310" t="s">
        <v>3811</v>
      </c>
      <c r="P94" s="268">
        <v>2488.5</v>
      </c>
      <c r="Q94" s="330"/>
      <c r="R94" s="310" t="s">
        <v>3512</v>
      </c>
      <c r="S94" s="792"/>
      <c r="T94" s="771">
        <v>43138.0</v>
      </c>
      <c r="U94" s="252" t="s">
        <v>3812</v>
      </c>
      <c r="V94" s="774">
        <v>72155.0</v>
      </c>
      <c r="W94" s="769">
        <v>43130.0</v>
      </c>
      <c r="X94" s="252" t="s">
        <v>3588</v>
      </c>
      <c r="Y94" s="782" t="s">
        <v>3589</v>
      </c>
      <c r="Z94" s="765"/>
      <c r="AA94" s="765"/>
      <c r="AB94" s="765"/>
      <c r="AC94" s="253" t="s">
        <v>284</v>
      </c>
    </row>
    <row r="95" ht="15.75" hidden="1" customHeight="1">
      <c r="A95" s="796">
        <v>43122.0</v>
      </c>
      <c r="B95" s="783" t="s">
        <v>3506</v>
      </c>
      <c r="C95" s="765" t="s">
        <v>3471</v>
      </c>
      <c r="D95" s="276" t="s">
        <v>3813</v>
      </c>
      <c r="E95" s="276"/>
      <c r="F95" s="797">
        <v>6.0</v>
      </c>
      <c r="G95" s="281">
        <v>0.0</v>
      </c>
      <c r="H95" s="289">
        <f t="shared" si="7"/>
        <v>0</v>
      </c>
      <c r="I95" s="282" t="s">
        <v>3585</v>
      </c>
      <c r="J95" s="283" t="s">
        <v>3509</v>
      </c>
      <c r="K95" s="797" t="s">
        <v>71</v>
      </c>
      <c r="L95" s="291"/>
      <c r="M95" s="283"/>
      <c r="N95" s="283"/>
      <c r="O95" s="798"/>
      <c r="P95" s="799"/>
      <c r="Q95" s="798"/>
      <c r="R95" s="800"/>
      <c r="S95" s="798"/>
      <c r="T95" s="801"/>
      <c r="U95" s="801"/>
      <c r="V95" s="801"/>
      <c r="W95" s="802"/>
      <c r="X95" s="801"/>
      <c r="Y95" s="276"/>
      <c r="Z95" s="276"/>
      <c r="AA95" s="276"/>
      <c r="AB95" s="276"/>
      <c r="AC95" s="266" t="s">
        <v>3617</v>
      </c>
    </row>
    <row r="96" ht="15.75" customHeight="1">
      <c r="A96" s="764">
        <v>43123.0</v>
      </c>
      <c r="B96" s="265" t="s">
        <v>77</v>
      </c>
      <c r="C96" s="765" t="s">
        <v>3471</v>
      </c>
      <c r="D96" s="252" t="s">
        <v>3814</v>
      </c>
      <c r="E96" s="252" t="s">
        <v>3488</v>
      </c>
      <c r="F96" s="266">
        <v>50.0</v>
      </c>
      <c r="G96" s="254">
        <v>90.0</v>
      </c>
      <c r="H96" s="255">
        <f t="shared" si="7"/>
        <v>4500</v>
      </c>
      <c r="I96" s="256" t="s">
        <v>43</v>
      </c>
      <c r="J96" s="369" t="s">
        <v>316</v>
      </c>
      <c r="K96" s="258">
        <v>43157.0</v>
      </c>
      <c r="L96" s="258">
        <v>43136.0</v>
      </c>
      <c r="M96" s="333">
        <v>2.018020600004E12</v>
      </c>
      <c r="N96" s="333" t="s">
        <v>3489</v>
      </c>
      <c r="O96" s="310" t="s">
        <v>3815</v>
      </c>
      <c r="P96" s="598"/>
      <c r="Q96" s="579">
        <v>122273.0</v>
      </c>
      <c r="R96" s="604" t="s">
        <v>3816</v>
      </c>
      <c r="S96" s="768">
        <v>43143.0</v>
      </c>
      <c r="T96" s="769">
        <v>43136.0</v>
      </c>
      <c r="U96" s="765" t="s">
        <v>3817</v>
      </c>
      <c r="V96" s="770">
        <v>171182.0</v>
      </c>
      <c r="W96" s="769">
        <v>43154.0</v>
      </c>
      <c r="X96" s="252" t="s">
        <v>3771</v>
      </c>
      <c r="Y96" s="765">
        <v>2.92481022E8</v>
      </c>
      <c r="Z96" s="765"/>
      <c r="AA96" s="765"/>
      <c r="AB96" s="765"/>
      <c r="AC96" s="253" t="s">
        <v>284</v>
      </c>
    </row>
    <row r="97" ht="15.75" customHeight="1">
      <c r="A97" s="764">
        <v>43123.0</v>
      </c>
      <c r="B97" s="265" t="s">
        <v>77</v>
      </c>
      <c r="C97" s="765" t="s">
        <v>3471</v>
      </c>
      <c r="D97" s="252" t="s">
        <v>3814</v>
      </c>
      <c r="E97" s="252" t="s">
        <v>1758</v>
      </c>
      <c r="F97" s="307">
        <v>200.0</v>
      </c>
      <c r="G97" s="325">
        <v>3.0</v>
      </c>
      <c r="H97" s="255">
        <f t="shared" si="7"/>
        <v>600</v>
      </c>
      <c r="I97" s="256" t="s">
        <v>43</v>
      </c>
      <c r="J97" s="369" t="s">
        <v>316</v>
      </c>
      <c r="K97" s="258">
        <v>43157.0</v>
      </c>
      <c r="L97" s="258">
        <v>43143.0</v>
      </c>
      <c r="M97" s="333"/>
      <c r="N97" s="333" t="s">
        <v>3769</v>
      </c>
      <c r="O97" s="310" t="s">
        <v>3818</v>
      </c>
      <c r="P97" s="598"/>
      <c r="Q97" s="579">
        <v>13650.0</v>
      </c>
      <c r="R97" s="388" t="s">
        <v>2131</v>
      </c>
      <c r="S97" s="768">
        <v>43164.0</v>
      </c>
      <c r="T97" s="769">
        <v>43139.0</v>
      </c>
      <c r="U97" s="765" t="s">
        <v>3819</v>
      </c>
      <c r="V97" s="770">
        <v>28846.0</v>
      </c>
      <c r="W97" s="769">
        <v>43164.0</v>
      </c>
      <c r="X97" s="252" t="s">
        <v>3771</v>
      </c>
      <c r="Y97" s="765">
        <v>2.92481022E8</v>
      </c>
      <c r="Z97" s="765"/>
      <c r="AA97" s="765"/>
      <c r="AB97" s="765"/>
      <c r="AC97" s="253" t="s">
        <v>284</v>
      </c>
    </row>
    <row r="98" ht="15.75" customHeight="1">
      <c r="A98" s="764">
        <v>43123.0</v>
      </c>
      <c r="B98" s="265" t="s">
        <v>77</v>
      </c>
      <c r="C98" s="765" t="s">
        <v>3471</v>
      </c>
      <c r="D98" s="252" t="s">
        <v>3814</v>
      </c>
      <c r="E98" s="252" t="s">
        <v>478</v>
      </c>
      <c r="F98" s="266">
        <v>100.0</v>
      </c>
      <c r="G98" s="254">
        <v>2.25</v>
      </c>
      <c r="H98" s="255">
        <f t="shared" si="7"/>
        <v>225</v>
      </c>
      <c r="I98" s="256" t="s">
        <v>43</v>
      </c>
      <c r="J98" s="369" t="s">
        <v>316</v>
      </c>
      <c r="K98" s="258">
        <v>43157.0</v>
      </c>
      <c r="L98" s="258">
        <v>43143.0</v>
      </c>
      <c r="M98" s="333"/>
      <c r="N98" s="333" t="s">
        <v>3769</v>
      </c>
      <c r="O98" s="310" t="s">
        <v>3818</v>
      </c>
      <c r="P98" s="598"/>
      <c r="Q98" s="579">
        <v>7560.0</v>
      </c>
      <c r="R98" s="388" t="s">
        <v>2131</v>
      </c>
      <c r="S98" s="768">
        <v>43164.0</v>
      </c>
      <c r="T98" s="769">
        <v>43139.0</v>
      </c>
      <c r="U98" s="765" t="s">
        <v>3819</v>
      </c>
      <c r="V98" s="765" t="s">
        <v>3820</v>
      </c>
      <c r="W98" s="769">
        <v>43164.0</v>
      </c>
      <c r="X98" s="252" t="s">
        <v>3771</v>
      </c>
      <c r="Y98" s="765">
        <v>2.92481022E8</v>
      </c>
      <c r="Z98" s="765"/>
      <c r="AA98" s="765"/>
      <c r="AB98" s="765"/>
      <c r="AC98" s="253" t="s">
        <v>284</v>
      </c>
    </row>
    <row r="99" ht="15.75" hidden="1" customHeight="1">
      <c r="A99" s="796">
        <v>43123.0</v>
      </c>
      <c r="B99" s="783" t="s">
        <v>3506</v>
      </c>
      <c r="C99" s="765" t="s">
        <v>3471</v>
      </c>
      <c r="D99" s="276" t="s">
        <v>3821</v>
      </c>
      <c r="E99" s="276" t="s">
        <v>3822</v>
      </c>
      <c r="F99" s="797">
        <v>100.0</v>
      </c>
      <c r="G99" s="281">
        <v>0.0</v>
      </c>
      <c r="H99" s="289">
        <f t="shared" si="7"/>
        <v>0</v>
      </c>
      <c r="I99" s="282" t="s">
        <v>171</v>
      </c>
      <c r="J99" s="283" t="s">
        <v>3509</v>
      </c>
      <c r="K99" s="283" t="s">
        <v>71</v>
      </c>
      <c r="L99" s="291">
        <v>43206.0</v>
      </c>
      <c r="M99" s="283"/>
      <c r="N99" s="283" t="s">
        <v>3510</v>
      </c>
      <c r="O99" s="798" t="s">
        <v>3823</v>
      </c>
      <c r="P99" s="799">
        <v>16569.0</v>
      </c>
      <c r="Q99" s="803"/>
      <c r="R99" s="798" t="s">
        <v>3512</v>
      </c>
      <c r="S99" s="798"/>
      <c r="T99" s="801"/>
      <c r="U99" s="801"/>
      <c r="V99" s="801"/>
      <c r="W99" s="802"/>
      <c r="X99" s="801"/>
      <c r="Y99" s="276"/>
      <c r="Z99" s="276"/>
      <c r="AA99" s="276"/>
      <c r="AB99" s="276"/>
      <c r="AC99" s="253" t="s">
        <v>3617</v>
      </c>
    </row>
    <row r="100" ht="15.75" hidden="1" customHeight="1">
      <c r="A100" s="796">
        <v>43123.0</v>
      </c>
      <c r="B100" s="783" t="s">
        <v>3506</v>
      </c>
      <c r="C100" s="765" t="s">
        <v>3471</v>
      </c>
      <c r="D100" s="276" t="s">
        <v>3824</v>
      </c>
      <c r="E100" s="276" t="s">
        <v>3825</v>
      </c>
      <c r="F100" s="797">
        <v>20.0</v>
      </c>
      <c r="G100" s="281">
        <v>0.0</v>
      </c>
      <c r="H100" s="289">
        <f t="shared" si="7"/>
        <v>0</v>
      </c>
      <c r="I100" s="282" t="s">
        <v>171</v>
      </c>
      <c r="J100" s="283" t="s">
        <v>3509</v>
      </c>
      <c r="K100" s="283" t="s">
        <v>71</v>
      </c>
      <c r="L100" s="291">
        <v>43206.0</v>
      </c>
      <c r="M100" s="283"/>
      <c r="N100" s="283" t="s">
        <v>3510</v>
      </c>
      <c r="O100" s="798" t="s">
        <v>3823</v>
      </c>
      <c r="P100" s="799">
        <v>3313.8</v>
      </c>
      <c r="Q100" s="803"/>
      <c r="R100" s="798" t="s">
        <v>3512</v>
      </c>
      <c r="S100" s="798"/>
      <c r="T100" s="801"/>
      <c r="U100" s="801"/>
      <c r="V100" s="801"/>
      <c r="W100" s="802"/>
      <c r="X100" s="801"/>
      <c r="Y100" s="276"/>
      <c r="Z100" s="276"/>
      <c r="AA100" s="276"/>
      <c r="AB100" s="276"/>
      <c r="AC100" s="253" t="s">
        <v>3617</v>
      </c>
    </row>
    <row r="101" ht="15.75" hidden="1" customHeight="1">
      <c r="A101" s="764">
        <v>43126.0</v>
      </c>
      <c r="B101" s="265" t="s">
        <v>548</v>
      </c>
      <c r="C101" s="765" t="s">
        <v>3471</v>
      </c>
      <c r="D101" s="252" t="s">
        <v>3826</v>
      </c>
      <c r="E101" s="252" t="s">
        <v>3827</v>
      </c>
      <c r="F101" s="253">
        <v>1.0</v>
      </c>
      <c r="G101" s="254">
        <v>270.0</v>
      </c>
      <c r="H101" s="255">
        <f t="shared" si="7"/>
        <v>270</v>
      </c>
      <c r="I101" s="256" t="s">
        <v>3474</v>
      </c>
      <c r="J101" s="269" t="s">
        <v>3749</v>
      </c>
      <c r="K101" s="258">
        <v>43132.0</v>
      </c>
      <c r="L101" s="258">
        <v>43131.0</v>
      </c>
      <c r="M101" s="333"/>
      <c r="N101" s="333" t="s">
        <v>3828</v>
      </c>
      <c r="O101" s="252">
        <v>1.65235965E8</v>
      </c>
      <c r="P101" s="598"/>
      <c r="Q101" s="579">
        <v>6641.0</v>
      </c>
      <c r="R101" s="320" t="s">
        <v>3829</v>
      </c>
      <c r="S101" s="330"/>
      <c r="T101" s="771">
        <v>43130.0</v>
      </c>
      <c r="U101" s="252" t="s">
        <v>3830</v>
      </c>
      <c r="V101" s="774">
        <v>6641.0</v>
      </c>
      <c r="W101" s="769">
        <v>43130.0</v>
      </c>
      <c r="X101" s="252" t="s">
        <v>3831</v>
      </c>
      <c r="Y101" s="765">
        <v>2.891272985E9</v>
      </c>
      <c r="Z101" s="765"/>
      <c r="AA101" s="765"/>
      <c r="AB101" s="765"/>
      <c r="AC101" s="253" t="s">
        <v>284</v>
      </c>
    </row>
    <row r="102" ht="15.75" hidden="1" customHeight="1">
      <c r="A102" s="764">
        <v>43129.0</v>
      </c>
      <c r="B102" s="597" t="s">
        <v>406</v>
      </c>
      <c r="C102" s="765" t="s">
        <v>3471</v>
      </c>
      <c r="D102" s="252" t="s">
        <v>3832</v>
      </c>
      <c r="E102" s="252" t="s">
        <v>3833</v>
      </c>
      <c r="F102" s="253">
        <v>1.0</v>
      </c>
      <c r="G102" s="254">
        <v>935.0</v>
      </c>
      <c r="H102" s="255">
        <f t="shared" si="7"/>
        <v>935</v>
      </c>
      <c r="I102" s="256" t="s">
        <v>43</v>
      </c>
      <c r="J102" s="777" t="s">
        <v>3623</v>
      </c>
      <c r="K102" s="258">
        <v>43139.0</v>
      </c>
      <c r="L102" s="258">
        <v>43133.0</v>
      </c>
      <c r="M102" s="333">
        <v>2.018020800001E12</v>
      </c>
      <c r="N102" s="333" t="s">
        <v>3593</v>
      </c>
      <c r="O102" s="310" t="s">
        <v>3834</v>
      </c>
      <c r="P102" s="598"/>
      <c r="Q102" s="579">
        <v>26506.0</v>
      </c>
      <c r="R102" s="310" t="s">
        <v>2080</v>
      </c>
      <c r="S102" s="768">
        <v>43220.0</v>
      </c>
      <c r="T102" s="769">
        <v>43132.0</v>
      </c>
      <c r="U102" s="765" t="s">
        <v>3835</v>
      </c>
      <c r="V102" s="770">
        <v>26506.0</v>
      </c>
      <c r="W102" s="769">
        <v>43225.0</v>
      </c>
      <c r="X102" s="765" t="s">
        <v>3836</v>
      </c>
      <c r="Y102" s="765">
        <v>4.836279965E9</v>
      </c>
      <c r="Z102" s="765"/>
      <c r="AA102" s="765"/>
      <c r="AB102" s="765"/>
      <c r="AC102" s="253" t="s">
        <v>284</v>
      </c>
    </row>
    <row r="103" ht="15.75" hidden="1" customHeight="1">
      <c r="A103" s="764">
        <v>43131.0</v>
      </c>
      <c r="B103" s="265" t="s">
        <v>1204</v>
      </c>
      <c r="C103" s="765" t="s">
        <v>3471</v>
      </c>
      <c r="D103" s="252" t="s">
        <v>3837</v>
      </c>
      <c r="E103" s="252" t="s">
        <v>3838</v>
      </c>
      <c r="F103" s="253">
        <v>1.0</v>
      </c>
      <c r="G103" s="254">
        <v>380.0</v>
      </c>
      <c r="H103" s="255">
        <f t="shared" si="7"/>
        <v>380</v>
      </c>
      <c r="I103" s="256" t="s">
        <v>43</v>
      </c>
      <c r="J103" s="333" t="s">
        <v>3839</v>
      </c>
      <c r="K103" s="258">
        <v>43174.0</v>
      </c>
      <c r="L103" s="258">
        <v>43161.0</v>
      </c>
      <c r="M103" s="333"/>
      <c r="N103" s="333" t="s">
        <v>3840</v>
      </c>
      <c r="O103" s="310" t="s">
        <v>3841</v>
      </c>
      <c r="P103" s="598"/>
      <c r="Q103" s="579">
        <v>10080.0</v>
      </c>
      <c r="R103" s="320" t="s">
        <v>3842</v>
      </c>
      <c r="S103" s="768">
        <v>43220.0</v>
      </c>
      <c r="T103" s="769">
        <v>43160.0</v>
      </c>
      <c r="U103" s="765" t="s">
        <v>3843</v>
      </c>
      <c r="V103" s="770">
        <v>10080.0</v>
      </c>
      <c r="W103" s="771">
        <v>43220.0</v>
      </c>
      <c r="X103" s="252" t="s">
        <v>3844</v>
      </c>
      <c r="Y103" s="765">
        <v>1.84857455E8</v>
      </c>
      <c r="Z103" s="765"/>
      <c r="AA103" s="765"/>
      <c r="AB103" s="765"/>
      <c r="AC103" s="253" t="s">
        <v>284</v>
      </c>
    </row>
    <row r="104" ht="15.75" hidden="1" customHeight="1">
      <c r="A104" s="764">
        <v>43131.0</v>
      </c>
      <c r="B104" s="265" t="s">
        <v>101</v>
      </c>
      <c r="C104" s="765" t="s">
        <v>3471</v>
      </c>
      <c r="D104" s="252" t="s">
        <v>3845</v>
      </c>
      <c r="E104" s="252" t="s">
        <v>3846</v>
      </c>
      <c r="F104" s="253">
        <v>5.0</v>
      </c>
      <c r="G104" s="254">
        <v>1118.0</v>
      </c>
      <c r="H104" s="255">
        <f t="shared" si="7"/>
        <v>5590</v>
      </c>
      <c r="I104" s="256" t="s">
        <v>3474</v>
      </c>
      <c r="J104" s="333" t="s">
        <v>3739</v>
      </c>
      <c r="K104" s="258">
        <v>43153.0</v>
      </c>
      <c r="L104" s="258">
        <v>43144.0</v>
      </c>
      <c r="M104" s="333">
        <v>2.018022200002E12</v>
      </c>
      <c r="N104" s="333" t="s">
        <v>1439</v>
      </c>
      <c r="O104" s="310" t="s">
        <v>3847</v>
      </c>
      <c r="P104" s="598"/>
      <c r="Q104" s="579">
        <v>152271.0</v>
      </c>
      <c r="R104" s="320" t="s">
        <v>1976</v>
      </c>
      <c r="S104" s="768">
        <v>43164.0</v>
      </c>
      <c r="T104" s="771">
        <v>43143.0</v>
      </c>
      <c r="U104" s="252" t="s">
        <v>3848</v>
      </c>
      <c r="V104" s="774">
        <v>152272.0</v>
      </c>
      <c r="W104" s="769">
        <v>43165.0</v>
      </c>
      <c r="X104" s="252" t="s">
        <v>3849</v>
      </c>
      <c r="Y104" s="252">
        <v>6.776473406E9</v>
      </c>
      <c r="Z104" s="765"/>
      <c r="AA104" s="765"/>
      <c r="AB104" s="765"/>
      <c r="AC104" s="253" t="s">
        <v>284</v>
      </c>
    </row>
    <row r="105" ht="15.75" hidden="1" customHeight="1">
      <c r="A105" s="764">
        <v>43131.0</v>
      </c>
      <c r="B105" s="265" t="s">
        <v>101</v>
      </c>
      <c r="C105" s="765" t="s">
        <v>3471</v>
      </c>
      <c r="D105" s="252" t="s">
        <v>3845</v>
      </c>
      <c r="E105" s="252" t="s">
        <v>3850</v>
      </c>
      <c r="F105" s="253">
        <v>5.0</v>
      </c>
      <c r="G105" s="254">
        <v>87.0</v>
      </c>
      <c r="H105" s="255">
        <f t="shared" si="7"/>
        <v>435</v>
      </c>
      <c r="I105" s="256" t="s">
        <v>3474</v>
      </c>
      <c r="J105" s="333" t="s">
        <v>3739</v>
      </c>
      <c r="K105" s="258">
        <v>43153.0</v>
      </c>
      <c r="L105" s="258">
        <v>43139.0</v>
      </c>
      <c r="M105" s="333">
        <v>2.018022200003E12</v>
      </c>
      <c r="N105" s="333" t="s">
        <v>2125</v>
      </c>
      <c r="O105" s="310" t="s">
        <v>3851</v>
      </c>
      <c r="P105" s="598"/>
      <c r="Q105" s="579">
        <v>10710.0</v>
      </c>
      <c r="R105" s="320" t="s">
        <v>2127</v>
      </c>
      <c r="S105" s="581" t="s">
        <v>422</v>
      </c>
      <c r="T105" s="769">
        <v>43138.0</v>
      </c>
      <c r="U105" s="765" t="s">
        <v>3852</v>
      </c>
      <c r="V105" s="770">
        <v>10710.0</v>
      </c>
      <c r="W105" s="769">
        <v>43136.0</v>
      </c>
      <c r="X105" s="252" t="s">
        <v>3849</v>
      </c>
      <c r="Y105" s="252">
        <v>6.776473406E9</v>
      </c>
      <c r="Z105" s="765"/>
      <c r="AA105" s="765"/>
      <c r="AB105" s="765"/>
      <c r="AC105" s="253" t="s">
        <v>284</v>
      </c>
    </row>
    <row r="106" ht="15.75" customHeight="1">
      <c r="A106" s="764">
        <v>43131.0</v>
      </c>
      <c r="B106" s="265" t="s">
        <v>77</v>
      </c>
      <c r="C106" s="765" t="s">
        <v>3471</v>
      </c>
      <c r="D106" s="252" t="s">
        <v>3853</v>
      </c>
      <c r="E106" s="252" t="s">
        <v>3488</v>
      </c>
      <c r="F106" s="266">
        <v>20.0</v>
      </c>
      <c r="G106" s="254">
        <v>90.0</v>
      </c>
      <c r="H106" s="255">
        <f t="shared" si="7"/>
        <v>1800</v>
      </c>
      <c r="I106" s="256" t="s">
        <v>43</v>
      </c>
      <c r="J106" s="403" t="s">
        <v>316</v>
      </c>
      <c r="K106" s="258">
        <v>43157.0</v>
      </c>
      <c r="L106" s="258">
        <v>43136.0</v>
      </c>
      <c r="M106" s="333">
        <v>2.018020600004E12</v>
      </c>
      <c r="N106" s="333" t="s">
        <v>3489</v>
      </c>
      <c r="O106" s="310" t="s">
        <v>3815</v>
      </c>
      <c r="P106" s="598"/>
      <c r="Q106" s="579">
        <v>48909.0</v>
      </c>
      <c r="R106" s="604" t="s">
        <v>3816</v>
      </c>
      <c r="S106" s="768">
        <v>43143.0</v>
      </c>
      <c r="T106" s="769">
        <v>43136.0</v>
      </c>
      <c r="U106" s="765" t="s">
        <v>3817</v>
      </c>
      <c r="V106" s="770" t="s">
        <v>3854</v>
      </c>
      <c r="W106" s="769">
        <v>43154.0</v>
      </c>
      <c r="X106" s="252" t="s">
        <v>3771</v>
      </c>
      <c r="Y106" s="765">
        <v>2.92481022E8</v>
      </c>
      <c r="Z106" s="765"/>
      <c r="AA106" s="765"/>
      <c r="AB106" s="765"/>
      <c r="AC106" s="253" t="s">
        <v>284</v>
      </c>
    </row>
    <row r="107" ht="15.75" hidden="1" customHeight="1">
      <c r="A107" s="764">
        <v>43132.0</v>
      </c>
      <c r="B107" s="265" t="s">
        <v>101</v>
      </c>
      <c r="C107" s="765" t="s">
        <v>3471</v>
      </c>
      <c r="D107" s="252" t="s">
        <v>3855</v>
      </c>
      <c r="E107" s="252" t="s">
        <v>3856</v>
      </c>
      <c r="F107" s="253">
        <v>6.0</v>
      </c>
      <c r="G107" s="254">
        <v>339.0</v>
      </c>
      <c r="H107" s="255">
        <f t="shared" si="7"/>
        <v>2034</v>
      </c>
      <c r="I107" s="256"/>
      <c r="J107" s="333" t="s">
        <v>3739</v>
      </c>
      <c r="K107" s="258">
        <v>43153.0</v>
      </c>
      <c r="L107" s="258">
        <v>43140.0</v>
      </c>
      <c r="M107" s="403">
        <v>2.018022200004E12</v>
      </c>
      <c r="N107" s="403" t="s">
        <v>2028</v>
      </c>
      <c r="O107" s="310" t="s">
        <v>3857</v>
      </c>
      <c r="P107" s="598"/>
      <c r="Q107" s="579">
        <v>56001.0</v>
      </c>
      <c r="R107" s="578" t="s">
        <v>2030</v>
      </c>
      <c r="S107" s="768">
        <v>43195.0</v>
      </c>
      <c r="T107" s="769">
        <v>43139.0</v>
      </c>
      <c r="U107" s="765" t="s">
        <v>3858</v>
      </c>
      <c r="V107" s="770">
        <v>57469.0</v>
      </c>
      <c r="W107" s="769">
        <v>43199.0</v>
      </c>
      <c r="X107" s="252" t="s">
        <v>3849</v>
      </c>
      <c r="Y107" s="252">
        <v>6.776473406E9</v>
      </c>
      <c r="Z107" s="765"/>
      <c r="AA107" s="765"/>
      <c r="AB107" s="765"/>
      <c r="AC107" s="253" t="s">
        <v>284</v>
      </c>
    </row>
    <row r="108" ht="15.75" hidden="1" customHeight="1">
      <c r="A108" s="764">
        <v>43132.0</v>
      </c>
      <c r="B108" s="265" t="s">
        <v>101</v>
      </c>
      <c r="C108" s="765" t="s">
        <v>3471</v>
      </c>
      <c r="D108" s="252" t="s">
        <v>3855</v>
      </c>
      <c r="E108" s="252" t="s">
        <v>3859</v>
      </c>
      <c r="F108" s="253">
        <v>6.0</v>
      </c>
      <c r="G108" s="254">
        <v>39.0</v>
      </c>
      <c r="H108" s="255">
        <f t="shared" si="7"/>
        <v>234</v>
      </c>
      <c r="I108" s="256" t="s">
        <v>3474</v>
      </c>
      <c r="J108" s="333" t="s">
        <v>3739</v>
      </c>
      <c r="K108" s="258">
        <v>43153.0</v>
      </c>
      <c r="L108" s="258">
        <v>43143.0</v>
      </c>
      <c r="M108" s="333">
        <v>2.018022200006E12</v>
      </c>
      <c r="N108" s="333" t="s">
        <v>2170</v>
      </c>
      <c r="O108" s="310" t="s">
        <v>3860</v>
      </c>
      <c r="P108" s="598"/>
      <c r="Q108" s="579">
        <v>6917.0</v>
      </c>
      <c r="R108" s="310" t="s">
        <v>2172</v>
      </c>
      <c r="S108" s="581" t="s">
        <v>422</v>
      </c>
      <c r="T108" s="769">
        <v>43140.0</v>
      </c>
      <c r="U108" s="765" t="s">
        <v>3861</v>
      </c>
      <c r="V108" s="770">
        <v>6917.0</v>
      </c>
      <c r="W108" s="769">
        <v>43138.0</v>
      </c>
      <c r="X108" s="252" t="s">
        <v>3849</v>
      </c>
      <c r="Y108" s="252">
        <v>6.776473406E9</v>
      </c>
      <c r="Z108" s="765"/>
      <c r="AA108" s="765"/>
      <c r="AB108" s="765"/>
      <c r="AC108" s="253" t="s">
        <v>284</v>
      </c>
    </row>
    <row r="109" ht="15.75" hidden="1" customHeight="1">
      <c r="A109" s="764">
        <v>43132.0</v>
      </c>
      <c r="B109" s="265" t="s">
        <v>101</v>
      </c>
      <c r="C109" s="765" t="s">
        <v>3471</v>
      </c>
      <c r="D109" s="252" t="s">
        <v>3855</v>
      </c>
      <c r="E109" s="252" t="s">
        <v>3862</v>
      </c>
      <c r="F109" s="253">
        <v>6.0</v>
      </c>
      <c r="G109" s="254">
        <v>9.0</v>
      </c>
      <c r="H109" s="255">
        <f t="shared" si="7"/>
        <v>54</v>
      </c>
      <c r="I109" s="256" t="s">
        <v>3474</v>
      </c>
      <c r="J109" s="333" t="s">
        <v>3739</v>
      </c>
      <c r="K109" s="258">
        <v>43153.0</v>
      </c>
      <c r="L109" s="258">
        <v>43140.0</v>
      </c>
      <c r="M109" s="403">
        <v>2.018022200004E12</v>
      </c>
      <c r="N109" s="403" t="s">
        <v>2028</v>
      </c>
      <c r="O109" s="310" t="s">
        <v>3857</v>
      </c>
      <c r="P109" s="598"/>
      <c r="Q109" s="579">
        <v>1468.0</v>
      </c>
      <c r="R109" s="578" t="s">
        <v>2030</v>
      </c>
      <c r="S109" s="768">
        <v>43195.0</v>
      </c>
      <c r="T109" s="769">
        <v>43139.0</v>
      </c>
      <c r="U109" s="765" t="s">
        <v>3858</v>
      </c>
      <c r="V109" s="765" t="s">
        <v>3863</v>
      </c>
      <c r="W109" s="769">
        <v>43199.0</v>
      </c>
      <c r="X109" s="252" t="s">
        <v>3849</v>
      </c>
      <c r="Y109" s="252">
        <v>6.776473406E9</v>
      </c>
      <c r="Z109" s="765"/>
      <c r="AA109" s="765"/>
      <c r="AB109" s="765"/>
      <c r="AC109" s="253" t="s">
        <v>284</v>
      </c>
    </row>
    <row r="110" ht="15.75" hidden="1" customHeight="1">
      <c r="A110" s="764">
        <v>43133.0</v>
      </c>
      <c r="B110" s="597" t="s">
        <v>406</v>
      </c>
      <c r="C110" s="765" t="s">
        <v>3471</v>
      </c>
      <c r="D110" s="252" t="s">
        <v>3864</v>
      </c>
      <c r="E110" s="252" t="s">
        <v>3865</v>
      </c>
      <c r="F110" s="253">
        <v>8.0</v>
      </c>
      <c r="G110" s="254">
        <v>136.0</v>
      </c>
      <c r="H110" s="255">
        <f t="shared" si="7"/>
        <v>1088</v>
      </c>
      <c r="I110" s="256" t="s">
        <v>43</v>
      </c>
      <c r="J110" s="777" t="s">
        <v>3623</v>
      </c>
      <c r="K110" s="258">
        <v>43144.0</v>
      </c>
      <c r="L110" s="258">
        <v>43143.0</v>
      </c>
      <c r="M110" s="333">
        <v>2.018021300003E12</v>
      </c>
      <c r="N110" s="333" t="s">
        <v>3593</v>
      </c>
      <c r="O110" s="310" t="s">
        <v>3866</v>
      </c>
      <c r="P110" s="598"/>
      <c r="Q110" s="579">
        <v>30240.0</v>
      </c>
      <c r="R110" s="310" t="s">
        <v>2080</v>
      </c>
      <c r="S110" s="768">
        <v>43220.0</v>
      </c>
      <c r="T110" s="769">
        <v>43140.0</v>
      </c>
      <c r="U110" s="765" t="s">
        <v>3867</v>
      </c>
      <c r="V110" s="770">
        <v>53219.0</v>
      </c>
      <c r="W110" s="769">
        <v>43225.0</v>
      </c>
      <c r="X110" s="252" t="s">
        <v>3868</v>
      </c>
      <c r="Y110" s="765">
        <v>4.143891415E9</v>
      </c>
      <c r="Z110" s="765"/>
      <c r="AA110" s="765"/>
      <c r="AB110" s="765"/>
      <c r="AC110" s="253" t="s">
        <v>284</v>
      </c>
    </row>
    <row r="111" ht="15.75" hidden="1" customHeight="1">
      <c r="A111" s="764">
        <v>43133.0</v>
      </c>
      <c r="B111" s="597" t="s">
        <v>406</v>
      </c>
      <c r="C111" s="765" t="s">
        <v>3471</v>
      </c>
      <c r="D111" s="252" t="s">
        <v>3864</v>
      </c>
      <c r="E111" s="252" t="s">
        <v>3869</v>
      </c>
      <c r="F111" s="253">
        <v>5.0</v>
      </c>
      <c r="G111" s="254">
        <v>161.0</v>
      </c>
      <c r="H111" s="255">
        <f t="shared" si="7"/>
        <v>805</v>
      </c>
      <c r="I111" s="256" t="s">
        <v>43</v>
      </c>
      <c r="J111" s="777" t="s">
        <v>3623</v>
      </c>
      <c r="K111" s="258">
        <v>43144.0</v>
      </c>
      <c r="L111" s="258">
        <v>43143.0</v>
      </c>
      <c r="M111" s="333">
        <v>2.018021300003E12</v>
      </c>
      <c r="N111" s="333" t="s">
        <v>3593</v>
      </c>
      <c r="O111" s="310" t="s">
        <v>3866</v>
      </c>
      <c r="P111" s="598"/>
      <c r="Q111" s="579">
        <v>22979.0</v>
      </c>
      <c r="R111" s="310" t="s">
        <v>2080</v>
      </c>
      <c r="S111" s="768">
        <v>43220.0</v>
      </c>
      <c r="T111" s="769">
        <v>43140.0</v>
      </c>
      <c r="U111" s="765" t="s">
        <v>3867</v>
      </c>
      <c r="V111" s="765" t="s">
        <v>3870</v>
      </c>
      <c r="W111" s="769">
        <v>43225.0</v>
      </c>
      <c r="X111" s="252" t="s">
        <v>3868</v>
      </c>
      <c r="Y111" s="765">
        <v>4.143891415E9</v>
      </c>
      <c r="Z111" s="765"/>
      <c r="AA111" s="765"/>
      <c r="AB111" s="765"/>
      <c r="AC111" s="253" t="s">
        <v>284</v>
      </c>
    </row>
    <row r="112" ht="15.75" hidden="1" customHeight="1">
      <c r="A112" s="764">
        <v>43133.0</v>
      </c>
      <c r="B112" s="783" t="s">
        <v>3871</v>
      </c>
      <c r="C112" s="765" t="s">
        <v>3471</v>
      </c>
      <c r="D112" s="276" t="s">
        <v>3872</v>
      </c>
      <c r="E112" s="276" t="s">
        <v>3873</v>
      </c>
      <c r="F112" s="279">
        <v>1.0</v>
      </c>
      <c r="G112" s="280">
        <v>0.0</v>
      </c>
      <c r="H112" s="289">
        <f t="shared" si="7"/>
        <v>0</v>
      </c>
      <c r="I112" s="282" t="s">
        <v>3874</v>
      </c>
      <c r="J112" s="283" t="s">
        <v>3875</v>
      </c>
      <c r="K112" s="797" t="s">
        <v>71</v>
      </c>
      <c r="L112" s="291">
        <v>43182.0</v>
      </c>
      <c r="M112" s="283"/>
      <c r="N112" s="283" t="s">
        <v>90</v>
      </c>
      <c r="O112" s="798" t="s">
        <v>3876</v>
      </c>
      <c r="P112" s="598"/>
      <c r="Q112" s="330"/>
      <c r="R112" s="340"/>
      <c r="S112" s="330"/>
      <c r="T112" s="766"/>
      <c r="U112" s="766"/>
      <c r="V112" s="766"/>
      <c r="W112" s="767"/>
      <c r="X112" s="766"/>
      <c r="Y112" s="765"/>
      <c r="Z112" s="765"/>
      <c r="AA112" s="765"/>
      <c r="AB112" s="765"/>
      <c r="AC112" s="253" t="s">
        <v>3617</v>
      </c>
    </row>
    <row r="113" ht="15.75" hidden="1" customHeight="1">
      <c r="A113" s="764">
        <v>43133.0</v>
      </c>
      <c r="B113" s="265" t="s">
        <v>3871</v>
      </c>
      <c r="C113" s="765" t="s">
        <v>3471</v>
      </c>
      <c r="D113" s="252" t="s">
        <v>3872</v>
      </c>
      <c r="E113" s="252" t="s">
        <v>3877</v>
      </c>
      <c r="F113" s="253">
        <v>2.0</v>
      </c>
      <c r="G113" s="254">
        <v>150.0</v>
      </c>
      <c r="H113" s="255">
        <f t="shared" si="7"/>
        <v>300</v>
      </c>
      <c r="I113" s="256" t="s">
        <v>3874</v>
      </c>
      <c r="J113" s="333" t="s">
        <v>3878</v>
      </c>
      <c r="K113" s="258">
        <v>43144.0</v>
      </c>
      <c r="L113" s="258">
        <v>43143.0</v>
      </c>
      <c r="M113" s="333"/>
      <c r="N113" s="333" t="s">
        <v>90</v>
      </c>
      <c r="O113" s="310" t="s">
        <v>3872</v>
      </c>
      <c r="P113" s="268">
        <v>216.3</v>
      </c>
      <c r="Q113" s="330"/>
      <c r="R113" s="340" t="s">
        <v>94</v>
      </c>
      <c r="S113" s="768">
        <v>43190.0</v>
      </c>
      <c r="T113" s="769">
        <v>43140.0</v>
      </c>
      <c r="U113" s="252" t="s">
        <v>3879</v>
      </c>
      <c r="V113" s="774">
        <v>6272.0</v>
      </c>
      <c r="W113" s="771">
        <v>43167.0</v>
      </c>
      <c r="X113" s="252" t="s">
        <v>3880</v>
      </c>
      <c r="Y113" s="765">
        <v>2.84169012E8</v>
      </c>
      <c r="Z113" s="765"/>
      <c r="AA113" s="765"/>
      <c r="AB113" s="765"/>
      <c r="AC113" s="253" t="s">
        <v>284</v>
      </c>
    </row>
    <row r="114" ht="15.75" hidden="1" customHeight="1">
      <c r="A114" s="764">
        <v>43133.0</v>
      </c>
      <c r="B114" s="265" t="s">
        <v>3871</v>
      </c>
      <c r="C114" s="765" t="s">
        <v>3471</v>
      </c>
      <c r="D114" s="252" t="s">
        <v>3872</v>
      </c>
      <c r="E114" s="252" t="s">
        <v>3881</v>
      </c>
      <c r="F114" s="253">
        <v>2.0</v>
      </c>
      <c r="G114" s="254">
        <v>135.0</v>
      </c>
      <c r="H114" s="255">
        <f t="shared" si="7"/>
        <v>270</v>
      </c>
      <c r="I114" s="256" t="s">
        <v>3874</v>
      </c>
      <c r="J114" s="333" t="s">
        <v>3878</v>
      </c>
      <c r="K114" s="258">
        <v>43144.0</v>
      </c>
      <c r="L114" s="258">
        <v>43143.0</v>
      </c>
      <c r="M114" s="333"/>
      <c r="N114" s="333" t="s">
        <v>90</v>
      </c>
      <c r="O114" s="310" t="s">
        <v>3882</v>
      </c>
      <c r="P114" s="268">
        <v>245.7</v>
      </c>
      <c r="Q114" s="330"/>
      <c r="R114" s="340" t="s">
        <v>94</v>
      </c>
      <c r="S114" s="768">
        <v>43190.0</v>
      </c>
      <c r="T114" s="769">
        <v>43140.0</v>
      </c>
      <c r="U114" s="765" t="s">
        <v>3883</v>
      </c>
      <c r="V114" s="770">
        <v>7124.0</v>
      </c>
      <c r="W114" s="771">
        <v>43167.0</v>
      </c>
      <c r="X114" s="252" t="s">
        <v>3880</v>
      </c>
      <c r="Y114" s="765">
        <v>2.84169012E8</v>
      </c>
      <c r="Z114" s="765"/>
      <c r="AA114" s="765"/>
      <c r="AB114" s="765"/>
      <c r="AC114" s="253" t="s">
        <v>284</v>
      </c>
    </row>
    <row r="115" ht="15.75" hidden="1" customHeight="1">
      <c r="A115" s="764">
        <v>43136.0</v>
      </c>
      <c r="B115" s="265" t="s">
        <v>119</v>
      </c>
      <c r="C115" s="765" t="s">
        <v>3471</v>
      </c>
      <c r="D115" s="252" t="s">
        <v>3884</v>
      </c>
      <c r="E115" s="252" t="s">
        <v>3885</v>
      </c>
      <c r="F115" s="253">
        <v>3.0</v>
      </c>
      <c r="G115" s="254">
        <v>1020.0</v>
      </c>
      <c r="H115" s="255">
        <f t="shared" si="7"/>
        <v>3060</v>
      </c>
      <c r="I115" s="256" t="s">
        <v>420</v>
      </c>
      <c r="J115" s="333" t="s">
        <v>3603</v>
      </c>
      <c r="K115" s="258">
        <v>43178.0</v>
      </c>
      <c r="L115" s="258">
        <v>43157.0</v>
      </c>
      <c r="M115" s="333"/>
      <c r="N115" s="333" t="s">
        <v>90</v>
      </c>
      <c r="O115" s="310" t="s">
        <v>3886</v>
      </c>
      <c r="P115" s="268">
        <v>2520.0</v>
      </c>
      <c r="Q115" s="330"/>
      <c r="R115" s="340" t="s">
        <v>94</v>
      </c>
      <c r="S115" s="768">
        <v>43220.0</v>
      </c>
      <c r="T115" s="769">
        <v>43157.0</v>
      </c>
      <c r="U115" s="765" t="s">
        <v>3887</v>
      </c>
      <c r="V115" s="770">
        <v>296558.0</v>
      </c>
      <c r="W115" s="771">
        <v>43220.0</v>
      </c>
      <c r="X115" s="252" t="s">
        <v>3888</v>
      </c>
      <c r="Y115" s="765" t="s">
        <v>3889</v>
      </c>
      <c r="Z115" s="765"/>
      <c r="AA115" s="765"/>
      <c r="AB115" s="765"/>
      <c r="AC115" s="253" t="s">
        <v>540</v>
      </c>
    </row>
    <row r="116" ht="15.75" hidden="1" customHeight="1">
      <c r="A116" s="764">
        <v>43136.0</v>
      </c>
      <c r="B116" s="265" t="s">
        <v>119</v>
      </c>
      <c r="C116" s="765" t="s">
        <v>3471</v>
      </c>
      <c r="D116" s="252" t="s">
        <v>3884</v>
      </c>
      <c r="E116" s="252" t="s">
        <v>3608</v>
      </c>
      <c r="F116" s="253">
        <v>18.0</v>
      </c>
      <c r="G116" s="254">
        <v>370.0</v>
      </c>
      <c r="H116" s="255">
        <f t="shared" si="7"/>
        <v>6660</v>
      </c>
      <c r="I116" s="256" t="s">
        <v>420</v>
      </c>
      <c r="J116" s="428" t="s">
        <v>3603</v>
      </c>
      <c r="K116" s="258">
        <v>43178.0</v>
      </c>
      <c r="L116" s="258">
        <v>43157.0</v>
      </c>
      <c r="M116" s="333"/>
      <c r="N116" s="333" t="s">
        <v>90</v>
      </c>
      <c r="O116" s="310" t="s">
        <v>3886</v>
      </c>
      <c r="P116" s="268">
        <v>6274.8</v>
      </c>
      <c r="Q116" s="330"/>
      <c r="R116" s="340" t="s">
        <v>94</v>
      </c>
      <c r="S116" s="768">
        <v>43220.0</v>
      </c>
      <c r="T116" s="769">
        <v>43157.0</v>
      </c>
      <c r="U116" s="765" t="s">
        <v>3887</v>
      </c>
      <c r="V116" s="770" t="s">
        <v>3890</v>
      </c>
      <c r="W116" s="771">
        <v>43220.0</v>
      </c>
      <c r="X116" s="252" t="s">
        <v>3888</v>
      </c>
      <c r="Y116" s="765" t="s">
        <v>3889</v>
      </c>
      <c r="Z116" s="765"/>
      <c r="AA116" s="765"/>
      <c r="AB116" s="765"/>
      <c r="AC116" s="253" t="s">
        <v>540</v>
      </c>
    </row>
    <row r="117" ht="15.75" hidden="1" customHeight="1">
      <c r="A117" s="764">
        <v>43136.0</v>
      </c>
      <c r="B117" s="265" t="s">
        <v>119</v>
      </c>
      <c r="C117" s="765" t="s">
        <v>3471</v>
      </c>
      <c r="D117" s="252" t="s">
        <v>3884</v>
      </c>
      <c r="E117" s="252" t="s">
        <v>3891</v>
      </c>
      <c r="F117" s="253">
        <v>3.0</v>
      </c>
      <c r="G117" s="254">
        <v>500.0</v>
      </c>
      <c r="H117" s="255">
        <f t="shared" si="7"/>
        <v>1500</v>
      </c>
      <c r="I117" s="256" t="s">
        <v>420</v>
      </c>
      <c r="J117" s="428" t="s">
        <v>3603</v>
      </c>
      <c r="K117" s="258">
        <v>43178.0</v>
      </c>
      <c r="L117" s="258">
        <v>43157.0</v>
      </c>
      <c r="M117" s="333"/>
      <c r="N117" s="333" t="s">
        <v>90</v>
      </c>
      <c r="O117" s="310" t="s">
        <v>3886</v>
      </c>
      <c r="P117" s="268">
        <v>1338.75</v>
      </c>
      <c r="Q117" s="330"/>
      <c r="R117" s="340" t="s">
        <v>94</v>
      </c>
      <c r="S117" s="768">
        <v>43220.0</v>
      </c>
      <c r="T117" s="769">
        <v>43157.0</v>
      </c>
      <c r="U117" s="765" t="s">
        <v>3887</v>
      </c>
      <c r="V117" s="770" t="s">
        <v>3890</v>
      </c>
      <c r="W117" s="771">
        <v>43220.0</v>
      </c>
      <c r="X117" s="252" t="s">
        <v>3888</v>
      </c>
      <c r="Y117" s="765" t="s">
        <v>3889</v>
      </c>
      <c r="Z117" s="765"/>
      <c r="AA117" s="765"/>
      <c r="AB117" s="765"/>
      <c r="AC117" s="253" t="s">
        <v>540</v>
      </c>
    </row>
    <row r="118" ht="15.75" hidden="1" customHeight="1">
      <c r="A118" s="764">
        <v>43136.0</v>
      </c>
      <c r="B118" s="265" t="s">
        <v>119</v>
      </c>
      <c r="C118" s="765" t="s">
        <v>3471</v>
      </c>
      <c r="D118" s="252" t="s">
        <v>3892</v>
      </c>
      <c r="E118" s="252" t="s">
        <v>3608</v>
      </c>
      <c r="F118" s="253">
        <v>20.0</v>
      </c>
      <c r="G118" s="254">
        <v>370.0</v>
      </c>
      <c r="H118" s="255">
        <f t="shared" si="7"/>
        <v>7400</v>
      </c>
      <c r="I118" s="256" t="s">
        <v>420</v>
      </c>
      <c r="J118" s="428" t="s">
        <v>3603</v>
      </c>
      <c r="K118" s="258">
        <v>43178.0</v>
      </c>
      <c r="L118" s="258">
        <v>43175.0</v>
      </c>
      <c r="M118" s="333"/>
      <c r="N118" s="333" t="s">
        <v>90</v>
      </c>
      <c r="O118" s="310" t="s">
        <v>3893</v>
      </c>
      <c r="P118" s="268">
        <v>6972.0</v>
      </c>
      <c r="Q118" s="330"/>
      <c r="R118" s="340" t="s">
        <v>94</v>
      </c>
      <c r="S118" s="768">
        <v>43220.0</v>
      </c>
      <c r="T118" s="769">
        <v>43174.0</v>
      </c>
      <c r="U118" s="765" t="s">
        <v>3894</v>
      </c>
      <c r="V118" s="770">
        <v>254126.0</v>
      </c>
      <c r="W118" s="771">
        <v>43220.0</v>
      </c>
      <c r="X118" s="252" t="s">
        <v>3888</v>
      </c>
      <c r="Y118" s="765" t="s">
        <v>3889</v>
      </c>
      <c r="Z118" s="765"/>
      <c r="AA118" s="765"/>
      <c r="AB118" s="765"/>
      <c r="AC118" s="253" t="s">
        <v>540</v>
      </c>
    </row>
    <row r="119" ht="15.75" hidden="1" customHeight="1">
      <c r="A119" s="764">
        <v>43136.0</v>
      </c>
      <c r="B119" s="265" t="s">
        <v>119</v>
      </c>
      <c r="C119" s="765" t="s">
        <v>3471</v>
      </c>
      <c r="D119" s="252" t="s">
        <v>3892</v>
      </c>
      <c r="E119" s="252" t="s">
        <v>3618</v>
      </c>
      <c r="F119" s="253">
        <v>20.0</v>
      </c>
      <c r="G119" s="254">
        <v>105.0</v>
      </c>
      <c r="H119" s="255">
        <f t="shared" si="7"/>
        <v>2100</v>
      </c>
      <c r="I119" s="256" t="s">
        <v>420</v>
      </c>
      <c r="J119" s="428" t="s">
        <v>3603</v>
      </c>
      <c r="K119" s="258">
        <v>43178.0</v>
      </c>
      <c r="L119" s="258">
        <v>43175.0</v>
      </c>
      <c r="M119" s="333"/>
      <c r="N119" s="333" t="s">
        <v>90</v>
      </c>
      <c r="O119" s="310" t="s">
        <v>3893</v>
      </c>
      <c r="P119" s="268">
        <v>1722.0</v>
      </c>
      <c r="Q119" s="330"/>
      <c r="R119" s="340" t="s">
        <v>94</v>
      </c>
      <c r="S119" s="768">
        <v>43220.0</v>
      </c>
      <c r="T119" s="769">
        <v>43174.0</v>
      </c>
      <c r="U119" s="765" t="s">
        <v>3894</v>
      </c>
      <c r="V119" s="770" t="s">
        <v>3895</v>
      </c>
      <c r="W119" s="771">
        <v>43220.0</v>
      </c>
      <c r="X119" s="252" t="s">
        <v>3888</v>
      </c>
      <c r="Y119" s="765" t="s">
        <v>3889</v>
      </c>
      <c r="Z119" s="765"/>
      <c r="AA119" s="765"/>
      <c r="AB119" s="765"/>
      <c r="AC119" s="253" t="s">
        <v>540</v>
      </c>
    </row>
    <row r="120" ht="15.75" hidden="1" customHeight="1">
      <c r="A120" s="764">
        <v>43137.0</v>
      </c>
      <c r="B120" s="265" t="s">
        <v>101</v>
      </c>
      <c r="C120" s="765" t="s">
        <v>3471</v>
      </c>
      <c r="D120" s="252" t="s">
        <v>3896</v>
      </c>
      <c r="E120" s="252" t="s">
        <v>3897</v>
      </c>
      <c r="F120" s="253">
        <v>1.0</v>
      </c>
      <c r="G120" s="254">
        <v>622.0</v>
      </c>
      <c r="H120" s="255">
        <f t="shared" si="7"/>
        <v>622</v>
      </c>
      <c r="I120" s="256" t="s">
        <v>3474</v>
      </c>
      <c r="J120" s="269" t="s">
        <v>3739</v>
      </c>
      <c r="K120" s="258">
        <v>43158.0</v>
      </c>
      <c r="L120" s="258">
        <v>43154.0</v>
      </c>
      <c r="M120" s="403">
        <v>2.018022700004E12</v>
      </c>
      <c r="N120" s="403" t="s">
        <v>2028</v>
      </c>
      <c r="O120" s="310" t="s">
        <v>3898</v>
      </c>
      <c r="P120" s="598"/>
      <c r="Q120" s="579">
        <v>17170.0</v>
      </c>
      <c r="R120" s="578" t="s">
        <v>2030</v>
      </c>
      <c r="S120" s="768">
        <v>43195.0</v>
      </c>
      <c r="T120" s="771">
        <v>43153.0</v>
      </c>
      <c r="U120" s="252" t="s">
        <v>3899</v>
      </c>
      <c r="V120" s="774">
        <v>17170.0</v>
      </c>
      <c r="W120" s="769">
        <v>43199.0</v>
      </c>
      <c r="X120" s="252" t="s">
        <v>3900</v>
      </c>
      <c r="Y120" s="765">
        <v>8.200018842E9</v>
      </c>
      <c r="Z120" s="765"/>
      <c r="AA120" s="765"/>
      <c r="AB120" s="765"/>
      <c r="AC120" s="253" t="s">
        <v>284</v>
      </c>
    </row>
    <row r="121" ht="15.75" hidden="1" customHeight="1">
      <c r="A121" s="764">
        <v>43137.0</v>
      </c>
      <c r="B121" s="265" t="s">
        <v>101</v>
      </c>
      <c r="C121" s="765" t="s">
        <v>3471</v>
      </c>
      <c r="D121" s="252" t="s">
        <v>3896</v>
      </c>
      <c r="E121" s="252" t="s">
        <v>3901</v>
      </c>
      <c r="F121" s="253">
        <v>1.0</v>
      </c>
      <c r="G121" s="254">
        <v>38.0</v>
      </c>
      <c r="H121" s="255">
        <f t="shared" si="7"/>
        <v>38</v>
      </c>
      <c r="I121" s="256" t="s">
        <v>3474</v>
      </c>
      <c r="J121" s="269" t="s">
        <v>3739</v>
      </c>
      <c r="K121" s="258">
        <v>43158.0</v>
      </c>
      <c r="L121" s="258">
        <v>43153.0</v>
      </c>
      <c r="M121" s="333">
        <v>2.018022700001E12</v>
      </c>
      <c r="N121" s="333" t="s">
        <v>1439</v>
      </c>
      <c r="O121" s="310" t="s">
        <v>3902</v>
      </c>
      <c r="P121" s="598"/>
      <c r="Q121" s="579">
        <v>1074.0</v>
      </c>
      <c r="R121" s="320" t="s">
        <v>1976</v>
      </c>
      <c r="S121" s="768">
        <v>43164.0</v>
      </c>
      <c r="T121" s="769">
        <v>43152.0</v>
      </c>
      <c r="U121" s="765" t="s">
        <v>3903</v>
      </c>
      <c r="V121" s="770">
        <v>1074.0</v>
      </c>
      <c r="W121" s="769">
        <v>43165.0</v>
      </c>
      <c r="X121" s="252" t="s">
        <v>3900</v>
      </c>
      <c r="Y121" s="765">
        <v>8.200018842E9</v>
      </c>
      <c r="Z121" s="765"/>
      <c r="AA121" s="765"/>
      <c r="AB121" s="765"/>
      <c r="AC121" s="253" t="s">
        <v>284</v>
      </c>
    </row>
    <row r="122" ht="15.75" hidden="1" customHeight="1">
      <c r="A122" s="764">
        <v>43137.0</v>
      </c>
      <c r="B122" s="265" t="s">
        <v>101</v>
      </c>
      <c r="C122" s="765" t="s">
        <v>3471</v>
      </c>
      <c r="D122" s="252" t="s">
        <v>3896</v>
      </c>
      <c r="E122" s="252" t="s">
        <v>3904</v>
      </c>
      <c r="F122" s="253">
        <v>1.0</v>
      </c>
      <c r="G122" s="254">
        <v>218.0</v>
      </c>
      <c r="H122" s="255">
        <f t="shared" si="7"/>
        <v>218</v>
      </c>
      <c r="I122" s="256" t="s">
        <v>3474</v>
      </c>
      <c r="J122" s="269" t="s">
        <v>3739</v>
      </c>
      <c r="K122" s="258">
        <v>43158.0</v>
      </c>
      <c r="L122" s="258">
        <v>43143.0</v>
      </c>
      <c r="M122" s="333">
        <v>2.018022700002E12</v>
      </c>
      <c r="N122" s="333" t="s">
        <v>1981</v>
      </c>
      <c r="O122" s="310" t="s">
        <v>3905</v>
      </c>
      <c r="P122" s="598"/>
      <c r="Q122" s="579">
        <v>5481.0</v>
      </c>
      <c r="R122" s="310" t="s">
        <v>3906</v>
      </c>
      <c r="S122" s="768">
        <v>43164.0</v>
      </c>
      <c r="T122" s="769">
        <v>43139.0</v>
      </c>
      <c r="U122" s="765" t="s">
        <v>3907</v>
      </c>
      <c r="V122" s="770">
        <v>5481.0</v>
      </c>
      <c r="W122" s="769">
        <v>43164.0</v>
      </c>
      <c r="X122" s="252" t="s">
        <v>3900</v>
      </c>
      <c r="Y122" s="765">
        <v>8.200018842E9</v>
      </c>
      <c r="Z122" s="765"/>
      <c r="AA122" s="765"/>
      <c r="AB122" s="765"/>
      <c r="AC122" s="253" t="s">
        <v>284</v>
      </c>
    </row>
    <row r="123" ht="15.75" hidden="1" customHeight="1">
      <c r="A123" s="764">
        <v>43137.0</v>
      </c>
      <c r="B123" s="265" t="s">
        <v>101</v>
      </c>
      <c r="C123" s="765" t="s">
        <v>3471</v>
      </c>
      <c r="D123" s="252" t="s">
        <v>3896</v>
      </c>
      <c r="E123" s="252" t="s">
        <v>3908</v>
      </c>
      <c r="F123" s="253">
        <v>1.0</v>
      </c>
      <c r="G123" s="254">
        <v>352.0</v>
      </c>
      <c r="H123" s="255">
        <f t="shared" si="7"/>
        <v>352</v>
      </c>
      <c r="I123" s="256" t="s">
        <v>3474</v>
      </c>
      <c r="J123" s="269" t="s">
        <v>3739</v>
      </c>
      <c r="K123" s="258">
        <v>43158.0</v>
      </c>
      <c r="L123" s="258">
        <v>43154.0</v>
      </c>
      <c r="M123" s="333">
        <v>2.018022700003E12</v>
      </c>
      <c r="N123" s="333" t="s">
        <v>2129</v>
      </c>
      <c r="O123" s="310" t="s">
        <v>3909</v>
      </c>
      <c r="P123" s="268">
        <v>299.25</v>
      </c>
      <c r="Q123" s="330"/>
      <c r="R123" s="340" t="s">
        <v>47</v>
      </c>
      <c r="S123" s="768">
        <v>43183.0</v>
      </c>
      <c r="T123" s="771">
        <v>43153.0</v>
      </c>
      <c r="U123" s="252" t="s">
        <v>3910</v>
      </c>
      <c r="V123" s="774">
        <v>8752.0</v>
      </c>
      <c r="W123" s="769">
        <v>43199.0</v>
      </c>
      <c r="X123" s="252" t="s">
        <v>3900</v>
      </c>
      <c r="Y123" s="765">
        <v>8.200018842E9</v>
      </c>
      <c r="Z123" s="765"/>
      <c r="AA123" s="765"/>
      <c r="AB123" s="765"/>
      <c r="AC123" s="253" t="s">
        <v>284</v>
      </c>
    </row>
    <row r="124" ht="15.75" hidden="1" customHeight="1">
      <c r="A124" s="764">
        <v>43137.0</v>
      </c>
      <c r="B124" s="265" t="s">
        <v>101</v>
      </c>
      <c r="C124" s="765" t="s">
        <v>3471</v>
      </c>
      <c r="D124" s="252" t="s">
        <v>3896</v>
      </c>
      <c r="E124" s="252" t="s">
        <v>3911</v>
      </c>
      <c r="F124" s="253">
        <v>1.0</v>
      </c>
      <c r="G124" s="254">
        <v>40.0</v>
      </c>
      <c r="H124" s="255">
        <f t="shared" si="7"/>
        <v>40</v>
      </c>
      <c r="I124" s="256" t="s">
        <v>3474</v>
      </c>
      <c r="J124" s="269" t="s">
        <v>3739</v>
      </c>
      <c r="K124" s="258">
        <v>43158.0</v>
      </c>
      <c r="L124" s="310" t="s">
        <v>3912</v>
      </c>
      <c r="M124" s="330"/>
      <c r="N124" s="330"/>
      <c r="O124" s="310" t="s">
        <v>3912</v>
      </c>
      <c r="P124" s="598"/>
      <c r="Q124" s="330"/>
      <c r="R124" s="310"/>
      <c r="S124" s="330"/>
      <c r="T124" s="252" t="s">
        <v>3717</v>
      </c>
      <c r="U124" s="252" t="s">
        <v>3717</v>
      </c>
      <c r="V124" s="252" t="s">
        <v>3717</v>
      </c>
      <c r="W124" s="767"/>
      <c r="X124" s="252" t="s">
        <v>3900</v>
      </c>
      <c r="Y124" s="765">
        <v>8.200018842E9</v>
      </c>
      <c r="Z124" s="765"/>
      <c r="AA124" s="765"/>
      <c r="AB124" s="765"/>
      <c r="AC124" s="253" t="s">
        <v>284</v>
      </c>
    </row>
    <row r="125" ht="15.75" hidden="1" customHeight="1">
      <c r="A125" s="274">
        <v>43137.0</v>
      </c>
      <c r="B125" s="804" t="s">
        <v>406</v>
      </c>
      <c r="C125" s="765" t="s">
        <v>3471</v>
      </c>
      <c r="D125" s="276" t="s">
        <v>3913</v>
      </c>
      <c r="E125" s="276" t="s">
        <v>3914</v>
      </c>
      <c r="F125" s="279">
        <v>1.0</v>
      </c>
      <c r="G125" s="280">
        <v>194.0</v>
      </c>
      <c r="H125" s="805"/>
      <c r="I125" s="282" t="s">
        <v>43</v>
      </c>
      <c r="J125" s="283" t="s">
        <v>71</v>
      </c>
      <c r="K125" s="291">
        <v>43165.0</v>
      </c>
      <c r="L125" s="291">
        <v>43161.0</v>
      </c>
      <c r="M125" s="283"/>
      <c r="N125" s="283"/>
      <c r="O125" s="798" t="s">
        <v>3915</v>
      </c>
      <c r="P125" s="583"/>
      <c r="Q125" s="582"/>
      <c r="R125" s="800" t="s">
        <v>3916</v>
      </c>
      <c r="S125" s="582"/>
      <c r="T125" s="787"/>
      <c r="U125" s="787"/>
      <c r="V125" s="787"/>
      <c r="W125" s="788"/>
      <c r="X125" s="787"/>
      <c r="Y125" s="789"/>
      <c r="Z125" s="789"/>
      <c r="AA125" s="789"/>
      <c r="AB125" s="789"/>
      <c r="AC125" s="253" t="s">
        <v>3617</v>
      </c>
    </row>
    <row r="126" ht="15.75" hidden="1" customHeight="1">
      <c r="A126" s="764">
        <v>43137.0</v>
      </c>
      <c r="B126" s="597" t="s">
        <v>406</v>
      </c>
      <c r="C126" s="765" t="s">
        <v>3471</v>
      </c>
      <c r="D126" s="252" t="s">
        <v>3917</v>
      </c>
      <c r="E126" s="252" t="s">
        <v>3676</v>
      </c>
      <c r="F126" s="253">
        <v>1.0</v>
      </c>
      <c r="G126" s="254">
        <v>48.0</v>
      </c>
      <c r="H126" s="255">
        <f t="shared" ref="H126:H186" si="8">G126*F126</f>
        <v>48</v>
      </c>
      <c r="I126" s="256" t="s">
        <v>43</v>
      </c>
      <c r="J126" s="777" t="s">
        <v>3623</v>
      </c>
      <c r="K126" s="258">
        <v>43144.0</v>
      </c>
      <c r="L126" s="258">
        <v>43143.0</v>
      </c>
      <c r="M126" s="333">
        <v>2.018021300004E12</v>
      </c>
      <c r="N126" s="333" t="s">
        <v>3593</v>
      </c>
      <c r="O126" s="310" t="s">
        <v>3918</v>
      </c>
      <c r="P126" s="598"/>
      <c r="Q126" s="579">
        <v>1342.0</v>
      </c>
      <c r="R126" s="310" t="s">
        <v>2080</v>
      </c>
      <c r="S126" s="768">
        <v>43220.0</v>
      </c>
      <c r="T126" s="769">
        <v>43140.0</v>
      </c>
      <c r="U126" s="765" t="s">
        <v>3919</v>
      </c>
      <c r="V126" s="770">
        <v>1342.0</v>
      </c>
      <c r="W126" s="769">
        <v>43225.0</v>
      </c>
      <c r="X126" s="252" t="s">
        <v>3868</v>
      </c>
      <c r="Y126" s="765">
        <v>4.143891415E9</v>
      </c>
      <c r="Z126" s="765"/>
      <c r="AA126" s="765"/>
      <c r="AB126" s="765"/>
      <c r="AC126" s="253" t="s">
        <v>284</v>
      </c>
    </row>
    <row r="127" ht="15.75" hidden="1" customHeight="1">
      <c r="A127" s="764">
        <v>43138.0</v>
      </c>
      <c r="B127" s="265" t="s">
        <v>373</v>
      </c>
      <c r="C127" s="765" t="s">
        <v>3471</v>
      </c>
      <c r="D127" s="252" t="s">
        <v>3920</v>
      </c>
      <c r="E127" s="252" t="s">
        <v>375</v>
      </c>
      <c r="F127" s="307">
        <v>60.0</v>
      </c>
      <c r="G127" s="254">
        <v>63.0</v>
      </c>
      <c r="H127" s="268">
        <f t="shared" si="8"/>
        <v>3780</v>
      </c>
      <c r="I127" s="266" t="s">
        <v>43</v>
      </c>
      <c r="J127" s="256" t="s">
        <v>90</v>
      </c>
      <c r="K127" s="258">
        <v>43144.0</v>
      </c>
      <c r="L127" s="258">
        <v>43144.0</v>
      </c>
      <c r="M127" s="333"/>
      <c r="N127" s="333" t="s">
        <v>90</v>
      </c>
      <c r="O127" s="310" t="s">
        <v>3921</v>
      </c>
      <c r="P127" s="268">
        <v>3528.0</v>
      </c>
      <c r="Q127" s="330"/>
      <c r="R127" s="340" t="s">
        <v>94</v>
      </c>
      <c r="S127" s="768">
        <v>43190.0</v>
      </c>
      <c r="T127" s="769">
        <v>43144.0</v>
      </c>
      <c r="U127" s="765" t="s">
        <v>3922</v>
      </c>
      <c r="V127" s="770">
        <v>103176.0</v>
      </c>
      <c r="W127" s="771">
        <v>43167.0</v>
      </c>
      <c r="X127" s="765" t="s">
        <v>3923</v>
      </c>
      <c r="Y127" s="765"/>
      <c r="Z127" s="765" t="s">
        <v>3924</v>
      </c>
      <c r="AA127" s="772">
        <v>110943.0</v>
      </c>
      <c r="AB127" s="765" t="s">
        <v>3925</v>
      </c>
      <c r="AC127" s="253" t="s">
        <v>377</v>
      </c>
    </row>
    <row r="128" ht="15.75" hidden="1" customHeight="1">
      <c r="A128" s="776">
        <v>43139.0</v>
      </c>
      <c r="B128" s="340" t="s">
        <v>54</v>
      </c>
      <c r="C128" s="765" t="s">
        <v>3471</v>
      </c>
      <c r="D128" s="310" t="s">
        <v>3926</v>
      </c>
      <c r="E128" s="310" t="s">
        <v>3793</v>
      </c>
      <c r="F128" s="266">
        <v>6.0</v>
      </c>
      <c r="G128" s="254">
        <v>150.15</v>
      </c>
      <c r="H128" s="267">
        <f t="shared" si="8"/>
        <v>900.9</v>
      </c>
      <c r="I128" s="266" t="s">
        <v>43</v>
      </c>
      <c r="J128" s="253" t="s">
        <v>90</v>
      </c>
      <c r="K128" s="258">
        <v>43174.0</v>
      </c>
      <c r="L128" s="258">
        <v>43174.0</v>
      </c>
      <c r="M128" s="333"/>
      <c r="N128" s="333" t="s">
        <v>90</v>
      </c>
      <c r="O128" s="310" t="s">
        <v>3927</v>
      </c>
      <c r="P128" s="268">
        <v>806.4</v>
      </c>
      <c r="Q128" s="330"/>
      <c r="R128" s="340" t="s">
        <v>94</v>
      </c>
      <c r="S128" s="768">
        <v>43220.0</v>
      </c>
      <c r="T128" s="769">
        <v>43174.0</v>
      </c>
      <c r="U128" s="765" t="s">
        <v>3928</v>
      </c>
      <c r="V128" s="770">
        <v>23571.0</v>
      </c>
      <c r="W128" s="771">
        <v>43220.0</v>
      </c>
      <c r="X128" s="765" t="s">
        <v>3929</v>
      </c>
      <c r="Y128" s="765"/>
      <c r="Z128" s="765" t="s">
        <v>3930</v>
      </c>
      <c r="AA128" s="770">
        <v>26358.0</v>
      </c>
      <c r="AB128" s="765" t="s">
        <v>3931</v>
      </c>
      <c r="AC128" s="253" t="s">
        <v>377</v>
      </c>
    </row>
    <row r="129" ht="15.75" hidden="1" customHeight="1">
      <c r="A129" s="764">
        <v>43140.0</v>
      </c>
      <c r="B129" s="265" t="s">
        <v>326</v>
      </c>
      <c r="C129" s="765" t="s">
        <v>3471</v>
      </c>
      <c r="D129" s="252" t="s">
        <v>3932</v>
      </c>
      <c r="E129" s="252" t="s">
        <v>3933</v>
      </c>
      <c r="F129" s="253">
        <v>30.0</v>
      </c>
      <c r="G129" s="254">
        <v>245.0</v>
      </c>
      <c r="H129" s="267">
        <f t="shared" si="8"/>
        <v>7350</v>
      </c>
      <c r="I129" s="256" t="s">
        <v>3474</v>
      </c>
      <c r="J129" s="269" t="s">
        <v>3774</v>
      </c>
      <c r="K129" s="258">
        <v>43171.0</v>
      </c>
      <c r="L129" s="258">
        <v>43167.0</v>
      </c>
      <c r="M129" s="333"/>
      <c r="N129" s="333" t="s">
        <v>3775</v>
      </c>
      <c r="O129" s="310" t="s">
        <v>3934</v>
      </c>
      <c r="P129" s="268">
        <v>7245.0</v>
      </c>
      <c r="Q129" s="330"/>
      <c r="R129" s="422" t="s">
        <v>2207</v>
      </c>
      <c r="S129" s="768">
        <v>43220.0</v>
      </c>
      <c r="T129" s="769">
        <v>43167.0</v>
      </c>
      <c r="U129" s="765" t="s">
        <v>3935</v>
      </c>
      <c r="V129" s="770">
        <v>211916.0</v>
      </c>
      <c r="W129" s="771">
        <v>43220.0</v>
      </c>
      <c r="X129" s="252" t="s">
        <v>3936</v>
      </c>
      <c r="Y129" s="765">
        <v>8.1233736868E11</v>
      </c>
      <c r="Z129" s="765"/>
      <c r="AA129" s="765"/>
      <c r="AB129" s="765"/>
      <c r="AC129" s="253" t="s">
        <v>284</v>
      </c>
    </row>
    <row r="130" ht="15.75" customHeight="1">
      <c r="A130" s="764">
        <v>43141.0</v>
      </c>
      <c r="B130" s="265" t="s">
        <v>77</v>
      </c>
      <c r="C130" s="765" t="s">
        <v>3471</v>
      </c>
      <c r="D130" s="252" t="s">
        <v>3937</v>
      </c>
      <c r="E130" s="252" t="s">
        <v>362</v>
      </c>
      <c r="F130" s="307">
        <v>20.0</v>
      </c>
      <c r="G130" s="254">
        <v>20.0</v>
      </c>
      <c r="H130" s="267">
        <f t="shared" si="8"/>
        <v>400</v>
      </c>
      <c r="I130" s="256" t="s">
        <v>43</v>
      </c>
      <c r="J130" s="369" t="s">
        <v>316</v>
      </c>
      <c r="K130" s="258">
        <v>43157.0</v>
      </c>
      <c r="L130" s="258">
        <v>43153.0</v>
      </c>
      <c r="M130" s="333">
        <v>2.018022600001E12</v>
      </c>
      <c r="N130" s="333" t="s">
        <v>2041</v>
      </c>
      <c r="O130" s="310" t="s">
        <v>3938</v>
      </c>
      <c r="P130" s="268">
        <v>371.7</v>
      </c>
      <c r="Q130" s="330"/>
      <c r="R130" s="310" t="s">
        <v>2043</v>
      </c>
      <c r="S130" s="768">
        <v>43164.0</v>
      </c>
      <c r="T130" s="769">
        <v>43152.0</v>
      </c>
      <c r="U130" s="765" t="s">
        <v>3939</v>
      </c>
      <c r="V130" s="770">
        <v>10905.0</v>
      </c>
      <c r="W130" s="769">
        <v>43164.0</v>
      </c>
      <c r="X130" s="252" t="s">
        <v>3771</v>
      </c>
      <c r="Y130" s="765">
        <v>2.92481022E8</v>
      </c>
      <c r="Z130" s="765"/>
      <c r="AA130" s="765"/>
      <c r="AB130" s="765"/>
      <c r="AC130" s="253" t="s">
        <v>284</v>
      </c>
    </row>
    <row r="131" ht="15.75" hidden="1" customHeight="1">
      <c r="A131" s="764">
        <v>43143.0</v>
      </c>
      <c r="B131" s="597" t="s">
        <v>406</v>
      </c>
      <c r="C131" s="765" t="s">
        <v>3471</v>
      </c>
      <c r="D131" s="252" t="s">
        <v>3940</v>
      </c>
      <c r="E131" s="252" t="s">
        <v>3799</v>
      </c>
      <c r="F131" s="253">
        <v>1.0</v>
      </c>
      <c r="G131" s="254">
        <v>100.0</v>
      </c>
      <c r="H131" s="267">
        <f t="shared" si="8"/>
        <v>100</v>
      </c>
      <c r="I131" s="256" t="s">
        <v>43</v>
      </c>
      <c r="J131" s="333" t="s">
        <v>3941</v>
      </c>
      <c r="K131" s="258">
        <v>43158.0</v>
      </c>
      <c r="L131" s="258">
        <v>43152.0</v>
      </c>
      <c r="M131" s="333">
        <v>2.018022700005E12</v>
      </c>
      <c r="N131" s="333" t="s">
        <v>3593</v>
      </c>
      <c r="O131" s="310" t="s">
        <v>3942</v>
      </c>
      <c r="P131" s="598"/>
      <c r="Q131" s="579">
        <v>2774.0</v>
      </c>
      <c r="R131" s="310" t="s">
        <v>2080</v>
      </c>
      <c r="S131" s="768">
        <v>43220.0</v>
      </c>
      <c r="T131" s="769">
        <v>43152.0</v>
      </c>
      <c r="U131" s="765" t="s">
        <v>3943</v>
      </c>
      <c r="V131" s="770">
        <v>2774.0</v>
      </c>
      <c r="W131" s="769">
        <v>43225.0</v>
      </c>
      <c r="X131" s="252" t="s">
        <v>3944</v>
      </c>
      <c r="Y131" s="765">
        <v>8.053284374E9</v>
      </c>
      <c r="Z131" s="765"/>
      <c r="AA131" s="765"/>
      <c r="AB131" s="765"/>
      <c r="AC131" s="253" t="s">
        <v>284</v>
      </c>
    </row>
    <row r="132" ht="15.75" hidden="1" customHeight="1">
      <c r="A132" s="764">
        <v>43143.0</v>
      </c>
      <c r="B132" s="265" t="s">
        <v>130</v>
      </c>
      <c r="C132" s="765" t="s">
        <v>3471</v>
      </c>
      <c r="D132" s="252" t="s">
        <v>3945</v>
      </c>
      <c r="E132" s="252" t="s">
        <v>3946</v>
      </c>
      <c r="F132" s="266">
        <v>1.0</v>
      </c>
      <c r="G132" s="267">
        <v>423.0</v>
      </c>
      <c r="H132" s="267">
        <f t="shared" si="8"/>
        <v>423</v>
      </c>
      <c r="I132" s="256" t="s">
        <v>420</v>
      </c>
      <c r="J132" s="403" t="s">
        <v>3520</v>
      </c>
      <c r="K132" s="258">
        <v>43174.0</v>
      </c>
      <c r="L132" s="258">
        <v>43172.0</v>
      </c>
      <c r="M132" s="333"/>
      <c r="N132" s="333" t="s">
        <v>90</v>
      </c>
      <c r="O132" s="310" t="s">
        <v>3947</v>
      </c>
      <c r="P132" s="268">
        <v>404.25</v>
      </c>
      <c r="Q132" s="330"/>
      <c r="R132" s="340" t="s">
        <v>94</v>
      </c>
      <c r="S132" s="768">
        <v>43220.0</v>
      </c>
      <c r="T132" s="769">
        <v>43172.0</v>
      </c>
      <c r="U132" s="765" t="s">
        <v>3948</v>
      </c>
      <c r="V132" s="770">
        <v>62212.0</v>
      </c>
      <c r="W132" s="771">
        <v>43220.0</v>
      </c>
      <c r="X132" s="252" t="s">
        <v>3949</v>
      </c>
      <c r="Y132" s="765">
        <v>7.578912924E9</v>
      </c>
      <c r="Z132" s="765"/>
      <c r="AA132" s="765"/>
      <c r="AB132" s="765"/>
      <c r="AC132" s="253" t="s">
        <v>284</v>
      </c>
    </row>
    <row r="133" ht="15.75" hidden="1" customHeight="1">
      <c r="A133" s="601">
        <v>43143.0</v>
      </c>
      <c r="B133" s="806" t="s">
        <v>130</v>
      </c>
      <c r="C133" s="765" t="s">
        <v>3471</v>
      </c>
      <c r="D133" s="252" t="s">
        <v>3950</v>
      </c>
      <c r="E133" s="252" t="s">
        <v>3951</v>
      </c>
      <c r="F133" s="807">
        <v>10.0</v>
      </c>
      <c r="G133" s="255">
        <v>90.0</v>
      </c>
      <c r="H133" s="267">
        <f t="shared" si="8"/>
        <v>900</v>
      </c>
      <c r="I133" s="256" t="s">
        <v>420</v>
      </c>
      <c r="J133" s="403" t="s">
        <v>3520</v>
      </c>
      <c r="K133" s="258">
        <v>43174.0</v>
      </c>
      <c r="L133" s="258">
        <v>43172.0</v>
      </c>
      <c r="M133" s="333"/>
      <c r="N133" s="333" t="s">
        <v>90</v>
      </c>
      <c r="O133" s="310" t="s">
        <v>3947</v>
      </c>
      <c r="P133" s="268">
        <v>892.5</v>
      </c>
      <c r="Q133" s="330"/>
      <c r="R133" s="340" t="s">
        <v>94</v>
      </c>
      <c r="S133" s="768">
        <v>43220.0</v>
      </c>
      <c r="T133" s="769">
        <v>43172.0</v>
      </c>
      <c r="U133" s="765" t="s">
        <v>3948</v>
      </c>
      <c r="V133" s="765" t="s">
        <v>3952</v>
      </c>
      <c r="W133" s="771">
        <v>43220.0</v>
      </c>
      <c r="X133" s="252" t="s">
        <v>3949</v>
      </c>
      <c r="Y133" s="765">
        <v>7.578912924E9</v>
      </c>
      <c r="Z133" s="765"/>
      <c r="AA133" s="765"/>
      <c r="AB133" s="765"/>
      <c r="AC133" s="253" t="s">
        <v>284</v>
      </c>
    </row>
    <row r="134" ht="15.75" hidden="1" customHeight="1">
      <c r="A134" s="764">
        <v>43143.0</v>
      </c>
      <c r="B134" s="265" t="s">
        <v>130</v>
      </c>
      <c r="C134" s="765" t="s">
        <v>3471</v>
      </c>
      <c r="D134" s="252" t="s">
        <v>3950</v>
      </c>
      <c r="E134" s="252" t="s">
        <v>3953</v>
      </c>
      <c r="F134" s="266">
        <v>6.0</v>
      </c>
      <c r="G134" s="267">
        <v>85.0</v>
      </c>
      <c r="H134" s="267">
        <f t="shared" si="8"/>
        <v>510</v>
      </c>
      <c r="I134" s="256" t="s">
        <v>420</v>
      </c>
      <c r="J134" s="403" t="s">
        <v>3520</v>
      </c>
      <c r="K134" s="258">
        <v>43174.0</v>
      </c>
      <c r="L134" s="258">
        <v>43172.0</v>
      </c>
      <c r="M134" s="333"/>
      <c r="N134" s="333" t="s">
        <v>90</v>
      </c>
      <c r="O134" s="310" t="s">
        <v>3947</v>
      </c>
      <c r="P134" s="268">
        <v>466.2</v>
      </c>
      <c r="Q134" s="330"/>
      <c r="R134" s="340" t="s">
        <v>94</v>
      </c>
      <c r="S134" s="768">
        <v>43220.0</v>
      </c>
      <c r="T134" s="769">
        <v>43172.0</v>
      </c>
      <c r="U134" s="765" t="s">
        <v>3948</v>
      </c>
      <c r="V134" s="765" t="s">
        <v>3952</v>
      </c>
      <c r="W134" s="771">
        <v>43220.0</v>
      </c>
      <c r="X134" s="252" t="s">
        <v>3949</v>
      </c>
      <c r="Y134" s="765">
        <v>7.578912924E9</v>
      </c>
      <c r="Z134" s="765"/>
      <c r="AA134" s="765"/>
      <c r="AB134" s="765"/>
      <c r="AC134" s="253" t="s">
        <v>284</v>
      </c>
    </row>
    <row r="135" ht="15.75" hidden="1" customHeight="1">
      <c r="A135" s="764">
        <v>43143.0</v>
      </c>
      <c r="B135" s="265" t="s">
        <v>130</v>
      </c>
      <c r="C135" s="765" t="s">
        <v>3471</v>
      </c>
      <c r="D135" s="252" t="s">
        <v>3950</v>
      </c>
      <c r="E135" s="252" t="s">
        <v>3519</v>
      </c>
      <c r="F135" s="266">
        <v>1.0</v>
      </c>
      <c r="G135" s="267">
        <v>244.0</v>
      </c>
      <c r="H135" s="267">
        <f t="shared" si="8"/>
        <v>244</v>
      </c>
      <c r="I135" s="256" t="s">
        <v>420</v>
      </c>
      <c r="J135" s="403" t="s">
        <v>3520</v>
      </c>
      <c r="K135" s="258">
        <v>43174.0</v>
      </c>
      <c r="L135" s="258">
        <v>43172.0</v>
      </c>
      <c r="M135" s="333"/>
      <c r="N135" s="333" t="s">
        <v>90</v>
      </c>
      <c r="O135" s="310" t="s">
        <v>3947</v>
      </c>
      <c r="P135" s="268">
        <v>239.4</v>
      </c>
      <c r="Q135" s="330"/>
      <c r="R135" s="340" t="s">
        <v>94</v>
      </c>
      <c r="S135" s="768">
        <v>43220.0</v>
      </c>
      <c r="T135" s="769">
        <v>43172.0</v>
      </c>
      <c r="U135" s="765" t="s">
        <v>3948</v>
      </c>
      <c r="V135" s="765" t="s">
        <v>3952</v>
      </c>
      <c r="W135" s="771">
        <v>43220.0</v>
      </c>
      <c r="X135" s="252" t="s">
        <v>3949</v>
      </c>
      <c r="Y135" s="765">
        <v>7.578912924E9</v>
      </c>
      <c r="Z135" s="765"/>
      <c r="AA135" s="765"/>
      <c r="AB135" s="765"/>
      <c r="AC135" s="253" t="s">
        <v>284</v>
      </c>
    </row>
    <row r="136" ht="15.75" hidden="1" customHeight="1">
      <c r="A136" s="764">
        <v>43143.0</v>
      </c>
      <c r="B136" s="265" t="s">
        <v>130</v>
      </c>
      <c r="C136" s="765" t="s">
        <v>3471</v>
      </c>
      <c r="D136" s="252" t="s">
        <v>3950</v>
      </c>
      <c r="E136" s="252" t="s">
        <v>3954</v>
      </c>
      <c r="F136" s="266">
        <v>2.0</v>
      </c>
      <c r="G136" s="267">
        <v>66.0</v>
      </c>
      <c r="H136" s="267">
        <f t="shared" si="8"/>
        <v>132</v>
      </c>
      <c r="I136" s="256" t="s">
        <v>420</v>
      </c>
      <c r="J136" s="403" t="s">
        <v>3520</v>
      </c>
      <c r="K136" s="258">
        <v>43174.0</v>
      </c>
      <c r="L136" s="258">
        <v>43172.0</v>
      </c>
      <c r="M136" s="333"/>
      <c r="N136" s="333" t="s">
        <v>90</v>
      </c>
      <c r="O136" s="310" t="s">
        <v>3947</v>
      </c>
      <c r="P136" s="268">
        <v>126.0</v>
      </c>
      <c r="Q136" s="330"/>
      <c r="R136" s="340" t="s">
        <v>94</v>
      </c>
      <c r="S136" s="768">
        <v>43220.0</v>
      </c>
      <c r="T136" s="769">
        <v>43172.0</v>
      </c>
      <c r="U136" s="765" t="s">
        <v>3948</v>
      </c>
      <c r="V136" s="765" t="s">
        <v>3952</v>
      </c>
      <c r="W136" s="771">
        <v>43220.0</v>
      </c>
      <c r="X136" s="252" t="s">
        <v>3949</v>
      </c>
      <c r="Y136" s="765">
        <v>7.578912924E9</v>
      </c>
      <c r="Z136" s="765"/>
      <c r="AA136" s="765"/>
      <c r="AB136" s="765"/>
      <c r="AC136" s="253" t="s">
        <v>284</v>
      </c>
    </row>
    <row r="137" ht="15.75" customHeight="1">
      <c r="A137" s="776">
        <v>43152.0</v>
      </c>
      <c r="B137" s="265" t="s">
        <v>77</v>
      </c>
      <c r="C137" s="765" t="s">
        <v>3471</v>
      </c>
      <c r="D137" s="252" t="s">
        <v>3955</v>
      </c>
      <c r="E137" s="252" t="s">
        <v>3541</v>
      </c>
      <c r="F137" s="808">
        <v>20.0</v>
      </c>
      <c r="G137" s="267">
        <v>285.0</v>
      </c>
      <c r="H137" s="255">
        <f t="shared" si="8"/>
        <v>5700</v>
      </c>
      <c r="I137" s="256" t="s">
        <v>43</v>
      </c>
      <c r="J137" s="333" t="s">
        <v>479</v>
      </c>
      <c r="K137" s="258">
        <v>43186.0</v>
      </c>
      <c r="L137" s="258">
        <v>43181.0</v>
      </c>
      <c r="M137" s="333"/>
      <c r="N137" s="333" t="s">
        <v>1998</v>
      </c>
      <c r="O137" s="310" t="s">
        <v>3956</v>
      </c>
      <c r="P137" s="268">
        <v>5250.0</v>
      </c>
      <c r="Q137" s="310"/>
      <c r="R137" s="310" t="s">
        <v>2000</v>
      </c>
      <c r="S137" s="768">
        <v>43225.0</v>
      </c>
      <c r="T137" s="771">
        <v>43181.0</v>
      </c>
      <c r="U137" s="252" t="s">
        <v>3957</v>
      </c>
      <c r="V137" s="774">
        <v>523029.0</v>
      </c>
      <c r="W137" s="771">
        <v>43256.0</v>
      </c>
      <c r="X137" s="252" t="s">
        <v>3958</v>
      </c>
      <c r="Y137" s="252" t="s">
        <v>3959</v>
      </c>
      <c r="Z137" s="252"/>
      <c r="AA137" s="252"/>
      <c r="AB137" s="252"/>
      <c r="AC137" s="266" t="s">
        <v>284</v>
      </c>
    </row>
    <row r="138" ht="15.75" customHeight="1">
      <c r="A138" s="776">
        <v>43152.0</v>
      </c>
      <c r="B138" s="265" t="s">
        <v>77</v>
      </c>
      <c r="C138" s="765" t="s">
        <v>3471</v>
      </c>
      <c r="D138" s="252" t="s">
        <v>3955</v>
      </c>
      <c r="E138" s="252" t="s">
        <v>318</v>
      </c>
      <c r="F138" s="266">
        <v>55.0</v>
      </c>
      <c r="G138" s="267">
        <v>255.0</v>
      </c>
      <c r="H138" s="255">
        <f t="shared" si="8"/>
        <v>14025</v>
      </c>
      <c r="I138" s="256" t="s">
        <v>43</v>
      </c>
      <c r="J138" s="333" t="s">
        <v>479</v>
      </c>
      <c r="K138" s="258">
        <v>43186.0</v>
      </c>
      <c r="L138" s="258">
        <v>43181.0</v>
      </c>
      <c r="M138" s="333"/>
      <c r="N138" s="333" t="s">
        <v>1998</v>
      </c>
      <c r="O138" s="310" t="s">
        <v>3956</v>
      </c>
      <c r="P138" s="268">
        <v>12705.0</v>
      </c>
      <c r="Q138" s="310"/>
      <c r="R138" s="310" t="s">
        <v>2000</v>
      </c>
      <c r="S138" s="768">
        <v>43225.0</v>
      </c>
      <c r="T138" s="771">
        <v>43181.0</v>
      </c>
      <c r="U138" s="252" t="s">
        <v>3957</v>
      </c>
      <c r="V138" s="252" t="s">
        <v>3960</v>
      </c>
      <c r="W138" s="771">
        <v>43256.0</v>
      </c>
      <c r="X138" s="252" t="s">
        <v>3958</v>
      </c>
      <c r="Y138" s="252" t="s">
        <v>3959</v>
      </c>
      <c r="Z138" s="252"/>
      <c r="AA138" s="252"/>
      <c r="AB138" s="252"/>
      <c r="AC138" s="266" t="s">
        <v>284</v>
      </c>
    </row>
    <row r="139" ht="15.75" hidden="1" customHeight="1">
      <c r="A139" s="776">
        <v>43152.0</v>
      </c>
      <c r="B139" s="597" t="s">
        <v>406</v>
      </c>
      <c r="C139" s="765" t="s">
        <v>3471</v>
      </c>
      <c r="D139" s="252" t="s">
        <v>3961</v>
      </c>
      <c r="E139" s="252" t="s">
        <v>3962</v>
      </c>
      <c r="F139" s="266">
        <v>1.0</v>
      </c>
      <c r="G139" s="267">
        <v>1317.0</v>
      </c>
      <c r="H139" s="267">
        <f t="shared" si="8"/>
        <v>1317</v>
      </c>
      <c r="I139" s="256" t="s">
        <v>43</v>
      </c>
      <c r="J139" s="333" t="s">
        <v>3941</v>
      </c>
      <c r="K139" s="258">
        <v>43158.0</v>
      </c>
      <c r="L139" s="258">
        <v>43153.0</v>
      </c>
      <c r="M139" s="333">
        <v>2.018022700006E12</v>
      </c>
      <c r="N139" s="333" t="s">
        <v>3593</v>
      </c>
      <c r="O139" s="252" t="s">
        <v>3963</v>
      </c>
      <c r="P139" s="268"/>
      <c r="Q139" s="579">
        <v>35991.0</v>
      </c>
      <c r="R139" s="310" t="s">
        <v>2080</v>
      </c>
      <c r="S139" s="768">
        <v>43220.0</v>
      </c>
      <c r="T139" s="771">
        <v>43152.0</v>
      </c>
      <c r="U139" s="252" t="s">
        <v>3964</v>
      </c>
      <c r="V139" s="774">
        <v>35991.0</v>
      </c>
      <c r="W139" s="771">
        <v>43225.0</v>
      </c>
      <c r="X139" s="252" t="s">
        <v>3944</v>
      </c>
      <c r="Y139" s="252">
        <v>8.053284374E9</v>
      </c>
      <c r="Z139" s="252"/>
      <c r="AA139" s="252"/>
      <c r="AB139" s="252"/>
      <c r="AC139" s="266" t="s">
        <v>284</v>
      </c>
    </row>
    <row r="140" ht="15.75" hidden="1" customHeight="1">
      <c r="A140" s="776">
        <v>43152.0</v>
      </c>
      <c r="B140" s="265" t="s">
        <v>101</v>
      </c>
      <c r="C140" s="765" t="s">
        <v>3471</v>
      </c>
      <c r="D140" s="422" t="s">
        <v>3965</v>
      </c>
      <c r="E140" s="422" t="s">
        <v>3966</v>
      </c>
      <c r="F140" s="266">
        <v>4.0</v>
      </c>
      <c r="G140" s="267">
        <v>550.0</v>
      </c>
      <c r="H140" s="267">
        <f t="shared" si="8"/>
        <v>2200</v>
      </c>
      <c r="I140" s="256" t="s">
        <v>3474</v>
      </c>
      <c r="J140" s="333" t="s">
        <v>3739</v>
      </c>
      <c r="K140" s="258">
        <v>43174.0</v>
      </c>
      <c r="L140" s="258">
        <v>43171.0</v>
      </c>
      <c r="M140" s="333"/>
      <c r="N140" s="403" t="s">
        <v>2028</v>
      </c>
      <c r="O140" s="310" t="s">
        <v>3967</v>
      </c>
      <c r="P140" s="268"/>
      <c r="Q140" s="579">
        <v>60812.0</v>
      </c>
      <c r="R140" s="578" t="s">
        <v>2030</v>
      </c>
      <c r="S140" s="768">
        <v>43225.0</v>
      </c>
      <c r="T140" s="771">
        <v>43167.0</v>
      </c>
      <c r="U140" s="252" t="s">
        <v>3968</v>
      </c>
      <c r="V140" s="774">
        <v>60812.0</v>
      </c>
      <c r="W140" s="771">
        <v>43225.0</v>
      </c>
      <c r="X140" s="252" t="s">
        <v>3969</v>
      </c>
      <c r="Y140" s="252">
        <v>7.578687653E9</v>
      </c>
      <c r="Z140" s="252"/>
      <c r="AA140" s="252"/>
      <c r="AB140" s="252"/>
      <c r="AC140" s="253" t="s">
        <v>284</v>
      </c>
    </row>
    <row r="141" ht="15.75" hidden="1" customHeight="1">
      <c r="A141" s="776">
        <v>43152.0</v>
      </c>
      <c r="B141" s="265" t="s">
        <v>101</v>
      </c>
      <c r="C141" s="765" t="s">
        <v>3471</v>
      </c>
      <c r="D141" s="422" t="s">
        <v>3965</v>
      </c>
      <c r="E141" s="422" t="s">
        <v>3970</v>
      </c>
      <c r="F141" s="266">
        <v>2.0</v>
      </c>
      <c r="G141" s="267">
        <v>352.0</v>
      </c>
      <c r="H141" s="267">
        <f t="shared" si="8"/>
        <v>704</v>
      </c>
      <c r="I141" s="256" t="s">
        <v>3474</v>
      </c>
      <c r="J141" s="333" t="s">
        <v>3739</v>
      </c>
      <c r="K141" s="258">
        <v>43174.0</v>
      </c>
      <c r="L141" s="258">
        <v>43161.0</v>
      </c>
      <c r="M141" s="333"/>
      <c r="N141" s="333" t="s">
        <v>2026</v>
      </c>
      <c r="O141" s="310" t="s">
        <v>3971</v>
      </c>
      <c r="P141" s="268">
        <v>598.5</v>
      </c>
      <c r="Q141" s="310"/>
      <c r="R141" s="340" t="s">
        <v>47</v>
      </c>
      <c r="S141" s="768">
        <v>43192.0</v>
      </c>
      <c r="T141" s="771">
        <v>43160.0</v>
      </c>
      <c r="U141" s="252" t="s">
        <v>3972</v>
      </c>
      <c r="V141" s="774">
        <v>28850.0</v>
      </c>
      <c r="W141" s="771">
        <v>43199.0</v>
      </c>
      <c r="X141" s="252" t="s">
        <v>3969</v>
      </c>
      <c r="Y141" s="252">
        <v>7.578687653E9</v>
      </c>
      <c r="Z141" s="252"/>
      <c r="AA141" s="252"/>
      <c r="AB141" s="252"/>
      <c r="AC141" s="253" t="s">
        <v>284</v>
      </c>
    </row>
    <row r="142" ht="15.75" hidden="1" customHeight="1">
      <c r="A142" s="776">
        <v>43152.0</v>
      </c>
      <c r="B142" s="265" t="s">
        <v>101</v>
      </c>
      <c r="C142" s="765" t="s">
        <v>3471</v>
      </c>
      <c r="D142" s="422" t="s">
        <v>3965</v>
      </c>
      <c r="E142" s="422" t="s">
        <v>3973</v>
      </c>
      <c r="F142" s="266">
        <v>2.0</v>
      </c>
      <c r="G142" s="267">
        <v>229.0</v>
      </c>
      <c r="H142" s="267">
        <f t="shared" si="8"/>
        <v>458</v>
      </c>
      <c r="I142" s="256" t="s">
        <v>3474</v>
      </c>
      <c r="J142" s="333" t="s">
        <v>3739</v>
      </c>
      <c r="K142" s="258">
        <v>43174.0</v>
      </c>
      <c r="L142" s="258">
        <v>43161.0</v>
      </c>
      <c r="M142" s="333"/>
      <c r="N142" s="333" t="s">
        <v>2026</v>
      </c>
      <c r="O142" s="310" t="s">
        <v>3971</v>
      </c>
      <c r="P142" s="268">
        <v>388.5</v>
      </c>
      <c r="Q142" s="310"/>
      <c r="R142" s="340" t="s">
        <v>47</v>
      </c>
      <c r="S142" s="768">
        <v>43192.0</v>
      </c>
      <c r="T142" s="771">
        <v>43160.0</v>
      </c>
      <c r="U142" s="252" t="s">
        <v>3972</v>
      </c>
      <c r="V142" s="252" t="s">
        <v>3974</v>
      </c>
      <c r="W142" s="771">
        <v>43199.0</v>
      </c>
      <c r="X142" s="252" t="s">
        <v>3969</v>
      </c>
      <c r="Y142" s="252">
        <v>7.578687653E9</v>
      </c>
      <c r="Z142" s="252"/>
      <c r="AA142" s="252"/>
      <c r="AB142" s="252"/>
      <c r="AC142" s="253" t="s">
        <v>284</v>
      </c>
    </row>
    <row r="143" ht="15.75" hidden="1" customHeight="1">
      <c r="A143" s="776">
        <v>43152.0</v>
      </c>
      <c r="B143" s="265" t="s">
        <v>101</v>
      </c>
      <c r="C143" s="765" t="s">
        <v>3471</v>
      </c>
      <c r="D143" s="422" t="s">
        <v>3975</v>
      </c>
      <c r="E143" s="422" t="s">
        <v>3976</v>
      </c>
      <c r="F143" s="266">
        <v>2.0</v>
      </c>
      <c r="G143" s="267">
        <v>278.0</v>
      </c>
      <c r="H143" s="267">
        <f t="shared" si="8"/>
        <v>556</v>
      </c>
      <c r="I143" s="256" t="s">
        <v>3474</v>
      </c>
      <c r="J143" s="333" t="s">
        <v>3739</v>
      </c>
      <c r="K143" s="258">
        <v>43174.0</v>
      </c>
      <c r="L143" s="258">
        <v>43168.0</v>
      </c>
      <c r="M143" s="333"/>
      <c r="N143" s="403" t="s">
        <v>2028</v>
      </c>
      <c r="O143" s="310" t="s">
        <v>3977</v>
      </c>
      <c r="P143" s="268"/>
      <c r="Q143" s="579">
        <v>16277.0</v>
      </c>
      <c r="R143" s="578" t="s">
        <v>2030</v>
      </c>
      <c r="S143" s="768">
        <v>43225.0</v>
      </c>
      <c r="T143" s="771">
        <v>43167.0</v>
      </c>
      <c r="U143" s="252" t="s">
        <v>3978</v>
      </c>
      <c r="V143" s="774">
        <v>16277.0</v>
      </c>
      <c r="W143" s="771">
        <v>43225.0</v>
      </c>
      <c r="X143" s="252" t="s">
        <v>3969</v>
      </c>
      <c r="Y143" s="252">
        <v>7.578687653E9</v>
      </c>
      <c r="Z143" s="252"/>
      <c r="AA143" s="252"/>
      <c r="AB143" s="252"/>
      <c r="AC143" s="253" t="s">
        <v>284</v>
      </c>
    </row>
    <row r="144" ht="15.75" hidden="1" customHeight="1">
      <c r="A144" s="776">
        <v>43152.0</v>
      </c>
      <c r="B144" s="265" t="s">
        <v>101</v>
      </c>
      <c r="C144" s="765" t="s">
        <v>3471</v>
      </c>
      <c r="D144" s="422" t="s">
        <v>3975</v>
      </c>
      <c r="E144" s="422" t="s">
        <v>3479</v>
      </c>
      <c r="F144" s="266">
        <v>2.0</v>
      </c>
      <c r="G144" s="267">
        <v>52.0</v>
      </c>
      <c r="H144" s="267">
        <f t="shared" si="8"/>
        <v>104</v>
      </c>
      <c r="I144" s="256" t="s">
        <v>3474</v>
      </c>
      <c r="J144" s="333" t="s">
        <v>3739</v>
      </c>
      <c r="K144" s="258">
        <v>43174.0</v>
      </c>
      <c r="L144" s="266" t="s">
        <v>179</v>
      </c>
      <c r="M144" s="333"/>
      <c r="N144" s="333" t="s">
        <v>179</v>
      </c>
      <c r="O144" s="310" t="s">
        <v>3979</v>
      </c>
      <c r="P144" s="268"/>
      <c r="Q144" s="310"/>
      <c r="R144" s="310"/>
      <c r="S144" s="310"/>
      <c r="T144" s="252" t="s">
        <v>3717</v>
      </c>
      <c r="U144" s="252" t="s">
        <v>3717</v>
      </c>
      <c r="V144" s="252" t="s">
        <v>3717</v>
      </c>
      <c r="W144" s="809"/>
      <c r="X144" s="252" t="s">
        <v>3969</v>
      </c>
      <c r="Y144" s="252">
        <v>7.578687653E9</v>
      </c>
      <c r="Z144" s="252"/>
      <c r="AA144" s="252"/>
      <c r="AB144" s="252"/>
      <c r="AC144" s="253" t="s">
        <v>284</v>
      </c>
    </row>
    <row r="145" ht="15.75" hidden="1" customHeight="1">
      <c r="A145" s="764">
        <v>43155.0</v>
      </c>
      <c r="B145" s="265" t="s">
        <v>3677</v>
      </c>
      <c r="C145" s="765" t="s">
        <v>3471</v>
      </c>
      <c r="D145" s="252" t="s">
        <v>3980</v>
      </c>
      <c r="E145" s="252" t="s">
        <v>3981</v>
      </c>
      <c r="F145" s="253">
        <v>7.0</v>
      </c>
      <c r="G145" s="254">
        <v>64.0</v>
      </c>
      <c r="H145" s="267">
        <f t="shared" si="8"/>
        <v>448</v>
      </c>
      <c r="I145" s="256" t="s">
        <v>3474</v>
      </c>
      <c r="J145" s="269" t="s">
        <v>3680</v>
      </c>
      <c r="K145" s="258">
        <v>43167.0</v>
      </c>
      <c r="L145" s="258">
        <v>43166.0</v>
      </c>
      <c r="M145" s="333"/>
      <c r="N145" s="333" t="s">
        <v>90</v>
      </c>
      <c r="O145" s="310" t="s">
        <v>3982</v>
      </c>
      <c r="P145" s="268">
        <v>396.9</v>
      </c>
      <c r="Q145" s="330"/>
      <c r="R145" s="340" t="s">
        <v>94</v>
      </c>
      <c r="S145" s="768">
        <v>43220.0</v>
      </c>
      <c r="T145" s="769">
        <v>43166.0</v>
      </c>
      <c r="U145" s="765" t="s">
        <v>3983</v>
      </c>
      <c r="V145" s="770">
        <v>11607.0</v>
      </c>
      <c r="W145" s="769">
        <v>43164.0</v>
      </c>
      <c r="X145" s="252" t="s">
        <v>3984</v>
      </c>
      <c r="Y145" s="765">
        <v>7.71747977233E11</v>
      </c>
      <c r="Z145" s="765"/>
      <c r="AA145" s="765"/>
      <c r="AB145" s="765"/>
      <c r="AC145" s="253" t="s">
        <v>284</v>
      </c>
    </row>
    <row r="146" ht="15.75" hidden="1" customHeight="1">
      <c r="A146" s="764">
        <v>43155.0</v>
      </c>
      <c r="B146" s="265" t="s">
        <v>3677</v>
      </c>
      <c r="C146" s="765" t="s">
        <v>3471</v>
      </c>
      <c r="D146" s="252" t="s">
        <v>3980</v>
      </c>
      <c r="E146" s="252" t="s">
        <v>3985</v>
      </c>
      <c r="F146" s="253">
        <v>1.0</v>
      </c>
      <c r="G146" s="254">
        <v>162.0</v>
      </c>
      <c r="H146" s="267">
        <f t="shared" si="8"/>
        <v>162</v>
      </c>
      <c r="I146" s="256" t="s">
        <v>3474</v>
      </c>
      <c r="J146" s="269" t="s">
        <v>3680</v>
      </c>
      <c r="K146" s="258">
        <v>43167.0</v>
      </c>
      <c r="L146" s="258">
        <v>43166.0</v>
      </c>
      <c r="M146" s="333"/>
      <c r="N146" s="333" t="s">
        <v>3593</v>
      </c>
      <c r="O146" s="310" t="s">
        <v>3986</v>
      </c>
      <c r="P146" s="598"/>
      <c r="Q146" s="579">
        <v>4474.0</v>
      </c>
      <c r="R146" s="310" t="s">
        <v>2080</v>
      </c>
      <c r="S146" s="768">
        <v>43251.0</v>
      </c>
      <c r="T146" s="769">
        <v>43164.0</v>
      </c>
      <c r="U146" s="765" t="s">
        <v>3987</v>
      </c>
      <c r="V146" s="770">
        <v>4474.0</v>
      </c>
      <c r="W146" s="771">
        <v>43251.0</v>
      </c>
      <c r="X146" s="252" t="s">
        <v>3984</v>
      </c>
      <c r="Y146" s="765">
        <v>7.71747977233E11</v>
      </c>
      <c r="Z146" s="765"/>
      <c r="AA146" s="765"/>
      <c r="AB146" s="765"/>
      <c r="AC146" s="253" t="s">
        <v>284</v>
      </c>
    </row>
    <row r="147" ht="15.75" hidden="1" customHeight="1">
      <c r="A147" s="764">
        <v>43155.0</v>
      </c>
      <c r="B147" s="265" t="s">
        <v>3677</v>
      </c>
      <c r="C147" s="765" t="s">
        <v>3471</v>
      </c>
      <c r="D147" s="252" t="s">
        <v>3980</v>
      </c>
      <c r="E147" s="252" t="s">
        <v>3988</v>
      </c>
      <c r="F147" s="253">
        <v>6.0</v>
      </c>
      <c r="G147" s="254">
        <v>163.0</v>
      </c>
      <c r="H147" s="267">
        <f t="shared" si="8"/>
        <v>978</v>
      </c>
      <c r="I147" s="256" t="s">
        <v>3474</v>
      </c>
      <c r="J147" s="269" t="s">
        <v>3680</v>
      </c>
      <c r="K147" s="258">
        <v>43223.0</v>
      </c>
      <c r="L147" s="258">
        <v>43217.0</v>
      </c>
      <c r="M147" s="333"/>
      <c r="N147" s="333" t="s">
        <v>3593</v>
      </c>
      <c r="O147" s="310" t="s">
        <v>3986</v>
      </c>
      <c r="P147" s="598"/>
      <c r="Q147" s="579">
        <v>26844.0</v>
      </c>
      <c r="R147" s="310" t="s">
        <v>2080</v>
      </c>
      <c r="S147" s="768">
        <v>43312.0</v>
      </c>
      <c r="T147" s="769">
        <v>43216.0</v>
      </c>
      <c r="U147" s="765" t="s">
        <v>3989</v>
      </c>
      <c r="V147" s="774">
        <v>26844.0</v>
      </c>
      <c r="W147" s="769">
        <v>43280.0</v>
      </c>
      <c r="X147" s="252" t="s">
        <v>3990</v>
      </c>
      <c r="Y147" s="765">
        <v>7.72141222685E11</v>
      </c>
      <c r="Z147" s="765"/>
      <c r="AA147" s="765"/>
      <c r="AB147" s="765"/>
      <c r="AC147" s="253" t="s">
        <v>284</v>
      </c>
    </row>
    <row r="148" ht="15.75" hidden="1" customHeight="1">
      <c r="A148" s="764">
        <v>43156.0</v>
      </c>
      <c r="B148" s="265" t="s">
        <v>119</v>
      </c>
      <c r="C148" s="765" t="s">
        <v>3471</v>
      </c>
      <c r="D148" s="252" t="s">
        <v>3991</v>
      </c>
      <c r="E148" s="252" t="s">
        <v>3608</v>
      </c>
      <c r="F148" s="253">
        <v>10.0</v>
      </c>
      <c r="G148" s="254">
        <v>370.0</v>
      </c>
      <c r="H148" s="255">
        <f t="shared" si="8"/>
        <v>3700</v>
      </c>
      <c r="I148" s="256" t="s">
        <v>3992</v>
      </c>
      <c r="J148" s="428" t="s">
        <v>3603</v>
      </c>
      <c r="K148" s="258">
        <v>43202.0</v>
      </c>
      <c r="L148" s="258">
        <v>43182.0</v>
      </c>
      <c r="M148" s="333"/>
      <c r="N148" s="333" t="s">
        <v>90</v>
      </c>
      <c r="O148" s="310" t="s">
        <v>3993</v>
      </c>
      <c r="P148" s="268">
        <v>3486.0</v>
      </c>
      <c r="Q148" s="330"/>
      <c r="R148" s="340" t="s">
        <v>94</v>
      </c>
      <c r="S148" s="768">
        <v>43220.0</v>
      </c>
      <c r="T148" s="769">
        <v>43181.0</v>
      </c>
      <c r="U148" s="765" t="s">
        <v>3994</v>
      </c>
      <c r="V148" s="770">
        <v>427673.0</v>
      </c>
      <c r="W148" s="771">
        <v>43220.0</v>
      </c>
      <c r="X148" s="765" t="s">
        <v>3995</v>
      </c>
      <c r="Y148" s="765" t="s">
        <v>3996</v>
      </c>
      <c r="Z148" s="765"/>
      <c r="AA148" s="765"/>
      <c r="AB148" s="765"/>
      <c r="AC148" s="253" t="s">
        <v>284</v>
      </c>
    </row>
    <row r="149" ht="15.75" hidden="1" customHeight="1">
      <c r="A149" s="764">
        <v>43156.0</v>
      </c>
      <c r="B149" s="265" t="s">
        <v>119</v>
      </c>
      <c r="C149" s="765" t="s">
        <v>3471</v>
      </c>
      <c r="D149" s="252" t="s">
        <v>3991</v>
      </c>
      <c r="E149" s="252" t="s">
        <v>3618</v>
      </c>
      <c r="F149" s="253">
        <v>130.0</v>
      </c>
      <c r="G149" s="254">
        <v>105.0</v>
      </c>
      <c r="H149" s="255">
        <f t="shared" si="8"/>
        <v>13650</v>
      </c>
      <c r="I149" s="256" t="s">
        <v>3992</v>
      </c>
      <c r="J149" s="428" t="s">
        <v>3603</v>
      </c>
      <c r="K149" s="258">
        <v>43202.0</v>
      </c>
      <c r="L149" s="258">
        <v>43182.0</v>
      </c>
      <c r="M149" s="333"/>
      <c r="N149" s="333" t="s">
        <v>90</v>
      </c>
      <c r="O149" s="310" t="s">
        <v>3993</v>
      </c>
      <c r="P149" s="268">
        <v>11193.0</v>
      </c>
      <c r="Q149" s="330"/>
      <c r="R149" s="340" t="s">
        <v>94</v>
      </c>
      <c r="S149" s="768">
        <v>43220.0</v>
      </c>
      <c r="T149" s="769">
        <v>43181.0</v>
      </c>
      <c r="U149" s="765" t="s">
        <v>3994</v>
      </c>
      <c r="V149" s="765" t="s">
        <v>3997</v>
      </c>
      <c r="W149" s="771">
        <v>43220.0</v>
      </c>
      <c r="X149" s="765" t="s">
        <v>3995</v>
      </c>
      <c r="Y149" s="765" t="s">
        <v>3996</v>
      </c>
      <c r="Z149" s="765"/>
      <c r="AA149" s="765"/>
      <c r="AB149" s="765"/>
      <c r="AC149" s="253" t="s">
        <v>284</v>
      </c>
    </row>
    <row r="150" ht="15.75" hidden="1" customHeight="1">
      <c r="A150" s="764">
        <v>43156.0</v>
      </c>
      <c r="B150" s="265" t="s">
        <v>119</v>
      </c>
      <c r="C150" s="765" t="s">
        <v>3471</v>
      </c>
      <c r="D150" s="252" t="s">
        <v>3991</v>
      </c>
      <c r="E150" s="252" t="s">
        <v>3612</v>
      </c>
      <c r="F150" s="253">
        <v>8.0</v>
      </c>
      <c r="G150" s="254">
        <v>500.0</v>
      </c>
      <c r="H150" s="255">
        <f t="shared" si="8"/>
        <v>4000</v>
      </c>
      <c r="I150" s="256" t="s">
        <v>420</v>
      </c>
      <c r="J150" s="428" t="s">
        <v>3603</v>
      </c>
      <c r="K150" s="258">
        <v>43178.0</v>
      </c>
      <c r="L150" s="258">
        <v>43175.0</v>
      </c>
      <c r="M150" s="333"/>
      <c r="N150" s="333" t="s">
        <v>90</v>
      </c>
      <c r="O150" s="310" t="s">
        <v>3993</v>
      </c>
      <c r="P150" s="268">
        <v>3570.0</v>
      </c>
      <c r="Q150" s="330"/>
      <c r="R150" s="340" t="s">
        <v>94</v>
      </c>
      <c r="S150" s="768">
        <v>43220.0</v>
      </c>
      <c r="T150" s="769">
        <v>43174.0</v>
      </c>
      <c r="U150" s="765" t="s">
        <v>3998</v>
      </c>
      <c r="V150" s="770">
        <v>116014.0</v>
      </c>
      <c r="W150" s="771">
        <v>43220.0</v>
      </c>
      <c r="X150" s="252" t="s">
        <v>3888</v>
      </c>
      <c r="Y150" s="765" t="s">
        <v>3889</v>
      </c>
      <c r="Z150" s="765"/>
      <c r="AA150" s="765"/>
      <c r="AB150" s="765"/>
      <c r="AC150" s="253" t="s">
        <v>284</v>
      </c>
    </row>
    <row r="151" ht="15.75" hidden="1" customHeight="1">
      <c r="A151" s="764">
        <v>43156.0</v>
      </c>
      <c r="B151" s="265" t="s">
        <v>119</v>
      </c>
      <c r="C151" s="765" t="s">
        <v>3471</v>
      </c>
      <c r="D151" s="252" t="s">
        <v>3991</v>
      </c>
      <c r="E151" s="252" t="s">
        <v>3613</v>
      </c>
      <c r="F151" s="253">
        <v>10.0</v>
      </c>
      <c r="G151" s="254">
        <v>46.0</v>
      </c>
      <c r="H151" s="255">
        <f t="shared" si="8"/>
        <v>460</v>
      </c>
      <c r="I151" s="256" t="s">
        <v>420</v>
      </c>
      <c r="J151" s="266" t="s">
        <v>3603</v>
      </c>
      <c r="K151" s="258">
        <v>43178.0</v>
      </c>
      <c r="L151" s="258">
        <v>43175.0</v>
      </c>
      <c r="M151" s="333"/>
      <c r="N151" s="333" t="s">
        <v>90</v>
      </c>
      <c r="O151" s="310" t="s">
        <v>3993</v>
      </c>
      <c r="P151" s="268">
        <v>399.0</v>
      </c>
      <c r="Q151" s="330"/>
      <c r="R151" s="340" t="s">
        <v>94</v>
      </c>
      <c r="S151" s="768">
        <v>43220.0</v>
      </c>
      <c r="T151" s="769">
        <v>43174.0</v>
      </c>
      <c r="U151" s="765" t="s">
        <v>3998</v>
      </c>
      <c r="V151" s="765" t="s">
        <v>3999</v>
      </c>
      <c r="W151" s="771">
        <v>43220.0</v>
      </c>
      <c r="X151" s="252" t="s">
        <v>3888</v>
      </c>
      <c r="Y151" s="765" t="s">
        <v>3889</v>
      </c>
      <c r="Z151" s="765"/>
      <c r="AA151" s="765"/>
      <c r="AB151" s="765"/>
      <c r="AC151" s="253" t="s">
        <v>284</v>
      </c>
    </row>
    <row r="152" ht="15.75" hidden="1" customHeight="1">
      <c r="A152" s="764">
        <v>43158.0</v>
      </c>
      <c r="B152" s="597" t="s">
        <v>406</v>
      </c>
      <c r="C152" s="765" t="s">
        <v>3471</v>
      </c>
      <c r="D152" s="252" t="s">
        <v>4000</v>
      </c>
      <c r="E152" s="252" t="s">
        <v>4001</v>
      </c>
      <c r="F152" s="253">
        <v>8.0</v>
      </c>
      <c r="G152" s="254">
        <v>325.0</v>
      </c>
      <c r="H152" s="255">
        <f t="shared" si="8"/>
        <v>2600</v>
      </c>
      <c r="I152" s="256" t="s">
        <v>43</v>
      </c>
      <c r="J152" s="333" t="s">
        <v>4002</v>
      </c>
      <c r="K152" s="258">
        <v>43167.0</v>
      </c>
      <c r="L152" s="258">
        <v>43166.0</v>
      </c>
      <c r="M152" s="333"/>
      <c r="N152" s="333" t="s">
        <v>2618</v>
      </c>
      <c r="O152" s="310" t="s">
        <v>4003</v>
      </c>
      <c r="P152" s="598"/>
      <c r="Q152" s="637">
        <v>75600.0</v>
      </c>
      <c r="R152" s="604" t="s">
        <v>4004</v>
      </c>
      <c r="S152" s="810">
        <v>43196.0</v>
      </c>
      <c r="T152" s="769">
        <v>43165.0</v>
      </c>
      <c r="U152" s="765" t="s">
        <v>4005</v>
      </c>
      <c r="V152" s="770">
        <v>75600.0</v>
      </c>
      <c r="W152" s="769">
        <v>43228.0</v>
      </c>
      <c r="X152" s="252" t="s">
        <v>4006</v>
      </c>
      <c r="Y152" s="765">
        <v>2.856486345E9</v>
      </c>
      <c r="Z152" s="765"/>
      <c r="AA152" s="765"/>
      <c r="AB152" s="765"/>
      <c r="AC152" s="266" t="s">
        <v>284</v>
      </c>
    </row>
    <row r="153" ht="15.75" hidden="1" customHeight="1">
      <c r="A153" s="764">
        <v>43158.0</v>
      </c>
      <c r="B153" s="597" t="s">
        <v>406</v>
      </c>
      <c r="C153" s="765" t="s">
        <v>3471</v>
      </c>
      <c r="D153" s="252" t="s">
        <v>4000</v>
      </c>
      <c r="E153" s="252" t="s">
        <v>4001</v>
      </c>
      <c r="F153" s="253">
        <v>20.0</v>
      </c>
      <c r="G153" s="254">
        <v>325.0</v>
      </c>
      <c r="H153" s="255">
        <f t="shared" si="8"/>
        <v>6500</v>
      </c>
      <c r="I153" s="256" t="s">
        <v>43</v>
      </c>
      <c r="J153" s="333" t="s">
        <v>4002</v>
      </c>
      <c r="K153" s="258">
        <v>43167.0</v>
      </c>
      <c r="L153" s="258">
        <v>43166.0</v>
      </c>
      <c r="M153" s="333"/>
      <c r="N153" s="333" t="s">
        <v>2618</v>
      </c>
      <c r="O153" s="310" t="s">
        <v>4003</v>
      </c>
      <c r="P153" s="598"/>
      <c r="Q153" s="637">
        <v>189000.0</v>
      </c>
      <c r="R153" s="604" t="s">
        <v>2620</v>
      </c>
      <c r="S153" s="810">
        <v>43196.0</v>
      </c>
      <c r="T153" s="769">
        <v>43165.0</v>
      </c>
      <c r="U153" s="765" t="s">
        <v>4007</v>
      </c>
      <c r="V153" s="770">
        <v>189000.0</v>
      </c>
      <c r="W153" s="769">
        <v>43228.0</v>
      </c>
      <c r="X153" s="252" t="s">
        <v>4006</v>
      </c>
      <c r="Y153" s="765">
        <v>2.856486345E9</v>
      </c>
      <c r="Z153" s="765"/>
      <c r="AA153" s="765"/>
      <c r="AB153" s="765"/>
      <c r="AC153" s="266" t="s">
        <v>284</v>
      </c>
    </row>
    <row r="154" ht="15.75" hidden="1" customHeight="1">
      <c r="A154" s="764">
        <v>43158.0</v>
      </c>
      <c r="B154" s="597" t="s">
        <v>406</v>
      </c>
      <c r="C154" s="765" t="s">
        <v>3471</v>
      </c>
      <c r="D154" s="252" t="s">
        <v>4008</v>
      </c>
      <c r="E154" s="252" t="s">
        <v>4009</v>
      </c>
      <c r="F154" s="253">
        <v>1.0</v>
      </c>
      <c r="G154" s="254">
        <v>282.0</v>
      </c>
      <c r="H154" s="255">
        <f t="shared" si="8"/>
        <v>282</v>
      </c>
      <c r="I154" s="256" t="s">
        <v>43</v>
      </c>
      <c r="J154" s="333" t="s">
        <v>4002</v>
      </c>
      <c r="K154" s="258">
        <v>43167.0</v>
      </c>
      <c r="L154" s="258">
        <v>43161.0</v>
      </c>
      <c r="M154" s="333"/>
      <c r="N154" s="333" t="s">
        <v>3593</v>
      </c>
      <c r="O154" s="310" t="s">
        <v>4010</v>
      </c>
      <c r="P154" s="598"/>
      <c r="Q154" s="579">
        <v>7841.0</v>
      </c>
      <c r="R154" s="310" t="s">
        <v>2080</v>
      </c>
      <c r="S154" s="768">
        <v>43251.0</v>
      </c>
      <c r="T154" s="769">
        <v>43160.0</v>
      </c>
      <c r="U154" s="765" t="s">
        <v>4011</v>
      </c>
      <c r="V154" s="770">
        <v>10643.0</v>
      </c>
      <c r="W154" s="771">
        <v>43251.0</v>
      </c>
      <c r="X154" s="252" t="s">
        <v>4006</v>
      </c>
      <c r="Y154" s="765">
        <v>2.856486345E9</v>
      </c>
      <c r="Z154" s="765"/>
      <c r="AA154" s="765"/>
      <c r="AB154" s="765"/>
      <c r="AC154" s="266" t="s">
        <v>284</v>
      </c>
    </row>
    <row r="155" ht="15.75" hidden="1" customHeight="1">
      <c r="A155" s="764">
        <v>43158.0</v>
      </c>
      <c r="B155" s="597" t="s">
        <v>406</v>
      </c>
      <c r="C155" s="765" t="s">
        <v>3471</v>
      </c>
      <c r="D155" s="252" t="s">
        <v>4008</v>
      </c>
      <c r="E155" s="252" t="s">
        <v>4012</v>
      </c>
      <c r="F155" s="253">
        <v>1.0</v>
      </c>
      <c r="G155" s="254">
        <v>100.0</v>
      </c>
      <c r="H155" s="255">
        <f t="shared" si="8"/>
        <v>100</v>
      </c>
      <c r="I155" s="256" t="s">
        <v>43</v>
      </c>
      <c r="J155" s="333" t="s">
        <v>4002</v>
      </c>
      <c r="K155" s="258">
        <v>43167.0</v>
      </c>
      <c r="L155" s="258">
        <v>43161.0</v>
      </c>
      <c r="M155" s="333"/>
      <c r="N155" s="333" t="s">
        <v>3593</v>
      </c>
      <c r="O155" s="310" t="s">
        <v>4010</v>
      </c>
      <c r="P155" s="598"/>
      <c r="Q155" s="579">
        <v>2801.0</v>
      </c>
      <c r="R155" s="310" t="s">
        <v>2080</v>
      </c>
      <c r="S155" s="768">
        <v>43251.0</v>
      </c>
      <c r="T155" s="769">
        <v>43160.0</v>
      </c>
      <c r="U155" s="765" t="s">
        <v>4011</v>
      </c>
      <c r="V155" s="765" t="s">
        <v>4013</v>
      </c>
      <c r="W155" s="771">
        <v>43251.0</v>
      </c>
      <c r="X155" s="252" t="s">
        <v>4006</v>
      </c>
      <c r="Y155" s="765">
        <v>2.856486345E9</v>
      </c>
      <c r="Z155" s="765"/>
      <c r="AA155" s="765"/>
      <c r="AB155" s="765"/>
      <c r="AC155" s="266" t="s">
        <v>284</v>
      </c>
    </row>
    <row r="156" ht="15.75" hidden="1" customHeight="1">
      <c r="A156" s="764">
        <v>43158.0</v>
      </c>
      <c r="B156" s="265" t="s">
        <v>229</v>
      </c>
      <c r="C156" s="765" t="s">
        <v>3471</v>
      </c>
      <c r="D156" s="252" t="s">
        <v>4014</v>
      </c>
      <c r="E156" s="252" t="s">
        <v>462</v>
      </c>
      <c r="F156" s="307">
        <v>38.0</v>
      </c>
      <c r="G156" s="325">
        <v>407.4</v>
      </c>
      <c r="H156" s="255">
        <f t="shared" si="8"/>
        <v>15481.2</v>
      </c>
      <c r="I156" s="256" t="s">
        <v>171</v>
      </c>
      <c r="J156" s="269" t="s">
        <v>90</v>
      </c>
      <c r="K156" s="258">
        <v>43179.0</v>
      </c>
      <c r="L156" s="258">
        <v>43179.0</v>
      </c>
      <c r="M156" s="333"/>
      <c r="N156" s="333" t="s">
        <v>90</v>
      </c>
      <c r="O156" s="310" t="s">
        <v>4015</v>
      </c>
      <c r="P156" s="268">
        <v>14164.5</v>
      </c>
      <c r="Q156" s="330"/>
      <c r="R156" s="340" t="s">
        <v>94</v>
      </c>
      <c r="S156" s="768">
        <v>43220.0</v>
      </c>
      <c r="T156" s="769">
        <v>43179.0</v>
      </c>
      <c r="U156" s="765" t="s">
        <v>4016</v>
      </c>
      <c r="V156" s="770">
        <v>414028.0</v>
      </c>
      <c r="W156" s="771">
        <v>43220.0</v>
      </c>
      <c r="X156" s="765" t="s">
        <v>4017</v>
      </c>
      <c r="Y156" s="765"/>
      <c r="Z156" s="765" t="s">
        <v>4018</v>
      </c>
      <c r="AA156" s="772">
        <v>451432.0</v>
      </c>
      <c r="AB156" s="765" t="s">
        <v>4019</v>
      </c>
      <c r="AC156" s="253" t="s">
        <v>377</v>
      </c>
    </row>
    <row r="157" ht="15.75" hidden="1" customHeight="1">
      <c r="A157" s="764">
        <v>43159.0</v>
      </c>
      <c r="B157" s="265" t="s">
        <v>101</v>
      </c>
      <c r="C157" s="765" t="s">
        <v>3471</v>
      </c>
      <c r="D157" s="252" t="s">
        <v>4020</v>
      </c>
      <c r="E157" s="252" t="s">
        <v>4021</v>
      </c>
      <c r="F157" s="253">
        <v>15.0</v>
      </c>
      <c r="G157" s="254">
        <v>1005.0</v>
      </c>
      <c r="H157" s="255">
        <f t="shared" si="8"/>
        <v>15075</v>
      </c>
      <c r="I157" s="256" t="s">
        <v>3474</v>
      </c>
      <c r="J157" s="269" t="s">
        <v>3739</v>
      </c>
      <c r="K157" s="258">
        <v>43174.0</v>
      </c>
      <c r="L157" s="258">
        <v>43173.0</v>
      </c>
      <c r="M157" s="333"/>
      <c r="N157" s="333" t="s">
        <v>1439</v>
      </c>
      <c r="O157" s="310" t="s">
        <v>4022</v>
      </c>
      <c r="P157" s="598"/>
      <c r="Q157" s="579">
        <v>459097.0</v>
      </c>
      <c r="R157" s="320" t="s">
        <v>1976</v>
      </c>
      <c r="S157" s="768">
        <v>43220.0</v>
      </c>
      <c r="T157" s="769">
        <v>43172.0</v>
      </c>
      <c r="U157" s="765" t="s">
        <v>4023</v>
      </c>
      <c r="V157" s="770">
        <v>459089.0</v>
      </c>
      <c r="W157" s="771">
        <v>43220.0</v>
      </c>
      <c r="X157" s="252" t="s">
        <v>3969</v>
      </c>
      <c r="Y157" s="765">
        <v>7.578687653E9</v>
      </c>
      <c r="Z157" s="765"/>
      <c r="AA157" s="765"/>
      <c r="AB157" s="765"/>
      <c r="AC157" s="253" t="s">
        <v>284</v>
      </c>
    </row>
    <row r="158" ht="15.75" hidden="1" customHeight="1">
      <c r="A158" s="764">
        <v>43162.0</v>
      </c>
      <c r="B158" s="265" t="s">
        <v>579</v>
      </c>
      <c r="C158" s="765" t="s">
        <v>3471</v>
      </c>
      <c r="D158" s="252" t="s">
        <v>4024</v>
      </c>
      <c r="E158" s="252" t="s">
        <v>581</v>
      </c>
      <c r="F158" s="253">
        <v>2.0</v>
      </c>
      <c r="G158" s="254">
        <v>96.6</v>
      </c>
      <c r="H158" s="255">
        <f t="shared" si="8"/>
        <v>193.2</v>
      </c>
      <c r="I158" s="256" t="s">
        <v>171</v>
      </c>
      <c r="J158" s="333" t="s">
        <v>582</v>
      </c>
      <c r="K158" s="258">
        <v>43175.0</v>
      </c>
      <c r="L158" s="258">
        <v>43175.0</v>
      </c>
      <c r="M158" s="333"/>
      <c r="N158" s="333" t="s">
        <v>1439</v>
      </c>
      <c r="O158" s="310" t="s">
        <v>4025</v>
      </c>
      <c r="P158" s="598"/>
      <c r="Q158" s="579">
        <v>4914.0</v>
      </c>
      <c r="R158" s="320" t="s">
        <v>1976</v>
      </c>
      <c r="S158" s="768">
        <v>43220.0</v>
      </c>
      <c r="T158" s="769">
        <v>43175.0</v>
      </c>
      <c r="U158" s="765" t="s">
        <v>4026</v>
      </c>
      <c r="V158" s="770">
        <v>4915.0</v>
      </c>
      <c r="W158" s="771">
        <v>43220.0</v>
      </c>
      <c r="X158" s="765" t="s">
        <v>4027</v>
      </c>
      <c r="Y158" s="765"/>
      <c r="Z158" s="765" t="s">
        <v>4028</v>
      </c>
      <c r="AA158" s="770">
        <v>5699.0</v>
      </c>
      <c r="AB158" s="765" t="s">
        <v>4029</v>
      </c>
      <c r="AC158" s="253" t="s">
        <v>377</v>
      </c>
    </row>
    <row r="159" ht="15.75" hidden="1" customHeight="1">
      <c r="A159" s="764">
        <v>43165.0</v>
      </c>
      <c r="B159" s="265" t="s">
        <v>3677</v>
      </c>
      <c r="C159" s="765" t="s">
        <v>3471</v>
      </c>
      <c r="D159" s="765" t="s">
        <v>4030</v>
      </c>
      <c r="E159" s="765" t="s">
        <v>4031</v>
      </c>
      <c r="F159" s="253">
        <v>2.0</v>
      </c>
      <c r="G159" s="254">
        <v>225.0</v>
      </c>
      <c r="H159" s="255">
        <f t="shared" si="8"/>
        <v>450</v>
      </c>
      <c r="I159" s="256" t="s">
        <v>3474</v>
      </c>
      <c r="J159" s="269" t="s">
        <v>4032</v>
      </c>
      <c r="K159" s="258">
        <v>43174.0</v>
      </c>
      <c r="L159" s="258">
        <v>43173.0</v>
      </c>
      <c r="M159" s="333"/>
      <c r="N159" s="333" t="s">
        <v>90</v>
      </c>
      <c r="O159" s="310" t="s">
        <v>4033</v>
      </c>
      <c r="P159" s="268">
        <v>424.2</v>
      </c>
      <c r="Q159" s="330"/>
      <c r="R159" s="340" t="s">
        <v>94</v>
      </c>
      <c r="S159" s="768">
        <v>43220.0</v>
      </c>
      <c r="T159" s="769">
        <v>43173.0</v>
      </c>
      <c r="U159" s="765" t="s">
        <v>4034</v>
      </c>
      <c r="V159" s="770">
        <v>30753.0</v>
      </c>
      <c r="W159" s="771">
        <v>43220.0</v>
      </c>
      <c r="X159" s="252" t="s">
        <v>4035</v>
      </c>
      <c r="Y159" s="765">
        <v>7.80073932491E11</v>
      </c>
      <c r="Z159" s="765"/>
      <c r="AA159" s="765"/>
      <c r="AB159" s="765"/>
      <c r="AC159" s="253" t="s">
        <v>284</v>
      </c>
    </row>
    <row r="160" ht="15.75" hidden="1" customHeight="1">
      <c r="A160" s="764">
        <v>43165.0</v>
      </c>
      <c r="B160" s="265" t="s">
        <v>3677</v>
      </c>
      <c r="C160" s="765" t="s">
        <v>3471</v>
      </c>
      <c r="D160" s="765" t="s">
        <v>4030</v>
      </c>
      <c r="E160" s="765" t="s">
        <v>4036</v>
      </c>
      <c r="F160" s="253">
        <v>2.0</v>
      </c>
      <c r="G160" s="254">
        <v>333.0</v>
      </c>
      <c r="H160" s="255">
        <f t="shared" si="8"/>
        <v>666</v>
      </c>
      <c r="I160" s="256" t="s">
        <v>3474</v>
      </c>
      <c r="J160" s="269" t="s">
        <v>4032</v>
      </c>
      <c r="K160" s="258">
        <v>43174.0</v>
      </c>
      <c r="L160" s="258">
        <v>43173.0</v>
      </c>
      <c r="M160" s="333"/>
      <c r="N160" s="333" t="s">
        <v>90</v>
      </c>
      <c r="O160" s="310" t="s">
        <v>4033</v>
      </c>
      <c r="P160" s="268">
        <v>627.9</v>
      </c>
      <c r="Q160" s="330"/>
      <c r="R160" s="340" t="s">
        <v>94</v>
      </c>
      <c r="S160" s="768">
        <v>43220.0</v>
      </c>
      <c r="T160" s="769">
        <v>43173.0</v>
      </c>
      <c r="U160" s="765" t="s">
        <v>4034</v>
      </c>
      <c r="V160" s="765" t="s">
        <v>4037</v>
      </c>
      <c r="W160" s="771">
        <v>43220.0</v>
      </c>
      <c r="X160" s="252" t="s">
        <v>4035</v>
      </c>
      <c r="Y160" s="765">
        <v>7.80073932491E11</v>
      </c>
      <c r="Z160" s="765"/>
      <c r="AA160" s="765"/>
      <c r="AB160" s="765"/>
      <c r="AC160" s="253" t="s">
        <v>284</v>
      </c>
    </row>
    <row r="161" ht="15.75" hidden="1" customHeight="1">
      <c r="A161" s="764">
        <v>43165.0</v>
      </c>
      <c r="B161" s="265" t="s">
        <v>3677</v>
      </c>
      <c r="C161" s="765" t="s">
        <v>3471</v>
      </c>
      <c r="D161" s="765" t="s">
        <v>4030</v>
      </c>
      <c r="E161" s="765" t="s">
        <v>4038</v>
      </c>
      <c r="F161" s="253">
        <v>1.0</v>
      </c>
      <c r="G161" s="254">
        <v>420.0</v>
      </c>
      <c r="H161" s="255">
        <f t="shared" si="8"/>
        <v>420</v>
      </c>
      <c r="I161" s="256" t="s">
        <v>3474</v>
      </c>
      <c r="J161" s="269" t="s">
        <v>3680</v>
      </c>
      <c r="K161" s="258">
        <v>43181.0</v>
      </c>
      <c r="L161" s="258">
        <v>43174.0</v>
      </c>
      <c r="M161" s="333"/>
      <c r="N161" s="333" t="s">
        <v>2041</v>
      </c>
      <c r="O161" s="780" t="s">
        <v>4039</v>
      </c>
      <c r="P161" s="268">
        <v>383.25</v>
      </c>
      <c r="Q161" s="330"/>
      <c r="R161" s="310" t="s">
        <v>2043</v>
      </c>
      <c r="S161" s="768">
        <v>43195.0</v>
      </c>
      <c r="T161" s="769">
        <v>43173.0</v>
      </c>
      <c r="U161" s="765" t="s">
        <v>4040</v>
      </c>
      <c r="V161" s="770">
        <v>11210.0</v>
      </c>
      <c r="W161" s="769">
        <v>43201.0</v>
      </c>
      <c r="X161" s="252" t="s">
        <v>4041</v>
      </c>
      <c r="Y161" s="765">
        <v>7.71805060755E11</v>
      </c>
      <c r="Z161" s="765"/>
      <c r="AA161" s="765"/>
      <c r="AB161" s="765"/>
      <c r="AC161" s="253" t="s">
        <v>284</v>
      </c>
    </row>
    <row r="162" ht="15.75" hidden="1" customHeight="1">
      <c r="A162" s="764">
        <v>43165.0</v>
      </c>
      <c r="B162" s="597" t="s">
        <v>631</v>
      </c>
      <c r="C162" s="765" t="s">
        <v>3471</v>
      </c>
      <c r="D162" s="252" t="s">
        <v>4042</v>
      </c>
      <c r="E162" s="252" t="s">
        <v>4043</v>
      </c>
      <c r="F162" s="307">
        <v>3.0</v>
      </c>
      <c r="G162" s="325">
        <v>168.0</v>
      </c>
      <c r="H162" s="255">
        <f t="shared" si="8"/>
        <v>504</v>
      </c>
      <c r="I162" s="256" t="s">
        <v>171</v>
      </c>
      <c r="J162" s="269" t="s">
        <v>628</v>
      </c>
      <c r="K162" s="258">
        <v>43171.0</v>
      </c>
      <c r="L162" s="258">
        <v>43167.0</v>
      </c>
      <c r="M162" s="333"/>
      <c r="N162" s="333" t="s">
        <v>2263</v>
      </c>
      <c r="O162" s="310" t="s">
        <v>4044</v>
      </c>
      <c r="P162" s="598"/>
      <c r="Q162" s="579">
        <v>15278.0</v>
      </c>
      <c r="R162" s="310" t="s">
        <v>2265</v>
      </c>
      <c r="S162" s="339"/>
      <c r="T162" s="769">
        <v>43166.0</v>
      </c>
      <c r="U162" s="765" t="s">
        <v>4045</v>
      </c>
      <c r="V162" s="770">
        <v>15278.0</v>
      </c>
      <c r="W162" s="769">
        <v>43166.0</v>
      </c>
      <c r="X162" s="765" t="s">
        <v>4046</v>
      </c>
      <c r="Y162" s="765" t="s">
        <v>4047</v>
      </c>
      <c r="Z162" s="602" t="s">
        <v>4048</v>
      </c>
      <c r="AA162" s="774">
        <v>14745.0</v>
      </c>
      <c r="AB162" s="765" t="s">
        <v>4049</v>
      </c>
      <c r="AC162" s="253" t="s">
        <v>377</v>
      </c>
    </row>
    <row r="163" ht="15.75" hidden="1" customHeight="1">
      <c r="A163" s="764">
        <v>43165.0</v>
      </c>
      <c r="B163" s="265" t="s">
        <v>326</v>
      </c>
      <c r="C163" s="765">
        <v>2021803.0</v>
      </c>
      <c r="D163" s="765" t="s">
        <v>4050</v>
      </c>
      <c r="E163" s="765" t="s">
        <v>3773</v>
      </c>
      <c r="F163" s="307">
        <v>3.0</v>
      </c>
      <c r="G163" s="325">
        <v>567.0</v>
      </c>
      <c r="H163" s="255">
        <f t="shared" si="8"/>
        <v>1701</v>
      </c>
      <c r="I163" s="256" t="s">
        <v>3474</v>
      </c>
      <c r="J163" s="269" t="s">
        <v>329</v>
      </c>
      <c r="K163" s="258">
        <v>43181.0</v>
      </c>
      <c r="L163" s="258">
        <v>43179.0</v>
      </c>
      <c r="M163" s="333"/>
      <c r="N163" s="333" t="s">
        <v>3775</v>
      </c>
      <c r="O163" s="310" t="s">
        <v>4051</v>
      </c>
      <c r="P163" s="268">
        <v>1606.5</v>
      </c>
      <c r="Q163" s="330"/>
      <c r="R163" s="422" t="s">
        <v>2207</v>
      </c>
      <c r="S163" s="768">
        <v>43220.0</v>
      </c>
      <c r="T163" s="769">
        <v>43178.0</v>
      </c>
      <c r="U163" s="765" t="s">
        <v>4052</v>
      </c>
      <c r="V163" s="770">
        <v>49013.0</v>
      </c>
      <c r="W163" s="771">
        <v>43220.0</v>
      </c>
      <c r="X163" s="252" t="s">
        <v>4053</v>
      </c>
      <c r="Y163" s="765"/>
      <c r="Z163" s="765"/>
      <c r="AA163" s="765"/>
      <c r="AB163" s="765"/>
      <c r="AC163" s="253" t="s">
        <v>284</v>
      </c>
    </row>
    <row r="164" ht="15.75" hidden="1" customHeight="1">
      <c r="A164" s="764">
        <v>43165.0</v>
      </c>
      <c r="B164" s="265" t="s">
        <v>326</v>
      </c>
      <c r="C164" s="765">
        <v>2021803.0</v>
      </c>
      <c r="D164" s="765" t="s">
        <v>4050</v>
      </c>
      <c r="E164" s="765" t="s">
        <v>53</v>
      </c>
      <c r="F164" s="307">
        <v>3.0</v>
      </c>
      <c r="G164" s="325">
        <v>31.0</v>
      </c>
      <c r="H164" s="255">
        <f t="shared" si="8"/>
        <v>93</v>
      </c>
      <c r="I164" s="256" t="s">
        <v>3474</v>
      </c>
      <c r="J164" s="269" t="s">
        <v>329</v>
      </c>
      <c r="K164" s="258">
        <v>43181.0</v>
      </c>
      <c r="L164" s="258">
        <v>43179.0</v>
      </c>
      <c r="M164" s="333"/>
      <c r="N164" s="333" t="s">
        <v>3775</v>
      </c>
      <c r="O164" s="310" t="s">
        <v>4051</v>
      </c>
      <c r="P164" s="268">
        <v>68.04</v>
      </c>
      <c r="Q164" s="330"/>
      <c r="R164" s="422" t="s">
        <v>2207</v>
      </c>
      <c r="S164" s="768">
        <v>43220.0</v>
      </c>
      <c r="T164" s="769">
        <v>43178.0</v>
      </c>
      <c r="U164" s="765" t="s">
        <v>4052</v>
      </c>
      <c r="V164" s="765" t="s">
        <v>4054</v>
      </c>
      <c r="W164" s="771">
        <v>43220.0</v>
      </c>
      <c r="X164" s="252" t="s">
        <v>4053</v>
      </c>
      <c r="Y164" s="765"/>
      <c r="Z164" s="765"/>
      <c r="AA164" s="765"/>
      <c r="AB164" s="765"/>
      <c r="AC164" s="253" t="s">
        <v>284</v>
      </c>
    </row>
    <row r="165" ht="15.75" hidden="1" customHeight="1">
      <c r="A165" s="764">
        <v>43165.0</v>
      </c>
      <c r="B165" s="265" t="s">
        <v>326</v>
      </c>
      <c r="C165" s="765">
        <v>2021803.0</v>
      </c>
      <c r="D165" s="765" t="s">
        <v>4050</v>
      </c>
      <c r="E165" s="765" t="s">
        <v>59</v>
      </c>
      <c r="F165" s="307">
        <v>3.0</v>
      </c>
      <c r="G165" s="325">
        <v>4.0</v>
      </c>
      <c r="H165" s="255">
        <f t="shared" si="8"/>
        <v>12</v>
      </c>
      <c r="I165" s="256" t="s">
        <v>3474</v>
      </c>
      <c r="J165" s="269" t="s">
        <v>329</v>
      </c>
      <c r="K165" s="258">
        <v>43181.0</v>
      </c>
      <c r="L165" s="258">
        <v>43179.0</v>
      </c>
      <c r="M165" s="333"/>
      <c r="N165" s="333" t="s">
        <v>3775</v>
      </c>
      <c r="O165" s="310" t="s">
        <v>4051</v>
      </c>
      <c r="P165" s="268">
        <v>6.3</v>
      </c>
      <c r="Q165" s="330"/>
      <c r="R165" s="422" t="s">
        <v>2207</v>
      </c>
      <c r="S165" s="768">
        <v>43220.0</v>
      </c>
      <c r="T165" s="769">
        <v>43178.0</v>
      </c>
      <c r="U165" s="765" t="s">
        <v>4052</v>
      </c>
      <c r="V165" s="765" t="s">
        <v>4054</v>
      </c>
      <c r="W165" s="771">
        <v>43220.0</v>
      </c>
      <c r="X165" s="252" t="s">
        <v>4053</v>
      </c>
      <c r="Y165" s="765"/>
      <c r="Z165" s="765"/>
      <c r="AA165" s="765"/>
      <c r="AB165" s="765"/>
      <c r="AC165" s="253" t="s">
        <v>284</v>
      </c>
    </row>
    <row r="166" ht="15.75" hidden="1" customHeight="1">
      <c r="A166" s="764">
        <v>43165.0</v>
      </c>
      <c r="B166" s="265" t="s">
        <v>326</v>
      </c>
      <c r="C166" s="765">
        <v>2021803.0</v>
      </c>
      <c r="D166" s="765" t="s">
        <v>4050</v>
      </c>
      <c r="E166" s="765" t="s">
        <v>4055</v>
      </c>
      <c r="F166" s="307">
        <v>3.0</v>
      </c>
      <c r="G166" s="325">
        <v>285.0</v>
      </c>
      <c r="H166" s="255">
        <f t="shared" si="8"/>
        <v>855</v>
      </c>
      <c r="I166" s="256" t="s">
        <v>3474</v>
      </c>
      <c r="J166" s="269" t="s">
        <v>329</v>
      </c>
      <c r="K166" s="258">
        <v>43181.0</v>
      </c>
      <c r="L166" s="258">
        <v>43172.0</v>
      </c>
      <c r="M166" s="333"/>
      <c r="N166" s="333" t="s">
        <v>45</v>
      </c>
      <c r="O166" s="310" t="s">
        <v>4056</v>
      </c>
      <c r="P166" s="268">
        <v>718.2</v>
      </c>
      <c r="Q166" s="330"/>
      <c r="R166" s="340" t="s">
        <v>47</v>
      </c>
      <c r="S166" s="768">
        <v>43201.0</v>
      </c>
      <c r="T166" s="769">
        <v>43171.0</v>
      </c>
      <c r="U166" s="765" t="s">
        <v>4057</v>
      </c>
      <c r="V166" s="770">
        <v>21043.0</v>
      </c>
      <c r="W166" s="769">
        <v>43199.0</v>
      </c>
      <c r="X166" s="252" t="s">
        <v>4053</v>
      </c>
      <c r="Y166" s="765"/>
      <c r="Z166" s="765"/>
      <c r="AA166" s="765"/>
      <c r="AB166" s="765"/>
      <c r="AC166" s="253" t="s">
        <v>284</v>
      </c>
    </row>
    <row r="167" ht="15.75" hidden="1" customHeight="1">
      <c r="A167" s="764">
        <v>43166.0</v>
      </c>
      <c r="B167" s="597" t="s">
        <v>406</v>
      </c>
      <c r="C167" s="765">
        <v>7.000136428E9</v>
      </c>
      <c r="D167" s="252" t="s">
        <v>4058</v>
      </c>
      <c r="E167" s="252" t="s">
        <v>4059</v>
      </c>
      <c r="F167" s="253">
        <v>2.0</v>
      </c>
      <c r="G167" s="325">
        <v>78.0</v>
      </c>
      <c r="H167" s="367">
        <f t="shared" si="8"/>
        <v>156</v>
      </c>
      <c r="I167" s="256" t="s">
        <v>43</v>
      </c>
      <c r="J167" s="333" t="s">
        <v>3941</v>
      </c>
      <c r="K167" s="258">
        <v>43174.0</v>
      </c>
      <c r="L167" s="258">
        <v>43172.0</v>
      </c>
      <c r="M167" s="333"/>
      <c r="N167" s="333" t="s">
        <v>3593</v>
      </c>
      <c r="O167" s="310" t="s">
        <v>4060</v>
      </c>
      <c r="P167" s="598"/>
      <c r="Q167" s="579">
        <v>4293.0</v>
      </c>
      <c r="R167" s="310" t="s">
        <v>2080</v>
      </c>
      <c r="S167" s="768">
        <v>43251.0</v>
      </c>
      <c r="T167" s="769">
        <v>43172.0</v>
      </c>
      <c r="U167" s="765" t="s">
        <v>4061</v>
      </c>
      <c r="V167" s="770">
        <v>7367.0</v>
      </c>
      <c r="W167" s="771">
        <v>43251.0</v>
      </c>
      <c r="X167" s="252" t="s">
        <v>4062</v>
      </c>
      <c r="Y167" s="765">
        <v>8.305665303E9</v>
      </c>
      <c r="Z167" s="765"/>
      <c r="AA167" s="765"/>
      <c r="AB167" s="765"/>
      <c r="AC167" s="266" t="s">
        <v>284</v>
      </c>
    </row>
    <row r="168" ht="15.75" hidden="1" customHeight="1">
      <c r="A168" s="764">
        <v>43166.0</v>
      </c>
      <c r="B168" s="597" t="s">
        <v>406</v>
      </c>
      <c r="C168" s="765">
        <v>7.000136428E9</v>
      </c>
      <c r="D168" s="252" t="s">
        <v>4058</v>
      </c>
      <c r="E168" s="252" t="s">
        <v>4063</v>
      </c>
      <c r="F168" s="253">
        <v>2.0</v>
      </c>
      <c r="G168" s="325">
        <v>188.0</v>
      </c>
      <c r="H168" s="367">
        <f t="shared" si="8"/>
        <v>376</v>
      </c>
      <c r="I168" s="256" t="s">
        <v>43</v>
      </c>
      <c r="J168" s="333" t="s">
        <v>3941</v>
      </c>
      <c r="K168" s="258">
        <v>43174.0</v>
      </c>
      <c r="L168" s="258">
        <v>43172.0</v>
      </c>
      <c r="M168" s="333"/>
      <c r="N168" s="333" t="s">
        <v>3593</v>
      </c>
      <c r="O168" s="310" t="s">
        <v>4060</v>
      </c>
      <c r="P168" s="598"/>
      <c r="Q168" s="579">
        <v>10441.0</v>
      </c>
      <c r="R168" s="310" t="s">
        <v>2080</v>
      </c>
      <c r="S168" s="768">
        <v>43251.0</v>
      </c>
      <c r="T168" s="769">
        <v>43172.0</v>
      </c>
      <c r="U168" s="765" t="s">
        <v>4061</v>
      </c>
      <c r="V168" s="765" t="s">
        <v>4064</v>
      </c>
      <c r="W168" s="771">
        <v>43251.0</v>
      </c>
      <c r="X168" s="252" t="s">
        <v>4062</v>
      </c>
      <c r="Y168" s="765">
        <v>8.305665303E9</v>
      </c>
      <c r="Z168" s="765"/>
      <c r="AA168" s="765"/>
      <c r="AB168" s="765"/>
      <c r="AC168" s="266" t="s">
        <v>284</v>
      </c>
    </row>
    <row r="169" ht="15.75" hidden="1" customHeight="1">
      <c r="A169" s="764">
        <v>43166.0</v>
      </c>
      <c r="B169" s="265" t="s">
        <v>119</v>
      </c>
      <c r="C169" s="765" t="s">
        <v>4065</v>
      </c>
      <c r="D169" s="252" t="s">
        <v>4066</v>
      </c>
      <c r="E169" s="252" t="s">
        <v>4067</v>
      </c>
      <c r="F169" s="253">
        <v>100.0</v>
      </c>
      <c r="G169" s="325">
        <v>105.0</v>
      </c>
      <c r="H169" s="255">
        <f t="shared" si="8"/>
        <v>10500</v>
      </c>
      <c r="I169" s="256" t="s">
        <v>3992</v>
      </c>
      <c r="J169" s="428" t="s">
        <v>4068</v>
      </c>
      <c r="K169" s="258">
        <v>43223.0</v>
      </c>
      <c r="L169" s="258">
        <v>43182.0</v>
      </c>
      <c r="M169" s="333"/>
      <c r="N169" s="333" t="s">
        <v>90</v>
      </c>
      <c r="O169" s="310" t="s">
        <v>4069</v>
      </c>
      <c r="P169" s="268">
        <v>8610.0</v>
      </c>
      <c r="Q169" s="330"/>
      <c r="R169" s="340" t="s">
        <v>94</v>
      </c>
      <c r="S169" s="768">
        <v>43220.0</v>
      </c>
      <c r="T169" s="769">
        <v>43181.0</v>
      </c>
      <c r="U169" s="765" t="s">
        <v>4070</v>
      </c>
      <c r="V169" s="770">
        <v>250852.0</v>
      </c>
      <c r="W169" s="771">
        <v>43220.0</v>
      </c>
      <c r="X169" s="252" t="s">
        <v>4071</v>
      </c>
      <c r="Y169" s="765" t="s">
        <v>4072</v>
      </c>
      <c r="Z169" s="765"/>
      <c r="AA169" s="765"/>
      <c r="AB169" s="765"/>
      <c r="AC169" s="253" t="s">
        <v>284</v>
      </c>
    </row>
    <row r="170" ht="15.75" hidden="1" customHeight="1">
      <c r="A170" s="764">
        <v>43167.0</v>
      </c>
      <c r="B170" s="265" t="s">
        <v>326</v>
      </c>
      <c r="C170" s="778" t="s">
        <v>4073</v>
      </c>
      <c r="D170" s="252" t="s">
        <v>4074</v>
      </c>
      <c r="E170" s="252" t="s">
        <v>3773</v>
      </c>
      <c r="F170" s="253">
        <v>10.0</v>
      </c>
      <c r="G170" s="325">
        <v>567.0</v>
      </c>
      <c r="H170" s="255">
        <f t="shared" si="8"/>
        <v>5670</v>
      </c>
      <c r="I170" s="256" t="s">
        <v>3474</v>
      </c>
      <c r="J170" s="269" t="s">
        <v>329</v>
      </c>
      <c r="K170" s="258">
        <v>43193.0</v>
      </c>
      <c r="L170" s="258">
        <v>43192.0</v>
      </c>
      <c r="M170" s="333"/>
      <c r="N170" s="333" t="s">
        <v>3775</v>
      </c>
      <c r="O170" s="310" t="s">
        <v>4075</v>
      </c>
      <c r="P170" s="579">
        <v>5355.0</v>
      </c>
      <c r="Q170" s="596"/>
      <c r="R170" s="422" t="s">
        <v>2207</v>
      </c>
      <c r="S170" s="768">
        <v>43251.0</v>
      </c>
      <c r="T170" s="765" t="s">
        <v>4076</v>
      </c>
      <c r="U170" s="765" t="s">
        <v>4077</v>
      </c>
      <c r="V170" s="770" t="s">
        <v>4078</v>
      </c>
      <c r="W170" s="771">
        <v>43251.0</v>
      </c>
      <c r="X170" s="765" t="s">
        <v>4079</v>
      </c>
      <c r="Y170" s="765" t="s">
        <v>4080</v>
      </c>
      <c r="Z170" s="765"/>
      <c r="AA170" s="765"/>
      <c r="AB170" s="765"/>
      <c r="AC170" s="253" t="s">
        <v>284</v>
      </c>
    </row>
    <row r="171" ht="15.75" hidden="1" customHeight="1">
      <c r="A171" s="764">
        <v>43167.0</v>
      </c>
      <c r="B171" s="265" t="s">
        <v>326</v>
      </c>
      <c r="C171" s="778" t="s">
        <v>4073</v>
      </c>
      <c r="D171" s="252" t="s">
        <v>4074</v>
      </c>
      <c r="E171" s="252" t="s">
        <v>3781</v>
      </c>
      <c r="F171" s="253">
        <v>10.0</v>
      </c>
      <c r="G171" s="325">
        <v>273.0</v>
      </c>
      <c r="H171" s="255">
        <f t="shared" si="8"/>
        <v>2730</v>
      </c>
      <c r="I171" s="256" t="s">
        <v>3474</v>
      </c>
      <c r="J171" s="269" t="s">
        <v>329</v>
      </c>
      <c r="K171" s="258">
        <v>43193.0</v>
      </c>
      <c r="L171" s="258">
        <v>43181.0</v>
      </c>
      <c r="M171" s="333"/>
      <c r="N171" s="333" t="s">
        <v>45</v>
      </c>
      <c r="O171" s="310" t="s">
        <v>4081</v>
      </c>
      <c r="P171" s="268">
        <v>2205.0</v>
      </c>
      <c r="Q171" s="330"/>
      <c r="R171" s="340" t="s">
        <v>47</v>
      </c>
      <c r="S171" s="768">
        <v>43208.0</v>
      </c>
      <c r="T171" s="769">
        <v>43178.0</v>
      </c>
      <c r="U171" s="765" t="s">
        <v>4082</v>
      </c>
      <c r="V171" s="770">
        <v>64454.0</v>
      </c>
      <c r="W171" s="769">
        <v>43222.0</v>
      </c>
      <c r="X171" s="765" t="s">
        <v>4079</v>
      </c>
      <c r="Y171" s="765" t="s">
        <v>4080</v>
      </c>
      <c r="Z171" s="765"/>
      <c r="AA171" s="765"/>
      <c r="AB171" s="765"/>
      <c r="AC171" s="253" t="s">
        <v>284</v>
      </c>
    </row>
    <row r="172" ht="15.75" hidden="1" customHeight="1">
      <c r="A172" s="764">
        <v>43167.0</v>
      </c>
      <c r="B172" s="265" t="s">
        <v>326</v>
      </c>
      <c r="C172" s="778" t="s">
        <v>4073</v>
      </c>
      <c r="D172" s="252" t="s">
        <v>4074</v>
      </c>
      <c r="E172" s="252" t="s">
        <v>53</v>
      </c>
      <c r="F172" s="253">
        <v>10.0</v>
      </c>
      <c r="G172" s="325">
        <v>31.0</v>
      </c>
      <c r="H172" s="255">
        <f t="shared" si="8"/>
        <v>310</v>
      </c>
      <c r="I172" s="256" t="s">
        <v>3474</v>
      </c>
      <c r="J172" s="269" t="s">
        <v>329</v>
      </c>
      <c r="K172" s="258">
        <v>43193.0</v>
      </c>
      <c r="L172" s="258">
        <v>43192.0</v>
      </c>
      <c r="M172" s="333"/>
      <c r="N172" s="333" t="s">
        <v>3775</v>
      </c>
      <c r="O172" s="310" t="s">
        <v>4075</v>
      </c>
      <c r="P172" s="811">
        <v>226.8</v>
      </c>
      <c r="Q172" s="812"/>
      <c r="R172" s="422" t="s">
        <v>2207</v>
      </c>
      <c r="S172" s="768">
        <v>43251.0</v>
      </c>
      <c r="T172" s="765" t="s">
        <v>4076</v>
      </c>
      <c r="U172" s="765" t="s">
        <v>4077</v>
      </c>
      <c r="V172" s="765" t="s">
        <v>4083</v>
      </c>
      <c r="W172" s="771">
        <v>43251.0</v>
      </c>
      <c r="X172" s="765" t="s">
        <v>4079</v>
      </c>
      <c r="Y172" s="765" t="s">
        <v>4080</v>
      </c>
      <c r="Z172" s="765"/>
      <c r="AA172" s="765"/>
      <c r="AB172" s="765"/>
      <c r="AC172" s="253" t="s">
        <v>284</v>
      </c>
    </row>
    <row r="173" ht="15.75" hidden="1" customHeight="1">
      <c r="A173" s="764">
        <v>43167.0</v>
      </c>
      <c r="B173" s="265" t="s">
        <v>326</v>
      </c>
      <c r="C173" s="778" t="s">
        <v>4073</v>
      </c>
      <c r="D173" s="252" t="s">
        <v>4074</v>
      </c>
      <c r="E173" s="252" t="s">
        <v>59</v>
      </c>
      <c r="F173" s="253">
        <v>10.0</v>
      </c>
      <c r="G173" s="325">
        <v>4.0</v>
      </c>
      <c r="H173" s="255">
        <f t="shared" si="8"/>
        <v>40</v>
      </c>
      <c r="I173" s="256" t="s">
        <v>3474</v>
      </c>
      <c r="J173" s="269" t="s">
        <v>329</v>
      </c>
      <c r="K173" s="258">
        <v>43193.0</v>
      </c>
      <c r="L173" s="258">
        <v>43192.0</v>
      </c>
      <c r="M173" s="333"/>
      <c r="N173" s="333" t="s">
        <v>3775</v>
      </c>
      <c r="O173" s="310" t="s">
        <v>4075</v>
      </c>
      <c r="P173" s="813">
        <v>21.0</v>
      </c>
      <c r="Q173" s="596"/>
      <c r="R173" s="422" t="s">
        <v>2207</v>
      </c>
      <c r="S173" s="768">
        <v>43251.0</v>
      </c>
      <c r="T173" s="765" t="s">
        <v>4076</v>
      </c>
      <c r="U173" s="765" t="s">
        <v>4077</v>
      </c>
      <c r="V173" s="765" t="s">
        <v>4083</v>
      </c>
      <c r="W173" s="771">
        <v>43251.0</v>
      </c>
      <c r="X173" s="765" t="s">
        <v>4079</v>
      </c>
      <c r="Y173" s="765" t="s">
        <v>4080</v>
      </c>
      <c r="Z173" s="765"/>
      <c r="AA173" s="765"/>
      <c r="AB173" s="765"/>
      <c r="AC173" s="253" t="s">
        <v>284</v>
      </c>
    </row>
    <row r="174" ht="15.75" hidden="1" customHeight="1">
      <c r="A174" s="764">
        <v>43171.0</v>
      </c>
      <c r="B174" s="597" t="s">
        <v>406</v>
      </c>
      <c r="C174" s="765">
        <v>7.000136575E9</v>
      </c>
      <c r="D174" s="252" t="s">
        <v>4084</v>
      </c>
      <c r="E174" s="252" t="s">
        <v>4085</v>
      </c>
      <c r="F174" s="253">
        <v>3.0</v>
      </c>
      <c r="G174" s="325">
        <v>188.0</v>
      </c>
      <c r="H174" s="255">
        <f t="shared" si="8"/>
        <v>564</v>
      </c>
      <c r="I174" s="256" t="s">
        <v>43</v>
      </c>
      <c r="J174" s="333" t="s">
        <v>4002</v>
      </c>
      <c r="K174" s="258">
        <v>43181.0</v>
      </c>
      <c r="L174" s="258">
        <v>43175.0</v>
      </c>
      <c r="M174" s="333"/>
      <c r="N174" s="333" t="s">
        <v>3593</v>
      </c>
      <c r="O174" s="310" t="s">
        <v>4086</v>
      </c>
      <c r="P174" s="598"/>
      <c r="Q174" s="579">
        <v>15661.0</v>
      </c>
      <c r="R174" s="310" t="s">
        <v>2080</v>
      </c>
      <c r="S174" s="768">
        <v>43251.0</v>
      </c>
      <c r="T174" s="769">
        <v>43173.0</v>
      </c>
      <c r="U174" s="765" t="s">
        <v>4087</v>
      </c>
      <c r="V174" s="770">
        <v>22100.0</v>
      </c>
      <c r="W174" s="771">
        <v>43251.0</v>
      </c>
      <c r="X174" s="252" t="s">
        <v>4088</v>
      </c>
      <c r="Y174" s="765">
        <v>3.574971212E9</v>
      </c>
      <c r="Z174" s="765"/>
      <c r="AA174" s="765"/>
      <c r="AB174" s="765"/>
      <c r="AC174" s="253" t="s">
        <v>284</v>
      </c>
    </row>
    <row r="175" ht="15.75" hidden="1" customHeight="1">
      <c r="A175" s="764">
        <v>43171.0</v>
      </c>
      <c r="B175" s="597" t="s">
        <v>406</v>
      </c>
      <c r="C175" s="765">
        <v>7.000136575E9</v>
      </c>
      <c r="D175" s="252" t="s">
        <v>4084</v>
      </c>
      <c r="E175" s="252" t="s">
        <v>4089</v>
      </c>
      <c r="F175" s="253">
        <v>5.0</v>
      </c>
      <c r="G175" s="325">
        <v>56.0</v>
      </c>
      <c r="H175" s="255">
        <f t="shared" si="8"/>
        <v>280</v>
      </c>
      <c r="I175" s="256" t="s">
        <v>43</v>
      </c>
      <c r="J175" s="403" t="s">
        <v>520</v>
      </c>
      <c r="K175" s="258">
        <v>43223.0</v>
      </c>
      <c r="L175" s="258">
        <v>43217.0</v>
      </c>
      <c r="M175" s="333"/>
      <c r="N175" s="333" t="s">
        <v>3593</v>
      </c>
      <c r="O175" s="310" t="s">
        <v>4086</v>
      </c>
      <c r="P175" s="598"/>
      <c r="Q175" s="579">
        <v>7361.0</v>
      </c>
      <c r="R175" s="310" t="s">
        <v>2080</v>
      </c>
      <c r="S175" s="768">
        <v>43312.0</v>
      </c>
      <c r="T175" s="769">
        <v>43216.0</v>
      </c>
      <c r="U175" s="765" t="s">
        <v>4090</v>
      </c>
      <c r="V175" s="774">
        <v>7361.0</v>
      </c>
      <c r="W175" s="769">
        <v>43280.0</v>
      </c>
      <c r="X175" s="252" t="s">
        <v>4091</v>
      </c>
      <c r="Y175" s="765" t="s">
        <v>4092</v>
      </c>
      <c r="Z175" s="765"/>
      <c r="AA175" s="765"/>
      <c r="AB175" s="765"/>
      <c r="AC175" s="253" t="s">
        <v>284</v>
      </c>
    </row>
    <row r="176" ht="15.75" hidden="1" customHeight="1">
      <c r="A176" s="764">
        <v>43171.0</v>
      </c>
      <c r="B176" s="597" t="s">
        <v>406</v>
      </c>
      <c r="C176" s="765">
        <v>7.000136575E9</v>
      </c>
      <c r="D176" s="252" t="s">
        <v>4084</v>
      </c>
      <c r="E176" s="252" t="s">
        <v>4093</v>
      </c>
      <c r="F176" s="253">
        <v>3.0</v>
      </c>
      <c r="G176" s="325">
        <v>78.0</v>
      </c>
      <c r="H176" s="255">
        <f t="shared" si="8"/>
        <v>234</v>
      </c>
      <c r="I176" s="256" t="s">
        <v>43</v>
      </c>
      <c r="J176" s="333" t="s">
        <v>4002</v>
      </c>
      <c r="K176" s="258">
        <v>43181.0</v>
      </c>
      <c r="L176" s="258">
        <v>43175.0</v>
      </c>
      <c r="M176" s="333"/>
      <c r="N176" s="333" t="s">
        <v>3593</v>
      </c>
      <c r="O176" s="310" t="s">
        <v>4086</v>
      </c>
      <c r="P176" s="598"/>
      <c r="Q176" s="579">
        <v>6439.0</v>
      </c>
      <c r="R176" s="310" t="s">
        <v>2080</v>
      </c>
      <c r="S176" s="768">
        <v>43251.0</v>
      </c>
      <c r="T176" s="769">
        <v>43173.0</v>
      </c>
      <c r="U176" s="765" t="s">
        <v>4087</v>
      </c>
      <c r="V176" s="765" t="s">
        <v>4094</v>
      </c>
      <c r="W176" s="771">
        <v>43251.0</v>
      </c>
      <c r="X176" s="252" t="s">
        <v>4088</v>
      </c>
      <c r="Y176" s="765">
        <v>3.574971212E9</v>
      </c>
      <c r="Z176" s="765"/>
      <c r="AA176" s="765"/>
      <c r="AB176" s="765"/>
      <c r="AC176" s="253" t="s">
        <v>284</v>
      </c>
    </row>
    <row r="177" ht="15.75" hidden="1" customHeight="1">
      <c r="A177" s="764">
        <v>43171.0</v>
      </c>
      <c r="B177" s="597" t="s">
        <v>406</v>
      </c>
      <c r="C177" s="765">
        <v>7.000136575E9</v>
      </c>
      <c r="D177" s="252" t="s">
        <v>4084</v>
      </c>
      <c r="E177" s="252" t="s">
        <v>4095</v>
      </c>
      <c r="F177" s="253">
        <v>1.0</v>
      </c>
      <c r="G177" s="254">
        <v>514.0</v>
      </c>
      <c r="H177" s="367">
        <f t="shared" si="8"/>
        <v>514</v>
      </c>
      <c r="I177" s="256" t="s">
        <v>43</v>
      </c>
      <c r="J177" s="333" t="s">
        <v>3941</v>
      </c>
      <c r="K177" s="258">
        <v>43193.0</v>
      </c>
      <c r="L177" s="258">
        <v>43187.0</v>
      </c>
      <c r="M177" s="333"/>
      <c r="N177" s="333" t="s">
        <v>3593</v>
      </c>
      <c r="O177" s="310" t="s">
        <v>4086</v>
      </c>
      <c r="P177" s="598"/>
      <c r="Q177" s="579">
        <v>14437.0</v>
      </c>
      <c r="R177" s="310" t="s">
        <v>2080</v>
      </c>
      <c r="S177" s="768">
        <v>43281.0</v>
      </c>
      <c r="T177" s="769">
        <v>43186.0</v>
      </c>
      <c r="U177" s="765" t="s">
        <v>4096</v>
      </c>
      <c r="V177" s="770">
        <v>14438.0</v>
      </c>
      <c r="W177" s="771">
        <v>43259.0</v>
      </c>
      <c r="X177" s="252" t="s">
        <v>4097</v>
      </c>
      <c r="Y177" s="765">
        <v>1.805775392E9</v>
      </c>
      <c r="Z177" s="765"/>
      <c r="AA177" s="765"/>
      <c r="AB177" s="765"/>
      <c r="AC177" s="266" t="s">
        <v>284</v>
      </c>
    </row>
    <row r="178" ht="15.75" customHeight="1">
      <c r="A178" s="776">
        <v>43172.0</v>
      </c>
      <c r="B178" s="340" t="s">
        <v>77</v>
      </c>
      <c r="C178" s="252">
        <v>223.0</v>
      </c>
      <c r="D178" s="310" t="s">
        <v>4098</v>
      </c>
      <c r="E178" s="310" t="s">
        <v>720</v>
      </c>
      <c r="F178" s="266">
        <v>50.0</v>
      </c>
      <c r="G178" s="267">
        <v>1.9</v>
      </c>
      <c r="H178" s="255">
        <f t="shared" si="8"/>
        <v>95</v>
      </c>
      <c r="I178" s="256" t="s">
        <v>43</v>
      </c>
      <c r="J178" s="333" t="s">
        <v>479</v>
      </c>
      <c r="K178" s="258">
        <v>43186.0</v>
      </c>
      <c r="L178" s="258">
        <v>43181.0</v>
      </c>
      <c r="M178" s="333"/>
      <c r="N178" s="333" t="s">
        <v>3769</v>
      </c>
      <c r="O178" s="310" t="s">
        <v>4099</v>
      </c>
      <c r="P178" s="598"/>
      <c r="Q178" s="579"/>
      <c r="R178" s="388"/>
      <c r="S178" s="330"/>
      <c r="T178" s="766"/>
      <c r="U178" s="766"/>
      <c r="V178" s="766"/>
      <c r="W178" s="767"/>
      <c r="X178" s="765" t="s">
        <v>3958</v>
      </c>
      <c r="Y178" s="765" t="s">
        <v>3959</v>
      </c>
      <c r="Z178" s="765"/>
      <c r="AA178" s="765"/>
      <c r="AB178" s="765"/>
      <c r="AC178" s="253" t="s">
        <v>284</v>
      </c>
    </row>
    <row r="179" ht="15.75" customHeight="1">
      <c r="A179" s="776">
        <v>43172.0</v>
      </c>
      <c r="B179" s="340" t="s">
        <v>77</v>
      </c>
      <c r="C179" s="252">
        <v>167.0</v>
      </c>
      <c r="D179" s="310" t="s">
        <v>4100</v>
      </c>
      <c r="E179" s="310" t="s">
        <v>4101</v>
      </c>
      <c r="F179" s="253">
        <v>100.0</v>
      </c>
      <c r="G179" s="254">
        <v>28.0</v>
      </c>
      <c r="H179" s="255">
        <f t="shared" si="8"/>
        <v>2800</v>
      </c>
      <c r="I179" s="256" t="s">
        <v>43</v>
      </c>
      <c r="J179" s="369" t="s">
        <v>316</v>
      </c>
      <c r="K179" s="258">
        <v>43262.0</v>
      </c>
      <c r="L179" s="258">
        <v>43259.0</v>
      </c>
      <c r="M179" s="333"/>
      <c r="N179" s="333" t="s">
        <v>4102</v>
      </c>
      <c r="O179" s="310" t="s">
        <v>4103</v>
      </c>
      <c r="P179" s="268">
        <v>2625.0</v>
      </c>
      <c r="Q179" s="330"/>
      <c r="R179" s="310" t="s">
        <v>4104</v>
      </c>
      <c r="S179" s="810">
        <v>43249.0</v>
      </c>
      <c r="T179" s="769">
        <v>43259.0</v>
      </c>
      <c r="U179" s="765" t="s">
        <v>4105</v>
      </c>
      <c r="V179" s="770">
        <v>78475.0</v>
      </c>
      <c r="W179" s="771">
        <v>43255.0</v>
      </c>
      <c r="X179" s="765" t="s">
        <v>4106</v>
      </c>
      <c r="Y179" s="765">
        <v>1.23352051E8</v>
      </c>
      <c r="Z179" s="765"/>
      <c r="AA179" s="765"/>
      <c r="AB179" s="765"/>
      <c r="AC179" s="253" t="s">
        <v>284</v>
      </c>
    </row>
    <row r="180" ht="15.75" hidden="1" customHeight="1">
      <c r="A180" s="764">
        <v>43175.0</v>
      </c>
      <c r="B180" s="265" t="s">
        <v>101</v>
      </c>
      <c r="C180" s="765" t="s">
        <v>4107</v>
      </c>
      <c r="D180" s="252" t="s">
        <v>4108</v>
      </c>
      <c r="E180" s="252" t="s">
        <v>4109</v>
      </c>
      <c r="F180" s="253">
        <v>3.0</v>
      </c>
      <c r="G180" s="254">
        <v>417.0</v>
      </c>
      <c r="H180" s="255">
        <f t="shared" si="8"/>
        <v>1251</v>
      </c>
      <c r="I180" s="256" t="s">
        <v>3474</v>
      </c>
      <c r="J180" s="269" t="s">
        <v>3739</v>
      </c>
      <c r="K180" s="258">
        <v>43192.0</v>
      </c>
      <c r="L180" s="258">
        <v>43188.0</v>
      </c>
      <c r="M180" s="333"/>
      <c r="N180" s="403" t="s">
        <v>2028</v>
      </c>
      <c r="O180" s="310" t="s">
        <v>4110</v>
      </c>
      <c r="P180" s="598"/>
      <c r="Q180" s="579">
        <v>34474.0</v>
      </c>
      <c r="R180" s="578" t="s">
        <v>2030</v>
      </c>
      <c r="S180" s="768">
        <v>43225.0</v>
      </c>
      <c r="T180" s="769">
        <v>43187.0</v>
      </c>
      <c r="U180" s="765" t="s">
        <v>4111</v>
      </c>
      <c r="V180" s="770">
        <v>34474.0</v>
      </c>
      <c r="W180" s="771">
        <v>43225.0</v>
      </c>
      <c r="X180" s="252" t="s">
        <v>4112</v>
      </c>
      <c r="Y180" s="765">
        <v>7.755708601E9</v>
      </c>
      <c r="Z180" s="765"/>
      <c r="AA180" s="765"/>
      <c r="AB180" s="765"/>
      <c r="AC180" s="253" t="s">
        <v>284</v>
      </c>
    </row>
    <row r="181" ht="15.75" hidden="1" customHeight="1">
      <c r="A181" s="764">
        <v>43175.0</v>
      </c>
      <c r="B181" s="265" t="s">
        <v>101</v>
      </c>
      <c r="C181" s="765" t="s">
        <v>4107</v>
      </c>
      <c r="D181" s="252" t="s">
        <v>4108</v>
      </c>
      <c r="E181" s="252" t="s">
        <v>4113</v>
      </c>
      <c r="F181" s="253">
        <v>3.0</v>
      </c>
      <c r="G181" s="254">
        <v>92.0</v>
      </c>
      <c r="H181" s="255">
        <f t="shared" si="8"/>
        <v>276</v>
      </c>
      <c r="I181" s="256" t="s">
        <v>3474</v>
      </c>
      <c r="J181" s="269" t="s">
        <v>3739</v>
      </c>
      <c r="K181" s="258">
        <v>43192.0</v>
      </c>
      <c r="L181" s="266" t="s">
        <v>3410</v>
      </c>
      <c r="M181" s="333"/>
      <c r="N181" s="333" t="s">
        <v>179</v>
      </c>
      <c r="O181" s="310" t="s">
        <v>4114</v>
      </c>
      <c r="P181" s="598"/>
      <c r="Q181" s="330"/>
      <c r="R181" s="310"/>
      <c r="S181" s="330"/>
      <c r="T181" s="766"/>
      <c r="U181" s="766"/>
      <c r="V181" s="766"/>
      <c r="W181" s="767"/>
      <c r="X181" s="252" t="s">
        <v>4112</v>
      </c>
      <c r="Y181" s="765">
        <v>7.755708601E9</v>
      </c>
      <c r="Z181" s="765"/>
      <c r="AA181" s="765"/>
      <c r="AB181" s="765"/>
      <c r="AC181" s="253" t="s">
        <v>284</v>
      </c>
    </row>
    <row r="182" ht="15.75" hidden="1" customHeight="1">
      <c r="A182" s="764">
        <v>43178.0</v>
      </c>
      <c r="B182" s="265" t="s">
        <v>621</v>
      </c>
      <c r="C182" s="765"/>
      <c r="D182" s="252" t="s">
        <v>4115</v>
      </c>
      <c r="E182" s="252" t="s">
        <v>4116</v>
      </c>
      <c r="F182" s="253">
        <v>2.0</v>
      </c>
      <c r="G182" s="254">
        <f>194*1.05</f>
        <v>203.7</v>
      </c>
      <c r="H182" s="255">
        <f t="shared" si="8"/>
        <v>407.4</v>
      </c>
      <c r="I182" s="256" t="s">
        <v>3474</v>
      </c>
      <c r="J182" s="269" t="s">
        <v>233</v>
      </c>
      <c r="K182" s="258">
        <v>43188.0</v>
      </c>
      <c r="L182" s="258">
        <v>43188.0</v>
      </c>
      <c r="M182" s="333"/>
      <c r="N182" s="333" t="s">
        <v>90</v>
      </c>
      <c r="O182" s="310" t="s">
        <v>4117</v>
      </c>
      <c r="P182" s="268">
        <v>382.2</v>
      </c>
      <c r="Q182" s="330"/>
      <c r="R182" s="340" t="s">
        <v>94</v>
      </c>
      <c r="S182" s="768">
        <v>43251.0</v>
      </c>
      <c r="T182" s="771">
        <v>43188.0</v>
      </c>
      <c r="U182" s="252" t="s">
        <v>4118</v>
      </c>
      <c r="V182" s="774">
        <v>11135.0</v>
      </c>
      <c r="W182" s="771">
        <v>43251.0</v>
      </c>
      <c r="X182" s="765" t="s">
        <v>4119</v>
      </c>
      <c r="Y182" s="765"/>
      <c r="Z182" s="765" t="s">
        <v>4120</v>
      </c>
      <c r="AA182" s="772">
        <v>11899.0</v>
      </c>
      <c r="AB182" s="765" t="s">
        <v>4121</v>
      </c>
      <c r="AC182" s="253" t="s">
        <v>377</v>
      </c>
    </row>
    <row r="183" ht="15.75" hidden="1" customHeight="1">
      <c r="A183" s="764">
        <v>43179.0</v>
      </c>
      <c r="B183" s="265" t="s">
        <v>130</v>
      </c>
      <c r="C183" s="765" t="s">
        <v>4122</v>
      </c>
      <c r="D183" s="252" t="s">
        <v>4123</v>
      </c>
      <c r="E183" s="252" t="s">
        <v>3954</v>
      </c>
      <c r="F183" s="253">
        <v>20.0</v>
      </c>
      <c r="G183" s="254">
        <v>66.0</v>
      </c>
      <c r="H183" s="255">
        <f t="shared" si="8"/>
        <v>1320</v>
      </c>
      <c r="I183" s="256" t="s">
        <v>420</v>
      </c>
      <c r="J183" s="403" t="s">
        <v>3520</v>
      </c>
      <c r="K183" s="258">
        <v>43193.0</v>
      </c>
      <c r="L183" s="258">
        <v>43192.0</v>
      </c>
      <c r="M183" s="388"/>
      <c r="N183" s="333" t="s">
        <v>90</v>
      </c>
      <c r="O183" s="310" t="s">
        <v>4124</v>
      </c>
      <c r="P183" s="268">
        <v>1260.0</v>
      </c>
      <c r="Q183" s="330"/>
      <c r="R183" s="340" t="s">
        <v>94</v>
      </c>
      <c r="S183" s="768">
        <v>43251.0</v>
      </c>
      <c r="T183" s="769">
        <v>43192.0</v>
      </c>
      <c r="U183" s="765" t="s">
        <v>4125</v>
      </c>
      <c r="V183" s="770">
        <v>49669.0</v>
      </c>
      <c r="W183" s="771">
        <v>43251.0</v>
      </c>
      <c r="X183" s="252" t="s">
        <v>4126</v>
      </c>
      <c r="Y183" s="765">
        <v>9.239956795E9</v>
      </c>
      <c r="Z183" s="765"/>
      <c r="AA183" s="765"/>
      <c r="AB183" s="765"/>
      <c r="AC183" s="253" t="s">
        <v>284</v>
      </c>
    </row>
    <row r="184" ht="15.75" hidden="1" customHeight="1">
      <c r="A184" s="764">
        <v>43179.0</v>
      </c>
      <c r="B184" s="265" t="s">
        <v>130</v>
      </c>
      <c r="C184" s="765" t="s">
        <v>4122</v>
      </c>
      <c r="D184" s="252" t="s">
        <v>4123</v>
      </c>
      <c r="E184" s="252" t="s">
        <v>3951</v>
      </c>
      <c r="F184" s="253">
        <v>5.0</v>
      </c>
      <c r="G184" s="254">
        <v>90.0</v>
      </c>
      <c r="H184" s="255">
        <f t="shared" si="8"/>
        <v>450</v>
      </c>
      <c r="I184" s="256" t="s">
        <v>420</v>
      </c>
      <c r="J184" s="403" t="s">
        <v>3520</v>
      </c>
      <c r="K184" s="258">
        <v>43193.0</v>
      </c>
      <c r="L184" s="258">
        <v>43192.0</v>
      </c>
      <c r="M184" s="388"/>
      <c r="N184" s="333" t="s">
        <v>90</v>
      </c>
      <c r="O184" s="310" t="s">
        <v>4124</v>
      </c>
      <c r="P184" s="268">
        <v>446.25</v>
      </c>
      <c r="Q184" s="330"/>
      <c r="R184" s="340" t="s">
        <v>94</v>
      </c>
      <c r="S184" s="768">
        <v>43251.0</v>
      </c>
      <c r="T184" s="769">
        <v>43192.0</v>
      </c>
      <c r="U184" s="765" t="s">
        <v>4125</v>
      </c>
      <c r="V184" s="765" t="s">
        <v>4127</v>
      </c>
      <c r="W184" s="771">
        <v>43251.0</v>
      </c>
      <c r="X184" s="252" t="s">
        <v>4126</v>
      </c>
      <c r="Y184" s="765">
        <v>9.239956795E9</v>
      </c>
      <c r="Z184" s="765"/>
      <c r="AA184" s="765"/>
      <c r="AB184" s="765"/>
      <c r="AC184" s="253" t="s">
        <v>284</v>
      </c>
    </row>
    <row r="185" ht="15.75" hidden="1" customHeight="1">
      <c r="A185" s="764">
        <v>43179.0</v>
      </c>
      <c r="B185" s="265" t="s">
        <v>579</v>
      </c>
      <c r="C185" s="765">
        <v>2.0180320002E10</v>
      </c>
      <c r="D185" s="252" t="s">
        <v>4128</v>
      </c>
      <c r="E185" s="252" t="s">
        <v>4129</v>
      </c>
      <c r="F185" s="253">
        <v>1.0</v>
      </c>
      <c r="G185" s="338">
        <v>157.5</v>
      </c>
      <c r="H185" s="267">
        <f t="shared" si="8"/>
        <v>157.5</v>
      </c>
      <c r="I185" s="256" t="s">
        <v>171</v>
      </c>
      <c r="J185" s="269" t="s">
        <v>582</v>
      </c>
      <c r="K185" s="258">
        <v>43181.0</v>
      </c>
      <c r="L185" s="258">
        <v>43181.0</v>
      </c>
      <c r="M185" s="388"/>
      <c r="N185" s="333" t="s">
        <v>1439</v>
      </c>
      <c r="O185" s="310" t="s">
        <v>4130</v>
      </c>
      <c r="P185" s="598"/>
      <c r="Q185" s="579">
        <v>3827.0</v>
      </c>
      <c r="R185" s="320" t="s">
        <v>1976</v>
      </c>
      <c r="S185" s="768">
        <v>43220.0</v>
      </c>
      <c r="T185" s="769">
        <v>43181.0</v>
      </c>
      <c r="U185" s="765" t="s">
        <v>4131</v>
      </c>
      <c r="V185" s="770">
        <v>3827.0</v>
      </c>
      <c r="W185" s="771">
        <v>43220.0</v>
      </c>
      <c r="X185" s="765" t="s">
        <v>4132</v>
      </c>
      <c r="Y185" s="765"/>
      <c r="Z185" s="765"/>
      <c r="AA185" s="772">
        <v>4725.0</v>
      </c>
      <c r="AB185" s="765" t="s">
        <v>4133</v>
      </c>
      <c r="AC185" s="253" t="s">
        <v>377</v>
      </c>
    </row>
    <row r="186" ht="15.75" hidden="1" customHeight="1">
      <c r="A186" s="764">
        <v>43179.0</v>
      </c>
      <c r="B186" s="597" t="s">
        <v>406</v>
      </c>
      <c r="C186" s="765">
        <v>7.000136736E9</v>
      </c>
      <c r="D186" s="252" t="s">
        <v>4134</v>
      </c>
      <c r="E186" s="252" t="s">
        <v>4135</v>
      </c>
      <c r="F186" s="253">
        <v>3.0</v>
      </c>
      <c r="G186" s="254">
        <v>143.0</v>
      </c>
      <c r="H186" s="255">
        <f t="shared" si="8"/>
        <v>429</v>
      </c>
      <c r="I186" s="256" t="s">
        <v>43</v>
      </c>
      <c r="J186" s="403" t="s">
        <v>134</v>
      </c>
      <c r="K186" s="258">
        <v>43207.0</v>
      </c>
      <c r="L186" s="258">
        <v>43193.0</v>
      </c>
      <c r="M186" s="388"/>
      <c r="N186" s="333" t="s">
        <v>3593</v>
      </c>
      <c r="O186" s="310" t="s">
        <v>4136</v>
      </c>
      <c r="P186" s="598"/>
      <c r="Q186" s="579">
        <v>11869.0</v>
      </c>
      <c r="R186" s="310" t="s">
        <v>2080</v>
      </c>
      <c r="S186" s="768">
        <v>43281.0</v>
      </c>
      <c r="T186" s="769">
        <v>43192.0</v>
      </c>
      <c r="U186" s="765" t="s">
        <v>4137</v>
      </c>
      <c r="V186" s="770">
        <v>11869.0</v>
      </c>
      <c r="W186" s="771">
        <v>43259.0</v>
      </c>
      <c r="X186" s="765" t="s">
        <v>4138</v>
      </c>
      <c r="Y186" s="765">
        <v>5.722401683E9</v>
      </c>
      <c r="Z186" s="765"/>
      <c r="AA186" s="765"/>
      <c r="AB186" s="765"/>
      <c r="AC186" s="253" t="s">
        <v>284</v>
      </c>
    </row>
    <row r="187" ht="15.75" hidden="1" customHeight="1">
      <c r="A187" s="764">
        <v>43180.0</v>
      </c>
      <c r="B187" s="265" t="s">
        <v>130</v>
      </c>
      <c r="C187" s="765" t="s">
        <v>4139</v>
      </c>
      <c r="D187" s="252" t="s">
        <v>4140</v>
      </c>
      <c r="E187" s="252" t="s">
        <v>4141</v>
      </c>
      <c r="F187" s="253">
        <v>5.0</v>
      </c>
      <c r="G187" s="254">
        <v>58.0</v>
      </c>
      <c r="H187" s="255">
        <v>290.0</v>
      </c>
      <c r="I187" s="256" t="s">
        <v>420</v>
      </c>
      <c r="J187" s="403" t="s">
        <v>3520</v>
      </c>
      <c r="K187" s="258">
        <v>43193.0</v>
      </c>
      <c r="L187" s="258">
        <v>43192.0</v>
      </c>
      <c r="M187" s="388"/>
      <c r="N187" s="333" t="s">
        <v>90</v>
      </c>
      <c r="O187" s="310" t="s">
        <v>4142</v>
      </c>
      <c r="P187" s="268">
        <v>273.0</v>
      </c>
      <c r="Q187" s="330"/>
      <c r="R187" s="340" t="s">
        <v>94</v>
      </c>
      <c r="S187" s="768">
        <v>43251.0</v>
      </c>
      <c r="T187" s="769">
        <v>43192.0</v>
      </c>
      <c r="U187" s="765" t="s">
        <v>4143</v>
      </c>
      <c r="V187" s="770">
        <v>7947.0</v>
      </c>
      <c r="W187" s="771">
        <v>43251.0</v>
      </c>
      <c r="X187" s="252" t="s">
        <v>4126</v>
      </c>
      <c r="Y187" s="765">
        <v>9.239956795E9</v>
      </c>
      <c r="Z187" s="765"/>
      <c r="AA187" s="765"/>
      <c r="AB187" s="765"/>
      <c r="AC187" s="253" t="s">
        <v>284</v>
      </c>
    </row>
    <row r="188" ht="15.75" customHeight="1">
      <c r="A188" s="764">
        <v>43182.0</v>
      </c>
      <c r="B188" s="265" t="s">
        <v>77</v>
      </c>
      <c r="C188" s="765">
        <v>251.0</v>
      </c>
      <c r="D188" s="252" t="s">
        <v>4144</v>
      </c>
      <c r="E188" s="252" t="s">
        <v>4145</v>
      </c>
      <c r="F188" s="307">
        <v>60.0</v>
      </c>
      <c r="G188" s="254">
        <v>5.0</v>
      </c>
      <c r="H188" s="255">
        <f t="shared" ref="H188:H210" si="9">G188*F188</f>
        <v>300</v>
      </c>
      <c r="I188" s="256" t="s">
        <v>43</v>
      </c>
      <c r="J188" s="369" t="s">
        <v>1098</v>
      </c>
      <c r="K188" s="258">
        <v>43242.0</v>
      </c>
      <c r="L188" s="258">
        <v>43237.0</v>
      </c>
      <c r="M188" s="388"/>
      <c r="N188" s="253" t="s">
        <v>2039</v>
      </c>
      <c r="O188" s="310" t="s">
        <v>4146</v>
      </c>
      <c r="P188" s="598"/>
      <c r="Q188" s="579">
        <v>3654.0</v>
      </c>
      <c r="R188" s="320" t="s">
        <v>2194</v>
      </c>
      <c r="S188" s="768">
        <v>43256.0</v>
      </c>
      <c r="T188" s="769">
        <v>43236.0</v>
      </c>
      <c r="U188" s="765" t="s">
        <v>4147</v>
      </c>
      <c r="V188" s="770">
        <v>11655.0</v>
      </c>
      <c r="W188" s="769">
        <v>43256.0</v>
      </c>
      <c r="X188" s="252" t="s">
        <v>4148</v>
      </c>
      <c r="Y188" s="765">
        <v>1.09039486E8</v>
      </c>
      <c r="Z188" s="765"/>
      <c r="AA188" s="765"/>
      <c r="AB188" s="765"/>
      <c r="AC188" s="253" t="s">
        <v>284</v>
      </c>
    </row>
    <row r="189" ht="15.75" hidden="1" customHeight="1">
      <c r="A189" s="764">
        <v>43182.0</v>
      </c>
      <c r="B189" s="265" t="s">
        <v>621</v>
      </c>
      <c r="C189" s="765"/>
      <c r="D189" s="252" t="s">
        <v>4149</v>
      </c>
      <c r="E189" s="252" t="s">
        <v>4150</v>
      </c>
      <c r="F189" s="253">
        <v>2.0</v>
      </c>
      <c r="G189" s="254">
        <f>73*1.05</f>
        <v>76.65</v>
      </c>
      <c r="H189" s="255">
        <f t="shared" si="9"/>
        <v>153.3</v>
      </c>
      <c r="I189" s="256" t="s">
        <v>3474</v>
      </c>
      <c r="J189" s="333" t="s">
        <v>233</v>
      </c>
      <c r="K189" s="258">
        <v>43199.0</v>
      </c>
      <c r="L189" s="258">
        <v>43199.0</v>
      </c>
      <c r="M189" s="388"/>
      <c r="N189" s="333" t="s">
        <v>90</v>
      </c>
      <c r="O189" s="310" t="s">
        <v>4151</v>
      </c>
      <c r="P189" s="268">
        <v>136.5</v>
      </c>
      <c r="Q189" s="330"/>
      <c r="R189" s="340" t="s">
        <v>94</v>
      </c>
      <c r="S189" s="768">
        <v>43251.0</v>
      </c>
      <c r="T189" s="769">
        <v>43199.0</v>
      </c>
      <c r="U189" s="765" t="s">
        <v>4152</v>
      </c>
      <c r="V189" s="770">
        <v>3974.0</v>
      </c>
      <c r="W189" s="771">
        <v>43251.0</v>
      </c>
      <c r="X189" s="765" t="s">
        <v>4153</v>
      </c>
      <c r="Y189" s="765"/>
      <c r="Z189" s="765" t="s">
        <v>4154</v>
      </c>
      <c r="AA189" s="772">
        <v>4469.0</v>
      </c>
      <c r="AB189" s="765" t="s">
        <v>4155</v>
      </c>
      <c r="AC189" s="253" t="s">
        <v>377</v>
      </c>
    </row>
    <row r="190" ht="15.75" hidden="1" customHeight="1">
      <c r="A190" s="764">
        <v>43185.0</v>
      </c>
      <c r="B190" s="597" t="s">
        <v>406</v>
      </c>
      <c r="C190" s="765">
        <v>7.0001368E9</v>
      </c>
      <c r="D190" s="252" t="s">
        <v>4156</v>
      </c>
      <c r="E190" s="252" t="s">
        <v>4157</v>
      </c>
      <c r="F190" s="253">
        <v>5.0</v>
      </c>
      <c r="G190" s="254">
        <v>548.0</v>
      </c>
      <c r="H190" s="367">
        <f t="shared" si="9"/>
        <v>2740</v>
      </c>
      <c r="I190" s="256" t="s">
        <v>43</v>
      </c>
      <c r="J190" s="333" t="s">
        <v>3941</v>
      </c>
      <c r="K190" s="258">
        <v>43193.0</v>
      </c>
      <c r="L190" s="258">
        <v>43188.0</v>
      </c>
      <c r="M190" s="388"/>
      <c r="N190" s="333" t="s">
        <v>3840</v>
      </c>
      <c r="O190" s="252" t="s">
        <v>4158</v>
      </c>
      <c r="P190" s="339"/>
      <c r="Q190" s="637">
        <v>81900.0</v>
      </c>
      <c r="R190" s="388" t="s">
        <v>3842</v>
      </c>
      <c r="S190" s="768">
        <v>43251.0</v>
      </c>
      <c r="T190" s="769">
        <v>43187.0</v>
      </c>
      <c r="U190" s="765" t="s">
        <v>4159</v>
      </c>
      <c r="V190" s="770">
        <v>87570.0</v>
      </c>
      <c r="W190" s="771">
        <v>43251.0</v>
      </c>
      <c r="X190" s="252" t="s">
        <v>4097</v>
      </c>
      <c r="Y190" s="765">
        <v>1.805775392E9</v>
      </c>
      <c r="Z190" s="765"/>
      <c r="AA190" s="765"/>
      <c r="AB190" s="765"/>
      <c r="AC190" s="266" t="s">
        <v>284</v>
      </c>
    </row>
    <row r="191" ht="15.75" hidden="1" customHeight="1">
      <c r="A191" s="764">
        <v>43185.0</v>
      </c>
      <c r="B191" s="597" t="s">
        <v>406</v>
      </c>
      <c r="C191" s="765">
        <v>7.0001368E9</v>
      </c>
      <c r="D191" s="252" t="s">
        <v>4156</v>
      </c>
      <c r="E191" s="252" t="s">
        <v>4157</v>
      </c>
      <c r="F191" s="253">
        <v>2.0</v>
      </c>
      <c r="G191" s="254">
        <v>548.0</v>
      </c>
      <c r="H191" s="255">
        <f t="shared" si="9"/>
        <v>1096</v>
      </c>
      <c r="I191" s="256" t="s">
        <v>43</v>
      </c>
      <c r="J191" s="403" t="s">
        <v>3941</v>
      </c>
      <c r="K191" s="258">
        <v>43234.0</v>
      </c>
      <c r="L191" s="258">
        <v>43228.0</v>
      </c>
      <c r="M191" s="388"/>
      <c r="N191" s="333" t="s">
        <v>3840</v>
      </c>
      <c r="O191" s="252" t="s">
        <v>4158</v>
      </c>
      <c r="P191" s="339"/>
      <c r="Q191" s="637">
        <v>32760.0</v>
      </c>
      <c r="R191" s="388" t="s">
        <v>3842</v>
      </c>
      <c r="S191" s="768">
        <v>43281.0</v>
      </c>
      <c r="T191" s="769">
        <v>43227.0</v>
      </c>
      <c r="U191" s="765" t="s">
        <v>4160</v>
      </c>
      <c r="V191" s="770">
        <v>35028.0</v>
      </c>
      <c r="W191" s="769">
        <v>43284.0</v>
      </c>
      <c r="X191" s="765" t="s">
        <v>4161</v>
      </c>
      <c r="Y191" s="765">
        <v>7.316938613E9</v>
      </c>
      <c r="Z191" s="765"/>
      <c r="AA191" s="765"/>
      <c r="AB191" s="765"/>
      <c r="AC191" s="253" t="s">
        <v>284</v>
      </c>
    </row>
    <row r="192" ht="15.75" hidden="1" customHeight="1">
      <c r="A192" s="764">
        <v>43185.0</v>
      </c>
      <c r="B192" s="597" t="s">
        <v>406</v>
      </c>
      <c r="C192" s="765">
        <v>7.0001368E9</v>
      </c>
      <c r="D192" s="252" t="s">
        <v>4156</v>
      </c>
      <c r="E192" s="252" t="s">
        <v>4162</v>
      </c>
      <c r="F192" s="253">
        <v>5.0</v>
      </c>
      <c r="G192" s="254">
        <v>40.0</v>
      </c>
      <c r="H192" s="367">
        <f t="shared" si="9"/>
        <v>200</v>
      </c>
      <c r="I192" s="256" t="s">
        <v>43</v>
      </c>
      <c r="J192" s="333" t="s">
        <v>3941</v>
      </c>
      <c r="K192" s="258">
        <v>43193.0</v>
      </c>
      <c r="L192" s="258">
        <v>43188.0</v>
      </c>
      <c r="M192" s="388"/>
      <c r="N192" s="333" t="s">
        <v>3840</v>
      </c>
      <c r="O192" s="252" t="s">
        <v>4158</v>
      </c>
      <c r="P192" s="339"/>
      <c r="Q192" s="637">
        <v>5670.0</v>
      </c>
      <c r="R192" s="388" t="s">
        <v>3842</v>
      </c>
      <c r="S192" s="768">
        <v>43251.0</v>
      </c>
      <c r="T192" s="769">
        <v>43187.0</v>
      </c>
      <c r="U192" s="765" t="s">
        <v>4159</v>
      </c>
      <c r="V192" s="765" t="s">
        <v>4163</v>
      </c>
      <c r="W192" s="771">
        <v>43251.0</v>
      </c>
      <c r="X192" s="252" t="s">
        <v>4097</v>
      </c>
      <c r="Y192" s="765">
        <v>1.805775392E9</v>
      </c>
      <c r="Z192" s="765"/>
      <c r="AA192" s="765"/>
      <c r="AB192" s="765"/>
      <c r="AC192" s="266" t="s">
        <v>284</v>
      </c>
    </row>
    <row r="193" ht="15.75" hidden="1" customHeight="1">
      <c r="A193" s="764">
        <v>43185.0</v>
      </c>
      <c r="B193" s="597" t="s">
        <v>406</v>
      </c>
      <c r="C193" s="765">
        <v>7.0001368E9</v>
      </c>
      <c r="D193" s="252" t="s">
        <v>4156</v>
      </c>
      <c r="E193" s="252" t="s">
        <v>4162</v>
      </c>
      <c r="F193" s="253">
        <v>2.0</v>
      </c>
      <c r="G193" s="254">
        <v>40.0</v>
      </c>
      <c r="H193" s="255">
        <f t="shared" si="9"/>
        <v>80</v>
      </c>
      <c r="I193" s="256" t="s">
        <v>43</v>
      </c>
      <c r="J193" s="403" t="s">
        <v>3941</v>
      </c>
      <c r="K193" s="258">
        <v>43234.0</v>
      </c>
      <c r="L193" s="258">
        <v>43228.0</v>
      </c>
      <c r="M193" s="388"/>
      <c r="N193" s="333" t="s">
        <v>3840</v>
      </c>
      <c r="O193" s="252" t="s">
        <v>4158</v>
      </c>
      <c r="P193" s="339"/>
      <c r="Q193" s="637">
        <v>2268.0</v>
      </c>
      <c r="R193" s="388" t="s">
        <v>3842</v>
      </c>
      <c r="S193" s="768">
        <v>43281.0</v>
      </c>
      <c r="T193" s="769">
        <v>43227.0</v>
      </c>
      <c r="U193" s="765" t="s">
        <v>4160</v>
      </c>
      <c r="V193" s="765" t="s">
        <v>4164</v>
      </c>
      <c r="W193" s="769">
        <v>43284.0</v>
      </c>
      <c r="X193" s="765" t="s">
        <v>4161</v>
      </c>
      <c r="Y193" s="765">
        <v>7.316938613E9</v>
      </c>
      <c r="Z193" s="765"/>
      <c r="AA193" s="765"/>
      <c r="AB193" s="765"/>
      <c r="AC193" s="253" t="s">
        <v>284</v>
      </c>
    </row>
    <row r="194" ht="15.75" hidden="1" customHeight="1">
      <c r="A194" s="764">
        <v>43185.0</v>
      </c>
      <c r="B194" s="597" t="s">
        <v>406</v>
      </c>
      <c r="C194" s="765">
        <v>7.000136912E9</v>
      </c>
      <c r="D194" s="252" t="s">
        <v>4165</v>
      </c>
      <c r="E194" s="252" t="s">
        <v>4095</v>
      </c>
      <c r="F194" s="253">
        <v>1.0</v>
      </c>
      <c r="G194" s="254">
        <v>514.0</v>
      </c>
      <c r="H194" s="255">
        <f t="shared" si="9"/>
        <v>514</v>
      </c>
      <c r="I194" s="256" t="s">
        <v>43</v>
      </c>
      <c r="J194" s="403" t="s">
        <v>520</v>
      </c>
      <c r="K194" s="258">
        <v>43223.0</v>
      </c>
      <c r="L194" s="258">
        <v>43217.0</v>
      </c>
      <c r="M194" s="388"/>
      <c r="N194" s="333" t="s">
        <v>3593</v>
      </c>
      <c r="O194" s="310" t="s">
        <v>4166</v>
      </c>
      <c r="P194" s="598"/>
      <c r="Q194" s="637">
        <v>13944.0</v>
      </c>
      <c r="R194" s="310" t="s">
        <v>2080</v>
      </c>
      <c r="S194" s="768">
        <v>43312.0</v>
      </c>
      <c r="T194" s="769">
        <v>43216.0</v>
      </c>
      <c r="U194" s="765" t="s">
        <v>4167</v>
      </c>
      <c r="V194" s="774">
        <v>13944.0</v>
      </c>
      <c r="W194" s="769">
        <v>43280.0</v>
      </c>
      <c r="X194" s="252" t="s">
        <v>4091</v>
      </c>
      <c r="Y194" s="765" t="s">
        <v>4092</v>
      </c>
      <c r="Z194" s="765"/>
      <c r="AA194" s="765"/>
      <c r="AB194" s="765"/>
      <c r="AC194" s="253" t="s">
        <v>284</v>
      </c>
    </row>
    <row r="195" ht="15.75" hidden="1" customHeight="1">
      <c r="A195" s="764">
        <v>43185.0</v>
      </c>
      <c r="B195" s="597" t="s">
        <v>406</v>
      </c>
      <c r="C195" s="765">
        <v>7.000136912E9</v>
      </c>
      <c r="D195" s="252" t="s">
        <v>4165</v>
      </c>
      <c r="E195" s="252" t="s">
        <v>3799</v>
      </c>
      <c r="F195" s="253">
        <v>3.0</v>
      </c>
      <c r="G195" s="254">
        <v>100.0</v>
      </c>
      <c r="H195" s="367">
        <f t="shared" si="9"/>
        <v>300</v>
      </c>
      <c r="I195" s="256" t="s">
        <v>43</v>
      </c>
      <c r="J195" s="333" t="s">
        <v>3941</v>
      </c>
      <c r="K195" s="258">
        <v>43193.0</v>
      </c>
      <c r="L195" s="258">
        <v>43193.0</v>
      </c>
      <c r="M195" s="388"/>
      <c r="N195" s="333" t="s">
        <v>3593</v>
      </c>
      <c r="O195" s="310" t="s">
        <v>4166</v>
      </c>
      <c r="P195" s="598"/>
      <c r="Q195" s="637">
        <v>8404.0</v>
      </c>
      <c r="R195" s="310" t="s">
        <v>2080</v>
      </c>
      <c r="S195" s="768">
        <v>43281.0</v>
      </c>
      <c r="T195" s="769">
        <v>43193.0</v>
      </c>
      <c r="U195" s="765" t="s">
        <v>4168</v>
      </c>
      <c r="V195" s="770">
        <v>8404.0</v>
      </c>
      <c r="W195" s="771">
        <v>43259.0</v>
      </c>
      <c r="X195" s="252" t="s">
        <v>4097</v>
      </c>
      <c r="Y195" s="765">
        <v>1.805775392E9</v>
      </c>
      <c r="Z195" s="765"/>
      <c r="AA195" s="765"/>
      <c r="AB195" s="765"/>
      <c r="AC195" s="266" t="s">
        <v>284</v>
      </c>
    </row>
    <row r="196" ht="15.75" hidden="1" customHeight="1">
      <c r="A196" s="764">
        <v>43185.0</v>
      </c>
      <c r="B196" s="597" t="s">
        <v>406</v>
      </c>
      <c r="C196" s="765">
        <v>7.000136912E9</v>
      </c>
      <c r="D196" s="252" t="s">
        <v>4165</v>
      </c>
      <c r="E196" s="252" t="s">
        <v>4169</v>
      </c>
      <c r="F196" s="253">
        <v>2.0</v>
      </c>
      <c r="G196" s="254">
        <v>130.5</v>
      </c>
      <c r="H196" s="367">
        <f t="shared" si="9"/>
        <v>261</v>
      </c>
      <c r="I196" s="256" t="s">
        <v>43</v>
      </c>
      <c r="J196" s="333" t="s">
        <v>3941</v>
      </c>
      <c r="K196" s="258">
        <v>43193.0</v>
      </c>
      <c r="L196" s="258">
        <v>43192.0</v>
      </c>
      <c r="M196" s="388"/>
      <c r="N196" s="333" t="s">
        <v>3593</v>
      </c>
      <c r="O196" s="310" t="s">
        <v>4170</v>
      </c>
      <c r="P196" s="598"/>
      <c r="Q196" s="637">
        <v>7472.0</v>
      </c>
      <c r="R196" s="310" t="s">
        <v>2080</v>
      </c>
      <c r="S196" s="768">
        <v>43281.0</v>
      </c>
      <c r="T196" s="769">
        <v>43192.0</v>
      </c>
      <c r="U196" s="765" t="s">
        <v>4171</v>
      </c>
      <c r="V196" s="770">
        <v>7472.0</v>
      </c>
      <c r="W196" s="771">
        <v>43259.0</v>
      </c>
      <c r="X196" s="252" t="s">
        <v>4097</v>
      </c>
      <c r="Y196" s="765">
        <v>1.805775392E9</v>
      </c>
      <c r="Z196" s="765"/>
      <c r="AA196" s="765"/>
      <c r="AB196" s="765"/>
      <c r="AC196" s="266" t="s">
        <v>284</v>
      </c>
    </row>
    <row r="197" ht="15.75" hidden="1" customHeight="1">
      <c r="A197" s="764">
        <v>43186.0</v>
      </c>
      <c r="B197" s="597" t="s">
        <v>406</v>
      </c>
      <c r="C197" s="765">
        <v>7.000136847E9</v>
      </c>
      <c r="D197" s="252" t="s">
        <v>4172</v>
      </c>
      <c r="E197" s="252" t="s">
        <v>4173</v>
      </c>
      <c r="F197" s="253">
        <v>1.0</v>
      </c>
      <c r="G197" s="254">
        <v>485.0</v>
      </c>
      <c r="H197" s="255">
        <f t="shared" si="9"/>
        <v>485</v>
      </c>
      <c r="I197" s="256" t="s">
        <v>43</v>
      </c>
      <c r="J197" s="403" t="s">
        <v>134</v>
      </c>
      <c r="K197" s="258">
        <v>43200.0</v>
      </c>
      <c r="L197" s="258">
        <v>43200.0</v>
      </c>
      <c r="M197" s="388"/>
      <c r="N197" s="333" t="s">
        <v>1998</v>
      </c>
      <c r="O197" s="310" t="s">
        <v>4174</v>
      </c>
      <c r="P197" s="268">
        <v>456.75</v>
      </c>
      <c r="Q197" s="330"/>
      <c r="R197" s="310" t="s">
        <v>2000</v>
      </c>
      <c r="S197" s="768">
        <v>43286.0</v>
      </c>
      <c r="T197" s="769">
        <v>43199.0</v>
      </c>
      <c r="U197" s="765" t="s">
        <v>4175</v>
      </c>
      <c r="V197" s="770">
        <v>13341.0</v>
      </c>
      <c r="W197" s="769">
        <v>43286.0</v>
      </c>
      <c r="X197" s="252" t="s">
        <v>4176</v>
      </c>
      <c r="Y197" s="765">
        <v>4.796967571E9</v>
      </c>
      <c r="Z197" s="765"/>
      <c r="AA197" s="765"/>
      <c r="AB197" s="765"/>
      <c r="AC197" s="253" t="s">
        <v>284</v>
      </c>
    </row>
    <row r="198" ht="15.75" hidden="1" customHeight="1">
      <c r="A198" s="764">
        <v>43186.0</v>
      </c>
      <c r="B198" s="265" t="s">
        <v>326</v>
      </c>
      <c r="C198" s="778" t="s">
        <v>4073</v>
      </c>
      <c r="D198" s="252" t="s">
        <v>4177</v>
      </c>
      <c r="E198" s="252" t="s">
        <v>4178</v>
      </c>
      <c r="F198" s="253">
        <v>10.0</v>
      </c>
      <c r="G198" s="325">
        <v>567.0</v>
      </c>
      <c r="H198" s="255">
        <f t="shared" si="9"/>
        <v>5670</v>
      </c>
      <c r="I198" s="256" t="s">
        <v>3474</v>
      </c>
      <c r="J198" s="269" t="s">
        <v>329</v>
      </c>
      <c r="K198" s="258">
        <v>43209.0</v>
      </c>
      <c r="L198" s="258">
        <v>43203.0</v>
      </c>
      <c r="M198" s="388"/>
      <c r="N198" s="333" t="s">
        <v>3775</v>
      </c>
      <c r="O198" s="310" t="s">
        <v>4179</v>
      </c>
      <c r="P198" s="813">
        <v>5355.0</v>
      </c>
      <c r="Q198" s="596"/>
      <c r="R198" s="422" t="s">
        <v>2207</v>
      </c>
      <c r="S198" s="768">
        <v>43251.0</v>
      </c>
      <c r="T198" s="769">
        <v>43203.0</v>
      </c>
      <c r="U198" s="765" t="s">
        <v>4180</v>
      </c>
      <c r="V198" s="770">
        <v>163910.0</v>
      </c>
      <c r="W198" s="771">
        <v>43251.0</v>
      </c>
      <c r="X198" s="765" t="s">
        <v>4181</v>
      </c>
      <c r="Y198" s="765" t="s">
        <v>4182</v>
      </c>
      <c r="Z198" s="765"/>
      <c r="AA198" s="765"/>
      <c r="AB198" s="765"/>
      <c r="AC198" s="253" t="s">
        <v>284</v>
      </c>
    </row>
    <row r="199" ht="15.75" hidden="1" customHeight="1">
      <c r="A199" s="764">
        <v>43186.0</v>
      </c>
      <c r="B199" s="265" t="s">
        <v>326</v>
      </c>
      <c r="C199" s="778" t="s">
        <v>4073</v>
      </c>
      <c r="D199" s="252" t="s">
        <v>4177</v>
      </c>
      <c r="E199" s="252" t="s">
        <v>4183</v>
      </c>
      <c r="F199" s="253">
        <v>10.0</v>
      </c>
      <c r="G199" s="325">
        <v>273.0</v>
      </c>
      <c r="H199" s="255">
        <f t="shared" si="9"/>
        <v>2730</v>
      </c>
      <c r="I199" s="256" t="s">
        <v>3474</v>
      </c>
      <c r="J199" s="269" t="s">
        <v>329</v>
      </c>
      <c r="K199" s="258">
        <v>43209.0</v>
      </c>
      <c r="L199" s="258">
        <v>43201.0</v>
      </c>
      <c r="M199" s="388"/>
      <c r="N199" s="333" t="s">
        <v>45</v>
      </c>
      <c r="O199" s="310" t="s">
        <v>4184</v>
      </c>
      <c r="P199" s="268">
        <v>2205.0</v>
      </c>
      <c r="Q199" s="330"/>
      <c r="R199" s="340" t="s">
        <v>47</v>
      </c>
      <c r="S199" s="768">
        <v>43230.0</v>
      </c>
      <c r="T199" s="769">
        <v>43200.0</v>
      </c>
      <c r="U199" s="765" t="s">
        <v>4185</v>
      </c>
      <c r="V199" s="770">
        <v>64406.0</v>
      </c>
      <c r="W199" s="771">
        <v>43231.0</v>
      </c>
      <c r="X199" s="765" t="s">
        <v>4181</v>
      </c>
      <c r="Y199" s="765" t="s">
        <v>4182</v>
      </c>
      <c r="Z199" s="765"/>
      <c r="AA199" s="765"/>
      <c r="AB199" s="765"/>
      <c r="AC199" s="253" t="s">
        <v>284</v>
      </c>
    </row>
    <row r="200" ht="15.75" hidden="1" customHeight="1">
      <c r="A200" s="764">
        <v>43186.0</v>
      </c>
      <c r="B200" s="265" t="s">
        <v>326</v>
      </c>
      <c r="C200" s="778" t="s">
        <v>4073</v>
      </c>
      <c r="D200" s="252" t="s">
        <v>4177</v>
      </c>
      <c r="E200" s="252" t="s">
        <v>4186</v>
      </c>
      <c r="F200" s="253">
        <v>10.0</v>
      </c>
      <c r="G200" s="325">
        <v>31.0</v>
      </c>
      <c r="H200" s="255">
        <f t="shared" si="9"/>
        <v>310</v>
      </c>
      <c r="I200" s="256" t="s">
        <v>3474</v>
      </c>
      <c r="J200" s="269" t="s">
        <v>329</v>
      </c>
      <c r="K200" s="258">
        <v>43209.0</v>
      </c>
      <c r="L200" s="258">
        <v>43203.0</v>
      </c>
      <c r="M200" s="388"/>
      <c r="N200" s="333" t="s">
        <v>3775</v>
      </c>
      <c r="O200" s="310" t="s">
        <v>4179</v>
      </c>
      <c r="P200" s="814">
        <v>226.8</v>
      </c>
      <c r="Q200" s="812"/>
      <c r="R200" s="422" t="s">
        <v>2207</v>
      </c>
      <c r="S200" s="768">
        <v>43251.0</v>
      </c>
      <c r="T200" s="769">
        <v>43203.0</v>
      </c>
      <c r="U200" s="765" t="s">
        <v>4180</v>
      </c>
      <c r="V200" s="765" t="s">
        <v>4187</v>
      </c>
      <c r="W200" s="771">
        <v>43251.0</v>
      </c>
      <c r="X200" s="765" t="s">
        <v>4181</v>
      </c>
      <c r="Y200" s="765" t="s">
        <v>4182</v>
      </c>
      <c r="Z200" s="765"/>
      <c r="AA200" s="765"/>
      <c r="AB200" s="765"/>
      <c r="AC200" s="253" t="s">
        <v>284</v>
      </c>
    </row>
    <row r="201" ht="15.75" hidden="1" customHeight="1">
      <c r="A201" s="764">
        <v>43186.0</v>
      </c>
      <c r="B201" s="265" t="s">
        <v>326</v>
      </c>
      <c r="C201" s="778" t="s">
        <v>4073</v>
      </c>
      <c r="D201" s="252" t="s">
        <v>4177</v>
      </c>
      <c r="E201" s="252" t="s">
        <v>4188</v>
      </c>
      <c r="F201" s="253">
        <v>10.0</v>
      </c>
      <c r="G201" s="325">
        <v>4.0</v>
      </c>
      <c r="H201" s="255">
        <f t="shared" si="9"/>
        <v>40</v>
      </c>
      <c r="I201" s="256" t="s">
        <v>3474</v>
      </c>
      <c r="J201" s="269" t="s">
        <v>329</v>
      </c>
      <c r="K201" s="258">
        <v>43209.0</v>
      </c>
      <c r="L201" s="258">
        <v>43203.0</v>
      </c>
      <c r="M201" s="388"/>
      <c r="N201" s="333" t="s">
        <v>3775</v>
      </c>
      <c r="O201" s="310" t="s">
        <v>4179</v>
      </c>
      <c r="P201" s="579">
        <v>21.0</v>
      </c>
      <c r="Q201" s="596"/>
      <c r="R201" s="422" t="s">
        <v>2207</v>
      </c>
      <c r="S201" s="768">
        <v>43251.0</v>
      </c>
      <c r="T201" s="769">
        <v>43203.0</v>
      </c>
      <c r="U201" s="765" t="s">
        <v>4180</v>
      </c>
      <c r="V201" s="765" t="s">
        <v>4187</v>
      </c>
      <c r="W201" s="771">
        <v>43251.0</v>
      </c>
      <c r="X201" s="765" t="s">
        <v>4181</v>
      </c>
      <c r="Y201" s="765" t="s">
        <v>4182</v>
      </c>
      <c r="Z201" s="765"/>
      <c r="AA201" s="765"/>
      <c r="AB201" s="765"/>
      <c r="AC201" s="253" t="s">
        <v>284</v>
      </c>
    </row>
    <row r="202" ht="15.75" hidden="1" customHeight="1">
      <c r="A202" s="764">
        <v>43187.0</v>
      </c>
      <c r="B202" s="597" t="s">
        <v>406</v>
      </c>
      <c r="C202" s="765">
        <v>7.000136986E9</v>
      </c>
      <c r="D202" s="252" t="s">
        <v>4189</v>
      </c>
      <c r="E202" s="252" t="s">
        <v>4190</v>
      </c>
      <c r="F202" s="253">
        <v>1.0</v>
      </c>
      <c r="G202" s="254">
        <v>802.0</v>
      </c>
      <c r="H202" s="367">
        <f t="shared" si="9"/>
        <v>802</v>
      </c>
      <c r="I202" s="256" t="s">
        <v>43</v>
      </c>
      <c r="J202" s="333" t="s">
        <v>3941</v>
      </c>
      <c r="K202" s="258">
        <v>43193.0</v>
      </c>
      <c r="L202" s="258">
        <v>43192.0</v>
      </c>
      <c r="M202" s="388"/>
      <c r="N202" s="333" t="s">
        <v>3593</v>
      </c>
      <c r="O202" s="310" t="s">
        <v>4191</v>
      </c>
      <c r="P202" s="598"/>
      <c r="Q202" s="637">
        <v>22089.0</v>
      </c>
      <c r="R202" s="310" t="s">
        <v>2080</v>
      </c>
      <c r="S202" s="768">
        <v>43281.0</v>
      </c>
      <c r="T202" s="769">
        <v>43192.0</v>
      </c>
      <c r="U202" s="765" t="s">
        <v>4192</v>
      </c>
      <c r="V202" s="770">
        <v>36373.0</v>
      </c>
      <c r="W202" s="771">
        <v>43259.0</v>
      </c>
      <c r="X202" s="252" t="s">
        <v>4097</v>
      </c>
      <c r="Y202" s="765">
        <v>1.805775392E9</v>
      </c>
      <c r="Z202" s="765"/>
      <c r="AA202" s="765"/>
      <c r="AB202" s="765"/>
      <c r="AC202" s="266" t="s">
        <v>284</v>
      </c>
    </row>
    <row r="203" ht="15.75" hidden="1" customHeight="1">
      <c r="A203" s="764">
        <v>43187.0</v>
      </c>
      <c r="B203" s="597" t="s">
        <v>406</v>
      </c>
      <c r="C203" s="765">
        <v>7.000136986E9</v>
      </c>
      <c r="D203" s="252" t="s">
        <v>4189</v>
      </c>
      <c r="E203" s="252" t="s">
        <v>4193</v>
      </c>
      <c r="F203" s="253">
        <v>2.0</v>
      </c>
      <c r="G203" s="254">
        <v>72.0</v>
      </c>
      <c r="H203" s="367">
        <f t="shared" si="9"/>
        <v>144</v>
      </c>
      <c r="I203" s="256" t="s">
        <v>43</v>
      </c>
      <c r="J203" s="333" t="s">
        <v>3941</v>
      </c>
      <c r="K203" s="258">
        <v>43193.0</v>
      </c>
      <c r="L203" s="258">
        <v>43192.0</v>
      </c>
      <c r="M203" s="388"/>
      <c r="N203" s="333" t="s">
        <v>3593</v>
      </c>
      <c r="O203" s="310" t="s">
        <v>4191</v>
      </c>
      <c r="P203" s="598"/>
      <c r="Q203" s="637">
        <v>3977.0</v>
      </c>
      <c r="R203" s="310" t="s">
        <v>2080</v>
      </c>
      <c r="S203" s="768">
        <v>43281.0</v>
      </c>
      <c r="T203" s="769">
        <v>43192.0</v>
      </c>
      <c r="U203" s="765" t="s">
        <v>4192</v>
      </c>
      <c r="V203" s="765" t="s">
        <v>4194</v>
      </c>
      <c r="W203" s="771">
        <v>43259.0</v>
      </c>
      <c r="X203" s="252" t="s">
        <v>4097</v>
      </c>
      <c r="Y203" s="765">
        <v>1.805775392E9</v>
      </c>
      <c r="Z203" s="765"/>
      <c r="AA203" s="765"/>
      <c r="AB203" s="765"/>
      <c r="AC203" s="266" t="s">
        <v>284</v>
      </c>
    </row>
    <row r="204" ht="15.75" hidden="1" customHeight="1">
      <c r="A204" s="764">
        <v>43187.0</v>
      </c>
      <c r="B204" s="597" t="s">
        <v>406</v>
      </c>
      <c r="C204" s="765">
        <v>7.000136986E9</v>
      </c>
      <c r="D204" s="252" t="s">
        <v>4189</v>
      </c>
      <c r="E204" s="252" t="s">
        <v>4195</v>
      </c>
      <c r="F204" s="253">
        <v>2.0</v>
      </c>
      <c r="G204" s="254">
        <v>108.0</v>
      </c>
      <c r="H204" s="367">
        <f t="shared" si="9"/>
        <v>216</v>
      </c>
      <c r="I204" s="256" t="s">
        <v>43</v>
      </c>
      <c r="J204" s="333" t="s">
        <v>3941</v>
      </c>
      <c r="K204" s="258">
        <v>43193.0</v>
      </c>
      <c r="L204" s="258">
        <v>43192.0</v>
      </c>
      <c r="M204" s="388"/>
      <c r="N204" s="333" t="s">
        <v>3593</v>
      </c>
      <c r="O204" s="310" t="s">
        <v>4191</v>
      </c>
      <c r="P204" s="598"/>
      <c r="Q204" s="637">
        <v>5964.0</v>
      </c>
      <c r="R204" s="310" t="s">
        <v>2080</v>
      </c>
      <c r="S204" s="768">
        <v>43281.0</v>
      </c>
      <c r="T204" s="769">
        <v>43192.0</v>
      </c>
      <c r="U204" s="765" t="s">
        <v>4192</v>
      </c>
      <c r="V204" s="765" t="s">
        <v>4194</v>
      </c>
      <c r="W204" s="771">
        <v>43259.0</v>
      </c>
      <c r="X204" s="252" t="s">
        <v>4097</v>
      </c>
      <c r="Y204" s="765">
        <v>1.805775392E9</v>
      </c>
      <c r="Z204" s="765"/>
      <c r="AA204" s="765"/>
      <c r="AB204" s="765"/>
      <c r="AC204" s="266" t="s">
        <v>284</v>
      </c>
    </row>
    <row r="205" ht="15.75" hidden="1" customHeight="1">
      <c r="A205" s="764">
        <v>43187.0</v>
      </c>
      <c r="B205" s="597" t="s">
        <v>406</v>
      </c>
      <c r="C205" s="765">
        <v>7.000136986E9</v>
      </c>
      <c r="D205" s="252" t="s">
        <v>4189</v>
      </c>
      <c r="E205" s="252" t="s">
        <v>4196</v>
      </c>
      <c r="F205" s="253">
        <v>2.0</v>
      </c>
      <c r="G205" s="254">
        <v>78.0</v>
      </c>
      <c r="H205" s="255">
        <f t="shared" si="9"/>
        <v>156</v>
      </c>
      <c r="I205" s="256" t="s">
        <v>43</v>
      </c>
      <c r="J205" s="403" t="s">
        <v>134</v>
      </c>
      <c r="K205" s="258">
        <v>43200.0</v>
      </c>
      <c r="L205" s="258">
        <v>43192.0</v>
      </c>
      <c r="M205" s="388"/>
      <c r="N205" s="333" t="s">
        <v>3593</v>
      </c>
      <c r="O205" s="310" t="s">
        <v>4191</v>
      </c>
      <c r="P205" s="598"/>
      <c r="Q205" s="637">
        <v>4343.0</v>
      </c>
      <c r="R205" s="310" t="s">
        <v>2080</v>
      </c>
      <c r="S205" s="768">
        <v>43281.0</v>
      </c>
      <c r="T205" s="769">
        <v>43192.0</v>
      </c>
      <c r="U205" s="765" t="s">
        <v>4192</v>
      </c>
      <c r="V205" s="765" t="s">
        <v>4194</v>
      </c>
      <c r="W205" s="771">
        <v>43259.0</v>
      </c>
      <c r="X205" s="252" t="s">
        <v>4176</v>
      </c>
      <c r="Y205" s="765">
        <v>4.796967571E9</v>
      </c>
      <c r="Z205" s="765"/>
      <c r="AA205" s="765"/>
      <c r="AB205" s="765"/>
      <c r="AC205" s="266" t="s">
        <v>284</v>
      </c>
    </row>
    <row r="206" ht="15.75" hidden="1" customHeight="1">
      <c r="A206" s="764">
        <v>43187.0</v>
      </c>
      <c r="B206" s="265" t="s">
        <v>101</v>
      </c>
      <c r="C206" s="602" t="s">
        <v>4197</v>
      </c>
      <c r="D206" s="252" t="s">
        <v>4198</v>
      </c>
      <c r="E206" s="252" t="s">
        <v>4199</v>
      </c>
      <c r="F206" s="253">
        <v>5.0</v>
      </c>
      <c r="G206" s="254">
        <v>1118.0</v>
      </c>
      <c r="H206" s="255">
        <f t="shared" si="9"/>
        <v>5590</v>
      </c>
      <c r="I206" s="256" t="s">
        <v>3474</v>
      </c>
      <c r="J206" s="269" t="s">
        <v>3739</v>
      </c>
      <c r="K206" s="258">
        <v>43209.0</v>
      </c>
      <c r="L206" s="258">
        <v>43207.0</v>
      </c>
      <c r="M206" s="388"/>
      <c r="N206" s="333" t="s">
        <v>1439</v>
      </c>
      <c r="O206" s="310" t="s">
        <v>4200</v>
      </c>
      <c r="P206" s="598"/>
      <c r="Q206" s="579">
        <v>152271.0</v>
      </c>
      <c r="R206" s="320" t="s">
        <v>1976</v>
      </c>
      <c r="S206" s="768">
        <v>43250.0</v>
      </c>
      <c r="T206" s="769">
        <v>43206.0</v>
      </c>
      <c r="U206" s="765" t="s">
        <v>4201</v>
      </c>
      <c r="V206" s="770">
        <v>152272.0</v>
      </c>
      <c r="W206" s="771">
        <v>43250.0</v>
      </c>
      <c r="X206" s="765" t="s">
        <v>4202</v>
      </c>
      <c r="Y206" s="765">
        <v>3.76350177E9</v>
      </c>
      <c r="Z206" s="765"/>
      <c r="AA206" s="765"/>
      <c r="AB206" s="765"/>
      <c r="AC206" s="253" t="s">
        <v>284</v>
      </c>
    </row>
    <row r="207" ht="21.0" hidden="1" customHeight="1">
      <c r="A207" s="764">
        <v>43187.0</v>
      </c>
      <c r="B207" s="265" t="s">
        <v>101</v>
      </c>
      <c r="C207" s="602" t="s">
        <v>4197</v>
      </c>
      <c r="D207" s="252" t="s">
        <v>4198</v>
      </c>
      <c r="E207" s="252" t="s">
        <v>4203</v>
      </c>
      <c r="F207" s="253">
        <v>5.0</v>
      </c>
      <c r="G207" s="254">
        <v>87.0</v>
      </c>
      <c r="H207" s="255">
        <f t="shared" si="9"/>
        <v>435</v>
      </c>
      <c r="I207" s="256" t="s">
        <v>3474</v>
      </c>
      <c r="J207" s="269" t="s">
        <v>3739</v>
      </c>
      <c r="K207" s="258">
        <v>43209.0</v>
      </c>
      <c r="L207" s="266" t="s">
        <v>3410</v>
      </c>
      <c r="M207" s="388"/>
      <c r="N207" s="333"/>
      <c r="O207" s="310" t="s">
        <v>4204</v>
      </c>
      <c r="P207" s="598"/>
      <c r="Q207" s="330"/>
      <c r="R207" s="310"/>
      <c r="S207" s="330"/>
      <c r="T207" s="766"/>
      <c r="U207" s="766"/>
      <c r="V207" s="766"/>
      <c r="W207" s="767"/>
      <c r="X207" s="765" t="s">
        <v>4202</v>
      </c>
      <c r="Y207" s="765">
        <v>3.76350177E9</v>
      </c>
      <c r="Z207" s="765"/>
      <c r="AA207" s="765"/>
      <c r="AB207" s="765"/>
      <c r="AC207" s="253" t="s">
        <v>284</v>
      </c>
    </row>
    <row r="208" ht="15.75" hidden="1" customHeight="1">
      <c r="A208" s="764">
        <v>43187.0</v>
      </c>
      <c r="B208" s="265" t="s">
        <v>416</v>
      </c>
      <c r="C208" s="765" t="s">
        <v>4205</v>
      </c>
      <c r="D208" s="252" t="s">
        <v>4206</v>
      </c>
      <c r="E208" s="252" t="s">
        <v>3519</v>
      </c>
      <c r="F208" s="253">
        <v>1.0</v>
      </c>
      <c r="G208" s="254">
        <v>262.0</v>
      </c>
      <c r="H208" s="367">
        <f t="shared" si="9"/>
        <v>262</v>
      </c>
      <c r="I208" s="256" t="s">
        <v>420</v>
      </c>
      <c r="J208" s="269" t="s">
        <v>840</v>
      </c>
      <c r="K208" s="258">
        <v>43202.0</v>
      </c>
      <c r="L208" s="258">
        <v>43201.0</v>
      </c>
      <c r="M208" s="388"/>
      <c r="N208" s="333" t="s">
        <v>90</v>
      </c>
      <c r="O208" s="310" t="s">
        <v>4207</v>
      </c>
      <c r="P208" s="268">
        <v>239.4</v>
      </c>
      <c r="Q208" s="330"/>
      <c r="R208" s="340" t="s">
        <v>94</v>
      </c>
      <c r="S208" s="768">
        <v>43251.0</v>
      </c>
      <c r="T208" s="769">
        <v>43201.0</v>
      </c>
      <c r="U208" s="765" t="s">
        <v>4208</v>
      </c>
      <c r="V208" s="770">
        <v>6964.0</v>
      </c>
      <c r="W208" s="771">
        <v>43251.0</v>
      </c>
      <c r="X208" s="252" t="s">
        <v>4209</v>
      </c>
      <c r="Y208" s="602" t="s">
        <v>4210</v>
      </c>
      <c r="Z208" s="765"/>
      <c r="AA208" s="765"/>
      <c r="AB208" s="765"/>
      <c r="AC208" s="253" t="s">
        <v>284</v>
      </c>
    </row>
    <row r="209" ht="15.75" hidden="1" customHeight="1">
      <c r="A209" s="764">
        <v>43187.0</v>
      </c>
      <c r="B209" s="265" t="s">
        <v>130</v>
      </c>
      <c r="C209" s="765" t="s">
        <v>4211</v>
      </c>
      <c r="D209" s="252" t="s">
        <v>4212</v>
      </c>
      <c r="E209" s="252" t="s">
        <v>4213</v>
      </c>
      <c r="F209" s="253">
        <v>10.0</v>
      </c>
      <c r="G209" s="254">
        <v>4.0</v>
      </c>
      <c r="H209" s="255">
        <f t="shared" si="9"/>
        <v>40</v>
      </c>
      <c r="I209" s="256" t="s">
        <v>420</v>
      </c>
      <c r="J209" s="403" t="s">
        <v>3520</v>
      </c>
      <c r="K209" s="258">
        <v>43193.0</v>
      </c>
      <c r="L209" s="258">
        <v>43192.0</v>
      </c>
      <c r="M209" s="388"/>
      <c r="N209" s="333" t="s">
        <v>90</v>
      </c>
      <c r="O209" s="310" t="s">
        <v>4214</v>
      </c>
      <c r="P209" s="268">
        <v>31.5</v>
      </c>
      <c r="Q209" s="330"/>
      <c r="R209" s="340" t="s">
        <v>94</v>
      </c>
      <c r="S209" s="768">
        <v>43251.0</v>
      </c>
      <c r="T209" s="769">
        <v>43192.0</v>
      </c>
      <c r="U209" s="765" t="s">
        <v>4215</v>
      </c>
      <c r="V209" s="765">
        <v>917.0</v>
      </c>
      <c r="W209" s="771">
        <v>43251.0</v>
      </c>
      <c r="X209" s="252" t="s">
        <v>4126</v>
      </c>
      <c r="Y209" s="765">
        <v>9.239956795E9</v>
      </c>
      <c r="Z209" s="765"/>
      <c r="AA209" s="765"/>
      <c r="AB209" s="765"/>
      <c r="AC209" s="253" t="s">
        <v>284</v>
      </c>
    </row>
    <row r="210" ht="15.75" hidden="1" customHeight="1">
      <c r="A210" s="764">
        <v>43188.0</v>
      </c>
      <c r="B210" s="265" t="s">
        <v>4216</v>
      </c>
      <c r="C210" s="765"/>
      <c r="D210" s="252" t="s">
        <v>4217</v>
      </c>
      <c r="E210" s="252" t="s">
        <v>4218</v>
      </c>
      <c r="F210" s="253">
        <v>1.0</v>
      </c>
      <c r="G210" s="254">
        <v>503.0</v>
      </c>
      <c r="H210" s="255">
        <f t="shared" si="9"/>
        <v>503</v>
      </c>
      <c r="I210" s="256" t="s">
        <v>4219</v>
      </c>
      <c r="J210" s="333" t="s">
        <v>4220</v>
      </c>
      <c r="K210" s="258">
        <v>43375.0</v>
      </c>
      <c r="L210" s="258">
        <v>43340.0</v>
      </c>
      <c r="M210" s="388"/>
      <c r="N210" s="333" t="s">
        <v>4221</v>
      </c>
      <c r="O210" s="252" t="s">
        <v>4222</v>
      </c>
      <c r="P210" s="268">
        <v>459.9</v>
      </c>
      <c r="Q210" s="579">
        <v>14133.0</v>
      </c>
      <c r="R210" s="578" t="s">
        <v>4223</v>
      </c>
      <c r="S210" s="768">
        <v>43336.0</v>
      </c>
      <c r="T210" s="769">
        <v>43339.0</v>
      </c>
      <c r="U210" s="765" t="s">
        <v>4224</v>
      </c>
      <c r="V210" s="770">
        <v>14133.0</v>
      </c>
      <c r="W210" s="769">
        <v>43335.0</v>
      </c>
      <c r="X210" s="765" t="s">
        <v>4225</v>
      </c>
      <c r="Y210" s="765">
        <v>6.45970846E8</v>
      </c>
      <c r="Z210" s="765"/>
      <c r="AA210" s="765"/>
      <c r="AB210" s="765"/>
      <c r="AC210" s="253" t="s">
        <v>284</v>
      </c>
    </row>
    <row r="211" ht="15.75" hidden="1" customHeight="1">
      <c r="A211" s="764">
        <v>43188.0</v>
      </c>
      <c r="B211" s="265" t="s">
        <v>101</v>
      </c>
      <c r="C211" s="765" t="s">
        <v>4226</v>
      </c>
      <c r="D211" s="252" t="s">
        <v>4227</v>
      </c>
      <c r="E211" s="252" t="s">
        <v>4228</v>
      </c>
      <c r="F211" s="253">
        <v>4.0</v>
      </c>
      <c r="G211" s="254">
        <v>622.0</v>
      </c>
      <c r="H211" s="255">
        <f t="shared" ref="H211:H218" si="10">F211*G211</f>
        <v>2488</v>
      </c>
      <c r="I211" s="256" t="s">
        <v>3474</v>
      </c>
      <c r="J211" s="269" t="s">
        <v>3739</v>
      </c>
      <c r="K211" s="258">
        <v>43242.0</v>
      </c>
      <c r="L211" s="258">
        <v>43241.0</v>
      </c>
      <c r="M211" s="388"/>
      <c r="N211" s="403" t="s">
        <v>2028</v>
      </c>
      <c r="O211" s="310" t="s">
        <v>4229</v>
      </c>
      <c r="P211" s="598"/>
      <c r="Q211" s="579">
        <v>68561.0</v>
      </c>
      <c r="R211" s="578" t="s">
        <v>2030</v>
      </c>
      <c r="S211" s="768">
        <v>43286.0</v>
      </c>
      <c r="T211" s="769">
        <v>43238.0</v>
      </c>
      <c r="U211" s="765" t="s">
        <v>4230</v>
      </c>
      <c r="V211" s="770">
        <v>68561.0</v>
      </c>
      <c r="W211" s="769">
        <v>43286.0</v>
      </c>
      <c r="X211" s="252" t="s">
        <v>4231</v>
      </c>
      <c r="Y211" s="765">
        <v>8.444617495E9</v>
      </c>
      <c r="Z211" s="765"/>
      <c r="AA211" s="765"/>
      <c r="AB211" s="765"/>
      <c r="AC211" s="253" t="s">
        <v>284</v>
      </c>
    </row>
    <row r="212" ht="17.25" hidden="1" customHeight="1">
      <c r="A212" s="764">
        <v>43188.0</v>
      </c>
      <c r="B212" s="265" t="s">
        <v>101</v>
      </c>
      <c r="C212" s="765" t="s">
        <v>4226</v>
      </c>
      <c r="D212" s="252" t="s">
        <v>4227</v>
      </c>
      <c r="E212" s="252" t="s">
        <v>4232</v>
      </c>
      <c r="F212" s="253">
        <v>4.0</v>
      </c>
      <c r="G212" s="254">
        <v>352.0</v>
      </c>
      <c r="H212" s="255">
        <f t="shared" si="10"/>
        <v>1408</v>
      </c>
      <c r="I212" s="256" t="s">
        <v>3474</v>
      </c>
      <c r="J212" s="269" t="s">
        <v>3739</v>
      </c>
      <c r="K212" s="258">
        <v>43242.0</v>
      </c>
      <c r="L212" s="258">
        <v>43223.0</v>
      </c>
      <c r="M212" s="388"/>
      <c r="N212" s="333" t="s">
        <v>2026</v>
      </c>
      <c r="O212" s="310" t="s">
        <v>4233</v>
      </c>
      <c r="P212" s="268">
        <v>1188.6</v>
      </c>
      <c r="Q212" s="330"/>
      <c r="R212" s="340" t="s">
        <v>47</v>
      </c>
      <c r="S212" s="768">
        <v>43256.0</v>
      </c>
      <c r="T212" s="771">
        <v>43222.0</v>
      </c>
      <c r="U212" s="252" t="s">
        <v>4234</v>
      </c>
      <c r="V212" s="774">
        <v>35189.0</v>
      </c>
      <c r="W212" s="771">
        <v>43256.0</v>
      </c>
      <c r="X212" s="252" t="s">
        <v>4231</v>
      </c>
      <c r="Y212" s="765">
        <v>8.444617495E9</v>
      </c>
      <c r="Z212" s="765"/>
      <c r="AA212" s="765"/>
      <c r="AB212" s="765"/>
      <c r="AC212" s="253" t="s">
        <v>284</v>
      </c>
    </row>
    <row r="213" ht="15.75" hidden="1" customHeight="1">
      <c r="A213" s="764">
        <v>43188.0</v>
      </c>
      <c r="B213" s="265" t="s">
        <v>101</v>
      </c>
      <c r="C213" s="765" t="s">
        <v>4226</v>
      </c>
      <c r="D213" s="252" t="s">
        <v>4227</v>
      </c>
      <c r="E213" s="252" t="s">
        <v>4235</v>
      </c>
      <c r="F213" s="253">
        <v>4.0</v>
      </c>
      <c r="G213" s="254">
        <v>58.0</v>
      </c>
      <c r="H213" s="255">
        <f t="shared" si="10"/>
        <v>232</v>
      </c>
      <c r="I213" s="256" t="s">
        <v>3474</v>
      </c>
      <c r="J213" s="269" t="s">
        <v>3739</v>
      </c>
      <c r="K213" s="258">
        <v>43242.0</v>
      </c>
      <c r="L213" s="258">
        <v>43223.0</v>
      </c>
      <c r="M213" s="388"/>
      <c r="N213" s="333" t="s">
        <v>2020</v>
      </c>
      <c r="O213" s="310" t="s">
        <v>4236</v>
      </c>
      <c r="P213" s="268">
        <v>196.56</v>
      </c>
      <c r="Q213" s="330"/>
      <c r="R213" s="310" t="s">
        <v>3906</v>
      </c>
      <c r="S213" s="768">
        <v>43256.0</v>
      </c>
      <c r="T213" s="769">
        <v>43222.0</v>
      </c>
      <c r="U213" s="765" t="s">
        <v>4237</v>
      </c>
      <c r="V213" s="770">
        <v>5819.0</v>
      </c>
      <c r="W213" s="769">
        <v>43263.0</v>
      </c>
      <c r="X213" s="252" t="s">
        <v>4231</v>
      </c>
      <c r="Y213" s="765">
        <v>8.444617495E9</v>
      </c>
      <c r="Z213" s="765"/>
      <c r="AA213" s="765"/>
      <c r="AB213" s="765"/>
      <c r="AC213" s="253" t="s">
        <v>284</v>
      </c>
    </row>
    <row r="214" ht="15.75" hidden="1" customHeight="1">
      <c r="A214" s="764">
        <v>43188.0</v>
      </c>
      <c r="B214" s="265" t="s">
        <v>101</v>
      </c>
      <c r="C214" s="765" t="s">
        <v>4226</v>
      </c>
      <c r="D214" s="252" t="s">
        <v>4238</v>
      </c>
      <c r="E214" s="252" t="s">
        <v>4239</v>
      </c>
      <c r="F214" s="253">
        <v>8.0</v>
      </c>
      <c r="G214" s="254">
        <v>550.0</v>
      </c>
      <c r="H214" s="255">
        <f t="shared" si="10"/>
        <v>4400</v>
      </c>
      <c r="I214" s="256" t="s">
        <v>3474</v>
      </c>
      <c r="J214" s="269" t="s">
        <v>3739</v>
      </c>
      <c r="K214" s="258">
        <v>43209.0</v>
      </c>
      <c r="L214" s="258">
        <v>43207.0</v>
      </c>
      <c r="M214" s="388"/>
      <c r="N214" s="403" t="s">
        <v>2028</v>
      </c>
      <c r="O214" s="310" t="s">
        <v>4229</v>
      </c>
      <c r="P214" s="598"/>
      <c r="Q214" s="579">
        <v>121203.0</v>
      </c>
      <c r="R214" s="578" t="s">
        <v>2030</v>
      </c>
      <c r="S214" s="768">
        <v>43256.0</v>
      </c>
      <c r="T214" s="769">
        <v>43206.0</v>
      </c>
      <c r="U214" s="765" t="s">
        <v>4240</v>
      </c>
      <c r="V214" s="770">
        <v>121203.0</v>
      </c>
      <c r="W214" s="769">
        <v>43256.0</v>
      </c>
      <c r="X214" s="765" t="s">
        <v>4241</v>
      </c>
      <c r="Y214" s="765">
        <v>9.511004554E9</v>
      </c>
      <c r="Z214" s="765"/>
      <c r="AA214" s="765"/>
      <c r="AB214" s="765"/>
      <c r="AC214" s="253" t="s">
        <v>284</v>
      </c>
    </row>
    <row r="215" ht="15.75" hidden="1" customHeight="1">
      <c r="A215" s="764">
        <v>43188.0</v>
      </c>
      <c r="B215" s="265" t="s">
        <v>101</v>
      </c>
      <c r="C215" s="765" t="s">
        <v>4226</v>
      </c>
      <c r="D215" s="252" t="s">
        <v>4238</v>
      </c>
      <c r="E215" s="815" t="s">
        <v>4232</v>
      </c>
      <c r="F215" s="253">
        <v>8.0</v>
      </c>
      <c r="G215" s="254">
        <v>352.0</v>
      </c>
      <c r="H215" s="255">
        <f t="shared" si="10"/>
        <v>2816</v>
      </c>
      <c r="I215" s="256" t="s">
        <v>3474</v>
      </c>
      <c r="J215" s="269" t="s">
        <v>3739</v>
      </c>
      <c r="K215" s="258">
        <v>43209.0</v>
      </c>
      <c r="L215" s="258">
        <v>43202.0</v>
      </c>
      <c r="M215" s="388"/>
      <c r="N215" s="333" t="s">
        <v>2026</v>
      </c>
      <c r="O215" s="310" t="s">
        <v>4233</v>
      </c>
      <c r="P215" s="268">
        <v>2377.2</v>
      </c>
      <c r="Q215" s="330"/>
      <c r="R215" s="340" t="s">
        <v>47</v>
      </c>
      <c r="S215" s="768">
        <v>43231.0</v>
      </c>
      <c r="T215" s="771">
        <v>43201.0</v>
      </c>
      <c r="U215" s="765" t="s">
        <v>4242</v>
      </c>
      <c r="V215" s="770">
        <v>69390.0</v>
      </c>
      <c r="W215" s="771">
        <v>43231.0</v>
      </c>
      <c r="X215" s="765" t="s">
        <v>4241</v>
      </c>
      <c r="Y215" s="765">
        <v>9.511004554E9</v>
      </c>
      <c r="Z215" s="765"/>
      <c r="AA215" s="765"/>
      <c r="AB215" s="765"/>
      <c r="AC215" s="253" t="s">
        <v>284</v>
      </c>
    </row>
    <row r="216" ht="15.75" hidden="1" customHeight="1">
      <c r="A216" s="764">
        <v>43188.0</v>
      </c>
      <c r="B216" s="265" t="s">
        <v>101</v>
      </c>
      <c r="C216" s="765" t="s">
        <v>4226</v>
      </c>
      <c r="D216" s="252" t="s">
        <v>4238</v>
      </c>
      <c r="E216" s="815" t="s">
        <v>4235</v>
      </c>
      <c r="F216" s="253">
        <v>8.0</v>
      </c>
      <c r="G216" s="254">
        <v>58.0</v>
      </c>
      <c r="H216" s="255">
        <f t="shared" si="10"/>
        <v>464</v>
      </c>
      <c r="I216" s="256" t="s">
        <v>3474</v>
      </c>
      <c r="J216" s="269" t="s">
        <v>3739</v>
      </c>
      <c r="K216" s="258">
        <v>43209.0</v>
      </c>
      <c r="L216" s="258">
        <v>43202.0</v>
      </c>
      <c r="M216" s="388"/>
      <c r="N216" s="333" t="s">
        <v>2020</v>
      </c>
      <c r="O216" s="310" t="s">
        <v>4236</v>
      </c>
      <c r="P216" s="268">
        <v>393.12</v>
      </c>
      <c r="Q216" s="330"/>
      <c r="R216" s="310" t="s">
        <v>3906</v>
      </c>
      <c r="S216" s="768">
        <v>43230.0</v>
      </c>
      <c r="T216" s="769">
        <v>43200.0</v>
      </c>
      <c r="U216" s="765" t="s">
        <v>4243</v>
      </c>
      <c r="V216" s="770">
        <v>11483.0</v>
      </c>
      <c r="W216" s="771">
        <v>43225.0</v>
      </c>
      <c r="X216" s="765" t="s">
        <v>4241</v>
      </c>
      <c r="Y216" s="765">
        <v>9.511004554E9</v>
      </c>
      <c r="Z216" s="765"/>
      <c r="AA216" s="765"/>
      <c r="AB216" s="765"/>
      <c r="AC216" s="253" t="s">
        <v>284</v>
      </c>
    </row>
    <row r="217" ht="15.75" hidden="1" customHeight="1">
      <c r="A217" s="764">
        <v>43189.0</v>
      </c>
      <c r="B217" s="265" t="s">
        <v>130</v>
      </c>
      <c r="C217" s="765" t="s">
        <v>4244</v>
      </c>
      <c r="D217" s="252" t="s">
        <v>4245</v>
      </c>
      <c r="E217" s="602" t="s">
        <v>3951</v>
      </c>
      <c r="F217" s="253">
        <v>20.0</v>
      </c>
      <c r="G217" s="254">
        <v>90.0</v>
      </c>
      <c r="H217" s="255">
        <f t="shared" si="10"/>
        <v>1800</v>
      </c>
      <c r="I217" s="256" t="s">
        <v>420</v>
      </c>
      <c r="J217" s="403" t="s">
        <v>3520</v>
      </c>
      <c r="K217" s="258">
        <v>43216.0</v>
      </c>
      <c r="L217" s="258">
        <v>43215.0</v>
      </c>
      <c r="M217" s="388"/>
      <c r="N217" s="333" t="s">
        <v>90</v>
      </c>
      <c r="O217" s="310" t="s">
        <v>4246</v>
      </c>
      <c r="P217" s="268">
        <v>1785.0</v>
      </c>
      <c r="Q217" s="330"/>
      <c r="R217" s="340" t="s">
        <v>94</v>
      </c>
      <c r="S217" s="768">
        <v>43251.0</v>
      </c>
      <c r="T217" s="769">
        <v>43215.0</v>
      </c>
      <c r="U217" s="765" t="s">
        <v>4247</v>
      </c>
      <c r="V217" s="770">
        <v>54036.0</v>
      </c>
      <c r="W217" s="771">
        <v>43251.0</v>
      </c>
      <c r="X217" s="252" t="s">
        <v>4248</v>
      </c>
      <c r="Y217" s="765">
        <v>6.653234486E9</v>
      </c>
      <c r="Z217" s="765"/>
      <c r="AA217" s="765"/>
      <c r="AB217" s="765"/>
      <c r="AC217" s="253" t="s">
        <v>284</v>
      </c>
    </row>
    <row r="218" ht="15.75" hidden="1" customHeight="1">
      <c r="A218" s="764">
        <v>43189.0</v>
      </c>
      <c r="B218" s="265" t="s">
        <v>130</v>
      </c>
      <c r="C218" s="765" t="s">
        <v>4244</v>
      </c>
      <c r="D218" s="252" t="s">
        <v>4245</v>
      </c>
      <c r="E218" s="602" t="s">
        <v>4213</v>
      </c>
      <c r="F218" s="253">
        <v>20.0</v>
      </c>
      <c r="G218" s="254">
        <v>4.0</v>
      </c>
      <c r="H218" s="255">
        <f t="shared" si="10"/>
        <v>80</v>
      </c>
      <c r="I218" s="256" t="s">
        <v>420</v>
      </c>
      <c r="J218" s="403" t="s">
        <v>3520</v>
      </c>
      <c r="K218" s="258">
        <v>43216.0</v>
      </c>
      <c r="L218" s="258">
        <v>43215.0</v>
      </c>
      <c r="M218" s="388"/>
      <c r="N218" s="333" t="s">
        <v>90</v>
      </c>
      <c r="O218" s="310" t="s">
        <v>4246</v>
      </c>
      <c r="P218" s="268">
        <v>63.0</v>
      </c>
      <c r="Q218" s="330"/>
      <c r="R218" s="340" t="s">
        <v>94</v>
      </c>
      <c r="S218" s="768">
        <v>43251.0</v>
      </c>
      <c r="T218" s="769">
        <v>43215.0</v>
      </c>
      <c r="U218" s="765" t="s">
        <v>4247</v>
      </c>
      <c r="V218" s="765" t="s">
        <v>4249</v>
      </c>
      <c r="W218" s="771">
        <v>43251.0</v>
      </c>
      <c r="X218" s="252" t="s">
        <v>4248</v>
      </c>
      <c r="Y218" s="765">
        <v>6.653234486E9</v>
      </c>
      <c r="Z218" s="765"/>
      <c r="AA218" s="765"/>
      <c r="AB218" s="765"/>
      <c r="AC218" s="253" t="s">
        <v>284</v>
      </c>
    </row>
    <row r="219" ht="15.75" hidden="1" customHeight="1">
      <c r="A219" s="764">
        <v>43192.0</v>
      </c>
      <c r="B219" s="597" t="s">
        <v>406</v>
      </c>
      <c r="C219" s="765">
        <v>7.000137113E9</v>
      </c>
      <c r="D219" s="252" t="s">
        <v>4250</v>
      </c>
      <c r="E219" s="602" t="s">
        <v>4251</v>
      </c>
      <c r="F219" s="253">
        <v>2.0</v>
      </c>
      <c r="G219" s="254">
        <v>18.0</v>
      </c>
      <c r="H219" s="255">
        <f t="shared" ref="H219:H280" si="11">G219*F219</f>
        <v>36</v>
      </c>
      <c r="I219" s="256" t="s">
        <v>43</v>
      </c>
      <c r="J219" s="403" t="s">
        <v>134</v>
      </c>
      <c r="K219" s="258">
        <v>43200.0</v>
      </c>
      <c r="L219" s="258">
        <v>43200.0</v>
      </c>
      <c r="M219" s="388"/>
      <c r="N219" s="333" t="s">
        <v>3840</v>
      </c>
      <c r="O219" s="310" t="s">
        <v>4252</v>
      </c>
      <c r="P219" s="598"/>
      <c r="Q219" s="637">
        <v>882.0</v>
      </c>
      <c r="R219" s="388" t="s">
        <v>3842</v>
      </c>
      <c r="S219" s="768">
        <v>43251.0</v>
      </c>
      <c r="T219" s="769">
        <v>43199.0</v>
      </c>
      <c r="U219" s="765" t="s">
        <v>4253</v>
      </c>
      <c r="V219" s="765">
        <v>882.0</v>
      </c>
      <c r="W219" s="771">
        <v>43251.0</v>
      </c>
      <c r="X219" s="252" t="s">
        <v>4176</v>
      </c>
      <c r="Y219" s="765">
        <v>4.796967571E9</v>
      </c>
      <c r="Z219" s="765"/>
      <c r="AA219" s="765"/>
      <c r="AB219" s="765"/>
      <c r="AC219" s="266" t="s">
        <v>284</v>
      </c>
    </row>
    <row r="220" ht="15.75" hidden="1" customHeight="1">
      <c r="A220" s="764">
        <v>43192.0</v>
      </c>
      <c r="B220" s="265" t="s">
        <v>229</v>
      </c>
      <c r="C220" s="765"/>
      <c r="D220" s="252" t="s">
        <v>4254</v>
      </c>
      <c r="E220" s="602" t="s">
        <v>4255</v>
      </c>
      <c r="F220" s="253">
        <v>45.0</v>
      </c>
      <c r="G220" s="325">
        <v>407.4</v>
      </c>
      <c r="H220" s="255">
        <f t="shared" si="11"/>
        <v>18333</v>
      </c>
      <c r="I220" s="256" t="s">
        <v>171</v>
      </c>
      <c r="J220" s="269" t="s">
        <v>90</v>
      </c>
      <c r="K220" s="258">
        <v>43209.0</v>
      </c>
      <c r="L220" s="258">
        <v>43209.0</v>
      </c>
      <c r="M220" s="388"/>
      <c r="N220" s="333" t="s">
        <v>90</v>
      </c>
      <c r="O220" s="310" t="s">
        <v>4256</v>
      </c>
      <c r="P220" s="268">
        <v>16773.75</v>
      </c>
      <c r="Q220" s="330"/>
      <c r="R220" s="340" t="s">
        <v>94</v>
      </c>
      <c r="S220" s="768">
        <v>43251.0</v>
      </c>
      <c r="T220" s="769">
        <v>43209.0</v>
      </c>
      <c r="U220" s="765" t="s">
        <v>4257</v>
      </c>
      <c r="V220" s="770">
        <v>487948.0</v>
      </c>
      <c r="W220" s="771">
        <v>43251.0</v>
      </c>
      <c r="X220" s="765" t="s">
        <v>4258</v>
      </c>
      <c r="Y220" s="765"/>
      <c r="Z220" s="765" t="s">
        <v>4259</v>
      </c>
      <c r="AA220" s="774">
        <v>537890.0</v>
      </c>
      <c r="AB220" s="765" t="s">
        <v>4260</v>
      </c>
      <c r="AC220" s="253" t="s">
        <v>377</v>
      </c>
    </row>
    <row r="221" ht="15.75" hidden="1" customHeight="1">
      <c r="A221" s="764">
        <v>43199.0</v>
      </c>
      <c r="B221" s="597" t="s">
        <v>406</v>
      </c>
      <c r="C221" s="765">
        <v>7.000137224E9</v>
      </c>
      <c r="D221" s="252" t="s">
        <v>4261</v>
      </c>
      <c r="E221" s="602" t="s">
        <v>4262</v>
      </c>
      <c r="F221" s="253">
        <v>2.0</v>
      </c>
      <c r="G221" s="325">
        <v>130.5</v>
      </c>
      <c r="H221" s="255">
        <f t="shared" si="11"/>
        <v>261</v>
      </c>
      <c r="I221" s="256" t="s">
        <v>43</v>
      </c>
      <c r="J221" s="403" t="s">
        <v>134</v>
      </c>
      <c r="K221" s="258">
        <v>43207.0</v>
      </c>
      <c r="L221" s="258">
        <v>43206.0</v>
      </c>
      <c r="M221" s="388"/>
      <c r="N221" s="333" t="s">
        <v>3593</v>
      </c>
      <c r="O221" s="310" t="s">
        <v>4263</v>
      </c>
      <c r="P221" s="598"/>
      <c r="Q221" s="637">
        <v>7470.0</v>
      </c>
      <c r="R221" s="310" t="s">
        <v>2080</v>
      </c>
      <c r="S221" s="768">
        <v>43281.0</v>
      </c>
      <c r="T221" s="769">
        <v>43209.0</v>
      </c>
      <c r="U221" s="765" t="s">
        <v>4264</v>
      </c>
      <c r="V221" s="770">
        <v>12111.0</v>
      </c>
      <c r="W221" s="771">
        <v>43259.0</v>
      </c>
      <c r="X221" s="765" t="s">
        <v>4138</v>
      </c>
      <c r="Y221" s="765">
        <v>5.722401683E9</v>
      </c>
      <c r="Z221" s="765"/>
      <c r="AA221" s="765"/>
      <c r="AB221" s="765"/>
      <c r="AC221" s="253" t="s">
        <v>284</v>
      </c>
    </row>
    <row r="222" ht="15.75" hidden="1" customHeight="1">
      <c r="A222" s="764">
        <v>43199.0</v>
      </c>
      <c r="B222" s="597" t="s">
        <v>406</v>
      </c>
      <c r="C222" s="765">
        <v>7.000137224E9</v>
      </c>
      <c r="D222" s="252" t="s">
        <v>4261</v>
      </c>
      <c r="E222" s="602" t="s">
        <v>4265</v>
      </c>
      <c r="F222" s="253">
        <v>1.0</v>
      </c>
      <c r="G222" s="325">
        <v>167.0</v>
      </c>
      <c r="H222" s="255">
        <f t="shared" si="11"/>
        <v>167</v>
      </c>
      <c r="I222" s="256" t="s">
        <v>43</v>
      </c>
      <c r="J222" s="403" t="s">
        <v>134</v>
      </c>
      <c r="K222" s="258">
        <v>43207.0</v>
      </c>
      <c r="L222" s="258">
        <v>43206.0</v>
      </c>
      <c r="M222" s="388"/>
      <c r="N222" s="333" t="s">
        <v>3593</v>
      </c>
      <c r="O222" s="310" t="s">
        <v>4263</v>
      </c>
      <c r="P222" s="598"/>
      <c r="Q222" s="637">
        <v>4641.0</v>
      </c>
      <c r="R222" s="310" t="s">
        <v>2080</v>
      </c>
      <c r="S222" s="768">
        <v>43281.0</v>
      </c>
      <c r="T222" s="769">
        <v>43209.0</v>
      </c>
      <c r="U222" s="765" t="s">
        <v>4264</v>
      </c>
      <c r="V222" s="765" t="s">
        <v>4266</v>
      </c>
      <c r="W222" s="771">
        <v>43259.0</v>
      </c>
      <c r="X222" s="765" t="s">
        <v>4138</v>
      </c>
      <c r="Y222" s="765">
        <v>5.722401683E9</v>
      </c>
      <c r="Z222" s="765"/>
      <c r="AA222" s="765"/>
      <c r="AB222" s="765"/>
      <c r="AC222" s="253" t="s">
        <v>284</v>
      </c>
    </row>
    <row r="223" ht="15.75" hidden="1" customHeight="1">
      <c r="A223" s="764">
        <v>43199.0</v>
      </c>
      <c r="B223" s="597" t="s">
        <v>631</v>
      </c>
      <c r="C223" s="765" t="s">
        <v>4267</v>
      </c>
      <c r="D223" s="252" t="s">
        <v>4268</v>
      </c>
      <c r="E223" s="340" t="s">
        <v>4269</v>
      </c>
      <c r="F223" s="253">
        <v>3.0</v>
      </c>
      <c r="G223" s="325">
        <v>173.25</v>
      </c>
      <c r="H223" s="255">
        <f t="shared" si="11"/>
        <v>519.75</v>
      </c>
      <c r="I223" s="256" t="s">
        <v>171</v>
      </c>
      <c r="J223" s="333" t="s">
        <v>628</v>
      </c>
      <c r="K223" s="258">
        <v>43202.0</v>
      </c>
      <c r="L223" s="258">
        <v>43200.0</v>
      </c>
      <c r="M223" s="388"/>
      <c r="N223" s="333" t="s">
        <v>2263</v>
      </c>
      <c r="O223" s="310" t="s">
        <v>4270</v>
      </c>
      <c r="P223" s="598"/>
      <c r="Q223" s="579">
        <v>15278.0</v>
      </c>
      <c r="R223" s="310" t="s">
        <v>2265</v>
      </c>
      <c r="S223" s="768">
        <v>43201.0</v>
      </c>
      <c r="T223" s="769">
        <v>43200.0</v>
      </c>
      <c r="U223" s="765" t="s">
        <v>4271</v>
      </c>
      <c r="V223" s="770">
        <v>15278.0</v>
      </c>
      <c r="W223" s="769">
        <v>43215.0</v>
      </c>
      <c r="X223" s="765" t="s">
        <v>4272</v>
      </c>
      <c r="Y223" s="765" t="s">
        <v>4273</v>
      </c>
      <c r="Z223" s="602" t="s">
        <v>4274</v>
      </c>
      <c r="AA223" s="774">
        <v>15192.0</v>
      </c>
      <c r="AB223" s="765" t="s">
        <v>4275</v>
      </c>
      <c r="AC223" s="253" t="s">
        <v>377</v>
      </c>
    </row>
    <row r="224" ht="15.75" hidden="1" customHeight="1">
      <c r="A224" s="764">
        <v>43200.0</v>
      </c>
      <c r="B224" s="265" t="s">
        <v>621</v>
      </c>
      <c r="C224" s="765"/>
      <c r="D224" s="252" t="s">
        <v>4276</v>
      </c>
      <c r="E224" s="340" t="s">
        <v>4277</v>
      </c>
      <c r="F224" s="253">
        <v>4.0</v>
      </c>
      <c r="G224" s="325">
        <f>183*1.05</f>
        <v>192.15</v>
      </c>
      <c r="H224" s="255">
        <f t="shared" si="11"/>
        <v>768.6</v>
      </c>
      <c r="I224" s="256" t="s">
        <v>3474</v>
      </c>
      <c r="J224" s="333" t="s">
        <v>233</v>
      </c>
      <c r="K224" s="258">
        <v>43206.0</v>
      </c>
      <c r="L224" s="258">
        <v>43206.0</v>
      </c>
      <c r="M224" s="388"/>
      <c r="N224" s="333" t="s">
        <v>90</v>
      </c>
      <c r="O224" s="310" t="s">
        <v>4278</v>
      </c>
      <c r="P224" s="268">
        <v>714.0</v>
      </c>
      <c r="Q224" s="330"/>
      <c r="R224" s="340" t="s">
        <v>94</v>
      </c>
      <c r="S224" s="768">
        <v>43251.0</v>
      </c>
      <c r="T224" s="769">
        <v>43206.0</v>
      </c>
      <c r="U224" s="765" t="s">
        <v>4279</v>
      </c>
      <c r="V224" s="770">
        <v>20770.0</v>
      </c>
      <c r="W224" s="771">
        <v>43251.0</v>
      </c>
      <c r="X224" s="765" t="s">
        <v>4280</v>
      </c>
      <c r="Y224" s="765"/>
      <c r="Z224" s="765" t="s">
        <v>4281</v>
      </c>
      <c r="AA224" s="772">
        <v>22428.0</v>
      </c>
      <c r="AB224" s="765" t="s">
        <v>4282</v>
      </c>
      <c r="AC224" s="253" t="s">
        <v>377</v>
      </c>
    </row>
    <row r="225" ht="15.75" hidden="1" customHeight="1">
      <c r="A225" s="764">
        <v>43200.0</v>
      </c>
      <c r="B225" s="265" t="s">
        <v>101</v>
      </c>
      <c r="C225" s="765" t="s">
        <v>4283</v>
      </c>
      <c r="D225" s="252" t="s">
        <v>4284</v>
      </c>
      <c r="E225" s="602" t="s">
        <v>4285</v>
      </c>
      <c r="F225" s="253">
        <v>2.0</v>
      </c>
      <c r="G225" s="325">
        <v>483.0</v>
      </c>
      <c r="H225" s="255">
        <f t="shared" si="11"/>
        <v>966</v>
      </c>
      <c r="I225" s="256" t="s">
        <v>3474</v>
      </c>
      <c r="J225" s="333" t="s">
        <v>3739</v>
      </c>
      <c r="K225" s="258">
        <v>43209.0</v>
      </c>
      <c r="L225" s="258">
        <v>43209.0</v>
      </c>
      <c r="M225" s="388"/>
      <c r="N225" s="403" t="s">
        <v>2028</v>
      </c>
      <c r="O225" s="310" t="s">
        <v>4286</v>
      </c>
      <c r="P225" s="598"/>
      <c r="Q225" s="579">
        <v>26048.0</v>
      </c>
      <c r="R225" s="578" t="s">
        <v>2030</v>
      </c>
      <c r="S225" s="768">
        <v>43256.0</v>
      </c>
      <c r="T225" s="769">
        <v>43210.0</v>
      </c>
      <c r="U225" s="765" t="s">
        <v>4287</v>
      </c>
      <c r="V225" s="770">
        <v>26048.0</v>
      </c>
      <c r="W225" s="769">
        <v>43256.0</v>
      </c>
      <c r="X225" s="765" t="s">
        <v>4202</v>
      </c>
      <c r="Y225" s="765">
        <v>3.76350177E9</v>
      </c>
      <c r="Z225" s="765"/>
      <c r="AA225" s="765"/>
      <c r="AB225" s="765"/>
      <c r="AC225" s="253" t="s">
        <v>284</v>
      </c>
    </row>
    <row r="226" ht="15.75" hidden="1" customHeight="1">
      <c r="A226" s="764">
        <v>43201.0</v>
      </c>
      <c r="B226" s="265" t="s">
        <v>119</v>
      </c>
      <c r="C226" s="765" t="s">
        <v>4288</v>
      </c>
      <c r="D226" s="252" t="s">
        <v>4289</v>
      </c>
      <c r="E226" s="815" t="s">
        <v>4290</v>
      </c>
      <c r="F226" s="253">
        <v>6.0</v>
      </c>
      <c r="G226" s="254">
        <v>500.0</v>
      </c>
      <c r="H226" s="255">
        <f t="shared" si="11"/>
        <v>3000</v>
      </c>
      <c r="I226" s="256" t="s">
        <v>3992</v>
      </c>
      <c r="J226" s="428" t="s">
        <v>4068</v>
      </c>
      <c r="K226" s="258">
        <v>43223.0</v>
      </c>
      <c r="L226" s="258">
        <v>43214.0</v>
      </c>
      <c r="M226" s="388"/>
      <c r="N226" s="333" t="s">
        <v>90</v>
      </c>
      <c r="O226" s="310" t="s">
        <v>4291</v>
      </c>
      <c r="P226" s="268">
        <v>2677.5</v>
      </c>
      <c r="Q226" s="330"/>
      <c r="R226" s="340" t="s">
        <v>94</v>
      </c>
      <c r="S226" s="768">
        <v>43251.0</v>
      </c>
      <c r="T226" s="769">
        <v>43214.0</v>
      </c>
      <c r="U226" s="765" t="s">
        <v>4292</v>
      </c>
      <c r="V226" s="770">
        <v>149519.0</v>
      </c>
      <c r="W226" s="771">
        <v>43251.0</v>
      </c>
      <c r="X226" s="252" t="s">
        <v>4071</v>
      </c>
      <c r="Y226" s="765" t="s">
        <v>4072</v>
      </c>
      <c r="Z226" s="765"/>
      <c r="AA226" s="765"/>
      <c r="AB226" s="765"/>
      <c r="AC226" s="253" t="s">
        <v>284</v>
      </c>
    </row>
    <row r="227" ht="15.75" hidden="1" customHeight="1">
      <c r="A227" s="764">
        <v>43201.0</v>
      </c>
      <c r="B227" s="265" t="s">
        <v>119</v>
      </c>
      <c r="C227" s="765" t="s">
        <v>4288</v>
      </c>
      <c r="D227" s="252" t="s">
        <v>4289</v>
      </c>
      <c r="E227" s="330" t="s">
        <v>4293</v>
      </c>
      <c r="F227" s="253">
        <v>12.0</v>
      </c>
      <c r="G227" s="254">
        <v>930.0</v>
      </c>
      <c r="H227" s="255">
        <f t="shared" si="11"/>
        <v>11160</v>
      </c>
      <c r="I227" s="256" t="s">
        <v>3992</v>
      </c>
      <c r="J227" s="428" t="s">
        <v>4068</v>
      </c>
      <c r="K227" s="258">
        <v>43223.0</v>
      </c>
      <c r="L227" s="258">
        <v>43214.0</v>
      </c>
      <c r="M227" s="388"/>
      <c r="N227" s="333" t="s">
        <v>90</v>
      </c>
      <c r="O227" s="310" t="s">
        <v>4294</v>
      </c>
      <c r="P227" s="268">
        <v>10313.1</v>
      </c>
      <c r="Q227" s="330"/>
      <c r="R227" s="340" t="s">
        <v>94</v>
      </c>
      <c r="S227" s="768">
        <v>43251.0</v>
      </c>
      <c r="T227" s="769">
        <v>43214.0</v>
      </c>
      <c r="U227" s="765" t="s">
        <v>4295</v>
      </c>
      <c r="V227" s="770">
        <v>301555.0</v>
      </c>
      <c r="W227" s="771">
        <v>43251.0</v>
      </c>
      <c r="X227" s="252" t="s">
        <v>4071</v>
      </c>
      <c r="Y227" s="765" t="s">
        <v>4072</v>
      </c>
      <c r="Z227" s="765"/>
      <c r="AA227" s="765"/>
      <c r="AB227" s="765"/>
      <c r="AC227" s="253" t="s">
        <v>284</v>
      </c>
    </row>
    <row r="228" ht="15.75" hidden="1" customHeight="1">
      <c r="A228" s="764">
        <v>43201.0</v>
      </c>
      <c r="B228" s="265" t="s">
        <v>119</v>
      </c>
      <c r="C228" s="765" t="s">
        <v>4288</v>
      </c>
      <c r="D228" s="252" t="s">
        <v>4289</v>
      </c>
      <c r="E228" s="602" t="s">
        <v>4296</v>
      </c>
      <c r="F228" s="253">
        <v>8.0</v>
      </c>
      <c r="G228" s="254">
        <v>335.0</v>
      </c>
      <c r="H228" s="255">
        <f t="shared" si="11"/>
        <v>2680</v>
      </c>
      <c r="I228" s="256" t="s">
        <v>3992</v>
      </c>
      <c r="J228" s="428" t="s">
        <v>4068</v>
      </c>
      <c r="K228" s="258">
        <v>43223.0</v>
      </c>
      <c r="L228" s="258">
        <v>43214.0</v>
      </c>
      <c r="M228" s="388"/>
      <c r="N228" s="333" t="s">
        <v>90</v>
      </c>
      <c r="O228" s="310" t="s">
        <v>4291</v>
      </c>
      <c r="P228" s="268">
        <v>2436.0</v>
      </c>
      <c r="Q228" s="330"/>
      <c r="R228" s="340" t="s">
        <v>94</v>
      </c>
      <c r="S228" s="768">
        <v>43251.0</v>
      </c>
      <c r="T228" s="769">
        <v>43214.0</v>
      </c>
      <c r="U228" s="765" t="s">
        <v>4292</v>
      </c>
      <c r="V228" s="765" t="s">
        <v>4297</v>
      </c>
      <c r="W228" s="771">
        <v>43251.0</v>
      </c>
      <c r="X228" s="252" t="s">
        <v>4071</v>
      </c>
      <c r="Y228" s="765" t="s">
        <v>4072</v>
      </c>
      <c r="Z228" s="765"/>
      <c r="AA228" s="765"/>
      <c r="AB228" s="765"/>
      <c r="AC228" s="253" t="s">
        <v>284</v>
      </c>
    </row>
    <row r="229" ht="15.75" hidden="1" customHeight="1">
      <c r="A229" s="764">
        <v>43201.0</v>
      </c>
      <c r="B229" s="265" t="s">
        <v>119</v>
      </c>
      <c r="C229" s="765" t="s">
        <v>4288</v>
      </c>
      <c r="D229" s="252" t="s">
        <v>4298</v>
      </c>
      <c r="E229" s="602" t="s">
        <v>4299</v>
      </c>
      <c r="F229" s="253">
        <v>4.0</v>
      </c>
      <c r="G229" s="254">
        <v>1045.0</v>
      </c>
      <c r="H229" s="255">
        <f t="shared" si="11"/>
        <v>4180</v>
      </c>
      <c r="I229" s="256" t="s">
        <v>3992</v>
      </c>
      <c r="J229" s="428" t="s">
        <v>4068</v>
      </c>
      <c r="K229" s="258">
        <v>43238.0</v>
      </c>
      <c r="L229" s="258">
        <v>43231.0</v>
      </c>
      <c r="M229" s="388"/>
      <c r="N229" s="333" t="s">
        <v>90</v>
      </c>
      <c r="O229" s="310" t="s">
        <v>4300</v>
      </c>
      <c r="P229" s="268">
        <v>3864.0</v>
      </c>
      <c r="Q229" s="330"/>
      <c r="R229" s="340" t="s">
        <v>94</v>
      </c>
      <c r="S229" s="768">
        <v>43281.0</v>
      </c>
      <c r="T229" s="769">
        <v>43231.0</v>
      </c>
      <c r="U229" s="765" t="s">
        <v>4301</v>
      </c>
      <c r="V229" s="770">
        <v>114587.0</v>
      </c>
      <c r="W229" s="769">
        <v>43284.0</v>
      </c>
      <c r="X229" s="252" t="s">
        <v>4302</v>
      </c>
      <c r="Y229" s="765" t="s">
        <v>4303</v>
      </c>
      <c r="Z229" s="765"/>
      <c r="AA229" s="765"/>
      <c r="AB229" s="765"/>
      <c r="AC229" s="253" t="s">
        <v>284</v>
      </c>
    </row>
    <row r="230" ht="15.75" hidden="1" customHeight="1">
      <c r="A230" s="764">
        <v>43201.0</v>
      </c>
      <c r="B230" s="265" t="s">
        <v>130</v>
      </c>
      <c r="C230" s="765" t="s">
        <v>4304</v>
      </c>
      <c r="D230" s="252" t="s">
        <v>4305</v>
      </c>
      <c r="E230" s="602" t="s">
        <v>4306</v>
      </c>
      <c r="F230" s="253">
        <v>10.0</v>
      </c>
      <c r="G230" s="254">
        <v>85.0</v>
      </c>
      <c r="H230" s="255">
        <f t="shared" si="11"/>
        <v>850</v>
      </c>
      <c r="I230" s="256" t="s">
        <v>420</v>
      </c>
      <c r="J230" s="403" t="s">
        <v>3520</v>
      </c>
      <c r="K230" s="258">
        <v>43216.0</v>
      </c>
      <c r="L230" s="258">
        <v>43215.0</v>
      </c>
      <c r="M230" s="388"/>
      <c r="N230" s="333" t="s">
        <v>90</v>
      </c>
      <c r="O230" s="310" t="s">
        <v>4307</v>
      </c>
      <c r="P230" s="268">
        <v>777.0</v>
      </c>
      <c r="Q230" s="330"/>
      <c r="R230" s="340" t="s">
        <v>94</v>
      </c>
      <c r="S230" s="768">
        <v>43251.0</v>
      </c>
      <c r="T230" s="769">
        <v>43215.0</v>
      </c>
      <c r="U230" s="765" t="s">
        <v>4308</v>
      </c>
      <c r="V230" s="770">
        <v>59562.0</v>
      </c>
      <c r="W230" s="771">
        <v>43251.0</v>
      </c>
      <c r="X230" s="252" t="s">
        <v>4248</v>
      </c>
      <c r="Y230" s="765">
        <v>6.653234486E9</v>
      </c>
      <c r="Z230" s="765"/>
      <c r="AA230" s="765"/>
      <c r="AB230" s="765"/>
      <c r="AC230" s="253" t="s">
        <v>284</v>
      </c>
    </row>
    <row r="231" ht="15.75" hidden="1" customHeight="1">
      <c r="A231" s="764">
        <v>43201.0</v>
      </c>
      <c r="B231" s="265" t="s">
        <v>130</v>
      </c>
      <c r="C231" s="765" t="s">
        <v>4304</v>
      </c>
      <c r="D231" s="252" t="s">
        <v>4305</v>
      </c>
      <c r="E231" s="602" t="s">
        <v>3954</v>
      </c>
      <c r="F231" s="253">
        <v>20.0</v>
      </c>
      <c r="G231" s="254">
        <v>66.0</v>
      </c>
      <c r="H231" s="255">
        <f t="shared" si="11"/>
        <v>1320</v>
      </c>
      <c r="I231" s="256" t="s">
        <v>420</v>
      </c>
      <c r="J231" s="403" t="s">
        <v>3520</v>
      </c>
      <c r="K231" s="258">
        <v>43216.0</v>
      </c>
      <c r="L231" s="258">
        <v>43215.0</v>
      </c>
      <c r="M231" s="388"/>
      <c r="N231" s="333" t="s">
        <v>90</v>
      </c>
      <c r="O231" s="310" t="s">
        <v>4307</v>
      </c>
      <c r="P231" s="268">
        <v>1260.0</v>
      </c>
      <c r="Q231" s="330"/>
      <c r="R231" s="340" t="s">
        <v>94</v>
      </c>
      <c r="S231" s="768">
        <v>43251.0</v>
      </c>
      <c r="T231" s="769">
        <v>43215.0</v>
      </c>
      <c r="U231" s="765" t="s">
        <v>4308</v>
      </c>
      <c r="V231" s="765" t="s">
        <v>4309</v>
      </c>
      <c r="W231" s="771">
        <v>43251.0</v>
      </c>
      <c r="X231" s="252" t="s">
        <v>4248</v>
      </c>
      <c r="Y231" s="765">
        <v>6.653234486E9</v>
      </c>
      <c r="Z231" s="765"/>
      <c r="AA231" s="765"/>
      <c r="AB231" s="765"/>
      <c r="AC231" s="253" t="s">
        <v>284</v>
      </c>
    </row>
    <row r="232" ht="15.75" hidden="1" customHeight="1">
      <c r="A232" s="764">
        <v>43201.0</v>
      </c>
      <c r="B232" s="265" t="s">
        <v>130</v>
      </c>
      <c r="C232" s="765" t="s">
        <v>4304</v>
      </c>
      <c r="D232" s="252" t="s">
        <v>4305</v>
      </c>
      <c r="E232" s="602" t="s">
        <v>4141</v>
      </c>
      <c r="F232" s="253">
        <v>10.0</v>
      </c>
      <c r="G232" s="254">
        <v>58.0</v>
      </c>
      <c r="H232" s="255">
        <f t="shared" si="11"/>
        <v>580</v>
      </c>
      <c r="I232" s="256" t="s">
        <v>420</v>
      </c>
      <c r="J232" s="403" t="s">
        <v>3520</v>
      </c>
      <c r="K232" s="258">
        <v>43216.0</v>
      </c>
      <c r="L232" s="258">
        <v>43215.0</v>
      </c>
      <c r="M232" s="388"/>
      <c r="N232" s="333" t="s">
        <v>90</v>
      </c>
      <c r="O232" s="310" t="s">
        <v>4310</v>
      </c>
      <c r="P232" s="268">
        <v>546.0</v>
      </c>
      <c r="Q232" s="816"/>
      <c r="R232" s="340" t="s">
        <v>94</v>
      </c>
      <c r="S232" s="768">
        <v>43251.0</v>
      </c>
      <c r="T232" s="769">
        <v>43215.0</v>
      </c>
      <c r="U232" s="765" t="s">
        <v>4311</v>
      </c>
      <c r="V232" s="770">
        <v>15965.0</v>
      </c>
      <c r="W232" s="771">
        <v>43251.0</v>
      </c>
      <c r="X232" s="252" t="s">
        <v>4248</v>
      </c>
      <c r="Y232" s="765">
        <v>6.653234486E9</v>
      </c>
      <c r="Z232" s="765"/>
      <c r="AA232" s="765"/>
      <c r="AB232" s="765"/>
      <c r="AC232" s="253" t="s">
        <v>284</v>
      </c>
    </row>
    <row r="233" ht="15.75" hidden="1" customHeight="1">
      <c r="A233" s="764">
        <v>43202.0</v>
      </c>
      <c r="B233" s="597" t="s">
        <v>406</v>
      </c>
      <c r="C233" s="765">
        <v>7.000137364E9</v>
      </c>
      <c r="D233" s="252" t="s">
        <v>4312</v>
      </c>
      <c r="E233" s="602" t="s">
        <v>4313</v>
      </c>
      <c r="F233" s="253">
        <v>1.0</v>
      </c>
      <c r="G233" s="254">
        <v>66.0</v>
      </c>
      <c r="H233" s="255">
        <f t="shared" si="11"/>
        <v>66</v>
      </c>
      <c r="I233" s="256" t="s">
        <v>43</v>
      </c>
      <c r="J233" s="403" t="s">
        <v>520</v>
      </c>
      <c r="K233" s="258">
        <v>43223.0</v>
      </c>
      <c r="L233" s="258">
        <v>43217.0</v>
      </c>
      <c r="M233" s="388"/>
      <c r="N233" s="333" t="s">
        <v>3593</v>
      </c>
      <c r="O233" s="310" t="s">
        <v>4314</v>
      </c>
      <c r="P233" s="598"/>
      <c r="Q233" s="637">
        <v>1819.0</v>
      </c>
      <c r="R233" s="310" t="s">
        <v>2080</v>
      </c>
      <c r="S233" s="768">
        <v>43312.0</v>
      </c>
      <c r="T233" s="769">
        <v>43216.0</v>
      </c>
      <c r="U233" s="765" t="s">
        <v>4315</v>
      </c>
      <c r="V233" s="774">
        <v>5485.0</v>
      </c>
      <c r="W233" s="769">
        <v>43280.0</v>
      </c>
      <c r="X233" s="252" t="s">
        <v>4091</v>
      </c>
      <c r="Y233" s="765" t="s">
        <v>4092</v>
      </c>
      <c r="Z233" s="765"/>
      <c r="AA233" s="765"/>
      <c r="AB233" s="765"/>
      <c r="AC233" s="253" t="s">
        <v>284</v>
      </c>
    </row>
    <row r="234" ht="15.75" hidden="1" customHeight="1">
      <c r="A234" s="764">
        <v>43202.0</v>
      </c>
      <c r="B234" s="597" t="s">
        <v>406</v>
      </c>
      <c r="C234" s="765">
        <v>7.000137364E9</v>
      </c>
      <c r="D234" s="252" t="s">
        <v>4312</v>
      </c>
      <c r="E234" s="602" t="s">
        <v>4316</v>
      </c>
      <c r="F234" s="253">
        <v>1.0</v>
      </c>
      <c r="G234" s="254">
        <v>132.0</v>
      </c>
      <c r="H234" s="255">
        <f t="shared" si="11"/>
        <v>132</v>
      </c>
      <c r="I234" s="256" t="s">
        <v>43</v>
      </c>
      <c r="J234" s="403" t="s">
        <v>520</v>
      </c>
      <c r="K234" s="258">
        <v>43223.0</v>
      </c>
      <c r="L234" s="258">
        <v>43217.0</v>
      </c>
      <c r="M234" s="388"/>
      <c r="N234" s="333" t="s">
        <v>3593</v>
      </c>
      <c r="O234" s="310" t="s">
        <v>4314</v>
      </c>
      <c r="P234" s="598"/>
      <c r="Q234" s="637">
        <v>3666.0</v>
      </c>
      <c r="R234" s="310" t="s">
        <v>2080</v>
      </c>
      <c r="S234" s="768">
        <v>43312.0</v>
      </c>
      <c r="T234" s="769">
        <v>43216.0</v>
      </c>
      <c r="U234" s="765" t="s">
        <v>4315</v>
      </c>
      <c r="V234" s="252" t="s">
        <v>4317</v>
      </c>
      <c r="W234" s="769">
        <v>43280.0</v>
      </c>
      <c r="X234" s="252" t="s">
        <v>4091</v>
      </c>
      <c r="Y234" s="765" t="s">
        <v>4092</v>
      </c>
      <c r="Z234" s="765"/>
      <c r="AA234" s="765"/>
      <c r="AB234" s="765"/>
      <c r="AC234" s="253" t="s">
        <v>284</v>
      </c>
    </row>
    <row r="235" ht="15.75" customHeight="1">
      <c r="A235" s="764">
        <v>43206.0</v>
      </c>
      <c r="B235" s="144" t="s">
        <v>77</v>
      </c>
      <c r="C235" s="765">
        <v>295.0</v>
      </c>
      <c r="D235" s="252" t="s">
        <v>4318</v>
      </c>
      <c r="E235" s="602" t="s">
        <v>650</v>
      </c>
      <c r="F235" s="253">
        <v>3.0</v>
      </c>
      <c r="G235" s="254">
        <v>2.0</v>
      </c>
      <c r="H235" s="255">
        <f t="shared" si="11"/>
        <v>6</v>
      </c>
      <c r="I235" s="256" t="s">
        <v>43</v>
      </c>
      <c r="J235" s="369" t="s">
        <v>316</v>
      </c>
      <c r="K235" s="258">
        <v>43234.0</v>
      </c>
      <c r="L235" s="258">
        <v>43228.0</v>
      </c>
      <c r="M235" s="388"/>
      <c r="N235" s="253" t="s">
        <v>2039</v>
      </c>
      <c r="O235" s="252" t="s">
        <v>4319</v>
      </c>
      <c r="P235" s="268"/>
      <c r="Q235" s="581" t="s">
        <v>4320</v>
      </c>
      <c r="R235" s="330" t="s">
        <v>2194</v>
      </c>
      <c r="S235" s="330"/>
      <c r="T235" s="766"/>
      <c r="U235" s="766"/>
      <c r="V235" s="766"/>
      <c r="W235" s="767"/>
      <c r="X235" s="252" t="s">
        <v>4321</v>
      </c>
      <c r="Y235" s="765">
        <v>1.03167971E8</v>
      </c>
      <c r="Z235" s="765"/>
      <c r="AA235" s="765"/>
      <c r="AB235" s="765"/>
      <c r="AC235" s="253" t="s">
        <v>284</v>
      </c>
    </row>
    <row r="236" ht="15.75" customHeight="1">
      <c r="A236" s="764">
        <v>43206.0</v>
      </c>
      <c r="B236" s="144" t="s">
        <v>77</v>
      </c>
      <c r="C236" s="765">
        <v>295.0</v>
      </c>
      <c r="D236" s="252" t="s">
        <v>4318</v>
      </c>
      <c r="E236" s="602" t="s">
        <v>651</v>
      </c>
      <c r="F236" s="253">
        <v>3.0</v>
      </c>
      <c r="G236" s="254">
        <v>6.0</v>
      </c>
      <c r="H236" s="255">
        <f t="shared" si="11"/>
        <v>18</v>
      </c>
      <c r="I236" s="256" t="s">
        <v>43</v>
      </c>
      <c r="J236" s="369" t="s">
        <v>316</v>
      </c>
      <c r="K236" s="258">
        <v>43234.0</v>
      </c>
      <c r="L236" s="258">
        <v>43228.0</v>
      </c>
      <c r="M236" s="388"/>
      <c r="N236" s="253" t="s">
        <v>2039</v>
      </c>
      <c r="O236" s="252" t="s">
        <v>4319</v>
      </c>
      <c r="P236" s="268"/>
      <c r="Q236" s="581" t="s">
        <v>4320</v>
      </c>
      <c r="R236" s="330" t="s">
        <v>2194</v>
      </c>
      <c r="S236" s="330"/>
      <c r="T236" s="766"/>
      <c r="U236" s="766"/>
      <c r="V236" s="766"/>
      <c r="W236" s="767"/>
      <c r="X236" s="252" t="s">
        <v>4321</v>
      </c>
      <c r="Y236" s="765">
        <v>1.03167971E8</v>
      </c>
      <c r="Z236" s="765"/>
      <c r="AA236" s="765"/>
      <c r="AB236" s="765"/>
      <c r="AC236" s="253" t="s">
        <v>284</v>
      </c>
    </row>
    <row r="237" ht="15.75" customHeight="1">
      <c r="A237" s="764">
        <v>43206.0</v>
      </c>
      <c r="B237" s="144" t="s">
        <v>77</v>
      </c>
      <c r="C237" s="765">
        <v>295.0</v>
      </c>
      <c r="D237" s="252" t="s">
        <v>4318</v>
      </c>
      <c r="E237" s="602" t="s">
        <v>644</v>
      </c>
      <c r="F237" s="253">
        <v>3.0</v>
      </c>
      <c r="G237" s="254">
        <v>200.0</v>
      </c>
      <c r="H237" s="255">
        <f t="shared" si="11"/>
        <v>600</v>
      </c>
      <c r="I237" s="256" t="s">
        <v>43</v>
      </c>
      <c r="J237" s="369" t="s">
        <v>316</v>
      </c>
      <c r="K237" s="258">
        <v>43234.0</v>
      </c>
      <c r="L237" s="258">
        <v>43230.0</v>
      </c>
      <c r="M237" s="388"/>
      <c r="N237" s="817" t="s">
        <v>1537</v>
      </c>
      <c r="O237" s="310" t="s">
        <v>4322</v>
      </c>
      <c r="P237" s="598"/>
      <c r="Q237" s="579">
        <v>15082.0</v>
      </c>
      <c r="R237" s="765" t="s">
        <v>2148</v>
      </c>
      <c r="S237" s="768">
        <v>43256.0</v>
      </c>
      <c r="T237" s="769">
        <v>43229.0</v>
      </c>
      <c r="U237" s="765" t="s">
        <v>4323</v>
      </c>
      <c r="V237" s="770">
        <v>15082.0</v>
      </c>
      <c r="W237" s="768">
        <v>43256.0</v>
      </c>
      <c r="X237" s="252" t="s">
        <v>4321</v>
      </c>
      <c r="Y237" s="765">
        <v>1.03167971E8</v>
      </c>
      <c r="Z237" s="765"/>
      <c r="AA237" s="765"/>
      <c r="AB237" s="765"/>
      <c r="AC237" s="253" t="s">
        <v>284</v>
      </c>
    </row>
    <row r="238" ht="15.75" customHeight="1">
      <c r="A238" s="764">
        <v>43206.0</v>
      </c>
      <c r="B238" s="144" t="s">
        <v>77</v>
      </c>
      <c r="C238" s="765">
        <v>295.0</v>
      </c>
      <c r="D238" s="252" t="s">
        <v>4318</v>
      </c>
      <c r="E238" s="252" t="s">
        <v>646</v>
      </c>
      <c r="F238" s="253">
        <v>3.0</v>
      </c>
      <c r="G238" s="254">
        <v>0.0</v>
      </c>
      <c r="H238" s="255">
        <f t="shared" si="11"/>
        <v>0</v>
      </c>
      <c r="I238" s="256" t="s">
        <v>43</v>
      </c>
      <c r="J238" s="369" t="s">
        <v>316</v>
      </c>
      <c r="K238" s="258">
        <v>43234.0</v>
      </c>
      <c r="L238" s="258">
        <v>43230.0</v>
      </c>
      <c r="M238" s="388"/>
      <c r="N238" s="266" t="s">
        <v>1537</v>
      </c>
      <c r="O238" s="310" t="s">
        <v>4322</v>
      </c>
      <c r="P238" s="598"/>
      <c r="Q238" s="310">
        <v>0.0</v>
      </c>
      <c r="R238" s="765" t="s">
        <v>2148</v>
      </c>
      <c r="S238" s="768">
        <v>43256.0</v>
      </c>
      <c r="T238" s="769">
        <v>43229.0</v>
      </c>
      <c r="U238" s="765" t="s">
        <v>4323</v>
      </c>
      <c r="V238" s="765" t="s">
        <v>4324</v>
      </c>
      <c r="W238" s="768">
        <v>43256.0</v>
      </c>
      <c r="X238" s="252" t="s">
        <v>4321</v>
      </c>
      <c r="Y238" s="765">
        <v>1.03167971E8</v>
      </c>
      <c r="Z238" s="765"/>
      <c r="AA238" s="765"/>
      <c r="AB238" s="765"/>
      <c r="AC238" s="253" t="s">
        <v>284</v>
      </c>
    </row>
    <row r="239" ht="15.75" customHeight="1">
      <c r="A239" s="764">
        <v>43206.0</v>
      </c>
      <c r="B239" s="144" t="s">
        <v>77</v>
      </c>
      <c r="C239" s="765">
        <v>295.0</v>
      </c>
      <c r="D239" s="252" t="s">
        <v>4318</v>
      </c>
      <c r="E239" s="252" t="s">
        <v>647</v>
      </c>
      <c r="F239" s="253">
        <v>3.0</v>
      </c>
      <c r="G239" s="254">
        <v>0.0</v>
      </c>
      <c r="H239" s="255">
        <f t="shared" si="11"/>
        <v>0</v>
      </c>
      <c r="I239" s="256" t="s">
        <v>43</v>
      </c>
      <c r="J239" s="369" t="s">
        <v>316</v>
      </c>
      <c r="K239" s="258">
        <v>43234.0</v>
      </c>
      <c r="L239" s="258">
        <v>43230.0</v>
      </c>
      <c r="M239" s="388"/>
      <c r="N239" s="266" t="s">
        <v>1537</v>
      </c>
      <c r="O239" s="310" t="s">
        <v>4322</v>
      </c>
      <c r="P239" s="598"/>
      <c r="Q239" s="310">
        <v>0.0</v>
      </c>
      <c r="R239" s="765" t="s">
        <v>2148</v>
      </c>
      <c r="S239" s="768">
        <v>43256.0</v>
      </c>
      <c r="T239" s="769">
        <v>43229.0</v>
      </c>
      <c r="U239" s="765" t="s">
        <v>4323</v>
      </c>
      <c r="V239" s="765" t="s">
        <v>4324</v>
      </c>
      <c r="W239" s="768">
        <v>43256.0</v>
      </c>
      <c r="X239" s="252" t="s">
        <v>4321</v>
      </c>
      <c r="Y239" s="765">
        <v>1.03167971E8</v>
      </c>
      <c r="Z239" s="765"/>
      <c r="AA239" s="765"/>
      <c r="AB239" s="765"/>
      <c r="AC239" s="253" t="s">
        <v>284</v>
      </c>
    </row>
    <row r="240" ht="15.75" customHeight="1">
      <c r="A240" s="764">
        <v>43206.0</v>
      </c>
      <c r="B240" s="144" t="s">
        <v>77</v>
      </c>
      <c r="C240" s="765">
        <v>295.0</v>
      </c>
      <c r="D240" s="252" t="s">
        <v>4318</v>
      </c>
      <c r="E240" s="252" t="s">
        <v>648</v>
      </c>
      <c r="F240" s="253">
        <v>3.0</v>
      </c>
      <c r="G240" s="254">
        <v>0.0</v>
      </c>
      <c r="H240" s="255">
        <f t="shared" si="11"/>
        <v>0</v>
      </c>
      <c r="I240" s="256" t="s">
        <v>43</v>
      </c>
      <c r="J240" s="369" t="s">
        <v>316</v>
      </c>
      <c r="K240" s="258">
        <v>43234.0</v>
      </c>
      <c r="L240" s="258">
        <v>43230.0</v>
      </c>
      <c r="M240" s="388"/>
      <c r="N240" s="266" t="s">
        <v>1537</v>
      </c>
      <c r="O240" s="310" t="s">
        <v>4322</v>
      </c>
      <c r="P240" s="598"/>
      <c r="Q240" s="310">
        <v>0.0</v>
      </c>
      <c r="R240" s="765" t="s">
        <v>2148</v>
      </c>
      <c r="S240" s="768">
        <v>43256.0</v>
      </c>
      <c r="T240" s="769">
        <v>43229.0</v>
      </c>
      <c r="U240" s="765" t="s">
        <v>4323</v>
      </c>
      <c r="V240" s="765" t="s">
        <v>4324</v>
      </c>
      <c r="W240" s="768">
        <v>43256.0</v>
      </c>
      <c r="X240" s="252" t="s">
        <v>4321</v>
      </c>
      <c r="Y240" s="765">
        <v>1.03167971E8</v>
      </c>
      <c r="Z240" s="765"/>
      <c r="AA240" s="765"/>
      <c r="AB240" s="765"/>
      <c r="AC240" s="253" t="s">
        <v>284</v>
      </c>
    </row>
    <row r="241" ht="15.75" customHeight="1">
      <c r="A241" s="764">
        <v>43206.0</v>
      </c>
      <c r="B241" s="144" t="s">
        <v>77</v>
      </c>
      <c r="C241" s="765">
        <v>295.0</v>
      </c>
      <c r="D241" s="252" t="s">
        <v>4318</v>
      </c>
      <c r="E241" s="252" t="s">
        <v>649</v>
      </c>
      <c r="F241" s="253">
        <v>3.0</v>
      </c>
      <c r="G241" s="254">
        <v>0.0</v>
      </c>
      <c r="H241" s="255">
        <f t="shared" si="11"/>
        <v>0</v>
      </c>
      <c r="I241" s="256" t="s">
        <v>43</v>
      </c>
      <c r="J241" s="369" t="s">
        <v>316</v>
      </c>
      <c r="K241" s="258">
        <v>43234.0</v>
      </c>
      <c r="L241" s="258">
        <v>43230.0</v>
      </c>
      <c r="M241" s="388"/>
      <c r="N241" s="266" t="s">
        <v>1537</v>
      </c>
      <c r="O241" s="310" t="s">
        <v>4322</v>
      </c>
      <c r="P241" s="598"/>
      <c r="Q241" s="310">
        <v>0.0</v>
      </c>
      <c r="R241" s="765" t="s">
        <v>2148</v>
      </c>
      <c r="S241" s="768">
        <v>43256.0</v>
      </c>
      <c r="T241" s="769">
        <v>43229.0</v>
      </c>
      <c r="U241" s="765" t="s">
        <v>4323</v>
      </c>
      <c r="V241" s="765" t="s">
        <v>4324</v>
      </c>
      <c r="W241" s="768">
        <v>43256.0</v>
      </c>
      <c r="X241" s="252" t="s">
        <v>4321</v>
      </c>
      <c r="Y241" s="765">
        <v>1.03167971E8</v>
      </c>
      <c r="Z241" s="765"/>
      <c r="AA241" s="765"/>
      <c r="AB241" s="765"/>
      <c r="AC241" s="253" t="s">
        <v>284</v>
      </c>
    </row>
    <row r="242" ht="15.75" customHeight="1">
      <c r="A242" s="764">
        <v>43206.0</v>
      </c>
      <c r="B242" s="144" t="s">
        <v>77</v>
      </c>
      <c r="C242" s="765">
        <v>295.0</v>
      </c>
      <c r="D242" s="252" t="s">
        <v>4318</v>
      </c>
      <c r="E242" s="252" t="s">
        <v>652</v>
      </c>
      <c r="F242" s="253">
        <v>3.0</v>
      </c>
      <c r="G242" s="254">
        <v>0.0</v>
      </c>
      <c r="H242" s="255">
        <f t="shared" si="11"/>
        <v>0</v>
      </c>
      <c r="I242" s="256" t="s">
        <v>43</v>
      </c>
      <c r="J242" s="369" t="s">
        <v>316</v>
      </c>
      <c r="K242" s="258">
        <v>43234.0</v>
      </c>
      <c r="L242" s="258">
        <v>43228.0</v>
      </c>
      <c r="M242" s="388"/>
      <c r="N242" s="253" t="s">
        <v>2039</v>
      </c>
      <c r="O242" s="252" t="s">
        <v>4319</v>
      </c>
      <c r="P242" s="268"/>
      <c r="Q242" s="579">
        <v>4200.0</v>
      </c>
      <c r="R242" s="330" t="s">
        <v>2194</v>
      </c>
      <c r="S242" s="330"/>
      <c r="T242" s="766"/>
      <c r="U242" s="766"/>
      <c r="V242" s="766"/>
      <c r="W242" s="767"/>
      <c r="X242" s="252" t="s">
        <v>4321</v>
      </c>
      <c r="Y242" s="765">
        <v>1.03167971E8</v>
      </c>
      <c r="Z242" s="765"/>
      <c r="AA242" s="765"/>
      <c r="AB242" s="765"/>
      <c r="AC242" s="253" t="s">
        <v>284</v>
      </c>
    </row>
    <row r="243" ht="35.25" hidden="1" customHeight="1">
      <c r="A243" s="764">
        <v>43207.0</v>
      </c>
      <c r="B243" s="265" t="s">
        <v>548</v>
      </c>
      <c r="C243" s="765" t="s">
        <v>4325</v>
      </c>
      <c r="D243" s="252" t="s">
        <v>4326</v>
      </c>
      <c r="E243" s="602" t="s">
        <v>4327</v>
      </c>
      <c r="F243" s="253">
        <v>1.0</v>
      </c>
      <c r="G243" s="254">
        <v>2294.0</v>
      </c>
      <c r="H243" s="255">
        <f t="shared" si="11"/>
        <v>2294</v>
      </c>
      <c r="I243" s="256" t="s">
        <v>3474</v>
      </c>
      <c r="J243" s="269" t="s">
        <v>3749</v>
      </c>
      <c r="K243" s="258">
        <v>43228.0</v>
      </c>
      <c r="L243" s="258">
        <v>43227.0</v>
      </c>
      <c r="M243" s="388"/>
      <c r="N243" s="403" t="s">
        <v>3593</v>
      </c>
      <c r="O243" s="310" t="s">
        <v>4328</v>
      </c>
      <c r="P243" s="598"/>
      <c r="Q243" s="579">
        <v>64861.0</v>
      </c>
      <c r="R243" s="310" t="s">
        <v>2080</v>
      </c>
      <c r="S243" s="768">
        <v>43312.0</v>
      </c>
      <c r="T243" s="769">
        <v>43222.0</v>
      </c>
      <c r="U243" s="765" t="s">
        <v>4329</v>
      </c>
      <c r="V243" s="774">
        <v>64861.0</v>
      </c>
      <c r="W243" s="771">
        <v>43312.0</v>
      </c>
      <c r="X243" s="252" t="s">
        <v>4330</v>
      </c>
      <c r="Y243" s="765">
        <v>3.027635844E9</v>
      </c>
      <c r="Z243" s="765"/>
      <c r="AA243" s="765"/>
      <c r="AB243" s="765"/>
      <c r="AC243" s="253" t="s">
        <v>284</v>
      </c>
    </row>
    <row r="244" ht="15.75" hidden="1" customHeight="1">
      <c r="A244" s="764">
        <v>43208.0</v>
      </c>
      <c r="B244" s="597" t="s">
        <v>406</v>
      </c>
      <c r="C244" s="765">
        <v>7.00013749E9</v>
      </c>
      <c r="D244" s="252" t="s">
        <v>4331</v>
      </c>
      <c r="E244" s="602" t="s">
        <v>4173</v>
      </c>
      <c r="F244" s="253">
        <v>10.0</v>
      </c>
      <c r="G244" s="254">
        <v>435.0</v>
      </c>
      <c r="H244" s="255">
        <f t="shared" si="11"/>
        <v>4350</v>
      </c>
      <c r="I244" s="256" t="s">
        <v>43</v>
      </c>
      <c r="J244" s="403" t="s">
        <v>520</v>
      </c>
      <c r="K244" s="258">
        <v>43223.0</v>
      </c>
      <c r="L244" s="258">
        <v>43220.0</v>
      </c>
      <c r="M244" s="388"/>
      <c r="N244" s="403" t="s">
        <v>1998</v>
      </c>
      <c r="O244" s="252" t="s">
        <v>4332</v>
      </c>
      <c r="P244" s="268">
        <v>4147.5</v>
      </c>
      <c r="Q244" s="330"/>
      <c r="R244" s="310" t="s">
        <v>2000</v>
      </c>
      <c r="S244" s="768">
        <v>43286.0</v>
      </c>
      <c r="T244" s="769">
        <v>43220.0</v>
      </c>
      <c r="U244" s="765" t="s">
        <v>4333</v>
      </c>
      <c r="V244" s="770">
        <v>122600.0</v>
      </c>
      <c r="W244" s="769">
        <v>43286.0</v>
      </c>
      <c r="X244" s="252" t="s">
        <v>4091</v>
      </c>
      <c r="Y244" s="765" t="s">
        <v>4092</v>
      </c>
      <c r="Z244" s="765"/>
      <c r="AA244" s="765"/>
      <c r="AB244" s="765"/>
      <c r="AC244" s="253" t="s">
        <v>284</v>
      </c>
    </row>
    <row r="245" ht="15.75" hidden="1" customHeight="1">
      <c r="A245" s="764">
        <v>43208.0</v>
      </c>
      <c r="B245" s="597" t="s">
        <v>406</v>
      </c>
      <c r="C245" s="765">
        <v>7.000137492E9</v>
      </c>
      <c r="D245" s="252" t="s">
        <v>4334</v>
      </c>
      <c r="E245" s="602" t="s">
        <v>4335</v>
      </c>
      <c r="F245" s="253">
        <v>4.0</v>
      </c>
      <c r="G245" s="254">
        <v>834.0</v>
      </c>
      <c r="H245" s="255">
        <f t="shared" si="11"/>
        <v>3336</v>
      </c>
      <c r="I245" s="256" t="s">
        <v>43</v>
      </c>
      <c r="J245" s="403" t="s">
        <v>520</v>
      </c>
      <c r="K245" s="258">
        <v>43223.0</v>
      </c>
      <c r="L245" s="258">
        <v>43217.0</v>
      </c>
      <c r="M245" s="388"/>
      <c r="N245" s="403" t="s">
        <v>3593</v>
      </c>
      <c r="O245" s="252" t="s">
        <v>4336</v>
      </c>
      <c r="P245" s="598"/>
      <c r="Q245" s="637">
        <v>95957.0</v>
      </c>
      <c r="R245" s="310" t="s">
        <v>2080</v>
      </c>
      <c r="S245" s="768">
        <v>43281.0</v>
      </c>
      <c r="T245" s="769">
        <v>43216.0</v>
      </c>
      <c r="U245" s="765" t="s">
        <v>4337</v>
      </c>
      <c r="V245" s="770">
        <v>95957.0</v>
      </c>
      <c r="W245" s="771">
        <v>43259.0</v>
      </c>
      <c r="X245" s="252" t="s">
        <v>4091</v>
      </c>
      <c r="Y245" s="765" t="s">
        <v>4092</v>
      </c>
      <c r="Z245" s="765"/>
      <c r="AA245" s="765"/>
      <c r="AB245" s="765"/>
      <c r="AC245" s="253" t="s">
        <v>284</v>
      </c>
    </row>
    <row r="246" ht="15.75" hidden="1" customHeight="1">
      <c r="A246" s="764">
        <v>43210.0</v>
      </c>
      <c r="B246" s="265" t="s">
        <v>101</v>
      </c>
      <c r="C246" s="765" t="s">
        <v>4338</v>
      </c>
      <c r="D246" s="252" t="s">
        <v>4339</v>
      </c>
      <c r="E246" s="602" t="s">
        <v>4340</v>
      </c>
      <c r="F246" s="253">
        <v>5.0</v>
      </c>
      <c r="G246" s="254">
        <v>1118.0</v>
      </c>
      <c r="H246" s="255">
        <f t="shared" si="11"/>
        <v>5590</v>
      </c>
      <c r="I246" s="256" t="s">
        <v>171</v>
      </c>
      <c r="J246" s="333" t="s">
        <v>3739</v>
      </c>
      <c r="K246" s="258">
        <v>43227.0</v>
      </c>
      <c r="L246" s="258">
        <v>43217.0</v>
      </c>
      <c r="M246" s="388"/>
      <c r="N246" s="403" t="s">
        <v>1439</v>
      </c>
      <c r="O246" s="310" t="s">
        <v>4341</v>
      </c>
      <c r="P246" s="598"/>
      <c r="Q246" s="637">
        <v>153920.0</v>
      </c>
      <c r="R246" s="320" t="s">
        <v>1976</v>
      </c>
      <c r="S246" s="768">
        <v>43250.0</v>
      </c>
      <c r="T246" s="771">
        <v>43216.0</v>
      </c>
      <c r="U246" s="252" t="s">
        <v>4342</v>
      </c>
      <c r="V246" s="774">
        <v>153917.0</v>
      </c>
      <c r="W246" s="771">
        <v>43250.0</v>
      </c>
      <c r="X246" s="252" t="s">
        <v>4343</v>
      </c>
      <c r="Y246" s="765">
        <v>4.539951065E9</v>
      </c>
      <c r="Z246" s="765"/>
      <c r="AA246" s="765"/>
      <c r="AB246" s="765"/>
      <c r="AC246" s="253" t="s">
        <v>284</v>
      </c>
    </row>
    <row r="247" ht="15.75" hidden="1" customHeight="1">
      <c r="A247" s="764">
        <v>43210.0</v>
      </c>
      <c r="B247" s="265" t="s">
        <v>101</v>
      </c>
      <c r="C247" s="765" t="s">
        <v>4344</v>
      </c>
      <c r="D247" s="252" t="s">
        <v>4345</v>
      </c>
      <c r="E247" s="602" t="s">
        <v>4346</v>
      </c>
      <c r="F247" s="253">
        <v>6.0</v>
      </c>
      <c r="G247" s="254">
        <v>339.0</v>
      </c>
      <c r="H247" s="255">
        <f t="shared" si="11"/>
        <v>2034</v>
      </c>
      <c r="I247" s="256" t="s">
        <v>171</v>
      </c>
      <c r="J247" s="333" t="s">
        <v>3739</v>
      </c>
      <c r="K247" s="258">
        <v>43234.0</v>
      </c>
      <c r="L247" s="258">
        <v>43223.0</v>
      </c>
      <c r="M247" s="388"/>
      <c r="N247" s="403" t="s">
        <v>2028</v>
      </c>
      <c r="O247" s="310" t="s">
        <v>4347</v>
      </c>
      <c r="P247" s="598"/>
      <c r="Q247" s="637">
        <v>56618.0</v>
      </c>
      <c r="R247" s="578" t="s">
        <v>2030</v>
      </c>
      <c r="S247" s="768">
        <v>43286.0</v>
      </c>
      <c r="T247" s="769">
        <v>43222.0</v>
      </c>
      <c r="U247" s="765" t="s">
        <v>4348</v>
      </c>
      <c r="V247" s="770">
        <v>58105.0</v>
      </c>
      <c r="W247" s="769">
        <v>43286.0</v>
      </c>
      <c r="X247" s="252" t="s">
        <v>4349</v>
      </c>
      <c r="Y247" s="765">
        <v>3.44182692E9</v>
      </c>
      <c r="Z247" s="765"/>
      <c r="AA247" s="765"/>
      <c r="AB247" s="765"/>
      <c r="AC247" s="253" t="s">
        <v>284</v>
      </c>
    </row>
    <row r="248" ht="15.75" hidden="1" customHeight="1">
      <c r="A248" s="764">
        <v>43210.0</v>
      </c>
      <c r="B248" s="265" t="s">
        <v>101</v>
      </c>
      <c r="C248" s="765" t="s">
        <v>4344</v>
      </c>
      <c r="D248" s="252" t="s">
        <v>4350</v>
      </c>
      <c r="E248" s="602" t="s">
        <v>3859</v>
      </c>
      <c r="F248" s="253">
        <v>6.0</v>
      </c>
      <c r="G248" s="254">
        <v>47.0</v>
      </c>
      <c r="H248" s="255">
        <f t="shared" si="11"/>
        <v>282</v>
      </c>
      <c r="I248" s="256" t="s">
        <v>171</v>
      </c>
      <c r="J248" s="333" t="s">
        <v>3739</v>
      </c>
      <c r="K248" s="258">
        <v>43234.0</v>
      </c>
      <c r="L248" s="258">
        <v>43220.0</v>
      </c>
      <c r="M248" s="388"/>
      <c r="N248" s="403" t="s">
        <v>2170</v>
      </c>
      <c r="O248" s="310" t="s">
        <v>4351</v>
      </c>
      <c r="P248" s="268">
        <v>245.07</v>
      </c>
      <c r="Q248" s="637">
        <v>7236.0</v>
      </c>
      <c r="R248" s="310" t="s">
        <v>2172</v>
      </c>
      <c r="S248" s="330"/>
      <c r="T248" s="769">
        <v>43220.0</v>
      </c>
      <c r="U248" s="765" t="s">
        <v>4352</v>
      </c>
      <c r="V248" s="770">
        <v>7236.0</v>
      </c>
      <c r="W248" s="769">
        <v>43216.0</v>
      </c>
      <c r="X248" s="252" t="s">
        <v>4349</v>
      </c>
      <c r="Y248" s="765">
        <v>3.44182692E9</v>
      </c>
      <c r="Z248" s="765"/>
      <c r="AA248" s="765"/>
      <c r="AB248" s="765"/>
      <c r="AC248" s="253" t="s">
        <v>284</v>
      </c>
    </row>
    <row r="249" ht="15.75" hidden="1" customHeight="1">
      <c r="A249" s="764">
        <v>43210.0</v>
      </c>
      <c r="B249" s="265" t="s">
        <v>101</v>
      </c>
      <c r="C249" s="765" t="s">
        <v>4344</v>
      </c>
      <c r="D249" s="252" t="s">
        <v>4353</v>
      </c>
      <c r="E249" s="602" t="s">
        <v>3862</v>
      </c>
      <c r="F249" s="253">
        <v>6.0</v>
      </c>
      <c r="G249" s="254">
        <v>9.0</v>
      </c>
      <c r="H249" s="255">
        <f t="shared" si="11"/>
        <v>54</v>
      </c>
      <c r="I249" s="256" t="s">
        <v>171</v>
      </c>
      <c r="J249" s="333" t="s">
        <v>3739</v>
      </c>
      <c r="K249" s="258">
        <v>43234.0</v>
      </c>
      <c r="L249" s="258">
        <v>43223.0</v>
      </c>
      <c r="M249" s="388"/>
      <c r="N249" s="403" t="s">
        <v>2028</v>
      </c>
      <c r="O249" s="310" t="s">
        <v>4347</v>
      </c>
      <c r="P249" s="598"/>
      <c r="Q249" s="637">
        <v>1487.0</v>
      </c>
      <c r="R249" s="578" t="s">
        <v>2030</v>
      </c>
      <c r="S249" s="768">
        <v>43286.0</v>
      </c>
      <c r="T249" s="769">
        <v>43222.0</v>
      </c>
      <c r="U249" s="765" t="s">
        <v>4348</v>
      </c>
      <c r="V249" s="765" t="s">
        <v>4354</v>
      </c>
      <c r="W249" s="769">
        <v>43286.0</v>
      </c>
      <c r="X249" s="252" t="s">
        <v>4349</v>
      </c>
      <c r="Y249" s="765">
        <v>3.44182692E9</v>
      </c>
      <c r="Z249" s="765"/>
      <c r="AA249" s="765"/>
      <c r="AB249" s="765"/>
      <c r="AC249" s="253" t="s">
        <v>284</v>
      </c>
    </row>
    <row r="250" ht="15.75" hidden="1" customHeight="1">
      <c r="A250" s="764">
        <v>43210.0</v>
      </c>
      <c r="B250" s="144" t="s">
        <v>101</v>
      </c>
      <c r="C250" s="765" t="s">
        <v>4355</v>
      </c>
      <c r="D250" s="252" t="s">
        <v>4356</v>
      </c>
      <c r="E250" s="602" t="s">
        <v>4357</v>
      </c>
      <c r="F250" s="307">
        <v>4.0</v>
      </c>
      <c r="G250" s="254">
        <v>237.0</v>
      </c>
      <c r="H250" s="255">
        <f t="shared" si="11"/>
        <v>948</v>
      </c>
      <c r="I250" s="256" t="s">
        <v>171</v>
      </c>
      <c r="J250" s="333" t="s">
        <v>3739</v>
      </c>
      <c r="K250" s="258">
        <v>43234.0</v>
      </c>
      <c r="L250" s="258">
        <v>43230.0</v>
      </c>
      <c r="M250" s="388"/>
      <c r="N250" s="266" t="s">
        <v>1537</v>
      </c>
      <c r="O250" s="310" t="s">
        <v>4358</v>
      </c>
      <c r="P250" s="598"/>
      <c r="Q250" s="579">
        <v>22231.0</v>
      </c>
      <c r="R250" s="765" t="s">
        <v>2148</v>
      </c>
      <c r="S250" s="768">
        <v>43256.0</v>
      </c>
      <c r="T250" s="769">
        <v>43229.0</v>
      </c>
      <c r="U250" s="765" t="s">
        <v>4359</v>
      </c>
      <c r="V250" s="770">
        <v>22231.0</v>
      </c>
      <c r="W250" s="810">
        <v>43256.0</v>
      </c>
      <c r="X250" s="252" t="s">
        <v>4349</v>
      </c>
      <c r="Y250" s="765">
        <v>3.44182692E9</v>
      </c>
      <c r="Z250" s="765"/>
      <c r="AA250" s="765"/>
      <c r="AB250" s="765"/>
      <c r="AC250" s="253" t="s">
        <v>284</v>
      </c>
    </row>
    <row r="251" ht="15.75" hidden="1" customHeight="1">
      <c r="A251" s="764">
        <v>43210.0</v>
      </c>
      <c r="B251" s="265" t="s">
        <v>229</v>
      </c>
      <c r="C251" s="765"/>
      <c r="D251" s="252" t="s">
        <v>4360</v>
      </c>
      <c r="E251" s="602" t="s">
        <v>462</v>
      </c>
      <c r="F251" s="253">
        <v>33.0</v>
      </c>
      <c r="G251" s="325">
        <v>407.4</v>
      </c>
      <c r="H251" s="255">
        <f t="shared" si="11"/>
        <v>13444.2</v>
      </c>
      <c r="I251" s="256" t="s">
        <v>171</v>
      </c>
      <c r="J251" s="269" t="s">
        <v>90</v>
      </c>
      <c r="K251" s="258">
        <v>43230.0</v>
      </c>
      <c r="L251" s="258">
        <v>43230.0</v>
      </c>
      <c r="M251" s="388"/>
      <c r="N251" s="403" t="s">
        <v>90</v>
      </c>
      <c r="O251" s="310" t="s">
        <v>4361</v>
      </c>
      <c r="P251" s="268">
        <v>12300.75</v>
      </c>
      <c r="Q251" s="330"/>
      <c r="R251" s="340" t="s">
        <v>94</v>
      </c>
      <c r="S251" s="768">
        <v>43281.0</v>
      </c>
      <c r="T251" s="769">
        <v>43230.0</v>
      </c>
      <c r="U251" s="765" t="s">
        <v>4362</v>
      </c>
      <c r="V251" s="770">
        <v>408702.0</v>
      </c>
      <c r="W251" s="769">
        <v>43284.0</v>
      </c>
      <c r="X251" s="765" t="s">
        <v>4363</v>
      </c>
      <c r="Y251" s="765"/>
      <c r="Z251" s="765" t="s">
        <v>4364</v>
      </c>
      <c r="AA251" s="774">
        <v>452516.0</v>
      </c>
      <c r="AB251" s="765" t="s">
        <v>4365</v>
      </c>
      <c r="AC251" s="266" t="s">
        <v>377</v>
      </c>
    </row>
    <row r="252" ht="15.75" hidden="1" customHeight="1">
      <c r="A252" s="764">
        <v>43210.0</v>
      </c>
      <c r="B252" s="265" t="s">
        <v>229</v>
      </c>
      <c r="C252" s="765"/>
      <c r="D252" s="252" t="s">
        <v>4360</v>
      </c>
      <c r="E252" s="599" t="s">
        <v>3765</v>
      </c>
      <c r="F252" s="253">
        <v>5.0</v>
      </c>
      <c r="G252" s="793">
        <v>336.0</v>
      </c>
      <c r="H252" s="255">
        <f t="shared" si="11"/>
        <v>1680</v>
      </c>
      <c r="I252" s="256" t="s">
        <v>171</v>
      </c>
      <c r="J252" s="269" t="s">
        <v>90</v>
      </c>
      <c r="K252" s="258">
        <v>43230.0</v>
      </c>
      <c r="L252" s="258">
        <v>43230.0</v>
      </c>
      <c r="M252" s="388"/>
      <c r="N252" s="403" t="s">
        <v>90</v>
      </c>
      <c r="O252" s="310" t="s">
        <v>4361</v>
      </c>
      <c r="P252" s="268">
        <v>1506.75</v>
      </c>
      <c r="Q252" s="330"/>
      <c r="R252" s="340" t="s">
        <v>94</v>
      </c>
      <c r="S252" s="768">
        <v>43281.0</v>
      </c>
      <c r="T252" s="769">
        <v>43230.0</v>
      </c>
      <c r="U252" s="765" t="s">
        <v>4362</v>
      </c>
      <c r="V252" s="765" t="s">
        <v>4366</v>
      </c>
      <c r="W252" s="769">
        <v>43284.0</v>
      </c>
      <c r="X252" s="765" t="s">
        <v>4363</v>
      </c>
      <c r="Y252" s="765"/>
      <c r="Z252" s="765" t="s">
        <v>4364</v>
      </c>
      <c r="AA252" s="774" t="s">
        <v>4367</v>
      </c>
      <c r="AB252" s="765" t="s">
        <v>4365</v>
      </c>
      <c r="AC252" s="266" t="s">
        <v>377</v>
      </c>
    </row>
    <row r="253" ht="15.75" hidden="1" customHeight="1">
      <c r="A253" s="764">
        <v>43213.0</v>
      </c>
      <c r="B253" s="597" t="s">
        <v>406</v>
      </c>
      <c r="C253" s="765">
        <v>7.000137575E9</v>
      </c>
      <c r="D253" s="252" t="s">
        <v>4368</v>
      </c>
      <c r="E253" s="602" t="s">
        <v>3676</v>
      </c>
      <c r="F253" s="253">
        <v>2.0</v>
      </c>
      <c r="G253" s="254">
        <v>48.0</v>
      </c>
      <c r="H253" s="255">
        <f t="shared" si="11"/>
        <v>96</v>
      </c>
      <c r="I253" s="256" t="s">
        <v>43</v>
      </c>
      <c r="J253" s="403" t="s">
        <v>520</v>
      </c>
      <c r="K253" s="258">
        <v>43223.0</v>
      </c>
      <c r="L253" s="258">
        <v>43217.0</v>
      </c>
      <c r="M253" s="388"/>
      <c r="N253" s="403" t="s">
        <v>3593</v>
      </c>
      <c r="O253" s="252" t="s">
        <v>4369</v>
      </c>
      <c r="P253" s="598"/>
      <c r="Q253" s="637">
        <v>2709.0</v>
      </c>
      <c r="R253" s="310" t="s">
        <v>2080</v>
      </c>
      <c r="S253" s="768">
        <v>43312.0</v>
      </c>
      <c r="T253" s="771">
        <v>43216.0</v>
      </c>
      <c r="U253" s="765" t="s">
        <v>4370</v>
      </c>
      <c r="V253" s="774">
        <v>2709.0</v>
      </c>
      <c r="W253" s="769">
        <v>43280.0</v>
      </c>
      <c r="X253" s="252" t="s">
        <v>4091</v>
      </c>
      <c r="Y253" s="765" t="s">
        <v>4092</v>
      </c>
      <c r="Z253" s="765"/>
      <c r="AA253" s="765"/>
      <c r="AB253" s="765"/>
      <c r="AC253" s="253" t="s">
        <v>284</v>
      </c>
    </row>
    <row r="254" ht="15.75" customHeight="1">
      <c r="A254" s="764">
        <v>43214.0</v>
      </c>
      <c r="B254" s="265" t="s">
        <v>77</v>
      </c>
      <c r="C254" s="765">
        <v>303.0</v>
      </c>
      <c r="D254" s="252" t="s">
        <v>4371</v>
      </c>
      <c r="E254" s="602" t="s">
        <v>318</v>
      </c>
      <c r="F254" s="253">
        <v>30.0</v>
      </c>
      <c r="G254" s="254">
        <v>255.0</v>
      </c>
      <c r="H254" s="255">
        <f t="shared" si="11"/>
        <v>7650</v>
      </c>
      <c r="I254" s="256" t="s">
        <v>43</v>
      </c>
      <c r="J254" s="369" t="s">
        <v>316</v>
      </c>
      <c r="K254" s="258">
        <v>43234.0</v>
      </c>
      <c r="L254" s="258">
        <v>43223.0</v>
      </c>
      <c r="M254" s="388"/>
      <c r="N254" s="403" t="s">
        <v>1998</v>
      </c>
      <c r="O254" s="310" t="s">
        <v>4372</v>
      </c>
      <c r="P254" s="268">
        <v>6930.0</v>
      </c>
      <c r="Q254" s="330"/>
      <c r="R254" s="310" t="s">
        <v>2000</v>
      </c>
      <c r="S254" s="768">
        <v>43348.0</v>
      </c>
      <c r="T254" s="769">
        <v>43224.0</v>
      </c>
      <c r="U254" s="765" t="s">
        <v>4373</v>
      </c>
      <c r="V254" s="770">
        <v>205752.0</v>
      </c>
      <c r="W254" s="769">
        <v>43349.0</v>
      </c>
      <c r="X254" s="252" t="s">
        <v>4321</v>
      </c>
      <c r="Y254" s="765">
        <v>1.03167971E8</v>
      </c>
      <c r="Z254" s="765"/>
      <c r="AA254" s="765"/>
      <c r="AB254" s="765"/>
      <c r="AC254" s="253" t="s">
        <v>284</v>
      </c>
    </row>
    <row r="255" ht="15.75" customHeight="1">
      <c r="A255" s="764">
        <v>43214.0</v>
      </c>
      <c r="B255" s="265" t="s">
        <v>77</v>
      </c>
      <c r="C255" s="765">
        <v>303.0</v>
      </c>
      <c r="D255" s="252" t="s">
        <v>4371</v>
      </c>
      <c r="E255" s="602" t="s">
        <v>4374</v>
      </c>
      <c r="F255" s="253">
        <v>100.0</v>
      </c>
      <c r="G255" s="254">
        <v>1.85</v>
      </c>
      <c r="H255" s="255">
        <f t="shared" si="11"/>
        <v>185</v>
      </c>
      <c r="I255" s="256" t="s">
        <v>43</v>
      </c>
      <c r="J255" s="369" t="s">
        <v>316</v>
      </c>
      <c r="K255" s="258">
        <v>43262.0</v>
      </c>
      <c r="L255" s="258">
        <v>43258.0</v>
      </c>
      <c r="M255" s="388"/>
      <c r="N255" s="253" t="s">
        <v>2039</v>
      </c>
      <c r="O255" s="310" t="s">
        <v>4375</v>
      </c>
      <c r="P255" s="598"/>
      <c r="Q255" s="791">
        <v>4200.0</v>
      </c>
      <c r="R255" s="330" t="s">
        <v>2194</v>
      </c>
      <c r="S255" s="768">
        <v>43286.0</v>
      </c>
      <c r="T255" s="769">
        <v>43257.0</v>
      </c>
      <c r="U255" s="765" t="s">
        <v>4376</v>
      </c>
      <c r="V255" s="770">
        <v>13020.0</v>
      </c>
      <c r="W255" s="769">
        <v>43286.0</v>
      </c>
      <c r="X255" s="252" t="s">
        <v>4106</v>
      </c>
      <c r="Y255" s="765">
        <v>1.23352051E8</v>
      </c>
      <c r="Z255" s="765"/>
      <c r="AA255" s="765"/>
      <c r="AB255" s="765"/>
      <c r="AC255" s="253" t="s">
        <v>284</v>
      </c>
    </row>
    <row r="256" ht="15.75" customHeight="1">
      <c r="A256" s="764">
        <v>43214.0</v>
      </c>
      <c r="B256" s="265" t="s">
        <v>77</v>
      </c>
      <c r="C256" s="765">
        <v>303.0</v>
      </c>
      <c r="D256" s="252" t="s">
        <v>4371</v>
      </c>
      <c r="E256" s="602" t="s">
        <v>4377</v>
      </c>
      <c r="F256" s="253">
        <v>200.0</v>
      </c>
      <c r="G256" s="254">
        <v>1.95</v>
      </c>
      <c r="H256" s="255">
        <f t="shared" si="11"/>
        <v>390</v>
      </c>
      <c r="I256" s="256" t="s">
        <v>43</v>
      </c>
      <c r="J256" s="369" t="s">
        <v>316</v>
      </c>
      <c r="K256" s="258">
        <v>43262.0</v>
      </c>
      <c r="L256" s="258">
        <v>43258.0</v>
      </c>
      <c r="M256" s="388"/>
      <c r="N256" s="253" t="s">
        <v>2039</v>
      </c>
      <c r="O256" s="310" t="s">
        <v>4375</v>
      </c>
      <c r="P256" s="598"/>
      <c r="Q256" s="791">
        <v>8820.0</v>
      </c>
      <c r="R256" s="330" t="s">
        <v>2194</v>
      </c>
      <c r="S256" s="768">
        <v>43286.0</v>
      </c>
      <c r="T256" s="769">
        <v>43257.0</v>
      </c>
      <c r="U256" s="765" t="s">
        <v>4376</v>
      </c>
      <c r="V256" s="765" t="s">
        <v>2395</v>
      </c>
      <c r="W256" s="769">
        <v>43286.0</v>
      </c>
      <c r="X256" s="252" t="s">
        <v>4106</v>
      </c>
      <c r="Y256" s="765">
        <v>1.23352051E8</v>
      </c>
      <c r="Z256" s="765"/>
      <c r="AA256" s="765"/>
      <c r="AB256" s="765"/>
      <c r="AC256" s="253" t="s">
        <v>284</v>
      </c>
    </row>
    <row r="257" ht="15.75" customHeight="1">
      <c r="A257" s="764">
        <v>43214.0</v>
      </c>
      <c r="B257" s="144" t="s">
        <v>77</v>
      </c>
      <c r="C257" s="765">
        <v>303.0</v>
      </c>
      <c r="D257" s="252" t="s">
        <v>4371</v>
      </c>
      <c r="E257" s="602" t="s">
        <v>4378</v>
      </c>
      <c r="F257" s="253">
        <v>1.0</v>
      </c>
      <c r="G257" s="254">
        <v>6.0</v>
      </c>
      <c r="H257" s="255">
        <f t="shared" si="11"/>
        <v>6</v>
      </c>
      <c r="I257" s="256" t="s">
        <v>43</v>
      </c>
      <c r="J257" s="369" t="s">
        <v>1098</v>
      </c>
      <c r="K257" s="258">
        <v>43242.0</v>
      </c>
      <c r="L257" s="258">
        <v>43238.0</v>
      </c>
      <c r="M257" s="388"/>
      <c r="N257" s="253" t="s">
        <v>2039</v>
      </c>
      <c r="O257" s="252" t="s">
        <v>4319</v>
      </c>
      <c r="P257" s="598"/>
      <c r="Q257" s="581" t="s">
        <v>4320</v>
      </c>
      <c r="R257" s="330" t="s">
        <v>2194</v>
      </c>
      <c r="S257" s="330"/>
      <c r="T257" s="766"/>
      <c r="U257" s="766"/>
      <c r="V257" s="766"/>
      <c r="W257" s="818"/>
      <c r="X257" s="252" t="s">
        <v>4148</v>
      </c>
      <c r="Y257" s="765">
        <v>1.09039486E8</v>
      </c>
      <c r="Z257" s="765"/>
      <c r="AA257" s="765"/>
      <c r="AB257" s="765"/>
      <c r="AC257" s="253" t="s">
        <v>284</v>
      </c>
    </row>
    <row r="258" ht="15.75" customHeight="1">
      <c r="A258" s="764">
        <v>43214.0</v>
      </c>
      <c r="B258" s="144" t="s">
        <v>77</v>
      </c>
      <c r="C258" s="765">
        <v>303.0</v>
      </c>
      <c r="D258" s="252" t="s">
        <v>4371</v>
      </c>
      <c r="E258" s="602" t="s">
        <v>4379</v>
      </c>
      <c r="F258" s="253">
        <v>1.0</v>
      </c>
      <c r="G258" s="254">
        <v>6.0</v>
      </c>
      <c r="H258" s="255">
        <f t="shared" si="11"/>
        <v>6</v>
      </c>
      <c r="I258" s="256" t="s">
        <v>43</v>
      </c>
      <c r="J258" s="369" t="s">
        <v>1098</v>
      </c>
      <c r="K258" s="258">
        <v>43242.0</v>
      </c>
      <c r="L258" s="258">
        <v>43238.0</v>
      </c>
      <c r="M258" s="388"/>
      <c r="N258" s="253" t="s">
        <v>2039</v>
      </c>
      <c r="O258" s="252" t="s">
        <v>4319</v>
      </c>
      <c r="P258" s="598"/>
      <c r="Q258" s="581" t="s">
        <v>4320</v>
      </c>
      <c r="R258" s="330" t="s">
        <v>2194</v>
      </c>
      <c r="S258" s="330"/>
      <c r="T258" s="766"/>
      <c r="U258" s="766"/>
      <c r="V258" s="766"/>
      <c r="W258" s="818"/>
      <c r="X258" s="252" t="s">
        <v>4148</v>
      </c>
      <c r="Y258" s="765">
        <v>1.09039486E8</v>
      </c>
      <c r="Z258" s="765"/>
      <c r="AA258" s="765"/>
      <c r="AB258" s="765"/>
      <c r="AC258" s="253" t="s">
        <v>284</v>
      </c>
    </row>
    <row r="259" ht="15.75" customHeight="1">
      <c r="A259" s="764">
        <v>43214.0</v>
      </c>
      <c r="B259" s="144" t="s">
        <v>77</v>
      </c>
      <c r="C259" s="765">
        <v>303.0</v>
      </c>
      <c r="D259" s="252" t="s">
        <v>4371</v>
      </c>
      <c r="E259" s="602" t="s">
        <v>4380</v>
      </c>
      <c r="F259" s="253">
        <v>1.0</v>
      </c>
      <c r="G259" s="254">
        <v>2.0</v>
      </c>
      <c r="H259" s="255">
        <f t="shared" si="11"/>
        <v>2</v>
      </c>
      <c r="I259" s="256" t="s">
        <v>43</v>
      </c>
      <c r="J259" s="369" t="s">
        <v>1098</v>
      </c>
      <c r="K259" s="258">
        <v>43242.0</v>
      </c>
      <c r="L259" s="258">
        <v>43238.0</v>
      </c>
      <c r="M259" s="388"/>
      <c r="N259" s="253" t="s">
        <v>2039</v>
      </c>
      <c r="O259" s="252" t="s">
        <v>4319</v>
      </c>
      <c r="P259" s="598"/>
      <c r="Q259" s="581" t="s">
        <v>4320</v>
      </c>
      <c r="R259" s="330" t="s">
        <v>2194</v>
      </c>
      <c r="S259" s="330"/>
      <c r="T259" s="766"/>
      <c r="U259" s="766"/>
      <c r="V259" s="766"/>
      <c r="W259" s="818"/>
      <c r="X259" s="252" t="s">
        <v>4148</v>
      </c>
      <c r="Y259" s="765">
        <v>1.09039486E8</v>
      </c>
      <c r="Z259" s="765"/>
      <c r="AA259" s="765"/>
      <c r="AB259" s="765"/>
      <c r="AC259" s="253" t="s">
        <v>284</v>
      </c>
    </row>
    <row r="260" ht="15.75" customHeight="1">
      <c r="A260" s="764">
        <v>43214.0</v>
      </c>
      <c r="B260" s="144" t="s">
        <v>77</v>
      </c>
      <c r="C260" s="765">
        <v>303.0</v>
      </c>
      <c r="D260" s="252" t="s">
        <v>4371</v>
      </c>
      <c r="E260" s="602" t="s">
        <v>4381</v>
      </c>
      <c r="F260" s="253">
        <v>1.0</v>
      </c>
      <c r="G260" s="254">
        <v>2.0</v>
      </c>
      <c r="H260" s="255">
        <f t="shared" si="11"/>
        <v>2</v>
      </c>
      <c r="I260" s="256" t="s">
        <v>43</v>
      </c>
      <c r="J260" s="369" t="s">
        <v>1098</v>
      </c>
      <c r="K260" s="258">
        <v>43242.0</v>
      </c>
      <c r="L260" s="258">
        <v>43238.0</v>
      </c>
      <c r="M260" s="388"/>
      <c r="N260" s="253" t="s">
        <v>2039</v>
      </c>
      <c r="O260" s="252" t="s">
        <v>4319</v>
      </c>
      <c r="P260" s="598"/>
      <c r="Q260" s="581" t="s">
        <v>4320</v>
      </c>
      <c r="R260" s="330" t="s">
        <v>2194</v>
      </c>
      <c r="S260" s="330"/>
      <c r="T260" s="766"/>
      <c r="U260" s="766"/>
      <c r="V260" s="766"/>
      <c r="W260" s="818"/>
      <c r="X260" s="252" t="s">
        <v>4148</v>
      </c>
      <c r="Y260" s="765">
        <v>1.09039486E8</v>
      </c>
      <c r="Z260" s="765"/>
      <c r="AA260" s="765"/>
      <c r="AB260" s="765"/>
      <c r="AC260" s="253" t="s">
        <v>284</v>
      </c>
    </row>
    <row r="261" ht="15.75" customHeight="1">
      <c r="A261" s="764">
        <v>43214.0</v>
      </c>
      <c r="B261" s="144" t="s">
        <v>77</v>
      </c>
      <c r="C261" s="765">
        <v>303.0</v>
      </c>
      <c r="D261" s="252" t="s">
        <v>4371</v>
      </c>
      <c r="E261" s="602" t="s">
        <v>4382</v>
      </c>
      <c r="F261" s="253">
        <v>1.0</v>
      </c>
      <c r="G261" s="254">
        <v>180.0</v>
      </c>
      <c r="H261" s="255">
        <f t="shared" si="11"/>
        <v>180</v>
      </c>
      <c r="I261" s="256" t="s">
        <v>43</v>
      </c>
      <c r="J261" s="369" t="s">
        <v>1098</v>
      </c>
      <c r="K261" s="258">
        <v>43242.0</v>
      </c>
      <c r="L261" s="258">
        <v>43227.0</v>
      </c>
      <c r="M261" s="388"/>
      <c r="N261" s="253" t="s">
        <v>4383</v>
      </c>
      <c r="O261" s="310" t="s">
        <v>4384</v>
      </c>
      <c r="P261" s="268">
        <v>81.9</v>
      </c>
      <c r="Q261" s="579">
        <v>2435.0</v>
      </c>
      <c r="R261" s="604" t="s">
        <v>4385</v>
      </c>
      <c r="S261" s="330"/>
      <c r="T261" s="769">
        <v>43224.0</v>
      </c>
      <c r="U261" s="765" t="s">
        <v>4386</v>
      </c>
      <c r="V261" s="770">
        <v>2435.0</v>
      </c>
      <c r="W261" s="580">
        <v>43224.0</v>
      </c>
      <c r="X261" s="252" t="s">
        <v>4148</v>
      </c>
      <c r="Y261" s="765">
        <v>1.09039486E8</v>
      </c>
      <c r="Z261" s="765"/>
      <c r="AA261" s="765"/>
      <c r="AB261" s="765"/>
      <c r="AC261" s="253" t="s">
        <v>284</v>
      </c>
    </row>
    <row r="262" ht="15.75" customHeight="1">
      <c r="A262" s="764">
        <v>43214.0</v>
      </c>
      <c r="B262" s="144" t="s">
        <v>77</v>
      </c>
      <c r="C262" s="765">
        <v>303.0</v>
      </c>
      <c r="D262" s="252" t="s">
        <v>4371</v>
      </c>
      <c r="E262" s="252" t="s">
        <v>4387</v>
      </c>
      <c r="F262" s="253">
        <v>1.0</v>
      </c>
      <c r="G262" s="254">
        <v>0.0</v>
      </c>
      <c r="H262" s="255">
        <f t="shared" si="11"/>
        <v>0</v>
      </c>
      <c r="I262" s="256" t="s">
        <v>43</v>
      </c>
      <c r="J262" s="369" t="s">
        <v>1098</v>
      </c>
      <c r="K262" s="258">
        <v>43242.0</v>
      </c>
      <c r="L262" s="258">
        <v>43236.0</v>
      </c>
      <c r="M262" s="388"/>
      <c r="N262" s="266" t="s">
        <v>1537</v>
      </c>
      <c r="O262" s="310" t="s">
        <v>4388</v>
      </c>
      <c r="P262" s="268">
        <v>60.0</v>
      </c>
      <c r="Q262" s="579">
        <v>1873.0</v>
      </c>
      <c r="R262" s="604" t="s">
        <v>4389</v>
      </c>
      <c r="S262" s="768">
        <v>43256.0</v>
      </c>
      <c r="T262" s="771">
        <v>43234.0</v>
      </c>
      <c r="U262" s="252" t="s">
        <v>4390</v>
      </c>
      <c r="V262" s="774">
        <v>3995.0</v>
      </c>
      <c r="W262" s="810">
        <v>43256.0</v>
      </c>
      <c r="X262" s="252" t="s">
        <v>4148</v>
      </c>
      <c r="Y262" s="765">
        <v>1.09039486E8</v>
      </c>
      <c r="Z262" s="765"/>
      <c r="AA262" s="765"/>
      <c r="AB262" s="765"/>
      <c r="AC262" s="253" t="s">
        <v>284</v>
      </c>
    </row>
    <row r="263" ht="15.75" customHeight="1">
      <c r="A263" s="764">
        <v>43214.0</v>
      </c>
      <c r="B263" s="144" t="s">
        <v>77</v>
      </c>
      <c r="C263" s="765">
        <v>303.0</v>
      </c>
      <c r="D263" s="252" t="s">
        <v>4371</v>
      </c>
      <c r="E263" s="252" t="s">
        <v>647</v>
      </c>
      <c r="F263" s="253">
        <v>1.0</v>
      </c>
      <c r="G263" s="254">
        <v>0.0</v>
      </c>
      <c r="H263" s="255">
        <f t="shared" si="11"/>
        <v>0</v>
      </c>
      <c r="I263" s="256" t="s">
        <v>43</v>
      </c>
      <c r="J263" s="369" t="s">
        <v>1098</v>
      </c>
      <c r="K263" s="258">
        <v>43242.0</v>
      </c>
      <c r="L263" s="258">
        <v>43236.0</v>
      </c>
      <c r="M263" s="388"/>
      <c r="N263" s="266" t="s">
        <v>1537</v>
      </c>
      <c r="O263" s="310" t="s">
        <v>4388</v>
      </c>
      <c r="P263" s="268">
        <v>0.0</v>
      </c>
      <c r="Q263" s="268">
        <v>0.0</v>
      </c>
      <c r="R263" s="330" t="s">
        <v>2148</v>
      </c>
      <c r="S263" s="330"/>
      <c r="T263" s="765"/>
      <c r="U263" s="765"/>
      <c r="V263" s="765"/>
      <c r="W263" s="580"/>
      <c r="X263" s="252" t="s">
        <v>4148</v>
      </c>
      <c r="Y263" s="765">
        <v>1.09039486E8</v>
      </c>
      <c r="Z263" s="765"/>
      <c r="AA263" s="765"/>
      <c r="AB263" s="765"/>
      <c r="AC263" s="253" t="s">
        <v>284</v>
      </c>
    </row>
    <row r="264" ht="15.75" customHeight="1">
      <c r="A264" s="764">
        <v>43214.0</v>
      </c>
      <c r="B264" s="144" t="s">
        <v>77</v>
      </c>
      <c r="C264" s="765">
        <v>303.0</v>
      </c>
      <c r="D264" s="252" t="s">
        <v>4371</v>
      </c>
      <c r="E264" s="252" t="s">
        <v>648</v>
      </c>
      <c r="F264" s="253">
        <v>1.0</v>
      </c>
      <c r="G264" s="254">
        <v>0.0</v>
      </c>
      <c r="H264" s="255">
        <f t="shared" si="11"/>
        <v>0</v>
      </c>
      <c r="I264" s="256" t="s">
        <v>43</v>
      </c>
      <c r="J264" s="369" t="s">
        <v>1098</v>
      </c>
      <c r="K264" s="258">
        <v>43242.0</v>
      </c>
      <c r="L264" s="258">
        <v>43236.0</v>
      </c>
      <c r="M264" s="388"/>
      <c r="N264" s="266" t="s">
        <v>1537</v>
      </c>
      <c r="O264" s="310" t="s">
        <v>4388</v>
      </c>
      <c r="P264" s="268">
        <v>0.0</v>
      </c>
      <c r="Q264" s="268">
        <v>0.0</v>
      </c>
      <c r="R264" s="604" t="s">
        <v>4389</v>
      </c>
      <c r="S264" s="330"/>
      <c r="T264" s="765"/>
      <c r="U264" s="765"/>
      <c r="V264" s="765"/>
      <c r="W264" s="580"/>
      <c r="X264" s="252" t="s">
        <v>4148</v>
      </c>
      <c r="Y264" s="765">
        <v>1.09039486E8</v>
      </c>
      <c r="Z264" s="765"/>
      <c r="AA264" s="765"/>
      <c r="AB264" s="765"/>
      <c r="AC264" s="253" t="s">
        <v>284</v>
      </c>
    </row>
    <row r="265" ht="15.75" customHeight="1">
      <c r="A265" s="764">
        <v>43214.0</v>
      </c>
      <c r="B265" s="144" t="s">
        <v>77</v>
      </c>
      <c r="C265" s="765">
        <v>303.0</v>
      </c>
      <c r="D265" s="252" t="s">
        <v>4371</v>
      </c>
      <c r="E265" s="252" t="s">
        <v>649</v>
      </c>
      <c r="F265" s="253">
        <v>1.0</v>
      </c>
      <c r="G265" s="254">
        <v>0.0</v>
      </c>
      <c r="H265" s="255">
        <f t="shared" si="11"/>
        <v>0</v>
      </c>
      <c r="I265" s="256" t="s">
        <v>43</v>
      </c>
      <c r="J265" s="369" t="s">
        <v>1098</v>
      </c>
      <c r="K265" s="258">
        <v>43242.0</v>
      </c>
      <c r="L265" s="258">
        <v>43236.0</v>
      </c>
      <c r="M265" s="388"/>
      <c r="N265" s="266" t="s">
        <v>1537</v>
      </c>
      <c r="O265" s="310" t="s">
        <v>4388</v>
      </c>
      <c r="P265" s="268">
        <v>0.0</v>
      </c>
      <c r="Q265" s="268">
        <v>0.0</v>
      </c>
      <c r="R265" s="604" t="s">
        <v>4389</v>
      </c>
      <c r="S265" s="330"/>
      <c r="T265" s="765"/>
      <c r="U265" s="765"/>
      <c r="V265" s="765"/>
      <c r="W265" s="580"/>
      <c r="X265" s="252" t="s">
        <v>4148</v>
      </c>
      <c r="Y265" s="765">
        <v>1.09039486E8</v>
      </c>
      <c r="Z265" s="765"/>
      <c r="AA265" s="765"/>
      <c r="AB265" s="765"/>
      <c r="AC265" s="253" t="s">
        <v>284</v>
      </c>
    </row>
    <row r="266" ht="15.75" customHeight="1">
      <c r="A266" s="764">
        <v>43214.0</v>
      </c>
      <c r="B266" s="144" t="s">
        <v>77</v>
      </c>
      <c r="C266" s="765">
        <v>303.0</v>
      </c>
      <c r="D266" s="252" t="s">
        <v>4371</v>
      </c>
      <c r="E266" s="252" t="s">
        <v>4391</v>
      </c>
      <c r="F266" s="253">
        <v>1.0</v>
      </c>
      <c r="G266" s="254">
        <v>0.0</v>
      </c>
      <c r="H266" s="255">
        <f t="shared" si="11"/>
        <v>0</v>
      </c>
      <c r="I266" s="256" t="s">
        <v>43</v>
      </c>
      <c r="J266" s="369" t="s">
        <v>1098</v>
      </c>
      <c r="K266" s="258">
        <v>43242.0</v>
      </c>
      <c r="L266" s="258">
        <v>43238.0</v>
      </c>
      <c r="M266" s="388"/>
      <c r="N266" s="253" t="s">
        <v>2039</v>
      </c>
      <c r="O266" s="252" t="s">
        <v>4319</v>
      </c>
      <c r="P266" s="598"/>
      <c r="Q266" s="581" t="s">
        <v>4320</v>
      </c>
      <c r="R266" s="330" t="s">
        <v>2194</v>
      </c>
      <c r="S266" s="330"/>
      <c r="T266" s="765"/>
      <c r="U266" s="765"/>
      <c r="V266" s="765"/>
      <c r="W266" s="580"/>
      <c r="X266" s="252" t="s">
        <v>4148</v>
      </c>
      <c r="Y266" s="765">
        <v>1.09039486E8</v>
      </c>
      <c r="Z266" s="765"/>
      <c r="AA266" s="765"/>
      <c r="AB266" s="765"/>
      <c r="AC266" s="253" t="s">
        <v>284</v>
      </c>
    </row>
    <row r="267" ht="15.75" customHeight="1">
      <c r="A267" s="764">
        <v>43214.0</v>
      </c>
      <c r="B267" s="144" t="s">
        <v>77</v>
      </c>
      <c r="C267" s="765">
        <v>303.0</v>
      </c>
      <c r="D267" s="252" t="s">
        <v>4371</v>
      </c>
      <c r="E267" s="602" t="s">
        <v>4392</v>
      </c>
      <c r="F267" s="253">
        <v>1.0</v>
      </c>
      <c r="G267" s="254">
        <v>183.0</v>
      </c>
      <c r="H267" s="255">
        <f t="shared" si="11"/>
        <v>183</v>
      </c>
      <c r="I267" s="256" t="s">
        <v>43</v>
      </c>
      <c r="J267" s="369" t="s">
        <v>1098</v>
      </c>
      <c r="K267" s="258">
        <v>43242.0</v>
      </c>
      <c r="L267" s="258">
        <v>43227.0</v>
      </c>
      <c r="M267" s="388"/>
      <c r="N267" s="333" t="s">
        <v>4393</v>
      </c>
      <c r="O267" s="310" t="s">
        <v>4394</v>
      </c>
      <c r="P267" s="268">
        <v>57.75</v>
      </c>
      <c r="Q267" s="579">
        <v>1717.0</v>
      </c>
      <c r="R267" s="604" t="s">
        <v>4395</v>
      </c>
      <c r="S267" s="581" t="s">
        <v>422</v>
      </c>
      <c r="T267" s="769">
        <v>43227.0</v>
      </c>
      <c r="U267" s="765" t="s">
        <v>4396</v>
      </c>
      <c r="V267" s="770">
        <v>1717.0</v>
      </c>
      <c r="W267" s="580">
        <v>43224.0</v>
      </c>
      <c r="X267" s="252" t="s">
        <v>4148</v>
      </c>
      <c r="Y267" s="765">
        <v>1.09039486E8</v>
      </c>
      <c r="Z267" s="765"/>
      <c r="AA267" s="765"/>
      <c r="AB267" s="765"/>
      <c r="AC267" s="253" t="s">
        <v>284</v>
      </c>
    </row>
    <row r="268" ht="15.75" customHeight="1">
      <c r="A268" s="764">
        <v>43214.0</v>
      </c>
      <c r="B268" s="144" t="s">
        <v>77</v>
      </c>
      <c r="C268" s="765">
        <v>303.0</v>
      </c>
      <c r="D268" s="252" t="s">
        <v>4371</v>
      </c>
      <c r="E268" s="252" t="s">
        <v>4397</v>
      </c>
      <c r="F268" s="253">
        <v>1.0</v>
      </c>
      <c r="G268" s="254">
        <v>0.0</v>
      </c>
      <c r="H268" s="255">
        <f t="shared" si="11"/>
        <v>0</v>
      </c>
      <c r="I268" s="256" t="s">
        <v>43</v>
      </c>
      <c r="J268" s="369" t="s">
        <v>1098</v>
      </c>
      <c r="K268" s="258">
        <v>43242.0</v>
      </c>
      <c r="L268" s="258">
        <v>43236.0</v>
      </c>
      <c r="M268" s="388"/>
      <c r="N268" s="266" t="s">
        <v>1537</v>
      </c>
      <c r="O268" s="310" t="s">
        <v>4388</v>
      </c>
      <c r="P268" s="268">
        <v>68.0</v>
      </c>
      <c r="Q268" s="579">
        <v>2122.0</v>
      </c>
      <c r="R268" s="604" t="s">
        <v>4389</v>
      </c>
      <c r="S268" s="768">
        <v>43256.0</v>
      </c>
      <c r="T268" s="771">
        <v>43234.0</v>
      </c>
      <c r="U268" s="252" t="s">
        <v>4390</v>
      </c>
      <c r="V268" s="774">
        <v>3995.0</v>
      </c>
      <c r="W268" s="810">
        <v>43256.0</v>
      </c>
      <c r="X268" s="252" t="s">
        <v>4148</v>
      </c>
      <c r="Y268" s="765">
        <v>1.09039486E8</v>
      </c>
      <c r="Z268" s="765"/>
      <c r="AA268" s="765"/>
      <c r="AB268" s="765"/>
      <c r="AC268" s="253" t="s">
        <v>284</v>
      </c>
    </row>
    <row r="269" ht="15.75" customHeight="1">
      <c r="A269" s="764">
        <v>43214.0</v>
      </c>
      <c r="B269" s="144" t="s">
        <v>77</v>
      </c>
      <c r="C269" s="765">
        <v>303.0</v>
      </c>
      <c r="D269" s="252" t="s">
        <v>4371</v>
      </c>
      <c r="E269" s="252" t="s">
        <v>647</v>
      </c>
      <c r="F269" s="253">
        <v>1.0</v>
      </c>
      <c r="G269" s="254">
        <v>0.0</v>
      </c>
      <c r="H269" s="255">
        <f t="shared" si="11"/>
        <v>0</v>
      </c>
      <c r="I269" s="256" t="s">
        <v>43</v>
      </c>
      <c r="J269" s="369" t="s">
        <v>1098</v>
      </c>
      <c r="K269" s="258">
        <v>43242.0</v>
      </c>
      <c r="L269" s="258">
        <v>43236.0</v>
      </c>
      <c r="M269" s="388"/>
      <c r="N269" s="266" t="s">
        <v>1537</v>
      </c>
      <c r="O269" s="310" t="s">
        <v>4388</v>
      </c>
      <c r="P269" s="268">
        <v>0.0</v>
      </c>
      <c r="Q269" s="268">
        <v>0.0</v>
      </c>
      <c r="R269" s="330" t="s">
        <v>2148</v>
      </c>
      <c r="S269" s="330"/>
      <c r="T269" s="766"/>
      <c r="U269" s="766"/>
      <c r="V269" s="766"/>
      <c r="W269" s="818"/>
      <c r="X269" s="252" t="s">
        <v>4148</v>
      </c>
      <c r="Y269" s="765">
        <v>1.09039486E8</v>
      </c>
      <c r="Z269" s="765"/>
      <c r="AA269" s="765"/>
      <c r="AB269" s="765"/>
      <c r="AC269" s="253" t="s">
        <v>284</v>
      </c>
    </row>
    <row r="270" ht="15.75" customHeight="1">
      <c r="A270" s="764">
        <v>43214.0</v>
      </c>
      <c r="B270" s="144" t="s">
        <v>77</v>
      </c>
      <c r="C270" s="765">
        <v>303.0</v>
      </c>
      <c r="D270" s="252" t="s">
        <v>4371</v>
      </c>
      <c r="E270" s="252" t="s">
        <v>648</v>
      </c>
      <c r="F270" s="253">
        <v>1.0</v>
      </c>
      <c r="G270" s="254">
        <v>0.0</v>
      </c>
      <c r="H270" s="255">
        <f t="shared" si="11"/>
        <v>0</v>
      </c>
      <c r="I270" s="256" t="s">
        <v>43</v>
      </c>
      <c r="J270" s="369" t="s">
        <v>1098</v>
      </c>
      <c r="K270" s="258">
        <v>43242.0</v>
      </c>
      <c r="L270" s="258">
        <v>43236.0</v>
      </c>
      <c r="M270" s="388"/>
      <c r="N270" s="266" t="s">
        <v>1537</v>
      </c>
      <c r="O270" s="310" t="s">
        <v>4388</v>
      </c>
      <c r="P270" s="268">
        <v>0.0</v>
      </c>
      <c r="Q270" s="268">
        <v>0.0</v>
      </c>
      <c r="R270" s="604" t="s">
        <v>4389</v>
      </c>
      <c r="S270" s="330"/>
      <c r="T270" s="766"/>
      <c r="U270" s="766"/>
      <c r="V270" s="766"/>
      <c r="W270" s="818"/>
      <c r="X270" s="252" t="s">
        <v>4148</v>
      </c>
      <c r="Y270" s="765">
        <v>1.09039486E8</v>
      </c>
      <c r="Z270" s="765"/>
      <c r="AA270" s="765"/>
      <c r="AB270" s="765"/>
      <c r="AC270" s="253" t="s">
        <v>284</v>
      </c>
    </row>
    <row r="271" ht="15.75" customHeight="1">
      <c r="A271" s="764">
        <v>43214.0</v>
      </c>
      <c r="B271" s="144" t="s">
        <v>77</v>
      </c>
      <c r="C271" s="765">
        <v>303.0</v>
      </c>
      <c r="D271" s="252" t="s">
        <v>4371</v>
      </c>
      <c r="E271" s="252" t="s">
        <v>649</v>
      </c>
      <c r="F271" s="253">
        <v>1.0</v>
      </c>
      <c r="G271" s="254">
        <v>0.0</v>
      </c>
      <c r="H271" s="255">
        <f t="shared" si="11"/>
        <v>0</v>
      </c>
      <c r="I271" s="256" t="s">
        <v>43</v>
      </c>
      <c r="J271" s="369" t="s">
        <v>1098</v>
      </c>
      <c r="K271" s="258">
        <v>43242.0</v>
      </c>
      <c r="L271" s="258">
        <v>43236.0</v>
      </c>
      <c r="M271" s="388"/>
      <c r="N271" s="266" t="s">
        <v>1537</v>
      </c>
      <c r="O271" s="310" t="s">
        <v>4388</v>
      </c>
      <c r="P271" s="268">
        <v>0.0</v>
      </c>
      <c r="Q271" s="268">
        <v>0.0</v>
      </c>
      <c r="R271" s="604" t="s">
        <v>4389</v>
      </c>
      <c r="S271" s="330"/>
      <c r="T271" s="766"/>
      <c r="U271" s="766"/>
      <c r="V271" s="766"/>
      <c r="W271" s="818"/>
      <c r="X271" s="252" t="s">
        <v>4148</v>
      </c>
      <c r="Y271" s="765">
        <v>1.09039486E8</v>
      </c>
      <c r="Z271" s="765"/>
      <c r="AA271" s="765"/>
      <c r="AB271" s="765"/>
      <c r="AC271" s="253" t="s">
        <v>284</v>
      </c>
    </row>
    <row r="272" ht="15.75" customHeight="1">
      <c r="A272" s="764">
        <v>43214.0</v>
      </c>
      <c r="B272" s="144" t="s">
        <v>77</v>
      </c>
      <c r="C272" s="765">
        <v>303.0</v>
      </c>
      <c r="D272" s="252" t="s">
        <v>4371</v>
      </c>
      <c r="E272" s="252" t="s">
        <v>4391</v>
      </c>
      <c r="F272" s="253">
        <v>1.0</v>
      </c>
      <c r="G272" s="254">
        <v>0.0</v>
      </c>
      <c r="H272" s="255">
        <f t="shared" si="11"/>
        <v>0</v>
      </c>
      <c r="I272" s="256" t="s">
        <v>43</v>
      </c>
      <c r="J272" s="369" t="s">
        <v>1098</v>
      </c>
      <c r="K272" s="258">
        <v>43242.0</v>
      </c>
      <c r="L272" s="258">
        <v>43238.0</v>
      </c>
      <c r="M272" s="388"/>
      <c r="N272" s="253" t="s">
        <v>2039</v>
      </c>
      <c r="O272" s="252" t="s">
        <v>4319</v>
      </c>
      <c r="P272" s="598"/>
      <c r="Q272" s="581" t="s">
        <v>4320</v>
      </c>
      <c r="R272" s="330" t="s">
        <v>2194</v>
      </c>
      <c r="S272" s="330"/>
      <c r="T272" s="766"/>
      <c r="U272" s="766"/>
      <c r="V272" s="766"/>
      <c r="W272" s="818"/>
      <c r="X272" s="252" t="s">
        <v>4148</v>
      </c>
      <c r="Y272" s="765">
        <v>1.09039486E8</v>
      </c>
      <c r="Z272" s="765"/>
      <c r="AA272" s="765"/>
      <c r="AB272" s="765"/>
      <c r="AC272" s="253" t="s">
        <v>284</v>
      </c>
    </row>
    <row r="273" ht="15.75" hidden="1" customHeight="1">
      <c r="A273" s="764">
        <v>43216.0</v>
      </c>
      <c r="B273" s="265" t="s">
        <v>631</v>
      </c>
      <c r="C273" s="765" t="s">
        <v>4398</v>
      </c>
      <c r="D273" s="252" t="s">
        <v>4399</v>
      </c>
      <c r="E273" s="602" t="s">
        <v>4269</v>
      </c>
      <c r="F273" s="253">
        <v>10.0</v>
      </c>
      <c r="G273" s="325">
        <v>173.25</v>
      </c>
      <c r="H273" s="255">
        <f t="shared" si="11"/>
        <v>1732.5</v>
      </c>
      <c r="I273" s="256" t="s">
        <v>171</v>
      </c>
      <c r="J273" s="269" t="s">
        <v>628</v>
      </c>
      <c r="K273" s="258">
        <v>43220.0</v>
      </c>
      <c r="L273" s="258">
        <v>43217.0</v>
      </c>
      <c r="M273" s="388"/>
      <c r="N273" s="333" t="s">
        <v>2263</v>
      </c>
      <c r="O273" s="310" t="s">
        <v>4400</v>
      </c>
      <c r="P273" s="598"/>
      <c r="Q273" s="579">
        <v>50925.0</v>
      </c>
      <c r="R273" s="310" t="s">
        <v>2265</v>
      </c>
      <c r="S273" s="330"/>
      <c r="T273" s="769">
        <v>43216.0</v>
      </c>
      <c r="U273" s="765" t="s">
        <v>4401</v>
      </c>
      <c r="V273" s="770">
        <v>50925.0</v>
      </c>
      <c r="W273" s="771">
        <v>43222.0</v>
      </c>
      <c r="X273" s="765" t="s">
        <v>4402</v>
      </c>
      <c r="Y273" s="252" t="s">
        <v>4403</v>
      </c>
      <c r="Z273" s="602" t="s">
        <v>4404</v>
      </c>
      <c r="AA273" s="774">
        <v>51161.0</v>
      </c>
      <c r="AB273" s="765" t="s">
        <v>4405</v>
      </c>
      <c r="AC273" s="253" t="s">
        <v>377</v>
      </c>
    </row>
    <row r="274" ht="15.75" hidden="1" customHeight="1">
      <c r="A274" s="764">
        <v>43216.0</v>
      </c>
      <c r="B274" s="265" t="s">
        <v>4406</v>
      </c>
      <c r="C274" s="765"/>
      <c r="D274" s="252" t="s">
        <v>4407</v>
      </c>
      <c r="E274" s="602" t="s">
        <v>4408</v>
      </c>
      <c r="F274" s="253">
        <v>1.0</v>
      </c>
      <c r="G274" s="254">
        <v>180.0</v>
      </c>
      <c r="H274" s="255">
        <f t="shared" si="11"/>
        <v>180</v>
      </c>
      <c r="I274" s="256" t="s">
        <v>420</v>
      </c>
      <c r="J274" s="269" t="s">
        <v>4409</v>
      </c>
      <c r="K274" s="819">
        <v>43325.0</v>
      </c>
      <c r="L274" s="258">
        <v>43245.0</v>
      </c>
      <c r="M274" s="388"/>
      <c r="N274" s="333" t="s">
        <v>2041</v>
      </c>
      <c r="O274" s="310" t="s">
        <v>4410</v>
      </c>
      <c r="P274" s="268">
        <v>172.2</v>
      </c>
      <c r="Q274" s="330"/>
      <c r="R274" s="310" t="s">
        <v>2043</v>
      </c>
      <c r="S274" s="330"/>
      <c r="T274" s="769">
        <v>43244.0</v>
      </c>
      <c r="U274" s="765" t="s">
        <v>4411</v>
      </c>
      <c r="V274" s="770">
        <v>21203.0</v>
      </c>
      <c r="W274" s="769">
        <v>43276.0</v>
      </c>
      <c r="X274" s="252" t="s">
        <v>4412</v>
      </c>
      <c r="Y274" s="765">
        <v>6.11782474E8</v>
      </c>
      <c r="Z274" s="765"/>
      <c r="AA274" s="765"/>
      <c r="AB274" s="765"/>
      <c r="AC274" s="253" t="s">
        <v>284</v>
      </c>
    </row>
    <row r="275" ht="15.75" hidden="1" customHeight="1">
      <c r="A275" s="776">
        <v>43220.0</v>
      </c>
      <c r="B275" s="320" t="s">
        <v>326</v>
      </c>
      <c r="C275" s="252">
        <v>2022616.0</v>
      </c>
      <c r="D275" s="310" t="s">
        <v>4413</v>
      </c>
      <c r="E275" s="602" t="s">
        <v>4414</v>
      </c>
      <c r="F275" s="253">
        <v>2.0</v>
      </c>
      <c r="G275" s="254">
        <v>607.0</v>
      </c>
      <c r="H275" s="255">
        <f t="shared" si="11"/>
        <v>1214</v>
      </c>
      <c r="I275" s="256" t="s">
        <v>43</v>
      </c>
      <c r="J275" s="269" t="s">
        <v>329</v>
      </c>
      <c r="K275" s="258">
        <v>43244.0</v>
      </c>
      <c r="L275" s="258">
        <v>43234.0</v>
      </c>
      <c r="M275" s="388"/>
      <c r="N275" s="333" t="s">
        <v>3775</v>
      </c>
      <c r="O275" s="310" t="s">
        <v>4415</v>
      </c>
      <c r="P275" s="268">
        <v>1186.5</v>
      </c>
      <c r="Q275" s="330"/>
      <c r="R275" s="422" t="s">
        <v>2207</v>
      </c>
      <c r="S275" s="768">
        <v>43281.0</v>
      </c>
      <c r="T275" s="771">
        <v>43236.0</v>
      </c>
      <c r="U275" s="252" t="s">
        <v>4416</v>
      </c>
      <c r="V275" s="774">
        <v>204228.0</v>
      </c>
      <c r="W275" s="769">
        <v>43284.0</v>
      </c>
      <c r="X275" s="252" t="s">
        <v>4417</v>
      </c>
      <c r="Y275" s="765" t="s">
        <v>4418</v>
      </c>
      <c r="Z275" s="765"/>
      <c r="AA275" s="765"/>
      <c r="AB275" s="765"/>
      <c r="AC275" s="253" t="s">
        <v>284</v>
      </c>
    </row>
    <row r="276" ht="15.75" hidden="1" customHeight="1">
      <c r="A276" s="776">
        <v>43220.0</v>
      </c>
      <c r="B276" s="320" t="s">
        <v>326</v>
      </c>
      <c r="C276" s="252">
        <v>2022616.0</v>
      </c>
      <c r="D276" s="310" t="s">
        <v>4413</v>
      </c>
      <c r="E276" s="602" t="s">
        <v>4419</v>
      </c>
      <c r="F276" s="253">
        <v>2.0</v>
      </c>
      <c r="G276" s="254">
        <v>27.0</v>
      </c>
      <c r="H276" s="255">
        <f t="shared" si="11"/>
        <v>54</v>
      </c>
      <c r="I276" s="256" t="s">
        <v>43</v>
      </c>
      <c r="J276" s="269" t="s">
        <v>329</v>
      </c>
      <c r="K276" s="258">
        <v>43244.0</v>
      </c>
      <c r="L276" s="258">
        <v>43234.0</v>
      </c>
      <c r="M276" s="388"/>
      <c r="N276" s="333" t="s">
        <v>3775</v>
      </c>
      <c r="O276" s="310" t="s">
        <v>4415</v>
      </c>
      <c r="P276" s="268">
        <v>52.5</v>
      </c>
      <c r="Q276" s="330"/>
      <c r="R276" s="422" t="s">
        <v>2207</v>
      </c>
      <c r="S276" s="768">
        <v>43281.0</v>
      </c>
      <c r="T276" s="771">
        <v>43236.0</v>
      </c>
      <c r="U276" s="252" t="s">
        <v>4416</v>
      </c>
      <c r="V276" s="806" t="s">
        <v>4420</v>
      </c>
      <c r="W276" s="769">
        <v>43284.0</v>
      </c>
      <c r="X276" s="252" t="s">
        <v>4417</v>
      </c>
      <c r="Y276" s="765" t="s">
        <v>4418</v>
      </c>
      <c r="Z276" s="765"/>
      <c r="AA276" s="765"/>
      <c r="AB276" s="765"/>
      <c r="AC276" s="253" t="s">
        <v>284</v>
      </c>
    </row>
    <row r="277" ht="15.75" hidden="1" customHeight="1">
      <c r="A277" s="776">
        <v>43220.0</v>
      </c>
      <c r="B277" s="320" t="s">
        <v>326</v>
      </c>
      <c r="C277" s="252">
        <v>2022616.0</v>
      </c>
      <c r="D277" s="310" t="s">
        <v>4413</v>
      </c>
      <c r="E277" s="820" t="s">
        <v>3773</v>
      </c>
      <c r="F277" s="253">
        <v>10.0</v>
      </c>
      <c r="G277" s="325">
        <v>567.0</v>
      </c>
      <c r="H277" s="255">
        <f t="shared" si="11"/>
        <v>5670</v>
      </c>
      <c r="I277" s="256" t="s">
        <v>43</v>
      </c>
      <c r="J277" s="269" t="s">
        <v>329</v>
      </c>
      <c r="K277" s="258">
        <v>43244.0</v>
      </c>
      <c r="L277" s="258">
        <v>43235.0</v>
      </c>
      <c r="M277" s="388"/>
      <c r="N277" s="333" t="s">
        <v>3775</v>
      </c>
      <c r="O277" s="310" t="s">
        <v>4415</v>
      </c>
      <c r="P277" s="268">
        <v>5355.0</v>
      </c>
      <c r="Q277" s="330"/>
      <c r="R277" s="422" t="s">
        <v>2207</v>
      </c>
      <c r="S277" s="768">
        <v>43281.0</v>
      </c>
      <c r="T277" s="771">
        <v>43236.0</v>
      </c>
      <c r="U277" s="252" t="s">
        <v>4416</v>
      </c>
      <c r="V277" s="806" t="s">
        <v>4420</v>
      </c>
      <c r="W277" s="769">
        <v>43284.0</v>
      </c>
      <c r="X277" s="252" t="s">
        <v>4417</v>
      </c>
      <c r="Y277" s="765" t="s">
        <v>4418</v>
      </c>
      <c r="Z277" s="765"/>
      <c r="AA277" s="765"/>
      <c r="AB277" s="765"/>
      <c r="AC277" s="253" t="s">
        <v>284</v>
      </c>
    </row>
    <row r="278" ht="15.75" hidden="1" customHeight="1">
      <c r="A278" s="776">
        <v>43220.0</v>
      </c>
      <c r="B278" s="320" t="s">
        <v>326</v>
      </c>
      <c r="C278" s="252">
        <v>2022616.0</v>
      </c>
      <c r="D278" s="310" t="s">
        <v>4413</v>
      </c>
      <c r="E278" s="820" t="s">
        <v>3781</v>
      </c>
      <c r="F278" s="253">
        <v>10.0</v>
      </c>
      <c r="G278" s="325">
        <v>273.0</v>
      </c>
      <c r="H278" s="255">
        <f t="shared" si="11"/>
        <v>2730</v>
      </c>
      <c r="I278" s="256" t="s">
        <v>43</v>
      </c>
      <c r="J278" s="269" t="s">
        <v>329</v>
      </c>
      <c r="K278" s="258">
        <v>43244.0</v>
      </c>
      <c r="L278" s="258">
        <v>43231.0</v>
      </c>
      <c r="M278" s="388"/>
      <c r="N278" s="333" t="s">
        <v>45</v>
      </c>
      <c r="O278" s="310" t="s">
        <v>4421</v>
      </c>
      <c r="P278" s="268">
        <v>2184.0</v>
      </c>
      <c r="Q278" s="330"/>
      <c r="R278" s="340" t="s">
        <v>47</v>
      </c>
      <c r="S278" s="768">
        <v>43259.0</v>
      </c>
      <c r="T278" s="769">
        <v>43229.0</v>
      </c>
      <c r="U278" s="765" t="s">
        <v>4422</v>
      </c>
      <c r="V278" s="770">
        <v>65046.0</v>
      </c>
      <c r="W278" s="767"/>
      <c r="X278" s="252" t="s">
        <v>4417</v>
      </c>
      <c r="Y278" s="765" t="s">
        <v>4418</v>
      </c>
      <c r="Z278" s="765"/>
      <c r="AA278" s="765"/>
      <c r="AB278" s="765"/>
      <c r="AC278" s="253" t="s">
        <v>284</v>
      </c>
    </row>
    <row r="279" ht="15.75" hidden="1" customHeight="1">
      <c r="A279" s="776">
        <v>43220.0</v>
      </c>
      <c r="B279" s="320" t="s">
        <v>326</v>
      </c>
      <c r="C279" s="252">
        <v>2022616.0</v>
      </c>
      <c r="D279" s="310" t="s">
        <v>4413</v>
      </c>
      <c r="E279" s="820" t="s">
        <v>53</v>
      </c>
      <c r="F279" s="253">
        <v>10.0</v>
      </c>
      <c r="G279" s="325">
        <v>31.0</v>
      </c>
      <c r="H279" s="255">
        <f t="shared" si="11"/>
        <v>310</v>
      </c>
      <c r="I279" s="256" t="s">
        <v>43</v>
      </c>
      <c r="J279" s="269" t="s">
        <v>329</v>
      </c>
      <c r="K279" s="258">
        <v>43244.0</v>
      </c>
      <c r="L279" s="258">
        <v>43235.0</v>
      </c>
      <c r="M279" s="388"/>
      <c r="N279" s="333" t="s">
        <v>3775</v>
      </c>
      <c r="O279" s="310" t="s">
        <v>4415</v>
      </c>
      <c r="P279" s="268">
        <v>226.8</v>
      </c>
      <c r="Q279" s="330"/>
      <c r="R279" s="422" t="s">
        <v>2207</v>
      </c>
      <c r="S279" s="768">
        <v>43281.0</v>
      </c>
      <c r="T279" s="771">
        <v>43236.0</v>
      </c>
      <c r="U279" s="252" t="s">
        <v>4416</v>
      </c>
      <c r="V279" s="806" t="s">
        <v>4420</v>
      </c>
      <c r="W279" s="769">
        <v>43284.0</v>
      </c>
      <c r="X279" s="252" t="s">
        <v>4417</v>
      </c>
      <c r="Y279" s="765" t="s">
        <v>4418</v>
      </c>
      <c r="Z279" s="765"/>
      <c r="AA279" s="765"/>
      <c r="AB279" s="765"/>
      <c r="AC279" s="253" t="s">
        <v>284</v>
      </c>
    </row>
    <row r="280" ht="15.75" hidden="1" customHeight="1">
      <c r="A280" s="776">
        <v>43220.0</v>
      </c>
      <c r="B280" s="320" t="s">
        <v>326</v>
      </c>
      <c r="C280" s="252">
        <v>2022616.0</v>
      </c>
      <c r="D280" s="310" t="s">
        <v>4413</v>
      </c>
      <c r="E280" s="820" t="s">
        <v>59</v>
      </c>
      <c r="F280" s="253">
        <v>10.0</v>
      </c>
      <c r="G280" s="325">
        <v>4.0</v>
      </c>
      <c r="H280" s="255">
        <f t="shared" si="11"/>
        <v>40</v>
      </c>
      <c r="I280" s="256" t="s">
        <v>43</v>
      </c>
      <c r="J280" s="269" t="s">
        <v>329</v>
      </c>
      <c r="K280" s="258">
        <v>43244.0</v>
      </c>
      <c r="L280" s="258">
        <v>43235.0</v>
      </c>
      <c r="M280" s="388"/>
      <c r="N280" s="333" t="s">
        <v>3775</v>
      </c>
      <c r="O280" s="310" t="s">
        <v>4415</v>
      </c>
      <c r="P280" s="268">
        <v>21.0</v>
      </c>
      <c r="Q280" s="330"/>
      <c r="R280" s="422" t="s">
        <v>2207</v>
      </c>
      <c r="S280" s="768">
        <v>43281.0</v>
      </c>
      <c r="T280" s="771">
        <v>43236.0</v>
      </c>
      <c r="U280" s="252" t="s">
        <v>4416</v>
      </c>
      <c r="V280" s="806" t="s">
        <v>4420</v>
      </c>
      <c r="W280" s="769">
        <v>43284.0</v>
      </c>
      <c r="X280" s="252" t="s">
        <v>4417</v>
      </c>
      <c r="Y280" s="765" t="s">
        <v>4418</v>
      </c>
      <c r="Z280" s="765"/>
      <c r="AA280" s="765"/>
      <c r="AB280" s="765"/>
      <c r="AC280" s="253" t="s">
        <v>284</v>
      </c>
    </row>
    <row r="281" ht="15.75" hidden="1" customHeight="1">
      <c r="A281" s="274">
        <v>43220.0</v>
      </c>
      <c r="B281" s="783" t="s">
        <v>326</v>
      </c>
      <c r="C281" s="789">
        <v>2022655.0</v>
      </c>
      <c r="D281" s="277" t="s">
        <v>4423</v>
      </c>
      <c r="E281" s="821" t="s">
        <v>4424</v>
      </c>
      <c r="F281" s="279">
        <v>100.0</v>
      </c>
      <c r="G281" s="280">
        <v>133.0</v>
      </c>
      <c r="H281" s="822"/>
      <c r="I281" s="823"/>
      <c r="J281" s="824"/>
      <c r="K281" s="593"/>
      <c r="L281" s="630"/>
      <c r="M281" s="388"/>
      <c r="N281" s="333"/>
      <c r="O281" s="310"/>
      <c r="P281" s="598"/>
      <c r="Q281" s="330"/>
      <c r="R281" s="310"/>
      <c r="S281" s="330"/>
      <c r="T281" s="766"/>
      <c r="U281" s="766"/>
      <c r="V281" s="766"/>
      <c r="W281" s="767"/>
      <c r="X281" s="766"/>
      <c r="Y281" s="765"/>
      <c r="Z281" s="765"/>
      <c r="AA281" s="765"/>
      <c r="AB281" s="765"/>
      <c r="AC281" s="253" t="s">
        <v>3617</v>
      </c>
    </row>
    <row r="282" ht="15.75" hidden="1" customHeight="1">
      <c r="A282" s="764">
        <v>43220.0</v>
      </c>
      <c r="B282" s="265" t="s">
        <v>119</v>
      </c>
      <c r="C282" s="765" t="s">
        <v>4425</v>
      </c>
      <c r="D282" s="252" t="s">
        <v>4426</v>
      </c>
      <c r="E282" s="602" t="s">
        <v>4427</v>
      </c>
      <c r="F282" s="253">
        <v>6.0</v>
      </c>
      <c r="G282" s="254">
        <v>120.0</v>
      </c>
      <c r="H282" s="255">
        <f t="shared" ref="H282:H309" si="12">G282*F282</f>
        <v>720</v>
      </c>
      <c r="I282" s="256" t="s">
        <v>3992</v>
      </c>
      <c r="J282" s="428" t="s">
        <v>4068</v>
      </c>
      <c r="K282" s="258">
        <v>43238.0</v>
      </c>
      <c r="L282" s="258">
        <v>43228.0</v>
      </c>
      <c r="M282" s="388"/>
      <c r="N282" s="333" t="s">
        <v>2129</v>
      </c>
      <c r="O282" s="310" t="s">
        <v>4428</v>
      </c>
      <c r="P282" s="268">
        <v>711.9</v>
      </c>
      <c r="Q282" s="330"/>
      <c r="R282" s="340" t="s">
        <v>47</v>
      </c>
      <c r="S282" s="768">
        <v>43257.0</v>
      </c>
      <c r="T282" s="769">
        <v>43227.0</v>
      </c>
      <c r="U282" s="765" t="s">
        <v>4429</v>
      </c>
      <c r="V282" s="770">
        <v>21154.0</v>
      </c>
      <c r="W282" s="767"/>
      <c r="X282" s="252" t="s">
        <v>4302</v>
      </c>
      <c r="Y282" s="765" t="s">
        <v>4303</v>
      </c>
      <c r="Z282" s="765"/>
      <c r="AA282" s="765"/>
      <c r="AB282" s="765"/>
      <c r="AC282" s="253" t="s">
        <v>284</v>
      </c>
    </row>
    <row r="283" ht="15.75" hidden="1" customHeight="1">
      <c r="A283" s="764">
        <v>43223.0</v>
      </c>
      <c r="B283" s="265" t="s">
        <v>621</v>
      </c>
      <c r="C283" s="765"/>
      <c r="D283" s="252" t="s">
        <v>4430</v>
      </c>
      <c r="E283" s="602" t="s">
        <v>4431</v>
      </c>
      <c r="F283" s="253">
        <v>2.0</v>
      </c>
      <c r="G283" s="254">
        <v>140.7</v>
      </c>
      <c r="H283" s="255">
        <f t="shared" si="12"/>
        <v>281.4</v>
      </c>
      <c r="I283" s="256" t="s">
        <v>171</v>
      </c>
      <c r="J283" s="321" t="s">
        <v>90</v>
      </c>
      <c r="K283" s="258">
        <v>43230.0</v>
      </c>
      <c r="L283" s="601">
        <v>43230.0</v>
      </c>
      <c r="M283" s="388"/>
      <c r="N283" s="333" t="s">
        <v>90</v>
      </c>
      <c r="O283" s="310" t="s">
        <v>4432</v>
      </c>
      <c r="P283" s="268">
        <v>260.4</v>
      </c>
      <c r="Q283" s="330"/>
      <c r="R283" s="340" t="s">
        <v>94</v>
      </c>
      <c r="S283" s="768">
        <v>43281.0</v>
      </c>
      <c r="T283" s="769">
        <v>43230.0</v>
      </c>
      <c r="U283" s="765" t="s">
        <v>4433</v>
      </c>
      <c r="V283" s="770">
        <v>7708.0</v>
      </c>
      <c r="W283" s="769">
        <v>43284.0</v>
      </c>
      <c r="X283" s="765" t="s">
        <v>4434</v>
      </c>
      <c r="Y283" s="765"/>
      <c r="Z283" s="765" t="s">
        <v>4435</v>
      </c>
      <c r="AA283" s="772">
        <v>8416.0</v>
      </c>
      <c r="AB283" s="765" t="s">
        <v>4365</v>
      </c>
      <c r="AC283" s="266" t="s">
        <v>377</v>
      </c>
    </row>
    <row r="284" ht="15.75" hidden="1" customHeight="1">
      <c r="A284" s="764">
        <v>43223.0</v>
      </c>
      <c r="B284" s="265" t="s">
        <v>579</v>
      </c>
      <c r="C284" s="765"/>
      <c r="D284" s="252" t="s">
        <v>4436</v>
      </c>
      <c r="E284" s="602" t="s">
        <v>581</v>
      </c>
      <c r="F284" s="253">
        <v>3.0</v>
      </c>
      <c r="G284" s="254">
        <v>96.6</v>
      </c>
      <c r="H284" s="255">
        <f t="shared" si="12"/>
        <v>289.8</v>
      </c>
      <c r="I284" s="256" t="s">
        <v>171</v>
      </c>
      <c r="J284" s="321" t="s">
        <v>582</v>
      </c>
      <c r="K284" s="258">
        <v>43252.0</v>
      </c>
      <c r="L284" s="258">
        <v>43251.0</v>
      </c>
      <c r="M284" s="388"/>
      <c r="N284" s="333" t="s">
        <v>1439</v>
      </c>
      <c r="O284" s="310" t="s">
        <v>4437</v>
      </c>
      <c r="P284" s="598"/>
      <c r="Q284" s="579">
        <v>7494.0</v>
      </c>
      <c r="R284" s="320" t="s">
        <v>1976</v>
      </c>
      <c r="S284" s="768">
        <v>43281.0</v>
      </c>
      <c r="T284" s="771">
        <v>43251.0</v>
      </c>
      <c r="U284" s="252" t="s">
        <v>4438</v>
      </c>
      <c r="V284" s="774">
        <v>7493.0</v>
      </c>
      <c r="W284" s="769">
        <v>43286.0</v>
      </c>
      <c r="X284" s="765" t="s">
        <v>4439</v>
      </c>
      <c r="Y284" s="765"/>
      <c r="Z284" s="765"/>
      <c r="AA284" s="774">
        <v>8694.0</v>
      </c>
      <c r="AB284" s="765" t="s">
        <v>4440</v>
      </c>
      <c r="AC284" s="253" t="s">
        <v>377</v>
      </c>
    </row>
    <row r="285" ht="15.75" hidden="1" customHeight="1">
      <c r="A285" s="764">
        <v>43223.0</v>
      </c>
      <c r="B285" s="265" t="s">
        <v>4441</v>
      </c>
      <c r="C285" s="765"/>
      <c r="D285" s="252" t="s">
        <v>4442</v>
      </c>
      <c r="E285" s="602" t="s">
        <v>4443</v>
      </c>
      <c r="F285" s="253">
        <v>1.0</v>
      </c>
      <c r="G285" s="254">
        <v>961.0</v>
      </c>
      <c r="H285" s="255">
        <f t="shared" si="12"/>
        <v>961</v>
      </c>
      <c r="I285" s="256" t="s">
        <v>171</v>
      </c>
      <c r="J285" s="269" t="s">
        <v>4444</v>
      </c>
      <c r="K285" s="258">
        <v>43235.0</v>
      </c>
      <c r="L285" s="258">
        <v>43235.0</v>
      </c>
      <c r="M285" s="388"/>
      <c r="N285" s="333" t="s">
        <v>1439</v>
      </c>
      <c r="O285" s="310" t="s">
        <v>4445</v>
      </c>
      <c r="P285" s="598"/>
      <c r="Q285" s="579">
        <v>25421.0</v>
      </c>
      <c r="R285" s="320" t="s">
        <v>1976</v>
      </c>
      <c r="S285" s="768">
        <v>43281.0</v>
      </c>
      <c r="T285" s="769">
        <v>43234.0</v>
      </c>
      <c r="U285" s="765" t="s">
        <v>4446</v>
      </c>
      <c r="V285" s="770">
        <v>25421.0</v>
      </c>
      <c r="W285" s="769">
        <v>43286.0</v>
      </c>
      <c r="X285" s="252" t="s">
        <v>4447</v>
      </c>
      <c r="Y285" s="765" t="s">
        <v>4448</v>
      </c>
      <c r="Z285" s="765"/>
      <c r="AA285" s="765"/>
      <c r="AB285" s="765"/>
      <c r="AC285" s="253" t="s">
        <v>284</v>
      </c>
    </row>
    <row r="286" ht="15.75" hidden="1" customHeight="1">
      <c r="A286" s="764">
        <v>43224.0</v>
      </c>
      <c r="B286" s="265" t="s">
        <v>631</v>
      </c>
      <c r="C286" s="765" t="s">
        <v>4449</v>
      </c>
      <c r="D286" s="252" t="s">
        <v>4450</v>
      </c>
      <c r="E286" s="602" t="s">
        <v>3676</v>
      </c>
      <c r="F286" s="253">
        <v>6.0</v>
      </c>
      <c r="G286" s="325">
        <v>173.25</v>
      </c>
      <c r="H286" s="255">
        <f t="shared" si="12"/>
        <v>1039.5</v>
      </c>
      <c r="I286" s="256" t="s">
        <v>171</v>
      </c>
      <c r="J286" s="269" t="s">
        <v>628</v>
      </c>
      <c r="K286" s="258">
        <v>43230.0</v>
      </c>
      <c r="L286" s="258">
        <v>43229.0</v>
      </c>
      <c r="M286" s="388"/>
      <c r="N286" s="333" t="s">
        <v>2263</v>
      </c>
      <c r="O286" s="310" t="s">
        <v>4451</v>
      </c>
      <c r="P286" s="598"/>
      <c r="Q286" s="579">
        <v>30555.0</v>
      </c>
      <c r="R286" s="310" t="s">
        <v>2265</v>
      </c>
      <c r="S286" s="330"/>
      <c r="T286" s="769">
        <v>43228.0</v>
      </c>
      <c r="U286" s="765" t="s">
        <v>4452</v>
      </c>
      <c r="V286" s="770">
        <v>30555.0</v>
      </c>
      <c r="W286" s="769">
        <v>43229.0</v>
      </c>
      <c r="X286" s="765" t="s">
        <v>4453</v>
      </c>
      <c r="Y286" s="252" t="s">
        <v>4454</v>
      </c>
      <c r="Z286" s="602" t="s">
        <v>4455</v>
      </c>
      <c r="AA286" s="774">
        <v>31086.0</v>
      </c>
      <c r="AB286" s="765" t="s">
        <v>4456</v>
      </c>
      <c r="AC286" s="253" t="s">
        <v>377</v>
      </c>
    </row>
    <row r="287" ht="15.75" hidden="1" customHeight="1">
      <c r="A287" s="764">
        <v>43213.0</v>
      </c>
      <c r="B287" s="597" t="s">
        <v>406</v>
      </c>
      <c r="C287" s="765">
        <v>7.000137849E9</v>
      </c>
      <c r="D287" s="252" t="s">
        <v>4457</v>
      </c>
      <c r="E287" s="602" t="s">
        <v>3676</v>
      </c>
      <c r="F287" s="253">
        <v>1.0</v>
      </c>
      <c r="G287" s="254">
        <v>48.0</v>
      </c>
      <c r="H287" s="255">
        <f t="shared" si="12"/>
        <v>48</v>
      </c>
      <c r="I287" s="256" t="s">
        <v>43</v>
      </c>
      <c r="J287" s="403" t="s">
        <v>3941</v>
      </c>
      <c r="K287" s="258">
        <v>43234.0</v>
      </c>
      <c r="L287" s="258">
        <v>43231.0</v>
      </c>
      <c r="M287" s="388"/>
      <c r="N287" s="333" t="s">
        <v>3593</v>
      </c>
      <c r="O287" s="310" t="s">
        <v>4458</v>
      </c>
      <c r="P287" s="598"/>
      <c r="Q287" s="637">
        <v>1356.0</v>
      </c>
      <c r="R287" s="310" t="s">
        <v>2080</v>
      </c>
      <c r="S287" s="768">
        <v>43312.0</v>
      </c>
      <c r="T287" s="769">
        <v>43230.0</v>
      </c>
      <c r="U287" s="765" t="s">
        <v>4459</v>
      </c>
      <c r="V287" s="774">
        <v>1356.0</v>
      </c>
      <c r="W287" s="771">
        <v>43312.0</v>
      </c>
      <c r="X287" s="765" t="s">
        <v>4161</v>
      </c>
      <c r="Y287" s="765">
        <v>7.316938613E9</v>
      </c>
      <c r="Z287" s="765"/>
      <c r="AA287" s="765"/>
      <c r="AB287" s="765"/>
      <c r="AC287" s="253" t="s">
        <v>284</v>
      </c>
    </row>
    <row r="288" ht="15.75" hidden="1" customHeight="1">
      <c r="A288" s="764">
        <v>43228.0</v>
      </c>
      <c r="B288" s="309" t="s">
        <v>378</v>
      </c>
      <c r="C288" s="765">
        <v>8487.0</v>
      </c>
      <c r="D288" s="252" t="s">
        <v>4460</v>
      </c>
      <c r="E288" s="330" t="s">
        <v>380</v>
      </c>
      <c r="F288" s="307">
        <v>100.0</v>
      </c>
      <c r="G288" s="338">
        <v>62.0</v>
      </c>
      <c r="H288" s="255">
        <f t="shared" si="12"/>
        <v>6200</v>
      </c>
      <c r="I288" s="256" t="s">
        <v>171</v>
      </c>
      <c r="J288" s="369" t="s">
        <v>4461</v>
      </c>
      <c r="K288" s="258">
        <v>43304.0</v>
      </c>
      <c r="L288" s="258">
        <v>43304.0</v>
      </c>
      <c r="M288" s="388"/>
      <c r="N288" s="256" t="s">
        <v>2054</v>
      </c>
      <c r="O288" s="310" t="s">
        <v>4462</v>
      </c>
      <c r="P288" s="598"/>
      <c r="Q288" s="579">
        <v>149730.0</v>
      </c>
      <c r="R288" s="265" t="s">
        <v>2056</v>
      </c>
      <c r="S288" s="768">
        <v>43317.0</v>
      </c>
      <c r="T288" s="769">
        <v>43301.0</v>
      </c>
      <c r="U288" s="765" t="s">
        <v>4463</v>
      </c>
      <c r="V288" s="770">
        <v>149730.0</v>
      </c>
      <c r="W288" s="769">
        <v>43318.0</v>
      </c>
      <c r="X288" s="765" t="s">
        <v>4464</v>
      </c>
      <c r="Y288" s="765" t="s">
        <v>4465</v>
      </c>
      <c r="Z288" s="765"/>
      <c r="AA288" s="765"/>
      <c r="AB288" s="765"/>
      <c r="AC288" s="253" t="s">
        <v>284</v>
      </c>
    </row>
    <row r="289" ht="15.75" hidden="1" customHeight="1">
      <c r="A289" s="764">
        <v>43229.0</v>
      </c>
      <c r="B289" s="265" t="s">
        <v>3677</v>
      </c>
      <c r="C289" s="765">
        <v>300318.0</v>
      </c>
      <c r="D289" s="252" t="s">
        <v>4466</v>
      </c>
      <c r="E289" s="602" t="s">
        <v>4467</v>
      </c>
      <c r="F289" s="253">
        <v>20.0</v>
      </c>
      <c r="G289" s="254">
        <v>82.0</v>
      </c>
      <c r="H289" s="255">
        <f t="shared" si="12"/>
        <v>1640</v>
      </c>
      <c r="I289" s="256" t="s">
        <v>171</v>
      </c>
      <c r="J289" s="269" t="s">
        <v>3680</v>
      </c>
      <c r="K289" s="258">
        <v>43237.0</v>
      </c>
      <c r="L289" s="258">
        <v>43236.0</v>
      </c>
      <c r="M289" s="388"/>
      <c r="N289" s="333" t="s">
        <v>90</v>
      </c>
      <c r="O289" s="310" t="s">
        <v>4468</v>
      </c>
      <c r="P289" s="268">
        <v>1554.0</v>
      </c>
      <c r="Q289" s="330"/>
      <c r="R289" s="340" t="s">
        <v>94</v>
      </c>
      <c r="S289" s="768">
        <v>43281.0</v>
      </c>
      <c r="T289" s="769">
        <v>43236.0</v>
      </c>
      <c r="U289" s="765" t="s">
        <v>4469</v>
      </c>
      <c r="V289" s="770">
        <v>46084.0</v>
      </c>
      <c r="W289" s="769">
        <v>43284.0</v>
      </c>
      <c r="X289" s="252" t="s">
        <v>4470</v>
      </c>
      <c r="Y289" s="765">
        <v>7.722543332E11</v>
      </c>
      <c r="Z289" s="765"/>
      <c r="AA289" s="765"/>
      <c r="AB289" s="765"/>
      <c r="AC289" s="253" t="s">
        <v>284</v>
      </c>
    </row>
    <row r="290" ht="15.75" hidden="1" customHeight="1">
      <c r="A290" s="764">
        <v>43229.0</v>
      </c>
      <c r="B290" s="597" t="s">
        <v>3729</v>
      </c>
      <c r="C290" s="765" t="s">
        <v>4471</v>
      </c>
      <c r="D290" s="252" t="s">
        <v>4472</v>
      </c>
      <c r="E290" s="825" t="s">
        <v>4473</v>
      </c>
      <c r="F290" s="253">
        <v>1.0</v>
      </c>
      <c r="G290" s="254">
        <v>1743.0</v>
      </c>
      <c r="H290" s="255">
        <f t="shared" si="12"/>
        <v>1743</v>
      </c>
      <c r="I290" s="256" t="s">
        <v>171</v>
      </c>
      <c r="J290" s="333" t="s">
        <v>3732</v>
      </c>
      <c r="K290" s="258">
        <v>43241.0</v>
      </c>
      <c r="L290" s="258">
        <v>43236.0</v>
      </c>
      <c r="M290" s="388"/>
      <c r="N290" s="333" t="s">
        <v>2034</v>
      </c>
      <c r="O290" s="310" t="s">
        <v>4474</v>
      </c>
      <c r="P290" s="268">
        <v>1638.0</v>
      </c>
      <c r="Q290" s="330"/>
      <c r="R290" s="310" t="s">
        <v>2036</v>
      </c>
      <c r="S290" s="768">
        <v>43286.0</v>
      </c>
      <c r="T290" s="769">
        <v>43235.0</v>
      </c>
      <c r="U290" s="765" t="s">
        <v>4475</v>
      </c>
      <c r="V290" s="770">
        <v>57792.0</v>
      </c>
      <c r="W290" s="769">
        <v>43286.0</v>
      </c>
      <c r="X290" s="252" t="s">
        <v>4476</v>
      </c>
      <c r="Y290" s="765" t="s">
        <v>4477</v>
      </c>
      <c r="Z290" s="765"/>
      <c r="AA290" s="765"/>
      <c r="AB290" s="765"/>
      <c r="AC290" s="253" t="s">
        <v>284</v>
      </c>
    </row>
    <row r="291" ht="15.75" hidden="1" customHeight="1">
      <c r="A291" s="764">
        <v>43229.0</v>
      </c>
      <c r="B291" s="597" t="s">
        <v>3729</v>
      </c>
      <c r="C291" s="765" t="s">
        <v>4471</v>
      </c>
      <c r="D291" s="252" t="s">
        <v>4472</v>
      </c>
      <c r="E291" s="602" t="s">
        <v>4478</v>
      </c>
      <c r="F291" s="253">
        <v>2.0</v>
      </c>
      <c r="G291" s="254">
        <v>167.0</v>
      </c>
      <c r="H291" s="255">
        <f t="shared" si="12"/>
        <v>334</v>
      </c>
      <c r="I291" s="256" t="s">
        <v>171</v>
      </c>
      <c r="J291" s="333" t="s">
        <v>3732</v>
      </c>
      <c r="K291" s="258">
        <v>43241.0</v>
      </c>
      <c r="L291" s="258">
        <v>43236.0</v>
      </c>
      <c r="M291" s="388"/>
      <c r="N291" s="333" t="s">
        <v>2034</v>
      </c>
      <c r="O291" s="310" t="s">
        <v>4474</v>
      </c>
      <c r="P291" s="268">
        <v>310.8</v>
      </c>
      <c r="Q291" s="330"/>
      <c r="R291" s="310" t="s">
        <v>2036</v>
      </c>
      <c r="S291" s="768">
        <v>43286.0</v>
      </c>
      <c r="T291" s="769">
        <v>43235.0</v>
      </c>
      <c r="U291" s="765" t="s">
        <v>4475</v>
      </c>
      <c r="V291" s="765" t="s">
        <v>4479</v>
      </c>
      <c r="W291" s="769">
        <v>43286.0</v>
      </c>
      <c r="X291" s="252" t="s">
        <v>4476</v>
      </c>
      <c r="Y291" s="765" t="s">
        <v>4477</v>
      </c>
      <c r="Z291" s="765"/>
      <c r="AA291" s="765"/>
      <c r="AB291" s="765"/>
      <c r="AC291" s="253" t="s">
        <v>284</v>
      </c>
    </row>
    <row r="292" ht="15.75" hidden="1" customHeight="1">
      <c r="A292" s="764">
        <v>43229.0</v>
      </c>
      <c r="B292" s="597" t="s">
        <v>406</v>
      </c>
      <c r="C292" s="765">
        <v>7.000137939E9</v>
      </c>
      <c r="D292" s="252" t="s">
        <v>4480</v>
      </c>
      <c r="E292" s="602" t="s">
        <v>4481</v>
      </c>
      <c r="F292" s="253">
        <v>4.0</v>
      </c>
      <c r="G292" s="254">
        <v>225.0</v>
      </c>
      <c r="H292" s="255">
        <f t="shared" si="12"/>
        <v>900</v>
      </c>
      <c r="I292" s="256" t="s">
        <v>43</v>
      </c>
      <c r="J292" s="403" t="s">
        <v>520</v>
      </c>
      <c r="K292" s="258">
        <v>43235.0</v>
      </c>
      <c r="L292" s="258">
        <v>43231.0</v>
      </c>
      <c r="M292" s="388"/>
      <c r="N292" s="333" t="s">
        <v>3593</v>
      </c>
      <c r="O292" s="310" t="s">
        <v>4482</v>
      </c>
      <c r="P292" s="598"/>
      <c r="Q292" s="637">
        <v>25150.0</v>
      </c>
      <c r="R292" s="310" t="s">
        <v>2080</v>
      </c>
      <c r="S292" s="768">
        <v>43312.0</v>
      </c>
      <c r="T292" s="769">
        <v>43230.0</v>
      </c>
      <c r="U292" s="765" t="s">
        <v>4483</v>
      </c>
      <c r="V292" s="774">
        <v>25150.0</v>
      </c>
      <c r="W292" s="771">
        <v>43312.0</v>
      </c>
      <c r="X292" s="765" t="s">
        <v>4484</v>
      </c>
      <c r="Y292" s="765" t="s">
        <v>4485</v>
      </c>
      <c r="Z292" s="765"/>
      <c r="AA292" s="765"/>
      <c r="AB292" s="765"/>
      <c r="AC292" s="253" t="s">
        <v>284</v>
      </c>
    </row>
    <row r="293" ht="37.5" hidden="1" customHeight="1">
      <c r="A293" s="764">
        <v>43229.0</v>
      </c>
      <c r="B293" s="597" t="s">
        <v>1204</v>
      </c>
      <c r="C293" s="765" t="s">
        <v>4486</v>
      </c>
      <c r="D293" s="310" t="s">
        <v>4487</v>
      </c>
      <c r="E293" s="310" t="s">
        <v>4488</v>
      </c>
      <c r="F293" s="808">
        <v>100.0</v>
      </c>
      <c r="G293" s="268">
        <v>7.5</v>
      </c>
      <c r="H293" s="255">
        <f t="shared" si="12"/>
        <v>750</v>
      </c>
      <c r="I293" s="266" t="s">
        <v>43</v>
      </c>
      <c r="J293" s="269" t="s">
        <v>4489</v>
      </c>
      <c r="K293" s="258">
        <v>43304.0</v>
      </c>
      <c r="L293" s="258">
        <v>43301.0</v>
      </c>
      <c r="M293" s="388"/>
      <c r="N293" s="333" t="s">
        <v>2508</v>
      </c>
      <c r="O293" s="310" t="s">
        <v>4490</v>
      </c>
      <c r="P293" s="598"/>
      <c r="Q293" s="637">
        <v>20475.0</v>
      </c>
      <c r="R293" s="310" t="s">
        <v>4491</v>
      </c>
      <c r="S293" s="768">
        <v>43317.0</v>
      </c>
      <c r="T293" s="771">
        <v>43298.0</v>
      </c>
      <c r="U293" s="252" t="s">
        <v>4492</v>
      </c>
      <c r="V293" s="774">
        <v>20475.0</v>
      </c>
      <c r="W293" s="769">
        <v>43317.0</v>
      </c>
      <c r="X293" s="765" t="s">
        <v>4493</v>
      </c>
      <c r="Y293" s="765">
        <v>2.53703472E8</v>
      </c>
      <c r="Z293" s="765"/>
      <c r="AA293" s="765"/>
      <c r="AB293" s="765"/>
      <c r="AC293" s="253" t="s">
        <v>284</v>
      </c>
    </row>
    <row r="294" ht="15.75" hidden="1" customHeight="1">
      <c r="A294" s="764">
        <v>43229.0</v>
      </c>
      <c r="B294" s="597" t="s">
        <v>1204</v>
      </c>
      <c r="C294" s="765" t="s">
        <v>4494</v>
      </c>
      <c r="D294" s="310" t="s">
        <v>4495</v>
      </c>
      <c r="E294" s="310" t="s">
        <v>4488</v>
      </c>
      <c r="F294" s="808">
        <v>100.0</v>
      </c>
      <c r="G294" s="268">
        <v>7.5</v>
      </c>
      <c r="H294" s="255">
        <f t="shared" si="12"/>
        <v>750</v>
      </c>
      <c r="I294" s="266" t="s">
        <v>43</v>
      </c>
      <c r="J294" s="269" t="s">
        <v>4489</v>
      </c>
      <c r="K294" s="258">
        <v>43374.0</v>
      </c>
      <c r="L294" s="258">
        <v>43370.0</v>
      </c>
      <c r="M294" s="388"/>
      <c r="N294" s="333" t="s">
        <v>2508</v>
      </c>
      <c r="O294" s="310" t="s">
        <v>4490</v>
      </c>
      <c r="P294" s="598"/>
      <c r="Q294" s="637">
        <v>20475.0</v>
      </c>
      <c r="R294" s="310" t="s">
        <v>4491</v>
      </c>
      <c r="S294" s="826">
        <v>43409.0</v>
      </c>
      <c r="T294" s="769">
        <v>43374.0</v>
      </c>
      <c r="U294" s="765" t="s">
        <v>4496</v>
      </c>
      <c r="V294" s="770">
        <v>20475.0</v>
      </c>
      <c r="W294" s="771">
        <v>43409.0</v>
      </c>
      <c r="X294" s="252" t="s">
        <v>4497</v>
      </c>
      <c r="Y294" s="765">
        <v>6.4508528E8</v>
      </c>
      <c r="Z294" s="765"/>
      <c r="AA294" s="765"/>
      <c r="AB294" s="765"/>
      <c r="AC294" s="253" t="s">
        <v>284</v>
      </c>
    </row>
    <row r="295" ht="15.75" hidden="1" customHeight="1">
      <c r="A295" s="764">
        <v>43230.0</v>
      </c>
      <c r="B295" s="265" t="s">
        <v>101</v>
      </c>
      <c r="C295" s="765" t="s">
        <v>4498</v>
      </c>
      <c r="D295" s="252" t="s">
        <v>4499</v>
      </c>
      <c r="E295" s="602" t="s">
        <v>4500</v>
      </c>
      <c r="F295" s="253">
        <v>2.0</v>
      </c>
      <c r="G295" s="254">
        <v>515.0</v>
      </c>
      <c r="H295" s="255">
        <f t="shared" si="12"/>
        <v>1030</v>
      </c>
      <c r="I295" s="256" t="s">
        <v>171</v>
      </c>
      <c r="J295" s="333" t="s">
        <v>3739</v>
      </c>
      <c r="K295" s="258">
        <v>43242.0</v>
      </c>
      <c r="L295" s="258">
        <v>43241.0</v>
      </c>
      <c r="M295" s="388"/>
      <c r="N295" s="333" t="s">
        <v>2028</v>
      </c>
      <c r="O295" s="310" t="s">
        <v>4501</v>
      </c>
      <c r="P295" s="598"/>
      <c r="Q295" s="637">
        <v>28886.0</v>
      </c>
      <c r="R295" s="578" t="s">
        <v>2030</v>
      </c>
      <c r="S295" s="768">
        <v>43286.0</v>
      </c>
      <c r="T295" s="769">
        <v>43238.0</v>
      </c>
      <c r="U295" s="765" t="s">
        <v>4502</v>
      </c>
      <c r="V295" s="770">
        <v>28886.0</v>
      </c>
      <c r="W295" s="769">
        <v>43286.0</v>
      </c>
      <c r="X295" s="252" t="s">
        <v>4503</v>
      </c>
      <c r="Y295" s="765">
        <v>2.569038371E9</v>
      </c>
      <c r="Z295" s="765"/>
      <c r="AA295" s="765"/>
      <c r="AB295" s="765"/>
      <c r="AC295" s="253" t="s">
        <v>284</v>
      </c>
    </row>
    <row r="296" ht="15.75" hidden="1" customHeight="1">
      <c r="A296" s="764">
        <v>43230.0</v>
      </c>
      <c r="B296" s="265" t="s">
        <v>101</v>
      </c>
      <c r="C296" s="765" t="s">
        <v>4498</v>
      </c>
      <c r="D296" s="252" t="s">
        <v>4499</v>
      </c>
      <c r="E296" s="815" t="s">
        <v>1954</v>
      </c>
      <c r="F296" s="253">
        <v>2.0</v>
      </c>
      <c r="G296" s="254">
        <v>352.0</v>
      </c>
      <c r="H296" s="255">
        <f t="shared" si="12"/>
        <v>704</v>
      </c>
      <c r="I296" s="256" t="s">
        <v>171</v>
      </c>
      <c r="J296" s="333" t="s">
        <v>3739</v>
      </c>
      <c r="K296" s="258">
        <v>43242.0</v>
      </c>
      <c r="L296" s="258">
        <v>43236.0</v>
      </c>
      <c r="M296" s="388"/>
      <c r="N296" s="333" t="s">
        <v>2026</v>
      </c>
      <c r="O296" s="310" t="s">
        <v>4504</v>
      </c>
      <c r="P296" s="268">
        <v>594.3</v>
      </c>
      <c r="Q296" s="330"/>
      <c r="R296" s="340" t="s">
        <v>47</v>
      </c>
      <c r="S296" s="768">
        <v>43266.0</v>
      </c>
      <c r="T296" s="769">
        <v>43235.0</v>
      </c>
      <c r="U296" s="765" t="s">
        <v>4505</v>
      </c>
      <c r="V296" s="770">
        <v>17676.0</v>
      </c>
      <c r="W296" s="771">
        <v>43266.0</v>
      </c>
      <c r="X296" s="252" t="s">
        <v>4503</v>
      </c>
      <c r="Y296" s="765">
        <v>2.569038371E9</v>
      </c>
      <c r="Z296" s="765"/>
      <c r="AA296" s="765"/>
      <c r="AB296" s="765"/>
      <c r="AC296" s="253" t="s">
        <v>284</v>
      </c>
    </row>
    <row r="297" ht="15.75" hidden="1" customHeight="1">
      <c r="A297" s="764">
        <v>43230.0</v>
      </c>
      <c r="B297" s="265" t="s">
        <v>101</v>
      </c>
      <c r="C297" s="765" t="s">
        <v>4498</v>
      </c>
      <c r="D297" s="252" t="s">
        <v>4499</v>
      </c>
      <c r="E297" s="602" t="s">
        <v>4506</v>
      </c>
      <c r="F297" s="253">
        <v>2.0</v>
      </c>
      <c r="G297" s="254">
        <v>98.0</v>
      </c>
      <c r="H297" s="255">
        <f t="shared" si="12"/>
        <v>196</v>
      </c>
      <c r="I297" s="256" t="s">
        <v>171</v>
      </c>
      <c r="J297" s="333" t="s">
        <v>3739</v>
      </c>
      <c r="K297" s="258">
        <v>43242.0</v>
      </c>
      <c r="L297" s="266" t="s">
        <v>3410</v>
      </c>
      <c r="M297" s="388"/>
      <c r="N297" s="253" t="s">
        <v>2020</v>
      </c>
      <c r="O297" s="310" t="s">
        <v>4507</v>
      </c>
      <c r="P297" s="598"/>
      <c r="Q297" s="637">
        <v>5349.0</v>
      </c>
      <c r="R297" s="604" t="s">
        <v>3906</v>
      </c>
      <c r="S297" s="768">
        <v>43273.0</v>
      </c>
      <c r="T297" s="771">
        <v>43242.0</v>
      </c>
      <c r="U297" s="252" t="s">
        <v>4508</v>
      </c>
      <c r="V297" s="774">
        <v>5349.0</v>
      </c>
      <c r="W297" s="769">
        <v>43276.0</v>
      </c>
      <c r="X297" s="252" t="s">
        <v>4503</v>
      </c>
      <c r="Y297" s="765">
        <v>2.569038371E9</v>
      </c>
      <c r="Z297" s="765"/>
      <c r="AA297" s="765"/>
      <c r="AB297" s="765"/>
      <c r="AC297" s="253" t="s">
        <v>284</v>
      </c>
    </row>
    <row r="298" ht="15.75" hidden="1" customHeight="1">
      <c r="A298" s="776">
        <v>43230.0</v>
      </c>
      <c r="B298" s="340" t="s">
        <v>54</v>
      </c>
      <c r="C298" s="252" t="s">
        <v>4509</v>
      </c>
      <c r="D298" s="310" t="s">
        <v>4510</v>
      </c>
      <c r="E298" s="578" t="s">
        <v>3793</v>
      </c>
      <c r="F298" s="266">
        <v>8.0</v>
      </c>
      <c r="G298" s="254">
        <v>150.15</v>
      </c>
      <c r="H298" s="267">
        <f t="shared" si="12"/>
        <v>1201.2</v>
      </c>
      <c r="I298" s="266" t="s">
        <v>43</v>
      </c>
      <c r="J298" s="253" t="s">
        <v>90</v>
      </c>
      <c r="K298" s="258">
        <v>43256.0</v>
      </c>
      <c r="L298" s="258">
        <v>43256.0</v>
      </c>
      <c r="M298" s="388"/>
      <c r="N298" s="333" t="s">
        <v>90</v>
      </c>
      <c r="O298" s="310" t="s">
        <v>4511</v>
      </c>
      <c r="P298" s="268">
        <v>1075.2</v>
      </c>
      <c r="Q298" s="330"/>
      <c r="R298" s="340" t="s">
        <v>94</v>
      </c>
      <c r="S298" s="768">
        <v>43312.0</v>
      </c>
      <c r="T298" s="771">
        <v>43256.0</v>
      </c>
      <c r="U298" s="252" t="s">
        <v>4512</v>
      </c>
      <c r="V298" s="774">
        <v>32143.0</v>
      </c>
      <c r="W298" s="771">
        <v>43312.0</v>
      </c>
      <c r="X298" s="252" t="s">
        <v>4513</v>
      </c>
      <c r="Y298" s="765"/>
      <c r="Z298" s="765" t="s">
        <v>4514</v>
      </c>
      <c r="AA298" s="770">
        <v>35820.0</v>
      </c>
      <c r="AB298" s="765" t="s">
        <v>4515</v>
      </c>
      <c r="AC298" s="253" t="s">
        <v>377</v>
      </c>
    </row>
    <row r="299" ht="15.75" hidden="1" customHeight="1">
      <c r="A299" s="776">
        <v>43230.0</v>
      </c>
      <c r="B299" s="265" t="s">
        <v>548</v>
      </c>
      <c r="C299" s="765" t="s">
        <v>4516</v>
      </c>
      <c r="D299" s="330" t="s">
        <v>4517</v>
      </c>
      <c r="E299" s="602" t="s">
        <v>4518</v>
      </c>
      <c r="F299" s="253">
        <v>12.0</v>
      </c>
      <c r="G299" s="254">
        <v>630.0</v>
      </c>
      <c r="H299" s="255">
        <f t="shared" si="12"/>
        <v>7560</v>
      </c>
      <c r="I299" s="256" t="s">
        <v>3874</v>
      </c>
      <c r="J299" s="269" t="s">
        <v>3749</v>
      </c>
      <c r="K299" s="258">
        <v>43241.0</v>
      </c>
      <c r="L299" s="258">
        <v>43236.0</v>
      </c>
      <c r="M299" s="388"/>
      <c r="N299" s="333" t="s">
        <v>3593</v>
      </c>
      <c r="O299" s="330" t="s">
        <v>4519</v>
      </c>
      <c r="P299" s="598"/>
      <c r="Q299" s="637">
        <v>219794.0</v>
      </c>
      <c r="R299" s="310" t="s">
        <v>2080</v>
      </c>
      <c r="S299" s="768">
        <v>43312.0</v>
      </c>
      <c r="T299" s="769">
        <v>43235.0</v>
      </c>
      <c r="U299" s="765" t="s">
        <v>4520</v>
      </c>
      <c r="V299" s="774">
        <v>219794.0</v>
      </c>
      <c r="W299" s="769">
        <v>43280.0</v>
      </c>
      <c r="X299" s="252" t="s">
        <v>4521</v>
      </c>
      <c r="Y299" s="765">
        <v>2.706828611E9</v>
      </c>
      <c r="Z299" s="765"/>
      <c r="AA299" s="765"/>
      <c r="AB299" s="765"/>
      <c r="AC299" s="253" t="s">
        <v>284</v>
      </c>
    </row>
    <row r="300" ht="15.75" hidden="1" customHeight="1">
      <c r="A300" s="776">
        <v>43234.0</v>
      </c>
      <c r="B300" s="265" t="s">
        <v>101</v>
      </c>
      <c r="C300" s="765" t="s">
        <v>4522</v>
      </c>
      <c r="D300" s="310" t="s">
        <v>4523</v>
      </c>
      <c r="E300" s="602" t="s">
        <v>4524</v>
      </c>
      <c r="F300" s="253">
        <v>20.0</v>
      </c>
      <c r="G300" s="254">
        <v>592.0</v>
      </c>
      <c r="H300" s="255">
        <f t="shared" si="12"/>
        <v>11840</v>
      </c>
      <c r="I300" s="256" t="s">
        <v>171</v>
      </c>
      <c r="J300" s="333" t="s">
        <v>3739</v>
      </c>
      <c r="K300" s="258">
        <v>43272.0</v>
      </c>
      <c r="L300" s="258">
        <v>43271.0</v>
      </c>
      <c r="M300" s="388"/>
      <c r="N300" s="333" t="s">
        <v>2028</v>
      </c>
      <c r="O300" s="310" t="s">
        <v>4525</v>
      </c>
      <c r="P300" s="598"/>
      <c r="Q300" s="637">
        <v>331002.0</v>
      </c>
      <c r="R300" s="578" t="s">
        <v>2030</v>
      </c>
      <c r="S300" s="768">
        <v>43317.0</v>
      </c>
      <c r="T300" s="769">
        <v>43270.0</v>
      </c>
      <c r="U300" s="765" t="s">
        <v>4526</v>
      </c>
      <c r="V300" s="770">
        <v>331002.0</v>
      </c>
      <c r="W300" s="769">
        <v>43319.0</v>
      </c>
      <c r="X300" s="252" t="s">
        <v>4527</v>
      </c>
      <c r="Y300" s="765">
        <v>3.734528663E9</v>
      </c>
      <c r="Z300" s="765"/>
      <c r="AA300" s="765"/>
      <c r="AB300" s="765"/>
      <c r="AC300" s="253" t="s">
        <v>284</v>
      </c>
    </row>
    <row r="301" ht="15.75" hidden="1" customHeight="1">
      <c r="A301" s="776">
        <v>43234.0</v>
      </c>
      <c r="B301" s="265" t="s">
        <v>101</v>
      </c>
      <c r="C301" s="765" t="s">
        <v>4522</v>
      </c>
      <c r="D301" s="310" t="s">
        <v>4528</v>
      </c>
      <c r="E301" s="815" t="s">
        <v>1954</v>
      </c>
      <c r="F301" s="253">
        <v>20.0</v>
      </c>
      <c r="G301" s="827">
        <v>352.0</v>
      </c>
      <c r="H301" s="255">
        <f t="shared" si="12"/>
        <v>7040</v>
      </c>
      <c r="I301" s="256" t="s">
        <v>171</v>
      </c>
      <c r="J301" s="333" t="s">
        <v>3739</v>
      </c>
      <c r="K301" s="258">
        <v>43272.0</v>
      </c>
      <c r="L301" s="258">
        <v>43263.0</v>
      </c>
      <c r="M301" s="388"/>
      <c r="N301" s="333" t="s">
        <v>2026</v>
      </c>
      <c r="O301" s="310" t="s">
        <v>4529</v>
      </c>
      <c r="P301" s="268">
        <v>5901.0</v>
      </c>
      <c r="Q301" s="330"/>
      <c r="R301" s="340" t="s">
        <v>47</v>
      </c>
      <c r="S301" s="768">
        <v>43292.0</v>
      </c>
      <c r="T301" s="769">
        <v>43262.0</v>
      </c>
      <c r="U301" s="765" t="s">
        <v>4530</v>
      </c>
      <c r="V301" s="770">
        <v>175944.0</v>
      </c>
      <c r="W301" s="769">
        <v>43305.0</v>
      </c>
      <c r="X301" s="252" t="s">
        <v>4527</v>
      </c>
      <c r="Y301" s="765" t="s">
        <v>4531</v>
      </c>
      <c r="Z301" s="765"/>
      <c r="AA301" s="765"/>
      <c r="AB301" s="765"/>
      <c r="AC301" s="253" t="s">
        <v>284</v>
      </c>
    </row>
    <row r="302" ht="15.75" hidden="1" customHeight="1">
      <c r="A302" s="776">
        <v>43234.0</v>
      </c>
      <c r="B302" s="265" t="s">
        <v>101</v>
      </c>
      <c r="C302" s="765" t="s">
        <v>4522</v>
      </c>
      <c r="D302" s="798" t="s">
        <v>4532</v>
      </c>
      <c r="E302" s="821" t="s">
        <v>4506</v>
      </c>
      <c r="F302" s="279">
        <v>20.0</v>
      </c>
      <c r="G302" s="828">
        <v>95.0</v>
      </c>
      <c r="H302" s="829">
        <f t="shared" si="12"/>
        <v>1900</v>
      </c>
      <c r="I302" s="256" t="s">
        <v>171</v>
      </c>
      <c r="J302" s="333" t="s">
        <v>3739</v>
      </c>
      <c r="K302" s="258">
        <v>43272.0</v>
      </c>
      <c r="L302" s="258">
        <v>43263.0</v>
      </c>
      <c r="M302" s="388"/>
      <c r="N302" s="253" t="s">
        <v>2020</v>
      </c>
      <c r="O302" s="310" t="s">
        <v>4533</v>
      </c>
      <c r="P302" s="268">
        <v>1782.9</v>
      </c>
      <c r="Q302" s="330"/>
      <c r="R302" s="604" t="s">
        <v>3906</v>
      </c>
      <c r="S302" s="768">
        <v>43286.0</v>
      </c>
      <c r="T302" s="769">
        <v>43256.0</v>
      </c>
      <c r="U302" s="765" t="s">
        <v>4534</v>
      </c>
      <c r="V302" s="770">
        <v>53166.0</v>
      </c>
      <c r="W302" s="769">
        <v>43286.0</v>
      </c>
      <c r="X302" s="252" t="s">
        <v>4527</v>
      </c>
      <c r="Y302" s="765">
        <v>3.734528663E9</v>
      </c>
      <c r="Z302" s="765"/>
      <c r="AA302" s="765"/>
      <c r="AB302" s="765"/>
      <c r="AC302" s="253" t="s">
        <v>284</v>
      </c>
    </row>
    <row r="303" ht="15.75" hidden="1" customHeight="1">
      <c r="A303" s="776">
        <v>43234.0</v>
      </c>
      <c r="B303" s="265" t="s">
        <v>621</v>
      </c>
      <c r="C303" s="765"/>
      <c r="D303" s="252" t="s">
        <v>4535</v>
      </c>
      <c r="E303" s="602" t="s">
        <v>4536</v>
      </c>
      <c r="F303" s="253">
        <v>6.0</v>
      </c>
      <c r="G303" s="827">
        <v>97.125</v>
      </c>
      <c r="H303" s="255">
        <f t="shared" si="12"/>
        <v>582.75</v>
      </c>
      <c r="I303" s="256" t="s">
        <v>171</v>
      </c>
      <c r="J303" s="253" t="s">
        <v>90</v>
      </c>
      <c r="K303" s="258">
        <v>43244.0</v>
      </c>
      <c r="L303" s="258">
        <v>43244.0</v>
      </c>
      <c r="M303" s="388"/>
      <c r="N303" s="333" t="s">
        <v>90</v>
      </c>
      <c r="O303" s="310" t="s">
        <v>4537</v>
      </c>
      <c r="P303" s="268">
        <v>535.5</v>
      </c>
      <c r="Q303" s="330"/>
      <c r="R303" s="340" t="s">
        <v>94</v>
      </c>
      <c r="S303" s="768">
        <v>43281.0</v>
      </c>
      <c r="T303" s="769">
        <v>43244.0</v>
      </c>
      <c r="U303" s="765" t="s">
        <v>4538</v>
      </c>
      <c r="V303" s="770">
        <v>15958.0</v>
      </c>
      <c r="W303" s="769">
        <v>43284.0</v>
      </c>
      <c r="X303" s="765" t="s">
        <v>4539</v>
      </c>
      <c r="Y303" s="765"/>
      <c r="Z303" s="765" t="s">
        <v>4540</v>
      </c>
      <c r="AA303" s="772">
        <v>17442.0</v>
      </c>
      <c r="AB303" s="765" t="s">
        <v>4541</v>
      </c>
      <c r="AC303" s="266" t="s">
        <v>377</v>
      </c>
    </row>
    <row r="304" ht="15.75" hidden="1" customHeight="1">
      <c r="A304" s="776">
        <v>43235.0</v>
      </c>
      <c r="B304" s="597" t="s">
        <v>4542</v>
      </c>
      <c r="C304" s="765"/>
      <c r="D304" s="252" t="s">
        <v>4543</v>
      </c>
      <c r="E304" s="602" t="s">
        <v>3642</v>
      </c>
      <c r="F304" s="253">
        <v>15.0</v>
      </c>
      <c r="G304" s="254">
        <v>290.0</v>
      </c>
      <c r="H304" s="255">
        <f t="shared" si="12"/>
        <v>4350</v>
      </c>
      <c r="I304" s="256" t="s">
        <v>171</v>
      </c>
      <c r="J304" s="269" t="s">
        <v>3259</v>
      </c>
      <c r="K304" s="258">
        <v>43265.0</v>
      </c>
      <c r="L304" s="258">
        <v>43245.0</v>
      </c>
      <c r="M304" s="388"/>
      <c r="N304" s="333" t="s">
        <v>2034</v>
      </c>
      <c r="O304" s="310" t="s">
        <v>4544</v>
      </c>
      <c r="P304" s="268">
        <v>4173.75</v>
      </c>
      <c r="Q304" s="330"/>
      <c r="R304" s="310" t="s">
        <v>2036</v>
      </c>
      <c r="S304" s="768">
        <v>43286.0</v>
      </c>
      <c r="T304" s="769">
        <v>43242.0</v>
      </c>
      <c r="U304" s="765" t="s">
        <v>4545</v>
      </c>
      <c r="V304" s="770">
        <v>124378.0</v>
      </c>
      <c r="W304" s="769">
        <v>43286.0</v>
      </c>
      <c r="X304" s="252" t="s">
        <v>4546</v>
      </c>
      <c r="Y304" s="765" t="s">
        <v>4547</v>
      </c>
      <c r="Z304" s="765"/>
      <c r="AA304" s="765"/>
      <c r="AB304" s="765"/>
      <c r="AC304" s="253" t="s">
        <v>284</v>
      </c>
    </row>
    <row r="305" ht="15.75" hidden="1" customHeight="1">
      <c r="A305" s="776">
        <v>43235.0</v>
      </c>
      <c r="B305" s="597" t="s">
        <v>4542</v>
      </c>
      <c r="C305" s="765"/>
      <c r="D305" s="252" t="s">
        <v>4543</v>
      </c>
      <c r="E305" s="602" t="s">
        <v>3648</v>
      </c>
      <c r="F305" s="253">
        <v>30.0</v>
      </c>
      <c r="G305" s="254">
        <v>106.0</v>
      </c>
      <c r="H305" s="255">
        <f t="shared" si="12"/>
        <v>3180</v>
      </c>
      <c r="I305" s="256" t="s">
        <v>171</v>
      </c>
      <c r="J305" s="269" t="s">
        <v>3259</v>
      </c>
      <c r="K305" s="258">
        <v>43265.0</v>
      </c>
      <c r="L305" s="258">
        <v>43249.0</v>
      </c>
      <c r="M305" s="388"/>
      <c r="N305" s="333" t="s">
        <v>2034</v>
      </c>
      <c r="O305" s="310" t="s">
        <v>4544</v>
      </c>
      <c r="P305" s="268">
        <v>3024.0</v>
      </c>
      <c r="Q305" s="330"/>
      <c r="R305" s="310" t="s">
        <v>2036</v>
      </c>
      <c r="S305" s="768">
        <v>43317.0</v>
      </c>
      <c r="T305" s="769">
        <v>43249.0</v>
      </c>
      <c r="U305" s="765" t="s">
        <v>4548</v>
      </c>
      <c r="V305" s="770">
        <v>90115.0</v>
      </c>
      <c r="W305" s="771">
        <v>43317.0</v>
      </c>
      <c r="X305" s="252" t="s">
        <v>4546</v>
      </c>
      <c r="Y305" s="765" t="s">
        <v>4547</v>
      </c>
      <c r="Z305" s="765"/>
      <c r="AA305" s="765"/>
      <c r="AB305" s="765"/>
      <c r="AC305" s="253" t="s">
        <v>284</v>
      </c>
    </row>
    <row r="306" ht="15.75" hidden="1" customHeight="1">
      <c r="A306" s="776">
        <v>43235.0</v>
      </c>
      <c r="B306" s="265" t="s">
        <v>548</v>
      </c>
      <c r="C306" s="765" t="s">
        <v>4549</v>
      </c>
      <c r="D306" s="252" t="s">
        <v>4550</v>
      </c>
      <c r="E306" s="602" t="s">
        <v>4551</v>
      </c>
      <c r="F306" s="253">
        <v>2.0</v>
      </c>
      <c r="G306" s="254">
        <v>285.0</v>
      </c>
      <c r="H306" s="255">
        <f t="shared" si="12"/>
        <v>570</v>
      </c>
      <c r="I306" s="256" t="s">
        <v>3874</v>
      </c>
      <c r="J306" s="269" t="s">
        <v>3749</v>
      </c>
      <c r="K306" s="258">
        <v>43241.0</v>
      </c>
      <c r="L306" s="258">
        <v>43238.0</v>
      </c>
      <c r="M306" s="388"/>
      <c r="N306" s="333" t="s">
        <v>3593</v>
      </c>
      <c r="O306" s="310" t="s">
        <v>4552</v>
      </c>
      <c r="P306" s="598"/>
      <c r="Q306" s="637">
        <v>16136.0</v>
      </c>
      <c r="R306" s="310" t="s">
        <v>2080</v>
      </c>
      <c r="S306" s="768">
        <v>43312.0</v>
      </c>
      <c r="T306" s="769">
        <v>43237.0</v>
      </c>
      <c r="U306" s="765" t="s">
        <v>4553</v>
      </c>
      <c r="V306" s="770">
        <v>16136.0</v>
      </c>
      <c r="W306" s="771">
        <v>43312.0</v>
      </c>
      <c r="X306" s="252" t="s">
        <v>4521</v>
      </c>
      <c r="Y306" s="765">
        <v>2.706828611E9</v>
      </c>
      <c r="Z306" s="765"/>
      <c r="AA306" s="765"/>
      <c r="AB306" s="765"/>
      <c r="AC306" s="253" t="s">
        <v>284</v>
      </c>
    </row>
    <row r="307" ht="15.75" hidden="1" customHeight="1">
      <c r="A307" s="764">
        <v>43237.0</v>
      </c>
      <c r="B307" s="265" t="s">
        <v>579</v>
      </c>
      <c r="C307" s="765">
        <v>2.0180516001E10</v>
      </c>
      <c r="D307" s="252" t="s">
        <v>4554</v>
      </c>
      <c r="E307" s="602" t="s">
        <v>581</v>
      </c>
      <c r="F307" s="253">
        <v>4.0</v>
      </c>
      <c r="G307" s="254">
        <v>96.6</v>
      </c>
      <c r="H307" s="255">
        <f t="shared" si="12"/>
        <v>386.4</v>
      </c>
      <c r="I307" s="256" t="s">
        <v>171</v>
      </c>
      <c r="J307" s="321" t="s">
        <v>582</v>
      </c>
      <c r="K307" s="258">
        <v>43252.0</v>
      </c>
      <c r="L307" s="258">
        <v>43252.0</v>
      </c>
      <c r="M307" s="388"/>
      <c r="N307" s="333" t="s">
        <v>1439</v>
      </c>
      <c r="O307" s="310" t="s">
        <v>4555</v>
      </c>
      <c r="P307" s="598"/>
      <c r="Q307" s="579">
        <v>10042.0</v>
      </c>
      <c r="R307" s="320" t="s">
        <v>1976</v>
      </c>
      <c r="S307" s="768">
        <v>43281.0</v>
      </c>
      <c r="T307" s="771">
        <v>43251.0</v>
      </c>
      <c r="U307" s="252" t="s">
        <v>4556</v>
      </c>
      <c r="V307" s="774">
        <v>10044.0</v>
      </c>
      <c r="W307" s="769">
        <v>43286.0</v>
      </c>
      <c r="X307" s="765" t="s">
        <v>4557</v>
      </c>
      <c r="Y307" s="765"/>
      <c r="Z307" s="765"/>
      <c r="AA307" s="774">
        <v>11592.0</v>
      </c>
      <c r="AB307" s="765" t="s">
        <v>4558</v>
      </c>
      <c r="AC307" s="253" t="s">
        <v>377</v>
      </c>
    </row>
    <row r="308" ht="15.75" hidden="1" customHeight="1">
      <c r="A308" s="776">
        <v>43237.0</v>
      </c>
      <c r="B308" s="597" t="s">
        <v>4542</v>
      </c>
      <c r="C308" s="765"/>
      <c r="D308" s="252" t="s">
        <v>4559</v>
      </c>
      <c r="E308" s="602" t="s">
        <v>4560</v>
      </c>
      <c r="F308" s="253">
        <v>1.0</v>
      </c>
      <c r="G308" s="254">
        <v>560.0</v>
      </c>
      <c r="H308" s="255">
        <f t="shared" si="12"/>
        <v>560</v>
      </c>
      <c r="I308" s="256" t="s">
        <v>171</v>
      </c>
      <c r="J308" s="269" t="s">
        <v>3259</v>
      </c>
      <c r="K308" s="258">
        <v>43265.0</v>
      </c>
      <c r="L308" s="258">
        <v>43245.0</v>
      </c>
      <c r="M308" s="388"/>
      <c r="N308" s="333" t="s">
        <v>2041</v>
      </c>
      <c r="O308" s="310" t="s">
        <v>4561</v>
      </c>
      <c r="P308" s="268">
        <v>535.5</v>
      </c>
      <c r="Q308" s="330"/>
      <c r="R308" s="310" t="s">
        <v>2043</v>
      </c>
      <c r="S308" s="330"/>
      <c r="T308" s="769">
        <v>43244.0</v>
      </c>
      <c r="U308" s="765" t="s">
        <v>4411</v>
      </c>
      <c r="V308" s="770" t="s">
        <v>4562</v>
      </c>
      <c r="W308" s="769">
        <v>43276.0</v>
      </c>
      <c r="X308" s="252" t="s">
        <v>4546</v>
      </c>
      <c r="Y308" s="765" t="s">
        <v>4547</v>
      </c>
      <c r="Z308" s="765"/>
      <c r="AA308" s="765"/>
      <c r="AB308" s="765"/>
      <c r="AC308" s="253" t="s">
        <v>284</v>
      </c>
    </row>
    <row r="309" ht="15.75" hidden="1" customHeight="1">
      <c r="A309" s="776">
        <v>43237.0</v>
      </c>
      <c r="B309" s="597" t="s">
        <v>4542</v>
      </c>
      <c r="C309" s="765"/>
      <c r="D309" s="252" t="s">
        <v>4563</v>
      </c>
      <c r="E309" s="602" t="s">
        <v>4564</v>
      </c>
      <c r="F309" s="253">
        <v>17.0</v>
      </c>
      <c r="G309" s="254">
        <v>162.0</v>
      </c>
      <c r="H309" s="255">
        <f t="shared" si="12"/>
        <v>2754</v>
      </c>
      <c r="I309" s="256" t="s">
        <v>171</v>
      </c>
      <c r="J309" s="269" t="s">
        <v>3259</v>
      </c>
      <c r="K309" s="258">
        <v>43265.0</v>
      </c>
      <c r="L309" s="258">
        <v>43262.0</v>
      </c>
      <c r="M309" s="388"/>
      <c r="N309" s="333" t="s">
        <v>90</v>
      </c>
      <c r="O309" s="310" t="s">
        <v>4565</v>
      </c>
      <c r="P309" s="268">
        <v>2494.54</v>
      </c>
      <c r="Q309" s="330"/>
      <c r="R309" s="340" t="s">
        <v>94</v>
      </c>
      <c r="S309" s="768">
        <v>43312.0</v>
      </c>
      <c r="T309" s="769">
        <v>43262.0</v>
      </c>
      <c r="U309" s="765" t="s">
        <v>4566</v>
      </c>
      <c r="V309" s="770">
        <v>74225.0</v>
      </c>
      <c r="W309" s="769">
        <v>43312.0</v>
      </c>
      <c r="X309" s="252" t="s">
        <v>4546</v>
      </c>
      <c r="Y309" s="765" t="s">
        <v>4547</v>
      </c>
      <c r="Z309" s="765"/>
      <c r="AA309" s="765"/>
      <c r="AB309" s="765"/>
      <c r="AC309" s="253" t="s">
        <v>284</v>
      </c>
    </row>
    <row r="310" ht="15.75" hidden="1" customHeight="1">
      <c r="A310" s="830">
        <v>43237.0</v>
      </c>
      <c r="B310" s="265" t="s">
        <v>1494</v>
      </c>
      <c r="C310" s="765"/>
      <c r="D310" s="252" t="s">
        <v>4567</v>
      </c>
      <c r="E310" s="602" t="s">
        <v>4568</v>
      </c>
      <c r="F310" s="253">
        <v>4.0</v>
      </c>
      <c r="G310" s="254">
        <v>65.0</v>
      </c>
      <c r="H310" s="255">
        <v>260.0</v>
      </c>
      <c r="I310" s="256" t="s">
        <v>420</v>
      </c>
      <c r="J310" s="269" t="s">
        <v>4569</v>
      </c>
      <c r="K310" s="258">
        <v>43251.0</v>
      </c>
      <c r="L310" s="258">
        <v>43245.0</v>
      </c>
      <c r="M310" s="388"/>
      <c r="N310" s="333" t="s">
        <v>90</v>
      </c>
      <c r="O310" s="310" t="s">
        <v>4570</v>
      </c>
      <c r="P310" s="268">
        <v>243.6</v>
      </c>
      <c r="Q310" s="330"/>
      <c r="R310" s="340" t="s">
        <v>94</v>
      </c>
      <c r="S310" s="768">
        <v>43281.0</v>
      </c>
      <c r="T310" s="769">
        <v>43245.0</v>
      </c>
      <c r="U310" s="765" t="s">
        <v>4571</v>
      </c>
      <c r="V310" s="770">
        <v>7259.0</v>
      </c>
      <c r="W310" s="769">
        <v>43284.0</v>
      </c>
      <c r="X310" s="252" t="s">
        <v>4572</v>
      </c>
      <c r="Y310" s="765" t="s">
        <v>4573</v>
      </c>
      <c r="Z310" s="765"/>
      <c r="AA310" s="765"/>
      <c r="AB310" s="765"/>
      <c r="AC310" s="253" t="s">
        <v>284</v>
      </c>
    </row>
    <row r="311" ht="15.75" hidden="1" customHeight="1">
      <c r="A311" s="776">
        <v>43237.0</v>
      </c>
      <c r="B311" s="320" t="s">
        <v>326</v>
      </c>
      <c r="C311" s="252">
        <v>2022919.0</v>
      </c>
      <c r="D311" s="310" t="s">
        <v>4574</v>
      </c>
      <c r="E311" s="820" t="s">
        <v>188</v>
      </c>
      <c r="F311" s="253">
        <v>120.0</v>
      </c>
      <c r="G311" s="254">
        <v>273.0</v>
      </c>
      <c r="H311" s="255">
        <f t="shared" ref="H311:H335" si="13">G311*F311</f>
        <v>32760</v>
      </c>
      <c r="I311" s="256" t="s">
        <v>43</v>
      </c>
      <c r="J311" s="269" t="s">
        <v>329</v>
      </c>
      <c r="K311" s="258">
        <v>43356.0</v>
      </c>
      <c r="L311" s="258">
        <v>43304.0</v>
      </c>
      <c r="M311" s="388"/>
      <c r="N311" s="333" t="s">
        <v>3775</v>
      </c>
      <c r="O311" s="310" t="s">
        <v>4575</v>
      </c>
      <c r="P311" s="268">
        <v>28980.0</v>
      </c>
      <c r="Q311" s="330"/>
      <c r="R311" s="422" t="s">
        <v>2207</v>
      </c>
      <c r="S311" s="768">
        <v>43343.0</v>
      </c>
      <c r="T311" s="769">
        <v>43305.0</v>
      </c>
      <c r="U311" s="765" t="s">
        <v>4576</v>
      </c>
      <c r="V311" s="770">
        <v>887947.0</v>
      </c>
      <c r="W311" s="769">
        <v>43356.0</v>
      </c>
      <c r="X311" s="765" t="s">
        <v>4577</v>
      </c>
      <c r="Y311" s="765">
        <v>609229.0</v>
      </c>
      <c r="Z311" s="765"/>
      <c r="AA311" s="765"/>
      <c r="AB311" s="765"/>
      <c r="AC311" s="253" t="s">
        <v>284</v>
      </c>
    </row>
    <row r="312" ht="15.75" hidden="1" customHeight="1">
      <c r="A312" s="764">
        <v>43237.0</v>
      </c>
      <c r="B312" s="597" t="s">
        <v>406</v>
      </c>
      <c r="C312" s="765">
        <v>7.000138157E9</v>
      </c>
      <c r="D312" s="252" t="s">
        <v>4578</v>
      </c>
      <c r="E312" s="602" t="s">
        <v>3651</v>
      </c>
      <c r="F312" s="253">
        <v>2.0</v>
      </c>
      <c r="G312" s="254">
        <v>421.0</v>
      </c>
      <c r="H312" s="255">
        <f t="shared" si="13"/>
        <v>842</v>
      </c>
      <c r="I312" s="256" t="s">
        <v>43</v>
      </c>
      <c r="J312" s="333" t="s">
        <v>4002</v>
      </c>
      <c r="K312" s="258">
        <v>43244.0</v>
      </c>
      <c r="L312" s="258">
        <v>43242.0</v>
      </c>
      <c r="M312" s="388"/>
      <c r="N312" s="333" t="s">
        <v>3593</v>
      </c>
      <c r="O312" s="310" t="s">
        <v>4579</v>
      </c>
      <c r="P312" s="598"/>
      <c r="Q312" s="637">
        <v>23432.0</v>
      </c>
      <c r="R312" s="310" t="s">
        <v>2080</v>
      </c>
      <c r="S312" s="768">
        <v>43312.0</v>
      </c>
      <c r="T312" s="769">
        <v>43241.0</v>
      </c>
      <c r="U312" s="765" t="s">
        <v>4580</v>
      </c>
      <c r="V312" s="770">
        <v>28854.0</v>
      </c>
      <c r="W312" s="771">
        <v>43312.0</v>
      </c>
      <c r="X312" s="252" t="s">
        <v>4581</v>
      </c>
      <c r="Y312" s="765">
        <v>3.599676275E9</v>
      </c>
      <c r="Z312" s="765"/>
      <c r="AA312" s="765"/>
      <c r="AB312" s="765"/>
      <c r="AC312" s="253" t="s">
        <v>284</v>
      </c>
    </row>
    <row r="313" ht="15.75" hidden="1" customHeight="1">
      <c r="A313" s="764">
        <v>43237.0</v>
      </c>
      <c r="B313" s="597" t="s">
        <v>406</v>
      </c>
      <c r="C313" s="765">
        <v>7.000138157E9</v>
      </c>
      <c r="D313" s="252" t="s">
        <v>4578</v>
      </c>
      <c r="E313" s="602" t="s">
        <v>4582</v>
      </c>
      <c r="F313" s="253">
        <v>1.0</v>
      </c>
      <c r="G313" s="254">
        <v>674.0</v>
      </c>
      <c r="H313" s="255">
        <f t="shared" si="13"/>
        <v>674</v>
      </c>
      <c r="I313" s="256" t="s">
        <v>43</v>
      </c>
      <c r="J313" s="333" t="s">
        <v>4002</v>
      </c>
      <c r="K313" s="258">
        <v>43265.0</v>
      </c>
      <c r="L313" s="258">
        <v>43259.0</v>
      </c>
      <c r="M313" s="388"/>
      <c r="N313" s="333" t="s">
        <v>3593</v>
      </c>
      <c r="O313" s="310" t="s">
        <v>4579</v>
      </c>
      <c r="P313" s="598"/>
      <c r="Q313" s="637">
        <v>18766.0</v>
      </c>
      <c r="R313" s="310" t="s">
        <v>2080</v>
      </c>
      <c r="S313" s="768">
        <v>43343.0</v>
      </c>
      <c r="T313" s="769">
        <v>43256.0</v>
      </c>
      <c r="U313" s="765" t="s">
        <v>4583</v>
      </c>
      <c r="V313" s="770">
        <v>18766.0</v>
      </c>
      <c r="W313" s="769">
        <v>43320.0</v>
      </c>
      <c r="X313" s="252" t="s">
        <v>4584</v>
      </c>
      <c r="Y313" s="252">
        <v>2.886338571E9</v>
      </c>
      <c r="Z313" s="765"/>
      <c r="AA313" s="765"/>
      <c r="AB313" s="765"/>
      <c r="AC313" s="253" t="s">
        <v>284</v>
      </c>
    </row>
    <row r="314" ht="15.75" hidden="1" customHeight="1">
      <c r="A314" s="764">
        <v>43237.0</v>
      </c>
      <c r="B314" s="597" t="s">
        <v>406</v>
      </c>
      <c r="C314" s="765">
        <v>7.000138157E9</v>
      </c>
      <c r="D314" s="252" t="s">
        <v>4578</v>
      </c>
      <c r="E314" s="602" t="s">
        <v>3676</v>
      </c>
      <c r="F314" s="253">
        <v>4.0</v>
      </c>
      <c r="G314" s="254">
        <v>48.0</v>
      </c>
      <c r="H314" s="255">
        <f t="shared" si="13"/>
        <v>192</v>
      </c>
      <c r="I314" s="256" t="s">
        <v>43</v>
      </c>
      <c r="J314" s="333" t="s">
        <v>4002</v>
      </c>
      <c r="K314" s="258">
        <v>43244.0</v>
      </c>
      <c r="L314" s="258">
        <v>43242.0</v>
      </c>
      <c r="M314" s="388"/>
      <c r="N314" s="333" t="s">
        <v>3593</v>
      </c>
      <c r="O314" s="310" t="s">
        <v>4579</v>
      </c>
      <c r="P314" s="598"/>
      <c r="Q314" s="637">
        <v>5422.0</v>
      </c>
      <c r="R314" s="310" t="s">
        <v>2080</v>
      </c>
      <c r="S314" s="768">
        <v>43312.0</v>
      </c>
      <c r="T314" s="769">
        <v>43241.0</v>
      </c>
      <c r="U314" s="765" t="s">
        <v>4580</v>
      </c>
      <c r="V314" s="765" t="s">
        <v>4585</v>
      </c>
      <c r="W314" s="771">
        <v>43312.0</v>
      </c>
      <c r="X314" s="252" t="s">
        <v>4581</v>
      </c>
      <c r="Y314" s="765">
        <v>3.599676275E9</v>
      </c>
      <c r="Z314" s="765"/>
      <c r="AA314" s="765"/>
      <c r="AB314" s="765"/>
      <c r="AC314" s="253" t="s">
        <v>284</v>
      </c>
    </row>
    <row r="315" ht="15.75" hidden="1" customHeight="1">
      <c r="A315" s="764">
        <v>43242.0</v>
      </c>
      <c r="B315" s="265" t="s">
        <v>373</v>
      </c>
      <c r="C315" s="765">
        <v>2.01805210015E11</v>
      </c>
      <c r="D315" s="252" t="s">
        <v>4586</v>
      </c>
      <c r="E315" s="602" t="s">
        <v>375</v>
      </c>
      <c r="F315" s="307">
        <v>60.0</v>
      </c>
      <c r="G315" s="254">
        <v>63.0</v>
      </c>
      <c r="H315" s="268">
        <f t="shared" si="13"/>
        <v>3780</v>
      </c>
      <c r="I315" s="266" t="s">
        <v>43</v>
      </c>
      <c r="J315" s="256" t="s">
        <v>90</v>
      </c>
      <c r="K315" s="258">
        <v>43245.0</v>
      </c>
      <c r="L315" s="258">
        <v>43245.0</v>
      </c>
      <c r="M315" s="388"/>
      <c r="N315" s="333" t="s">
        <v>976</v>
      </c>
      <c r="O315" s="310" t="s">
        <v>4587</v>
      </c>
      <c r="P315" s="268">
        <v>3528.0</v>
      </c>
      <c r="Q315" s="330"/>
      <c r="R315" s="340" t="s">
        <v>94</v>
      </c>
      <c r="S315" s="768">
        <v>43281.0</v>
      </c>
      <c r="T315" s="769">
        <v>43245.0</v>
      </c>
      <c r="U315" s="765" t="s">
        <v>4588</v>
      </c>
      <c r="V315" s="770">
        <v>105134.0</v>
      </c>
      <c r="W315" s="769">
        <v>43284.0</v>
      </c>
      <c r="X315" s="765" t="s">
        <v>4589</v>
      </c>
      <c r="Y315" s="765"/>
      <c r="Z315" s="765" t="s">
        <v>4590</v>
      </c>
      <c r="AA315" s="772">
        <v>113135.0</v>
      </c>
      <c r="AB315" s="765" t="s">
        <v>4591</v>
      </c>
      <c r="AC315" s="253" t="s">
        <v>377</v>
      </c>
    </row>
    <row r="316" ht="15.75" hidden="1" customHeight="1">
      <c r="A316" s="764">
        <v>43244.0</v>
      </c>
      <c r="B316" s="597" t="s">
        <v>406</v>
      </c>
      <c r="C316" s="765">
        <v>7.000138263E9</v>
      </c>
      <c r="D316" s="252" t="s">
        <v>4592</v>
      </c>
      <c r="E316" s="602" t="s">
        <v>4593</v>
      </c>
      <c r="F316" s="253">
        <v>1.0</v>
      </c>
      <c r="G316" s="254">
        <v>90.0</v>
      </c>
      <c r="H316" s="268">
        <f t="shared" si="13"/>
        <v>90</v>
      </c>
      <c r="I316" s="266" t="s">
        <v>43</v>
      </c>
      <c r="J316" s="333" t="s">
        <v>4002</v>
      </c>
      <c r="K316" s="258">
        <v>43251.0</v>
      </c>
      <c r="L316" s="258">
        <v>43250.0</v>
      </c>
      <c r="M316" s="388"/>
      <c r="N316" s="403" t="s">
        <v>2170</v>
      </c>
      <c r="O316" s="310" t="s">
        <v>4594</v>
      </c>
      <c r="P316" s="598"/>
      <c r="Q316" s="831">
        <v>2453.0</v>
      </c>
      <c r="R316" s="310" t="s">
        <v>2172</v>
      </c>
      <c r="S316" s="330"/>
      <c r="T316" s="769">
        <v>43249.0</v>
      </c>
      <c r="U316" s="765" t="s">
        <v>4595</v>
      </c>
      <c r="V316" s="770">
        <v>2453.0</v>
      </c>
      <c r="W316" s="769">
        <v>43244.0</v>
      </c>
      <c r="X316" s="252" t="s">
        <v>4596</v>
      </c>
      <c r="Y316" s="765">
        <v>5.137684296E9</v>
      </c>
      <c r="Z316" s="765"/>
      <c r="AA316" s="765"/>
      <c r="AB316" s="765"/>
      <c r="AC316" s="253" t="s">
        <v>284</v>
      </c>
    </row>
    <row r="317" ht="15.75" hidden="1" customHeight="1">
      <c r="A317" s="764">
        <v>43244.0</v>
      </c>
      <c r="B317" s="597" t="s">
        <v>406</v>
      </c>
      <c r="C317" s="765">
        <v>7.000138263E9</v>
      </c>
      <c r="D317" s="252" t="s">
        <v>4592</v>
      </c>
      <c r="E317" s="602" t="s">
        <v>4190</v>
      </c>
      <c r="F317" s="253">
        <v>1.0</v>
      </c>
      <c r="G317" s="254">
        <v>802.0</v>
      </c>
      <c r="H317" s="268">
        <f t="shared" si="13"/>
        <v>802</v>
      </c>
      <c r="I317" s="266" t="s">
        <v>43</v>
      </c>
      <c r="J317" s="333" t="s">
        <v>4002</v>
      </c>
      <c r="K317" s="258">
        <v>43251.0</v>
      </c>
      <c r="L317" s="258">
        <v>43249.0</v>
      </c>
      <c r="M317" s="388"/>
      <c r="N317" s="333" t="s">
        <v>3593</v>
      </c>
      <c r="O317" s="310" t="s">
        <v>4597</v>
      </c>
      <c r="P317" s="598"/>
      <c r="Q317" s="637">
        <v>22089.0</v>
      </c>
      <c r="R317" s="310" t="s">
        <v>2080</v>
      </c>
      <c r="S317" s="768">
        <v>43343.0</v>
      </c>
      <c r="T317" s="769">
        <v>43249.0</v>
      </c>
      <c r="U317" s="765" t="s">
        <v>4598</v>
      </c>
      <c r="V317" s="770">
        <v>22089.0</v>
      </c>
      <c r="W317" s="769">
        <v>43320.0</v>
      </c>
      <c r="X317" s="252" t="s">
        <v>4596</v>
      </c>
      <c r="Y317" s="765">
        <v>5.137684296E9</v>
      </c>
      <c r="Z317" s="765"/>
      <c r="AA317" s="765"/>
      <c r="AB317" s="765"/>
      <c r="AC317" s="253" t="s">
        <v>284</v>
      </c>
    </row>
    <row r="318" ht="15.75" hidden="1" customHeight="1">
      <c r="A318" s="776">
        <v>43244.0</v>
      </c>
      <c r="B318" s="320" t="s">
        <v>326</v>
      </c>
      <c r="C318" s="252">
        <v>2023087.0</v>
      </c>
      <c r="D318" s="310" t="s">
        <v>4599</v>
      </c>
      <c r="E318" s="820" t="s">
        <v>3773</v>
      </c>
      <c r="F318" s="253">
        <v>10.0</v>
      </c>
      <c r="G318" s="325">
        <v>567.0</v>
      </c>
      <c r="H318" s="255">
        <f t="shared" si="13"/>
        <v>5670</v>
      </c>
      <c r="I318" s="256" t="s">
        <v>43</v>
      </c>
      <c r="J318" s="269" t="s">
        <v>329</v>
      </c>
      <c r="K318" s="258">
        <v>43270.0</v>
      </c>
      <c r="L318" s="258">
        <v>43263.0</v>
      </c>
      <c r="M318" s="388"/>
      <c r="N318" s="333" t="s">
        <v>3775</v>
      </c>
      <c r="O318" s="310" t="s">
        <v>4600</v>
      </c>
      <c r="P318" s="268">
        <v>5355.0</v>
      </c>
      <c r="Q318" s="330"/>
      <c r="R318" s="422" t="s">
        <v>2207</v>
      </c>
      <c r="S318" s="768">
        <v>43312.0</v>
      </c>
      <c r="T318" s="769">
        <v>43265.0</v>
      </c>
      <c r="U318" s="765" t="s">
        <v>4601</v>
      </c>
      <c r="V318" s="770">
        <v>167216.0</v>
      </c>
      <c r="W318" s="771">
        <v>43312.0</v>
      </c>
      <c r="X318" s="252" t="s">
        <v>4602</v>
      </c>
      <c r="Y318" s="765"/>
      <c r="Z318" s="765"/>
      <c r="AA318" s="765"/>
      <c r="AB318" s="765"/>
      <c r="AC318" s="253" t="s">
        <v>284</v>
      </c>
    </row>
    <row r="319" ht="15.75" hidden="1" customHeight="1">
      <c r="A319" s="776">
        <v>43244.0</v>
      </c>
      <c r="B319" s="320" t="s">
        <v>326</v>
      </c>
      <c r="C319" s="252">
        <v>2023087.0</v>
      </c>
      <c r="D319" s="310" t="s">
        <v>4599</v>
      </c>
      <c r="E319" s="820" t="s">
        <v>3781</v>
      </c>
      <c r="F319" s="253">
        <v>10.0</v>
      </c>
      <c r="G319" s="325">
        <v>273.0</v>
      </c>
      <c r="H319" s="255">
        <f t="shared" si="13"/>
        <v>2730</v>
      </c>
      <c r="I319" s="256" t="s">
        <v>43</v>
      </c>
      <c r="J319" s="269" t="s">
        <v>329</v>
      </c>
      <c r="K319" s="258">
        <v>43270.0</v>
      </c>
      <c r="L319" s="258">
        <v>43258.0</v>
      </c>
      <c r="M319" s="388"/>
      <c r="N319" s="333" t="s">
        <v>45</v>
      </c>
      <c r="O319" s="310" t="s">
        <v>4603</v>
      </c>
      <c r="P319" s="268">
        <v>2184.0</v>
      </c>
      <c r="Q319" s="330"/>
      <c r="R319" s="340" t="s">
        <v>47</v>
      </c>
      <c r="S319" s="768">
        <v>43286.0</v>
      </c>
      <c r="T319" s="769">
        <v>43256.0</v>
      </c>
      <c r="U319" s="765" t="s">
        <v>4604</v>
      </c>
      <c r="V319" s="770">
        <v>65127.0</v>
      </c>
      <c r="W319" s="769">
        <v>43286.0</v>
      </c>
      <c r="X319" s="252" t="s">
        <v>4602</v>
      </c>
      <c r="Y319" s="765"/>
      <c r="Z319" s="765"/>
      <c r="AA319" s="765"/>
      <c r="AB319" s="765"/>
      <c r="AC319" s="253" t="s">
        <v>284</v>
      </c>
    </row>
    <row r="320" ht="15.75" hidden="1" customHeight="1">
      <c r="A320" s="776">
        <v>43244.0</v>
      </c>
      <c r="B320" s="320" t="s">
        <v>326</v>
      </c>
      <c r="C320" s="252">
        <v>2023087.0</v>
      </c>
      <c r="D320" s="310" t="s">
        <v>4599</v>
      </c>
      <c r="E320" s="820" t="s">
        <v>53</v>
      </c>
      <c r="F320" s="253">
        <v>10.0</v>
      </c>
      <c r="G320" s="325">
        <v>31.0</v>
      </c>
      <c r="H320" s="255">
        <f t="shared" si="13"/>
        <v>310</v>
      </c>
      <c r="I320" s="256" t="s">
        <v>43</v>
      </c>
      <c r="J320" s="269" t="s">
        <v>329</v>
      </c>
      <c r="K320" s="258">
        <v>43270.0</v>
      </c>
      <c r="L320" s="258">
        <v>43263.0</v>
      </c>
      <c r="M320" s="388"/>
      <c r="N320" s="333" t="s">
        <v>3775</v>
      </c>
      <c r="O320" s="310" t="s">
        <v>4600</v>
      </c>
      <c r="P320" s="268">
        <v>226.8</v>
      </c>
      <c r="Q320" s="330"/>
      <c r="R320" s="422" t="s">
        <v>2207</v>
      </c>
      <c r="S320" s="768">
        <v>43312.0</v>
      </c>
      <c r="T320" s="769">
        <v>43265.0</v>
      </c>
      <c r="U320" s="765" t="s">
        <v>4601</v>
      </c>
      <c r="V320" s="252" t="s">
        <v>4605</v>
      </c>
      <c r="W320" s="771">
        <v>43312.0</v>
      </c>
      <c r="X320" s="252" t="s">
        <v>4602</v>
      </c>
      <c r="Y320" s="765"/>
      <c r="Z320" s="765"/>
      <c r="AA320" s="765"/>
      <c r="AB320" s="765"/>
      <c r="AC320" s="253" t="s">
        <v>284</v>
      </c>
    </row>
    <row r="321" ht="15.75" hidden="1" customHeight="1">
      <c r="A321" s="776">
        <v>43244.0</v>
      </c>
      <c r="B321" s="320" t="s">
        <v>326</v>
      </c>
      <c r="C321" s="252">
        <v>2023087.0</v>
      </c>
      <c r="D321" s="310" t="s">
        <v>4599</v>
      </c>
      <c r="E321" s="820" t="s">
        <v>59</v>
      </c>
      <c r="F321" s="253">
        <v>10.0</v>
      </c>
      <c r="G321" s="325">
        <v>4.0</v>
      </c>
      <c r="H321" s="255">
        <f t="shared" si="13"/>
        <v>40</v>
      </c>
      <c r="I321" s="256" t="s">
        <v>43</v>
      </c>
      <c r="J321" s="269" t="s">
        <v>329</v>
      </c>
      <c r="K321" s="258">
        <v>43270.0</v>
      </c>
      <c r="L321" s="258">
        <v>43263.0</v>
      </c>
      <c r="M321" s="388"/>
      <c r="N321" s="333" t="s">
        <v>3775</v>
      </c>
      <c r="O321" s="310" t="s">
        <v>4600</v>
      </c>
      <c r="P321" s="268">
        <v>21.0</v>
      </c>
      <c r="Q321" s="330"/>
      <c r="R321" s="422" t="s">
        <v>2207</v>
      </c>
      <c r="S321" s="768">
        <v>43312.0</v>
      </c>
      <c r="T321" s="769">
        <v>43265.0</v>
      </c>
      <c r="U321" s="765" t="s">
        <v>4601</v>
      </c>
      <c r="V321" s="252" t="s">
        <v>4605</v>
      </c>
      <c r="W321" s="771">
        <v>43312.0</v>
      </c>
      <c r="X321" s="252" t="s">
        <v>4602</v>
      </c>
      <c r="Y321" s="765"/>
      <c r="Z321" s="765"/>
      <c r="AA321" s="765"/>
      <c r="AB321" s="765"/>
      <c r="AC321" s="253" t="s">
        <v>284</v>
      </c>
    </row>
    <row r="322" ht="15.75" hidden="1" customHeight="1">
      <c r="A322" s="764">
        <v>43244.0</v>
      </c>
      <c r="B322" s="597" t="s">
        <v>406</v>
      </c>
      <c r="C322" s="765">
        <v>7.000138283E9</v>
      </c>
      <c r="D322" s="252" t="s">
        <v>4606</v>
      </c>
      <c r="E322" s="820" t="s">
        <v>4607</v>
      </c>
      <c r="F322" s="253">
        <v>2.0</v>
      </c>
      <c r="G322" s="325">
        <v>235.0</v>
      </c>
      <c r="H322" s="255">
        <f t="shared" si="13"/>
        <v>470</v>
      </c>
      <c r="I322" s="256" t="s">
        <v>43</v>
      </c>
      <c r="J322" s="333" t="s">
        <v>4002</v>
      </c>
      <c r="K322" s="258">
        <v>43279.0</v>
      </c>
      <c r="L322" s="258">
        <v>43277.0</v>
      </c>
      <c r="M322" s="388"/>
      <c r="N322" s="333" t="s">
        <v>3593</v>
      </c>
      <c r="O322" s="310" t="s">
        <v>4606</v>
      </c>
      <c r="P322" s="598"/>
      <c r="Q322" s="637">
        <v>12905.0</v>
      </c>
      <c r="R322" s="310" t="s">
        <v>2080</v>
      </c>
      <c r="S322" s="768">
        <v>43373.0</v>
      </c>
      <c r="T322" s="769">
        <v>43277.0</v>
      </c>
      <c r="U322" s="765" t="s">
        <v>4608</v>
      </c>
      <c r="V322" s="770">
        <v>12905.0</v>
      </c>
      <c r="W322" s="769">
        <v>43320.0</v>
      </c>
      <c r="X322" s="252" t="s">
        <v>4609</v>
      </c>
      <c r="Y322" s="765">
        <v>5.230602226E9</v>
      </c>
      <c r="Z322" s="765"/>
      <c r="AA322" s="765"/>
      <c r="AB322" s="765"/>
      <c r="AC322" s="253" t="s">
        <v>284</v>
      </c>
    </row>
    <row r="323" ht="15.75" hidden="1" customHeight="1">
      <c r="A323" s="764">
        <v>43244.0</v>
      </c>
      <c r="B323" s="597" t="s">
        <v>406</v>
      </c>
      <c r="C323" s="765">
        <v>7.000138283E9</v>
      </c>
      <c r="D323" s="252" t="s">
        <v>4606</v>
      </c>
      <c r="E323" s="820" t="s">
        <v>4610</v>
      </c>
      <c r="F323" s="253">
        <v>2.0</v>
      </c>
      <c r="G323" s="325">
        <v>280.0</v>
      </c>
      <c r="H323" s="255">
        <f t="shared" si="13"/>
        <v>560</v>
      </c>
      <c r="I323" s="256" t="s">
        <v>43</v>
      </c>
      <c r="J323" s="333" t="s">
        <v>4002</v>
      </c>
      <c r="K323" s="258">
        <v>43265.0</v>
      </c>
      <c r="L323" s="258">
        <v>43259.0</v>
      </c>
      <c r="M323" s="388"/>
      <c r="N323" s="333" t="s">
        <v>3593</v>
      </c>
      <c r="O323" s="310" t="s">
        <v>4606</v>
      </c>
      <c r="P323" s="598"/>
      <c r="Q323" s="637">
        <v>15565.0</v>
      </c>
      <c r="R323" s="310" t="s">
        <v>2080</v>
      </c>
      <c r="S323" s="768">
        <v>43343.0</v>
      </c>
      <c r="T323" s="769">
        <v>43257.0</v>
      </c>
      <c r="U323" s="765" t="s">
        <v>4611</v>
      </c>
      <c r="V323" s="770">
        <v>15565.0</v>
      </c>
      <c r="W323" s="769">
        <v>43320.0</v>
      </c>
      <c r="X323" s="252" t="s">
        <v>4584</v>
      </c>
      <c r="Y323" s="252">
        <v>2.886338571E9</v>
      </c>
      <c r="Z323" s="765"/>
      <c r="AA323" s="765"/>
      <c r="AB323" s="765"/>
      <c r="AC323" s="253" t="s">
        <v>284</v>
      </c>
    </row>
    <row r="324" ht="15.75" hidden="1" customHeight="1">
      <c r="A324" s="764">
        <v>43244.0</v>
      </c>
      <c r="B324" s="597" t="s">
        <v>406</v>
      </c>
      <c r="C324" s="765">
        <v>7.000138283E9</v>
      </c>
      <c r="D324" s="252" t="s">
        <v>4606</v>
      </c>
      <c r="E324" s="820" t="s">
        <v>4612</v>
      </c>
      <c r="F324" s="253">
        <v>2.0</v>
      </c>
      <c r="G324" s="325">
        <v>24.0</v>
      </c>
      <c r="H324" s="255">
        <f t="shared" si="13"/>
        <v>48</v>
      </c>
      <c r="I324" s="256" t="s">
        <v>43</v>
      </c>
      <c r="J324" s="333" t="s">
        <v>4002</v>
      </c>
      <c r="K324" s="258">
        <v>43251.0</v>
      </c>
      <c r="L324" s="258">
        <v>43250.0</v>
      </c>
      <c r="M324" s="388"/>
      <c r="N324" s="333" t="s">
        <v>3593</v>
      </c>
      <c r="O324" s="310" t="s">
        <v>4606</v>
      </c>
      <c r="P324" s="598"/>
      <c r="Q324" s="637">
        <v>1216.0</v>
      </c>
      <c r="R324" s="310" t="s">
        <v>2080</v>
      </c>
      <c r="S324" s="768">
        <v>43343.0</v>
      </c>
      <c r="T324" s="769">
        <v>43249.0</v>
      </c>
      <c r="U324" s="765" t="s">
        <v>4613</v>
      </c>
      <c r="V324" s="770">
        <v>1216.0</v>
      </c>
      <c r="W324" s="769">
        <v>43320.0</v>
      </c>
      <c r="X324" s="252" t="s">
        <v>4596</v>
      </c>
      <c r="Y324" s="765">
        <v>5.137684296E9</v>
      </c>
      <c r="Z324" s="765"/>
      <c r="AA324" s="765"/>
      <c r="AB324" s="765"/>
      <c r="AC324" s="253" t="s">
        <v>284</v>
      </c>
    </row>
    <row r="325" ht="15.75" hidden="1" customHeight="1">
      <c r="A325" s="764">
        <v>43244.0</v>
      </c>
      <c r="B325" s="265" t="s">
        <v>229</v>
      </c>
      <c r="C325" s="765"/>
      <c r="D325" s="252" t="s">
        <v>4614</v>
      </c>
      <c r="E325" s="602" t="s">
        <v>462</v>
      </c>
      <c r="F325" s="253">
        <v>20.0</v>
      </c>
      <c r="G325" s="325">
        <v>407.4</v>
      </c>
      <c r="H325" s="255">
        <f t="shared" si="13"/>
        <v>8148</v>
      </c>
      <c r="I325" s="256" t="s">
        <v>171</v>
      </c>
      <c r="J325" s="269" t="s">
        <v>90</v>
      </c>
      <c r="K325" s="832">
        <v>43258.0</v>
      </c>
      <c r="L325" s="258">
        <v>43258.0</v>
      </c>
      <c r="M325" s="388"/>
      <c r="N325" s="403" t="s">
        <v>90</v>
      </c>
      <c r="O325" s="310" t="s">
        <v>4615</v>
      </c>
      <c r="P325" s="268">
        <v>7455.0</v>
      </c>
      <c r="Q325" s="330"/>
      <c r="R325" s="340" t="s">
        <v>94</v>
      </c>
      <c r="S325" s="768">
        <v>43312.0</v>
      </c>
      <c r="T325" s="771">
        <v>43258.0</v>
      </c>
      <c r="U325" s="252" t="s">
        <v>4616</v>
      </c>
      <c r="V325" s="774">
        <v>285929.0</v>
      </c>
      <c r="W325" s="769">
        <v>43312.0</v>
      </c>
      <c r="X325" s="765" t="s">
        <v>4617</v>
      </c>
      <c r="Y325" s="765"/>
      <c r="Z325" s="765" t="s">
        <v>4618</v>
      </c>
      <c r="AA325" s="770">
        <v>311955.0</v>
      </c>
      <c r="AB325" s="765" t="s">
        <v>4619</v>
      </c>
      <c r="AC325" s="253" t="s">
        <v>377</v>
      </c>
    </row>
    <row r="326" ht="15.75" hidden="1" customHeight="1">
      <c r="A326" s="764">
        <v>43244.0</v>
      </c>
      <c r="B326" s="265" t="s">
        <v>229</v>
      </c>
      <c r="C326" s="765"/>
      <c r="D326" s="252" t="s">
        <v>4614</v>
      </c>
      <c r="E326" s="599" t="s">
        <v>3765</v>
      </c>
      <c r="F326" s="253">
        <v>7.0</v>
      </c>
      <c r="G326" s="793">
        <v>336.0</v>
      </c>
      <c r="H326" s="255">
        <f t="shared" si="13"/>
        <v>2352</v>
      </c>
      <c r="I326" s="256" t="s">
        <v>171</v>
      </c>
      <c r="J326" s="269" t="s">
        <v>90</v>
      </c>
      <c r="K326" s="832">
        <v>43258.0</v>
      </c>
      <c r="L326" s="258">
        <v>43258.0</v>
      </c>
      <c r="M326" s="388"/>
      <c r="N326" s="403" t="s">
        <v>90</v>
      </c>
      <c r="O326" s="310" t="s">
        <v>4615</v>
      </c>
      <c r="P326" s="268">
        <v>2109.45</v>
      </c>
      <c r="Q326" s="330"/>
      <c r="R326" s="340" t="s">
        <v>94</v>
      </c>
      <c r="S326" s="768">
        <v>43312.0</v>
      </c>
      <c r="T326" s="771">
        <v>43258.0</v>
      </c>
      <c r="U326" s="252" t="s">
        <v>4616</v>
      </c>
      <c r="V326" s="252" t="s">
        <v>4620</v>
      </c>
      <c r="W326" s="769">
        <v>43312.0</v>
      </c>
      <c r="X326" s="765" t="s">
        <v>4617</v>
      </c>
      <c r="Y326" s="765"/>
      <c r="Z326" s="765" t="s">
        <v>4618</v>
      </c>
      <c r="AA326" s="765" t="s">
        <v>4621</v>
      </c>
      <c r="AB326" s="765" t="s">
        <v>4619</v>
      </c>
      <c r="AC326" s="253" t="s">
        <v>377</v>
      </c>
    </row>
    <row r="327" ht="15.75" hidden="1" customHeight="1">
      <c r="A327" s="776">
        <v>43244.0</v>
      </c>
      <c r="B327" s="265" t="s">
        <v>621</v>
      </c>
      <c r="C327" s="765"/>
      <c r="D327" s="252" t="s">
        <v>4622</v>
      </c>
      <c r="E327" s="820" t="s">
        <v>4623</v>
      </c>
      <c r="F327" s="253">
        <v>2.0</v>
      </c>
      <c r="G327" s="325">
        <v>100.8</v>
      </c>
      <c r="H327" s="255">
        <f t="shared" si="13"/>
        <v>201.6</v>
      </c>
      <c r="I327" s="256" t="s">
        <v>43</v>
      </c>
      <c r="J327" s="269" t="s">
        <v>90</v>
      </c>
      <c r="K327" s="832">
        <v>43251.0</v>
      </c>
      <c r="L327" s="601">
        <v>43251.0</v>
      </c>
      <c r="M327" s="388"/>
      <c r="N327" s="333" t="s">
        <v>90</v>
      </c>
      <c r="O327" s="310" t="s">
        <v>4622</v>
      </c>
      <c r="P327" s="268">
        <v>184.8</v>
      </c>
      <c r="Q327" s="330"/>
      <c r="R327" s="340" t="s">
        <v>94</v>
      </c>
      <c r="S327" s="768">
        <v>43312.0</v>
      </c>
      <c r="T327" s="769">
        <v>43251.0</v>
      </c>
      <c r="U327" s="765" t="s">
        <v>4624</v>
      </c>
      <c r="V327" s="770">
        <v>48061.0</v>
      </c>
      <c r="W327" s="769">
        <v>43312.0</v>
      </c>
      <c r="X327" s="765" t="s">
        <v>4625</v>
      </c>
      <c r="Y327" s="765"/>
      <c r="Z327" s="765" t="s">
        <v>4626</v>
      </c>
      <c r="AA327" s="772">
        <v>86969.0</v>
      </c>
      <c r="AB327" s="765" t="s">
        <v>4440</v>
      </c>
      <c r="AC327" s="266" t="s">
        <v>377</v>
      </c>
    </row>
    <row r="328" ht="15.75" hidden="1" customHeight="1">
      <c r="A328" s="776">
        <v>43244.0</v>
      </c>
      <c r="B328" s="265" t="s">
        <v>621</v>
      </c>
      <c r="C328" s="765"/>
      <c r="D328" s="252" t="s">
        <v>4622</v>
      </c>
      <c r="E328" s="820" t="s">
        <v>3628</v>
      </c>
      <c r="F328" s="253">
        <v>8.0</v>
      </c>
      <c r="G328" s="325">
        <v>192.15</v>
      </c>
      <c r="H328" s="255">
        <f t="shared" si="13"/>
        <v>1537.2</v>
      </c>
      <c r="I328" s="256" t="s">
        <v>43</v>
      </c>
      <c r="J328" s="269" t="s">
        <v>90</v>
      </c>
      <c r="K328" s="832">
        <v>43251.0</v>
      </c>
      <c r="L328" s="601">
        <v>43251.0</v>
      </c>
      <c r="M328" s="388"/>
      <c r="N328" s="333" t="s">
        <v>90</v>
      </c>
      <c r="O328" s="310" t="s">
        <v>4622</v>
      </c>
      <c r="P328" s="268">
        <v>1428.0</v>
      </c>
      <c r="Q328" s="330"/>
      <c r="R328" s="340" t="s">
        <v>94</v>
      </c>
      <c r="S328" s="768">
        <v>43312.0</v>
      </c>
      <c r="T328" s="769">
        <v>43251.0</v>
      </c>
      <c r="U328" s="765" t="s">
        <v>4624</v>
      </c>
      <c r="V328" s="765" t="s">
        <v>4627</v>
      </c>
      <c r="W328" s="769">
        <v>43312.0</v>
      </c>
      <c r="X328" s="765" t="s">
        <v>4625</v>
      </c>
      <c r="Y328" s="765"/>
      <c r="Z328" s="765" t="s">
        <v>4626</v>
      </c>
      <c r="AA328" s="772" t="s">
        <v>4628</v>
      </c>
      <c r="AB328" s="765" t="s">
        <v>4440</v>
      </c>
      <c r="AC328" s="266" t="s">
        <v>377</v>
      </c>
    </row>
    <row r="329" ht="15.75" hidden="1" customHeight="1">
      <c r="A329" s="776">
        <v>43244.0</v>
      </c>
      <c r="B329" s="265" t="s">
        <v>621</v>
      </c>
      <c r="C329" s="765"/>
      <c r="D329" s="252" t="s">
        <v>4622</v>
      </c>
      <c r="E329" s="602" t="s">
        <v>4536</v>
      </c>
      <c r="F329" s="253">
        <v>12.0</v>
      </c>
      <c r="G329" s="827">
        <v>97.125</v>
      </c>
      <c r="H329" s="255">
        <f t="shared" si="13"/>
        <v>1165.5</v>
      </c>
      <c r="I329" s="256" t="s">
        <v>43</v>
      </c>
      <c r="J329" s="269" t="s">
        <v>90</v>
      </c>
      <c r="K329" s="832">
        <v>43251.0</v>
      </c>
      <c r="L329" s="601">
        <v>43251.0</v>
      </c>
      <c r="M329" s="388"/>
      <c r="N329" s="333" t="s">
        <v>90</v>
      </c>
      <c r="O329" s="310" t="s">
        <v>4629</v>
      </c>
      <c r="P329" s="268">
        <v>1071.0</v>
      </c>
      <c r="Q329" s="330"/>
      <c r="R329" s="340" t="s">
        <v>94</v>
      </c>
      <c r="S329" s="768">
        <v>43312.0</v>
      </c>
      <c r="T329" s="769">
        <v>43251.0</v>
      </c>
      <c r="U329" s="765" t="s">
        <v>4630</v>
      </c>
      <c r="V329" s="770">
        <v>31916.0</v>
      </c>
      <c r="W329" s="769">
        <v>43312.0</v>
      </c>
      <c r="X329" s="765" t="s">
        <v>4625</v>
      </c>
      <c r="Y329" s="765"/>
      <c r="Z329" s="765" t="s">
        <v>4626</v>
      </c>
      <c r="AA329" s="772" t="s">
        <v>4628</v>
      </c>
      <c r="AB329" s="765" t="s">
        <v>4440</v>
      </c>
      <c r="AC329" s="266" t="s">
        <v>377</v>
      </c>
    </row>
    <row r="330" ht="15.75" hidden="1" customHeight="1">
      <c r="A330" s="764">
        <v>43248.0</v>
      </c>
      <c r="B330" s="265" t="s">
        <v>4441</v>
      </c>
      <c r="C330" s="765" t="s">
        <v>4631</v>
      </c>
      <c r="D330" s="252" t="s">
        <v>4632</v>
      </c>
      <c r="E330" s="820" t="s">
        <v>4633</v>
      </c>
      <c r="F330" s="253">
        <v>1.0</v>
      </c>
      <c r="G330" s="325">
        <v>762.0</v>
      </c>
      <c r="H330" s="255">
        <f t="shared" si="13"/>
        <v>762</v>
      </c>
      <c r="I330" s="256" t="s">
        <v>171</v>
      </c>
      <c r="J330" s="269" t="s">
        <v>4634</v>
      </c>
      <c r="K330" s="832">
        <v>43262.0</v>
      </c>
      <c r="L330" s="258">
        <v>43262.0</v>
      </c>
      <c r="M330" s="388"/>
      <c r="N330" s="333" t="s">
        <v>1439</v>
      </c>
      <c r="O330" s="310" t="s">
        <v>4635</v>
      </c>
      <c r="P330" s="598"/>
      <c r="Q330" s="637">
        <v>21024.0</v>
      </c>
      <c r="R330" s="320" t="s">
        <v>1976</v>
      </c>
      <c r="S330" s="768">
        <v>43312.0</v>
      </c>
      <c r="T330" s="771">
        <v>43259.0</v>
      </c>
      <c r="U330" s="252" t="s">
        <v>4636</v>
      </c>
      <c r="V330" s="774">
        <v>21024.0</v>
      </c>
      <c r="W330" s="771">
        <v>43312.0</v>
      </c>
      <c r="X330" s="252" t="s">
        <v>4637</v>
      </c>
      <c r="Y330" s="765" t="s">
        <v>4638</v>
      </c>
      <c r="Z330" s="765"/>
      <c r="AA330" s="765"/>
      <c r="AB330" s="765"/>
      <c r="AC330" s="253" t="s">
        <v>284</v>
      </c>
    </row>
    <row r="331" ht="15.75" hidden="1" customHeight="1">
      <c r="A331" s="764">
        <v>43248.0</v>
      </c>
      <c r="B331" s="265" t="s">
        <v>4441</v>
      </c>
      <c r="C331" s="765" t="s">
        <v>4631</v>
      </c>
      <c r="D331" s="252" t="s">
        <v>4639</v>
      </c>
      <c r="E331" s="820" t="s">
        <v>4640</v>
      </c>
      <c r="F331" s="253">
        <v>1.0</v>
      </c>
      <c r="G331" s="325">
        <v>200.0</v>
      </c>
      <c r="H331" s="255">
        <f t="shared" si="13"/>
        <v>200</v>
      </c>
      <c r="I331" s="256" t="s">
        <v>171</v>
      </c>
      <c r="J331" s="269" t="s">
        <v>4634</v>
      </c>
      <c r="K331" s="832">
        <v>43262.0</v>
      </c>
      <c r="L331" s="258">
        <v>43252.0</v>
      </c>
      <c r="M331" s="388"/>
      <c r="N331" s="333" t="s">
        <v>4641</v>
      </c>
      <c r="O331" s="310" t="s">
        <v>4642</v>
      </c>
      <c r="P331" s="268">
        <v>194.25</v>
      </c>
      <c r="Q331" s="330"/>
      <c r="R331" s="340" t="s">
        <v>47</v>
      </c>
      <c r="S331" s="768">
        <v>43282.0</v>
      </c>
      <c r="T331" s="769">
        <v>43252.0</v>
      </c>
      <c r="U331" s="765" t="s">
        <v>4643</v>
      </c>
      <c r="V331" s="770">
        <v>5837.0</v>
      </c>
      <c r="W331" s="769">
        <v>43286.0</v>
      </c>
      <c r="X331" s="252" t="s">
        <v>4637</v>
      </c>
      <c r="Y331" s="765" t="s">
        <v>4638</v>
      </c>
      <c r="Z331" s="765"/>
      <c r="AA331" s="765"/>
      <c r="AB331" s="765"/>
      <c r="AC331" s="253" t="s">
        <v>284</v>
      </c>
    </row>
    <row r="332" ht="15.75" hidden="1" customHeight="1">
      <c r="A332" s="764">
        <v>43248.0</v>
      </c>
      <c r="B332" s="265" t="s">
        <v>4441</v>
      </c>
      <c r="C332" s="765" t="s">
        <v>4631</v>
      </c>
      <c r="D332" s="252" t="s">
        <v>4639</v>
      </c>
      <c r="E332" s="602" t="s">
        <v>4644</v>
      </c>
      <c r="F332" s="253">
        <v>1.0</v>
      </c>
      <c r="G332" s="325">
        <v>90.0</v>
      </c>
      <c r="H332" s="255">
        <f t="shared" si="13"/>
        <v>90</v>
      </c>
      <c r="I332" s="256" t="s">
        <v>171</v>
      </c>
      <c r="J332" s="269" t="s">
        <v>4634</v>
      </c>
      <c r="K332" s="832">
        <v>43262.0</v>
      </c>
      <c r="L332" s="258">
        <v>43252.0</v>
      </c>
      <c r="M332" s="388"/>
      <c r="N332" s="253" t="s">
        <v>4645</v>
      </c>
      <c r="O332" s="310" t="s">
        <v>4646</v>
      </c>
      <c r="P332" s="598"/>
      <c r="Q332" s="637">
        <v>2669.0</v>
      </c>
      <c r="R332" s="604" t="s">
        <v>3906</v>
      </c>
      <c r="S332" s="768">
        <v>43286.0</v>
      </c>
      <c r="T332" s="769">
        <v>43252.0</v>
      </c>
      <c r="U332" s="765" t="s">
        <v>4647</v>
      </c>
      <c r="V332" s="770">
        <v>2669.0</v>
      </c>
      <c r="W332" s="769">
        <v>43286.0</v>
      </c>
      <c r="X332" s="252" t="s">
        <v>4637</v>
      </c>
      <c r="Y332" s="765" t="s">
        <v>4638</v>
      </c>
      <c r="Z332" s="765"/>
      <c r="AA332" s="765"/>
      <c r="AB332" s="765"/>
      <c r="AC332" s="253" t="s">
        <v>284</v>
      </c>
    </row>
    <row r="333" ht="15.75" hidden="1" customHeight="1">
      <c r="A333" s="764">
        <v>43248.0</v>
      </c>
      <c r="B333" s="597" t="s">
        <v>406</v>
      </c>
      <c r="C333" s="765">
        <v>7.00013834E9</v>
      </c>
      <c r="D333" s="252" t="s">
        <v>4648</v>
      </c>
      <c r="E333" s="820" t="s">
        <v>4649</v>
      </c>
      <c r="F333" s="253">
        <v>2.0</v>
      </c>
      <c r="G333" s="325">
        <v>249.0</v>
      </c>
      <c r="H333" s="255">
        <f t="shared" si="13"/>
        <v>498</v>
      </c>
      <c r="I333" s="256" t="s">
        <v>43</v>
      </c>
      <c r="J333" s="333" t="s">
        <v>4002</v>
      </c>
      <c r="K333" s="832">
        <v>43251.0</v>
      </c>
      <c r="L333" s="258">
        <v>43250.0</v>
      </c>
      <c r="M333" s="388"/>
      <c r="N333" s="333" t="s">
        <v>3593</v>
      </c>
      <c r="O333" s="310" t="s">
        <v>4650</v>
      </c>
      <c r="P333" s="598"/>
      <c r="Q333" s="637">
        <v>14114.0</v>
      </c>
      <c r="R333" s="310" t="s">
        <v>2080</v>
      </c>
      <c r="S333" s="768">
        <v>43343.0</v>
      </c>
      <c r="T333" s="771">
        <v>43250.0</v>
      </c>
      <c r="U333" s="252" t="s">
        <v>4651</v>
      </c>
      <c r="V333" s="774">
        <v>28410.0</v>
      </c>
      <c r="W333" s="769">
        <v>43320.0</v>
      </c>
      <c r="X333" s="252" t="s">
        <v>4596</v>
      </c>
      <c r="Y333" s="765">
        <v>5.137684296E9</v>
      </c>
      <c r="Z333" s="765"/>
      <c r="AA333" s="765"/>
      <c r="AB333" s="765"/>
      <c r="AC333" s="253" t="s">
        <v>284</v>
      </c>
    </row>
    <row r="334" ht="15.75" hidden="1" customHeight="1">
      <c r="A334" s="764">
        <v>43248.0</v>
      </c>
      <c r="B334" s="597" t="s">
        <v>406</v>
      </c>
      <c r="C334" s="765">
        <v>7.00013834E9</v>
      </c>
      <c r="D334" s="252" t="s">
        <v>4648</v>
      </c>
      <c r="E334" s="820" t="s">
        <v>4652</v>
      </c>
      <c r="F334" s="253">
        <v>2.0</v>
      </c>
      <c r="G334" s="325">
        <v>285.0</v>
      </c>
      <c r="H334" s="255">
        <f t="shared" si="13"/>
        <v>570</v>
      </c>
      <c r="I334" s="256" t="s">
        <v>43</v>
      </c>
      <c r="J334" s="333" t="s">
        <v>4002</v>
      </c>
      <c r="K334" s="832">
        <v>43286.0</v>
      </c>
      <c r="L334" s="258">
        <v>43285.0</v>
      </c>
      <c r="M334" s="388"/>
      <c r="N334" s="333" t="s">
        <v>3593</v>
      </c>
      <c r="O334" s="310" t="s">
        <v>4650</v>
      </c>
      <c r="P334" s="598"/>
      <c r="Q334" s="637">
        <v>16130.0</v>
      </c>
      <c r="R334" s="310" t="s">
        <v>2080</v>
      </c>
      <c r="S334" s="768">
        <v>43373.0</v>
      </c>
      <c r="T334" s="771">
        <v>43285.0</v>
      </c>
      <c r="U334" s="252" t="s">
        <v>4653</v>
      </c>
      <c r="V334" s="774">
        <v>16130.0</v>
      </c>
      <c r="W334" s="771">
        <v>43356.0</v>
      </c>
      <c r="X334" s="765" t="s">
        <v>4654</v>
      </c>
      <c r="Y334" s="765">
        <v>5.574873581E9</v>
      </c>
      <c r="Z334" s="765"/>
      <c r="AA334" s="765"/>
      <c r="AB334" s="765"/>
      <c r="AC334" s="253" t="s">
        <v>284</v>
      </c>
    </row>
    <row r="335" ht="15.75" hidden="1" customHeight="1">
      <c r="A335" s="764">
        <v>43248.0</v>
      </c>
      <c r="B335" s="597" t="s">
        <v>406</v>
      </c>
      <c r="C335" s="765">
        <v>7.00013834E9</v>
      </c>
      <c r="D335" s="252" t="s">
        <v>4648</v>
      </c>
      <c r="E335" s="820" t="s">
        <v>3728</v>
      </c>
      <c r="F335" s="253">
        <v>2.0</v>
      </c>
      <c r="G335" s="325">
        <v>39.0</v>
      </c>
      <c r="H335" s="255">
        <f t="shared" si="13"/>
        <v>78</v>
      </c>
      <c r="I335" s="256" t="s">
        <v>43</v>
      </c>
      <c r="J335" s="333" t="s">
        <v>4002</v>
      </c>
      <c r="K335" s="832">
        <v>43251.0</v>
      </c>
      <c r="L335" s="258">
        <v>43250.0</v>
      </c>
      <c r="M335" s="388"/>
      <c r="N335" s="333" t="s">
        <v>3593</v>
      </c>
      <c r="O335" s="310" t="s">
        <v>4650</v>
      </c>
      <c r="P335" s="598"/>
      <c r="Q335" s="637">
        <v>2190.0</v>
      </c>
      <c r="R335" s="310" t="s">
        <v>2080</v>
      </c>
      <c r="S335" s="768">
        <v>43343.0</v>
      </c>
      <c r="T335" s="771">
        <v>43250.0</v>
      </c>
      <c r="U335" s="252" t="s">
        <v>4651</v>
      </c>
      <c r="V335" s="765" t="s">
        <v>4655</v>
      </c>
      <c r="W335" s="769">
        <v>43320.0</v>
      </c>
      <c r="X335" s="252" t="s">
        <v>4596</v>
      </c>
      <c r="Y335" s="765">
        <v>5.137684296E9</v>
      </c>
      <c r="Z335" s="765"/>
      <c r="AA335" s="765"/>
      <c r="AB335" s="765"/>
      <c r="AC335" s="253" t="s">
        <v>284</v>
      </c>
    </row>
    <row r="336" ht="15.75" hidden="1" customHeight="1">
      <c r="A336" s="796">
        <v>43248.0</v>
      </c>
      <c r="B336" s="804" t="s">
        <v>406</v>
      </c>
      <c r="C336" s="276">
        <v>7.00013834E9</v>
      </c>
      <c r="D336" s="276" t="s">
        <v>4648</v>
      </c>
      <c r="E336" s="833" t="s">
        <v>4656</v>
      </c>
      <c r="F336" s="797">
        <v>1.0</v>
      </c>
      <c r="G336" s="834">
        <v>124.0</v>
      </c>
      <c r="H336" s="289"/>
      <c r="I336" s="282"/>
      <c r="J336" s="283"/>
      <c r="K336" s="835"/>
      <c r="L336" s="291">
        <v>43250.0</v>
      </c>
      <c r="M336" s="800"/>
      <c r="N336" s="283" t="s">
        <v>3593</v>
      </c>
      <c r="O336" s="798" t="s">
        <v>4650</v>
      </c>
      <c r="P336" s="799"/>
      <c r="Q336" s="836"/>
      <c r="R336" s="798" t="s">
        <v>2080</v>
      </c>
      <c r="S336" s="837"/>
      <c r="T336" s="802"/>
      <c r="U336" s="801"/>
      <c r="V336" s="801"/>
      <c r="W336" s="802"/>
      <c r="X336" s="801"/>
      <c r="Y336" s="276"/>
      <c r="Z336" s="276"/>
      <c r="AA336" s="276"/>
      <c r="AB336" s="276"/>
      <c r="AC336" s="266" t="s">
        <v>3617</v>
      </c>
    </row>
    <row r="337" ht="15.75" hidden="1" customHeight="1">
      <c r="A337" s="764">
        <v>43248.0</v>
      </c>
      <c r="B337" s="597" t="s">
        <v>406</v>
      </c>
      <c r="C337" s="765">
        <v>7.00013834E9</v>
      </c>
      <c r="D337" s="252" t="s">
        <v>4648</v>
      </c>
      <c r="E337" s="820" t="s">
        <v>4657</v>
      </c>
      <c r="F337" s="253">
        <v>1.0</v>
      </c>
      <c r="G337" s="325">
        <v>117.0</v>
      </c>
      <c r="H337" s="255">
        <f t="shared" ref="H337:H354" si="14">G337*F337</f>
        <v>117</v>
      </c>
      <c r="I337" s="256" t="s">
        <v>43</v>
      </c>
      <c r="J337" s="333" t="s">
        <v>4002</v>
      </c>
      <c r="K337" s="832">
        <v>43251.0</v>
      </c>
      <c r="L337" s="258">
        <v>43250.0</v>
      </c>
      <c r="M337" s="388"/>
      <c r="N337" s="333" t="s">
        <v>3593</v>
      </c>
      <c r="O337" s="310" t="s">
        <v>4650</v>
      </c>
      <c r="P337" s="598"/>
      <c r="Q337" s="637">
        <v>3248.0</v>
      </c>
      <c r="R337" s="310" t="s">
        <v>2080</v>
      </c>
      <c r="S337" s="768">
        <v>43343.0</v>
      </c>
      <c r="T337" s="771">
        <v>43250.0</v>
      </c>
      <c r="U337" s="252" t="s">
        <v>4651</v>
      </c>
      <c r="V337" s="765" t="s">
        <v>4655</v>
      </c>
      <c r="W337" s="769">
        <v>43320.0</v>
      </c>
      <c r="X337" s="252" t="s">
        <v>4596</v>
      </c>
      <c r="Y337" s="765">
        <v>5.137684296E9</v>
      </c>
      <c r="Z337" s="765"/>
      <c r="AA337" s="765"/>
      <c r="AB337" s="765"/>
      <c r="AC337" s="253" t="s">
        <v>284</v>
      </c>
    </row>
    <row r="338" ht="15.75" hidden="1" customHeight="1">
      <c r="A338" s="764">
        <v>43248.0</v>
      </c>
      <c r="B338" s="597" t="s">
        <v>406</v>
      </c>
      <c r="C338" s="765">
        <v>7.00013834E9</v>
      </c>
      <c r="D338" s="252" t="s">
        <v>4648</v>
      </c>
      <c r="E338" s="820" t="s">
        <v>3676</v>
      </c>
      <c r="F338" s="253">
        <v>4.0</v>
      </c>
      <c r="G338" s="325">
        <v>48.0</v>
      </c>
      <c r="H338" s="255">
        <f t="shared" si="14"/>
        <v>192</v>
      </c>
      <c r="I338" s="256" t="s">
        <v>43</v>
      </c>
      <c r="J338" s="333" t="s">
        <v>4002</v>
      </c>
      <c r="K338" s="832">
        <v>43251.0</v>
      </c>
      <c r="L338" s="258">
        <v>43250.0</v>
      </c>
      <c r="M338" s="388"/>
      <c r="N338" s="333" t="s">
        <v>3593</v>
      </c>
      <c r="O338" s="310" t="s">
        <v>4650</v>
      </c>
      <c r="P338" s="598"/>
      <c r="Q338" s="637">
        <v>5422.0</v>
      </c>
      <c r="R338" s="310" t="s">
        <v>2080</v>
      </c>
      <c r="S338" s="768">
        <v>43343.0</v>
      </c>
      <c r="T338" s="771">
        <v>43250.0</v>
      </c>
      <c r="U338" s="252" t="s">
        <v>4651</v>
      </c>
      <c r="V338" s="765" t="s">
        <v>4655</v>
      </c>
      <c r="W338" s="769">
        <v>43320.0</v>
      </c>
      <c r="X338" s="252" t="s">
        <v>4596</v>
      </c>
      <c r="Y338" s="765">
        <v>5.137684296E9</v>
      </c>
      <c r="Z338" s="765"/>
      <c r="AA338" s="765"/>
      <c r="AB338" s="765"/>
      <c r="AC338" s="253" t="s">
        <v>284</v>
      </c>
    </row>
    <row r="339" ht="15.75" hidden="1" customHeight="1">
      <c r="A339" s="776">
        <v>43249.0</v>
      </c>
      <c r="B339" s="340" t="s">
        <v>54</v>
      </c>
      <c r="C339" s="252" t="s">
        <v>4658</v>
      </c>
      <c r="D339" s="310" t="s">
        <v>4659</v>
      </c>
      <c r="E339" s="578" t="s">
        <v>3793</v>
      </c>
      <c r="F339" s="266">
        <v>5.0</v>
      </c>
      <c r="G339" s="254">
        <v>150.15</v>
      </c>
      <c r="H339" s="267">
        <f t="shared" si="14"/>
        <v>750.75</v>
      </c>
      <c r="I339" s="266" t="s">
        <v>43</v>
      </c>
      <c r="J339" s="253" t="s">
        <v>90</v>
      </c>
      <c r="K339" s="832">
        <v>43277.0</v>
      </c>
      <c r="L339" s="258">
        <v>43277.0</v>
      </c>
      <c r="M339" s="388"/>
      <c r="N339" s="333" t="s">
        <v>90</v>
      </c>
      <c r="O339" s="310" t="s">
        <v>4660</v>
      </c>
      <c r="P339" s="268">
        <v>672.0</v>
      </c>
      <c r="Q339" s="330"/>
      <c r="R339" s="340" t="s">
        <v>94</v>
      </c>
      <c r="S339" s="768">
        <v>43343.0</v>
      </c>
      <c r="T339" s="771">
        <v>43277.0</v>
      </c>
      <c r="U339" s="252" t="s">
        <v>4661</v>
      </c>
      <c r="V339" s="774">
        <v>20116.0</v>
      </c>
      <c r="W339" s="769">
        <v>43346.0</v>
      </c>
      <c r="X339" s="765" t="s">
        <v>4662</v>
      </c>
      <c r="Y339" s="765"/>
      <c r="Z339" s="765" t="s">
        <v>4663</v>
      </c>
      <c r="AA339" s="770">
        <v>22825.0</v>
      </c>
      <c r="AB339" s="765" t="s">
        <v>4664</v>
      </c>
      <c r="AC339" s="253" t="s">
        <v>377</v>
      </c>
    </row>
    <row r="340" ht="15.75" hidden="1" customHeight="1">
      <c r="A340" s="764">
        <v>43251.0</v>
      </c>
      <c r="B340" s="265" t="s">
        <v>4665</v>
      </c>
      <c r="C340" s="765"/>
      <c r="D340" s="252" t="s">
        <v>4666</v>
      </c>
      <c r="E340" s="820" t="s">
        <v>3703</v>
      </c>
      <c r="F340" s="253">
        <v>2.0</v>
      </c>
      <c r="G340" s="325">
        <v>167.0</v>
      </c>
      <c r="H340" s="267">
        <f t="shared" si="14"/>
        <v>334</v>
      </c>
      <c r="I340" s="256" t="s">
        <v>420</v>
      </c>
      <c r="J340" s="269" t="s">
        <v>4409</v>
      </c>
      <c r="K340" s="819">
        <v>43325.0</v>
      </c>
      <c r="L340" s="258">
        <v>43259.0</v>
      </c>
      <c r="M340" s="388"/>
      <c r="N340" s="333" t="s">
        <v>2041</v>
      </c>
      <c r="O340" s="310" t="s">
        <v>4667</v>
      </c>
      <c r="P340" s="268">
        <v>325.5</v>
      </c>
      <c r="Q340" s="330"/>
      <c r="R340" s="310" t="s">
        <v>2043</v>
      </c>
      <c r="S340" s="330"/>
      <c r="T340" s="769">
        <v>43257.0</v>
      </c>
      <c r="U340" s="765" t="s">
        <v>4668</v>
      </c>
      <c r="V340" s="770">
        <v>9703.0</v>
      </c>
      <c r="W340" s="769">
        <v>43276.0</v>
      </c>
      <c r="X340" s="252" t="s">
        <v>4412</v>
      </c>
      <c r="Y340" s="765">
        <v>6.11782474E8</v>
      </c>
      <c r="Z340" s="765"/>
      <c r="AA340" s="765"/>
      <c r="AB340" s="765"/>
      <c r="AC340" s="253" t="s">
        <v>284</v>
      </c>
    </row>
    <row r="341" ht="15.75" hidden="1" customHeight="1">
      <c r="A341" s="776">
        <v>43251.0</v>
      </c>
      <c r="B341" s="265" t="s">
        <v>4669</v>
      </c>
      <c r="C341" s="252"/>
      <c r="D341" s="252" t="s">
        <v>4670</v>
      </c>
      <c r="E341" s="838" t="s">
        <v>4671</v>
      </c>
      <c r="F341" s="266">
        <v>1.0</v>
      </c>
      <c r="G341" s="466">
        <v>0.0</v>
      </c>
      <c r="H341" s="267">
        <f t="shared" si="14"/>
        <v>0</v>
      </c>
      <c r="I341" s="256" t="s">
        <v>171</v>
      </c>
      <c r="J341" s="333" t="s">
        <v>4672</v>
      </c>
      <c r="K341" s="832">
        <v>43251.0</v>
      </c>
      <c r="L341" s="258"/>
      <c r="M341" s="320"/>
      <c r="N341" s="333"/>
      <c r="O341" s="310"/>
      <c r="P341" s="268"/>
      <c r="Q341" s="310"/>
      <c r="R341" s="310"/>
      <c r="S341" s="310"/>
      <c r="T341" s="839"/>
      <c r="U341" s="839"/>
      <c r="V341" s="839"/>
      <c r="W341" s="809"/>
      <c r="X341" s="839"/>
      <c r="Y341" s="252"/>
      <c r="Z341" s="252"/>
      <c r="AA341" s="252"/>
      <c r="AB341" s="252"/>
      <c r="AC341" s="266" t="s">
        <v>4673</v>
      </c>
    </row>
    <row r="342" ht="15.75" hidden="1" customHeight="1">
      <c r="A342" s="764">
        <v>43252.0</v>
      </c>
      <c r="B342" s="265" t="s">
        <v>631</v>
      </c>
      <c r="C342" s="765" t="s">
        <v>4674</v>
      </c>
      <c r="D342" s="252" t="s">
        <v>4675</v>
      </c>
      <c r="E342" s="602" t="s">
        <v>4269</v>
      </c>
      <c r="F342" s="253">
        <v>11.0</v>
      </c>
      <c r="G342" s="325">
        <v>173.25</v>
      </c>
      <c r="H342" s="267">
        <f t="shared" si="14"/>
        <v>1905.75</v>
      </c>
      <c r="I342" s="256" t="s">
        <v>171</v>
      </c>
      <c r="J342" s="269" t="s">
        <v>628</v>
      </c>
      <c r="K342" s="832">
        <v>43258.0</v>
      </c>
      <c r="L342" s="258">
        <v>43256.0</v>
      </c>
      <c r="M342" s="388"/>
      <c r="N342" s="333" t="s">
        <v>2263</v>
      </c>
      <c r="O342" s="310" t="s">
        <v>4676</v>
      </c>
      <c r="P342" s="598"/>
      <c r="Q342" s="637">
        <v>56018.0</v>
      </c>
      <c r="R342" s="310" t="s">
        <v>2265</v>
      </c>
      <c r="S342" s="792"/>
      <c r="T342" s="769">
        <v>43259.0</v>
      </c>
      <c r="U342" s="765" t="s">
        <v>4677</v>
      </c>
      <c r="V342" s="770">
        <v>81480.0</v>
      </c>
      <c r="W342" s="769">
        <v>43265.0</v>
      </c>
      <c r="X342" s="765" t="s">
        <v>4678</v>
      </c>
      <c r="Y342" s="765" t="s">
        <v>4679</v>
      </c>
      <c r="Z342" s="765" t="s">
        <v>4680</v>
      </c>
      <c r="AA342" s="770">
        <v>56649.0</v>
      </c>
      <c r="AB342" s="765" t="s">
        <v>4681</v>
      </c>
      <c r="AC342" s="253" t="s">
        <v>377</v>
      </c>
    </row>
    <row r="343" ht="15.75" hidden="1" customHeight="1">
      <c r="A343" s="764">
        <v>43252.0</v>
      </c>
      <c r="B343" s="265" t="s">
        <v>631</v>
      </c>
      <c r="C343" s="765" t="s">
        <v>4674</v>
      </c>
      <c r="D343" s="252" t="s">
        <v>4682</v>
      </c>
      <c r="E343" s="602" t="s">
        <v>4269</v>
      </c>
      <c r="F343" s="253">
        <v>5.0</v>
      </c>
      <c r="G343" s="325">
        <v>173.25</v>
      </c>
      <c r="H343" s="255">
        <f t="shared" si="14"/>
        <v>866.25</v>
      </c>
      <c r="I343" s="256" t="s">
        <v>171</v>
      </c>
      <c r="J343" s="269" t="s">
        <v>628</v>
      </c>
      <c r="K343" s="832">
        <v>43265.0</v>
      </c>
      <c r="L343" s="258">
        <v>43262.0</v>
      </c>
      <c r="M343" s="388"/>
      <c r="N343" s="333" t="s">
        <v>2263</v>
      </c>
      <c r="O343" s="310" t="s">
        <v>4676</v>
      </c>
      <c r="P343" s="598"/>
      <c r="Q343" s="637">
        <v>25462.0</v>
      </c>
      <c r="R343" s="310" t="s">
        <v>2265</v>
      </c>
      <c r="S343" s="792"/>
      <c r="T343" s="769">
        <v>43259.0</v>
      </c>
      <c r="U343" s="765" t="s">
        <v>4677</v>
      </c>
      <c r="V343" s="770" t="s">
        <v>4683</v>
      </c>
      <c r="W343" s="769">
        <v>43265.0</v>
      </c>
      <c r="X343" s="765" t="s">
        <v>4684</v>
      </c>
      <c r="Y343" s="252" t="s">
        <v>4685</v>
      </c>
      <c r="Z343" s="765" t="s">
        <v>4686</v>
      </c>
      <c r="AA343" s="770">
        <v>25884.0</v>
      </c>
      <c r="AB343" s="765" t="s">
        <v>4687</v>
      </c>
      <c r="AC343" s="253" t="s">
        <v>377</v>
      </c>
    </row>
    <row r="344" ht="15.75" hidden="1" customHeight="1">
      <c r="A344" s="764">
        <v>43254.0</v>
      </c>
      <c r="B344" s="597" t="s">
        <v>4688</v>
      </c>
      <c r="C344" s="765"/>
      <c r="D344" s="252" t="s">
        <v>4689</v>
      </c>
      <c r="E344" s="820" t="s">
        <v>4690</v>
      </c>
      <c r="F344" s="253">
        <v>1.0</v>
      </c>
      <c r="G344" s="325">
        <v>183.75</v>
      </c>
      <c r="H344" s="255">
        <f t="shared" si="14"/>
        <v>183.75</v>
      </c>
      <c r="I344" s="256" t="s">
        <v>171</v>
      </c>
      <c r="J344" s="269" t="s">
        <v>628</v>
      </c>
      <c r="K344" s="832">
        <v>43264.0</v>
      </c>
      <c r="L344" s="258">
        <v>43263.0</v>
      </c>
      <c r="M344" s="388"/>
      <c r="N344" s="333" t="s">
        <v>90</v>
      </c>
      <c r="O344" s="310" t="s">
        <v>4691</v>
      </c>
      <c r="P344" s="268">
        <v>195.2</v>
      </c>
      <c r="Q344" s="330"/>
      <c r="R344" s="340" t="s">
        <v>94</v>
      </c>
      <c r="S344" s="768">
        <v>43312.0</v>
      </c>
      <c r="T344" s="769">
        <v>43263.0</v>
      </c>
      <c r="U344" s="765" t="s">
        <v>4692</v>
      </c>
      <c r="V344" s="770">
        <v>14877.0</v>
      </c>
      <c r="W344" s="769">
        <v>43312.0</v>
      </c>
      <c r="X344" s="765" t="s">
        <v>4693</v>
      </c>
      <c r="Y344" s="765" t="s">
        <v>4694</v>
      </c>
      <c r="Z344" s="765" t="s">
        <v>4695</v>
      </c>
      <c r="AA344" s="770">
        <v>15614.0</v>
      </c>
      <c r="AB344" s="765" t="s">
        <v>4696</v>
      </c>
      <c r="AC344" s="266" t="s">
        <v>377</v>
      </c>
    </row>
    <row r="345" ht="15.75" hidden="1" customHeight="1">
      <c r="A345" s="764">
        <v>43254.0</v>
      </c>
      <c r="B345" s="597" t="s">
        <v>4688</v>
      </c>
      <c r="C345" s="765"/>
      <c r="D345" s="252" t="s">
        <v>4689</v>
      </c>
      <c r="E345" s="820" t="s">
        <v>4697</v>
      </c>
      <c r="F345" s="253">
        <v>1.0</v>
      </c>
      <c r="G345" s="325">
        <v>341.25</v>
      </c>
      <c r="H345" s="255">
        <f t="shared" si="14"/>
        <v>341.25</v>
      </c>
      <c r="I345" s="256" t="s">
        <v>171</v>
      </c>
      <c r="J345" s="269" t="s">
        <v>628</v>
      </c>
      <c r="K345" s="832">
        <v>43264.0</v>
      </c>
      <c r="L345" s="258">
        <v>43263.0</v>
      </c>
      <c r="M345" s="388"/>
      <c r="N345" s="333" t="s">
        <v>90</v>
      </c>
      <c r="O345" s="310" t="s">
        <v>4691</v>
      </c>
      <c r="P345" s="268">
        <v>304.79</v>
      </c>
      <c r="Q345" s="330"/>
      <c r="R345" s="340" t="s">
        <v>94</v>
      </c>
      <c r="S345" s="768">
        <v>43312.0</v>
      </c>
      <c r="T345" s="769">
        <v>43263.0</v>
      </c>
      <c r="U345" s="765" t="s">
        <v>4692</v>
      </c>
      <c r="V345" s="765" t="s">
        <v>4698</v>
      </c>
      <c r="W345" s="769">
        <v>43312.0</v>
      </c>
      <c r="X345" s="765" t="s">
        <v>4693</v>
      </c>
      <c r="Y345" s="765" t="s">
        <v>4694</v>
      </c>
      <c r="Z345" s="765" t="s">
        <v>4695</v>
      </c>
      <c r="AA345" s="765" t="s">
        <v>4699</v>
      </c>
      <c r="AB345" s="765" t="s">
        <v>4696</v>
      </c>
      <c r="AC345" s="266" t="s">
        <v>377</v>
      </c>
    </row>
    <row r="346" ht="15.75" hidden="1" customHeight="1">
      <c r="A346" s="764">
        <v>43255.0</v>
      </c>
      <c r="B346" s="265" t="s">
        <v>4441</v>
      </c>
      <c r="C346" s="765"/>
      <c r="D346" s="252" t="s">
        <v>4700</v>
      </c>
      <c r="E346" s="820" t="s">
        <v>4701</v>
      </c>
      <c r="F346" s="253">
        <v>1.0</v>
      </c>
      <c r="G346" s="325">
        <v>835.0</v>
      </c>
      <c r="H346" s="255">
        <f t="shared" si="14"/>
        <v>835</v>
      </c>
      <c r="I346" s="256" t="s">
        <v>171</v>
      </c>
      <c r="J346" s="269" t="s">
        <v>4634</v>
      </c>
      <c r="K346" s="832">
        <v>43270.0</v>
      </c>
      <c r="L346" s="258">
        <v>43265.0</v>
      </c>
      <c r="M346" s="388"/>
      <c r="N346" s="333" t="s">
        <v>1439</v>
      </c>
      <c r="O346" s="310" t="s">
        <v>4702</v>
      </c>
      <c r="P346" s="598"/>
      <c r="Q346" s="579">
        <v>23010.0</v>
      </c>
      <c r="R346" s="320" t="s">
        <v>1976</v>
      </c>
      <c r="S346" s="768">
        <v>43312.0</v>
      </c>
      <c r="T346" s="771">
        <v>43264.0</v>
      </c>
      <c r="U346" s="252" t="s">
        <v>4703</v>
      </c>
      <c r="V346" s="774">
        <v>23010.0</v>
      </c>
      <c r="W346" s="771">
        <v>43312.0</v>
      </c>
      <c r="X346" s="252" t="s">
        <v>4704</v>
      </c>
      <c r="Y346" s="765" t="s">
        <v>4705</v>
      </c>
      <c r="Z346" s="765"/>
      <c r="AA346" s="765"/>
      <c r="AB346" s="765"/>
      <c r="AC346" s="253" t="s">
        <v>284</v>
      </c>
    </row>
    <row r="347" ht="15.75" hidden="1" customHeight="1">
      <c r="A347" s="764">
        <v>43255.0</v>
      </c>
      <c r="B347" s="795" t="s">
        <v>406</v>
      </c>
      <c r="C347" s="765">
        <v>7.000138494E9</v>
      </c>
      <c r="D347" s="252" t="s">
        <v>4706</v>
      </c>
      <c r="E347" s="820" t="s">
        <v>4707</v>
      </c>
      <c r="F347" s="253">
        <v>1.0</v>
      </c>
      <c r="G347" s="325">
        <v>10.0</v>
      </c>
      <c r="H347" s="255">
        <f t="shared" si="14"/>
        <v>10</v>
      </c>
      <c r="I347" s="256" t="s">
        <v>43</v>
      </c>
      <c r="J347" s="333" t="s">
        <v>4002</v>
      </c>
      <c r="K347" s="832">
        <v>43265.0</v>
      </c>
      <c r="L347" s="258">
        <v>43262.0</v>
      </c>
      <c r="M347" s="388"/>
      <c r="N347" s="333" t="s">
        <v>1537</v>
      </c>
      <c r="O347" s="310" t="s">
        <v>4708</v>
      </c>
      <c r="P347" s="268">
        <v>5.0</v>
      </c>
      <c r="Q347" s="330"/>
      <c r="R347" s="604" t="s">
        <v>4389</v>
      </c>
      <c r="S347" s="768">
        <v>43286.0</v>
      </c>
      <c r="T347" s="769">
        <v>43257.0</v>
      </c>
      <c r="U347" s="765" t="s">
        <v>4709</v>
      </c>
      <c r="V347" s="770">
        <v>156.0</v>
      </c>
      <c r="W347" s="769">
        <v>43286.0</v>
      </c>
      <c r="X347" s="252" t="s">
        <v>4584</v>
      </c>
      <c r="Y347" s="252">
        <v>2.886338571E9</v>
      </c>
      <c r="Z347" s="765"/>
      <c r="AA347" s="765"/>
      <c r="AB347" s="765"/>
      <c r="AC347" s="253" t="s">
        <v>284</v>
      </c>
    </row>
    <row r="348" ht="15.75" hidden="1" customHeight="1">
      <c r="A348" s="764">
        <v>43256.0</v>
      </c>
      <c r="B348" s="597" t="s">
        <v>406</v>
      </c>
      <c r="C348" s="765">
        <v>7.000138555E9</v>
      </c>
      <c r="D348" s="252" t="s">
        <v>4710</v>
      </c>
      <c r="E348" s="820" t="s">
        <v>4169</v>
      </c>
      <c r="F348" s="253">
        <v>75.0</v>
      </c>
      <c r="G348" s="325">
        <v>128.0</v>
      </c>
      <c r="H348" s="255">
        <f t="shared" si="14"/>
        <v>9600</v>
      </c>
      <c r="I348" s="256" t="s">
        <v>43</v>
      </c>
      <c r="J348" s="333" t="s">
        <v>4002</v>
      </c>
      <c r="K348" s="832">
        <v>43265.0</v>
      </c>
      <c r="L348" s="258">
        <v>43263.0</v>
      </c>
      <c r="M348" s="388"/>
      <c r="N348" s="333" t="s">
        <v>3593</v>
      </c>
      <c r="O348" s="310" t="s">
        <v>4711</v>
      </c>
      <c r="P348" s="598"/>
      <c r="Q348" s="579">
        <v>280193.0</v>
      </c>
      <c r="R348" s="310" t="s">
        <v>2080</v>
      </c>
      <c r="S348" s="768">
        <v>43343.0</v>
      </c>
      <c r="T348" s="769">
        <v>43262.0</v>
      </c>
      <c r="U348" s="765" t="s">
        <v>4712</v>
      </c>
      <c r="V348" s="770">
        <v>280193.0</v>
      </c>
      <c r="W348" s="771">
        <v>43343.0</v>
      </c>
      <c r="X348" s="252" t="s">
        <v>4584</v>
      </c>
      <c r="Y348" s="252">
        <v>2.886338571E9</v>
      </c>
      <c r="Z348" s="765"/>
      <c r="AA348" s="765"/>
      <c r="AB348" s="765"/>
      <c r="AC348" s="253" t="s">
        <v>284</v>
      </c>
    </row>
    <row r="349" ht="15.75" hidden="1" customHeight="1">
      <c r="A349" s="764">
        <v>43256.0</v>
      </c>
      <c r="B349" s="597" t="s">
        <v>406</v>
      </c>
      <c r="C349" s="765">
        <v>7.000138555E9</v>
      </c>
      <c r="D349" s="252" t="s">
        <v>4713</v>
      </c>
      <c r="E349" s="820" t="s">
        <v>4169</v>
      </c>
      <c r="F349" s="253">
        <v>25.0</v>
      </c>
      <c r="G349" s="325">
        <v>128.0</v>
      </c>
      <c r="H349" s="255">
        <f t="shared" si="14"/>
        <v>3200</v>
      </c>
      <c r="I349" s="256" t="s">
        <v>43</v>
      </c>
      <c r="J349" s="333" t="s">
        <v>4002</v>
      </c>
      <c r="K349" s="258">
        <v>43354.0</v>
      </c>
      <c r="L349" s="258">
        <v>43346.0</v>
      </c>
      <c r="M349" s="388"/>
      <c r="N349" s="333" t="s">
        <v>3593</v>
      </c>
      <c r="O349" s="310" t="s">
        <v>4714</v>
      </c>
      <c r="P349" s="598"/>
      <c r="Q349" s="579">
        <v>102743.0</v>
      </c>
      <c r="R349" s="310" t="s">
        <v>2080</v>
      </c>
      <c r="S349" s="768">
        <v>43434.0</v>
      </c>
      <c r="T349" s="769">
        <v>43346.0</v>
      </c>
      <c r="U349" s="765" t="s">
        <v>4715</v>
      </c>
      <c r="V349" s="770">
        <v>102743.0</v>
      </c>
      <c r="W349" s="769">
        <v>43419.0</v>
      </c>
      <c r="X349" s="765" t="s">
        <v>4716</v>
      </c>
      <c r="Y349" s="765">
        <v>5.528488394E9</v>
      </c>
      <c r="Z349" s="765"/>
      <c r="AA349" s="765"/>
      <c r="AB349" s="765"/>
      <c r="AC349" s="253" t="s">
        <v>284</v>
      </c>
    </row>
    <row r="350" ht="15.75" customHeight="1">
      <c r="A350" s="764">
        <v>43256.0</v>
      </c>
      <c r="B350" s="265" t="s">
        <v>77</v>
      </c>
      <c r="C350" s="765">
        <v>416.0</v>
      </c>
      <c r="D350" s="252" t="s">
        <v>4717</v>
      </c>
      <c r="E350" s="602" t="s">
        <v>3541</v>
      </c>
      <c r="F350" s="307">
        <v>20.0</v>
      </c>
      <c r="G350" s="254">
        <v>285.0</v>
      </c>
      <c r="H350" s="255">
        <f t="shared" si="14"/>
        <v>5700</v>
      </c>
      <c r="I350" s="256" t="s">
        <v>43</v>
      </c>
      <c r="J350" s="369" t="s">
        <v>316</v>
      </c>
      <c r="K350" s="832">
        <v>43353.0</v>
      </c>
      <c r="L350" s="258">
        <v>43347.0</v>
      </c>
      <c r="M350" s="388"/>
      <c r="N350" s="403" t="s">
        <v>1998</v>
      </c>
      <c r="O350" s="310" t="s">
        <v>4718</v>
      </c>
      <c r="P350" s="268">
        <v>5250.0</v>
      </c>
      <c r="Q350" s="330"/>
      <c r="R350" s="310" t="s">
        <v>2000</v>
      </c>
      <c r="S350" s="768">
        <v>43409.0</v>
      </c>
      <c r="T350" s="769">
        <v>43346.0</v>
      </c>
      <c r="U350" s="765" t="s">
        <v>4719</v>
      </c>
      <c r="V350" s="770">
        <v>480614.0</v>
      </c>
      <c r="W350" s="771">
        <v>43409.0</v>
      </c>
      <c r="X350" s="765" t="s">
        <v>4720</v>
      </c>
      <c r="Y350" s="765">
        <v>6.29982102E8</v>
      </c>
      <c r="Z350" s="765"/>
      <c r="AA350" s="765"/>
      <c r="AB350" s="765"/>
      <c r="AC350" s="253" t="s">
        <v>284</v>
      </c>
    </row>
    <row r="351" ht="15.75" customHeight="1">
      <c r="A351" s="764">
        <v>43256.0</v>
      </c>
      <c r="B351" s="265" t="s">
        <v>77</v>
      </c>
      <c r="C351" s="765">
        <v>416.0</v>
      </c>
      <c r="D351" s="252" t="s">
        <v>4717</v>
      </c>
      <c r="E351" s="602" t="s">
        <v>318</v>
      </c>
      <c r="F351" s="253">
        <v>10.0</v>
      </c>
      <c r="G351" s="254">
        <v>255.0</v>
      </c>
      <c r="H351" s="255">
        <f t="shared" si="14"/>
        <v>2550</v>
      </c>
      <c r="I351" s="256" t="s">
        <v>43</v>
      </c>
      <c r="J351" s="369" t="s">
        <v>316</v>
      </c>
      <c r="K351" s="832">
        <v>43353.0</v>
      </c>
      <c r="L351" s="258">
        <v>43347.0</v>
      </c>
      <c r="M351" s="388"/>
      <c r="N351" s="403" t="s">
        <v>1998</v>
      </c>
      <c r="O351" s="310" t="s">
        <v>4718</v>
      </c>
      <c r="P351" s="268">
        <v>2310.0</v>
      </c>
      <c r="Q351" s="330"/>
      <c r="R351" s="310" t="s">
        <v>2000</v>
      </c>
      <c r="S351" s="768">
        <v>43409.0</v>
      </c>
      <c r="T351" s="769">
        <v>43346.0</v>
      </c>
      <c r="U351" s="765" t="s">
        <v>4719</v>
      </c>
      <c r="V351" s="765" t="s">
        <v>4721</v>
      </c>
      <c r="W351" s="771">
        <v>43409.0</v>
      </c>
      <c r="X351" s="765" t="s">
        <v>4720</v>
      </c>
      <c r="Y351" s="765">
        <v>6.29982102E8</v>
      </c>
      <c r="Z351" s="765"/>
      <c r="AA351" s="765"/>
      <c r="AB351" s="765"/>
      <c r="AC351" s="253" t="s">
        <v>284</v>
      </c>
    </row>
    <row r="352" ht="15.75" customHeight="1">
      <c r="A352" s="776">
        <v>43258.0</v>
      </c>
      <c r="B352" s="340" t="s">
        <v>77</v>
      </c>
      <c r="C352" s="252"/>
      <c r="D352" s="310" t="s">
        <v>4722</v>
      </c>
      <c r="E352" s="604" t="s">
        <v>720</v>
      </c>
      <c r="F352" s="266">
        <v>10.0</v>
      </c>
      <c r="G352" s="267">
        <v>1.9</v>
      </c>
      <c r="H352" s="255">
        <f t="shared" si="14"/>
        <v>19</v>
      </c>
      <c r="I352" s="256" t="s">
        <v>43</v>
      </c>
      <c r="J352" s="369" t="s">
        <v>316</v>
      </c>
      <c r="K352" s="832">
        <v>43262.0</v>
      </c>
      <c r="L352" s="266" t="s">
        <v>179</v>
      </c>
      <c r="M352" s="388"/>
      <c r="N352" s="333" t="s">
        <v>3769</v>
      </c>
      <c r="O352" s="310" t="s">
        <v>4099</v>
      </c>
      <c r="P352" s="598"/>
      <c r="Q352" s="330"/>
      <c r="R352" s="388" t="s">
        <v>2131</v>
      </c>
      <c r="S352" s="330"/>
      <c r="T352" s="766"/>
      <c r="U352" s="766"/>
      <c r="V352" s="766"/>
      <c r="W352" s="767"/>
      <c r="X352" s="252" t="s">
        <v>4106</v>
      </c>
      <c r="Y352" s="765">
        <v>1.23352051E8</v>
      </c>
      <c r="Z352" s="765"/>
      <c r="AA352" s="765"/>
      <c r="AB352" s="765"/>
      <c r="AC352" s="253" t="s">
        <v>284</v>
      </c>
    </row>
    <row r="353" ht="15.75" customHeight="1">
      <c r="A353" s="764">
        <v>43258.0</v>
      </c>
      <c r="B353" s="265" t="s">
        <v>77</v>
      </c>
      <c r="C353" s="765"/>
      <c r="D353" s="252" t="s">
        <v>4722</v>
      </c>
      <c r="E353" s="310" t="s">
        <v>1758</v>
      </c>
      <c r="F353" s="307">
        <v>10.0</v>
      </c>
      <c r="G353" s="325">
        <v>3.0</v>
      </c>
      <c r="H353" s="255">
        <f t="shared" si="14"/>
        <v>30</v>
      </c>
      <c r="I353" s="256" t="s">
        <v>43</v>
      </c>
      <c r="J353" s="369" t="s">
        <v>316</v>
      </c>
      <c r="K353" s="832">
        <v>43262.0</v>
      </c>
      <c r="L353" s="266" t="s">
        <v>179</v>
      </c>
      <c r="M353" s="388"/>
      <c r="N353" s="333" t="s">
        <v>3769</v>
      </c>
      <c r="O353" s="310" t="s">
        <v>4723</v>
      </c>
      <c r="P353" s="598"/>
      <c r="Q353" s="330"/>
      <c r="R353" s="388" t="s">
        <v>2131</v>
      </c>
      <c r="S353" s="330"/>
      <c r="T353" s="766"/>
      <c r="U353" s="766"/>
      <c r="V353" s="766"/>
      <c r="W353" s="767"/>
      <c r="X353" s="252" t="s">
        <v>4106</v>
      </c>
      <c r="Y353" s="765">
        <v>1.23352051E8</v>
      </c>
      <c r="Z353" s="765"/>
      <c r="AA353" s="765"/>
      <c r="AB353" s="765"/>
      <c r="AC353" s="253" t="s">
        <v>284</v>
      </c>
    </row>
    <row r="354" ht="15.75" hidden="1" customHeight="1">
      <c r="A354" s="764">
        <v>43260.0</v>
      </c>
      <c r="B354" s="144" t="s">
        <v>101</v>
      </c>
      <c r="C354" s="765" t="s">
        <v>4724</v>
      </c>
      <c r="D354" s="840" t="s">
        <v>4725</v>
      </c>
      <c r="E354" s="820" t="s">
        <v>4726</v>
      </c>
      <c r="F354" s="253">
        <v>1.0</v>
      </c>
      <c r="G354" s="325">
        <v>613.0</v>
      </c>
      <c r="H354" s="255">
        <f t="shared" si="14"/>
        <v>613</v>
      </c>
      <c r="I354" s="256" t="s">
        <v>171</v>
      </c>
      <c r="J354" s="333" t="s">
        <v>3739</v>
      </c>
      <c r="K354" s="258">
        <v>43332.0</v>
      </c>
      <c r="L354" s="266" t="s">
        <v>4727</v>
      </c>
      <c r="M354" s="330"/>
      <c r="N354" s="266" t="s">
        <v>4727</v>
      </c>
      <c r="O354" s="252" t="s">
        <v>4728</v>
      </c>
      <c r="P354" s="598"/>
      <c r="Q354" s="330"/>
      <c r="R354" s="310"/>
      <c r="S354" s="330"/>
      <c r="T354" s="766"/>
      <c r="U354" s="766"/>
      <c r="V354" s="766"/>
      <c r="W354" s="767"/>
      <c r="X354" s="252" t="s">
        <v>4729</v>
      </c>
      <c r="Y354" s="765">
        <v>5.012579751E9</v>
      </c>
      <c r="Z354" s="765"/>
      <c r="AA354" s="765"/>
      <c r="AB354" s="765"/>
      <c r="AC354" s="253" t="s">
        <v>4730</v>
      </c>
    </row>
    <row r="355" ht="15.75" hidden="1" customHeight="1">
      <c r="A355" s="764">
        <v>43260.0</v>
      </c>
      <c r="B355" s="144" t="s">
        <v>101</v>
      </c>
      <c r="C355" s="765" t="s">
        <v>4724</v>
      </c>
      <c r="D355" s="252" t="s">
        <v>4731</v>
      </c>
      <c r="E355" s="820" t="s">
        <v>4732</v>
      </c>
      <c r="F355" s="253">
        <v>1.0</v>
      </c>
      <c r="G355" s="325">
        <v>80.0</v>
      </c>
      <c r="H355" s="255">
        <v>80.0</v>
      </c>
      <c r="I355" s="256" t="s">
        <v>171</v>
      </c>
      <c r="J355" s="333" t="s">
        <v>3739</v>
      </c>
      <c r="K355" s="258">
        <v>43332.0</v>
      </c>
      <c r="L355" s="266" t="s">
        <v>4727</v>
      </c>
      <c r="M355" s="330"/>
      <c r="N355" s="266" t="s">
        <v>4727</v>
      </c>
      <c r="O355" s="780" t="s">
        <v>4728</v>
      </c>
      <c r="P355" s="598"/>
      <c r="Q355" s="330"/>
      <c r="R355" s="310"/>
      <c r="S355" s="330"/>
      <c r="T355" s="766"/>
      <c r="U355" s="766"/>
      <c r="V355" s="766"/>
      <c r="W355" s="767"/>
      <c r="X355" s="252" t="s">
        <v>4729</v>
      </c>
      <c r="Y355" s="765">
        <v>5.012579751E9</v>
      </c>
      <c r="Z355" s="765"/>
      <c r="AA355" s="765"/>
      <c r="AB355" s="765"/>
      <c r="AC355" s="253" t="s">
        <v>4730</v>
      </c>
    </row>
    <row r="356" ht="15.75" hidden="1" customHeight="1">
      <c r="A356" s="764">
        <v>43260.0</v>
      </c>
      <c r="B356" s="265" t="s">
        <v>101</v>
      </c>
      <c r="C356" s="765" t="s">
        <v>4733</v>
      </c>
      <c r="D356" s="252" t="s">
        <v>4734</v>
      </c>
      <c r="E356" s="815" t="s">
        <v>4735</v>
      </c>
      <c r="F356" s="253">
        <v>8.0</v>
      </c>
      <c r="G356" s="254">
        <v>550.0</v>
      </c>
      <c r="H356" s="332">
        <f t="shared" ref="H356:H365" si="15">G356*F356</f>
        <v>4400</v>
      </c>
      <c r="I356" s="256" t="s">
        <v>171</v>
      </c>
      <c r="J356" s="333" t="s">
        <v>3739</v>
      </c>
      <c r="K356" s="832">
        <v>43293.0</v>
      </c>
      <c r="L356" s="258">
        <v>43291.0</v>
      </c>
      <c r="M356" s="388"/>
      <c r="N356" s="333" t="s">
        <v>2028</v>
      </c>
      <c r="O356" s="252" t="s">
        <v>4736</v>
      </c>
      <c r="P356" s="598"/>
      <c r="Q356" s="579">
        <v>123967.0</v>
      </c>
      <c r="R356" s="578" t="s">
        <v>2030</v>
      </c>
      <c r="S356" s="768">
        <v>43348.0</v>
      </c>
      <c r="T356" s="769">
        <v>43290.0</v>
      </c>
      <c r="U356" s="765" t="s">
        <v>4737</v>
      </c>
      <c r="V356" s="770">
        <v>123967.0</v>
      </c>
      <c r="W356" s="769">
        <v>43349.0</v>
      </c>
      <c r="X356" s="252" t="s">
        <v>4738</v>
      </c>
      <c r="Y356" s="765">
        <v>8.273020114E9</v>
      </c>
      <c r="Z356" s="765"/>
      <c r="AA356" s="765"/>
      <c r="AB356" s="765"/>
      <c r="AC356" s="253" t="s">
        <v>284</v>
      </c>
    </row>
    <row r="357" ht="15.75" hidden="1" customHeight="1">
      <c r="A357" s="764">
        <v>43260.0</v>
      </c>
      <c r="B357" s="265" t="s">
        <v>101</v>
      </c>
      <c r="C357" s="765" t="s">
        <v>4733</v>
      </c>
      <c r="D357" s="252" t="s">
        <v>4739</v>
      </c>
      <c r="E357" s="815" t="s">
        <v>3908</v>
      </c>
      <c r="F357" s="253">
        <v>8.0</v>
      </c>
      <c r="G357" s="254">
        <v>352.0</v>
      </c>
      <c r="H357" s="332">
        <f t="shared" si="15"/>
        <v>2816</v>
      </c>
      <c r="I357" s="256" t="s">
        <v>171</v>
      </c>
      <c r="J357" s="841" t="s">
        <v>3739</v>
      </c>
      <c r="K357" s="832">
        <v>43293.0</v>
      </c>
      <c r="L357" s="258">
        <v>43278.0</v>
      </c>
      <c r="M357" s="388"/>
      <c r="N357" s="333" t="s">
        <v>2026</v>
      </c>
      <c r="O357" s="252" t="s">
        <v>4740</v>
      </c>
      <c r="P357" s="268">
        <v>2360.4</v>
      </c>
      <c r="Q357" s="330"/>
      <c r="R357" s="340" t="s">
        <v>47</v>
      </c>
      <c r="S357" s="768">
        <v>43307.0</v>
      </c>
      <c r="T357" s="842">
        <v>43277.0</v>
      </c>
      <c r="U357" s="765" t="s">
        <v>4741</v>
      </c>
      <c r="V357" s="770">
        <v>71763.0</v>
      </c>
      <c r="W357" s="769">
        <v>43305.0</v>
      </c>
      <c r="X357" s="252" t="s">
        <v>4738</v>
      </c>
      <c r="Y357" s="765">
        <v>8.273020114E9</v>
      </c>
      <c r="Z357" s="765"/>
      <c r="AA357" s="765"/>
      <c r="AB357" s="765"/>
      <c r="AC357" s="253" t="s">
        <v>284</v>
      </c>
    </row>
    <row r="358" ht="15.75" hidden="1" customHeight="1">
      <c r="A358" s="764">
        <v>43260.0</v>
      </c>
      <c r="B358" s="265" t="s">
        <v>101</v>
      </c>
      <c r="C358" s="765" t="s">
        <v>4733</v>
      </c>
      <c r="D358" s="252" t="s">
        <v>4739</v>
      </c>
      <c r="E358" s="815" t="s">
        <v>4742</v>
      </c>
      <c r="F358" s="253">
        <v>8.0</v>
      </c>
      <c r="G358" s="254">
        <v>58.0</v>
      </c>
      <c r="H358" s="332">
        <f t="shared" si="15"/>
        <v>464</v>
      </c>
      <c r="I358" s="428" t="s">
        <v>171</v>
      </c>
      <c r="J358" s="403" t="s">
        <v>3739</v>
      </c>
      <c r="K358" s="832">
        <v>43293.0</v>
      </c>
      <c r="L358" s="258">
        <v>43278.0</v>
      </c>
      <c r="M358" s="388"/>
      <c r="N358" s="253" t="s">
        <v>2020</v>
      </c>
      <c r="O358" s="310" t="s">
        <v>4743</v>
      </c>
      <c r="P358" s="598"/>
      <c r="Q358" s="579">
        <v>11634.0</v>
      </c>
      <c r="R358" s="604" t="s">
        <v>3906</v>
      </c>
      <c r="S358" s="826">
        <v>43307.0</v>
      </c>
      <c r="T358" s="842">
        <v>43277.0</v>
      </c>
      <c r="U358" s="765" t="s">
        <v>4744</v>
      </c>
      <c r="V358" s="770">
        <v>11634.0</v>
      </c>
      <c r="W358" s="771">
        <v>43349.0</v>
      </c>
      <c r="X358" s="252" t="s">
        <v>4738</v>
      </c>
      <c r="Y358" s="765">
        <v>8.273020114E9</v>
      </c>
      <c r="Z358" s="765"/>
      <c r="AA358" s="765"/>
      <c r="AB358" s="765"/>
      <c r="AC358" s="253" t="s">
        <v>284</v>
      </c>
    </row>
    <row r="359" ht="15.75" hidden="1" customHeight="1">
      <c r="A359" s="764">
        <v>43262.0</v>
      </c>
      <c r="B359" s="265" t="s">
        <v>721</v>
      </c>
      <c r="C359" s="765"/>
      <c r="D359" s="252" t="s">
        <v>4745</v>
      </c>
      <c r="E359" s="820" t="s">
        <v>4746</v>
      </c>
      <c r="F359" s="253">
        <v>2.0</v>
      </c>
      <c r="G359" s="325">
        <v>695.0</v>
      </c>
      <c r="H359" s="255">
        <f t="shared" si="15"/>
        <v>1390</v>
      </c>
      <c r="I359" s="428" t="s">
        <v>3874</v>
      </c>
      <c r="J359" s="843" t="s">
        <v>724</v>
      </c>
      <c r="K359" s="258">
        <v>43279.0</v>
      </c>
      <c r="L359" s="258">
        <v>43276.0</v>
      </c>
      <c r="M359" s="388"/>
      <c r="N359" s="333" t="s">
        <v>90</v>
      </c>
      <c r="O359" s="310" t="s">
        <v>4747</v>
      </c>
      <c r="P359" s="268">
        <v>1215.9</v>
      </c>
      <c r="Q359" s="330"/>
      <c r="R359" s="340" t="s">
        <v>94</v>
      </c>
      <c r="S359" s="768">
        <v>43312.0</v>
      </c>
      <c r="T359" s="769">
        <v>43273.0</v>
      </c>
      <c r="U359" s="765" t="s">
        <v>4748</v>
      </c>
      <c r="V359" s="770">
        <v>436744.0</v>
      </c>
      <c r="W359" s="769">
        <v>43312.0</v>
      </c>
      <c r="X359" s="252" t="s">
        <v>4749</v>
      </c>
      <c r="Y359" s="765"/>
      <c r="Z359" s="765"/>
      <c r="AA359" s="765"/>
      <c r="AB359" s="765"/>
      <c r="AC359" s="253" t="s">
        <v>284</v>
      </c>
    </row>
    <row r="360" ht="15.75" hidden="1" customHeight="1">
      <c r="A360" s="764">
        <v>43262.0</v>
      </c>
      <c r="B360" s="265" t="s">
        <v>721</v>
      </c>
      <c r="C360" s="765"/>
      <c r="D360" s="252" t="s">
        <v>4745</v>
      </c>
      <c r="E360" s="820" t="s">
        <v>4750</v>
      </c>
      <c r="F360" s="253">
        <v>30.0</v>
      </c>
      <c r="G360" s="325">
        <v>95.0</v>
      </c>
      <c r="H360" s="255">
        <f t="shared" si="15"/>
        <v>2850</v>
      </c>
      <c r="I360" s="428" t="s">
        <v>3874</v>
      </c>
      <c r="J360" s="843" t="s">
        <v>724</v>
      </c>
      <c r="K360" s="258">
        <v>43279.0</v>
      </c>
      <c r="L360" s="258">
        <v>43276.0</v>
      </c>
      <c r="M360" s="388"/>
      <c r="N360" s="333" t="s">
        <v>90</v>
      </c>
      <c r="O360" s="310" t="s">
        <v>4747</v>
      </c>
      <c r="P360" s="268">
        <v>2646.0</v>
      </c>
      <c r="Q360" s="330"/>
      <c r="R360" s="340" t="s">
        <v>94</v>
      </c>
      <c r="S360" s="768">
        <v>43312.0</v>
      </c>
      <c r="T360" s="769">
        <v>43273.0</v>
      </c>
      <c r="U360" s="765" t="s">
        <v>4748</v>
      </c>
      <c r="V360" s="765" t="s">
        <v>4751</v>
      </c>
      <c r="W360" s="769">
        <v>43312.0</v>
      </c>
      <c r="X360" s="252" t="s">
        <v>4749</v>
      </c>
      <c r="Y360" s="765"/>
      <c r="Z360" s="765"/>
      <c r="AA360" s="765"/>
      <c r="AB360" s="765"/>
      <c r="AC360" s="253" t="s">
        <v>284</v>
      </c>
    </row>
    <row r="361" ht="15.75" hidden="1" customHeight="1">
      <c r="A361" s="764">
        <v>43262.0</v>
      </c>
      <c r="B361" s="265" t="s">
        <v>721</v>
      </c>
      <c r="C361" s="765"/>
      <c r="D361" s="252" t="s">
        <v>4745</v>
      </c>
      <c r="E361" s="820" t="s">
        <v>3765</v>
      </c>
      <c r="F361" s="253">
        <v>25.0</v>
      </c>
      <c r="G361" s="325">
        <v>320.0</v>
      </c>
      <c r="H361" s="255">
        <f t="shared" si="15"/>
        <v>8000</v>
      </c>
      <c r="I361" s="428" t="s">
        <v>3874</v>
      </c>
      <c r="J361" s="843" t="s">
        <v>724</v>
      </c>
      <c r="K361" s="258">
        <v>43279.0</v>
      </c>
      <c r="L361" s="258">
        <v>43276.0</v>
      </c>
      <c r="M361" s="388"/>
      <c r="N361" s="333" t="s">
        <v>90</v>
      </c>
      <c r="O361" s="310" t="s">
        <v>4747</v>
      </c>
      <c r="P361" s="268">
        <v>6746.25</v>
      </c>
      <c r="Q361" s="330"/>
      <c r="R361" s="340" t="s">
        <v>94</v>
      </c>
      <c r="S361" s="768">
        <v>43312.0</v>
      </c>
      <c r="T361" s="769">
        <v>43273.0</v>
      </c>
      <c r="U361" s="765" t="s">
        <v>4748</v>
      </c>
      <c r="V361" s="765" t="s">
        <v>4751</v>
      </c>
      <c r="W361" s="769">
        <v>43312.0</v>
      </c>
      <c r="X361" s="252" t="s">
        <v>4749</v>
      </c>
      <c r="Y361" s="765"/>
      <c r="Z361" s="765"/>
      <c r="AA361" s="765"/>
      <c r="AB361" s="765"/>
      <c r="AC361" s="253" t="s">
        <v>284</v>
      </c>
    </row>
    <row r="362" ht="15.75" hidden="1" customHeight="1">
      <c r="A362" s="764">
        <v>43262.0</v>
      </c>
      <c r="B362" s="265" t="s">
        <v>721</v>
      </c>
      <c r="C362" s="765"/>
      <c r="D362" s="252" t="s">
        <v>4745</v>
      </c>
      <c r="E362" s="820" t="s">
        <v>4752</v>
      </c>
      <c r="F362" s="253">
        <v>12.0</v>
      </c>
      <c r="G362" s="325">
        <v>345.0</v>
      </c>
      <c r="H362" s="255">
        <f t="shared" si="15"/>
        <v>4140</v>
      </c>
      <c r="I362" s="428" t="s">
        <v>3874</v>
      </c>
      <c r="J362" s="843" t="s">
        <v>724</v>
      </c>
      <c r="K362" s="258">
        <v>43279.0</v>
      </c>
      <c r="L362" s="258">
        <v>43276.0</v>
      </c>
      <c r="M362" s="388"/>
      <c r="N362" s="333" t="s">
        <v>90</v>
      </c>
      <c r="O362" s="310" t="s">
        <v>4747</v>
      </c>
      <c r="P362" s="268">
        <v>3490.2</v>
      </c>
      <c r="Q362" s="330"/>
      <c r="R362" s="340" t="s">
        <v>94</v>
      </c>
      <c r="S362" s="768">
        <v>43312.0</v>
      </c>
      <c r="T362" s="769">
        <v>43273.0</v>
      </c>
      <c r="U362" s="765" t="s">
        <v>4748</v>
      </c>
      <c r="V362" s="765" t="s">
        <v>4751</v>
      </c>
      <c r="W362" s="769">
        <v>43312.0</v>
      </c>
      <c r="X362" s="252" t="s">
        <v>4749</v>
      </c>
      <c r="Y362" s="765"/>
      <c r="Z362" s="765"/>
      <c r="AA362" s="765"/>
      <c r="AB362" s="765"/>
      <c r="AC362" s="253" t="s">
        <v>284</v>
      </c>
    </row>
    <row r="363" ht="15.75" hidden="1" customHeight="1">
      <c r="A363" s="764">
        <v>43262.0</v>
      </c>
      <c r="B363" s="265" t="s">
        <v>721</v>
      </c>
      <c r="C363" s="765"/>
      <c r="D363" s="252" t="s">
        <v>4745</v>
      </c>
      <c r="E363" s="820" t="s">
        <v>4753</v>
      </c>
      <c r="F363" s="253">
        <v>5.0</v>
      </c>
      <c r="G363" s="325">
        <v>123.0</v>
      </c>
      <c r="H363" s="255">
        <f t="shared" si="15"/>
        <v>615</v>
      </c>
      <c r="I363" s="428" t="s">
        <v>3874</v>
      </c>
      <c r="J363" s="843" t="s">
        <v>724</v>
      </c>
      <c r="K363" s="258">
        <v>43279.0</v>
      </c>
      <c r="L363" s="258">
        <v>43276.0</v>
      </c>
      <c r="M363" s="388"/>
      <c r="N363" s="333" t="s">
        <v>90</v>
      </c>
      <c r="O363" s="310" t="s">
        <v>4747</v>
      </c>
      <c r="P363" s="268">
        <v>491.4</v>
      </c>
      <c r="Q363" s="330"/>
      <c r="R363" s="340" t="s">
        <v>94</v>
      </c>
      <c r="S363" s="768">
        <v>43312.0</v>
      </c>
      <c r="T363" s="769">
        <v>43273.0</v>
      </c>
      <c r="U363" s="765" t="s">
        <v>4748</v>
      </c>
      <c r="V363" s="765" t="s">
        <v>4751</v>
      </c>
      <c r="W363" s="769">
        <v>43312.0</v>
      </c>
      <c r="X363" s="252" t="s">
        <v>4749</v>
      </c>
      <c r="Y363" s="765"/>
      <c r="Z363" s="765"/>
      <c r="AA363" s="765"/>
      <c r="AB363" s="765"/>
      <c r="AC363" s="253" t="s">
        <v>284</v>
      </c>
    </row>
    <row r="364" ht="15.75" hidden="1" customHeight="1">
      <c r="A364" s="764">
        <v>43264.0</v>
      </c>
      <c r="B364" s="265" t="s">
        <v>4754</v>
      </c>
      <c r="C364" s="765" t="s">
        <v>4755</v>
      </c>
      <c r="D364" s="252" t="s">
        <v>4756</v>
      </c>
      <c r="E364" s="820" t="s">
        <v>4757</v>
      </c>
      <c r="F364" s="253">
        <v>1.0</v>
      </c>
      <c r="G364" s="325">
        <v>1456.0</v>
      </c>
      <c r="H364" s="255">
        <f t="shared" si="15"/>
        <v>1456</v>
      </c>
      <c r="I364" s="256" t="s">
        <v>171</v>
      </c>
      <c r="J364" s="269" t="s">
        <v>594</v>
      </c>
      <c r="K364" s="258">
        <v>43283.0</v>
      </c>
      <c r="L364" s="258">
        <v>43279.0</v>
      </c>
      <c r="M364" s="388"/>
      <c r="N364" s="333" t="s">
        <v>90</v>
      </c>
      <c r="O364" s="310" t="s">
        <v>4758</v>
      </c>
      <c r="P364" s="268">
        <v>1299.9</v>
      </c>
      <c r="Q364" s="330"/>
      <c r="R364" s="340" t="s">
        <v>94</v>
      </c>
      <c r="S364" s="768">
        <v>43343.0</v>
      </c>
      <c r="T364" s="769">
        <v>43279.0</v>
      </c>
      <c r="U364" s="765" t="s">
        <v>4759</v>
      </c>
      <c r="V364" s="770">
        <v>38913.0</v>
      </c>
      <c r="W364" s="769">
        <v>43346.0</v>
      </c>
      <c r="X364" s="252" t="s">
        <v>4760</v>
      </c>
      <c r="Y364" s="765" t="s">
        <v>4761</v>
      </c>
      <c r="Z364" s="765"/>
      <c r="AA364" s="765"/>
      <c r="AB364" s="765"/>
      <c r="AC364" s="253" t="s">
        <v>284</v>
      </c>
    </row>
    <row r="365" ht="51.0" hidden="1" customHeight="1">
      <c r="A365" s="764">
        <v>43264.0</v>
      </c>
      <c r="B365" s="265" t="s">
        <v>4754</v>
      </c>
      <c r="C365" s="765" t="s">
        <v>4762</v>
      </c>
      <c r="D365" s="252" t="s">
        <v>4756</v>
      </c>
      <c r="E365" s="820" t="s">
        <v>4763</v>
      </c>
      <c r="F365" s="253">
        <v>5.0</v>
      </c>
      <c r="G365" s="325">
        <v>100.0</v>
      </c>
      <c r="H365" s="255">
        <f t="shared" si="15"/>
        <v>500</v>
      </c>
      <c r="I365" s="256" t="s">
        <v>171</v>
      </c>
      <c r="J365" s="269" t="s">
        <v>594</v>
      </c>
      <c r="K365" s="258">
        <v>43283.0</v>
      </c>
      <c r="L365" s="258">
        <v>43283.0</v>
      </c>
      <c r="M365" s="388"/>
      <c r="N365" s="333" t="s">
        <v>4764</v>
      </c>
      <c r="O365" s="310" t="s">
        <v>4765</v>
      </c>
      <c r="P365" s="600"/>
      <c r="Q365" s="310">
        <v>3622.5</v>
      </c>
      <c r="R365" s="388" t="s">
        <v>4766</v>
      </c>
      <c r="S365" s="330"/>
      <c r="T365" s="771">
        <v>43280.0</v>
      </c>
      <c r="U365" s="765" t="s">
        <v>4767</v>
      </c>
      <c r="V365" s="770">
        <v>3623.0</v>
      </c>
      <c r="W365" s="769">
        <v>43278.0</v>
      </c>
      <c r="X365" s="252" t="s">
        <v>4760</v>
      </c>
      <c r="Y365" s="765" t="s">
        <v>4761</v>
      </c>
      <c r="Z365" s="765"/>
      <c r="AA365" s="765"/>
      <c r="AB365" s="765"/>
      <c r="AC365" s="253" t="s">
        <v>284</v>
      </c>
    </row>
    <row r="366" ht="15.75" hidden="1" customHeight="1">
      <c r="A366" s="764">
        <v>43264.0</v>
      </c>
      <c r="B366" s="265" t="s">
        <v>4754</v>
      </c>
      <c r="C366" s="765" t="s">
        <v>4762</v>
      </c>
      <c r="D366" s="252" t="s">
        <v>4756</v>
      </c>
      <c r="E366" s="820" t="s">
        <v>4768</v>
      </c>
      <c r="F366" s="253">
        <v>5.0</v>
      </c>
      <c r="G366" s="325">
        <v>0.0</v>
      </c>
      <c r="H366" s="255">
        <v>0.0</v>
      </c>
      <c r="I366" s="256" t="s">
        <v>171</v>
      </c>
      <c r="J366" s="269" t="s">
        <v>594</v>
      </c>
      <c r="K366" s="258">
        <v>43283.0</v>
      </c>
      <c r="L366" s="258">
        <v>43283.0</v>
      </c>
      <c r="M366" s="388"/>
      <c r="N366" s="592" t="s">
        <v>4769</v>
      </c>
      <c r="O366" s="310" t="s">
        <v>4770</v>
      </c>
      <c r="P366" s="268"/>
      <c r="Q366" s="579">
        <v>1575.0</v>
      </c>
      <c r="R366" s="320" t="s">
        <v>4771</v>
      </c>
      <c r="S366" s="768">
        <v>43317.0</v>
      </c>
      <c r="T366" s="771">
        <v>43283.0</v>
      </c>
      <c r="U366" s="252" t="s">
        <v>4772</v>
      </c>
      <c r="V366" s="774">
        <v>1575.0</v>
      </c>
      <c r="W366" s="769">
        <v>43318.0</v>
      </c>
      <c r="X366" s="252" t="s">
        <v>4760</v>
      </c>
      <c r="Y366" s="765" t="s">
        <v>4761</v>
      </c>
      <c r="Z366" s="765"/>
      <c r="AA366" s="765"/>
      <c r="AB366" s="765"/>
      <c r="AC366" s="253" t="s">
        <v>284</v>
      </c>
    </row>
    <row r="367" ht="15.75" hidden="1" customHeight="1">
      <c r="A367" s="764">
        <v>43264.0</v>
      </c>
      <c r="B367" s="265" t="s">
        <v>4754</v>
      </c>
      <c r="C367" s="765" t="s">
        <v>4773</v>
      </c>
      <c r="D367" s="252" t="s">
        <v>4756</v>
      </c>
      <c r="E367" s="820" t="s">
        <v>4774</v>
      </c>
      <c r="F367" s="253">
        <v>2.0</v>
      </c>
      <c r="G367" s="325">
        <v>309.0</v>
      </c>
      <c r="H367" s="255">
        <f t="shared" ref="H367:H372" si="16">G367*F367</f>
        <v>618</v>
      </c>
      <c r="I367" s="256" t="s">
        <v>171</v>
      </c>
      <c r="J367" s="269" t="s">
        <v>594</v>
      </c>
      <c r="K367" s="258">
        <v>43283.0</v>
      </c>
      <c r="L367" s="258">
        <v>43276.0</v>
      </c>
      <c r="M367" s="388"/>
      <c r="N367" s="253" t="s">
        <v>3789</v>
      </c>
      <c r="O367" s="310" t="s">
        <v>4775</v>
      </c>
      <c r="P367" s="268">
        <v>556.5</v>
      </c>
      <c r="Q367" s="579">
        <v>16799.0</v>
      </c>
      <c r="R367" s="320" t="s">
        <v>3435</v>
      </c>
      <c r="S367" s="792"/>
      <c r="T367" s="769">
        <v>43273.0</v>
      </c>
      <c r="U367" s="765" t="s">
        <v>4776</v>
      </c>
      <c r="V367" s="770">
        <v>16799.0</v>
      </c>
      <c r="W367" s="769">
        <v>43276.0</v>
      </c>
      <c r="X367" s="252" t="s">
        <v>4760</v>
      </c>
      <c r="Y367" s="765" t="s">
        <v>4761</v>
      </c>
      <c r="Z367" s="765"/>
      <c r="AA367" s="765"/>
      <c r="AB367" s="765"/>
      <c r="AC367" s="253" t="s">
        <v>284</v>
      </c>
    </row>
    <row r="368" ht="15.75" hidden="1" customHeight="1">
      <c r="A368" s="764">
        <v>43264.0</v>
      </c>
      <c r="B368" s="265" t="s">
        <v>4754</v>
      </c>
      <c r="C368" s="765" t="s">
        <v>4773</v>
      </c>
      <c r="D368" s="252" t="s">
        <v>4777</v>
      </c>
      <c r="E368" s="820" t="s">
        <v>4568</v>
      </c>
      <c r="F368" s="307">
        <v>5.0</v>
      </c>
      <c r="G368" s="325">
        <v>68.0</v>
      </c>
      <c r="H368" s="255">
        <f t="shared" si="16"/>
        <v>340</v>
      </c>
      <c r="I368" s="256" t="s">
        <v>3874</v>
      </c>
      <c r="J368" s="269" t="s">
        <v>594</v>
      </c>
      <c r="K368" s="258">
        <v>43283.0</v>
      </c>
      <c r="L368" s="258">
        <v>43279.0</v>
      </c>
      <c r="M368" s="388"/>
      <c r="N368" s="253" t="s">
        <v>90</v>
      </c>
      <c r="O368" s="310" t="s">
        <v>4778</v>
      </c>
      <c r="P368" s="268">
        <v>304.5</v>
      </c>
      <c r="Q368" s="330"/>
      <c r="R368" s="340" t="s">
        <v>94</v>
      </c>
      <c r="S368" s="768">
        <v>43343.0</v>
      </c>
      <c r="T368" s="769">
        <v>43279.0</v>
      </c>
      <c r="U368" s="765" t="s">
        <v>4779</v>
      </c>
      <c r="V368" s="770">
        <v>9115.0</v>
      </c>
      <c r="W368" s="769">
        <v>43346.0</v>
      </c>
      <c r="X368" s="252" t="s">
        <v>4760</v>
      </c>
      <c r="Y368" s="765" t="s">
        <v>4761</v>
      </c>
      <c r="Z368" s="765"/>
      <c r="AA368" s="770"/>
      <c r="AB368" s="765"/>
      <c r="AC368" s="253" t="s">
        <v>284</v>
      </c>
    </row>
    <row r="369" ht="15.75" hidden="1" customHeight="1">
      <c r="A369" s="764">
        <v>43264.0</v>
      </c>
      <c r="B369" s="265" t="s">
        <v>4754</v>
      </c>
      <c r="C369" s="765" t="s">
        <v>4773</v>
      </c>
      <c r="D369" s="252" t="s">
        <v>4777</v>
      </c>
      <c r="E369" s="820" t="s">
        <v>4780</v>
      </c>
      <c r="F369" s="307">
        <v>2.0</v>
      </c>
      <c r="G369" s="325">
        <v>93.0</v>
      </c>
      <c r="H369" s="255">
        <f t="shared" si="16"/>
        <v>186</v>
      </c>
      <c r="I369" s="256" t="s">
        <v>3874</v>
      </c>
      <c r="J369" s="269" t="s">
        <v>594</v>
      </c>
      <c r="K369" s="258">
        <v>43283.0</v>
      </c>
      <c r="L369" s="258">
        <v>43279.0</v>
      </c>
      <c r="M369" s="388"/>
      <c r="N369" s="333" t="s">
        <v>90</v>
      </c>
      <c r="O369" s="310" t="s">
        <v>4781</v>
      </c>
      <c r="P369" s="268">
        <v>165.9</v>
      </c>
      <c r="Q369" s="330"/>
      <c r="R369" s="340" t="s">
        <v>94</v>
      </c>
      <c r="S369" s="768">
        <v>43343.0</v>
      </c>
      <c r="T369" s="769">
        <v>43279.0</v>
      </c>
      <c r="U369" s="765" t="s">
        <v>4782</v>
      </c>
      <c r="V369" s="770">
        <v>4966.0</v>
      </c>
      <c r="W369" s="769">
        <v>43346.0</v>
      </c>
      <c r="X369" s="252" t="s">
        <v>4760</v>
      </c>
      <c r="Y369" s="765" t="s">
        <v>4761</v>
      </c>
      <c r="Z369" s="765"/>
      <c r="AA369" s="770"/>
      <c r="AB369" s="765"/>
      <c r="AC369" s="253" t="s">
        <v>284</v>
      </c>
    </row>
    <row r="370" ht="15.75" hidden="1" customHeight="1">
      <c r="A370" s="764">
        <v>43264.0</v>
      </c>
      <c r="B370" s="265" t="s">
        <v>373</v>
      </c>
      <c r="C370" s="765">
        <v>2.01806110003E11</v>
      </c>
      <c r="D370" s="252" t="s">
        <v>4783</v>
      </c>
      <c r="E370" s="602" t="s">
        <v>4784</v>
      </c>
      <c r="F370" s="307">
        <v>2.0</v>
      </c>
      <c r="G370" s="254">
        <v>96.6</v>
      </c>
      <c r="H370" s="255">
        <f t="shared" si="16"/>
        <v>193.2</v>
      </c>
      <c r="I370" s="256" t="s">
        <v>43</v>
      </c>
      <c r="J370" s="269" t="s">
        <v>90</v>
      </c>
      <c r="K370" s="258">
        <v>43271.0</v>
      </c>
      <c r="L370" s="258">
        <v>43270.0</v>
      </c>
      <c r="M370" s="388"/>
      <c r="N370" s="333" t="s">
        <v>90</v>
      </c>
      <c r="O370" s="310" t="s">
        <v>4785</v>
      </c>
      <c r="P370" s="268">
        <v>182.7</v>
      </c>
      <c r="Q370" s="330"/>
      <c r="R370" s="340" t="s">
        <v>94</v>
      </c>
      <c r="S370" s="768">
        <v>43312.0</v>
      </c>
      <c r="T370" s="769">
        <v>43270.0</v>
      </c>
      <c r="U370" s="765" t="s">
        <v>4786</v>
      </c>
      <c r="V370" s="770">
        <v>5436.0</v>
      </c>
      <c r="W370" s="769">
        <v>43312.0</v>
      </c>
      <c r="X370" s="765" t="s">
        <v>4787</v>
      </c>
      <c r="Y370" s="765"/>
      <c r="Z370" s="765" t="s">
        <v>4788</v>
      </c>
      <c r="AA370" s="770">
        <v>5831.0</v>
      </c>
      <c r="AB370" s="765" t="s">
        <v>4789</v>
      </c>
      <c r="AC370" s="253" t="s">
        <v>377</v>
      </c>
    </row>
    <row r="371" ht="15.75" hidden="1" customHeight="1">
      <c r="A371" s="764">
        <v>43265.0</v>
      </c>
      <c r="B371" s="265" t="s">
        <v>416</v>
      </c>
      <c r="C371" s="765" t="s">
        <v>4790</v>
      </c>
      <c r="D371" s="252" t="s">
        <v>4791</v>
      </c>
      <c r="E371" s="844" t="s">
        <v>4792</v>
      </c>
      <c r="F371" s="845">
        <v>12.0</v>
      </c>
      <c r="G371" s="846">
        <v>345.0</v>
      </c>
      <c r="H371" s="255">
        <f t="shared" si="16"/>
        <v>4140</v>
      </c>
      <c r="I371" s="256" t="s">
        <v>420</v>
      </c>
      <c r="J371" s="847" t="s">
        <v>4793</v>
      </c>
      <c r="K371" s="258">
        <v>43335.0</v>
      </c>
      <c r="L371" s="403" t="s">
        <v>4794</v>
      </c>
      <c r="M371" s="388"/>
      <c r="N371" s="333" t="s">
        <v>3593</v>
      </c>
      <c r="O371" s="597" t="s">
        <v>4795</v>
      </c>
      <c r="P371" s="598"/>
      <c r="Q371" s="579">
        <v>124816.0</v>
      </c>
      <c r="R371" s="310" t="s">
        <v>2080</v>
      </c>
      <c r="S371" s="768">
        <v>43404.0</v>
      </c>
      <c r="T371" s="769">
        <v>43326.0</v>
      </c>
      <c r="U371" s="765" t="s">
        <v>4796</v>
      </c>
      <c r="V371" s="770">
        <v>124816.0</v>
      </c>
      <c r="W371" s="769">
        <v>43369.0</v>
      </c>
      <c r="X371" s="765" t="s">
        <v>4797</v>
      </c>
      <c r="Y371" s="765" t="s">
        <v>4798</v>
      </c>
      <c r="Z371" s="765"/>
      <c r="AA371" s="770"/>
      <c r="AB371" s="765"/>
      <c r="AC371" s="253" t="s">
        <v>284</v>
      </c>
    </row>
    <row r="372" ht="15.75" hidden="1" customHeight="1">
      <c r="A372" s="764">
        <v>43265.0</v>
      </c>
      <c r="B372" s="265" t="s">
        <v>416</v>
      </c>
      <c r="C372" s="765" t="s">
        <v>4790</v>
      </c>
      <c r="D372" s="252" t="s">
        <v>4791</v>
      </c>
      <c r="E372" s="844" t="s">
        <v>3598</v>
      </c>
      <c r="F372" s="845">
        <v>14.0</v>
      </c>
      <c r="G372" s="846">
        <v>55.0</v>
      </c>
      <c r="H372" s="255">
        <f t="shared" si="16"/>
        <v>770</v>
      </c>
      <c r="I372" s="256" t="s">
        <v>420</v>
      </c>
      <c r="J372" s="848" t="s">
        <v>4793</v>
      </c>
      <c r="K372" s="258">
        <v>43335.0</v>
      </c>
      <c r="L372" s="258">
        <v>43333.0</v>
      </c>
      <c r="M372" s="388"/>
      <c r="N372" s="253" t="s">
        <v>2086</v>
      </c>
      <c r="O372" s="597" t="s">
        <v>4799</v>
      </c>
      <c r="P372" s="598"/>
      <c r="Q372" s="579">
        <v>17640.0</v>
      </c>
      <c r="R372" s="604" t="s">
        <v>2088</v>
      </c>
      <c r="S372" s="581" t="s">
        <v>422</v>
      </c>
      <c r="T372" s="769">
        <v>43333.0</v>
      </c>
      <c r="U372" s="765" t="s">
        <v>4800</v>
      </c>
      <c r="V372" s="770">
        <v>18900.0</v>
      </c>
      <c r="W372" s="769">
        <v>43327.0</v>
      </c>
      <c r="X372" s="765" t="s">
        <v>4797</v>
      </c>
      <c r="Y372" s="765" t="s">
        <v>4798</v>
      </c>
      <c r="Z372" s="765"/>
      <c r="AA372" s="765"/>
      <c r="AB372" s="765"/>
      <c r="AC372" s="253" t="s">
        <v>284</v>
      </c>
    </row>
    <row r="373" ht="15.75" hidden="1" customHeight="1">
      <c r="A373" s="764">
        <v>43266.0</v>
      </c>
      <c r="B373" s="265" t="s">
        <v>130</v>
      </c>
      <c r="C373" s="765" t="s">
        <v>4801</v>
      </c>
      <c r="D373" s="252" t="s">
        <v>4802</v>
      </c>
      <c r="E373" s="820" t="s">
        <v>3951</v>
      </c>
      <c r="F373" s="253">
        <v>15.0</v>
      </c>
      <c r="G373" s="325">
        <v>90.0</v>
      </c>
      <c r="H373" s="255">
        <v>1350.0</v>
      </c>
      <c r="I373" s="256" t="s">
        <v>420</v>
      </c>
      <c r="J373" s="849" t="s">
        <v>454</v>
      </c>
      <c r="K373" s="258">
        <v>43293.0</v>
      </c>
      <c r="L373" s="258">
        <v>43280.0</v>
      </c>
      <c r="M373" s="388"/>
      <c r="N373" s="333" t="s">
        <v>90</v>
      </c>
      <c r="O373" s="310" t="s">
        <v>4803</v>
      </c>
      <c r="P373" s="268">
        <v>1338.75</v>
      </c>
      <c r="Q373" s="330"/>
      <c r="R373" s="340" t="s">
        <v>94</v>
      </c>
      <c r="S373" s="768">
        <v>43343.0</v>
      </c>
      <c r="T373" s="769">
        <v>43280.0</v>
      </c>
      <c r="U373" s="765" t="s">
        <v>4804</v>
      </c>
      <c r="V373" s="770">
        <v>68006.0</v>
      </c>
      <c r="W373" s="769">
        <v>43346.0</v>
      </c>
      <c r="X373" s="252" t="s">
        <v>4805</v>
      </c>
      <c r="Y373" s="765">
        <v>2.14285449E9</v>
      </c>
      <c r="Z373" s="765"/>
      <c r="AA373" s="765"/>
      <c r="AB373" s="765"/>
      <c r="AC373" s="253" t="s">
        <v>284</v>
      </c>
    </row>
    <row r="374" ht="15.75" hidden="1" customHeight="1">
      <c r="A374" s="764">
        <v>43266.0</v>
      </c>
      <c r="B374" s="265" t="s">
        <v>130</v>
      </c>
      <c r="C374" s="765" t="s">
        <v>4801</v>
      </c>
      <c r="D374" s="252" t="s">
        <v>4802</v>
      </c>
      <c r="E374" s="820" t="s">
        <v>3754</v>
      </c>
      <c r="F374" s="253">
        <v>5.0</v>
      </c>
      <c r="G374" s="325">
        <v>50.0</v>
      </c>
      <c r="H374" s="255">
        <v>250.0</v>
      </c>
      <c r="I374" s="256" t="s">
        <v>420</v>
      </c>
      <c r="J374" s="849" t="s">
        <v>454</v>
      </c>
      <c r="K374" s="258">
        <v>43293.0</v>
      </c>
      <c r="L374" s="258">
        <v>43280.0</v>
      </c>
      <c r="M374" s="388"/>
      <c r="N374" s="333" t="s">
        <v>90</v>
      </c>
      <c r="O374" s="310" t="s">
        <v>4803</v>
      </c>
      <c r="P374" s="268">
        <v>241.5</v>
      </c>
      <c r="Q374" s="330"/>
      <c r="R374" s="340" t="s">
        <v>94</v>
      </c>
      <c r="S374" s="768">
        <v>43343.0</v>
      </c>
      <c r="T374" s="769">
        <v>43280.0</v>
      </c>
      <c r="U374" s="765" t="s">
        <v>4804</v>
      </c>
      <c r="V374" s="765" t="s">
        <v>4806</v>
      </c>
      <c r="W374" s="769">
        <v>43346.0</v>
      </c>
      <c r="X374" s="252" t="s">
        <v>4805</v>
      </c>
      <c r="Y374" s="765">
        <v>2.14285449E9</v>
      </c>
      <c r="Z374" s="765"/>
      <c r="AA374" s="765"/>
      <c r="AB374" s="765"/>
      <c r="AC374" s="253" t="s">
        <v>284</v>
      </c>
    </row>
    <row r="375" ht="15.75" hidden="1" customHeight="1">
      <c r="A375" s="764">
        <v>43266.0</v>
      </c>
      <c r="B375" s="265" t="s">
        <v>130</v>
      </c>
      <c r="C375" s="765" t="s">
        <v>4801</v>
      </c>
      <c r="D375" s="252" t="s">
        <v>4802</v>
      </c>
      <c r="E375" s="820" t="s">
        <v>4807</v>
      </c>
      <c r="F375" s="253">
        <v>3.0</v>
      </c>
      <c r="G375" s="325">
        <v>35.0</v>
      </c>
      <c r="H375" s="255">
        <v>105.0</v>
      </c>
      <c r="I375" s="256" t="s">
        <v>420</v>
      </c>
      <c r="J375" s="849" t="s">
        <v>454</v>
      </c>
      <c r="K375" s="258">
        <v>43293.0</v>
      </c>
      <c r="L375" s="258">
        <v>43280.0</v>
      </c>
      <c r="M375" s="388"/>
      <c r="N375" s="333" t="s">
        <v>90</v>
      </c>
      <c r="O375" s="310" t="s">
        <v>4803</v>
      </c>
      <c r="P375" s="268">
        <v>98.28</v>
      </c>
      <c r="Q375" s="330"/>
      <c r="R375" s="340" t="s">
        <v>94</v>
      </c>
      <c r="S375" s="768">
        <v>43343.0</v>
      </c>
      <c r="T375" s="769">
        <v>43280.0</v>
      </c>
      <c r="U375" s="765" t="s">
        <v>4804</v>
      </c>
      <c r="V375" s="765" t="s">
        <v>4806</v>
      </c>
      <c r="W375" s="769">
        <v>43346.0</v>
      </c>
      <c r="X375" s="252" t="s">
        <v>4805</v>
      </c>
      <c r="Y375" s="765">
        <v>2.14285449E9</v>
      </c>
      <c r="Z375" s="765"/>
      <c r="AA375" s="765"/>
      <c r="AB375" s="765"/>
      <c r="AC375" s="253" t="s">
        <v>284</v>
      </c>
    </row>
    <row r="376" ht="15.75" hidden="1" customHeight="1">
      <c r="A376" s="764">
        <v>43266.0</v>
      </c>
      <c r="B376" s="265" t="s">
        <v>130</v>
      </c>
      <c r="C376" s="765" t="s">
        <v>4801</v>
      </c>
      <c r="D376" s="252" t="s">
        <v>4802</v>
      </c>
      <c r="E376" s="820" t="s">
        <v>4808</v>
      </c>
      <c r="F376" s="253">
        <v>15.0</v>
      </c>
      <c r="G376" s="325">
        <v>4.0</v>
      </c>
      <c r="H376" s="255">
        <v>60.0</v>
      </c>
      <c r="I376" s="256" t="s">
        <v>420</v>
      </c>
      <c r="J376" s="849" t="s">
        <v>454</v>
      </c>
      <c r="K376" s="258">
        <v>43293.0</v>
      </c>
      <c r="L376" s="258">
        <v>43280.0</v>
      </c>
      <c r="M376" s="388"/>
      <c r="N376" s="333" t="s">
        <v>90</v>
      </c>
      <c r="O376" s="310" t="s">
        <v>4803</v>
      </c>
      <c r="P376" s="268">
        <v>47.25</v>
      </c>
      <c r="Q376" s="330"/>
      <c r="R376" s="340" t="s">
        <v>94</v>
      </c>
      <c r="S376" s="768">
        <v>43343.0</v>
      </c>
      <c r="T376" s="769">
        <v>43280.0</v>
      </c>
      <c r="U376" s="765" t="s">
        <v>4804</v>
      </c>
      <c r="V376" s="765" t="s">
        <v>4806</v>
      </c>
      <c r="W376" s="769">
        <v>43346.0</v>
      </c>
      <c r="X376" s="252" t="s">
        <v>4805</v>
      </c>
      <c r="Y376" s="765">
        <v>2.14285449E9</v>
      </c>
      <c r="Z376" s="765"/>
      <c r="AA376" s="765"/>
      <c r="AB376" s="765"/>
      <c r="AC376" s="253" t="s">
        <v>284</v>
      </c>
    </row>
    <row r="377" ht="15.75" hidden="1" customHeight="1">
      <c r="A377" s="764">
        <v>43266.0</v>
      </c>
      <c r="B377" s="265" t="s">
        <v>130</v>
      </c>
      <c r="C377" s="765" t="s">
        <v>4801</v>
      </c>
      <c r="D377" s="252" t="s">
        <v>4802</v>
      </c>
      <c r="E377" s="820" t="s">
        <v>4141</v>
      </c>
      <c r="F377" s="253">
        <v>10.0</v>
      </c>
      <c r="G377" s="325">
        <v>58.0</v>
      </c>
      <c r="H377" s="255">
        <v>580.0</v>
      </c>
      <c r="I377" s="256" t="s">
        <v>420</v>
      </c>
      <c r="J377" s="849" t="s">
        <v>454</v>
      </c>
      <c r="K377" s="258">
        <v>43293.0</v>
      </c>
      <c r="L377" s="258">
        <v>43280.0</v>
      </c>
      <c r="M377" s="388"/>
      <c r="N377" s="333" t="s">
        <v>90</v>
      </c>
      <c r="O377" s="310" t="s">
        <v>4803</v>
      </c>
      <c r="P377" s="268">
        <v>546.0</v>
      </c>
      <c r="Q377" s="330"/>
      <c r="R377" s="340" t="s">
        <v>94</v>
      </c>
      <c r="S377" s="768">
        <v>43343.0</v>
      </c>
      <c r="T377" s="769">
        <v>43280.0</v>
      </c>
      <c r="U377" s="765" t="s">
        <v>4804</v>
      </c>
      <c r="V377" s="765" t="s">
        <v>4806</v>
      </c>
      <c r="W377" s="769">
        <v>43346.0</v>
      </c>
      <c r="X377" s="252" t="s">
        <v>4805</v>
      </c>
      <c r="Y377" s="765">
        <v>2.14285449E9</v>
      </c>
      <c r="Z377" s="765"/>
      <c r="AA377" s="765"/>
      <c r="AB377" s="765"/>
      <c r="AC377" s="253" t="s">
        <v>284</v>
      </c>
    </row>
    <row r="378" ht="15.75" hidden="1" customHeight="1">
      <c r="A378" s="764">
        <v>43269.0</v>
      </c>
      <c r="B378" s="144" t="s">
        <v>140</v>
      </c>
      <c r="C378" s="765"/>
      <c r="D378" s="252" t="s">
        <v>4809</v>
      </c>
      <c r="E378" s="820" t="s">
        <v>4810</v>
      </c>
      <c r="F378" s="266">
        <v>1.0</v>
      </c>
      <c r="G378" s="325">
        <v>1411.0</v>
      </c>
      <c r="H378" s="255">
        <f t="shared" ref="H378:H434" si="17">G378*F378</f>
        <v>1411</v>
      </c>
      <c r="I378" s="256" t="s">
        <v>171</v>
      </c>
      <c r="J378" s="333" t="s">
        <v>505</v>
      </c>
      <c r="K378" s="850">
        <v>43342.0</v>
      </c>
      <c r="L378" s="258">
        <v>43340.0</v>
      </c>
      <c r="M378" s="388"/>
      <c r="N378" s="266" t="s">
        <v>2112</v>
      </c>
      <c r="O378" s="310" t="s">
        <v>4811</v>
      </c>
      <c r="P378" s="598"/>
      <c r="Q378" s="330"/>
      <c r="R378" s="310"/>
      <c r="S378" s="330"/>
      <c r="T378" s="766"/>
      <c r="U378" s="766"/>
      <c r="V378" s="766"/>
      <c r="W378" s="767"/>
      <c r="X378" s="765" t="s">
        <v>4812</v>
      </c>
      <c r="Y378" s="765">
        <v>6.23143253E8</v>
      </c>
      <c r="Z378" s="765"/>
      <c r="AA378" s="765"/>
      <c r="AB378" s="765"/>
      <c r="AC378" s="253" t="s">
        <v>284</v>
      </c>
    </row>
    <row r="379" ht="15.75" hidden="1" customHeight="1">
      <c r="A379" s="764">
        <v>43270.0</v>
      </c>
      <c r="B379" s="265" t="s">
        <v>229</v>
      </c>
      <c r="C379" s="765"/>
      <c r="D379" s="252" t="s">
        <v>4813</v>
      </c>
      <c r="E379" s="820" t="s">
        <v>4814</v>
      </c>
      <c r="F379" s="253">
        <v>10.0</v>
      </c>
      <c r="G379" s="325">
        <v>21.0</v>
      </c>
      <c r="H379" s="255">
        <f t="shared" si="17"/>
        <v>210</v>
      </c>
      <c r="I379" s="256" t="s">
        <v>171</v>
      </c>
      <c r="J379" s="369" t="s">
        <v>90</v>
      </c>
      <c r="K379" s="258">
        <v>43276.0</v>
      </c>
      <c r="L379" s="258">
        <v>43276.0</v>
      </c>
      <c r="M379" s="388"/>
      <c r="N379" s="333" t="s">
        <v>90</v>
      </c>
      <c r="O379" s="310" t="s">
        <v>4815</v>
      </c>
      <c r="P379" s="268">
        <v>177.45</v>
      </c>
      <c r="Q379" s="330"/>
      <c r="R379" s="340" t="s">
        <v>94</v>
      </c>
      <c r="S379" s="768">
        <v>43312.0</v>
      </c>
      <c r="T379" s="771">
        <v>43276.0</v>
      </c>
      <c r="U379" s="252" t="s">
        <v>4816</v>
      </c>
      <c r="V379" s="774">
        <v>5312.0</v>
      </c>
      <c r="W379" s="769">
        <v>43312.0</v>
      </c>
      <c r="X379" s="765" t="s">
        <v>4817</v>
      </c>
      <c r="Y379" s="765"/>
      <c r="Z379" s="765" t="s">
        <v>4818</v>
      </c>
      <c r="AA379" s="770">
        <v>6382.0</v>
      </c>
      <c r="AB379" s="765" t="s">
        <v>4664</v>
      </c>
      <c r="AC379" s="253" t="s">
        <v>377</v>
      </c>
    </row>
    <row r="380" ht="15.75" hidden="1" customHeight="1">
      <c r="A380" s="776">
        <v>43270.0</v>
      </c>
      <c r="B380" s="265" t="s">
        <v>621</v>
      </c>
      <c r="C380" s="765"/>
      <c r="D380" s="252" t="s">
        <v>4819</v>
      </c>
      <c r="E380" s="820" t="s">
        <v>3628</v>
      </c>
      <c r="F380" s="253">
        <v>1.0</v>
      </c>
      <c r="G380" s="325">
        <v>192.15</v>
      </c>
      <c r="H380" s="255">
        <f t="shared" si="17"/>
        <v>192.15</v>
      </c>
      <c r="I380" s="256" t="s">
        <v>43</v>
      </c>
      <c r="J380" s="369" t="s">
        <v>90</v>
      </c>
      <c r="K380" s="258">
        <v>43276.0</v>
      </c>
      <c r="L380" s="258">
        <v>43276.0</v>
      </c>
      <c r="M380" s="388"/>
      <c r="N380" s="333" t="s">
        <v>90</v>
      </c>
      <c r="O380" s="310" t="s">
        <v>4820</v>
      </c>
      <c r="P380" s="268">
        <v>178.5</v>
      </c>
      <c r="Q380" s="330"/>
      <c r="R380" s="340" t="s">
        <v>94</v>
      </c>
      <c r="S380" s="768">
        <v>43312.0</v>
      </c>
      <c r="T380" s="771">
        <v>43276.0</v>
      </c>
      <c r="U380" s="252" t="s">
        <v>4821</v>
      </c>
      <c r="V380" s="774">
        <v>5343.0</v>
      </c>
      <c r="W380" s="769">
        <v>43312.0</v>
      </c>
      <c r="X380" s="765" t="s">
        <v>4822</v>
      </c>
      <c r="Y380" s="765"/>
      <c r="Z380" s="765" t="s">
        <v>4823</v>
      </c>
      <c r="AA380" s="770">
        <v>44891.0</v>
      </c>
      <c r="AB380" s="765" t="s">
        <v>4664</v>
      </c>
      <c r="AC380" s="253" t="s">
        <v>377</v>
      </c>
    </row>
    <row r="381" ht="15.75" hidden="1" customHeight="1">
      <c r="A381" s="776">
        <v>43270.0</v>
      </c>
      <c r="B381" s="265" t="s">
        <v>621</v>
      </c>
      <c r="C381" s="765"/>
      <c r="D381" s="252" t="s">
        <v>4819</v>
      </c>
      <c r="E381" s="820" t="s">
        <v>4824</v>
      </c>
      <c r="F381" s="253">
        <v>1.0</v>
      </c>
      <c r="G381" s="325">
        <v>9.03</v>
      </c>
      <c r="H381" s="255">
        <f t="shared" si="17"/>
        <v>9.03</v>
      </c>
      <c r="I381" s="256" t="s">
        <v>43</v>
      </c>
      <c r="J381" s="369" t="s">
        <v>90</v>
      </c>
      <c r="K381" s="258">
        <v>43276.0</v>
      </c>
      <c r="L381" s="258">
        <v>43276.0</v>
      </c>
      <c r="M381" s="388"/>
      <c r="N381" s="333" t="s">
        <v>90</v>
      </c>
      <c r="O381" s="310" t="s">
        <v>4825</v>
      </c>
      <c r="P381" s="268">
        <v>8.19</v>
      </c>
      <c r="Q381" s="596"/>
      <c r="R381" s="340" t="s">
        <v>94</v>
      </c>
      <c r="S381" s="768">
        <v>43312.0</v>
      </c>
      <c r="T381" s="771">
        <v>43276.0</v>
      </c>
      <c r="U381" s="252" t="s">
        <v>4826</v>
      </c>
      <c r="V381" s="774">
        <v>35449.0</v>
      </c>
      <c r="W381" s="769">
        <v>43312.0</v>
      </c>
      <c r="X381" s="765" t="s">
        <v>4822</v>
      </c>
      <c r="Y381" s="765"/>
      <c r="Z381" s="765" t="s">
        <v>4823</v>
      </c>
      <c r="AA381" s="765" t="s">
        <v>4827</v>
      </c>
      <c r="AB381" s="765" t="s">
        <v>4664</v>
      </c>
      <c r="AC381" s="253" t="s">
        <v>377</v>
      </c>
    </row>
    <row r="382" ht="15.75" hidden="1" customHeight="1">
      <c r="A382" s="776">
        <v>43270.0</v>
      </c>
      <c r="B382" s="265" t="s">
        <v>621</v>
      </c>
      <c r="C382" s="765"/>
      <c r="D382" s="252" t="s">
        <v>4819</v>
      </c>
      <c r="E382" s="820" t="s">
        <v>4808</v>
      </c>
      <c r="F382" s="253">
        <v>1.0</v>
      </c>
      <c r="G382" s="325">
        <v>3.57</v>
      </c>
      <c r="H382" s="255">
        <f t="shared" si="17"/>
        <v>3.57</v>
      </c>
      <c r="I382" s="256" t="s">
        <v>43</v>
      </c>
      <c r="J382" s="369" t="s">
        <v>90</v>
      </c>
      <c r="K382" s="258">
        <v>43276.0</v>
      </c>
      <c r="L382" s="258">
        <v>43276.0</v>
      </c>
      <c r="M382" s="388"/>
      <c r="N382" s="333" t="s">
        <v>90</v>
      </c>
      <c r="O382" s="310" t="s">
        <v>4825</v>
      </c>
      <c r="P382" s="268">
        <v>3.15</v>
      </c>
      <c r="Q382" s="596"/>
      <c r="R382" s="340" t="s">
        <v>94</v>
      </c>
      <c r="S382" s="768">
        <v>43312.0</v>
      </c>
      <c r="T382" s="771">
        <v>43276.0</v>
      </c>
      <c r="U382" s="252" t="s">
        <v>4826</v>
      </c>
      <c r="V382" s="252" t="s">
        <v>4828</v>
      </c>
      <c r="W382" s="769">
        <v>43312.0</v>
      </c>
      <c r="X382" s="765" t="s">
        <v>4822</v>
      </c>
      <c r="Y382" s="765"/>
      <c r="Z382" s="765" t="s">
        <v>4823</v>
      </c>
      <c r="AA382" s="765" t="s">
        <v>4827</v>
      </c>
      <c r="AB382" s="765" t="s">
        <v>4664</v>
      </c>
      <c r="AC382" s="253" t="s">
        <v>377</v>
      </c>
    </row>
    <row r="383" ht="15.75" hidden="1" customHeight="1">
      <c r="A383" s="776">
        <v>43270.0</v>
      </c>
      <c r="B383" s="265" t="s">
        <v>621</v>
      </c>
      <c r="C383" s="765"/>
      <c r="D383" s="252" t="s">
        <v>4819</v>
      </c>
      <c r="E383" s="820" t="s">
        <v>4780</v>
      </c>
      <c r="F383" s="253">
        <v>12.0</v>
      </c>
      <c r="G383" s="325">
        <v>90.3</v>
      </c>
      <c r="H383" s="255">
        <f t="shared" si="17"/>
        <v>1083.6</v>
      </c>
      <c r="I383" s="256" t="s">
        <v>43</v>
      </c>
      <c r="J383" s="369" t="s">
        <v>90</v>
      </c>
      <c r="K383" s="258">
        <v>43276.0</v>
      </c>
      <c r="L383" s="258">
        <v>43276.0</v>
      </c>
      <c r="M383" s="388"/>
      <c r="N383" s="333" t="s">
        <v>90</v>
      </c>
      <c r="O383" s="310" t="s">
        <v>4825</v>
      </c>
      <c r="P383" s="268">
        <v>995.4</v>
      </c>
      <c r="Q383" s="596"/>
      <c r="R383" s="340" t="s">
        <v>94</v>
      </c>
      <c r="S383" s="768">
        <v>43312.0</v>
      </c>
      <c r="T383" s="771">
        <v>43276.0</v>
      </c>
      <c r="U383" s="252" t="s">
        <v>4826</v>
      </c>
      <c r="V383" s="252" t="s">
        <v>4828</v>
      </c>
      <c r="W383" s="769">
        <v>43312.0</v>
      </c>
      <c r="X383" s="765" t="s">
        <v>4822</v>
      </c>
      <c r="Y383" s="765"/>
      <c r="Z383" s="765" t="s">
        <v>4823</v>
      </c>
      <c r="AA383" s="765" t="s">
        <v>4827</v>
      </c>
      <c r="AB383" s="765" t="s">
        <v>4664</v>
      </c>
      <c r="AC383" s="253" t="s">
        <v>377</v>
      </c>
    </row>
    <row r="384" ht="15.75" hidden="1" customHeight="1">
      <c r="A384" s="776">
        <v>43270.0</v>
      </c>
      <c r="B384" s="265" t="s">
        <v>621</v>
      </c>
      <c r="C384" s="765"/>
      <c r="D384" s="252" t="s">
        <v>4819</v>
      </c>
      <c r="E384" s="820" t="s">
        <v>4829</v>
      </c>
      <c r="F384" s="253">
        <v>1.0</v>
      </c>
      <c r="G384" s="325">
        <v>193.2</v>
      </c>
      <c r="H384" s="255">
        <f t="shared" si="17"/>
        <v>193.2</v>
      </c>
      <c r="I384" s="256" t="s">
        <v>43</v>
      </c>
      <c r="J384" s="369" t="s">
        <v>90</v>
      </c>
      <c r="K384" s="258">
        <v>43276.0</v>
      </c>
      <c r="L384" s="258">
        <v>43276.0</v>
      </c>
      <c r="M384" s="388"/>
      <c r="N384" s="333" t="s">
        <v>90</v>
      </c>
      <c r="O384" s="310" t="s">
        <v>4825</v>
      </c>
      <c r="P384" s="268">
        <v>177.45</v>
      </c>
      <c r="Q384" s="596"/>
      <c r="R384" s="340" t="s">
        <v>94</v>
      </c>
      <c r="S384" s="768">
        <v>43312.0</v>
      </c>
      <c r="T384" s="771">
        <v>43276.0</v>
      </c>
      <c r="U384" s="252" t="s">
        <v>4826</v>
      </c>
      <c r="V384" s="252" t="s">
        <v>4828</v>
      </c>
      <c r="W384" s="769">
        <v>43312.0</v>
      </c>
      <c r="X384" s="765" t="s">
        <v>4822</v>
      </c>
      <c r="Y384" s="765"/>
      <c r="Z384" s="765" t="s">
        <v>4823</v>
      </c>
      <c r="AA384" s="765" t="s">
        <v>4827</v>
      </c>
      <c r="AB384" s="765" t="s">
        <v>4664</v>
      </c>
      <c r="AC384" s="253" t="s">
        <v>377</v>
      </c>
    </row>
    <row r="385" ht="15.75" hidden="1" customHeight="1">
      <c r="A385" s="764">
        <v>43271.0</v>
      </c>
      <c r="B385" s="597" t="s">
        <v>406</v>
      </c>
      <c r="C385" s="765"/>
      <c r="D385" s="252" t="s">
        <v>4830</v>
      </c>
      <c r="E385" s="820" t="s">
        <v>4831</v>
      </c>
      <c r="F385" s="253">
        <v>4.0</v>
      </c>
      <c r="G385" s="254">
        <v>325.0</v>
      </c>
      <c r="H385" s="255">
        <f t="shared" si="17"/>
        <v>1300</v>
      </c>
      <c r="I385" s="256" t="s">
        <v>43</v>
      </c>
      <c r="J385" s="403" t="s">
        <v>4002</v>
      </c>
      <c r="K385" s="258">
        <v>43279.0</v>
      </c>
      <c r="L385" s="258">
        <v>43278.0</v>
      </c>
      <c r="M385" s="388"/>
      <c r="N385" s="333" t="s">
        <v>2618</v>
      </c>
      <c r="O385" s="310" t="s">
        <v>4832</v>
      </c>
      <c r="P385" s="598"/>
      <c r="Q385" s="579">
        <v>37800.0</v>
      </c>
      <c r="R385" s="604" t="s">
        <v>2620</v>
      </c>
      <c r="S385" s="768">
        <v>43317.0</v>
      </c>
      <c r="T385" s="769">
        <v>43277.0</v>
      </c>
      <c r="U385" s="765" t="s">
        <v>4833</v>
      </c>
      <c r="V385" s="770">
        <v>37800.0</v>
      </c>
      <c r="W385" s="769">
        <v>43318.0</v>
      </c>
      <c r="X385" s="252" t="s">
        <v>4609</v>
      </c>
      <c r="Y385" s="765">
        <v>5.230602226E9</v>
      </c>
      <c r="Z385" s="765"/>
      <c r="AA385" s="765"/>
      <c r="AB385" s="765"/>
      <c r="AC385" s="253" t="s">
        <v>284</v>
      </c>
    </row>
    <row r="386" ht="15.75" hidden="1" customHeight="1">
      <c r="A386" s="764">
        <v>43272.0</v>
      </c>
      <c r="B386" s="265" t="s">
        <v>229</v>
      </c>
      <c r="C386" s="765">
        <v>180620.0</v>
      </c>
      <c r="D386" s="252" t="s">
        <v>4834</v>
      </c>
      <c r="E386" s="602" t="s">
        <v>462</v>
      </c>
      <c r="F386" s="253">
        <v>53.0</v>
      </c>
      <c r="G386" s="325">
        <v>407.4</v>
      </c>
      <c r="H386" s="255">
        <f t="shared" si="17"/>
        <v>21592.2</v>
      </c>
      <c r="I386" s="256" t="s">
        <v>171</v>
      </c>
      <c r="J386" s="369" t="s">
        <v>90</v>
      </c>
      <c r="K386" s="258">
        <v>43293.0</v>
      </c>
      <c r="L386" s="258">
        <v>43293.0</v>
      </c>
      <c r="M386" s="388"/>
      <c r="N386" s="333" t="s">
        <v>90</v>
      </c>
      <c r="O386" s="310" t="s">
        <v>4835</v>
      </c>
      <c r="P386" s="268">
        <v>19755.75</v>
      </c>
      <c r="Q386" s="330"/>
      <c r="R386" s="340" t="s">
        <v>94</v>
      </c>
      <c r="S386" s="768">
        <v>43343.0</v>
      </c>
      <c r="T386" s="771">
        <v>43293.0</v>
      </c>
      <c r="U386" s="252" t="s">
        <v>4836</v>
      </c>
      <c r="V386" s="770">
        <v>601985.0</v>
      </c>
      <c r="W386" s="769">
        <v>43346.0</v>
      </c>
      <c r="X386" s="765" t="s">
        <v>4837</v>
      </c>
      <c r="Y386" s="765"/>
      <c r="Z386" s="765" t="s">
        <v>4838</v>
      </c>
      <c r="AA386" s="770">
        <v>659210.0</v>
      </c>
      <c r="AB386" s="765" t="s">
        <v>4839</v>
      </c>
      <c r="AC386" s="253" t="s">
        <v>377</v>
      </c>
    </row>
    <row r="387" ht="15.75" hidden="1" customHeight="1">
      <c r="A387" s="764">
        <v>43276.0</v>
      </c>
      <c r="B387" s="265" t="s">
        <v>101</v>
      </c>
      <c r="C387" s="765" t="s">
        <v>4840</v>
      </c>
      <c r="D387" s="252" t="s">
        <v>4841</v>
      </c>
      <c r="E387" s="602" t="s">
        <v>4842</v>
      </c>
      <c r="F387" s="253">
        <v>5.0</v>
      </c>
      <c r="G387" s="793">
        <v>291.0</v>
      </c>
      <c r="H387" s="332">
        <f t="shared" si="17"/>
        <v>1455</v>
      </c>
      <c r="I387" s="256" t="s">
        <v>171</v>
      </c>
      <c r="J387" s="403" t="s">
        <v>3739</v>
      </c>
      <c r="K387" s="258">
        <v>43293.0</v>
      </c>
      <c r="L387" s="258">
        <v>43293.0</v>
      </c>
      <c r="M387" s="388"/>
      <c r="N387" s="333" t="s">
        <v>2028</v>
      </c>
      <c r="O387" s="252" t="s">
        <v>4843</v>
      </c>
      <c r="P387" s="594"/>
      <c r="Q387" s="579">
        <v>46284.0</v>
      </c>
      <c r="R387" s="578" t="s">
        <v>2030</v>
      </c>
      <c r="S387" s="768">
        <v>43348.0</v>
      </c>
      <c r="T387" s="769">
        <v>43291.0</v>
      </c>
      <c r="U387" s="765" t="s">
        <v>4844</v>
      </c>
      <c r="V387" s="770">
        <v>47560.0</v>
      </c>
      <c r="W387" s="769">
        <v>43349.0</v>
      </c>
      <c r="X387" s="252" t="s">
        <v>4738</v>
      </c>
      <c r="Y387" s="765">
        <v>8.273020114E9</v>
      </c>
      <c r="Z387" s="765"/>
      <c r="AA387" s="765"/>
      <c r="AB387" s="765"/>
      <c r="AC387" s="253" t="s">
        <v>284</v>
      </c>
    </row>
    <row r="388" ht="15.75" hidden="1" customHeight="1">
      <c r="A388" s="764">
        <v>43276.0</v>
      </c>
      <c r="B388" s="265" t="s">
        <v>101</v>
      </c>
      <c r="C388" s="765" t="s">
        <v>4840</v>
      </c>
      <c r="D388" s="252" t="s">
        <v>4841</v>
      </c>
      <c r="E388" s="422" t="s">
        <v>4845</v>
      </c>
      <c r="F388" s="253">
        <v>5.0</v>
      </c>
      <c r="G388" s="254">
        <v>41.0</v>
      </c>
      <c r="H388" s="332">
        <f t="shared" si="17"/>
        <v>205</v>
      </c>
      <c r="I388" s="256" t="s">
        <v>171</v>
      </c>
      <c r="J388" s="403" t="s">
        <v>3739</v>
      </c>
      <c r="K388" s="258">
        <v>43293.0</v>
      </c>
      <c r="L388" s="258">
        <v>43283.0</v>
      </c>
      <c r="M388" s="388"/>
      <c r="N388" s="403" t="s">
        <v>4846</v>
      </c>
      <c r="O388" s="252" t="s">
        <v>4847</v>
      </c>
      <c r="P388" s="851"/>
      <c r="Q388" s="637">
        <v>5922.0</v>
      </c>
      <c r="R388" s="320" t="s">
        <v>2172</v>
      </c>
      <c r="S388" s="330"/>
      <c r="T388" s="769">
        <v>43283.0</v>
      </c>
      <c r="U388" s="765" t="s">
        <v>4848</v>
      </c>
      <c r="V388" s="770">
        <v>5922.0</v>
      </c>
      <c r="W388" s="769">
        <v>43278.0</v>
      </c>
      <c r="X388" s="252" t="s">
        <v>4738</v>
      </c>
      <c r="Y388" s="765">
        <v>8.273020114E9</v>
      </c>
      <c r="Z388" s="765"/>
      <c r="AA388" s="765"/>
      <c r="AB388" s="765"/>
      <c r="AC388" s="253" t="s">
        <v>284</v>
      </c>
    </row>
    <row r="389" ht="15.75" hidden="1" customHeight="1">
      <c r="A389" s="764">
        <v>43276.0</v>
      </c>
      <c r="B389" s="265" t="s">
        <v>101</v>
      </c>
      <c r="C389" s="765" t="s">
        <v>4840</v>
      </c>
      <c r="D389" s="252" t="s">
        <v>4841</v>
      </c>
      <c r="E389" s="602" t="s">
        <v>3862</v>
      </c>
      <c r="F389" s="253">
        <v>5.0</v>
      </c>
      <c r="G389" s="254">
        <v>9.0</v>
      </c>
      <c r="H389" s="332">
        <f t="shared" si="17"/>
        <v>45</v>
      </c>
      <c r="I389" s="256" t="s">
        <v>171</v>
      </c>
      <c r="J389" s="403" t="s">
        <v>3739</v>
      </c>
      <c r="K389" s="258">
        <v>43293.0</v>
      </c>
      <c r="L389" s="258">
        <v>43293.0</v>
      </c>
      <c r="M389" s="388"/>
      <c r="N389" s="333" t="s">
        <v>2028</v>
      </c>
      <c r="O389" s="252" t="s">
        <v>4843</v>
      </c>
      <c r="P389" s="598"/>
      <c r="Q389" s="579">
        <v>1276.0</v>
      </c>
      <c r="R389" s="578" t="s">
        <v>2030</v>
      </c>
      <c r="S389" s="768">
        <v>43348.0</v>
      </c>
      <c r="T389" s="769">
        <v>43291.0</v>
      </c>
      <c r="U389" s="765" t="s">
        <v>4844</v>
      </c>
      <c r="V389" s="770" t="s">
        <v>4849</v>
      </c>
      <c r="W389" s="769">
        <v>43349.0</v>
      </c>
      <c r="X389" s="252" t="s">
        <v>4738</v>
      </c>
      <c r="Y389" s="765">
        <v>8.273020114E9</v>
      </c>
      <c r="Z389" s="765"/>
      <c r="AA389" s="765"/>
      <c r="AB389" s="765"/>
      <c r="AC389" s="253" t="s">
        <v>284</v>
      </c>
    </row>
    <row r="390" ht="43.5" hidden="1" customHeight="1">
      <c r="A390" s="764">
        <v>43276.0</v>
      </c>
      <c r="B390" s="265" t="s">
        <v>101</v>
      </c>
      <c r="C390" s="765" t="s">
        <v>4850</v>
      </c>
      <c r="D390" s="252" t="s">
        <v>4851</v>
      </c>
      <c r="E390" s="422" t="s">
        <v>4852</v>
      </c>
      <c r="F390" s="253">
        <v>5.0</v>
      </c>
      <c r="G390" s="254">
        <v>1118.0</v>
      </c>
      <c r="H390" s="332">
        <f t="shared" si="17"/>
        <v>5590</v>
      </c>
      <c r="I390" s="256" t="s">
        <v>171</v>
      </c>
      <c r="J390" s="403" t="s">
        <v>3739</v>
      </c>
      <c r="K390" s="258">
        <v>43297.0</v>
      </c>
      <c r="L390" s="258">
        <v>43294.0</v>
      </c>
      <c r="M390" s="388"/>
      <c r="N390" s="333" t="s">
        <v>1439</v>
      </c>
      <c r="O390" s="252" t="s">
        <v>4853</v>
      </c>
      <c r="P390" s="598"/>
      <c r="Q390" s="579">
        <v>158802.0</v>
      </c>
      <c r="R390" s="320" t="s">
        <v>1976</v>
      </c>
      <c r="S390" s="768">
        <v>43343.0</v>
      </c>
      <c r="T390" s="769">
        <v>43293.0</v>
      </c>
      <c r="U390" s="765" t="s">
        <v>4854</v>
      </c>
      <c r="V390" s="770">
        <v>165186.0</v>
      </c>
      <c r="W390" s="769">
        <v>43349.0</v>
      </c>
      <c r="X390" s="252" t="s">
        <v>4855</v>
      </c>
      <c r="Y390" s="765">
        <v>5.251666125E9</v>
      </c>
      <c r="Z390" s="765"/>
      <c r="AA390" s="765"/>
      <c r="AB390" s="765"/>
      <c r="AC390" s="253" t="s">
        <v>284</v>
      </c>
    </row>
    <row r="391" ht="15.75" hidden="1" customHeight="1">
      <c r="A391" s="764">
        <v>43276.0</v>
      </c>
      <c r="B391" s="265" t="s">
        <v>101</v>
      </c>
      <c r="C391" s="765" t="s">
        <v>4850</v>
      </c>
      <c r="D391" s="252" t="s">
        <v>4851</v>
      </c>
      <c r="E391" s="602" t="s">
        <v>4856</v>
      </c>
      <c r="F391" s="253">
        <v>5.0</v>
      </c>
      <c r="G391" s="254">
        <v>80.0</v>
      </c>
      <c r="H391" s="332">
        <f t="shared" si="17"/>
        <v>400</v>
      </c>
      <c r="I391" s="256" t="s">
        <v>171</v>
      </c>
      <c r="J391" s="403" t="s">
        <v>3739</v>
      </c>
      <c r="K391" s="258">
        <v>43297.0</v>
      </c>
      <c r="L391" s="258">
        <v>43279.0</v>
      </c>
      <c r="M391" s="388"/>
      <c r="N391" s="253" t="s">
        <v>179</v>
      </c>
      <c r="O391" s="252" t="s">
        <v>4204</v>
      </c>
      <c r="P391" s="598"/>
      <c r="Q391" s="330"/>
      <c r="R391" s="310"/>
      <c r="S391" s="330"/>
      <c r="T391" s="765"/>
      <c r="U391" s="765"/>
      <c r="V391" s="765"/>
      <c r="W391" s="767"/>
      <c r="X391" s="252" t="s">
        <v>4855</v>
      </c>
      <c r="Y391" s="765">
        <v>5.251666125E9</v>
      </c>
      <c r="Z391" s="765"/>
      <c r="AA391" s="765"/>
      <c r="AB391" s="765"/>
      <c r="AC391" s="253" t="s">
        <v>284</v>
      </c>
    </row>
    <row r="392" ht="15.75" hidden="1" customHeight="1">
      <c r="A392" s="764">
        <v>43276.0</v>
      </c>
      <c r="B392" s="265" t="s">
        <v>101</v>
      </c>
      <c r="C392" s="765" t="s">
        <v>4850</v>
      </c>
      <c r="D392" s="252" t="s">
        <v>4851</v>
      </c>
      <c r="E392" s="602" t="s">
        <v>4857</v>
      </c>
      <c r="F392" s="253">
        <v>4.0</v>
      </c>
      <c r="G392" s="254">
        <v>15.0</v>
      </c>
      <c r="H392" s="332">
        <f t="shared" si="17"/>
        <v>60</v>
      </c>
      <c r="I392" s="256" t="s">
        <v>171</v>
      </c>
      <c r="J392" s="403" t="s">
        <v>3739</v>
      </c>
      <c r="K392" s="258">
        <v>43297.0</v>
      </c>
      <c r="L392" s="258">
        <v>43294.0</v>
      </c>
      <c r="M392" s="388"/>
      <c r="N392" s="333" t="s">
        <v>1439</v>
      </c>
      <c r="O392" s="252" t="s">
        <v>4853</v>
      </c>
      <c r="P392" s="268">
        <v>42.0</v>
      </c>
      <c r="Q392" s="579">
        <v>1277.0</v>
      </c>
      <c r="R392" s="320" t="s">
        <v>1976</v>
      </c>
      <c r="S392" s="768">
        <v>43343.0</v>
      </c>
      <c r="T392" s="769">
        <v>43293.0</v>
      </c>
      <c r="U392" s="765" t="s">
        <v>4854</v>
      </c>
      <c r="V392" s="765" t="s">
        <v>4858</v>
      </c>
      <c r="W392" s="769">
        <v>43349.0</v>
      </c>
      <c r="X392" s="252" t="s">
        <v>4855</v>
      </c>
      <c r="Y392" s="765">
        <v>5.251666125E9</v>
      </c>
      <c r="Z392" s="765"/>
      <c r="AA392" s="765"/>
      <c r="AB392" s="765"/>
      <c r="AC392" s="253" t="s">
        <v>284</v>
      </c>
    </row>
    <row r="393" ht="15.75" hidden="1" customHeight="1">
      <c r="A393" s="764">
        <v>43277.0</v>
      </c>
      <c r="B393" s="144" t="s">
        <v>378</v>
      </c>
      <c r="C393" s="765">
        <v>8554.0</v>
      </c>
      <c r="D393" s="252" t="s">
        <v>4859</v>
      </c>
      <c r="E393" s="330" t="s">
        <v>380</v>
      </c>
      <c r="F393" s="307">
        <v>400.0</v>
      </c>
      <c r="G393" s="338">
        <v>62.0</v>
      </c>
      <c r="H393" s="255">
        <f t="shared" si="17"/>
        <v>24800</v>
      </c>
      <c r="I393" s="256" t="s">
        <v>171</v>
      </c>
      <c r="J393" s="369" t="s">
        <v>4461</v>
      </c>
      <c r="K393" s="258">
        <v>43332.0</v>
      </c>
      <c r="L393" s="258">
        <v>43328.0</v>
      </c>
      <c r="M393" s="388"/>
      <c r="N393" s="256" t="s">
        <v>2054</v>
      </c>
      <c r="O393" s="252" t="s">
        <v>4860</v>
      </c>
      <c r="P393" s="598"/>
      <c r="Q393" s="637">
        <v>570360.0</v>
      </c>
      <c r="R393" s="265" t="s">
        <v>2056</v>
      </c>
      <c r="S393" s="810">
        <v>43348.0</v>
      </c>
      <c r="T393" s="769">
        <v>43328.0</v>
      </c>
      <c r="U393" s="765" t="s">
        <v>4861</v>
      </c>
      <c r="V393" s="770">
        <v>570360.0</v>
      </c>
      <c r="W393" s="769">
        <v>43349.0</v>
      </c>
      <c r="X393" s="252" t="s">
        <v>4862</v>
      </c>
      <c r="Y393" s="765" t="s">
        <v>4863</v>
      </c>
      <c r="Z393" s="765"/>
      <c r="AA393" s="765"/>
      <c r="AB393" s="765"/>
      <c r="AC393" s="253" t="s">
        <v>284</v>
      </c>
    </row>
    <row r="394" ht="15.75" hidden="1" customHeight="1">
      <c r="A394" s="764">
        <v>43277.0</v>
      </c>
      <c r="B394" s="597" t="s">
        <v>406</v>
      </c>
      <c r="C394" s="765">
        <v>7.000139163E9</v>
      </c>
      <c r="D394" s="252" t="s">
        <v>4864</v>
      </c>
      <c r="E394" s="602" t="s">
        <v>4865</v>
      </c>
      <c r="F394" s="253">
        <v>2.0</v>
      </c>
      <c r="G394" s="254">
        <v>164.0</v>
      </c>
      <c r="H394" s="255">
        <f t="shared" si="17"/>
        <v>328</v>
      </c>
      <c r="I394" s="256" t="s">
        <v>43</v>
      </c>
      <c r="J394" s="403" t="s">
        <v>4002</v>
      </c>
      <c r="K394" s="258">
        <v>43286.0</v>
      </c>
      <c r="L394" s="258">
        <v>43285.0</v>
      </c>
      <c r="M394" s="388"/>
      <c r="N394" s="333" t="s">
        <v>3593</v>
      </c>
      <c r="O394" s="252" t="s">
        <v>4866</v>
      </c>
      <c r="P394" s="598"/>
      <c r="Q394" s="579">
        <v>9005.0</v>
      </c>
      <c r="R394" s="310" t="s">
        <v>2080</v>
      </c>
      <c r="S394" s="768">
        <v>43373.0</v>
      </c>
      <c r="T394" s="769">
        <v>43284.0</v>
      </c>
      <c r="U394" s="765" t="s">
        <v>4867</v>
      </c>
      <c r="V394" s="770">
        <v>26853.0</v>
      </c>
      <c r="W394" s="769">
        <v>43320.0</v>
      </c>
      <c r="X394" s="765" t="s">
        <v>4654</v>
      </c>
      <c r="Y394" s="765">
        <v>5.574873581E9</v>
      </c>
      <c r="Z394" s="765"/>
      <c r="AA394" s="765"/>
      <c r="AB394" s="765"/>
      <c r="AC394" s="253" t="s">
        <v>284</v>
      </c>
    </row>
    <row r="395" ht="15.75" hidden="1" customHeight="1">
      <c r="A395" s="764">
        <v>43277.0</v>
      </c>
      <c r="B395" s="597" t="s">
        <v>406</v>
      </c>
      <c r="C395" s="765">
        <v>7.000139163E9</v>
      </c>
      <c r="D395" s="252" t="s">
        <v>4864</v>
      </c>
      <c r="E395" s="602" t="s">
        <v>4610</v>
      </c>
      <c r="F395" s="253">
        <v>2.0</v>
      </c>
      <c r="G395" s="254">
        <v>280.0</v>
      </c>
      <c r="H395" s="255">
        <f t="shared" si="17"/>
        <v>560</v>
      </c>
      <c r="I395" s="256" t="s">
        <v>43</v>
      </c>
      <c r="J395" s="403" t="s">
        <v>4002</v>
      </c>
      <c r="K395" s="258">
        <v>43286.0</v>
      </c>
      <c r="L395" s="258">
        <v>43285.0</v>
      </c>
      <c r="M395" s="388"/>
      <c r="N395" s="333" t="s">
        <v>3593</v>
      </c>
      <c r="O395" s="252" t="s">
        <v>4866</v>
      </c>
      <c r="P395" s="598"/>
      <c r="Q395" s="579">
        <v>15567.0</v>
      </c>
      <c r="R395" s="310" t="s">
        <v>2080</v>
      </c>
      <c r="S395" s="768">
        <v>43373.0</v>
      </c>
      <c r="T395" s="769">
        <v>43284.0</v>
      </c>
      <c r="U395" s="765" t="s">
        <v>4867</v>
      </c>
      <c r="V395" s="765" t="s">
        <v>4868</v>
      </c>
      <c r="W395" s="769">
        <v>43320.0</v>
      </c>
      <c r="X395" s="765" t="s">
        <v>4654</v>
      </c>
      <c r="Y395" s="765">
        <v>5.574873581E9</v>
      </c>
      <c r="Z395" s="765"/>
      <c r="AA395" s="765"/>
      <c r="AB395" s="765"/>
      <c r="AC395" s="253" t="s">
        <v>284</v>
      </c>
    </row>
    <row r="396" ht="15.75" hidden="1" customHeight="1">
      <c r="A396" s="764">
        <v>43277.0</v>
      </c>
      <c r="B396" s="597" t="s">
        <v>406</v>
      </c>
      <c r="C396" s="765">
        <v>7.000139163E9</v>
      </c>
      <c r="D396" s="252" t="s">
        <v>4864</v>
      </c>
      <c r="E396" s="602" t="s">
        <v>4869</v>
      </c>
      <c r="F396" s="253">
        <v>2.0</v>
      </c>
      <c r="G396" s="254">
        <v>47.0</v>
      </c>
      <c r="H396" s="255">
        <f t="shared" si="17"/>
        <v>94</v>
      </c>
      <c r="I396" s="256" t="s">
        <v>43</v>
      </c>
      <c r="J396" s="403" t="s">
        <v>4002</v>
      </c>
      <c r="K396" s="258">
        <v>43286.0</v>
      </c>
      <c r="L396" s="258">
        <v>43285.0</v>
      </c>
      <c r="M396" s="388"/>
      <c r="N396" s="333" t="s">
        <v>3593</v>
      </c>
      <c r="O396" s="252" t="s">
        <v>4866</v>
      </c>
      <c r="P396" s="598"/>
      <c r="Q396" s="579">
        <v>2281.0</v>
      </c>
      <c r="R396" s="310" t="s">
        <v>2080</v>
      </c>
      <c r="S396" s="768">
        <v>43373.0</v>
      </c>
      <c r="T396" s="769">
        <v>43284.0</v>
      </c>
      <c r="U396" s="765" t="s">
        <v>4867</v>
      </c>
      <c r="V396" s="765" t="s">
        <v>4868</v>
      </c>
      <c r="W396" s="769">
        <v>43320.0</v>
      </c>
      <c r="X396" s="765" t="s">
        <v>4654</v>
      </c>
      <c r="Y396" s="765">
        <v>5.574873581E9</v>
      </c>
      <c r="Z396" s="765"/>
      <c r="AA396" s="765"/>
      <c r="AB396" s="765"/>
      <c r="AC396" s="253" t="s">
        <v>284</v>
      </c>
    </row>
    <row r="397" ht="15.75" hidden="1" customHeight="1">
      <c r="A397" s="764">
        <v>43277.0</v>
      </c>
      <c r="B397" s="265" t="s">
        <v>579</v>
      </c>
      <c r="C397" s="765">
        <v>2.0180625002E10</v>
      </c>
      <c r="D397" s="252" t="s">
        <v>4870</v>
      </c>
      <c r="E397" s="602" t="s">
        <v>4871</v>
      </c>
      <c r="F397" s="253">
        <v>1.0</v>
      </c>
      <c r="G397" s="254">
        <v>194.25</v>
      </c>
      <c r="H397" s="255">
        <f t="shared" si="17"/>
        <v>194.25</v>
      </c>
      <c r="I397" s="256" t="s">
        <v>171</v>
      </c>
      <c r="J397" s="369" t="s">
        <v>582</v>
      </c>
      <c r="K397" s="258">
        <v>43293.0</v>
      </c>
      <c r="L397" s="258">
        <v>43293.0</v>
      </c>
      <c r="M397" s="388"/>
      <c r="N397" s="333" t="s">
        <v>1439</v>
      </c>
      <c r="O397" s="252" t="s">
        <v>4872</v>
      </c>
      <c r="P397" s="598"/>
      <c r="Q397" s="579">
        <v>5107.0</v>
      </c>
      <c r="R397" s="320" t="s">
        <v>1976</v>
      </c>
      <c r="S397" s="768">
        <v>43343.0</v>
      </c>
      <c r="T397" s="769">
        <v>43293.0</v>
      </c>
      <c r="U397" s="765" t="s">
        <v>4854</v>
      </c>
      <c r="V397" s="765" t="s">
        <v>4858</v>
      </c>
      <c r="W397" s="769">
        <v>43349.0</v>
      </c>
      <c r="X397" s="765" t="s">
        <v>4873</v>
      </c>
      <c r="Y397" s="765"/>
      <c r="Z397" s="765" t="s">
        <v>3659</v>
      </c>
      <c r="AA397" s="770">
        <v>5828.0</v>
      </c>
      <c r="AB397" s="765" t="s">
        <v>4839</v>
      </c>
      <c r="AC397" s="253" t="s">
        <v>377</v>
      </c>
    </row>
    <row r="398" ht="15.75" hidden="1" customHeight="1">
      <c r="A398" s="764">
        <v>43278.0</v>
      </c>
      <c r="B398" s="597" t="s">
        <v>406</v>
      </c>
      <c r="C398" s="765">
        <v>7.000139238E9</v>
      </c>
      <c r="D398" s="252" t="s">
        <v>4874</v>
      </c>
      <c r="E398" s="602" t="s">
        <v>3727</v>
      </c>
      <c r="F398" s="253">
        <v>5.0</v>
      </c>
      <c r="G398" s="254">
        <v>60.0</v>
      </c>
      <c r="H398" s="255">
        <f t="shared" si="17"/>
        <v>300</v>
      </c>
      <c r="I398" s="256" t="s">
        <v>43</v>
      </c>
      <c r="J398" s="403" t="s">
        <v>4002</v>
      </c>
      <c r="K398" s="258">
        <v>43286.0</v>
      </c>
      <c r="L398" s="258">
        <v>43285.0</v>
      </c>
      <c r="M398" s="388"/>
      <c r="N398" s="333" t="s">
        <v>3593</v>
      </c>
      <c r="O398" s="252" t="s">
        <v>4875</v>
      </c>
      <c r="P398" s="598"/>
      <c r="Q398" s="579">
        <v>8957.0</v>
      </c>
      <c r="R398" s="310" t="s">
        <v>2080</v>
      </c>
      <c r="S398" s="768">
        <v>43373.0</v>
      </c>
      <c r="T398" s="769">
        <v>43284.0</v>
      </c>
      <c r="U398" s="765" t="s">
        <v>4876</v>
      </c>
      <c r="V398" s="770">
        <v>15456.0</v>
      </c>
      <c r="W398" s="769">
        <v>43320.0</v>
      </c>
      <c r="X398" s="765" t="s">
        <v>4654</v>
      </c>
      <c r="Y398" s="765">
        <v>5.574873581E9</v>
      </c>
      <c r="Z398" s="765"/>
      <c r="AA398" s="765"/>
      <c r="AB398" s="765"/>
      <c r="AC398" s="253" t="s">
        <v>284</v>
      </c>
    </row>
    <row r="399" ht="15.75" hidden="1" customHeight="1">
      <c r="A399" s="764">
        <v>43278.0</v>
      </c>
      <c r="B399" s="597" t="s">
        <v>406</v>
      </c>
      <c r="C399" s="765">
        <v>7.000139238E9</v>
      </c>
      <c r="D399" s="252" t="s">
        <v>4874</v>
      </c>
      <c r="E399" s="602" t="s">
        <v>4652</v>
      </c>
      <c r="F399" s="253">
        <v>5.0</v>
      </c>
      <c r="G399" s="254">
        <v>285.0</v>
      </c>
      <c r="H399" s="255">
        <f t="shared" si="17"/>
        <v>1425</v>
      </c>
      <c r="I399" s="256" t="s">
        <v>43</v>
      </c>
      <c r="J399" s="403" t="s">
        <v>520</v>
      </c>
      <c r="K399" s="258">
        <v>43300.0</v>
      </c>
      <c r="L399" s="258">
        <v>43299.0</v>
      </c>
      <c r="M399" s="388"/>
      <c r="N399" s="333" t="s">
        <v>3593</v>
      </c>
      <c r="O399" s="252" t="s">
        <v>4875</v>
      </c>
      <c r="P399" s="598"/>
      <c r="Q399" s="579">
        <v>40325.0</v>
      </c>
      <c r="R399" s="310" t="s">
        <v>2080</v>
      </c>
      <c r="S399" s="768">
        <v>43373.0</v>
      </c>
      <c r="T399" s="769">
        <v>43298.0</v>
      </c>
      <c r="U399" s="765" t="s">
        <v>4877</v>
      </c>
      <c r="V399" s="770">
        <v>40325.0</v>
      </c>
      <c r="W399" s="771">
        <v>43355.0</v>
      </c>
      <c r="X399" s="765" t="s">
        <v>4878</v>
      </c>
      <c r="Y399" s="765" t="s">
        <v>4879</v>
      </c>
      <c r="Z399" s="765"/>
      <c r="AA399" s="765"/>
      <c r="AB399" s="765"/>
      <c r="AC399" s="253" t="s">
        <v>284</v>
      </c>
    </row>
    <row r="400" ht="15.75" hidden="1" customHeight="1">
      <c r="A400" s="764">
        <v>43278.0</v>
      </c>
      <c r="B400" s="597" t="s">
        <v>406</v>
      </c>
      <c r="C400" s="765">
        <v>7.000139238E9</v>
      </c>
      <c r="D400" s="252" t="s">
        <v>4874</v>
      </c>
      <c r="E400" s="602" t="s">
        <v>3728</v>
      </c>
      <c r="F400" s="253">
        <v>5.0</v>
      </c>
      <c r="G400" s="254">
        <v>39.0</v>
      </c>
      <c r="H400" s="255">
        <f t="shared" si="17"/>
        <v>195</v>
      </c>
      <c r="I400" s="256" t="s">
        <v>43</v>
      </c>
      <c r="J400" s="403" t="s">
        <v>4002</v>
      </c>
      <c r="K400" s="258">
        <v>43286.0</v>
      </c>
      <c r="L400" s="258">
        <v>43285.0</v>
      </c>
      <c r="M400" s="388"/>
      <c r="N400" s="333" t="s">
        <v>3593</v>
      </c>
      <c r="O400" s="252" t="s">
        <v>4875</v>
      </c>
      <c r="P400" s="598"/>
      <c r="Q400" s="579">
        <v>5477.0</v>
      </c>
      <c r="R400" s="310" t="s">
        <v>2080</v>
      </c>
      <c r="S400" s="768">
        <v>43373.0</v>
      </c>
      <c r="T400" s="769">
        <v>43284.0</v>
      </c>
      <c r="U400" s="765" t="s">
        <v>4876</v>
      </c>
      <c r="V400" s="765" t="s">
        <v>4880</v>
      </c>
      <c r="W400" s="769">
        <v>43320.0</v>
      </c>
      <c r="X400" s="765" t="s">
        <v>4654</v>
      </c>
      <c r="Y400" s="765">
        <v>5.574873581E9</v>
      </c>
      <c r="Z400" s="765"/>
      <c r="AA400" s="765"/>
      <c r="AB400" s="765"/>
      <c r="AC400" s="253" t="s">
        <v>284</v>
      </c>
    </row>
    <row r="401" ht="15.75" hidden="1" customHeight="1">
      <c r="A401" s="764">
        <v>43278.0</v>
      </c>
      <c r="B401" s="597" t="s">
        <v>406</v>
      </c>
      <c r="C401" s="765">
        <v>7.000139238E9</v>
      </c>
      <c r="D401" s="252" t="s">
        <v>4874</v>
      </c>
      <c r="E401" s="602" t="s">
        <v>3724</v>
      </c>
      <c r="F401" s="253">
        <v>5.0</v>
      </c>
      <c r="G401" s="254">
        <v>8.5</v>
      </c>
      <c r="H401" s="255">
        <f t="shared" si="17"/>
        <v>42.5</v>
      </c>
      <c r="I401" s="256" t="s">
        <v>43</v>
      </c>
      <c r="J401" s="403" t="s">
        <v>4002</v>
      </c>
      <c r="K401" s="258">
        <v>43286.0</v>
      </c>
      <c r="L401" s="258">
        <v>43285.0</v>
      </c>
      <c r="M401" s="388"/>
      <c r="N401" s="333" t="s">
        <v>3593</v>
      </c>
      <c r="O401" s="252" t="s">
        <v>4875</v>
      </c>
      <c r="P401" s="598"/>
      <c r="Q401" s="579">
        <v>1024.0</v>
      </c>
      <c r="R401" s="310" t="s">
        <v>2080</v>
      </c>
      <c r="S401" s="768">
        <v>43373.0</v>
      </c>
      <c r="T401" s="769">
        <v>43284.0</v>
      </c>
      <c r="U401" s="765" t="s">
        <v>4876</v>
      </c>
      <c r="V401" s="765" t="s">
        <v>4880</v>
      </c>
      <c r="W401" s="769">
        <v>43320.0</v>
      </c>
      <c r="X401" s="765" t="s">
        <v>4654</v>
      </c>
      <c r="Y401" s="765">
        <v>5.574873581E9</v>
      </c>
      <c r="Z401" s="765"/>
      <c r="AA401" s="765"/>
      <c r="AB401" s="765"/>
      <c r="AC401" s="253" t="s">
        <v>284</v>
      </c>
    </row>
    <row r="402" ht="15.75" hidden="1" customHeight="1">
      <c r="A402" s="764">
        <v>43278.0</v>
      </c>
      <c r="B402" s="144" t="s">
        <v>101</v>
      </c>
      <c r="C402" s="765" t="s">
        <v>4881</v>
      </c>
      <c r="D402" s="252" t="s">
        <v>4882</v>
      </c>
      <c r="E402" s="330" t="s">
        <v>4883</v>
      </c>
      <c r="F402" s="253">
        <v>5.0</v>
      </c>
      <c r="G402" s="254">
        <v>570.0</v>
      </c>
      <c r="H402" s="255">
        <f t="shared" si="17"/>
        <v>2850</v>
      </c>
      <c r="I402" s="256" t="s">
        <v>171</v>
      </c>
      <c r="J402" s="403" t="s">
        <v>3739</v>
      </c>
      <c r="K402" s="258">
        <v>43332.0</v>
      </c>
      <c r="L402" s="266" t="s">
        <v>4727</v>
      </c>
      <c r="M402" s="388"/>
      <c r="N402" s="266" t="s">
        <v>4727</v>
      </c>
      <c r="O402" s="310" t="s">
        <v>4884</v>
      </c>
      <c r="P402" s="598"/>
      <c r="Q402" s="330"/>
      <c r="R402" s="310"/>
      <c r="S402" s="330"/>
      <c r="T402" s="766"/>
      <c r="U402" s="766"/>
      <c r="V402" s="766"/>
      <c r="W402" s="767"/>
      <c r="X402" s="252" t="s">
        <v>4729</v>
      </c>
      <c r="Y402" s="765">
        <v>5.012579751E9</v>
      </c>
      <c r="Z402" s="765"/>
      <c r="AA402" s="765"/>
      <c r="AB402" s="765"/>
      <c r="AC402" s="253" t="s">
        <v>4730</v>
      </c>
    </row>
    <row r="403" ht="15.75" hidden="1" customHeight="1">
      <c r="A403" s="764">
        <v>43278.0</v>
      </c>
      <c r="B403" s="144" t="s">
        <v>101</v>
      </c>
      <c r="C403" s="765" t="s">
        <v>4881</v>
      </c>
      <c r="D403" s="252" t="s">
        <v>4882</v>
      </c>
      <c r="E403" s="602" t="s">
        <v>4885</v>
      </c>
      <c r="F403" s="253">
        <v>5.0</v>
      </c>
      <c r="G403" s="254">
        <v>42.0</v>
      </c>
      <c r="H403" s="255">
        <f t="shared" si="17"/>
        <v>210</v>
      </c>
      <c r="I403" s="256" t="s">
        <v>171</v>
      </c>
      <c r="J403" s="403" t="s">
        <v>3739</v>
      </c>
      <c r="K403" s="258">
        <v>43332.0</v>
      </c>
      <c r="L403" s="266" t="s">
        <v>4727</v>
      </c>
      <c r="M403" s="388"/>
      <c r="N403" s="266" t="s">
        <v>4727</v>
      </c>
      <c r="O403" s="310" t="s">
        <v>4884</v>
      </c>
      <c r="P403" s="598"/>
      <c r="Q403" s="330"/>
      <c r="R403" s="310"/>
      <c r="S403" s="330"/>
      <c r="T403" s="766"/>
      <c r="U403" s="766"/>
      <c r="V403" s="766"/>
      <c r="W403" s="767"/>
      <c r="X403" s="252" t="s">
        <v>4729</v>
      </c>
      <c r="Y403" s="765">
        <v>5.012579751E9</v>
      </c>
      <c r="Z403" s="765"/>
      <c r="AA403" s="765"/>
      <c r="AB403" s="765"/>
      <c r="AC403" s="253" t="s">
        <v>4730</v>
      </c>
    </row>
    <row r="404" ht="15.75" hidden="1" customHeight="1">
      <c r="A404" s="764">
        <v>43278.0</v>
      </c>
      <c r="B404" s="144" t="s">
        <v>101</v>
      </c>
      <c r="C404" s="765" t="s">
        <v>4881</v>
      </c>
      <c r="D404" s="252" t="s">
        <v>4882</v>
      </c>
      <c r="E404" s="602" t="s">
        <v>4886</v>
      </c>
      <c r="F404" s="253">
        <v>5.0</v>
      </c>
      <c r="G404" s="254">
        <v>140.0</v>
      </c>
      <c r="H404" s="255">
        <f t="shared" si="17"/>
        <v>700</v>
      </c>
      <c r="I404" s="256" t="s">
        <v>171</v>
      </c>
      <c r="J404" s="403" t="s">
        <v>3739</v>
      </c>
      <c r="K404" s="258">
        <v>43332.0</v>
      </c>
      <c r="L404" s="266" t="s">
        <v>4727</v>
      </c>
      <c r="M404" s="388"/>
      <c r="N404" s="266" t="s">
        <v>4727</v>
      </c>
      <c r="O404" s="310" t="s">
        <v>4884</v>
      </c>
      <c r="P404" s="598"/>
      <c r="Q404" s="330"/>
      <c r="R404" s="310"/>
      <c r="S404" s="330"/>
      <c r="T404" s="766"/>
      <c r="U404" s="766"/>
      <c r="V404" s="766"/>
      <c r="W404" s="767"/>
      <c r="X404" s="252" t="s">
        <v>4729</v>
      </c>
      <c r="Y404" s="765">
        <v>5.012579751E9</v>
      </c>
      <c r="Z404" s="765"/>
      <c r="AA404" s="765"/>
      <c r="AB404" s="765"/>
      <c r="AC404" s="253" t="s">
        <v>4730</v>
      </c>
    </row>
    <row r="405" ht="15.75" hidden="1" customHeight="1">
      <c r="A405" s="764">
        <v>43278.0</v>
      </c>
      <c r="B405" s="144" t="s">
        <v>101</v>
      </c>
      <c r="C405" s="765" t="s">
        <v>4881</v>
      </c>
      <c r="D405" s="252" t="s">
        <v>4882</v>
      </c>
      <c r="E405" s="602" t="s">
        <v>442</v>
      </c>
      <c r="F405" s="253">
        <v>5.0</v>
      </c>
      <c r="G405" s="254">
        <v>38.0</v>
      </c>
      <c r="H405" s="255">
        <f t="shared" si="17"/>
        <v>190</v>
      </c>
      <c r="I405" s="256" t="s">
        <v>171</v>
      </c>
      <c r="J405" s="403" t="s">
        <v>3739</v>
      </c>
      <c r="K405" s="258">
        <v>43332.0</v>
      </c>
      <c r="L405" s="266" t="s">
        <v>4727</v>
      </c>
      <c r="M405" s="388"/>
      <c r="N405" s="266" t="s">
        <v>4727</v>
      </c>
      <c r="O405" s="310" t="s">
        <v>4884</v>
      </c>
      <c r="P405" s="598"/>
      <c r="Q405" s="330"/>
      <c r="R405" s="310"/>
      <c r="S405" s="330"/>
      <c r="T405" s="766"/>
      <c r="U405" s="766"/>
      <c r="V405" s="766"/>
      <c r="W405" s="767"/>
      <c r="X405" s="252" t="s">
        <v>4729</v>
      </c>
      <c r="Y405" s="765">
        <v>5.012579751E9</v>
      </c>
      <c r="Z405" s="765"/>
      <c r="AA405" s="765"/>
      <c r="AB405" s="765"/>
      <c r="AC405" s="253" t="s">
        <v>4730</v>
      </c>
    </row>
    <row r="406" ht="15.75" hidden="1" customHeight="1">
      <c r="A406" s="764">
        <v>43278.0</v>
      </c>
      <c r="B406" s="144" t="s">
        <v>101</v>
      </c>
      <c r="C406" s="765" t="s">
        <v>4881</v>
      </c>
      <c r="D406" s="252" t="s">
        <v>4882</v>
      </c>
      <c r="E406" s="602" t="s">
        <v>546</v>
      </c>
      <c r="F406" s="253">
        <v>5.0</v>
      </c>
      <c r="G406" s="254">
        <v>47.0</v>
      </c>
      <c r="H406" s="255">
        <f t="shared" si="17"/>
        <v>235</v>
      </c>
      <c r="I406" s="256" t="s">
        <v>171</v>
      </c>
      <c r="J406" s="403" t="s">
        <v>3739</v>
      </c>
      <c r="K406" s="258">
        <v>43332.0</v>
      </c>
      <c r="L406" s="266" t="s">
        <v>4727</v>
      </c>
      <c r="M406" s="388"/>
      <c r="N406" s="266" t="s">
        <v>4727</v>
      </c>
      <c r="O406" s="310" t="s">
        <v>4884</v>
      </c>
      <c r="P406" s="598"/>
      <c r="Q406" s="330"/>
      <c r="R406" s="310"/>
      <c r="S406" s="330"/>
      <c r="T406" s="766"/>
      <c r="U406" s="766"/>
      <c r="V406" s="766"/>
      <c r="W406" s="767"/>
      <c r="X406" s="252" t="s">
        <v>4729</v>
      </c>
      <c r="Y406" s="765">
        <v>5.012579751E9</v>
      </c>
      <c r="Z406" s="765"/>
      <c r="AA406" s="765"/>
      <c r="AB406" s="765"/>
      <c r="AC406" s="253" t="s">
        <v>4730</v>
      </c>
    </row>
    <row r="407" ht="15.75" hidden="1" customHeight="1">
      <c r="A407" s="764">
        <v>43280.0</v>
      </c>
      <c r="B407" s="265" t="s">
        <v>130</v>
      </c>
      <c r="C407" s="765" t="s">
        <v>4887</v>
      </c>
      <c r="D407" s="252" t="s">
        <v>4888</v>
      </c>
      <c r="E407" s="602" t="s">
        <v>3951</v>
      </c>
      <c r="F407" s="253">
        <v>13.0</v>
      </c>
      <c r="G407" s="254">
        <v>90.0</v>
      </c>
      <c r="H407" s="255">
        <f t="shared" si="17"/>
        <v>1170</v>
      </c>
      <c r="I407" s="256" t="s">
        <v>420</v>
      </c>
      <c r="J407" s="849" t="s">
        <v>4889</v>
      </c>
      <c r="K407" s="258">
        <v>43293.0</v>
      </c>
      <c r="L407" s="258">
        <v>43290.0</v>
      </c>
      <c r="M407" s="388"/>
      <c r="N407" s="333" t="s">
        <v>90</v>
      </c>
      <c r="O407" s="310" t="s">
        <v>4890</v>
      </c>
      <c r="P407" s="268">
        <v>1160.25</v>
      </c>
      <c r="Q407" s="330"/>
      <c r="R407" s="340" t="s">
        <v>94</v>
      </c>
      <c r="S407" s="768">
        <v>43343.0</v>
      </c>
      <c r="T407" s="769">
        <v>43290.0</v>
      </c>
      <c r="U407" s="765" t="s">
        <v>4891</v>
      </c>
      <c r="V407" s="770">
        <v>35196.0</v>
      </c>
      <c r="W407" s="769">
        <v>43346.0</v>
      </c>
      <c r="X407" s="252" t="s">
        <v>4805</v>
      </c>
      <c r="Y407" s="765">
        <v>2.14285449E9</v>
      </c>
      <c r="Z407" s="765"/>
      <c r="AA407" s="765"/>
      <c r="AB407" s="765"/>
      <c r="AC407" s="253" t="s">
        <v>284</v>
      </c>
    </row>
    <row r="408" ht="15.75" hidden="1" customHeight="1">
      <c r="A408" s="764">
        <v>43283.0</v>
      </c>
      <c r="B408" s="265" t="s">
        <v>101</v>
      </c>
      <c r="C408" s="765" t="s">
        <v>4892</v>
      </c>
      <c r="D408" s="252" t="s">
        <v>4893</v>
      </c>
      <c r="E408" s="650" t="s">
        <v>3567</v>
      </c>
      <c r="F408" s="256">
        <v>10.0</v>
      </c>
      <c r="G408" s="466">
        <v>93.0</v>
      </c>
      <c r="H408" s="255">
        <f t="shared" si="17"/>
        <v>930</v>
      </c>
      <c r="I408" s="256" t="s">
        <v>171</v>
      </c>
      <c r="J408" s="369" t="s">
        <v>3568</v>
      </c>
      <c r="K408" s="258">
        <v>43311.0</v>
      </c>
      <c r="L408" s="258">
        <v>43307.0</v>
      </c>
      <c r="M408" s="388"/>
      <c r="N408" s="333" t="s">
        <v>2034</v>
      </c>
      <c r="O408" s="252" t="s">
        <v>4894</v>
      </c>
      <c r="P408" s="268">
        <v>924.0</v>
      </c>
      <c r="Q408" s="330"/>
      <c r="R408" s="320" t="s">
        <v>2036</v>
      </c>
      <c r="S408" s="768">
        <v>43378.0</v>
      </c>
      <c r="T408" s="769">
        <v>43306.0</v>
      </c>
      <c r="U408" s="765" t="s">
        <v>4895</v>
      </c>
      <c r="V408" s="770">
        <v>93833.0</v>
      </c>
      <c r="W408" s="769">
        <v>43378.0</v>
      </c>
      <c r="X408" s="765" t="s">
        <v>4896</v>
      </c>
      <c r="Y408" s="765" t="s">
        <v>4897</v>
      </c>
      <c r="Z408" s="765"/>
      <c r="AA408" s="765"/>
      <c r="AB408" s="765"/>
      <c r="AC408" s="253" t="s">
        <v>284</v>
      </c>
    </row>
    <row r="409" ht="15.75" hidden="1" customHeight="1">
      <c r="A409" s="764">
        <v>43283.0</v>
      </c>
      <c r="B409" s="265" t="s">
        <v>101</v>
      </c>
      <c r="C409" s="765" t="s">
        <v>4892</v>
      </c>
      <c r="D409" s="252" t="s">
        <v>4898</v>
      </c>
      <c r="E409" s="578" t="s">
        <v>4899</v>
      </c>
      <c r="F409" s="256">
        <v>10.0</v>
      </c>
      <c r="G409" s="267">
        <v>73.0</v>
      </c>
      <c r="H409" s="255">
        <f t="shared" si="17"/>
        <v>730</v>
      </c>
      <c r="I409" s="256" t="s">
        <v>171</v>
      </c>
      <c r="J409" s="369" t="s">
        <v>3568</v>
      </c>
      <c r="K409" s="258">
        <v>43311.0</v>
      </c>
      <c r="L409" s="258">
        <v>43307.0</v>
      </c>
      <c r="M409" s="388"/>
      <c r="N409" s="333" t="s">
        <v>2034</v>
      </c>
      <c r="O409" s="252" t="s">
        <v>4894</v>
      </c>
      <c r="P409" s="268">
        <v>724.5</v>
      </c>
      <c r="Q409" s="330"/>
      <c r="R409" s="320" t="s">
        <v>2036</v>
      </c>
      <c r="S409" s="768">
        <v>43378.0</v>
      </c>
      <c r="T409" s="769">
        <v>43306.0</v>
      </c>
      <c r="U409" s="765" t="s">
        <v>4895</v>
      </c>
      <c r="V409" s="765" t="s">
        <v>4900</v>
      </c>
      <c r="W409" s="769">
        <v>43378.0</v>
      </c>
      <c r="X409" s="765" t="s">
        <v>4896</v>
      </c>
      <c r="Y409" s="765" t="s">
        <v>4897</v>
      </c>
      <c r="Z409" s="765"/>
      <c r="AA409" s="765"/>
      <c r="AB409" s="765"/>
      <c r="AC409" s="253" t="s">
        <v>284</v>
      </c>
    </row>
    <row r="410" ht="15.75" hidden="1" customHeight="1">
      <c r="A410" s="764">
        <v>43283.0</v>
      </c>
      <c r="B410" s="265" t="s">
        <v>101</v>
      </c>
      <c r="C410" s="765" t="s">
        <v>4892</v>
      </c>
      <c r="D410" s="252" t="s">
        <v>4901</v>
      </c>
      <c r="E410" s="578" t="s">
        <v>3575</v>
      </c>
      <c r="F410" s="256">
        <v>10.0</v>
      </c>
      <c r="G410" s="267">
        <v>140.0</v>
      </c>
      <c r="H410" s="255">
        <f t="shared" si="17"/>
        <v>1400</v>
      </c>
      <c r="I410" s="256" t="s">
        <v>171</v>
      </c>
      <c r="J410" s="369" t="s">
        <v>3568</v>
      </c>
      <c r="K410" s="258">
        <v>43311.0</v>
      </c>
      <c r="L410" s="258">
        <v>43307.0</v>
      </c>
      <c r="M410" s="388"/>
      <c r="N410" s="333" t="s">
        <v>2034</v>
      </c>
      <c r="O410" s="252" t="s">
        <v>4894</v>
      </c>
      <c r="P410" s="268">
        <v>1396.5</v>
      </c>
      <c r="Q410" s="330"/>
      <c r="R410" s="320" t="s">
        <v>2036</v>
      </c>
      <c r="S410" s="768">
        <v>43378.0</v>
      </c>
      <c r="T410" s="769">
        <v>43306.0</v>
      </c>
      <c r="U410" s="765" t="s">
        <v>4895</v>
      </c>
      <c r="V410" s="765" t="s">
        <v>4900</v>
      </c>
      <c r="W410" s="769">
        <v>43378.0</v>
      </c>
      <c r="X410" s="765" t="s">
        <v>4896</v>
      </c>
      <c r="Y410" s="765" t="s">
        <v>4897</v>
      </c>
      <c r="Z410" s="765"/>
      <c r="AA410" s="765"/>
      <c r="AB410" s="765"/>
      <c r="AC410" s="253" t="s">
        <v>284</v>
      </c>
    </row>
    <row r="411" ht="15.75" hidden="1" customHeight="1">
      <c r="A411" s="764">
        <v>43283.0</v>
      </c>
      <c r="B411" s="265" t="s">
        <v>101</v>
      </c>
      <c r="C411" s="765" t="s">
        <v>4892</v>
      </c>
      <c r="D411" s="252" t="s">
        <v>4902</v>
      </c>
      <c r="E411" s="578" t="s">
        <v>3576</v>
      </c>
      <c r="F411" s="256">
        <v>10.0</v>
      </c>
      <c r="G411" s="267">
        <v>2.0</v>
      </c>
      <c r="H411" s="255">
        <f t="shared" si="17"/>
        <v>20</v>
      </c>
      <c r="I411" s="256" t="s">
        <v>171</v>
      </c>
      <c r="J411" s="369" t="s">
        <v>3568</v>
      </c>
      <c r="K411" s="258">
        <v>43311.0</v>
      </c>
      <c r="L411" s="258">
        <v>43285.0</v>
      </c>
      <c r="M411" s="388"/>
      <c r="N411" s="266" t="s">
        <v>179</v>
      </c>
      <c r="O411" s="310" t="s">
        <v>3577</v>
      </c>
      <c r="P411" s="598"/>
      <c r="Q411" s="330"/>
      <c r="R411" s="310"/>
      <c r="S411" s="330"/>
      <c r="T411" s="765"/>
      <c r="U411" s="765"/>
      <c r="V411" s="765"/>
      <c r="W411" s="767"/>
      <c r="X411" s="765" t="s">
        <v>4896</v>
      </c>
      <c r="Y411" s="765" t="s">
        <v>4897</v>
      </c>
      <c r="Z411" s="765"/>
      <c r="AA411" s="765"/>
      <c r="AB411" s="765"/>
      <c r="AC411" s="253" t="s">
        <v>284</v>
      </c>
    </row>
    <row r="412" ht="15.75" hidden="1" customHeight="1">
      <c r="A412" s="764">
        <v>43283.0</v>
      </c>
      <c r="B412" s="265" t="s">
        <v>101</v>
      </c>
      <c r="C412" s="765" t="s">
        <v>4892</v>
      </c>
      <c r="D412" s="252" t="s">
        <v>4903</v>
      </c>
      <c r="E412" s="578" t="s">
        <v>4904</v>
      </c>
      <c r="F412" s="256">
        <v>10.0</v>
      </c>
      <c r="G412" s="267">
        <v>2.5</v>
      </c>
      <c r="H412" s="255">
        <f t="shared" si="17"/>
        <v>25</v>
      </c>
      <c r="I412" s="256" t="s">
        <v>171</v>
      </c>
      <c r="J412" s="369" t="s">
        <v>3568</v>
      </c>
      <c r="K412" s="258">
        <v>43311.0</v>
      </c>
      <c r="L412" s="258">
        <v>43285.0</v>
      </c>
      <c r="M412" s="388"/>
      <c r="N412" s="266" t="s">
        <v>179</v>
      </c>
      <c r="O412" s="650" t="s">
        <v>3579</v>
      </c>
      <c r="P412" s="598"/>
      <c r="Q412" s="330"/>
      <c r="R412" s="310"/>
      <c r="S412" s="330"/>
      <c r="T412" s="765"/>
      <c r="U412" s="765"/>
      <c r="V412" s="765"/>
      <c r="W412" s="767"/>
      <c r="X412" s="765" t="s">
        <v>4896</v>
      </c>
      <c r="Y412" s="765" t="s">
        <v>4897</v>
      </c>
      <c r="Z412" s="765"/>
      <c r="AA412" s="765"/>
      <c r="AB412" s="765"/>
      <c r="AC412" s="253" t="s">
        <v>284</v>
      </c>
    </row>
    <row r="413" ht="15.75" hidden="1" customHeight="1">
      <c r="A413" s="764">
        <v>43283.0</v>
      </c>
      <c r="B413" s="265" t="s">
        <v>101</v>
      </c>
      <c r="C413" s="765" t="s">
        <v>4892</v>
      </c>
      <c r="D413" s="252" t="s">
        <v>4905</v>
      </c>
      <c r="E413" s="578" t="s">
        <v>3580</v>
      </c>
      <c r="F413" s="256">
        <v>10.0</v>
      </c>
      <c r="G413" s="267">
        <v>4.0</v>
      </c>
      <c r="H413" s="255">
        <f t="shared" si="17"/>
        <v>40</v>
      </c>
      <c r="I413" s="256" t="s">
        <v>171</v>
      </c>
      <c r="J413" s="369" t="s">
        <v>3568</v>
      </c>
      <c r="K413" s="258">
        <v>43311.0</v>
      </c>
      <c r="L413" s="258">
        <v>43307.0</v>
      </c>
      <c r="M413" s="388"/>
      <c r="N413" s="333" t="s">
        <v>2034</v>
      </c>
      <c r="O413" s="252" t="s">
        <v>4894</v>
      </c>
      <c r="P413" s="268">
        <v>31.5</v>
      </c>
      <c r="Q413" s="330"/>
      <c r="R413" s="320" t="s">
        <v>2036</v>
      </c>
      <c r="S413" s="768">
        <v>43378.0</v>
      </c>
      <c r="T413" s="769">
        <v>43306.0</v>
      </c>
      <c r="U413" s="765" t="s">
        <v>4895</v>
      </c>
      <c r="V413" s="765" t="s">
        <v>4900</v>
      </c>
      <c r="W413" s="769">
        <v>43378.0</v>
      </c>
      <c r="X413" s="765" t="s">
        <v>4896</v>
      </c>
      <c r="Y413" s="765" t="s">
        <v>4897</v>
      </c>
      <c r="Z413" s="765"/>
      <c r="AA413" s="765"/>
      <c r="AB413" s="765"/>
      <c r="AC413" s="253" t="s">
        <v>284</v>
      </c>
    </row>
    <row r="414" ht="15.75" hidden="1" customHeight="1">
      <c r="A414" s="764">
        <v>43283.0</v>
      </c>
      <c r="B414" s="265" t="s">
        <v>101</v>
      </c>
      <c r="C414" s="765" t="s">
        <v>4892</v>
      </c>
      <c r="D414" s="252" t="s">
        <v>4906</v>
      </c>
      <c r="E414" s="578" t="s">
        <v>3581</v>
      </c>
      <c r="F414" s="256">
        <v>10.0</v>
      </c>
      <c r="G414" s="267">
        <v>8.0</v>
      </c>
      <c r="H414" s="255">
        <f t="shared" si="17"/>
        <v>80</v>
      </c>
      <c r="I414" s="256" t="s">
        <v>171</v>
      </c>
      <c r="J414" s="369" t="s">
        <v>3568</v>
      </c>
      <c r="K414" s="258">
        <v>43311.0</v>
      </c>
      <c r="L414" s="258">
        <v>43307.0</v>
      </c>
      <c r="M414" s="388"/>
      <c r="N414" s="333" t="s">
        <v>2038</v>
      </c>
      <c r="O414" s="310"/>
      <c r="P414" s="598"/>
      <c r="Q414" s="852" t="s">
        <v>2038</v>
      </c>
      <c r="R414" s="310"/>
      <c r="S414" s="330"/>
      <c r="T414" s="766"/>
      <c r="U414" s="766"/>
      <c r="V414" s="766"/>
      <c r="W414" s="767"/>
      <c r="X414" s="765" t="s">
        <v>4896</v>
      </c>
      <c r="Y414" s="765" t="s">
        <v>4897</v>
      </c>
      <c r="Z414" s="765"/>
      <c r="AA414" s="765"/>
      <c r="AB414" s="765"/>
      <c r="AC414" s="253" t="s">
        <v>284</v>
      </c>
    </row>
    <row r="415" ht="15.75" hidden="1" customHeight="1">
      <c r="A415" s="776">
        <v>43284.0</v>
      </c>
      <c r="B415" s="320" t="s">
        <v>326</v>
      </c>
      <c r="C415" s="252">
        <v>2023818.0</v>
      </c>
      <c r="D415" s="310" t="s">
        <v>4907</v>
      </c>
      <c r="E415" s="820" t="s">
        <v>3773</v>
      </c>
      <c r="F415" s="253">
        <v>10.0</v>
      </c>
      <c r="G415" s="325">
        <v>567.0</v>
      </c>
      <c r="H415" s="255">
        <f t="shared" si="17"/>
        <v>5670</v>
      </c>
      <c r="I415" s="256" t="s">
        <v>43</v>
      </c>
      <c r="J415" s="269" t="s">
        <v>329</v>
      </c>
      <c r="K415" s="258">
        <v>43318.0</v>
      </c>
      <c r="L415" s="258">
        <v>43304.0</v>
      </c>
      <c r="M415" s="388"/>
      <c r="N415" s="333" t="s">
        <v>3775</v>
      </c>
      <c r="O415" s="310" t="s">
        <v>4908</v>
      </c>
      <c r="P415" s="268">
        <v>5355.0</v>
      </c>
      <c r="Q415" s="330"/>
      <c r="R415" s="422" t="s">
        <v>2207</v>
      </c>
      <c r="S415" s="768">
        <v>43343.0</v>
      </c>
      <c r="T415" s="769">
        <v>43305.0</v>
      </c>
      <c r="U415" s="765" t="s">
        <v>4909</v>
      </c>
      <c r="V415" s="770">
        <v>266577.0</v>
      </c>
      <c r="W415" s="769">
        <v>43356.0</v>
      </c>
      <c r="X415" s="765" t="s">
        <v>4910</v>
      </c>
      <c r="Y415" s="765" t="s">
        <v>4911</v>
      </c>
      <c r="Z415" s="765"/>
      <c r="AA415" s="765"/>
      <c r="AB415" s="765"/>
      <c r="AC415" s="253" t="s">
        <v>284</v>
      </c>
    </row>
    <row r="416" ht="15.75" hidden="1" customHeight="1">
      <c r="A416" s="776">
        <v>43284.0</v>
      </c>
      <c r="B416" s="320" t="s">
        <v>326</v>
      </c>
      <c r="C416" s="252">
        <v>2023818.0</v>
      </c>
      <c r="D416" s="310" t="s">
        <v>4907</v>
      </c>
      <c r="E416" s="820" t="s">
        <v>3781</v>
      </c>
      <c r="F416" s="253">
        <v>10.0</v>
      </c>
      <c r="G416" s="325">
        <v>273.0</v>
      </c>
      <c r="H416" s="255">
        <f t="shared" si="17"/>
        <v>2730</v>
      </c>
      <c r="I416" s="256" t="s">
        <v>43</v>
      </c>
      <c r="J416" s="269" t="s">
        <v>329</v>
      </c>
      <c r="K416" s="258">
        <v>43318.0</v>
      </c>
      <c r="L416" s="258">
        <v>43298.0</v>
      </c>
      <c r="M416" s="388"/>
      <c r="N416" s="333" t="s">
        <v>45</v>
      </c>
      <c r="O416" s="310" t="s">
        <v>4912</v>
      </c>
      <c r="P416" s="268">
        <v>2184.0</v>
      </c>
      <c r="Q416" s="330"/>
      <c r="R416" s="340" t="s">
        <v>47</v>
      </c>
      <c r="S416" s="768">
        <v>43331.0</v>
      </c>
      <c r="T416" s="769">
        <v>43300.0</v>
      </c>
      <c r="U416" s="765" t="s">
        <v>4913</v>
      </c>
      <c r="V416" s="770">
        <v>66792.0</v>
      </c>
      <c r="W416" s="769">
        <v>43332.0</v>
      </c>
      <c r="X416" s="765" t="s">
        <v>4910</v>
      </c>
      <c r="Y416" s="765" t="s">
        <v>4911</v>
      </c>
      <c r="Z416" s="765"/>
      <c r="AA416" s="765"/>
      <c r="AB416" s="765"/>
      <c r="AC416" s="253" t="s">
        <v>284</v>
      </c>
    </row>
    <row r="417" ht="15.75" hidden="1" customHeight="1">
      <c r="A417" s="776">
        <v>43284.0</v>
      </c>
      <c r="B417" s="320" t="s">
        <v>326</v>
      </c>
      <c r="C417" s="252">
        <v>2023818.0</v>
      </c>
      <c r="D417" s="310" t="s">
        <v>4907</v>
      </c>
      <c r="E417" s="820" t="s">
        <v>53</v>
      </c>
      <c r="F417" s="253">
        <v>10.0</v>
      </c>
      <c r="G417" s="325">
        <v>31.0</v>
      </c>
      <c r="H417" s="255">
        <f t="shared" si="17"/>
        <v>310</v>
      </c>
      <c r="I417" s="256" t="s">
        <v>43</v>
      </c>
      <c r="J417" s="269" t="s">
        <v>329</v>
      </c>
      <c r="K417" s="258">
        <v>43318.0</v>
      </c>
      <c r="L417" s="258">
        <v>43304.0</v>
      </c>
      <c r="M417" s="388"/>
      <c r="N417" s="333" t="s">
        <v>3775</v>
      </c>
      <c r="O417" s="310" t="s">
        <v>4908</v>
      </c>
      <c r="P417" s="268">
        <v>226.8</v>
      </c>
      <c r="Q417" s="330"/>
      <c r="R417" s="422" t="s">
        <v>2207</v>
      </c>
      <c r="S417" s="768">
        <v>43343.0</v>
      </c>
      <c r="T417" s="769">
        <v>43305.0</v>
      </c>
      <c r="U417" s="765" t="s">
        <v>4909</v>
      </c>
      <c r="V417" s="765" t="s">
        <v>4914</v>
      </c>
      <c r="W417" s="769">
        <v>43356.0</v>
      </c>
      <c r="X417" s="765" t="s">
        <v>4910</v>
      </c>
      <c r="Y417" s="765" t="s">
        <v>4911</v>
      </c>
      <c r="Z417" s="765"/>
      <c r="AA417" s="765"/>
      <c r="AB417" s="765"/>
      <c r="AC417" s="253" t="s">
        <v>284</v>
      </c>
    </row>
    <row r="418" ht="15.75" hidden="1" customHeight="1">
      <c r="A418" s="776">
        <v>43284.0</v>
      </c>
      <c r="B418" s="320" t="s">
        <v>326</v>
      </c>
      <c r="C418" s="252">
        <v>2023818.0</v>
      </c>
      <c r="D418" s="310" t="s">
        <v>4907</v>
      </c>
      <c r="E418" s="820" t="s">
        <v>59</v>
      </c>
      <c r="F418" s="253">
        <v>10.0</v>
      </c>
      <c r="G418" s="325">
        <v>4.0</v>
      </c>
      <c r="H418" s="255">
        <f t="shared" si="17"/>
        <v>40</v>
      </c>
      <c r="I418" s="256" t="s">
        <v>43</v>
      </c>
      <c r="J418" s="269" t="s">
        <v>329</v>
      </c>
      <c r="K418" s="258">
        <v>43318.0</v>
      </c>
      <c r="L418" s="258">
        <v>43304.0</v>
      </c>
      <c r="M418" s="388"/>
      <c r="N418" s="333" t="s">
        <v>3775</v>
      </c>
      <c r="O418" s="310" t="s">
        <v>4908</v>
      </c>
      <c r="P418" s="268">
        <v>21.0</v>
      </c>
      <c r="Q418" s="330"/>
      <c r="R418" s="422" t="s">
        <v>2207</v>
      </c>
      <c r="S418" s="768">
        <v>43343.0</v>
      </c>
      <c r="T418" s="769">
        <v>43305.0</v>
      </c>
      <c r="U418" s="765" t="s">
        <v>4909</v>
      </c>
      <c r="V418" s="765" t="s">
        <v>4914</v>
      </c>
      <c r="W418" s="769">
        <v>43356.0</v>
      </c>
      <c r="X418" s="765" t="s">
        <v>4910</v>
      </c>
      <c r="Y418" s="765" t="s">
        <v>4911</v>
      </c>
      <c r="Z418" s="765"/>
      <c r="AA418" s="765"/>
      <c r="AB418" s="765"/>
      <c r="AC418" s="253" t="s">
        <v>284</v>
      </c>
    </row>
    <row r="419" ht="15.75" hidden="1" customHeight="1">
      <c r="A419" s="776">
        <v>43284.0</v>
      </c>
      <c r="B419" s="320" t="s">
        <v>326</v>
      </c>
      <c r="C419" s="252">
        <v>2023818.0</v>
      </c>
      <c r="D419" s="310" t="s">
        <v>4907</v>
      </c>
      <c r="E419" s="602" t="s">
        <v>4915</v>
      </c>
      <c r="F419" s="253">
        <v>5.0</v>
      </c>
      <c r="G419" s="254">
        <v>607.0</v>
      </c>
      <c r="H419" s="255">
        <f t="shared" si="17"/>
        <v>3035</v>
      </c>
      <c r="I419" s="256" t="s">
        <v>43</v>
      </c>
      <c r="J419" s="269" t="s">
        <v>329</v>
      </c>
      <c r="K419" s="258">
        <v>43318.0</v>
      </c>
      <c r="L419" s="258">
        <v>43304.0</v>
      </c>
      <c r="M419" s="388"/>
      <c r="N419" s="333" t="s">
        <v>3775</v>
      </c>
      <c r="O419" s="310" t="s">
        <v>4908</v>
      </c>
      <c r="P419" s="268">
        <v>2966.25</v>
      </c>
      <c r="Q419" s="330"/>
      <c r="R419" s="422" t="s">
        <v>2207</v>
      </c>
      <c r="S419" s="768">
        <v>43343.0</v>
      </c>
      <c r="T419" s="769">
        <v>43305.0</v>
      </c>
      <c r="U419" s="765" t="s">
        <v>4909</v>
      </c>
      <c r="V419" s="765" t="s">
        <v>4914</v>
      </c>
      <c r="W419" s="769">
        <v>43356.0</v>
      </c>
      <c r="X419" s="765" t="s">
        <v>4910</v>
      </c>
      <c r="Y419" s="765" t="s">
        <v>4911</v>
      </c>
      <c r="Z419" s="765"/>
      <c r="AA419" s="765"/>
      <c r="AB419" s="765"/>
      <c r="AC419" s="253" t="s">
        <v>284</v>
      </c>
    </row>
    <row r="420" ht="15.75" hidden="1" customHeight="1">
      <c r="A420" s="776">
        <v>43284.0</v>
      </c>
      <c r="B420" s="320" t="s">
        <v>326</v>
      </c>
      <c r="C420" s="252">
        <v>2023818.0</v>
      </c>
      <c r="D420" s="310" t="s">
        <v>4907</v>
      </c>
      <c r="E420" s="602" t="s">
        <v>4419</v>
      </c>
      <c r="F420" s="253">
        <v>5.0</v>
      </c>
      <c r="G420" s="254">
        <v>27.0</v>
      </c>
      <c r="H420" s="255">
        <f t="shared" si="17"/>
        <v>135</v>
      </c>
      <c r="I420" s="256" t="s">
        <v>43</v>
      </c>
      <c r="J420" s="269" t="s">
        <v>329</v>
      </c>
      <c r="K420" s="258">
        <v>43318.0</v>
      </c>
      <c r="L420" s="258">
        <v>43304.0</v>
      </c>
      <c r="M420" s="388"/>
      <c r="N420" s="333" t="s">
        <v>3775</v>
      </c>
      <c r="O420" s="310" t="s">
        <v>4908</v>
      </c>
      <c r="P420" s="268">
        <v>131.25</v>
      </c>
      <c r="Q420" s="330"/>
      <c r="R420" s="422" t="s">
        <v>2207</v>
      </c>
      <c r="S420" s="768">
        <v>43343.0</v>
      </c>
      <c r="T420" s="769">
        <v>43305.0</v>
      </c>
      <c r="U420" s="765" t="s">
        <v>4909</v>
      </c>
      <c r="V420" s="765" t="s">
        <v>4914</v>
      </c>
      <c r="W420" s="769">
        <v>43356.0</v>
      </c>
      <c r="X420" s="765" t="s">
        <v>4910</v>
      </c>
      <c r="Y420" s="765" t="s">
        <v>4911</v>
      </c>
      <c r="Z420" s="765"/>
      <c r="AA420" s="765"/>
      <c r="AB420" s="765"/>
      <c r="AC420" s="253" t="s">
        <v>284</v>
      </c>
    </row>
    <row r="421" ht="15.75" hidden="1" customHeight="1">
      <c r="A421" s="776">
        <v>43284.0</v>
      </c>
      <c r="B421" s="144" t="s">
        <v>167</v>
      </c>
      <c r="C421" s="765"/>
      <c r="D421" s="310" t="s">
        <v>4916</v>
      </c>
      <c r="E421" s="602" t="s">
        <v>4917</v>
      </c>
      <c r="F421" s="253">
        <v>1.0</v>
      </c>
      <c r="G421" s="254">
        <v>1155.0</v>
      </c>
      <c r="H421" s="255">
        <f t="shared" si="17"/>
        <v>1155</v>
      </c>
      <c r="I421" s="256" t="s">
        <v>171</v>
      </c>
      <c r="J421" s="333" t="s">
        <v>172</v>
      </c>
      <c r="K421" s="258">
        <v>43336.0</v>
      </c>
      <c r="L421" s="403" t="s">
        <v>2112</v>
      </c>
      <c r="M421" s="388"/>
      <c r="N421" s="333" t="s">
        <v>4918</v>
      </c>
      <c r="O421" s="310" t="s">
        <v>4919</v>
      </c>
      <c r="P421" s="598"/>
      <c r="Q421" s="330"/>
      <c r="R421" s="310"/>
      <c r="S421" s="330"/>
      <c r="T421" s="766"/>
      <c r="U421" s="766"/>
      <c r="V421" s="766"/>
      <c r="W421" s="767"/>
      <c r="X421" s="765" t="s">
        <v>4920</v>
      </c>
      <c r="Y421" s="765">
        <v>2.592918392E9</v>
      </c>
      <c r="Z421" s="765"/>
      <c r="AA421" s="765"/>
      <c r="AB421" s="765"/>
      <c r="AC421" s="253" t="s">
        <v>284</v>
      </c>
    </row>
    <row r="422" ht="15.75" hidden="1" customHeight="1">
      <c r="A422" s="776">
        <v>43284.0</v>
      </c>
      <c r="B422" s="144" t="s">
        <v>167</v>
      </c>
      <c r="C422" s="765"/>
      <c r="D422" s="310" t="s">
        <v>4916</v>
      </c>
      <c r="E422" s="602" t="s">
        <v>4921</v>
      </c>
      <c r="F422" s="253">
        <v>1.0</v>
      </c>
      <c r="G422" s="254">
        <v>132.0</v>
      </c>
      <c r="H422" s="255">
        <f t="shared" si="17"/>
        <v>132</v>
      </c>
      <c r="I422" s="256" t="s">
        <v>171</v>
      </c>
      <c r="J422" s="333" t="s">
        <v>172</v>
      </c>
      <c r="K422" s="258">
        <v>43336.0</v>
      </c>
      <c r="L422" s="258">
        <v>43329.0</v>
      </c>
      <c r="M422" s="388"/>
      <c r="N422" s="253" t="s">
        <v>1981</v>
      </c>
      <c r="O422" s="310" t="s">
        <v>4922</v>
      </c>
      <c r="P422" s="598"/>
      <c r="Q422" s="579">
        <v>3271.0</v>
      </c>
      <c r="R422" s="604" t="s">
        <v>3906</v>
      </c>
      <c r="S422" s="768">
        <v>43360.0</v>
      </c>
      <c r="T422" s="769">
        <v>43329.0</v>
      </c>
      <c r="U422" s="765" t="s">
        <v>4923</v>
      </c>
      <c r="V422" s="770">
        <v>42226.0</v>
      </c>
      <c r="W422" s="769">
        <v>43378.0</v>
      </c>
      <c r="X422" s="765" t="s">
        <v>4920</v>
      </c>
      <c r="Y422" s="765">
        <v>2.592918392E9</v>
      </c>
      <c r="Z422" s="765"/>
      <c r="AA422" s="765"/>
      <c r="AB422" s="765"/>
      <c r="AC422" s="253" t="s">
        <v>284</v>
      </c>
    </row>
    <row r="423" ht="15.75" hidden="1" customHeight="1">
      <c r="A423" s="764">
        <v>43285.0</v>
      </c>
      <c r="B423" s="597" t="s">
        <v>406</v>
      </c>
      <c r="C423" s="765">
        <v>7.000139401E9</v>
      </c>
      <c r="D423" s="252" t="s">
        <v>4924</v>
      </c>
      <c r="E423" s="602" t="s">
        <v>3674</v>
      </c>
      <c r="F423" s="253">
        <v>5.0</v>
      </c>
      <c r="G423" s="254">
        <v>73.0</v>
      </c>
      <c r="H423" s="255">
        <f t="shared" si="17"/>
        <v>365</v>
      </c>
      <c r="I423" s="256" t="s">
        <v>43</v>
      </c>
      <c r="J423" s="403" t="s">
        <v>520</v>
      </c>
      <c r="K423" s="258">
        <v>43300.0</v>
      </c>
      <c r="L423" s="258">
        <v>43291.0</v>
      </c>
      <c r="M423" s="388"/>
      <c r="N423" s="333" t="s">
        <v>3593</v>
      </c>
      <c r="O423" s="252" t="s">
        <v>4925</v>
      </c>
      <c r="P423" s="598"/>
      <c r="Q423" s="579">
        <v>10395.0</v>
      </c>
      <c r="R423" s="310" t="s">
        <v>2080</v>
      </c>
      <c r="S423" s="768">
        <v>43373.0</v>
      </c>
      <c r="T423" s="769">
        <v>43291.0</v>
      </c>
      <c r="U423" s="765" t="s">
        <v>4926</v>
      </c>
      <c r="V423" s="770">
        <v>53076.0</v>
      </c>
      <c r="W423" s="771">
        <v>43355.0</v>
      </c>
      <c r="X423" s="765" t="s">
        <v>4878</v>
      </c>
      <c r="Y423" s="765" t="s">
        <v>4879</v>
      </c>
      <c r="Z423" s="765"/>
      <c r="AA423" s="765"/>
      <c r="AB423" s="765"/>
      <c r="AC423" s="253" t="s">
        <v>284</v>
      </c>
    </row>
    <row r="424" ht="15.75" hidden="1" customHeight="1">
      <c r="A424" s="764">
        <v>43285.0</v>
      </c>
      <c r="B424" s="597" t="s">
        <v>406</v>
      </c>
      <c r="C424" s="765">
        <v>7.000139401E9</v>
      </c>
      <c r="D424" s="252" t="s">
        <v>4924</v>
      </c>
      <c r="E424" s="602" t="s">
        <v>3676</v>
      </c>
      <c r="F424" s="253">
        <v>2.0</v>
      </c>
      <c r="G424" s="254">
        <v>48.0</v>
      </c>
      <c r="H424" s="255">
        <f t="shared" si="17"/>
        <v>96</v>
      </c>
      <c r="I424" s="256" t="s">
        <v>43</v>
      </c>
      <c r="J424" s="403" t="s">
        <v>520</v>
      </c>
      <c r="K424" s="258">
        <v>43300.0</v>
      </c>
      <c r="L424" s="258">
        <v>43291.0</v>
      </c>
      <c r="M424" s="388"/>
      <c r="N424" s="333" t="s">
        <v>3593</v>
      </c>
      <c r="O424" s="252" t="s">
        <v>4925</v>
      </c>
      <c r="P424" s="598"/>
      <c r="Q424" s="579">
        <v>2711.0</v>
      </c>
      <c r="R424" s="310" t="s">
        <v>2080</v>
      </c>
      <c r="S424" s="768">
        <v>43373.0</v>
      </c>
      <c r="T424" s="769">
        <v>43291.0</v>
      </c>
      <c r="U424" s="765" t="s">
        <v>4926</v>
      </c>
      <c r="V424" s="765" t="s">
        <v>3153</v>
      </c>
      <c r="W424" s="771">
        <v>43355.0</v>
      </c>
      <c r="X424" s="765" t="s">
        <v>4878</v>
      </c>
      <c r="Y424" s="765" t="s">
        <v>4879</v>
      </c>
      <c r="Z424" s="765"/>
      <c r="AA424" s="765"/>
      <c r="AB424" s="765"/>
      <c r="AC424" s="253" t="s">
        <v>284</v>
      </c>
    </row>
    <row r="425" ht="15.75" hidden="1" customHeight="1">
      <c r="A425" s="764">
        <v>43285.0</v>
      </c>
      <c r="B425" s="597" t="s">
        <v>406</v>
      </c>
      <c r="C425" s="765">
        <v>7.000139401E9</v>
      </c>
      <c r="D425" s="252" t="s">
        <v>4924</v>
      </c>
      <c r="E425" s="602" t="s">
        <v>4657</v>
      </c>
      <c r="F425" s="253">
        <v>5.0</v>
      </c>
      <c r="G425" s="254">
        <v>117.0</v>
      </c>
      <c r="H425" s="255">
        <f t="shared" si="17"/>
        <v>585</v>
      </c>
      <c r="I425" s="256" t="s">
        <v>43</v>
      </c>
      <c r="J425" s="403" t="s">
        <v>520</v>
      </c>
      <c r="K425" s="258">
        <v>43300.0</v>
      </c>
      <c r="L425" s="258">
        <v>43291.0</v>
      </c>
      <c r="M425" s="388"/>
      <c r="N425" s="333" t="s">
        <v>3593</v>
      </c>
      <c r="O425" s="252" t="s">
        <v>4925</v>
      </c>
      <c r="P425" s="598"/>
      <c r="Q425" s="579">
        <v>16238.0</v>
      </c>
      <c r="R425" s="310" t="s">
        <v>2080</v>
      </c>
      <c r="S425" s="768">
        <v>43373.0</v>
      </c>
      <c r="T425" s="769">
        <v>43291.0</v>
      </c>
      <c r="U425" s="765" t="s">
        <v>4926</v>
      </c>
      <c r="V425" s="765" t="s">
        <v>3153</v>
      </c>
      <c r="W425" s="771">
        <v>43355.0</v>
      </c>
      <c r="X425" s="765" t="s">
        <v>4878</v>
      </c>
      <c r="Y425" s="765" t="s">
        <v>4879</v>
      </c>
      <c r="Z425" s="765"/>
      <c r="AA425" s="765"/>
      <c r="AB425" s="765"/>
      <c r="AC425" s="253" t="s">
        <v>284</v>
      </c>
    </row>
    <row r="426" ht="15.75" hidden="1" customHeight="1">
      <c r="A426" s="764">
        <v>43285.0</v>
      </c>
      <c r="B426" s="597" t="s">
        <v>406</v>
      </c>
      <c r="C426" s="765">
        <v>7.000139401E9</v>
      </c>
      <c r="D426" s="252" t="s">
        <v>4924</v>
      </c>
      <c r="E426" s="252" t="s">
        <v>4095</v>
      </c>
      <c r="F426" s="253">
        <v>1.0</v>
      </c>
      <c r="G426" s="254">
        <v>514.0</v>
      </c>
      <c r="H426" s="255">
        <f t="shared" si="17"/>
        <v>514</v>
      </c>
      <c r="I426" s="256" t="s">
        <v>43</v>
      </c>
      <c r="J426" s="403" t="s">
        <v>4002</v>
      </c>
      <c r="K426" s="258">
        <v>43328.0</v>
      </c>
      <c r="L426" s="258">
        <v>43327.0</v>
      </c>
      <c r="M426" s="388"/>
      <c r="N426" s="333" t="s">
        <v>3593</v>
      </c>
      <c r="O426" s="252" t="s">
        <v>4925</v>
      </c>
      <c r="P426" s="598"/>
      <c r="Q426" s="579">
        <v>14648.0</v>
      </c>
      <c r="R426" s="310" t="s">
        <v>2080</v>
      </c>
      <c r="S426" s="768">
        <v>43404.0</v>
      </c>
      <c r="T426" s="769">
        <v>43326.0</v>
      </c>
      <c r="U426" s="765" t="s">
        <v>4927</v>
      </c>
      <c r="V426" s="770">
        <v>14648.0</v>
      </c>
      <c r="W426" s="769">
        <v>43382.0</v>
      </c>
      <c r="X426" s="765" t="s">
        <v>4928</v>
      </c>
      <c r="Y426" s="765">
        <v>2.488726623E9</v>
      </c>
      <c r="Z426" s="765"/>
      <c r="AA426" s="765"/>
      <c r="AB426" s="765"/>
      <c r="AC426" s="253" t="s">
        <v>284</v>
      </c>
    </row>
    <row r="427" ht="15.75" hidden="1" customHeight="1">
      <c r="A427" s="764">
        <v>43285.0</v>
      </c>
      <c r="B427" s="597" t="s">
        <v>406</v>
      </c>
      <c r="C427" s="765">
        <v>7.000139401E9</v>
      </c>
      <c r="D427" s="252" t="s">
        <v>4924</v>
      </c>
      <c r="E427" s="602" t="s">
        <v>4481</v>
      </c>
      <c r="F427" s="253">
        <v>2.0</v>
      </c>
      <c r="G427" s="254">
        <v>225.0</v>
      </c>
      <c r="H427" s="255">
        <f t="shared" si="17"/>
        <v>450</v>
      </c>
      <c r="I427" s="256" t="s">
        <v>43</v>
      </c>
      <c r="J427" s="403" t="s">
        <v>520</v>
      </c>
      <c r="K427" s="258">
        <v>43300.0</v>
      </c>
      <c r="L427" s="258">
        <v>43291.0</v>
      </c>
      <c r="M427" s="388"/>
      <c r="N427" s="333" t="s">
        <v>3593</v>
      </c>
      <c r="O427" s="252" t="s">
        <v>4925</v>
      </c>
      <c r="P427" s="598"/>
      <c r="Q427" s="579">
        <v>12367.0</v>
      </c>
      <c r="R427" s="310" t="s">
        <v>2080</v>
      </c>
      <c r="S427" s="768">
        <v>43373.0</v>
      </c>
      <c r="T427" s="769">
        <v>43291.0</v>
      </c>
      <c r="U427" s="765" t="s">
        <v>4926</v>
      </c>
      <c r="V427" s="765" t="s">
        <v>3153</v>
      </c>
      <c r="W427" s="771">
        <v>43355.0</v>
      </c>
      <c r="X427" s="765" t="s">
        <v>4878</v>
      </c>
      <c r="Y427" s="765" t="s">
        <v>4879</v>
      </c>
      <c r="Z427" s="765"/>
      <c r="AA427" s="765"/>
      <c r="AB427" s="765"/>
      <c r="AC427" s="253" t="s">
        <v>284</v>
      </c>
    </row>
    <row r="428" ht="15.75" hidden="1" customHeight="1">
      <c r="A428" s="764">
        <v>43285.0</v>
      </c>
      <c r="B428" s="597" t="s">
        <v>406</v>
      </c>
      <c r="C428" s="765">
        <v>7.000139401E9</v>
      </c>
      <c r="D428" s="252" t="s">
        <v>4924</v>
      </c>
      <c r="E428" s="602" t="s">
        <v>4929</v>
      </c>
      <c r="F428" s="253">
        <v>2.0</v>
      </c>
      <c r="G428" s="254">
        <v>170.0</v>
      </c>
      <c r="H428" s="255">
        <f t="shared" si="17"/>
        <v>340</v>
      </c>
      <c r="I428" s="256" t="s">
        <v>43</v>
      </c>
      <c r="J428" s="403" t="s">
        <v>520</v>
      </c>
      <c r="K428" s="258">
        <v>43300.0</v>
      </c>
      <c r="L428" s="258">
        <v>43291.0</v>
      </c>
      <c r="M428" s="388"/>
      <c r="N428" s="333" t="s">
        <v>3593</v>
      </c>
      <c r="O428" s="252" t="s">
        <v>4925</v>
      </c>
      <c r="P428" s="598"/>
      <c r="Q428" s="579">
        <v>9679.0</v>
      </c>
      <c r="R428" s="310" t="s">
        <v>2080</v>
      </c>
      <c r="S428" s="768">
        <v>43373.0</v>
      </c>
      <c r="T428" s="769">
        <v>43291.0</v>
      </c>
      <c r="U428" s="765" t="s">
        <v>4926</v>
      </c>
      <c r="V428" s="765" t="s">
        <v>3153</v>
      </c>
      <c r="W428" s="771">
        <v>43355.0</v>
      </c>
      <c r="X428" s="765" t="s">
        <v>4878</v>
      </c>
      <c r="Y428" s="765" t="s">
        <v>4879</v>
      </c>
      <c r="Z428" s="765"/>
      <c r="AA428" s="765"/>
      <c r="AB428" s="765"/>
      <c r="AC428" s="253" t="s">
        <v>284</v>
      </c>
    </row>
    <row r="429" ht="15.75" hidden="1" customHeight="1">
      <c r="A429" s="764">
        <v>43285.0</v>
      </c>
      <c r="B429" s="597" t="s">
        <v>406</v>
      </c>
      <c r="C429" s="765">
        <v>7.000139401E9</v>
      </c>
      <c r="D429" s="252" t="s">
        <v>4924</v>
      </c>
      <c r="E429" s="602" t="s">
        <v>3727</v>
      </c>
      <c r="F429" s="253">
        <v>1.0</v>
      </c>
      <c r="G429" s="254">
        <v>60.0</v>
      </c>
      <c r="H429" s="255">
        <f t="shared" si="17"/>
        <v>60</v>
      </c>
      <c r="I429" s="256" t="s">
        <v>43</v>
      </c>
      <c r="J429" s="403" t="s">
        <v>520</v>
      </c>
      <c r="K429" s="258">
        <v>43300.0</v>
      </c>
      <c r="L429" s="258">
        <v>43291.0</v>
      </c>
      <c r="M429" s="388"/>
      <c r="N429" s="333" t="s">
        <v>3593</v>
      </c>
      <c r="O429" s="252" t="s">
        <v>4925</v>
      </c>
      <c r="P429" s="598"/>
      <c r="Q429" s="579">
        <v>1686.0</v>
      </c>
      <c r="R429" s="310" t="s">
        <v>2080</v>
      </c>
      <c r="S429" s="768">
        <v>43373.0</v>
      </c>
      <c r="T429" s="769">
        <v>43291.0</v>
      </c>
      <c r="U429" s="765" t="s">
        <v>4926</v>
      </c>
      <c r="V429" s="765" t="s">
        <v>3153</v>
      </c>
      <c r="W429" s="771">
        <v>43355.0</v>
      </c>
      <c r="X429" s="765" t="s">
        <v>4878</v>
      </c>
      <c r="Y429" s="765" t="s">
        <v>4879</v>
      </c>
      <c r="Z429" s="765"/>
      <c r="AA429" s="765"/>
      <c r="AB429" s="765"/>
      <c r="AC429" s="253" t="s">
        <v>284</v>
      </c>
    </row>
    <row r="430" ht="15.75" hidden="1" customHeight="1">
      <c r="A430" s="764">
        <v>43286.0</v>
      </c>
      <c r="B430" s="265" t="s">
        <v>4930</v>
      </c>
      <c r="C430" s="765"/>
      <c r="D430" s="252" t="s">
        <v>4931</v>
      </c>
      <c r="E430" s="602" t="s">
        <v>4932</v>
      </c>
      <c r="F430" s="253">
        <v>3.0</v>
      </c>
      <c r="G430" s="254">
        <v>155.4</v>
      </c>
      <c r="H430" s="255">
        <f t="shared" si="17"/>
        <v>466.2</v>
      </c>
      <c r="I430" s="256" t="s">
        <v>171</v>
      </c>
      <c r="J430" s="269" t="s">
        <v>628</v>
      </c>
      <c r="K430" s="258">
        <v>43290.0</v>
      </c>
      <c r="L430" s="258">
        <v>43290.0</v>
      </c>
      <c r="M430" s="388"/>
      <c r="N430" s="333" t="s">
        <v>179</v>
      </c>
      <c r="O430" s="252" t="s">
        <v>4933</v>
      </c>
      <c r="P430" s="598"/>
      <c r="Q430" s="791">
        <v>12505.5</v>
      </c>
      <c r="R430" s="310"/>
      <c r="S430" s="330"/>
      <c r="T430" s="252" t="s">
        <v>4933</v>
      </c>
      <c r="U430" s="252" t="s">
        <v>4933</v>
      </c>
      <c r="V430" s="252" t="s">
        <v>4933</v>
      </c>
      <c r="W430" s="767"/>
      <c r="X430" s="765" t="s">
        <v>4934</v>
      </c>
      <c r="Y430" s="765">
        <v>1.5280068E7</v>
      </c>
      <c r="Z430" s="765">
        <v>30.0</v>
      </c>
      <c r="AA430" s="770">
        <v>13986.0</v>
      </c>
      <c r="AB430" s="765" t="s">
        <v>4935</v>
      </c>
      <c r="AC430" s="253" t="s">
        <v>377</v>
      </c>
    </row>
    <row r="431" ht="15.75" customHeight="1">
      <c r="A431" s="764">
        <v>43291.0</v>
      </c>
      <c r="B431" s="265" t="s">
        <v>77</v>
      </c>
      <c r="C431" s="765">
        <v>516.0</v>
      </c>
      <c r="D431" s="252" t="s">
        <v>4936</v>
      </c>
      <c r="E431" s="252" t="s">
        <v>4937</v>
      </c>
      <c r="F431" s="253">
        <v>30.0</v>
      </c>
      <c r="G431" s="254">
        <v>255.0</v>
      </c>
      <c r="H431" s="255">
        <f t="shared" si="17"/>
        <v>7650</v>
      </c>
      <c r="I431" s="256" t="s">
        <v>43</v>
      </c>
      <c r="J431" s="369" t="s">
        <v>316</v>
      </c>
      <c r="K431" s="258">
        <v>43353.0</v>
      </c>
      <c r="L431" s="258">
        <v>43347.0</v>
      </c>
      <c r="M431" s="388"/>
      <c r="N431" s="403" t="s">
        <v>1998</v>
      </c>
      <c r="O431" s="310" t="s">
        <v>4938</v>
      </c>
      <c r="P431" s="268">
        <v>6930.0</v>
      </c>
      <c r="Q431" s="330"/>
      <c r="R431" s="310" t="s">
        <v>2000</v>
      </c>
      <c r="S431" s="768">
        <v>43409.0</v>
      </c>
      <c r="T431" s="769">
        <v>43346.0</v>
      </c>
      <c r="U431" s="765" t="s">
        <v>4719</v>
      </c>
      <c r="V431" s="765" t="s">
        <v>4721</v>
      </c>
      <c r="W431" s="771">
        <v>43409.0</v>
      </c>
      <c r="X431" s="765" t="s">
        <v>4720</v>
      </c>
      <c r="Y431" s="765">
        <v>6.29982102E8</v>
      </c>
      <c r="Z431" s="765"/>
      <c r="AA431" s="765"/>
      <c r="AB431" s="765"/>
      <c r="AC431" s="253" t="s">
        <v>284</v>
      </c>
    </row>
    <row r="432" ht="15.75" hidden="1" customHeight="1">
      <c r="A432" s="776">
        <v>43291.0</v>
      </c>
      <c r="B432" s="265" t="s">
        <v>621</v>
      </c>
      <c r="C432" s="765"/>
      <c r="D432" s="252" t="s">
        <v>4939</v>
      </c>
      <c r="E432" s="602" t="s">
        <v>848</v>
      </c>
      <c r="F432" s="253">
        <v>1.0</v>
      </c>
      <c r="G432" s="254">
        <v>304.5</v>
      </c>
      <c r="H432" s="255">
        <f t="shared" si="17"/>
        <v>304.5</v>
      </c>
      <c r="I432" s="256" t="s">
        <v>43</v>
      </c>
      <c r="J432" s="369" t="s">
        <v>90</v>
      </c>
      <c r="K432" s="258">
        <v>43300.0</v>
      </c>
      <c r="L432" s="258">
        <v>43300.0</v>
      </c>
      <c r="M432" s="388"/>
      <c r="N432" s="333" t="s">
        <v>90</v>
      </c>
      <c r="O432" s="310" t="s">
        <v>4940</v>
      </c>
      <c r="P432" s="268">
        <v>279.3</v>
      </c>
      <c r="Q432" s="330"/>
      <c r="R432" s="340" t="s">
        <v>94</v>
      </c>
      <c r="S432" s="768">
        <v>43343.0</v>
      </c>
      <c r="T432" s="769">
        <v>43300.0</v>
      </c>
      <c r="U432" s="765" t="s">
        <v>4941</v>
      </c>
      <c r="V432" s="770">
        <v>13501.0</v>
      </c>
      <c r="W432" s="769">
        <v>43346.0</v>
      </c>
      <c r="X432" s="765" t="s">
        <v>4942</v>
      </c>
      <c r="Y432" s="765"/>
      <c r="Z432" s="252" t="s">
        <v>4943</v>
      </c>
      <c r="AA432" s="774">
        <v>14802.0</v>
      </c>
      <c r="AB432" s="252" t="s">
        <v>4944</v>
      </c>
      <c r="AC432" s="253"/>
    </row>
    <row r="433" ht="15.75" hidden="1" customHeight="1">
      <c r="A433" s="776">
        <v>43291.0</v>
      </c>
      <c r="B433" s="265" t="s">
        <v>621</v>
      </c>
      <c r="C433" s="765"/>
      <c r="D433" s="252" t="s">
        <v>4939</v>
      </c>
      <c r="E433" s="602" t="s">
        <v>4945</v>
      </c>
      <c r="F433" s="253">
        <v>3.0</v>
      </c>
      <c r="G433" s="254">
        <v>59.85</v>
      </c>
      <c r="H433" s="255">
        <f t="shared" si="17"/>
        <v>179.55</v>
      </c>
      <c r="I433" s="256" t="s">
        <v>43</v>
      </c>
      <c r="J433" s="369" t="s">
        <v>90</v>
      </c>
      <c r="K433" s="258">
        <v>43300.0</v>
      </c>
      <c r="L433" s="258">
        <v>43300.0</v>
      </c>
      <c r="M433" s="388"/>
      <c r="N433" s="333" t="s">
        <v>90</v>
      </c>
      <c r="O433" s="310" t="s">
        <v>4940</v>
      </c>
      <c r="P433" s="268">
        <v>163.8</v>
      </c>
      <c r="Q433" s="330"/>
      <c r="R433" s="340" t="s">
        <v>94</v>
      </c>
      <c r="S433" s="768">
        <v>43343.0</v>
      </c>
      <c r="T433" s="769">
        <v>43300.0</v>
      </c>
      <c r="U433" s="765" t="s">
        <v>4941</v>
      </c>
      <c r="V433" s="765" t="s">
        <v>4946</v>
      </c>
      <c r="W433" s="769">
        <v>43346.0</v>
      </c>
      <c r="X433" s="765" t="s">
        <v>4942</v>
      </c>
      <c r="Y433" s="765"/>
      <c r="Z433" s="252" t="s">
        <v>4943</v>
      </c>
      <c r="AA433" s="252" t="s">
        <v>4947</v>
      </c>
      <c r="AB433" s="252" t="s">
        <v>4944</v>
      </c>
      <c r="AC433" s="253"/>
    </row>
    <row r="434" ht="15.75" customHeight="1">
      <c r="A434" s="764">
        <v>43291.0</v>
      </c>
      <c r="B434" s="265" t="s">
        <v>77</v>
      </c>
      <c r="C434" s="765">
        <v>528.0</v>
      </c>
      <c r="D434" s="252" t="s">
        <v>4948</v>
      </c>
      <c r="E434" s="252" t="s">
        <v>4949</v>
      </c>
      <c r="F434" s="253">
        <v>1.0</v>
      </c>
      <c r="G434" s="254">
        <v>40.0</v>
      </c>
      <c r="H434" s="255">
        <f t="shared" si="17"/>
        <v>40</v>
      </c>
      <c r="I434" s="256" t="s">
        <v>43</v>
      </c>
      <c r="J434" s="333" t="s">
        <v>4950</v>
      </c>
      <c r="K434" s="258">
        <v>43307.0</v>
      </c>
      <c r="L434" s="258">
        <v>43301.0</v>
      </c>
      <c r="M434" s="388"/>
      <c r="N434" s="403" t="s">
        <v>1998</v>
      </c>
      <c r="O434" s="310"/>
      <c r="P434" s="598"/>
      <c r="Q434" s="579">
        <v>1281.0</v>
      </c>
      <c r="R434" s="310" t="s">
        <v>2000</v>
      </c>
      <c r="S434" s="768">
        <v>43348.0</v>
      </c>
      <c r="T434" s="769">
        <v>43298.0</v>
      </c>
      <c r="U434" s="765" t="s">
        <v>4951</v>
      </c>
      <c r="V434" s="770">
        <v>1281.0</v>
      </c>
      <c r="W434" s="769">
        <v>43349.0</v>
      </c>
      <c r="X434" s="765" t="s">
        <v>4952</v>
      </c>
      <c r="Y434" s="853" t="s">
        <v>4953</v>
      </c>
      <c r="Z434" s="765"/>
      <c r="AA434" s="765"/>
      <c r="AB434" s="765"/>
      <c r="AC434" s="253" t="s">
        <v>284</v>
      </c>
    </row>
    <row r="435" ht="23.25" customHeight="1">
      <c r="A435" s="764">
        <v>43291.0</v>
      </c>
      <c r="B435" s="265" t="s">
        <v>77</v>
      </c>
      <c r="C435" s="765"/>
      <c r="D435" s="252" t="s">
        <v>4948</v>
      </c>
      <c r="E435" s="602" t="s">
        <v>4954</v>
      </c>
      <c r="F435" s="253">
        <v>2.0</v>
      </c>
      <c r="G435" s="254">
        <v>0.0</v>
      </c>
      <c r="H435" s="255">
        <v>0.0</v>
      </c>
      <c r="I435" s="256" t="s">
        <v>43</v>
      </c>
      <c r="J435" s="333" t="s">
        <v>4950</v>
      </c>
      <c r="K435" s="258">
        <v>43307.0</v>
      </c>
      <c r="L435" s="630"/>
      <c r="M435" s="388"/>
      <c r="N435" s="403" t="s">
        <v>1998</v>
      </c>
      <c r="O435" s="600"/>
      <c r="P435" s="598"/>
      <c r="Q435" s="331" t="s">
        <v>4955</v>
      </c>
      <c r="R435" s="320"/>
      <c r="S435" s="330"/>
      <c r="T435" s="766"/>
      <c r="U435" s="766"/>
      <c r="V435" s="766"/>
      <c r="W435" s="767"/>
      <c r="X435" s="765" t="s">
        <v>4952</v>
      </c>
      <c r="Y435" s="853" t="s">
        <v>4953</v>
      </c>
      <c r="Z435" s="765"/>
      <c r="AA435" s="765"/>
      <c r="AB435" s="765"/>
      <c r="AC435" s="253" t="s">
        <v>284</v>
      </c>
    </row>
    <row r="436" ht="15.75" hidden="1" customHeight="1">
      <c r="A436" s="764">
        <v>43292.0</v>
      </c>
      <c r="B436" s="265" t="s">
        <v>101</v>
      </c>
      <c r="C436" s="765" t="s">
        <v>4956</v>
      </c>
      <c r="D436" s="252" t="s">
        <v>4957</v>
      </c>
      <c r="E436" s="602" t="s">
        <v>4958</v>
      </c>
      <c r="F436" s="253">
        <v>2.0</v>
      </c>
      <c r="G436" s="254">
        <v>847.0</v>
      </c>
      <c r="H436" s="255">
        <f t="shared" ref="H436:H462" si="18">G436*F436</f>
        <v>1694</v>
      </c>
      <c r="I436" s="256" t="s">
        <v>171</v>
      </c>
      <c r="J436" s="369" t="s">
        <v>3568</v>
      </c>
      <c r="K436" s="258">
        <v>43311.0</v>
      </c>
      <c r="L436" s="258">
        <v>43311.0</v>
      </c>
      <c r="M436" s="388"/>
      <c r="N436" s="333" t="s">
        <v>1439</v>
      </c>
      <c r="O436" s="310" t="s">
        <v>4959</v>
      </c>
      <c r="P436" s="268">
        <v>1722.0</v>
      </c>
      <c r="Q436" s="310"/>
      <c r="R436" s="320" t="s">
        <v>1976</v>
      </c>
      <c r="S436" s="768">
        <v>43373.0</v>
      </c>
      <c r="T436" s="769">
        <v>43307.0</v>
      </c>
      <c r="U436" s="765" t="s">
        <v>4960</v>
      </c>
      <c r="V436" s="774">
        <v>55164.0</v>
      </c>
      <c r="W436" s="769">
        <v>43378.0</v>
      </c>
      <c r="X436" s="765" t="s">
        <v>4896</v>
      </c>
      <c r="Y436" s="765" t="s">
        <v>4897</v>
      </c>
      <c r="Z436" s="765"/>
      <c r="AA436" s="765"/>
      <c r="AB436" s="765"/>
      <c r="AC436" s="253" t="s">
        <v>284</v>
      </c>
    </row>
    <row r="437" ht="15.75" hidden="1" customHeight="1">
      <c r="A437" s="764">
        <v>43292.0</v>
      </c>
      <c r="B437" s="265" t="s">
        <v>101</v>
      </c>
      <c r="C437" s="765" t="s">
        <v>4956</v>
      </c>
      <c r="D437" s="252" t="s">
        <v>4957</v>
      </c>
      <c r="E437" s="602" t="s">
        <v>4961</v>
      </c>
      <c r="F437" s="253">
        <v>2.0</v>
      </c>
      <c r="G437" s="254">
        <v>41.0</v>
      </c>
      <c r="H437" s="255">
        <f t="shared" si="18"/>
        <v>82</v>
      </c>
      <c r="I437" s="256" t="s">
        <v>171</v>
      </c>
      <c r="J437" s="369" t="s">
        <v>3568</v>
      </c>
      <c r="K437" s="258">
        <v>43311.0</v>
      </c>
      <c r="L437" s="258">
        <v>43311.0</v>
      </c>
      <c r="M437" s="388"/>
      <c r="N437" s="333" t="s">
        <v>1439</v>
      </c>
      <c r="O437" s="310" t="s">
        <v>4959</v>
      </c>
      <c r="P437" s="268">
        <v>73.5</v>
      </c>
      <c r="Q437" s="310"/>
      <c r="R437" s="320" t="s">
        <v>1976</v>
      </c>
      <c r="S437" s="768">
        <v>43373.0</v>
      </c>
      <c r="T437" s="769">
        <v>43307.0</v>
      </c>
      <c r="U437" s="765" t="s">
        <v>4960</v>
      </c>
      <c r="V437" s="765" t="s">
        <v>4962</v>
      </c>
      <c r="W437" s="769">
        <v>43378.0</v>
      </c>
      <c r="X437" s="765" t="s">
        <v>4896</v>
      </c>
      <c r="Y437" s="765" t="s">
        <v>4897</v>
      </c>
      <c r="Z437" s="765"/>
      <c r="AA437" s="765"/>
      <c r="AB437" s="765"/>
      <c r="AC437" s="253" t="s">
        <v>284</v>
      </c>
    </row>
    <row r="438" ht="15.75" hidden="1" customHeight="1">
      <c r="A438" s="764">
        <v>43292.0</v>
      </c>
      <c r="B438" s="265" t="s">
        <v>101</v>
      </c>
      <c r="C438" s="765" t="s">
        <v>4956</v>
      </c>
      <c r="D438" s="252" t="s">
        <v>4957</v>
      </c>
      <c r="E438" s="602" t="s">
        <v>4644</v>
      </c>
      <c r="F438" s="253">
        <v>2.0</v>
      </c>
      <c r="G438" s="254">
        <v>95.0</v>
      </c>
      <c r="H438" s="255">
        <f t="shared" si="18"/>
        <v>190</v>
      </c>
      <c r="I438" s="256" t="s">
        <v>171</v>
      </c>
      <c r="J438" s="369" t="s">
        <v>3568</v>
      </c>
      <c r="K438" s="258">
        <v>43311.0</v>
      </c>
      <c r="L438" s="258">
        <v>43294.0</v>
      </c>
      <c r="M438" s="388"/>
      <c r="N438" s="333" t="s">
        <v>179</v>
      </c>
      <c r="O438" s="310" t="s">
        <v>4963</v>
      </c>
      <c r="P438" s="598"/>
      <c r="Q438" s="330"/>
      <c r="R438" s="310"/>
      <c r="S438" s="330"/>
      <c r="T438" s="766"/>
      <c r="U438" s="766"/>
      <c r="V438" s="766"/>
      <c r="W438" s="767"/>
      <c r="X438" s="765" t="s">
        <v>4896</v>
      </c>
      <c r="Y438" s="765" t="s">
        <v>4897</v>
      </c>
      <c r="Z438" s="765"/>
      <c r="AA438" s="765"/>
      <c r="AB438" s="765"/>
      <c r="AC438" s="253" t="s">
        <v>284</v>
      </c>
    </row>
    <row r="439" ht="15.75" hidden="1" customHeight="1">
      <c r="A439" s="764">
        <v>43292.0</v>
      </c>
      <c r="B439" s="265" t="s">
        <v>101</v>
      </c>
      <c r="C439" s="765" t="s">
        <v>4956</v>
      </c>
      <c r="D439" s="252" t="s">
        <v>4957</v>
      </c>
      <c r="E439" s="310" t="s">
        <v>292</v>
      </c>
      <c r="F439" s="253">
        <v>2.0</v>
      </c>
      <c r="G439" s="254">
        <v>2.0</v>
      </c>
      <c r="H439" s="255">
        <f t="shared" si="18"/>
        <v>4</v>
      </c>
      <c r="I439" s="256" t="s">
        <v>171</v>
      </c>
      <c r="J439" s="369" t="s">
        <v>3568</v>
      </c>
      <c r="K439" s="258">
        <v>43311.0</v>
      </c>
      <c r="L439" s="258">
        <v>43311.0</v>
      </c>
      <c r="M439" s="388"/>
      <c r="N439" s="333" t="s">
        <v>1439</v>
      </c>
      <c r="O439" s="310" t="s">
        <v>4959</v>
      </c>
      <c r="P439" s="268">
        <v>10.5</v>
      </c>
      <c r="Q439" s="579"/>
      <c r="R439" s="320" t="s">
        <v>1976</v>
      </c>
      <c r="S439" s="768">
        <v>43373.0</v>
      </c>
      <c r="T439" s="769">
        <v>43307.0</v>
      </c>
      <c r="U439" s="765" t="s">
        <v>4960</v>
      </c>
      <c r="V439" s="765" t="s">
        <v>4962</v>
      </c>
      <c r="W439" s="769">
        <v>43378.0</v>
      </c>
      <c r="X439" s="765" t="s">
        <v>4896</v>
      </c>
      <c r="Y439" s="765" t="s">
        <v>4897</v>
      </c>
      <c r="Z439" s="765"/>
      <c r="AA439" s="765"/>
      <c r="AB439" s="765"/>
      <c r="AC439" s="253" t="s">
        <v>284</v>
      </c>
    </row>
    <row r="440" ht="15.75" hidden="1" customHeight="1">
      <c r="A440" s="764">
        <v>43292.0</v>
      </c>
      <c r="B440" s="265" t="s">
        <v>101</v>
      </c>
      <c r="C440" s="765" t="s">
        <v>4956</v>
      </c>
      <c r="D440" s="252" t="s">
        <v>4957</v>
      </c>
      <c r="E440" s="252" t="s">
        <v>293</v>
      </c>
      <c r="F440" s="253">
        <v>2.0</v>
      </c>
      <c r="G440" s="254">
        <v>84.7</v>
      </c>
      <c r="H440" s="255">
        <f t="shared" si="18"/>
        <v>169.4</v>
      </c>
      <c r="I440" s="256" t="s">
        <v>171</v>
      </c>
      <c r="J440" s="369" t="s">
        <v>3568</v>
      </c>
      <c r="K440" s="258">
        <v>43311.0</v>
      </c>
      <c r="L440" s="258">
        <v>43311.0</v>
      </c>
      <c r="M440" s="388"/>
      <c r="N440" s="333" t="s">
        <v>1439</v>
      </c>
      <c r="O440" s="310" t="s">
        <v>4959</v>
      </c>
      <c r="P440" s="267" t="s">
        <v>4964</v>
      </c>
      <c r="Q440" s="579"/>
      <c r="R440" s="320" t="s">
        <v>1976</v>
      </c>
      <c r="S440" s="768">
        <v>43373.0</v>
      </c>
      <c r="T440" s="769">
        <v>43307.0</v>
      </c>
      <c r="U440" s="765" t="s">
        <v>4960</v>
      </c>
      <c r="V440" s="765" t="s">
        <v>4962</v>
      </c>
      <c r="W440" s="769">
        <v>43378.0</v>
      </c>
      <c r="X440" s="765" t="s">
        <v>4896</v>
      </c>
      <c r="Y440" s="765" t="s">
        <v>4897</v>
      </c>
      <c r="Z440" s="765"/>
      <c r="AA440" s="765"/>
      <c r="AB440" s="765"/>
      <c r="AC440" s="253" t="s">
        <v>284</v>
      </c>
    </row>
    <row r="441" ht="15.75" hidden="1" customHeight="1">
      <c r="A441" s="764">
        <v>43293.0</v>
      </c>
      <c r="B441" s="597" t="s">
        <v>406</v>
      </c>
      <c r="C441" s="765">
        <v>7.000139655E9</v>
      </c>
      <c r="D441" s="252" t="s">
        <v>4965</v>
      </c>
      <c r="E441" s="602" t="s">
        <v>4966</v>
      </c>
      <c r="F441" s="253">
        <v>3.0</v>
      </c>
      <c r="G441" s="254">
        <v>548.0</v>
      </c>
      <c r="H441" s="255">
        <f t="shared" si="18"/>
        <v>1644</v>
      </c>
      <c r="I441" s="256" t="s">
        <v>43</v>
      </c>
      <c r="J441" s="403" t="s">
        <v>520</v>
      </c>
      <c r="K441" s="258">
        <v>43300.0</v>
      </c>
      <c r="L441" s="258">
        <v>43299.0</v>
      </c>
      <c r="M441" s="388"/>
      <c r="N441" s="333" t="s">
        <v>3840</v>
      </c>
      <c r="O441" s="252" t="s">
        <v>4967</v>
      </c>
      <c r="P441" s="598"/>
      <c r="Q441" s="579">
        <v>48825.0</v>
      </c>
      <c r="R441" s="388" t="s">
        <v>3842</v>
      </c>
      <c r="S441" s="768">
        <v>43343.0</v>
      </c>
      <c r="T441" s="769">
        <v>43298.0</v>
      </c>
      <c r="U441" s="765" t="s">
        <v>4968</v>
      </c>
      <c r="V441" s="770">
        <v>52227.0</v>
      </c>
      <c r="W441" s="769">
        <v>43346.0</v>
      </c>
      <c r="X441" s="765" t="s">
        <v>4878</v>
      </c>
      <c r="Y441" s="765" t="s">
        <v>4879</v>
      </c>
      <c r="Z441" s="765"/>
      <c r="AA441" s="765"/>
      <c r="AB441" s="765"/>
      <c r="AC441" s="253" t="s">
        <v>284</v>
      </c>
    </row>
    <row r="442" ht="15.75" hidden="1" customHeight="1">
      <c r="A442" s="764">
        <v>43293.0</v>
      </c>
      <c r="B442" s="597" t="s">
        <v>406</v>
      </c>
      <c r="C442" s="765">
        <v>7.000139655E9</v>
      </c>
      <c r="D442" s="252" t="s">
        <v>4965</v>
      </c>
      <c r="E442" s="602" t="s">
        <v>4969</v>
      </c>
      <c r="F442" s="253">
        <v>3.0</v>
      </c>
      <c r="G442" s="254">
        <v>40.0</v>
      </c>
      <c r="H442" s="255">
        <f t="shared" si="18"/>
        <v>120</v>
      </c>
      <c r="I442" s="256" t="s">
        <v>43</v>
      </c>
      <c r="J442" s="403" t="s">
        <v>520</v>
      </c>
      <c r="K442" s="258">
        <v>43300.0</v>
      </c>
      <c r="L442" s="258">
        <v>43299.0</v>
      </c>
      <c r="M442" s="388"/>
      <c r="N442" s="333" t="s">
        <v>3840</v>
      </c>
      <c r="O442" s="252" t="s">
        <v>4967</v>
      </c>
      <c r="P442" s="598"/>
      <c r="Q442" s="579">
        <v>3402.0</v>
      </c>
      <c r="R442" s="388" t="s">
        <v>3842</v>
      </c>
      <c r="S442" s="768">
        <v>43343.0</v>
      </c>
      <c r="T442" s="769">
        <v>43298.0</v>
      </c>
      <c r="U442" s="765" t="s">
        <v>4968</v>
      </c>
      <c r="V442" s="765" t="s">
        <v>4970</v>
      </c>
      <c r="W442" s="769">
        <v>43346.0</v>
      </c>
      <c r="X442" s="765" t="s">
        <v>4878</v>
      </c>
      <c r="Y442" s="765" t="s">
        <v>4879</v>
      </c>
      <c r="Z442" s="765"/>
      <c r="AA442" s="765"/>
      <c r="AB442" s="765"/>
      <c r="AC442" s="253" t="s">
        <v>284</v>
      </c>
    </row>
    <row r="443" ht="15.75" hidden="1" customHeight="1">
      <c r="A443" s="764">
        <v>43295.0</v>
      </c>
      <c r="B443" s="265" t="s">
        <v>631</v>
      </c>
      <c r="C443" s="765" t="s">
        <v>4971</v>
      </c>
      <c r="D443" s="252" t="s">
        <v>4972</v>
      </c>
      <c r="E443" s="602" t="s">
        <v>634</v>
      </c>
      <c r="F443" s="253">
        <v>40.0</v>
      </c>
      <c r="G443" s="325">
        <v>173.25</v>
      </c>
      <c r="H443" s="255">
        <f t="shared" si="18"/>
        <v>6930</v>
      </c>
      <c r="I443" s="256" t="s">
        <v>171</v>
      </c>
      <c r="J443" s="269" t="s">
        <v>628</v>
      </c>
      <c r="K443" s="258">
        <v>43305.0</v>
      </c>
      <c r="L443" s="258">
        <v>43298.0</v>
      </c>
      <c r="M443" s="388"/>
      <c r="N443" s="333" t="s">
        <v>2263</v>
      </c>
      <c r="O443" s="310" t="s">
        <v>4973</v>
      </c>
      <c r="P443" s="598"/>
      <c r="Q443" s="791">
        <v>203700.0</v>
      </c>
      <c r="R443" s="310" t="s">
        <v>2265</v>
      </c>
      <c r="S443" s="581" t="s">
        <v>422</v>
      </c>
      <c r="T443" s="769">
        <v>43297.0</v>
      </c>
      <c r="U443" s="765" t="s">
        <v>4974</v>
      </c>
      <c r="V443" s="770">
        <v>254625.0</v>
      </c>
      <c r="W443" s="769">
        <v>43335.0</v>
      </c>
      <c r="X443" s="765" t="s">
        <v>4975</v>
      </c>
      <c r="Y443" s="765"/>
      <c r="Z443" s="765" t="s">
        <v>4976</v>
      </c>
      <c r="AA443" s="770">
        <v>212335.0</v>
      </c>
      <c r="AB443" s="765" t="s">
        <v>4977</v>
      </c>
      <c r="AC443" s="253" t="s">
        <v>377</v>
      </c>
    </row>
    <row r="444" ht="15.75" hidden="1" customHeight="1">
      <c r="A444" s="764">
        <v>43295.0</v>
      </c>
      <c r="B444" s="265" t="s">
        <v>631</v>
      </c>
      <c r="C444" s="765" t="s">
        <v>4971</v>
      </c>
      <c r="D444" s="252" t="s">
        <v>4978</v>
      </c>
      <c r="E444" s="602" t="s">
        <v>634</v>
      </c>
      <c r="F444" s="253">
        <v>69.0</v>
      </c>
      <c r="G444" s="325">
        <v>173.25</v>
      </c>
      <c r="H444" s="255">
        <f t="shared" si="18"/>
        <v>11954.25</v>
      </c>
      <c r="I444" s="256" t="s">
        <v>171</v>
      </c>
      <c r="J444" s="269" t="s">
        <v>628</v>
      </c>
      <c r="K444" s="258">
        <v>43335.0</v>
      </c>
      <c r="L444" s="258">
        <v>43333.0</v>
      </c>
      <c r="M444" s="388"/>
      <c r="N444" s="333" t="s">
        <v>2263</v>
      </c>
      <c r="O444" s="310" t="s">
        <v>4973</v>
      </c>
      <c r="P444" s="598"/>
      <c r="Q444" s="791">
        <v>351383.0</v>
      </c>
      <c r="R444" s="310" t="s">
        <v>2265</v>
      </c>
      <c r="S444" s="581" t="s">
        <v>422</v>
      </c>
      <c r="T444" s="769">
        <v>43333.0</v>
      </c>
      <c r="U444" s="765" t="s">
        <v>4979</v>
      </c>
      <c r="V444" s="770">
        <v>300458.0</v>
      </c>
      <c r="W444" s="769">
        <v>43335.0</v>
      </c>
      <c r="X444" s="765" t="s">
        <v>4980</v>
      </c>
      <c r="Y444" s="765"/>
      <c r="Z444" s="765" t="s">
        <v>4981</v>
      </c>
      <c r="AA444" s="770">
        <v>367115.0</v>
      </c>
      <c r="AB444" s="765" t="s">
        <v>4982</v>
      </c>
      <c r="AC444" s="253" t="s">
        <v>377</v>
      </c>
    </row>
    <row r="445" ht="15.75" hidden="1" customHeight="1">
      <c r="A445" s="764">
        <v>43295.0</v>
      </c>
      <c r="B445" s="265" t="s">
        <v>631</v>
      </c>
      <c r="C445" s="765" t="s">
        <v>4971</v>
      </c>
      <c r="D445" s="252" t="s">
        <v>4983</v>
      </c>
      <c r="E445" s="602" t="s">
        <v>634</v>
      </c>
      <c r="F445" s="253">
        <v>11.0</v>
      </c>
      <c r="G445" s="325">
        <v>173.25</v>
      </c>
      <c r="H445" s="255">
        <f t="shared" si="18"/>
        <v>1905.75</v>
      </c>
      <c r="I445" s="256" t="s">
        <v>171</v>
      </c>
      <c r="J445" s="269" t="s">
        <v>628</v>
      </c>
      <c r="K445" s="258">
        <v>43349.0</v>
      </c>
      <c r="L445" s="258">
        <v>43348.0</v>
      </c>
      <c r="M445" s="388"/>
      <c r="N445" s="333" t="s">
        <v>2263</v>
      </c>
      <c r="O445" s="310" t="s">
        <v>4973</v>
      </c>
      <c r="P445" s="598"/>
      <c r="Q445" s="579">
        <v>56018.0</v>
      </c>
      <c r="R445" s="310" t="s">
        <v>2265</v>
      </c>
      <c r="S445" s="810">
        <v>43378.0</v>
      </c>
      <c r="T445" s="769">
        <v>43348.0</v>
      </c>
      <c r="U445" s="765" t="s">
        <v>4984</v>
      </c>
      <c r="V445" s="770">
        <v>56018.0</v>
      </c>
      <c r="W445" s="769">
        <v>43378.0</v>
      </c>
      <c r="X445" s="765" t="s">
        <v>4985</v>
      </c>
      <c r="Y445" s="765"/>
      <c r="Z445" s="765" t="s">
        <v>4986</v>
      </c>
      <c r="AA445" s="770">
        <v>58688.0</v>
      </c>
      <c r="AB445" s="765" t="s">
        <v>4987</v>
      </c>
      <c r="AC445" s="817" t="s">
        <v>377</v>
      </c>
    </row>
    <row r="446" ht="15.75" hidden="1" customHeight="1">
      <c r="A446" s="764">
        <v>43295.0</v>
      </c>
      <c r="B446" s="265" t="s">
        <v>3506</v>
      </c>
      <c r="C446" s="765"/>
      <c r="D446" s="252" t="s">
        <v>4988</v>
      </c>
      <c r="E446" s="602" t="s">
        <v>4989</v>
      </c>
      <c r="F446" s="253">
        <v>200.0</v>
      </c>
      <c r="G446" s="254">
        <v>166.0</v>
      </c>
      <c r="H446" s="255">
        <f t="shared" si="18"/>
        <v>33200</v>
      </c>
      <c r="I446" s="256" t="s">
        <v>171</v>
      </c>
      <c r="J446" s="269" t="s">
        <v>628</v>
      </c>
      <c r="K446" s="258">
        <v>43318.0</v>
      </c>
      <c r="L446" s="258">
        <v>43315.0</v>
      </c>
      <c r="M446" s="388"/>
      <c r="N446" s="333" t="s">
        <v>3510</v>
      </c>
      <c r="O446" s="310" t="s">
        <v>4990</v>
      </c>
      <c r="P446" s="268">
        <v>33180.0</v>
      </c>
      <c r="Q446" s="330"/>
      <c r="R446" s="310" t="s">
        <v>3512</v>
      </c>
      <c r="S446" s="330"/>
      <c r="T446" s="771">
        <v>43320.0</v>
      </c>
      <c r="U446" s="252" t="s">
        <v>4991</v>
      </c>
      <c r="V446" s="774">
        <v>1049814.0</v>
      </c>
      <c r="W446" s="769">
        <v>43314.0</v>
      </c>
      <c r="X446" s="765" t="s">
        <v>4992</v>
      </c>
      <c r="Y446" s="765" t="s">
        <v>4993</v>
      </c>
      <c r="Z446" s="765"/>
      <c r="AA446" s="765"/>
      <c r="AB446" s="765"/>
      <c r="AC446" s="253" t="s">
        <v>284</v>
      </c>
    </row>
    <row r="447" ht="15.75" hidden="1" customHeight="1">
      <c r="A447" s="764">
        <v>43300.0</v>
      </c>
      <c r="B447" s="265" t="s">
        <v>3506</v>
      </c>
      <c r="C447" s="765"/>
      <c r="D447" s="252" t="s">
        <v>4988</v>
      </c>
      <c r="E447" s="602" t="s">
        <v>3525</v>
      </c>
      <c r="F447" s="253">
        <v>7.0</v>
      </c>
      <c r="G447" s="254">
        <v>166.0</v>
      </c>
      <c r="H447" s="255">
        <f t="shared" si="18"/>
        <v>1162</v>
      </c>
      <c r="I447" s="256" t="s">
        <v>171</v>
      </c>
      <c r="J447" s="269" t="s">
        <v>628</v>
      </c>
      <c r="K447" s="258">
        <v>43318.0</v>
      </c>
      <c r="L447" s="258">
        <v>43315.0</v>
      </c>
      <c r="M447" s="388"/>
      <c r="N447" s="333" t="s">
        <v>3510</v>
      </c>
      <c r="O447" s="310" t="s">
        <v>4994</v>
      </c>
      <c r="P447" s="268">
        <v>1161.3</v>
      </c>
      <c r="Q447" s="330"/>
      <c r="R447" s="310" t="s">
        <v>3512</v>
      </c>
      <c r="S447" s="330"/>
      <c r="T447" s="771">
        <v>43320.0</v>
      </c>
      <c r="U447" s="252" t="s">
        <v>4991</v>
      </c>
      <c r="V447" s="252" t="s">
        <v>4995</v>
      </c>
      <c r="W447" s="769">
        <v>43314.0</v>
      </c>
      <c r="X447" s="765" t="s">
        <v>4992</v>
      </c>
      <c r="Y447" s="765" t="s">
        <v>4993</v>
      </c>
      <c r="Z447" s="765"/>
      <c r="AA447" s="765"/>
      <c r="AB447" s="765"/>
      <c r="AC447" s="253" t="s">
        <v>284</v>
      </c>
    </row>
    <row r="448" ht="15.75" hidden="1" customHeight="1">
      <c r="A448" s="764">
        <v>43295.0</v>
      </c>
      <c r="B448" s="265" t="s">
        <v>119</v>
      </c>
      <c r="C448" s="765" t="s">
        <v>4996</v>
      </c>
      <c r="D448" s="252" t="s">
        <v>4997</v>
      </c>
      <c r="E448" s="815" t="s">
        <v>158</v>
      </c>
      <c r="F448" s="253">
        <v>5.0</v>
      </c>
      <c r="G448" s="267">
        <v>979.0</v>
      </c>
      <c r="H448" s="255">
        <f t="shared" si="18"/>
        <v>4895</v>
      </c>
      <c r="I448" s="256" t="s">
        <v>171</v>
      </c>
      <c r="J448" s="428" t="s">
        <v>4068</v>
      </c>
      <c r="K448" s="258">
        <v>43349.0</v>
      </c>
      <c r="L448" s="258">
        <v>43347.0</v>
      </c>
      <c r="M448" s="388"/>
      <c r="N448" s="333" t="s">
        <v>90</v>
      </c>
      <c r="O448" s="310" t="s">
        <v>4998</v>
      </c>
      <c r="P448" s="268">
        <v>4179.0</v>
      </c>
      <c r="Q448" s="330"/>
      <c r="R448" s="340" t="s">
        <v>94</v>
      </c>
      <c r="S448" s="768">
        <v>43404.0</v>
      </c>
      <c r="T448" s="769">
        <v>43346.0</v>
      </c>
      <c r="U448" s="765" t="s">
        <v>4999</v>
      </c>
      <c r="V448" s="770">
        <v>848471.0</v>
      </c>
      <c r="W448" s="769">
        <v>43405.0</v>
      </c>
      <c r="X448" s="765" t="s">
        <v>5000</v>
      </c>
      <c r="Y448" s="765" t="s">
        <v>5001</v>
      </c>
      <c r="Z448" s="765"/>
      <c r="AA448" s="765"/>
      <c r="AB448" s="765"/>
      <c r="AC448" s="253" t="s">
        <v>284</v>
      </c>
    </row>
    <row r="449" ht="15.75" hidden="1" customHeight="1">
      <c r="A449" s="764">
        <v>43295.0</v>
      </c>
      <c r="B449" s="265" t="s">
        <v>119</v>
      </c>
      <c r="C449" s="765" t="s">
        <v>4996</v>
      </c>
      <c r="D449" s="252" t="s">
        <v>4997</v>
      </c>
      <c r="E449" s="602" t="s">
        <v>121</v>
      </c>
      <c r="F449" s="253">
        <v>40.0</v>
      </c>
      <c r="G449" s="267">
        <v>359.0</v>
      </c>
      <c r="H449" s="255">
        <f t="shared" si="18"/>
        <v>14360</v>
      </c>
      <c r="I449" s="256" t="s">
        <v>171</v>
      </c>
      <c r="J449" s="428" t="s">
        <v>4068</v>
      </c>
      <c r="K449" s="258">
        <v>43349.0</v>
      </c>
      <c r="L449" s="258">
        <v>43347.0</v>
      </c>
      <c r="M449" s="388"/>
      <c r="N449" s="333" t="s">
        <v>90</v>
      </c>
      <c r="O449" s="310" t="s">
        <v>4998</v>
      </c>
      <c r="P449" s="268">
        <v>13944.0</v>
      </c>
      <c r="Q449" s="330"/>
      <c r="R449" s="340" t="s">
        <v>94</v>
      </c>
      <c r="S449" s="768">
        <v>43404.0</v>
      </c>
      <c r="T449" s="769">
        <v>43346.0</v>
      </c>
      <c r="U449" s="765" t="s">
        <v>4999</v>
      </c>
      <c r="V449" s="765" t="s">
        <v>5002</v>
      </c>
      <c r="W449" s="769">
        <v>43405.0</v>
      </c>
      <c r="X449" s="765" t="s">
        <v>5000</v>
      </c>
      <c r="Y449" s="765" t="s">
        <v>5001</v>
      </c>
      <c r="Z449" s="765"/>
      <c r="AA449" s="765"/>
      <c r="AB449" s="765"/>
      <c r="AC449" s="253" t="s">
        <v>284</v>
      </c>
    </row>
    <row r="450" ht="15.75" hidden="1" customHeight="1">
      <c r="A450" s="764">
        <v>43295.0</v>
      </c>
      <c r="B450" s="265" t="s">
        <v>119</v>
      </c>
      <c r="C450" s="765" t="s">
        <v>4996</v>
      </c>
      <c r="D450" s="252" t="s">
        <v>4997</v>
      </c>
      <c r="E450" s="815" t="s">
        <v>161</v>
      </c>
      <c r="F450" s="253">
        <v>7.0</v>
      </c>
      <c r="G450" s="267">
        <v>485.0</v>
      </c>
      <c r="H450" s="255">
        <f t="shared" si="18"/>
        <v>3395</v>
      </c>
      <c r="I450" s="256" t="s">
        <v>171</v>
      </c>
      <c r="J450" s="428" t="s">
        <v>4068</v>
      </c>
      <c r="K450" s="258">
        <v>43349.0</v>
      </c>
      <c r="L450" s="258">
        <v>43347.0</v>
      </c>
      <c r="M450" s="388"/>
      <c r="N450" s="333" t="s">
        <v>90</v>
      </c>
      <c r="O450" s="310" t="s">
        <v>4998</v>
      </c>
      <c r="P450" s="268">
        <v>2940.0</v>
      </c>
      <c r="Q450" s="330"/>
      <c r="R450" s="340" t="s">
        <v>94</v>
      </c>
      <c r="S450" s="768">
        <v>43404.0</v>
      </c>
      <c r="T450" s="769">
        <v>43346.0</v>
      </c>
      <c r="U450" s="765" t="s">
        <v>4999</v>
      </c>
      <c r="V450" s="765" t="s">
        <v>5002</v>
      </c>
      <c r="W450" s="769">
        <v>43405.0</v>
      </c>
      <c r="X450" s="765" t="s">
        <v>5000</v>
      </c>
      <c r="Y450" s="765" t="s">
        <v>5001</v>
      </c>
      <c r="Z450" s="765"/>
      <c r="AA450" s="765"/>
      <c r="AB450" s="765"/>
      <c r="AC450" s="253" t="s">
        <v>284</v>
      </c>
    </row>
    <row r="451" ht="15.75" hidden="1" customHeight="1">
      <c r="A451" s="764">
        <v>43295.0</v>
      </c>
      <c r="B451" s="265" t="s">
        <v>119</v>
      </c>
      <c r="C451" s="765" t="s">
        <v>4996</v>
      </c>
      <c r="D451" s="252" t="s">
        <v>4997</v>
      </c>
      <c r="E451" s="602" t="s">
        <v>538</v>
      </c>
      <c r="F451" s="253">
        <v>2.0</v>
      </c>
      <c r="G451" s="267">
        <v>44.0</v>
      </c>
      <c r="H451" s="255">
        <f t="shared" si="18"/>
        <v>88</v>
      </c>
      <c r="I451" s="256" t="s">
        <v>171</v>
      </c>
      <c r="J451" s="428" t="s">
        <v>4068</v>
      </c>
      <c r="K451" s="258">
        <v>43349.0</v>
      </c>
      <c r="L451" s="258">
        <v>43347.0</v>
      </c>
      <c r="M451" s="388"/>
      <c r="N451" s="333" t="s">
        <v>90</v>
      </c>
      <c r="O451" s="310" t="s">
        <v>4998</v>
      </c>
      <c r="P451" s="268">
        <v>75.6</v>
      </c>
      <c r="Q451" s="330"/>
      <c r="R451" s="340" t="s">
        <v>94</v>
      </c>
      <c r="S451" s="768">
        <v>43404.0</v>
      </c>
      <c r="T451" s="769">
        <v>43346.0</v>
      </c>
      <c r="U451" s="765" t="s">
        <v>4999</v>
      </c>
      <c r="V451" s="765" t="s">
        <v>5002</v>
      </c>
      <c r="W451" s="769">
        <v>43405.0</v>
      </c>
      <c r="X451" s="765" t="s">
        <v>5000</v>
      </c>
      <c r="Y451" s="765" t="s">
        <v>5001</v>
      </c>
      <c r="Z451" s="765"/>
      <c r="AA451" s="765"/>
      <c r="AB451" s="765"/>
      <c r="AC451" s="253" t="s">
        <v>284</v>
      </c>
    </row>
    <row r="452" ht="15.75" hidden="1" customHeight="1">
      <c r="A452" s="764">
        <v>43295.0</v>
      </c>
      <c r="B452" s="265" t="s">
        <v>119</v>
      </c>
      <c r="C452" s="765" t="s">
        <v>4996</v>
      </c>
      <c r="D452" s="252" t="s">
        <v>4997</v>
      </c>
      <c r="E452" s="602" t="s">
        <v>5003</v>
      </c>
      <c r="F452" s="253">
        <v>3.0</v>
      </c>
      <c r="G452" s="267">
        <v>173.0</v>
      </c>
      <c r="H452" s="255">
        <f t="shared" si="18"/>
        <v>519</v>
      </c>
      <c r="I452" s="256" t="s">
        <v>171</v>
      </c>
      <c r="J452" s="428" t="s">
        <v>4068</v>
      </c>
      <c r="K452" s="258">
        <v>43349.0</v>
      </c>
      <c r="L452" s="258">
        <v>43347.0</v>
      </c>
      <c r="M452" s="388"/>
      <c r="N452" s="333" t="s">
        <v>90</v>
      </c>
      <c r="O452" s="310" t="s">
        <v>4998</v>
      </c>
      <c r="P452" s="268">
        <v>466.2</v>
      </c>
      <c r="Q452" s="330"/>
      <c r="R452" s="340" t="s">
        <v>94</v>
      </c>
      <c r="S452" s="768">
        <v>43404.0</v>
      </c>
      <c r="T452" s="769">
        <v>43346.0</v>
      </c>
      <c r="U452" s="765" t="s">
        <v>4999</v>
      </c>
      <c r="V452" s="765" t="s">
        <v>5002</v>
      </c>
      <c r="W452" s="769">
        <v>43405.0</v>
      </c>
      <c r="X452" s="765" t="s">
        <v>5000</v>
      </c>
      <c r="Y452" s="765" t="s">
        <v>5001</v>
      </c>
      <c r="Z452" s="765"/>
      <c r="AA452" s="765"/>
      <c r="AB452" s="765"/>
      <c r="AC452" s="253" t="s">
        <v>284</v>
      </c>
    </row>
    <row r="453" ht="15.75" hidden="1" customHeight="1">
      <c r="A453" s="764">
        <v>43295.0</v>
      </c>
      <c r="B453" s="265" t="s">
        <v>119</v>
      </c>
      <c r="C453" s="765" t="s">
        <v>4996</v>
      </c>
      <c r="D453" s="252" t="s">
        <v>4997</v>
      </c>
      <c r="E453" s="330" t="s">
        <v>162</v>
      </c>
      <c r="F453" s="253">
        <v>6.0</v>
      </c>
      <c r="G453" s="267">
        <v>893.0</v>
      </c>
      <c r="H453" s="255">
        <f t="shared" si="18"/>
        <v>5358</v>
      </c>
      <c r="I453" s="256" t="s">
        <v>171</v>
      </c>
      <c r="J453" s="428" t="s">
        <v>4068</v>
      </c>
      <c r="K453" s="258">
        <v>43349.0</v>
      </c>
      <c r="L453" s="258">
        <v>43347.0</v>
      </c>
      <c r="M453" s="388"/>
      <c r="N453" s="333" t="s">
        <v>90</v>
      </c>
      <c r="O453" s="310" t="s">
        <v>4998</v>
      </c>
      <c r="P453" s="268">
        <v>4019.4</v>
      </c>
      <c r="Q453" s="330"/>
      <c r="R453" s="340" t="s">
        <v>94</v>
      </c>
      <c r="S453" s="768">
        <v>43404.0</v>
      </c>
      <c r="T453" s="769">
        <v>43346.0</v>
      </c>
      <c r="U453" s="765" t="s">
        <v>4999</v>
      </c>
      <c r="V453" s="765" t="s">
        <v>5002</v>
      </c>
      <c r="W453" s="769">
        <v>43405.0</v>
      </c>
      <c r="X453" s="765" t="s">
        <v>5000</v>
      </c>
      <c r="Y453" s="765" t="s">
        <v>5001</v>
      </c>
      <c r="Z453" s="765"/>
      <c r="AA453" s="765"/>
      <c r="AB453" s="765"/>
      <c r="AC453" s="253" t="s">
        <v>284</v>
      </c>
    </row>
    <row r="454" ht="15.75" hidden="1" customHeight="1">
      <c r="A454" s="764">
        <v>43295.0</v>
      </c>
      <c r="B454" s="265" t="s">
        <v>119</v>
      </c>
      <c r="C454" s="765" t="s">
        <v>4996</v>
      </c>
      <c r="D454" s="252" t="s">
        <v>4997</v>
      </c>
      <c r="E454" s="330" t="s">
        <v>458</v>
      </c>
      <c r="F454" s="253">
        <v>2.0</v>
      </c>
      <c r="G454" s="267">
        <v>1209.0</v>
      </c>
      <c r="H454" s="255">
        <f t="shared" si="18"/>
        <v>2418</v>
      </c>
      <c r="I454" s="256" t="s">
        <v>171</v>
      </c>
      <c r="J454" s="428" t="s">
        <v>4068</v>
      </c>
      <c r="K454" s="258">
        <v>43349.0</v>
      </c>
      <c r="L454" s="258">
        <v>43347.0</v>
      </c>
      <c r="M454" s="388"/>
      <c r="N454" s="333" t="s">
        <v>90</v>
      </c>
      <c r="O454" s="310" t="s">
        <v>4998</v>
      </c>
      <c r="P454" s="268">
        <v>1990.8</v>
      </c>
      <c r="Q454" s="330"/>
      <c r="R454" s="340" t="s">
        <v>94</v>
      </c>
      <c r="S454" s="768">
        <v>43404.0</v>
      </c>
      <c r="T454" s="769">
        <v>43346.0</v>
      </c>
      <c r="U454" s="765" t="s">
        <v>4999</v>
      </c>
      <c r="V454" s="765" t="s">
        <v>5002</v>
      </c>
      <c r="W454" s="769">
        <v>43405.0</v>
      </c>
      <c r="X454" s="765" t="s">
        <v>5000</v>
      </c>
      <c r="Y454" s="765" t="s">
        <v>5001</v>
      </c>
      <c r="Z454" s="765"/>
      <c r="AA454" s="765"/>
      <c r="AB454" s="765"/>
      <c r="AC454" s="253" t="s">
        <v>284</v>
      </c>
    </row>
    <row r="455" ht="15.75" hidden="1" customHeight="1">
      <c r="A455" s="764">
        <v>43295.0</v>
      </c>
      <c r="B455" s="265" t="s">
        <v>101</v>
      </c>
      <c r="C455" s="765" t="s">
        <v>5004</v>
      </c>
      <c r="D455" s="252" t="s">
        <v>5005</v>
      </c>
      <c r="E455" s="602" t="s">
        <v>5006</v>
      </c>
      <c r="F455" s="253">
        <v>2.0</v>
      </c>
      <c r="G455" s="254">
        <v>399.0</v>
      </c>
      <c r="H455" s="255">
        <f t="shared" si="18"/>
        <v>798</v>
      </c>
      <c r="I455" s="256" t="s">
        <v>171</v>
      </c>
      <c r="J455" s="403" t="s">
        <v>3739</v>
      </c>
      <c r="K455" s="258">
        <v>43314.0</v>
      </c>
      <c r="L455" s="258">
        <v>43313.0</v>
      </c>
      <c r="M455" s="388"/>
      <c r="N455" s="333" t="s">
        <v>2336</v>
      </c>
      <c r="O455" s="310" t="s">
        <v>5007</v>
      </c>
      <c r="P455" s="598"/>
      <c r="Q455" s="579">
        <v>22680.0</v>
      </c>
      <c r="R455" s="320" t="s">
        <v>2338</v>
      </c>
      <c r="S455" s="581" t="s">
        <v>422</v>
      </c>
      <c r="T455" s="769">
        <v>43313.0</v>
      </c>
      <c r="U455" s="765" t="s">
        <v>5008</v>
      </c>
      <c r="V455" s="770">
        <v>22680.0</v>
      </c>
      <c r="W455" s="769">
        <v>43318.0</v>
      </c>
      <c r="X455" s="765" t="s">
        <v>5009</v>
      </c>
      <c r="Y455" s="765">
        <v>4.418382006E9</v>
      </c>
      <c r="Z455" s="765"/>
      <c r="AA455" s="765"/>
      <c r="AB455" s="765"/>
      <c r="AC455" s="253" t="s">
        <v>284</v>
      </c>
    </row>
    <row r="456" ht="15.75" hidden="1" customHeight="1">
      <c r="A456" s="764">
        <v>43298.0</v>
      </c>
      <c r="B456" s="597" t="s">
        <v>406</v>
      </c>
      <c r="C456" s="765">
        <v>7.000139687E9</v>
      </c>
      <c r="D456" s="252" t="s">
        <v>5010</v>
      </c>
      <c r="E456" s="602" t="s">
        <v>5011</v>
      </c>
      <c r="F456" s="253">
        <v>3.0</v>
      </c>
      <c r="G456" s="254">
        <v>55.0</v>
      </c>
      <c r="H456" s="255">
        <f t="shared" si="18"/>
        <v>165</v>
      </c>
      <c r="I456" s="256" t="s">
        <v>43</v>
      </c>
      <c r="J456" s="403" t="s">
        <v>4002</v>
      </c>
      <c r="K456" s="258">
        <v>43311.0</v>
      </c>
      <c r="L456" s="258">
        <v>43307.0</v>
      </c>
      <c r="M456" s="388"/>
      <c r="N456" s="333" t="s">
        <v>3593</v>
      </c>
      <c r="O456" s="310" t="s">
        <v>5012</v>
      </c>
      <c r="P456" s="598"/>
      <c r="Q456" s="579">
        <v>4586.0</v>
      </c>
      <c r="R456" s="310" t="s">
        <v>2080</v>
      </c>
      <c r="S456" s="768">
        <v>43404.0</v>
      </c>
      <c r="T456" s="769">
        <v>43307.0</v>
      </c>
      <c r="U456" s="765" t="s">
        <v>5013</v>
      </c>
      <c r="V456" s="770">
        <v>66886.0</v>
      </c>
      <c r="W456" s="771">
        <v>43355.0</v>
      </c>
      <c r="X456" s="765" t="s">
        <v>5014</v>
      </c>
      <c r="Y456" s="765">
        <v>3.188184016E9</v>
      </c>
      <c r="Z456" s="765"/>
      <c r="AA456" s="765"/>
      <c r="AB456" s="765"/>
      <c r="AC456" s="253" t="s">
        <v>284</v>
      </c>
    </row>
    <row r="457" ht="15.75" hidden="1" customHeight="1">
      <c r="A457" s="764">
        <v>43298.0</v>
      </c>
      <c r="B457" s="597" t="s">
        <v>406</v>
      </c>
      <c r="C457" s="765">
        <v>7.000139687E9</v>
      </c>
      <c r="D457" s="252" t="s">
        <v>5010</v>
      </c>
      <c r="E457" s="602" t="s">
        <v>5015</v>
      </c>
      <c r="F457" s="253">
        <v>3.0</v>
      </c>
      <c r="G457" s="254">
        <v>225.0</v>
      </c>
      <c r="H457" s="255">
        <f t="shared" si="18"/>
        <v>675</v>
      </c>
      <c r="I457" s="256" t="s">
        <v>43</v>
      </c>
      <c r="J457" s="403" t="s">
        <v>4002</v>
      </c>
      <c r="K457" s="258">
        <v>43311.0</v>
      </c>
      <c r="L457" s="258">
        <v>43307.0</v>
      </c>
      <c r="M457" s="388"/>
      <c r="N457" s="333" t="s">
        <v>3593</v>
      </c>
      <c r="O457" s="310" t="s">
        <v>5012</v>
      </c>
      <c r="P457" s="598"/>
      <c r="Q457" s="579">
        <v>18550.0</v>
      </c>
      <c r="R457" s="310" t="s">
        <v>2080</v>
      </c>
      <c r="S457" s="768">
        <v>43404.0</v>
      </c>
      <c r="T457" s="769">
        <v>43307.0</v>
      </c>
      <c r="U457" s="765" t="s">
        <v>5013</v>
      </c>
      <c r="V457" s="765" t="s">
        <v>5016</v>
      </c>
      <c r="W457" s="771">
        <v>43355.0</v>
      </c>
      <c r="X457" s="765" t="s">
        <v>5014</v>
      </c>
      <c r="Y457" s="765">
        <v>3.188184016E9</v>
      </c>
      <c r="Z457" s="765"/>
      <c r="AA457" s="765"/>
      <c r="AB457" s="765"/>
      <c r="AC457" s="253" t="s">
        <v>284</v>
      </c>
    </row>
    <row r="458" ht="15.75" hidden="1" customHeight="1">
      <c r="A458" s="764">
        <v>43298.0</v>
      </c>
      <c r="B458" s="597" t="s">
        <v>406</v>
      </c>
      <c r="C458" s="765">
        <v>7.000139687E9</v>
      </c>
      <c r="D458" s="252" t="s">
        <v>5010</v>
      </c>
      <c r="E458" s="602" t="s">
        <v>5017</v>
      </c>
      <c r="F458" s="253">
        <v>3.0</v>
      </c>
      <c r="G458" s="254">
        <v>286.0</v>
      </c>
      <c r="H458" s="255">
        <f t="shared" si="18"/>
        <v>858</v>
      </c>
      <c r="I458" s="256" t="s">
        <v>43</v>
      </c>
      <c r="J458" s="403" t="s">
        <v>4002</v>
      </c>
      <c r="K458" s="258">
        <v>43311.0</v>
      </c>
      <c r="L458" s="258">
        <v>43307.0</v>
      </c>
      <c r="M458" s="388"/>
      <c r="N458" s="333" t="s">
        <v>3593</v>
      </c>
      <c r="O458" s="310" t="s">
        <v>5012</v>
      </c>
      <c r="P458" s="598"/>
      <c r="Q458" s="579">
        <v>23590.0</v>
      </c>
      <c r="R458" s="310" t="s">
        <v>2080</v>
      </c>
      <c r="S458" s="768">
        <v>43404.0</v>
      </c>
      <c r="T458" s="769">
        <v>43307.0</v>
      </c>
      <c r="U458" s="765" t="s">
        <v>5013</v>
      </c>
      <c r="V458" s="765" t="s">
        <v>5016</v>
      </c>
      <c r="W458" s="771">
        <v>43355.0</v>
      </c>
      <c r="X458" s="765" t="s">
        <v>5014</v>
      </c>
      <c r="Y458" s="765">
        <v>3.188184016E9</v>
      </c>
      <c r="Z458" s="765"/>
      <c r="AA458" s="765"/>
      <c r="AB458" s="765"/>
      <c r="AC458" s="253" t="s">
        <v>284</v>
      </c>
    </row>
    <row r="459" ht="15.75" hidden="1" customHeight="1">
      <c r="A459" s="764">
        <v>43298.0</v>
      </c>
      <c r="B459" s="597" t="s">
        <v>406</v>
      </c>
      <c r="C459" s="765">
        <v>7.000139687E9</v>
      </c>
      <c r="D459" s="252" t="s">
        <v>5010</v>
      </c>
      <c r="E459" s="602" t="s">
        <v>5018</v>
      </c>
      <c r="F459" s="253">
        <v>3.0</v>
      </c>
      <c r="G459" s="254">
        <v>100.0</v>
      </c>
      <c r="H459" s="255">
        <f t="shared" si="18"/>
        <v>300</v>
      </c>
      <c r="I459" s="256" t="s">
        <v>43</v>
      </c>
      <c r="J459" s="403" t="s">
        <v>4002</v>
      </c>
      <c r="K459" s="258">
        <v>43311.0</v>
      </c>
      <c r="L459" s="258">
        <v>43307.0</v>
      </c>
      <c r="M459" s="388"/>
      <c r="N459" s="333" t="s">
        <v>3593</v>
      </c>
      <c r="O459" s="310" t="s">
        <v>5012</v>
      </c>
      <c r="P459" s="598"/>
      <c r="Q459" s="579">
        <v>8407.0</v>
      </c>
      <c r="R459" s="310" t="s">
        <v>2080</v>
      </c>
      <c r="S459" s="768">
        <v>43404.0</v>
      </c>
      <c r="T459" s="769">
        <v>43307.0</v>
      </c>
      <c r="U459" s="765" t="s">
        <v>5013</v>
      </c>
      <c r="V459" s="765" t="s">
        <v>5016</v>
      </c>
      <c r="W459" s="771">
        <v>43355.0</v>
      </c>
      <c r="X459" s="765" t="s">
        <v>5014</v>
      </c>
      <c r="Y459" s="765">
        <v>3.188184016E9</v>
      </c>
      <c r="Z459" s="765"/>
      <c r="AA459" s="765"/>
      <c r="AB459" s="765"/>
      <c r="AC459" s="253" t="s">
        <v>284</v>
      </c>
    </row>
    <row r="460" ht="15.75" hidden="1" customHeight="1">
      <c r="A460" s="764">
        <v>43298.0</v>
      </c>
      <c r="B460" s="597" t="s">
        <v>406</v>
      </c>
      <c r="C460" s="765">
        <v>7.000139687E9</v>
      </c>
      <c r="D460" s="252" t="s">
        <v>5010</v>
      </c>
      <c r="E460" s="602" t="s">
        <v>1968</v>
      </c>
      <c r="F460" s="253">
        <v>1.0</v>
      </c>
      <c r="G460" s="254">
        <v>120.0</v>
      </c>
      <c r="H460" s="255">
        <f t="shared" si="18"/>
        <v>120</v>
      </c>
      <c r="I460" s="256" t="s">
        <v>43</v>
      </c>
      <c r="J460" s="403" t="s">
        <v>4002</v>
      </c>
      <c r="K460" s="258">
        <v>43311.0</v>
      </c>
      <c r="L460" s="258">
        <v>43307.0</v>
      </c>
      <c r="M460" s="388"/>
      <c r="N460" s="333" t="s">
        <v>3593</v>
      </c>
      <c r="O460" s="310" t="s">
        <v>5012</v>
      </c>
      <c r="P460" s="598"/>
      <c r="Q460" s="579">
        <v>3436.0</v>
      </c>
      <c r="R460" s="310" t="s">
        <v>2080</v>
      </c>
      <c r="S460" s="768">
        <v>43404.0</v>
      </c>
      <c r="T460" s="769">
        <v>43307.0</v>
      </c>
      <c r="U460" s="765" t="s">
        <v>5013</v>
      </c>
      <c r="V460" s="765" t="s">
        <v>5016</v>
      </c>
      <c r="W460" s="771">
        <v>43355.0</v>
      </c>
      <c r="X460" s="765" t="s">
        <v>5014</v>
      </c>
      <c r="Y460" s="765">
        <v>3.188184016E9</v>
      </c>
      <c r="Z460" s="765"/>
      <c r="AA460" s="765"/>
      <c r="AB460" s="765"/>
      <c r="AC460" s="253" t="s">
        <v>284</v>
      </c>
    </row>
    <row r="461" ht="15.75" hidden="1" customHeight="1">
      <c r="A461" s="764">
        <v>43298.0</v>
      </c>
      <c r="B461" s="597" t="s">
        <v>406</v>
      </c>
      <c r="C461" s="765">
        <v>7.000139687E9</v>
      </c>
      <c r="D461" s="252" t="s">
        <v>5010</v>
      </c>
      <c r="E461" s="602" t="s">
        <v>5019</v>
      </c>
      <c r="F461" s="253">
        <v>2.0</v>
      </c>
      <c r="G461" s="254">
        <v>145.0</v>
      </c>
      <c r="H461" s="255">
        <f t="shared" si="18"/>
        <v>290</v>
      </c>
      <c r="I461" s="256" t="s">
        <v>43</v>
      </c>
      <c r="J461" s="403" t="s">
        <v>4002</v>
      </c>
      <c r="K461" s="258">
        <v>43311.0</v>
      </c>
      <c r="L461" s="258">
        <v>43307.0</v>
      </c>
      <c r="M461" s="388"/>
      <c r="N461" s="333" t="s">
        <v>3593</v>
      </c>
      <c r="O461" s="310" t="s">
        <v>5012</v>
      </c>
      <c r="P461" s="598"/>
      <c r="Q461" s="579">
        <v>8316.0</v>
      </c>
      <c r="R461" s="310" t="s">
        <v>2080</v>
      </c>
      <c r="S461" s="768">
        <v>43404.0</v>
      </c>
      <c r="T461" s="769">
        <v>43307.0</v>
      </c>
      <c r="U461" s="765" t="s">
        <v>5013</v>
      </c>
      <c r="V461" s="765" t="s">
        <v>5016</v>
      </c>
      <c r="W461" s="771">
        <v>43355.0</v>
      </c>
      <c r="X461" s="765" t="s">
        <v>5014</v>
      </c>
      <c r="Y461" s="765">
        <v>3.188184016E9</v>
      </c>
      <c r="Z461" s="765"/>
      <c r="AA461" s="765"/>
      <c r="AB461" s="765"/>
      <c r="AC461" s="253" t="s">
        <v>284</v>
      </c>
    </row>
    <row r="462" ht="15.75" customHeight="1">
      <c r="A462" s="764">
        <v>43298.0</v>
      </c>
      <c r="B462" s="265" t="s">
        <v>77</v>
      </c>
      <c r="C462" s="765">
        <v>808.0</v>
      </c>
      <c r="D462" s="252" t="s">
        <v>5020</v>
      </c>
      <c r="E462" s="252" t="s">
        <v>4937</v>
      </c>
      <c r="F462" s="253">
        <v>5.0</v>
      </c>
      <c r="G462" s="254">
        <v>255.0</v>
      </c>
      <c r="H462" s="255">
        <f t="shared" si="18"/>
        <v>1275</v>
      </c>
      <c r="I462" s="256" t="s">
        <v>43</v>
      </c>
      <c r="J462" s="369" t="s">
        <v>316</v>
      </c>
      <c r="K462" s="258">
        <v>43353.0</v>
      </c>
      <c r="L462" s="258">
        <v>43347.0</v>
      </c>
      <c r="M462" s="388"/>
      <c r="N462" s="403" t="s">
        <v>1998</v>
      </c>
      <c r="O462" s="310" t="s">
        <v>5021</v>
      </c>
      <c r="P462" s="268">
        <v>1155.0</v>
      </c>
      <c r="Q462" s="330"/>
      <c r="R462" s="310" t="s">
        <v>2000</v>
      </c>
      <c r="S462" s="768">
        <v>43409.0</v>
      </c>
      <c r="T462" s="769">
        <v>43346.0</v>
      </c>
      <c r="U462" s="765" t="s">
        <v>4719</v>
      </c>
      <c r="V462" s="765" t="s">
        <v>4721</v>
      </c>
      <c r="W462" s="771">
        <v>43409.0</v>
      </c>
      <c r="X462" s="765" t="s">
        <v>4720</v>
      </c>
      <c r="Y462" s="765">
        <v>6.29982102E8</v>
      </c>
      <c r="Z462" s="765"/>
      <c r="AA462" s="765"/>
      <c r="AB462" s="765"/>
      <c r="AC462" s="253" t="s">
        <v>284</v>
      </c>
    </row>
    <row r="463" ht="15.75" hidden="1" customHeight="1">
      <c r="A463" s="764">
        <v>43304.0</v>
      </c>
      <c r="B463" s="265" t="s">
        <v>130</v>
      </c>
      <c r="C463" s="765" t="s">
        <v>5022</v>
      </c>
      <c r="D463" s="252" t="s">
        <v>5023</v>
      </c>
      <c r="E463" s="602" t="s">
        <v>3951</v>
      </c>
      <c r="F463" s="253">
        <v>20.0</v>
      </c>
      <c r="G463" s="254">
        <v>90.0</v>
      </c>
      <c r="H463" s="255">
        <v>1800.0</v>
      </c>
      <c r="I463" s="256" t="s">
        <v>420</v>
      </c>
      <c r="J463" s="849" t="s">
        <v>4889</v>
      </c>
      <c r="K463" s="258">
        <v>43326.0</v>
      </c>
      <c r="L463" s="258">
        <v>43321.0</v>
      </c>
      <c r="M463" s="388"/>
      <c r="N463" s="333" t="s">
        <v>90</v>
      </c>
      <c r="O463" s="310" t="s">
        <v>5024</v>
      </c>
      <c r="P463" s="268">
        <v>1785.0</v>
      </c>
      <c r="Q463" s="330"/>
      <c r="R463" s="340" t="s">
        <v>94</v>
      </c>
      <c r="S463" s="768">
        <v>43373.0</v>
      </c>
      <c r="T463" s="769">
        <v>43320.0</v>
      </c>
      <c r="U463" s="765" t="s">
        <v>5025</v>
      </c>
      <c r="V463" s="770">
        <v>54567.0</v>
      </c>
      <c r="W463" s="769">
        <v>43378.0</v>
      </c>
      <c r="X463" s="765" t="s">
        <v>5026</v>
      </c>
      <c r="Y463" s="765">
        <v>2.293785163E9</v>
      </c>
      <c r="Z463" s="765"/>
      <c r="AA463" s="765"/>
      <c r="AB463" s="765"/>
      <c r="AC463" s="253" t="s">
        <v>284</v>
      </c>
    </row>
    <row r="464" ht="15.75" hidden="1" customHeight="1">
      <c r="A464" s="764">
        <v>43305.0</v>
      </c>
      <c r="B464" s="597" t="s">
        <v>406</v>
      </c>
      <c r="C464" s="765">
        <v>7.000139881E9</v>
      </c>
      <c r="D464" s="252" t="s">
        <v>5027</v>
      </c>
      <c r="E464" s="602" t="s">
        <v>5028</v>
      </c>
      <c r="F464" s="253">
        <v>1.0</v>
      </c>
      <c r="G464" s="254">
        <v>674.0</v>
      </c>
      <c r="H464" s="255">
        <f>G464*F464</f>
        <v>674</v>
      </c>
      <c r="I464" s="256" t="s">
        <v>43</v>
      </c>
      <c r="J464" s="403" t="s">
        <v>4002</v>
      </c>
      <c r="K464" s="258">
        <v>43311.0</v>
      </c>
      <c r="L464" s="258">
        <v>43307.0</v>
      </c>
      <c r="M464" s="388"/>
      <c r="N464" s="333" t="s">
        <v>3593</v>
      </c>
      <c r="O464" s="310" t="s">
        <v>5029</v>
      </c>
      <c r="P464" s="598"/>
      <c r="Q464" s="579">
        <v>18766.0</v>
      </c>
      <c r="R464" s="310" t="s">
        <v>2080</v>
      </c>
      <c r="S464" s="768">
        <v>43404.0</v>
      </c>
      <c r="T464" s="769">
        <v>43307.0</v>
      </c>
      <c r="U464" s="765" t="s">
        <v>5030</v>
      </c>
      <c r="V464" s="770">
        <v>18766.0</v>
      </c>
      <c r="W464" s="769">
        <v>43355.0</v>
      </c>
      <c r="X464" s="765" t="s">
        <v>5014</v>
      </c>
      <c r="Y464" s="765">
        <v>3.188184016E9</v>
      </c>
      <c r="Z464" s="765"/>
      <c r="AA464" s="765"/>
      <c r="AB464" s="765"/>
      <c r="AC464" s="253" t="s">
        <v>284</v>
      </c>
    </row>
    <row r="465" ht="15.75" hidden="1" customHeight="1">
      <c r="A465" s="274">
        <v>43305.0</v>
      </c>
      <c r="B465" s="804" t="s">
        <v>406</v>
      </c>
      <c r="C465" s="789">
        <v>7.000139881E9</v>
      </c>
      <c r="D465" s="276" t="s">
        <v>5027</v>
      </c>
      <c r="E465" s="821" t="s">
        <v>853</v>
      </c>
      <c r="F465" s="279">
        <v>2.0</v>
      </c>
      <c r="G465" s="280">
        <v>170.0</v>
      </c>
      <c r="H465" s="822"/>
      <c r="I465" s="823"/>
      <c r="J465" s="824"/>
      <c r="K465" s="258"/>
      <c r="L465" s="854"/>
      <c r="M465" s="388"/>
      <c r="N465" s="283" t="s">
        <v>3593</v>
      </c>
      <c r="O465" s="798" t="s">
        <v>5029</v>
      </c>
      <c r="P465" s="598"/>
      <c r="Q465" s="586"/>
      <c r="R465" s="798" t="s">
        <v>2080</v>
      </c>
      <c r="S465" s="330"/>
      <c r="T465" s="766"/>
      <c r="U465" s="766"/>
      <c r="V465" s="766"/>
      <c r="W465" s="767"/>
      <c r="X465" s="766"/>
      <c r="Y465" s="765"/>
      <c r="Z465" s="765"/>
      <c r="AA465" s="765"/>
      <c r="AB465" s="765"/>
      <c r="AC465" s="253" t="s">
        <v>3617</v>
      </c>
    </row>
    <row r="466" ht="15.75" hidden="1" customHeight="1">
      <c r="A466" s="764">
        <v>43305.0</v>
      </c>
      <c r="B466" s="597" t="s">
        <v>406</v>
      </c>
      <c r="C466" s="765">
        <v>7.000139881E9</v>
      </c>
      <c r="D466" s="252" t="s">
        <v>5027</v>
      </c>
      <c r="E466" s="602" t="s">
        <v>481</v>
      </c>
      <c r="F466" s="253">
        <v>1.0</v>
      </c>
      <c r="G466" s="254">
        <v>124.0</v>
      </c>
      <c r="H466" s="255">
        <f>G466*F466</f>
        <v>124</v>
      </c>
      <c r="I466" s="256" t="s">
        <v>43</v>
      </c>
      <c r="J466" s="403" t="s">
        <v>4002</v>
      </c>
      <c r="K466" s="258">
        <v>43311.0</v>
      </c>
      <c r="L466" s="333" t="s">
        <v>179</v>
      </c>
      <c r="M466" s="388"/>
      <c r="N466" s="333" t="s">
        <v>3593</v>
      </c>
      <c r="O466" s="310" t="s">
        <v>5029</v>
      </c>
      <c r="P466" s="598"/>
      <c r="Q466" s="579">
        <v>3436.0</v>
      </c>
      <c r="R466" s="310" t="s">
        <v>2080</v>
      </c>
      <c r="S466" s="768">
        <v>43343.0</v>
      </c>
      <c r="T466" s="771">
        <v>43250.0</v>
      </c>
      <c r="U466" s="252" t="s">
        <v>4651</v>
      </c>
      <c r="V466" s="765" t="s">
        <v>4655</v>
      </c>
      <c r="W466" s="769">
        <v>43320.0</v>
      </c>
      <c r="X466" s="765" t="s">
        <v>5014</v>
      </c>
      <c r="Y466" s="765">
        <v>3.188184016E9</v>
      </c>
      <c r="Z466" s="765"/>
      <c r="AA466" s="765"/>
      <c r="AB466" s="765"/>
      <c r="AC466" s="253" t="s">
        <v>284</v>
      </c>
    </row>
    <row r="467" ht="15.75" hidden="1" customHeight="1">
      <c r="A467" s="274">
        <v>43307.0</v>
      </c>
      <c r="B467" s="804" t="s">
        <v>406</v>
      </c>
      <c r="C467" s="789">
        <v>7.000139752E9</v>
      </c>
      <c r="D467" s="276" t="s">
        <v>5031</v>
      </c>
      <c r="E467" s="821" t="s">
        <v>5032</v>
      </c>
      <c r="F467" s="279">
        <v>10.0</v>
      </c>
      <c r="G467" s="280">
        <v>435.0</v>
      </c>
      <c r="H467" s="805"/>
      <c r="I467" s="855"/>
      <c r="J467" s="856"/>
      <c r="K467" s="854"/>
      <c r="L467" s="797" t="s">
        <v>71</v>
      </c>
      <c r="M467" s="857"/>
      <c r="N467" s="283" t="s">
        <v>5033</v>
      </c>
      <c r="O467" s="798" t="s">
        <v>5034</v>
      </c>
      <c r="P467" s="583"/>
      <c r="Q467" s="858" t="s">
        <v>5035</v>
      </c>
      <c r="R467" s="798" t="s">
        <v>5036</v>
      </c>
      <c r="S467" s="582"/>
      <c r="T467" s="787"/>
      <c r="U467" s="787"/>
      <c r="V467" s="787"/>
      <c r="W467" s="788"/>
      <c r="X467" s="787"/>
      <c r="Y467" s="789"/>
      <c r="Z467" s="789"/>
      <c r="AA467" s="789"/>
      <c r="AB467" s="789"/>
      <c r="AC467" s="253" t="s">
        <v>3617</v>
      </c>
    </row>
    <row r="468" ht="15.75" hidden="1" customHeight="1">
      <c r="A468" s="274">
        <v>43307.0</v>
      </c>
      <c r="B468" s="804" t="s">
        <v>406</v>
      </c>
      <c r="C468" s="789">
        <v>7.000139752E9</v>
      </c>
      <c r="D468" s="276" t="s">
        <v>5031</v>
      </c>
      <c r="E468" s="821" t="s">
        <v>5037</v>
      </c>
      <c r="F468" s="279">
        <v>10.0</v>
      </c>
      <c r="G468" s="280">
        <v>10.0</v>
      </c>
      <c r="H468" s="805"/>
      <c r="I468" s="855"/>
      <c r="J468" s="856"/>
      <c r="K468" s="854"/>
      <c r="L468" s="797" t="s">
        <v>71</v>
      </c>
      <c r="M468" s="857"/>
      <c r="N468" s="283" t="s">
        <v>3116</v>
      </c>
      <c r="O468" s="798"/>
      <c r="P468" s="583"/>
      <c r="Q468" s="859" t="s">
        <v>5038</v>
      </c>
      <c r="R468" s="798"/>
      <c r="S468" s="582"/>
      <c r="T468" s="787"/>
      <c r="U468" s="787"/>
      <c r="V468" s="787"/>
      <c r="W468" s="788"/>
      <c r="X468" s="787"/>
      <c r="Y468" s="789"/>
      <c r="Z468" s="789"/>
      <c r="AA468" s="789"/>
      <c r="AB468" s="789"/>
      <c r="AC468" s="253" t="s">
        <v>3617</v>
      </c>
    </row>
    <row r="469" ht="15.75" hidden="1" customHeight="1">
      <c r="A469" s="274">
        <v>43307.0</v>
      </c>
      <c r="B469" s="804" t="s">
        <v>406</v>
      </c>
      <c r="C469" s="789">
        <v>7.000139752E9</v>
      </c>
      <c r="D469" s="276" t="s">
        <v>5039</v>
      </c>
      <c r="E469" s="821" t="s">
        <v>5032</v>
      </c>
      <c r="F469" s="279">
        <v>90.0</v>
      </c>
      <c r="G469" s="280">
        <v>435.0</v>
      </c>
      <c r="H469" s="805"/>
      <c r="I469" s="855"/>
      <c r="J469" s="856"/>
      <c r="K469" s="860"/>
      <c r="L469" s="797" t="s">
        <v>71</v>
      </c>
      <c r="M469" s="857"/>
      <c r="N469" s="283"/>
      <c r="O469" s="798"/>
      <c r="P469" s="583"/>
      <c r="Q469" s="798"/>
      <c r="R469" s="798"/>
      <c r="S469" s="582"/>
      <c r="T469" s="787"/>
      <c r="U469" s="787"/>
      <c r="V469" s="787"/>
      <c r="W469" s="788"/>
      <c r="X469" s="787"/>
      <c r="Y469" s="789"/>
      <c r="Z469" s="789"/>
      <c r="AA469" s="789"/>
      <c r="AB469" s="789"/>
      <c r="AC469" s="253" t="s">
        <v>3617</v>
      </c>
    </row>
    <row r="470" ht="15.75" hidden="1" customHeight="1">
      <c r="A470" s="274">
        <v>43307.0</v>
      </c>
      <c r="B470" s="804" t="s">
        <v>406</v>
      </c>
      <c r="C470" s="789">
        <v>7.000139752E9</v>
      </c>
      <c r="D470" s="276" t="s">
        <v>5039</v>
      </c>
      <c r="E470" s="821" t="s">
        <v>5037</v>
      </c>
      <c r="F470" s="279">
        <v>90.0</v>
      </c>
      <c r="G470" s="280">
        <v>10.0</v>
      </c>
      <c r="H470" s="805"/>
      <c r="I470" s="855"/>
      <c r="J470" s="856"/>
      <c r="K470" s="860"/>
      <c r="L470" s="797" t="s">
        <v>71</v>
      </c>
      <c r="M470" s="857"/>
      <c r="N470" s="283" t="s">
        <v>3116</v>
      </c>
      <c r="O470" s="798"/>
      <c r="P470" s="799"/>
      <c r="Q470" s="859" t="s">
        <v>5038</v>
      </c>
      <c r="R470" s="798"/>
      <c r="S470" s="582"/>
      <c r="T470" s="787"/>
      <c r="U470" s="787"/>
      <c r="V470" s="787"/>
      <c r="W470" s="788"/>
      <c r="X470" s="787"/>
      <c r="Y470" s="789"/>
      <c r="Z470" s="789"/>
      <c r="AA470" s="789"/>
      <c r="AB470" s="789"/>
      <c r="AC470" s="253" t="s">
        <v>3617</v>
      </c>
    </row>
    <row r="471" ht="53.25" hidden="1" customHeight="1">
      <c r="A471" s="764">
        <v>43308.0</v>
      </c>
      <c r="B471" s="265" t="s">
        <v>101</v>
      </c>
      <c r="C471" s="765" t="s">
        <v>5040</v>
      </c>
      <c r="D471" s="252" t="s">
        <v>5041</v>
      </c>
      <c r="E471" s="422" t="s">
        <v>5042</v>
      </c>
      <c r="F471" s="253">
        <v>2.0</v>
      </c>
      <c r="G471" s="254">
        <v>1118.0</v>
      </c>
      <c r="H471" s="255">
        <f t="shared" ref="H471:H487" si="19">G471*F471</f>
        <v>2236</v>
      </c>
      <c r="I471" s="256" t="s">
        <v>171</v>
      </c>
      <c r="J471" s="403" t="s">
        <v>3739</v>
      </c>
      <c r="K471" s="258">
        <v>43314.0</v>
      </c>
      <c r="L471" s="258">
        <v>43314.0</v>
      </c>
      <c r="M471" s="388"/>
      <c r="N471" s="333" t="s">
        <v>1439</v>
      </c>
      <c r="O471" s="310" t="s">
        <v>5043</v>
      </c>
      <c r="P471" s="268"/>
      <c r="Q471" s="579">
        <v>63907.0</v>
      </c>
      <c r="R471" s="320" t="s">
        <v>1976</v>
      </c>
      <c r="S471" s="768">
        <v>43373.0</v>
      </c>
      <c r="T471" s="769">
        <v>43313.0</v>
      </c>
      <c r="U471" s="765" t="s">
        <v>5044</v>
      </c>
      <c r="V471" s="770">
        <v>63907.0</v>
      </c>
      <c r="W471" s="769">
        <v>43378.0</v>
      </c>
      <c r="X471" s="765" t="s">
        <v>5009</v>
      </c>
      <c r="Y471" s="765">
        <v>4.418382006E9</v>
      </c>
      <c r="Z471" s="765"/>
      <c r="AA471" s="765"/>
      <c r="AB471" s="765"/>
      <c r="AC471" s="253" t="s">
        <v>284</v>
      </c>
    </row>
    <row r="472" ht="15.75" hidden="1" customHeight="1">
      <c r="A472" s="764">
        <v>43308.0</v>
      </c>
      <c r="B472" s="265" t="s">
        <v>101</v>
      </c>
      <c r="C472" s="765" t="s">
        <v>5040</v>
      </c>
      <c r="D472" s="252" t="s">
        <v>5041</v>
      </c>
      <c r="E472" s="602" t="s">
        <v>5045</v>
      </c>
      <c r="F472" s="253">
        <v>2.0</v>
      </c>
      <c r="G472" s="254">
        <v>80.0</v>
      </c>
      <c r="H472" s="255">
        <f t="shared" si="19"/>
        <v>160</v>
      </c>
      <c r="I472" s="256" t="s">
        <v>171</v>
      </c>
      <c r="J472" s="403" t="s">
        <v>3739</v>
      </c>
      <c r="K472" s="258">
        <v>43314.0</v>
      </c>
      <c r="L472" s="258">
        <v>43311.0</v>
      </c>
      <c r="M472" s="388"/>
      <c r="N472" s="253" t="s">
        <v>5046</v>
      </c>
      <c r="O472" s="310" t="s">
        <v>5043</v>
      </c>
      <c r="P472" s="598"/>
      <c r="Q472" s="637">
        <v>4452.0</v>
      </c>
      <c r="R472" s="604" t="s">
        <v>3906</v>
      </c>
      <c r="S472" s="768">
        <v>43342.0</v>
      </c>
      <c r="T472" s="769">
        <v>43311.0</v>
      </c>
      <c r="U472" s="765" t="s">
        <v>5047</v>
      </c>
      <c r="V472" s="770">
        <v>22260.0</v>
      </c>
      <c r="W472" s="771">
        <v>43348.0</v>
      </c>
      <c r="X472" s="765" t="s">
        <v>5009</v>
      </c>
      <c r="Y472" s="765">
        <v>4.418382006E9</v>
      </c>
      <c r="Z472" s="765"/>
      <c r="AA472" s="765"/>
      <c r="AB472" s="765"/>
      <c r="AC472" s="253" t="s">
        <v>284</v>
      </c>
    </row>
    <row r="473" ht="49.5" hidden="1" customHeight="1">
      <c r="A473" s="764">
        <v>43308.0</v>
      </c>
      <c r="B473" s="265" t="s">
        <v>101</v>
      </c>
      <c r="C473" s="765" t="s">
        <v>5040</v>
      </c>
      <c r="D473" s="252" t="s">
        <v>5048</v>
      </c>
      <c r="E473" s="422" t="s">
        <v>5049</v>
      </c>
      <c r="F473" s="253">
        <v>8.0</v>
      </c>
      <c r="G473" s="254">
        <v>1118.0</v>
      </c>
      <c r="H473" s="255">
        <f t="shared" si="19"/>
        <v>8944</v>
      </c>
      <c r="I473" s="256" t="s">
        <v>171</v>
      </c>
      <c r="J473" s="403" t="s">
        <v>3739</v>
      </c>
      <c r="K473" s="258">
        <v>43325.0</v>
      </c>
      <c r="L473" s="258">
        <v>43321.0</v>
      </c>
      <c r="M473" s="388"/>
      <c r="N473" s="333" t="s">
        <v>1439</v>
      </c>
      <c r="O473" s="310" t="s">
        <v>5043</v>
      </c>
      <c r="P473" s="268"/>
      <c r="Q473" s="637">
        <v>255630.0</v>
      </c>
      <c r="R473" s="320" t="s">
        <v>1976</v>
      </c>
      <c r="S473" s="768">
        <v>43373.0</v>
      </c>
      <c r="T473" s="769">
        <v>43320.0</v>
      </c>
      <c r="U473" s="765" t="s">
        <v>5050</v>
      </c>
      <c r="V473" s="770">
        <v>255630.0</v>
      </c>
      <c r="W473" s="769">
        <v>43378.0</v>
      </c>
      <c r="X473" s="765" t="s">
        <v>5051</v>
      </c>
      <c r="Y473" s="765">
        <v>4.909907962E9</v>
      </c>
      <c r="Z473" s="765"/>
      <c r="AA473" s="765"/>
      <c r="AB473" s="765"/>
      <c r="AC473" s="253" t="s">
        <v>284</v>
      </c>
    </row>
    <row r="474" ht="45.75" hidden="1" customHeight="1">
      <c r="A474" s="764">
        <v>43308.0</v>
      </c>
      <c r="B474" s="265" t="s">
        <v>101</v>
      </c>
      <c r="C474" s="765" t="s">
        <v>5040</v>
      </c>
      <c r="D474" s="252" t="s">
        <v>5048</v>
      </c>
      <c r="E474" s="602" t="s">
        <v>5045</v>
      </c>
      <c r="F474" s="253">
        <v>8.0</v>
      </c>
      <c r="G474" s="254">
        <v>80.0</v>
      </c>
      <c r="H474" s="255">
        <f t="shared" si="19"/>
        <v>640</v>
      </c>
      <c r="I474" s="256" t="s">
        <v>171</v>
      </c>
      <c r="J474" s="403" t="s">
        <v>3739</v>
      </c>
      <c r="K474" s="258">
        <v>43325.0</v>
      </c>
      <c r="L474" s="258">
        <v>43311.0</v>
      </c>
      <c r="M474" s="388"/>
      <c r="N474" s="253" t="s">
        <v>5046</v>
      </c>
      <c r="O474" s="310" t="s">
        <v>5043</v>
      </c>
      <c r="P474" s="598"/>
      <c r="Q474" s="637">
        <v>17808.0</v>
      </c>
      <c r="R474" s="604" t="s">
        <v>3906</v>
      </c>
      <c r="S474" s="768">
        <v>43342.0</v>
      </c>
      <c r="T474" s="769">
        <v>43311.0</v>
      </c>
      <c r="U474" s="765" t="s">
        <v>5047</v>
      </c>
      <c r="V474" s="252" t="s">
        <v>5052</v>
      </c>
      <c r="W474" s="771">
        <v>43348.0</v>
      </c>
      <c r="X474" s="765" t="s">
        <v>5051</v>
      </c>
      <c r="Y474" s="765">
        <v>4.909907962E9</v>
      </c>
      <c r="Z474" s="765"/>
      <c r="AA474" s="765"/>
      <c r="AB474" s="765"/>
      <c r="AC474" s="253" t="s">
        <v>284</v>
      </c>
    </row>
    <row r="475" ht="52.5" hidden="1" customHeight="1">
      <c r="A475" s="764">
        <v>43308.0</v>
      </c>
      <c r="B475" s="265" t="s">
        <v>101</v>
      </c>
      <c r="C475" s="765" t="s">
        <v>5053</v>
      </c>
      <c r="D475" s="252" t="s">
        <v>5054</v>
      </c>
      <c r="E475" s="861" t="s">
        <v>5055</v>
      </c>
      <c r="F475" s="253">
        <v>15.0</v>
      </c>
      <c r="G475" s="254">
        <v>533.5</v>
      </c>
      <c r="H475" s="255">
        <f t="shared" si="19"/>
        <v>8002.5</v>
      </c>
      <c r="I475" s="256" t="s">
        <v>171</v>
      </c>
      <c r="J475" s="369" t="s">
        <v>3568</v>
      </c>
      <c r="K475" s="258">
        <v>43339.0</v>
      </c>
      <c r="L475" s="258">
        <v>43327.0</v>
      </c>
      <c r="M475" s="388"/>
      <c r="N475" s="333" t="s">
        <v>2028</v>
      </c>
      <c r="O475" s="252" t="s">
        <v>5056</v>
      </c>
      <c r="P475" s="598"/>
      <c r="Q475" s="579">
        <v>231226.0</v>
      </c>
      <c r="R475" s="578" t="s">
        <v>2030</v>
      </c>
      <c r="S475" s="768">
        <v>43378.0</v>
      </c>
      <c r="T475" s="769">
        <v>43326.0</v>
      </c>
      <c r="U475" s="765" t="s">
        <v>5057</v>
      </c>
      <c r="V475" s="770">
        <v>431621.0</v>
      </c>
      <c r="W475" s="769">
        <v>43384.0</v>
      </c>
      <c r="X475" s="765" t="s">
        <v>5058</v>
      </c>
      <c r="Y475" s="765" t="s">
        <v>5059</v>
      </c>
      <c r="Z475" s="765"/>
      <c r="AA475" s="765"/>
      <c r="AB475" s="765"/>
      <c r="AC475" s="253" t="s">
        <v>540</v>
      </c>
    </row>
    <row r="476" ht="15.75" hidden="1" customHeight="1">
      <c r="A476" s="764">
        <v>43308.0</v>
      </c>
      <c r="B476" s="265" t="s">
        <v>101</v>
      </c>
      <c r="C476" s="765" t="s">
        <v>5053</v>
      </c>
      <c r="D476" s="252" t="s">
        <v>5054</v>
      </c>
      <c r="E476" s="815" t="s">
        <v>5060</v>
      </c>
      <c r="F476" s="253">
        <v>15.0</v>
      </c>
      <c r="G476" s="254">
        <v>352.0</v>
      </c>
      <c r="H476" s="255">
        <f t="shared" si="19"/>
        <v>5280</v>
      </c>
      <c r="I476" s="256" t="s">
        <v>171</v>
      </c>
      <c r="J476" s="369" t="s">
        <v>3568</v>
      </c>
      <c r="K476" s="258">
        <v>43339.0</v>
      </c>
      <c r="L476" s="258">
        <v>43320.0</v>
      </c>
      <c r="M476" s="388"/>
      <c r="N476" s="333" t="s">
        <v>2026</v>
      </c>
      <c r="O476" s="252" t="s">
        <v>5061</v>
      </c>
      <c r="P476" s="268">
        <v>4425.75</v>
      </c>
      <c r="Q476" s="600"/>
      <c r="R476" s="340" t="s">
        <v>47</v>
      </c>
      <c r="S476" s="768">
        <v>43348.0</v>
      </c>
      <c r="T476" s="769">
        <v>43318.0</v>
      </c>
      <c r="U476" s="765" t="s">
        <v>5062</v>
      </c>
      <c r="V476" s="770">
        <v>213438.0</v>
      </c>
      <c r="W476" s="769">
        <v>43349.0</v>
      </c>
      <c r="X476" s="765" t="s">
        <v>5058</v>
      </c>
      <c r="Y476" s="765" t="s">
        <v>5059</v>
      </c>
      <c r="Z476" s="765"/>
      <c r="AA476" s="765"/>
      <c r="AB476" s="765"/>
      <c r="AC476" s="253" t="s">
        <v>540</v>
      </c>
    </row>
    <row r="477" ht="15.75" hidden="1" customHeight="1">
      <c r="A477" s="764">
        <v>43308.0</v>
      </c>
      <c r="B477" s="265" t="s">
        <v>101</v>
      </c>
      <c r="C477" s="765" t="s">
        <v>5053</v>
      </c>
      <c r="D477" s="252" t="s">
        <v>5054</v>
      </c>
      <c r="E477" s="602" t="s">
        <v>5063</v>
      </c>
      <c r="F477" s="253">
        <v>15.0</v>
      </c>
      <c r="G477" s="254">
        <v>178.0</v>
      </c>
      <c r="H477" s="255">
        <f t="shared" si="19"/>
        <v>2670</v>
      </c>
      <c r="I477" s="256" t="s">
        <v>171</v>
      </c>
      <c r="J477" s="369" t="s">
        <v>3568</v>
      </c>
      <c r="K477" s="258">
        <v>43339.0</v>
      </c>
      <c r="L477" s="258">
        <v>43321.0</v>
      </c>
      <c r="M477" s="388"/>
      <c r="N477" s="253" t="s">
        <v>2020</v>
      </c>
      <c r="O477" s="252" t="s">
        <v>5064</v>
      </c>
      <c r="P477" s="598"/>
      <c r="Q477" s="579">
        <v>141149.0</v>
      </c>
      <c r="R477" s="604" t="s">
        <v>3906</v>
      </c>
      <c r="S477" s="768">
        <v>43350.0</v>
      </c>
      <c r="T477" s="769">
        <v>43319.0</v>
      </c>
      <c r="U477" s="765" t="s">
        <v>5065</v>
      </c>
      <c r="V477" s="770">
        <v>141149.0</v>
      </c>
      <c r="W477" s="769">
        <v>43378.0</v>
      </c>
      <c r="X477" s="765" t="s">
        <v>5058</v>
      </c>
      <c r="Y477" s="765" t="s">
        <v>5059</v>
      </c>
      <c r="Z477" s="765"/>
      <c r="AA477" s="765"/>
      <c r="AB477" s="765"/>
      <c r="AC477" s="253" t="s">
        <v>540</v>
      </c>
    </row>
    <row r="478" ht="45.0" hidden="1" customHeight="1">
      <c r="A478" s="764">
        <v>43308.0</v>
      </c>
      <c r="B478" s="265" t="s">
        <v>101</v>
      </c>
      <c r="C478" s="765" t="s">
        <v>5053</v>
      </c>
      <c r="D478" s="252" t="s">
        <v>5066</v>
      </c>
      <c r="E478" s="861" t="s">
        <v>5067</v>
      </c>
      <c r="F478" s="253">
        <v>13.0</v>
      </c>
      <c r="G478" s="254">
        <v>533.5</v>
      </c>
      <c r="H478" s="255">
        <f t="shared" si="19"/>
        <v>6935.5</v>
      </c>
      <c r="I478" s="256" t="s">
        <v>171</v>
      </c>
      <c r="J478" s="369" t="s">
        <v>3568</v>
      </c>
      <c r="K478" s="258">
        <v>43339.0</v>
      </c>
      <c r="L478" s="258">
        <v>43327.0</v>
      </c>
      <c r="M478" s="388"/>
      <c r="N478" s="333" t="s">
        <v>2028</v>
      </c>
      <c r="O478" s="252" t="s">
        <v>5056</v>
      </c>
      <c r="P478" s="598"/>
      <c r="Q478" s="579">
        <v>200396.0</v>
      </c>
      <c r="R478" s="578" t="s">
        <v>2030</v>
      </c>
      <c r="S478" s="768">
        <v>43378.0</v>
      </c>
      <c r="T478" s="769">
        <v>43326.0</v>
      </c>
      <c r="U478" s="765" t="s">
        <v>5057</v>
      </c>
      <c r="V478" s="765" t="s">
        <v>5068</v>
      </c>
      <c r="W478" s="769">
        <v>43384.0</v>
      </c>
      <c r="X478" s="765" t="s">
        <v>5058</v>
      </c>
      <c r="Y478" s="765" t="s">
        <v>5059</v>
      </c>
      <c r="Z478" s="765"/>
      <c r="AA478" s="765"/>
      <c r="AB478" s="765"/>
      <c r="AC478" s="253" t="s">
        <v>540</v>
      </c>
    </row>
    <row r="479" ht="15.75" hidden="1" customHeight="1">
      <c r="A479" s="764">
        <v>43308.0</v>
      </c>
      <c r="B479" s="265" t="s">
        <v>101</v>
      </c>
      <c r="C479" s="765" t="s">
        <v>5053</v>
      </c>
      <c r="D479" s="252" t="s">
        <v>5066</v>
      </c>
      <c r="E479" s="815" t="s">
        <v>5069</v>
      </c>
      <c r="F479" s="253">
        <v>13.0</v>
      </c>
      <c r="G479" s="254">
        <v>229.0</v>
      </c>
      <c r="H479" s="255">
        <f t="shared" si="19"/>
        <v>2977</v>
      </c>
      <c r="I479" s="256" t="s">
        <v>171</v>
      </c>
      <c r="J479" s="369" t="s">
        <v>3568</v>
      </c>
      <c r="K479" s="258">
        <v>43339.0</v>
      </c>
      <c r="L479" s="258">
        <v>43319.0</v>
      </c>
      <c r="M479" s="388"/>
      <c r="N479" s="333" t="s">
        <v>2026</v>
      </c>
      <c r="O479" s="252" t="s">
        <v>5061</v>
      </c>
      <c r="P479" s="268">
        <v>2525.25</v>
      </c>
      <c r="Q479" s="600"/>
      <c r="R479" s="340" t="s">
        <v>47</v>
      </c>
      <c r="S479" s="768">
        <v>43348.0</v>
      </c>
      <c r="T479" s="769">
        <v>43318.0</v>
      </c>
      <c r="U479" s="765" t="s">
        <v>5062</v>
      </c>
      <c r="V479" s="770" t="s">
        <v>5070</v>
      </c>
      <c r="W479" s="769">
        <v>43349.0</v>
      </c>
      <c r="X479" s="765" t="s">
        <v>5058</v>
      </c>
      <c r="Y479" s="765" t="s">
        <v>5059</v>
      </c>
      <c r="Z479" s="765"/>
      <c r="AA479" s="765"/>
      <c r="AB479" s="765"/>
      <c r="AC479" s="253" t="s">
        <v>540</v>
      </c>
    </row>
    <row r="480" ht="15.75" hidden="1" customHeight="1">
      <c r="A480" s="764">
        <v>43308.0</v>
      </c>
      <c r="B480" s="265" t="s">
        <v>101</v>
      </c>
      <c r="C480" s="765" t="s">
        <v>5053</v>
      </c>
      <c r="D480" s="252" t="s">
        <v>5066</v>
      </c>
      <c r="E480" s="602" t="s">
        <v>5063</v>
      </c>
      <c r="F480" s="253">
        <v>13.0</v>
      </c>
      <c r="G480" s="254">
        <v>178.0</v>
      </c>
      <c r="H480" s="255">
        <f t="shared" si="19"/>
        <v>2314</v>
      </c>
      <c r="I480" s="256" t="s">
        <v>171</v>
      </c>
      <c r="J480" s="369" t="s">
        <v>3568</v>
      </c>
      <c r="K480" s="258">
        <v>43339.0</v>
      </c>
      <c r="L480" s="258">
        <v>43321.0</v>
      </c>
      <c r="M480" s="388"/>
      <c r="N480" s="253" t="s">
        <v>2020</v>
      </c>
      <c r="O480" s="252" t="s">
        <v>5064</v>
      </c>
      <c r="P480" s="598"/>
      <c r="Q480" s="581" t="s">
        <v>5071</v>
      </c>
      <c r="R480" s="604" t="s">
        <v>3906</v>
      </c>
      <c r="S480" s="768">
        <v>43350.0</v>
      </c>
      <c r="T480" s="769">
        <v>43319.0</v>
      </c>
      <c r="U480" s="765" t="s">
        <v>5065</v>
      </c>
      <c r="V480" s="770" t="s">
        <v>5072</v>
      </c>
      <c r="W480" s="769">
        <v>43378.0</v>
      </c>
      <c r="X480" s="765" t="s">
        <v>5058</v>
      </c>
      <c r="Y480" s="765" t="s">
        <v>5059</v>
      </c>
      <c r="Z480" s="765"/>
      <c r="AA480" s="765"/>
      <c r="AB480" s="765"/>
      <c r="AC480" s="253" t="s">
        <v>540</v>
      </c>
    </row>
    <row r="481" ht="15.75" hidden="1" customHeight="1">
      <c r="A481" s="764">
        <v>43309.0</v>
      </c>
      <c r="B481" s="265" t="s">
        <v>5073</v>
      </c>
      <c r="C481" s="765" t="s">
        <v>5074</v>
      </c>
      <c r="D481" s="252" t="s">
        <v>5075</v>
      </c>
      <c r="E481" s="602" t="s">
        <v>5076</v>
      </c>
      <c r="F481" s="253">
        <v>1.0</v>
      </c>
      <c r="G481" s="254">
        <v>2294.0</v>
      </c>
      <c r="H481" s="255">
        <f t="shared" si="19"/>
        <v>2294</v>
      </c>
      <c r="I481" s="256" t="s">
        <v>3874</v>
      </c>
      <c r="J481" s="269" t="s">
        <v>5077</v>
      </c>
      <c r="K481" s="258">
        <v>43321.0</v>
      </c>
      <c r="L481" s="258">
        <v>43315.0</v>
      </c>
      <c r="M481" s="388"/>
      <c r="N481" s="333" t="s">
        <v>3593</v>
      </c>
      <c r="O481" s="310" t="s">
        <v>5078</v>
      </c>
      <c r="P481" s="598"/>
      <c r="Q481" s="579">
        <v>64995.0</v>
      </c>
      <c r="R481" s="310" t="s">
        <v>2080</v>
      </c>
      <c r="S481" s="768">
        <v>43404.0</v>
      </c>
      <c r="T481" s="769">
        <v>43314.0</v>
      </c>
      <c r="U481" s="765" t="s">
        <v>5079</v>
      </c>
      <c r="V481" s="770">
        <v>64995.0</v>
      </c>
      <c r="W481" s="769">
        <v>43355.0</v>
      </c>
      <c r="X481" s="765" t="s">
        <v>5080</v>
      </c>
      <c r="Y481" s="765">
        <v>9.68141986E9</v>
      </c>
      <c r="Z481" s="765"/>
      <c r="AA481" s="765"/>
      <c r="AB481" s="765"/>
      <c r="AC481" s="253" t="s">
        <v>284</v>
      </c>
    </row>
    <row r="482" ht="29.25" hidden="1" customHeight="1">
      <c r="A482" s="764">
        <v>43309.0</v>
      </c>
      <c r="B482" s="265" t="s">
        <v>5073</v>
      </c>
      <c r="C482" s="765" t="s">
        <v>5081</v>
      </c>
      <c r="D482" s="252" t="s">
        <v>5082</v>
      </c>
      <c r="E482" s="602" t="s">
        <v>975</v>
      </c>
      <c r="F482" s="253">
        <v>1.0</v>
      </c>
      <c r="G482" s="254">
        <v>86.0</v>
      </c>
      <c r="H482" s="255">
        <f t="shared" si="19"/>
        <v>86</v>
      </c>
      <c r="I482" s="256" t="s">
        <v>3874</v>
      </c>
      <c r="J482" s="269" t="s">
        <v>3749</v>
      </c>
      <c r="K482" s="258">
        <v>43321.0</v>
      </c>
      <c r="L482" s="258">
        <v>43321.0</v>
      </c>
      <c r="M482" s="388"/>
      <c r="N482" s="333" t="s">
        <v>90</v>
      </c>
      <c r="O482" s="310" t="s">
        <v>5083</v>
      </c>
      <c r="P482" s="268">
        <v>80.1675</v>
      </c>
      <c r="Q482" s="330"/>
      <c r="R482" s="340" t="s">
        <v>94</v>
      </c>
      <c r="S482" s="862">
        <v>43373.0</v>
      </c>
      <c r="T482" s="769">
        <v>43320.0</v>
      </c>
      <c r="U482" s="765" t="s">
        <v>5084</v>
      </c>
      <c r="V482" s="770">
        <v>3927.0</v>
      </c>
      <c r="W482" s="769">
        <v>43378.0</v>
      </c>
      <c r="X482" s="765" t="s">
        <v>5080</v>
      </c>
      <c r="Y482" s="765">
        <v>9.68141986E9</v>
      </c>
      <c r="Z482" s="765"/>
      <c r="AA482" s="765"/>
      <c r="AB482" s="765"/>
      <c r="AC482" s="253" t="s">
        <v>284</v>
      </c>
    </row>
    <row r="483" ht="15.75" hidden="1" customHeight="1">
      <c r="A483" s="764">
        <v>43309.0</v>
      </c>
      <c r="B483" s="265" t="s">
        <v>5073</v>
      </c>
      <c r="C483" s="765" t="s">
        <v>5081</v>
      </c>
      <c r="D483" s="252" t="s">
        <v>5085</v>
      </c>
      <c r="E483" s="602" t="s">
        <v>5086</v>
      </c>
      <c r="F483" s="253">
        <v>1.0</v>
      </c>
      <c r="G483" s="254">
        <v>53.0</v>
      </c>
      <c r="H483" s="255">
        <f t="shared" si="19"/>
        <v>53</v>
      </c>
      <c r="I483" s="256" t="s">
        <v>3874</v>
      </c>
      <c r="J483" s="269" t="s">
        <v>3749</v>
      </c>
      <c r="K483" s="258">
        <v>43321.0</v>
      </c>
      <c r="L483" s="258">
        <v>43321.0</v>
      </c>
      <c r="M483" s="388"/>
      <c r="N483" s="333" t="s">
        <v>90</v>
      </c>
      <c r="O483" s="310" t="s">
        <v>5083</v>
      </c>
      <c r="P483" s="268">
        <v>48.3</v>
      </c>
      <c r="Q483" s="330"/>
      <c r="R483" s="340" t="s">
        <v>94</v>
      </c>
      <c r="S483" s="810">
        <v>43373.0</v>
      </c>
      <c r="T483" s="769">
        <v>43320.0</v>
      </c>
      <c r="U483" s="765" t="s">
        <v>5084</v>
      </c>
      <c r="V483" s="765" t="s">
        <v>5087</v>
      </c>
      <c r="W483" s="769">
        <v>43378.0</v>
      </c>
      <c r="X483" s="765" t="s">
        <v>5080</v>
      </c>
      <c r="Y483" s="765">
        <v>9.68141986E9</v>
      </c>
      <c r="Z483" s="765"/>
      <c r="AA483" s="765"/>
      <c r="AB483" s="765"/>
      <c r="AC483" s="253" t="s">
        <v>284</v>
      </c>
    </row>
    <row r="484" ht="15.75" hidden="1" customHeight="1">
      <c r="A484" s="764">
        <v>43311.0</v>
      </c>
      <c r="B484" s="265" t="s">
        <v>229</v>
      </c>
      <c r="C484" s="765"/>
      <c r="D484" s="252" t="s">
        <v>5088</v>
      </c>
      <c r="E484" s="602" t="s">
        <v>232</v>
      </c>
      <c r="F484" s="253">
        <v>10.0</v>
      </c>
      <c r="G484" s="325">
        <v>407.4</v>
      </c>
      <c r="H484" s="255">
        <f t="shared" si="19"/>
        <v>4074</v>
      </c>
      <c r="I484" s="256" t="s">
        <v>171</v>
      </c>
      <c r="J484" s="369" t="s">
        <v>90</v>
      </c>
      <c r="K484" s="258">
        <v>43333.0</v>
      </c>
      <c r="L484" s="258">
        <v>43333.0</v>
      </c>
      <c r="M484" s="388"/>
      <c r="N484" s="333" t="s">
        <v>90</v>
      </c>
      <c r="O484" s="310" t="s">
        <v>5089</v>
      </c>
      <c r="P484" s="268">
        <v>3727.5</v>
      </c>
      <c r="Q484" s="330"/>
      <c r="R484" s="340" t="s">
        <v>94</v>
      </c>
      <c r="S484" s="810">
        <v>43373.0</v>
      </c>
      <c r="T484" s="771">
        <v>43333.0</v>
      </c>
      <c r="U484" s="252" t="s">
        <v>5090</v>
      </c>
      <c r="V484" s="774">
        <v>134463.0</v>
      </c>
      <c r="W484" s="769">
        <v>43378.0</v>
      </c>
      <c r="X484" s="765" t="s">
        <v>5091</v>
      </c>
      <c r="Y484" s="765"/>
      <c r="Z484" s="765" t="s">
        <v>5092</v>
      </c>
      <c r="AA484" s="770">
        <v>147279.0</v>
      </c>
      <c r="AB484" s="765"/>
      <c r="AC484" s="253" t="s">
        <v>377</v>
      </c>
    </row>
    <row r="485" ht="15.75" hidden="1" customHeight="1">
      <c r="A485" s="764">
        <v>43311.0</v>
      </c>
      <c r="B485" s="265" t="s">
        <v>229</v>
      </c>
      <c r="C485" s="765"/>
      <c r="D485" s="252" t="s">
        <v>5088</v>
      </c>
      <c r="E485" s="599" t="s">
        <v>736</v>
      </c>
      <c r="F485" s="253">
        <v>2.0</v>
      </c>
      <c r="G485" s="793">
        <v>336.0</v>
      </c>
      <c r="H485" s="255">
        <f t="shared" si="19"/>
        <v>672</v>
      </c>
      <c r="I485" s="256" t="s">
        <v>171</v>
      </c>
      <c r="J485" s="369" t="s">
        <v>90</v>
      </c>
      <c r="K485" s="258">
        <v>43333.0</v>
      </c>
      <c r="L485" s="258">
        <v>43333.0</v>
      </c>
      <c r="M485" s="388"/>
      <c r="N485" s="333" t="s">
        <v>90</v>
      </c>
      <c r="O485" s="310" t="s">
        <v>5089</v>
      </c>
      <c r="P485" s="268">
        <v>602.7</v>
      </c>
      <c r="Q485" s="330"/>
      <c r="R485" s="340" t="s">
        <v>94</v>
      </c>
      <c r="S485" s="810">
        <v>43373.0</v>
      </c>
      <c r="T485" s="771">
        <v>43333.0</v>
      </c>
      <c r="U485" s="252" t="s">
        <v>5090</v>
      </c>
      <c r="V485" s="770" t="s">
        <v>5093</v>
      </c>
      <c r="W485" s="769">
        <v>43378.0</v>
      </c>
      <c r="X485" s="765" t="s">
        <v>5091</v>
      </c>
      <c r="Y485" s="765"/>
      <c r="Z485" s="765" t="s">
        <v>5092</v>
      </c>
      <c r="AA485" s="765" t="s">
        <v>5094</v>
      </c>
      <c r="AB485" s="765"/>
      <c r="AC485" s="253" t="s">
        <v>377</v>
      </c>
    </row>
    <row r="486" ht="15.75" hidden="1" customHeight="1">
      <c r="A486" s="764">
        <v>43311.0</v>
      </c>
      <c r="B486" s="265" t="s">
        <v>229</v>
      </c>
      <c r="C486" s="765"/>
      <c r="D486" s="252" t="s">
        <v>5088</v>
      </c>
      <c r="E486" s="820" t="s">
        <v>737</v>
      </c>
      <c r="F486" s="253">
        <v>2.0</v>
      </c>
      <c r="G486" s="325">
        <v>21.0</v>
      </c>
      <c r="H486" s="255">
        <f t="shared" si="19"/>
        <v>42</v>
      </c>
      <c r="I486" s="256" t="s">
        <v>171</v>
      </c>
      <c r="J486" s="369" t="s">
        <v>90</v>
      </c>
      <c r="K486" s="258">
        <v>43333.0</v>
      </c>
      <c r="L486" s="258">
        <v>43333.0</v>
      </c>
      <c r="M486" s="388"/>
      <c r="N486" s="333" t="s">
        <v>90</v>
      </c>
      <c r="O486" s="310" t="s">
        <v>5089</v>
      </c>
      <c r="P486" s="268">
        <v>35.49</v>
      </c>
      <c r="Q486" s="330"/>
      <c r="R486" s="340" t="s">
        <v>94</v>
      </c>
      <c r="S486" s="810">
        <v>43373.0</v>
      </c>
      <c r="T486" s="771">
        <v>43333.0</v>
      </c>
      <c r="U486" s="252" t="s">
        <v>5090</v>
      </c>
      <c r="V486" s="770" t="s">
        <v>5093</v>
      </c>
      <c r="W486" s="769">
        <v>43378.0</v>
      </c>
      <c r="X486" s="765" t="s">
        <v>5091</v>
      </c>
      <c r="Y486" s="765"/>
      <c r="Z486" s="765" t="s">
        <v>5092</v>
      </c>
      <c r="AA486" s="765" t="s">
        <v>5094</v>
      </c>
      <c r="AB486" s="765"/>
      <c r="AC486" s="253" t="s">
        <v>377</v>
      </c>
    </row>
    <row r="487" ht="15.75" hidden="1" customHeight="1">
      <c r="A487" s="776">
        <v>43312.0</v>
      </c>
      <c r="B487" s="340" t="s">
        <v>54</v>
      </c>
      <c r="C487" s="252" t="s">
        <v>5095</v>
      </c>
      <c r="D487" s="310" t="s">
        <v>5096</v>
      </c>
      <c r="E487" s="578" t="s">
        <v>386</v>
      </c>
      <c r="F487" s="266">
        <v>10.0</v>
      </c>
      <c r="G487" s="254">
        <v>150.15</v>
      </c>
      <c r="H487" s="267">
        <f t="shared" si="19"/>
        <v>1501.5</v>
      </c>
      <c r="I487" s="266" t="s">
        <v>43</v>
      </c>
      <c r="J487" s="253" t="s">
        <v>90</v>
      </c>
      <c r="K487" s="258">
        <v>43325.0</v>
      </c>
      <c r="L487" s="258">
        <v>43325.0</v>
      </c>
      <c r="M487" s="388"/>
      <c r="N487" s="333" t="s">
        <v>90</v>
      </c>
      <c r="O487" s="310" t="s">
        <v>5097</v>
      </c>
      <c r="P487" s="268">
        <v>1344.0</v>
      </c>
      <c r="Q487" s="330"/>
      <c r="R487" s="340" t="s">
        <v>94</v>
      </c>
      <c r="S487" s="862">
        <v>43373.0</v>
      </c>
      <c r="T487" s="769">
        <v>43325.0</v>
      </c>
      <c r="U487" s="765" t="s">
        <v>5098</v>
      </c>
      <c r="V487" s="770">
        <v>41194.0</v>
      </c>
      <c r="W487" s="769">
        <v>43378.0</v>
      </c>
      <c r="X487" s="765" t="s">
        <v>5099</v>
      </c>
      <c r="Y487" s="765"/>
      <c r="Z487" s="863" t="s">
        <v>5100</v>
      </c>
      <c r="AA487" s="770">
        <v>46096.0</v>
      </c>
      <c r="AB487" s="765" t="s">
        <v>5101</v>
      </c>
      <c r="AC487" s="253" t="s">
        <v>377</v>
      </c>
    </row>
    <row r="488" ht="15.75" hidden="1" customHeight="1">
      <c r="A488" s="764">
        <v>43312.0</v>
      </c>
      <c r="B488" s="265" t="s">
        <v>130</v>
      </c>
      <c r="C488" s="765" t="s">
        <v>5102</v>
      </c>
      <c r="D488" s="252" t="s">
        <v>5103</v>
      </c>
      <c r="E488" s="602" t="s">
        <v>5104</v>
      </c>
      <c r="F488" s="253">
        <v>1.0</v>
      </c>
      <c r="G488" s="254">
        <v>243.0</v>
      </c>
      <c r="H488" s="255">
        <v>243.0</v>
      </c>
      <c r="I488" s="256" t="s">
        <v>420</v>
      </c>
      <c r="J488" s="849" t="s">
        <v>4889</v>
      </c>
      <c r="K488" s="258">
        <v>43326.0</v>
      </c>
      <c r="L488" s="258">
        <v>43325.0</v>
      </c>
      <c r="M488" s="388"/>
      <c r="N488" s="333" t="s">
        <v>90</v>
      </c>
      <c r="O488" s="310" t="s">
        <v>5105</v>
      </c>
      <c r="P488" s="268">
        <v>221.55</v>
      </c>
      <c r="Q488" s="330"/>
      <c r="R488" s="340" t="s">
        <v>94</v>
      </c>
      <c r="S488" s="768">
        <v>43373.0</v>
      </c>
      <c r="T488" s="769">
        <v>43320.0</v>
      </c>
      <c r="U488" s="765" t="s">
        <v>5106</v>
      </c>
      <c r="V488" s="770">
        <v>6773.0</v>
      </c>
      <c r="W488" s="769">
        <v>43378.0</v>
      </c>
      <c r="X488" s="765" t="s">
        <v>5026</v>
      </c>
      <c r="Y488" s="765">
        <v>2.293785163E9</v>
      </c>
      <c r="Z488" s="765"/>
      <c r="AA488" s="765"/>
      <c r="AB488" s="765"/>
      <c r="AC488" s="253" t="s">
        <v>284</v>
      </c>
    </row>
    <row r="489" ht="15.75" customHeight="1">
      <c r="A489" s="764">
        <v>43312.0</v>
      </c>
      <c r="B489" s="144" t="s">
        <v>77</v>
      </c>
      <c r="C489" s="765">
        <v>861.0</v>
      </c>
      <c r="D489" s="252" t="s">
        <v>5107</v>
      </c>
      <c r="E489" s="602" t="s">
        <v>5108</v>
      </c>
      <c r="F489" s="253">
        <v>35.0</v>
      </c>
      <c r="G489" s="254">
        <v>155.0</v>
      </c>
      <c r="H489" s="255">
        <f t="shared" ref="H489:H498" si="20">G489*F489</f>
        <v>5425</v>
      </c>
      <c r="I489" s="256" t="s">
        <v>43</v>
      </c>
      <c r="J489" s="864" t="s">
        <v>5109</v>
      </c>
      <c r="K489" s="258">
        <v>43343.0</v>
      </c>
      <c r="L489" s="258">
        <v>43320.0</v>
      </c>
      <c r="M489" s="388"/>
      <c r="N489" s="333" t="s">
        <v>5110</v>
      </c>
      <c r="O489" s="310" t="s">
        <v>5111</v>
      </c>
      <c r="P489" s="598"/>
      <c r="Q489" s="579">
        <v>63144.0</v>
      </c>
      <c r="R489" s="604" t="s">
        <v>5112</v>
      </c>
      <c r="S489" s="581" t="s">
        <v>422</v>
      </c>
      <c r="T489" s="769">
        <v>43320.0</v>
      </c>
      <c r="U489" s="252" t="s">
        <v>5113</v>
      </c>
      <c r="V489" s="774">
        <v>63144.0</v>
      </c>
      <c r="W489" s="769">
        <v>43319.0</v>
      </c>
      <c r="X489" s="765" t="s">
        <v>5114</v>
      </c>
      <c r="Y489" s="605" t="s">
        <v>5115</v>
      </c>
      <c r="Z489" s="765"/>
      <c r="AA489" s="765"/>
      <c r="AB489" s="765"/>
      <c r="AC489" s="253" t="s">
        <v>284</v>
      </c>
    </row>
    <row r="490" ht="15.75" customHeight="1">
      <c r="A490" s="764">
        <v>43312.0</v>
      </c>
      <c r="B490" s="144" t="s">
        <v>77</v>
      </c>
      <c r="C490" s="765">
        <v>861.0</v>
      </c>
      <c r="D490" s="252" t="s">
        <v>5107</v>
      </c>
      <c r="E490" s="422" t="s">
        <v>4397</v>
      </c>
      <c r="F490" s="253">
        <v>35.0</v>
      </c>
      <c r="G490" s="254">
        <v>0.0</v>
      </c>
      <c r="H490" s="255">
        <f t="shared" si="20"/>
        <v>0</v>
      </c>
      <c r="I490" s="256" t="s">
        <v>43</v>
      </c>
      <c r="J490" s="865" t="s">
        <v>5109</v>
      </c>
      <c r="K490" s="258">
        <v>43343.0</v>
      </c>
      <c r="L490" s="258">
        <v>43327.0</v>
      </c>
      <c r="M490" s="388"/>
      <c r="N490" s="333" t="s">
        <v>1537</v>
      </c>
      <c r="O490" s="310" t="s">
        <v>5116</v>
      </c>
      <c r="P490" s="598"/>
      <c r="Q490" s="310">
        <v>0.0</v>
      </c>
      <c r="R490" s="604" t="s">
        <v>4389</v>
      </c>
      <c r="S490" s="330"/>
      <c r="T490" s="769">
        <v>43326.0</v>
      </c>
      <c r="U490" s="765" t="s">
        <v>5117</v>
      </c>
      <c r="V490" s="765" t="s">
        <v>5118</v>
      </c>
      <c r="W490" s="767"/>
      <c r="X490" s="765" t="s">
        <v>5114</v>
      </c>
      <c r="Y490" s="866" t="s">
        <v>5115</v>
      </c>
      <c r="Z490" s="765"/>
      <c r="AA490" s="765"/>
      <c r="AB490" s="765"/>
      <c r="AC490" s="253" t="s">
        <v>284</v>
      </c>
    </row>
    <row r="491" ht="15.75" customHeight="1">
      <c r="A491" s="764">
        <v>43312.0</v>
      </c>
      <c r="B491" s="144" t="s">
        <v>77</v>
      </c>
      <c r="C491" s="765">
        <v>861.0</v>
      </c>
      <c r="D491" s="252" t="s">
        <v>5107</v>
      </c>
      <c r="E491" s="252" t="s">
        <v>647</v>
      </c>
      <c r="F491" s="253">
        <v>35.0</v>
      </c>
      <c r="G491" s="254">
        <v>0.0</v>
      </c>
      <c r="H491" s="255">
        <f t="shared" si="20"/>
        <v>0</v>
      </c>
      <c r="I491" s="256" t="s">
        <v>43</v>
      </c>
      <c r="J491" s="865" t="s">
        <v>5109</v>
      </c>
      <c r="K491" s="258">
        <v>43343.0</v>
      </c>
      <c r="L491" s="258">
        <v>43327.0</v>
      </c>
      <c r="M491" s="388"/>
      <c r="N491" s="333" t="s">
        <v>1537</v>
      </c>
      <c r="O491" s="310" t="s">
        <v>5116</v>
      </c>
      <c r="P491" s="598"/>
      <c r="Q491" s="310">
        <v>0.0</v>
      </c>
      <c r="R491" s="604" t="s">
        <v>4389</v>
      </c>
      <c r="S491" s="330"/>
      <c r="T491" s="769">
        <v>43326.0</v>
      </c>
      <c r="U491" s="765" t="s">
        <v>5117</v>
      </c>
      <c r="V491" s="765" t="s">
        <v>5118</v>
      </c>
      <c r="W491" s="767"/>
      <c r="X491" s="765" t="s">
        <v>5114</v>
      </c>
      <c r="Y491" s="866" t="s">
        <v>5115</v>
      </c>
      <c r="Z491" s="765"/>
      <c r="AA491" s="765"/>
      <c r="AB491" s="765"/>
      <c r="AC491" s="253" t="s">
        <v>284</v>
      </c>
    </row>
    <row r="492" ht="15.75" customHeight="1">
      <c r="A492" s="764">
        <v>43312.0</v>
      </c>
      <c r="B492" s="144" t="s">
        <v>77</v>
      </c>
      <c r="C492" s="765">
        <v>861.0</v>
      </c>
      <c r="D492" s="252" t="s">
        <v>5107</v>
      </c>
      <c r="E492" s="252" t="s">
        <v>648</v>
      </c>
      <c r="F492" s="253">
        <v>35.0</v>
      </c>
      <c r="G492" s="254">
        <v>0.0</v>
      </c>
      <c r="H492" s="255">
        <f t="shared" si="20"/>
        <v>0</v>
      </c>
      <c r="I492" s="256" t="s">
        <v>43</v>
      </c>
      <c r="J492" s="865" t="s">
        <v>5109</v>
      </c>
      <c r="K492" s="258">
        <v>43343.0</v>
      </c>
      <c r="L492" s="258">
        <v>43327.0</v>
      </c>
      <c r="M492" s="388"/>
      <c r="N492" s="333" t="s">
        <v>1537</v>
      </c>
      <c r="O492" s="310" t="s">
        <v>5116</v>
      </c>
      <c r="P492" s="598"/>
      <c r="Q492" s="310">
        <v>0.0</v>
      </c>
      <c r="R492" s="604" t="s">
        <v>4389</v>
      </c>
      <c r="S492" s="330"/>
      <c r="T492" s="769">
        <v>43326.0</v>
      </c>
      <c r="U492" s="765" t="s">
        <v>5117</v>
      </c>
      <c r="V492" s="765" t="s">
        <v>5118</v>
      </c>
      <c r="W492" s="767"/>
      <c r="X492" s="765" t="s">
        <v>5114</v>
      </c>
      <c r="Y492" s="866" t="s">
        <v>5115</v>
      </c>
      <c r="Z492" s="765"/>
      <c r="AA492" s="765"/>
      <c r="AB492" s="765"/>
      <c r="AC492" s="253" t="s">
        <v>284</v>
      </c>
    </row>
    <row r="493" ht="15.75" customHeight="1">
      <c r="A493" s="764">
        <v>43312.0</v>
      </c>
      <c r="B493" s="144" t="s">
        <v>77</v>
      </c>
      <c r="C493" s="765">
        <v>861.0</v>
      </c>
      <c r="D493" s="252" t="s">
        <v>5107</v>
      </c>
      <c r="E493" s="252" t="s">
        <v>649</v>
      </c>
      <c r="F493" s="253">
        <v>35.0</v>
      </c>
      <c r="G493" s="254">
        <v>0.0</v>
      </c>
      <c r="H493" s="255">
        <f t="shared" si="20"/>
        <v>0</v>
      </c>
      <c r="I493" s="256" t="s">
        <v>43</v>
      </c>
      <c r="J493" s="865" t="s">
        <v>5109</v>
      </c>
      <c r="K493" s="258">
        <v>43343.0</v>
      </c>
      <c r="L493" s="258">
        <v>43327.0</v>
      </c>
      <c r="M493" s="388"/>
      <c r="N493" s="333" t="s">
        <v>1537</v>
      </c>
      <c r="O493" s="310" t="s">
        <v>5116</v>
      </c>
      <c r="P493" s="598"/>
      <c r="Q493" s="579">
        <v>77285.0</v>
      </c>
      <c r="R493" s="604" t="s">
        <v>4389</v>
      </c>
      <c r="S493" s="768">
        <v>43348.0</v>
      </c>
      <c r="T493" s="769">
        <v>43326.0</v>
      </c>
      <c r="U493" s="765" t="s">
        <v>5117</v>
      </c>
      <c r="V493" s="770">
        <v>84005.0</v>
      </c>
      <c r="W493" s="769">
        <v>43349.0</v>
      </c>
      <c r="X493" s="765" t="s">
        <v>5114</v>
      </c>
      <c r="Y493" s="866" t="s">
        <v>5115</v>
      </c>
      <c r="Z493" s="765"/>
      <c r="AA493" s="765"/>
      <c r="AB493" s="765"/>
      <c r="AC493" s="253" t="s">
        <v>284</v>
      </c>
    </row>
    <row r="494" ht="15.75" customHeight="1">
      <c r="A494" s="764">
        <v>43312.0</v>
      </c>
      <c r="B494" s="144" t="s">
        <v>77</v>
      </c>
      <c r="C494" s="765">
        <v>861.0</v>
      </c>
      <c r="D494" s="252" t="s">
        <v>5107</v>
      </c>
      <c r="E494" s="252" t="s">
        <v>5119</v>
      </c>
      <c r="F494" s="253">
        <v>35.0</v>
      </c>
      <c r="G494" s="254">
        <v>0.0</v>
      </c>
      <c r="H494" s="255">
        <f t="shared" si="20"/>
        <v>0</v>
      </c>
      <c r="I494" s="256" t="s">
        <v>43</v>
      </c>
      <c r="J494" s="865" t="s">
        <v>5109</v>
      </c>
      <c r="K494" s="258">
        <v>43343.0</v>
      </c>
      <c r="L494" s="258">
        <v>43333.0</v>
      </c>
      <c r="M494" s="388"/>
      <c r="N494" s="333" t="s">
        <v>2039</v>
      </c>
      <c r="O494" s="310" t="s">
        <v>5120</v>
      </c>
      <c r="P494" s="598"/>
      <c r="Q494" s="581">
        <v>882.0</v>
      </c>
      <c r="R494" s="330" t="s">
        <v>2194</v>
      </c>
      <c r="S494" s="768">
        <v>43348.0</v>
      </c>
      <c r="T494" s="769">
        <v>43332.0</v>
      </c>
      <c r="U494" s="765" t="s">
        <v>5121</v>
      </c>
      <c r="V494" s="770">
        <v>4961.0</v>
      </c>
      <c r="W494" s="769">
        <v>43349.0</v>
      </c>
      <c r="X494" s="765" t="s">
        <v>5114</v>
      </c>
      <c r="Y494" s="866" t="s">
        <v>5115</v>
      </c>
      <c r="Z494" s="765"/>
      <c r="AA494" s="765"/>
      <c r="AB494" s="765"/>
      <c r="AC494" s="253" t="s">
        <v>284</v>
      </c>
    </row>
    <row r="495" ht="15.75" customHeight="1">
      <c r="A495" s="764">
        <v>43312.0</v>
      </c>
      <c r="B495" s="144" t="s">
        <v>77</v>
      </c>
      <c r="C495" s="765">
        <v>861.0</v>
      </c>
      <c r="D495" s="252" t="s">
        <v>5107</v>
      </c>
      <c r="E495" s="602" t="s">
        <v>4379</v>
      </c>
      <c r="F495" s="253">
        <v>35.0</v>
      </c>
      <c r="G495" s="254">
        <v>6.0</v>
      </c>
      <c r="H495" s="255">
        <f t="shared" si="20"/>
        <v>210</v>
      </c>
      <c r="I495" s="256" t="s">
        <v>43</v>
      </c>
      <c r="J495" s="865" t="s">
        <v>5109</v>
      </c>
      <c r="K495" s="258">
        <v>43343.0</v>
      </c>
      <c r="L495" s="258">
        <v>43333.0</v>
      </c>
      <c r="M495" s="388"/>
      <c r="N495" s="333" t="s">
        <v>2039</v>
      </c>
      <c r="O495" s="310" t="s">
        <v>5120</v>
      </c>
      <c r="P495" s="598"/>
      <c r="Q495" s="579">
        <v>3234.0</v>
      </c>
      <c r="R495" s="330" t="s">
        <v>2194</v>
      </c>
      <c r="S495" s="768">
        <v>43348.0</v>
      </c>
      <c r="T495" s="769">
        <v>43332.0</v>
      </c>
      <c r="U495" s="765" t="s">
        <v>5121</v>
      </c>
      <c r="V495" s="765" t="s">
        <v>2745</v>
      </c>
      <c r="W495" s="769">
        <v>43349.0</v>
      </c>
      <c r="X495" s="765" t="s">
        <v>5114</v>
      </c>
      <c r="Y495" s="866" t="s">
        <v>5115</v>
      </c>
      <c r="Z495" s="765"/>
      <c r="AA495" s="765"/>
      <c r="AB495" s="765"/>
      <c r="AC495" s="253" t="s">
        <v>284</v>
      </c>
    </row>
    <row r="496" ht="15.75" customHeight="1">
      <c r="A496" s="764">
        <v>43312.0</v>
      </c>
      <c r="B496" s="144" t="s">
        <v>77</v>
      </c>
      <c r="C496" s="765">
        <v>861.0</v>
      </c>
      <c r="D496" s="252" t="s">
        <v>5107</v>
      </c>
      <c r="E496" s="602" t="s">
        <v>4381</v>
      </c>
      <c r="F496" s="253">
        <v>35.0</v>
      </c>
      <c r="G496" s="254">
        <v>2.0</v>
      </c>
      <c r="H496" s="255">
        <f t="shared" si="20"/>
        <v>70</v>
      </c>
      <c r="I496" s="256" t="s">
        <v>43</v>
      </c>
      <c r="J496" s="865" t="s">
        <v>5109</v>
      </c>
      <c r="K496" s="258">
        <v>43343.0</v>
      </c>
      <c r="L496" s="258">
        <v>43333.0</v>
      </c>
      <c r="M496" s="388"/>
      <c r="N496" s="333" t="s">
        <v>2039</v>
      </c>
      <c r="O496" s="310" t="s">
        <v>5120</v>
      </c>
      <c r="P496" s="598"/>
      <c r="Q496" s="579">
        <v>845.0</v>
      </c>
      <c r="R496" s="330" t="s">
        <v>2194</v>
      </c>
      <c r="S496" s="768">
        <v>43348.0</v>
      </c>
      <c r="T496" s="769">
        <v>43332.0</v>
      </c>
      <c r="U496" s="765" t="s">
        <v>5121</v>
      </c>
      <c r="V496" s="765" t="s">
        <v>2745</v>
      </c>
      <c r="W496" s="769">
        <v>43349.0</v>
      </c>
      <c r="X496" s="765" t="s">
        <v>5114</v>
      </c>
      <c r="Y496" s="866" t="s">
        <v>5115</v>
      </c>
      <c r="Z496" s="765"/>
      <c r="AA496" s="765"/>
      <c r="AB496" s="765"/>
      <c r="AC496" s="253" t="s">
        <v>284</v>
      </c>
    </row>
    <row r="497" ht="15.75" customHeight="1">
      <c r="A497" s="764">
        <v>43314.0</v>
      </c>
      <c r="B497" s="265" t="s">
        <v>77</v>
      </c>
      <c r="C497" s="765">
        <v>873.0</v>
      </c>
      <c r="D497" s="252" t="s">
        <v>5122</v>
      </c>
      <c r="E497" s="578" t="s">
        <v>478</v>
      </c>
      <c r="F497" s="266">
        <v>50.0</v>
      </c>
      <c r="G497" s="254">
        <v>2.25</v>
      </c>
      <c r="H497" s="255">
        <f t="shared" si="20"/>
        <v>112.5</v>
      </c>
      <c r="I497" s="256" t="s">
        <v>43</v>
      </c>
      <c r="J497" s="865" t="s">
        <v>5109</v>
      </c>
      <c r="K497" s="258">
        <v>43343.0</v>
      </c>
      <c r="L497" s="258">
        <v>43315.0</v>
      </c>
      <c r="M497" s="320"/>
      <c r="N497" s="266" t="s">
        <v>179</v>
      </c>
      <c r="O497" s="310" t="s">
        <v>5123</v>
      </c>
      <c r="P497" s="598"/>
      <c r="Q497" s="330"/>
      <c r="R497" s="310"/>
      <c r="S497" s="330"/>
      <c r="T497" s="766"/>
      <c r="U497" s="766"/>
      <c r="V497" s="766"/>
      <c r="W497" s="767"/>
      <c r="X497" s="765" t="s">
        <v>5114</v>
      </c>
      <c r="Y497" s="866" t="s">
        <v>5115</v>
      </c>
      <c r="Z497" s="765"/>
      <c r="AA497" s="765"/>
      <c r="AB497" s="765"/>
      <c r="AC497" s="253" t="s">
        <v>284</v>
      </c>
    </row>
    <row r="498" ht="15.75" customHeight="1">
      <c r="A498" s="776">
        <v>43314.0</v>
      </c>
      <c r="B498" s="340" t="s">
        <v>77</v>
      </c>
      <c r="C498" s="252">
        <v>873.0</v>
      </c>
      <c r="D498" s="310" t="s">
        <v>5122</v>
      </c>
      <c r="E498" s="604" t="s">
        <v>720</v>
      </c>
      <c r="F498" s="266">
        <v>50.0</v>
      </c>
      <c r="G498" s="267">
        <v>1.9</v>
      </c>
      <c r="H498" s="255">
        <f t="shared" si="20"/>
        <v>95</v>
      </c>
      <c r="I498" s="256" t="s">
        <v>43</v>
      </c>
      <c r="J498" s="865" t="s">
        <v>5109</v>
      </c>
      <c r="K498" s="258">
        <v>43343.0</v>
      </c>
      <c r="L498" s="258">
        <v>43315.0</v>
      </c>
      <c r="M498" s="320"/>
      <c r="N498" s="266" t="s">
        <v>179</v>
      </c>
      <c r="O498" s="310" t="s">
        <v>5124</v>
      </c>
      <c r="P498" s="598"/>
      <c r="Q498" s="330"/>
      <c r="R498" s="310"/>
      <c r="S498" s="330"/>
      <c r="T498" s="766"/>
      <c r="U498" s="766"/>
      <c r="V498" s="766"/>
      <c r="W498" s="767"/>
      <c r="X498" s="765" t="s">
        <v>5114</v>
      </c>
      <c r="Y498" s="605" t="s">
        <v>5115</v>
      </c>
      <c r="Z498" s="765"/>
      <c r="AA498" s="765"/>
      <c r="AB498" s="765"/>
      <c r="AC498" s="253" t="s">
        <v>284</v>
      </c>
    </row>
    <row r="499" ht="40.5" hidden="1" customHeight="1">
      <c r="A499" s="867">
        <v>40396.0</v>
      </c>
      <c r="B499" s="265" t="s">
        <v>416</v>
      </c>
      <c r="C499" s="765" t="s">
        <v>5125</v>
      </c>
      <c r="D499" s="252" t="s">
        <v>5126</v>
      </c>
      <c r="E499" s="868" t="s">
        <v>3591</v>
      </c>
      <c r="F499" s="253">
        <v>1.0</v>
      </c>
      <c r="G499" s="254">
        <v>345.0</v>
      </c>
      <c r="H499" s="255">
        <v>345.0</v>
      </c>
      <c r="I499" s="256" t="s">
        <v>420</v>
      </c>
      <c r="J499" s="868" t="s">
        <v>4793</v>
      </c>
      <c r="K499" s="258">
        <v>43335.0</v>
      </c>
      <c r="L499" s="403" t="s">
        <v>4794</v>
      </c>
      <c r="M499" s="388"/>
      <c r="N499" s="333" t="s">
        <v>3593</v>
      </c>
      <c r="O499" s="597" t="s">
        <v>5127</v>
      </c>
      <c r="P499" s="598"/>
      <c r="Q499" s="579">
        <v>10401.0</v>
      </c>
      <c r="R499" s="310" t="s">
        <v>2080</v>
      </c>
      <c r="S499" s="768">
        <v>43404.0</v>
      </c>
      <c r="T499" s="769">
        <v>43326.0</v>
      </c>
      <c r="U499" s="765" t="s">
        <v>5128</v>
      </c>
      <c r="V499" s="770">
        <v>10401.0</v>
      </c>
      <c r="W499" s="769">
        <v>43382.0</v>
      </c>
      <c r="X499" s="765" t="s">
        <v>4797</v>
      </c>
      <c r="Y499" s="765" t="s">
        <v>4798</v>
      </c>
      <c r="Z499" s="765"/>
      <c r="AA499" s="765"/>
      <c r="AB499" s="765"/>
      <c r="AC499" s="253" t="s">
        <v>284</v>
      </c>
    </row>
    <row r="500" ht="15.75" hidden="1" customHeight="1">
      <c r="A500" s="867">
        <v>40396.0</v>
      </c>
      <c r="B500" s="265" t="s">
        <v>416</v>
      </c>
      <c r="C500" s="765" t="s">
        <v>5125</v>
      </c>
      <c r="D500" s="252" t="s">
        <v>5126</v>
      </c>
      <c r="E500" s="602" t="s">
        <v>3598</v>
      </c>
      <c r="F500" s="253">
        <v>1.0</v>
      </c>
      <c r="G500" s="254">
        <v>55.0</v>
      </c>
      <c r="H500" s="255">
        <v>55.0</v>
      </c>
      <c r="I500" s="256" t="s">
        <v>420</v>
      </c>
      <c r="J500" s="868" t="s">
        <v>4793</v>
      </c>
      <c r="K500" s="258">
        <v>43335.0</v>
      </c>
      <c r="L500" s="258">
        <v>43333.0</v>
      </c>
      <c r="M500" s="388"/>
      <c r="N500" s="253" t="s">
        <v>2086</v>
      </c>
      <c r="O500" s="597" t="s">
        <v>5129</v>
      </c>
      <c r="P500" s="598"/>
      <c r="Q500" s="579">
        <v>1260.0</v>
      </c>
      <c r="R500" s="604" t="s">
        <v>2088</v>
      </c>
      <c r="S500" s="581" t="s">
        <v>422</v>
      </c>
      <c r="T500" s="769">
        <v>43333.0</v>
      </c>
      <c r="U500" s="765" t="s">
        <v>4800</v>
      </c>
      <c r="V500" s="765" t="s">
        <v>5130</v>
      </c>
      <c r="W500" s="769">
        <v>43327.0</v>
      </c>
      <c r="X500" s="765" t="s">
        <v>4797</v>
      </c>
      <c r="Y500" s="765" t="s">
        <v>4798</v>
      </c>
      <c r="Z500" s="765"/>
      <c r="AA500" s="765"/>
      <c r="AB500" s="765"/>
      <c r="AC500" s="253" t="s">
        <v>284</v>
      </c>
    </row>
    <row r="501" ht="15.75" hidden="1" customHeight="1">
      <c r="A501" s="764">
        <v>43318.0</v>
      </c>
      <c r="B501" s="597" t="s">
        <v>406</v>
      </c>
      <c r="C501" s="765">
        <v>7.000140226E9</v>
      </c>
      <c r="D501" s="252" t="s">
        <v>5131</v>
      </c>
      <c r="E501" s="602" t="s">
        <v>1677</v>
      </c>
      <c r="F501" s="253">
        <v>5.0</v>
      </c>
      <c r="G501" s="254">
        <v>188.0</v>
      </c>
      <c r="H501" s="255">
        <f t="shared" ref="H501:H528" si="21">G501*F501</f>
        <v>940</v>
      </c>
      <c r="I501" s="256" t="s">
        <v>43</v>
      </c>
      <c r="J501" s="403" t="s">
        <v>4002</v>
      </c>
      <c r="K501" s="258">
        <v>43328.0</v>
      </c>
      <c r="L501" s="258">
        <v>43326.0</v>
      </c>
      <c r="M501" s="388"/>
      <c r="N501" s="333" t="s">
        <v>3593</v>
      </c>
      <c r="O501" s="310" t="s">
        <v>5132</v>
      </c>
      <c r="P501" s="598"/>
      <c r="Q501" s="579">
        <v>26108.0</v>
      </c>
      <c r="R501" s="310" t="s">
        <v>2080</v>
      </c>
      <c r="S501" s="768">
        <v>43404.0</v>
      </c>
      <c r="T501" s="769">
        <v>43326.0</v>
      </c>
      <c r="U501" s="765" t="s">
        <v>5133</v>
      </c>
      <c r="V501" s="770">
        <v>33474.0</v>
      </c>
      <c r="W501" s="769">
        <v>43355.0</v>
      </c>
      <c r="X501" s="765" t="s">
        <v>4928</v>
      </c>
      <c r="Y501" s="765">
        <v>2.488726623E9</v>
      </c>
      <c r="Z501" s="765"/>
      <c r="AA501" s="765"/>
      <c r="AB501" s="765"/>
      <c r="AC501" s="253" t="s">
        <v>284</v>
      </c>
    </row>
    <row r="502" ht="15.75" hidden="1" customHeight="1">
      <c r="A502" s="764">
        <v>43318.0</v>
      </c>
      <c r="B502" s="597" t="s">
        <v>406</v>
      </c>
      <c r="C502" s="765">
        <v>7.000140226E9</v>
      </c>
      <c r="D502" s="252" t="s">
        <v>5131</v>
      </c>
      <c r="E502" s="602" t="s">
        <v>1679</v>
      </c>
      <c r="F502" s="253">
        <v>5.0</v>
      </c>
      <c r="G502" s="254">
        <v>56.0</v>
      </c>
      <c r="H502" s="255">
        <f t="shared" si="21"/>
        <v>280</v>
      </c>
      <c r="I502" s="256" t="s">
        <v>43</v>
      </c>
      <c r="J502" s="403" t="s">
        <v>4002</v>
      </c>
      <c r="K502" s="258">
        <v>43328.0</v>
      </c>
      <c r="L502" s="258">
        <v>43326.0</v>
      </c>
      <c r="M502" s="388"/>
      <c r="N502" s="333" t="s">
        <v>3593</v>
      </c>
      <c r="O502" s="310" t="s">
        <v>5132</v>
      </c>
      <c r="P502" s="598"/>
      <c r="Q502" s="579">
        <v>7366.0</v>
      </c>
      <c r="R502" s="310" t="s">
        <v>2080</v>
      </c>
      <c r="S502" s="768">
        <v>43404.0</v>
      </c>
      <c r="T502" s="769">
        <v>43326.0</v>
      </c>
      <c r="U502" s="765" t="s">
        <v>5133</v>
      </c>
      <c r="V502" s="765" t="s">
        <v>5134</v>
      </c>
      <c r="W502" s="769">
        <v>43355.0</v>
      </c>
      <c r="X502" s="765" t="s">
        <v>4928</v>
      </c>
      <c r="Y502" s="765">
        <v>2.488726623E9</v>
      </c>
      <c r="Z502" s="765"/>
      <c r="AA502" s="765"/>
      <c r="AB502" s="765"/>
      <c r="AC502" s="253" t="s">
        <v>284</v>
      </c>
    </row>
    <row r="503" ht="15.75" hidden="1" customHeight="1">
      <c r="A503" s="764">
        <v>43318.0</v>
      </c>
      <c r="B503" s="597" t="s">
        <v>406</v>
      </c>
      <c r="C503" s="765">
        <v>7.000140226E9</v>
      </c>
      <c r="D503" s="252" t="s">
        <v>5131</v>
      </c>
      <c r="E503" s="602" t="s">
        <v>1681</v>
      </c>
      <c r="F503" s="253">
        <v>1.0</v>
      </c>
      <c r="G503" s="254">
        <v>78.0</v>
      </c>
      <c r="H503" s="255">
        <f t="shared" si="21"/>
        <v>78</v>
      </c>
      <c r="I503" s="256" t="s">
        <v>43</v>
      </c>
      <c r="J503" s="333" t="s">
        <v>4002</v>
      </c>
      <c r="K503" s="258">
        <v>43354.0</v>
      </c>
      <c r="L503" s="258">
        <v>43332.0</v>
      </c>
      <c r="M503" s="388"/>
      <c r="N503" s="333" t="s">
        <v>3593</v>
      </c>
      <c r="O503" s="310" t="s">
        <v>5132</v>
      </c>
      <c r="P503" s="598"/>
      <c r="Q503" s="579">
        <v>2147.0</v>
      </c>
      <c r="R503" s="310" t="s">
        <v>2080</v>
      </c>
      <c r="S503" s="768">
        <v>43404.0</v>
      </c>
      <c r="T503" s="769">
        <v>43329.0</v>
      </c>
      <c r="U503" s="765" t="s">
        <v>5135</v>
      </c>
      <c r="V503" s="770">
        <v>2147.0</v>
      </c>
      <c r="W503" s="769">
        <v>43382.0</v>
      </c>
      <c r="X503" s="765" t="s">
        <v>4716</v>
      </c>
      <c r="Y503" s="765">
        <v>5.528488394E9</v>
      </c>
      <c r="Z503" s="765"/>
      <c r="AA503" s="765"/>
      <c r="AB503" s="765"/>
      <c r="AC503" s="253" t="s">
        <v>284</v>
      </c>
    </row>
    <row r="504" ht="15.75" hidden="1" customHeight="1">
      <c r="A504" s="764">
        <v>43318.0</v>
      </c>
      <c r="B504" s="265" t="s">
        <v>101</v>
      </c>
      <c r="C504" s="765" t="s">
        <v>5136</v>
      </c>
      <c r="D504" s="252" t="s">
        <v>5137</v>
      </c>
      <c r="E504" s="765" t="s">
        <v>5138</v>
      </c>
      <c r="F504" s="253">
        <v>20.0</v>
      </c>
      <c r="G504" s="325">
        <v>291.0</v>
      </c>
      <c r="H504" s="255">
        <f t="shared" si="21"/>
        <v>5820</v>
      </c>
      <c r="I504" s="256" t="s">
        <v>171</v>
      </c>
      <c r="J504" s="403" t="s">
        <v>3739</v>
      </c>
      <c r="K504" s="258">
        <v>43342.0</v>
      </c>
      <c r="L504" s="258">
        <v>43334.0</v>
      </c>
      <c r="M504" s="388"/>
      <c r="N504" s="333" t="s">
        <v>2028</v>
      </c>
      <c r="O504" s="310" t="s">
        <v>5139</v>
      </c>
      <c r="P504" s="598"/>
      <c r="Q504" s="579">
        <v>186480.0</v>
      </c>
      <c r="R504" s="578" t="s">
        <v>2030</v>
      </c>
      <c r="S504" s="768">
        <v>43378.0</v>
      </c>
      <c r="T504" s="769">
        <v>43333.0</v>
      </c>
      <c r="U504" s="765" t="s">
        <v>5140</v>
      </c>
      <c r="V504" s="770">
        <v>214452.0</v>
      </c>
      <c r="W504" s="769">
        <v>43384.0</v>
      </c>
      <c r="X504" s="765" t="s">
        <v>5141</v>
      </c>
      <c r="Y504" s="765">
        <v>6.930104252E9</v>
      </c>
      <c r="Z504" s="765"/>
      <c r="AA504" s="765"/>
      <c r="AB504" s="765"/>
      <c r="AC504" s="253" t="s">
        <v>540</v>
      </c>
    </row>
    <row r="505" ht="15.75" hidden="1" customHeight="1">
      <c r="A505" s="764">
        <v>43318.0</v>
      </c>
      <c r="B505" s="265" t="s">
        <v>101</v>
      </c>
      <c r="C505" s="765" t="s">
        <v>5136</v>
      </c>
      <c r="D505" s="252" t="s">
        <v>5142</v>
      </c>
      <c r="E505" s="765" t="s">
        <v>5143</v>
      </c>
      <c r="F505" s="253">
        <v>20.0</v>
      </c>
      <c r="G505" s="325">
        <v>56.0</v>
      </c>
      <c r="H505" s="255">
        <f t="shared" si="21"/>
        <v>1120</v>
      </c>
      <c r="I505" s="256" t="s">
        <v>171</v>
      </c>
      <c r="J505" s="403" t="s">
        <v>3739</v>
      </c>
      <c r="K505" s="258">
        <v>43342.0</v>
      </c>
      <c r="L505" s="258">
        <v>43334.0</v>
      </c>
      <c r="M505" s="388"/>
      <c r="N505" s="403" t="s">
        <v>4846</v>
      </c>
      <c r="O505" s="310" t="s">
        <v>5144</v>
      </c>
      <c r="P505" s="598"/>
      <c r="Q505" s="579">
        <v>25158.0</v>
      </c>
      <c r="R505" s="330" t="s">
        <v>2172</v>
      </c>
      <c r="S505" s="330"/>
      <c r="T505" s="769">
        <v>43328.0</v>
      </c>
      <c r="U505" s="765" t="s">
        <v>5145</v>
      </c>
      <c r="V505" s="770">
        <v>73458.0</v>
      </c>
      <c r="W505" s="769">
        <v>43326.0</v>
      </c>
      <c r="X505" s="765" t="s">
        <v>5141</v>
      </c>
      <c r="Y505" s="765">
        <v>6.930104252E9</v>
      </c>
      <c r="Z505" s="765"/>
      <c r="AA505" s="765"/>
      <c r="AB505" s="765"/>
      <c r="AC505" s="253" t="s">
        <v>540</v>
      </c>
    </row>
    <row r="506" ht="15.75" hidden="1" customHeight="1">
      <c r="A506" s="764">
        <v>43318.0</v>
      </c>
      <c r="B506" s="265" t="s">
        <v>101</v>
      </c>
      <c r="C506" s="765" t="s">
        <v>5136</v>
      </c>
      <c r="D506" s="252" t="s">
        <v>5142</v>
      </c>
      <c r="E506" s="602" t="s">
        <v>5146</v>
      </c>
      <c r="F506" s="253">
        <v>20.0</v>
      </c>
      <c r="G506" s="254">
        <v>85.0</v>
      </c>
      <c r="H506" s="255">
        <f t="shared" si="21"/>
        <v>1700</v>
      </c>
      <c r="I506" s="256" t="s">
        <v>171</v>
      </c>
      <c r="J506" s="403" t="s">
        <v>3739</v>
      </c>
      <c r="K506" s="258">
        <v>43342.0</v>
      </c>
      <c r="L506" s="258">
        <v>43334.0</v>
      </c>
      <c r="M506" s="388"/>
      <c r="N506" s="403" t="s">
        <v>4846</v>
      </c>
      <c r="O506" s="310" t="s">
        <v>5144</v>
      </c>
      <c r="P506" s="598"/>
      <c r="Q506" s="579">
        <v>48300.0</v>
      </c>
      <c r="R506" s="330" t="s">
        <v>2172</v>
      </c>
      <c r="S506" s="330"/>
      <c r="T506" s="769">
        <v>43328.0</v>
      </c>
      <c r="U506" s="765" t="s">
        <v>5145</v>
      </c>
      <c r="V506" s="765" t="s">
        <v>5147</v>
      </c>
      <c r="W506" s="769">
        <v>43326.0</v>
      </c>
      <c r="X506" s="765" t="s">
        <v>5141</v>
      </c>
      <c r="Y506" s="765">
        <v>6.930104252E9</v>
      </c>
      <c r="Z506" s="765"/>
      <c r="AA506" s="765"/>
      <c r="AB506" s="765"/>
      <c r="AC506" s="253" t="s">
        <v>540</v>
      </c>
    </row>
    <row r="507" ht="15.75" hidden="1" customHeight="1">
      <c r="A507" s="764">
        <v>43318.0</v>
      </c>
      <c r="B507" s="265" t="s">
        <v>101</v>
      </c>
      <c r="C507" s="765" t="s">
        <v>5136</v>
      </c>
      <c r="D507" s="252" t="s">
        <v>5137</v>
      </c>
      <c r="E507" s="602" t="s">
        <v>524</v>
      </c>
      <c r="F507" s="253">
        <v>20.0</v>
      </c>
      <c r="G507" s="254">
        <v>44.0</v>
      </c>
      <c r="H507" s="255">
        <f t="shared" si="21"/>
        <v>880</v>
      </c>
      <c r="I507" s="256" t="s">
        <v>171</v>
      </c>
      <c r="J507" s="403" t="s">
        <v>3739</v>
      </c>
      <c r="K507" s="258">
        <v>43342.0</v>
      </c>
      <c r="L507" s="258">
        <v>43334.0</v>
      </c>
      <c r="M507" s="388"/>
      <c r="N507" s="333" t="s">
        <v>2028</v>
      </c>
      <c r="O507" s="310" t="s">
        <v>5139</v>
      </c>
      <c r="P507" s="598"/>
      <c r="Q507" s="811">
        <v>27972.0</v>
      </c>
      <c r="R507" s="578" t="s">
        <v>2030</v>
      </c>
      <c r="S507" s="768">
        <v>43378.0</v>
      </c>
      <c r="T507" s="769">
        <v>43333.0</v>
      </c>
      <c r="U507" s="765" t="s">
        <v>5140</v>
      </c>
      <c r="V507" s="765" t="s">
        <v>5148</v>
      </c>
      <c r="W507" s="769">
        <v>43384.0</v>
      </c>
      <c r="X507" s="765" t="s">
        <v>5141</v>
      </c>
      <c r="Y507" s="765">
        <v>6.930104252E9</v>
      </c>
      <c r="Z507" s="765"/>
      <c r="AA507" s="765"/>
      <c r="AB507" s="765"/>
      <c r="AC507" s="253" t="s">
        <v>540</v>
      </c>
    </row>
    <row r="508" ht="15.75" hidden="1" customHeight="1">
      <c r="A508" s="764">
        <v>43318.0</v>
      </c>
      <c r="B508" s="144" t="s">
        <v>101</v>
      </c>
      <c r="C508" s="765" t="s">
        <v>5149</v>
      </c>
      <c r="D508" s="252" t="s">
        <v>5150</v>
      </c>
      <c r="E508" s="602" t="s">
        <v>5151</v>
      </c>
      <c r="F508" s="253">
        <v>5.0</v>
      </c>
      <c r="G508" s="254">
        <v>570.0</v>
      </c>
      <c r="H508" s="255">
        <f t="shared" si="21"/>
        <v>2850</v>
      </c>
      <c r="I508" s="256" t="s">
        <v>171</v>
      </c>
      <c r="J508" s="403" t="s">
        <v>3739</v>
      </c>
      <c r="K508" s="258">
        <v>43364.0</v>
      </c>
      <c r="L508" s="266" t="s">
        <v>4727</v>
      </c>
      <c r="M508" s="388"/>
      <c r="N508" s="266" t="s">
        <v>4727</v>
      </c>
      <c r="O508" s="310" t="s">
        <v>5152</v>
      </c>
      <c r="P508" s="598"/>
      <c r="Q508" s="330"/>
      <c r="R508" s="310"/>
      <c r="S508" s="330"/>
      <c r="T508" s="766"/>
      <c r="U508" s="766"/>
      <c r="V508" s="766"/>
      <c r="W508" s="767"/>
      <c r="X508" s="765" t="s">
        <v>5153</v>
      </c>
      <c r="Y508" s="765">
        <v>1.602337096E9</v>
      </c>
      <c r="Z508" s="765"/>
      <c r="AA508" s="765"/>
      <c r="AB508" s="765"/>
      <c r="AC508" s="253" t="s">
        <v>284</v>
      </c>
    </row>
    <row r="509" ht="15.75" hidden="1" customHeight="1">
      <c r="A509" s="764">
        <v>43318.0</v>
      </c>
      <c r="B509" s="144" t="s">
        <v>101</v>
      </c>
      <c r="C509" s="765" t="s">
        <v>5149</v>
      </c>
      <c r="D509" s="252" t="s">
        <v>5150</v>
      </c>
      <c r="E509" s="602" t="s">
        <v>4885</v>
      </c>
      <c r="F509" s="253">
        <v>5.0</v>
      </c>
      <c r="G509" s="254">
        <v>42.0</v>
      </c>
      <c r="H509" s="255">
        <f t="shared" si="21"/>
        <v>210</v>
      </c>
      <c r="I509" s="256" t="s">
        <v>171</v>
      </c>
      <c r="J509" s="403" t="s">
        <v>3739</v>
      </c>
      <c r="K509" s="258">
        <v>43364.0</v>
      </c>
      <c r="L509" s="266" t="s">
        <v>4727</v>
      </c>
      <c r="M509" s="388"/>
      <c r="N509" s="266" t="s">
        <v>4727</v>
      </c>
      <c r="O509" s="310" t="s">
        <v>5152</v>
      </c>
      <c r="P509" s="598"/>
      <c r="Q509" s="330"/>
      <c r="R509" s="310"/>
      <c r="S509" s="330"/>
      <c r="T509" s="766"/>
      <c r="U509" s="766"/>
      <c r="V509" s="766"/>
      <c r="W509" s="767"/>
      <c r="X509" s="765" t="s">
        <v>5153</v>
      </c>
      <c r="Y509" s="765">
        <v>1.602337096E9</v>
      </c>
      <c r="Z509" s="765"/>
      <c r="AA509" s="765"/>
      <c r="AB509" s="765"/>
      <c r="AC509" s="253" t="s">
        <v>284</v>
      </c>
    </row>
    <row r="510" ht="15.75" hidden="1" customHeight="1">
      <c r="A510" s="764">
        <v>43318.0</v>
      </c>
      <c r="B510" s="144" t="s">
        <v>101</v>
      </c>
      <c r="C510" s="765" t="s">
        <v>5149</v>
      </c>
      <c r="D510" s="252" t="s">
        <v>5150</v>
      </c>
      <c r="E510" s="602" t="s">
        <v>4886</v>
      </c>
      <c r="F510" s="253">
        <v>5.0</v>
      </c>
      <c r="G510" s="254">
        <v>140.0</v>
      </c>
      <c r="H510" s="255">
        <f t="shared" si="21"/>
        <v>700</v>
      </c>
      <c r="I510" s="256" t="s">
        <v>171</v>
      </c>
      <c r="J510" s="403" t="s">
        <v>3739</v>
      </c>
      <c r="K510" s="258">
        <v>43364.0</v>
      </c>
      <c r="L510" s="266" t="s">
        <v>4727</v>
      </c>
      <c r="M510" s="388"/>
      <c r="N510" s="266" t="s">
        <v>4727</v>
      </c>
      <c r="O510" s="310" t="s">
        <v>5152</v>
      </c>
      <c r="P510" s="598"/>
      <c r="Q510" s="330"/>
      <c r="R510" s="310"/>
      <c r="S510" s="330"/>
      <c r="T510" s="766"/>
      <c r="U510" s="766"/>
      <c r="V510" s="766"/>
      <c r="W510" s="767"/>
      <c r="X510" s="765" t="s">
        <v>5153</v>
      </c>
      <c r="Y510" s="765">
        <v>1.602337096E9</v>
      </c>
      <c r="Z510" s="765"/>
      <c r="AA510" s="765"/>
      <c r="AB510" s="765"/>
      <c r="AC510" s="253" t="s">
        <v>284</v>
      </c>
    </row>
    <row r="511" ht="15.75" hidden="1" customHeight="1">
      <c r="A511" s="764">
        <v>43318.0</v>
      </c>
      <c r="B511" s="144" t="s">
        <v>101</v>
      </c>
      <c r="C511" s="765" t="s">
        <v>5149</v>
      </c>
      <c r="D511" s="252" t="s">
        <v>5150</v>
      </c>
      <c r="E511" s="602" t="s">
        <v>442</v>
      </c>
      <c r="F511" s="253">
        <v>5.0</v>
      </c>
      <c r="G511" s="254">
        <v>38.0</v>
      </c>
      <c r="H511" s="255">
        <f t="shared" si="21"/>
        <v>190</v>
      </c>
      <c r="I511" s="256" t="s">
        <v>171</v>
      </c>
      <c r="J511" s="403" t="s">
        <v>3739</v>
      </c>
      <c r="K511" s="258">
        <v>43364.0</v>
      </c>
      <c r="L511" s="266" t="s">
        <v>4727</v>
      </c>
      <c r="M511" s="388"/>
      <c r="N511" s="266" t="s">
        <v>4727</v>
      </c>
      <c r="O511" s="310" t="s">
        <v>5152</v>
      </c>
      <c r="P511" s="598"/>
      <c r="Q511" s="330"/>
      <c r="R511" s="310"/>
      <c r="S511" s="330"/>
      <c r="T511" s="766"/>
      <c r="U511" s="766"/>
      <c r="V511" s="766"/>
      <c r="W511" s="767"/>
      <c r="X511" s="765" t="s">
        <v>5153</v>
      </c>
      <c r="Y511" s="765">
        <v>1.602337096E9</v>
      </c>
      <c r="Z511" s="765"/>
      <c r="AA511" s="765"/>
      <c r="AB511" s="765"/>
      <c r="AC511" s="253" t="s">
        <v>284</v>
      </c>
    </row>
    <row r="512" ht="15.75" hidden="1" customHeight="1">
      <c r="A512" s="764">
        <v>43318.0</v>
      </c>
      <c r="B512" s="144" t="s">
        <v>101</v>
      </c>
      <c r="C512" s="765" t="s">
        <v>5149</v>
      </c>
      <c r="D512" s="252" t="s">
        <v>5150</v>
      </c>
      <c r="E512" s="602" t="s">
        <v>546</v>
      </c>
      <c r="F512" s="253">
        <v>5.0</v>
      </c>
      <c r="G512" s="254">
        <v>47.0</v>
      </c>
      <c r="H512" s="255">
        <f t="shared" si="21"/>
        <v>235</v>
      </c>
      <c r="I512" s="256" t="s">
        <v>171</v>
      </c>
      <c r="J512" s="403" t="s">
        <v>3739</v>
      </c>
      <c r="K512" s="258">
        <v>43364.0</v>
      </c>
      <c r="L512" s="266" t="s">
        <v>4727</v>
      </c>
      <c r="M512" s="388"/>
      <c r="N512" s="266" t="s">
        <v>4727</v>
      </c>
      <c r="O512" s="310" t="s">
        <v>5152</v>
      </c>
      <c r="P512" s="598"/>
      <c r="Q512" s="330"/>
      <c r="R512" s="310"/>
      <c r="S512" s="330"/>
      <c r="T512" s="766"/>
      <c r="U512" s="766"/>
      <c r="V512" s="766"/>
      <c r="W512" s="767"/>
      <c r="X512" s="765" t="s">
        <v>5153</v>
      </c>
      <c r="Y512" s="765">
        <v>1.602337096E9</v>
      </c>
      <c r="Z512" s="765"/>
      <c r="AA512" s="765"/>
      <c r="AB512" s="765"/>
      <c r="AC512" s="253" t="s">
        <v>284</v>
      </c>
    </row>
    <row r="513" ht="15.75" hidden="1" customHeight="1">
      <c r="A513" s="764">
        <v>43318.0</v>
      </c>
      <c r="B513" s="144" t="s">
        <v>101</v>
      </c>
      <c r="C513" s="765"/>
      <c r="D513" s="252" t="s">
        <v>5150</v>
      </c>
      <c r="E513" s="602" t="s">
        <v>5154</v>
      </c>
      <c r="F513" s="253">
        <v>5.0</v>
      </c>
      <c r="G513" s="254">
        <v>10.0</v>
      </c>
      <c r="H513" s="255">
        <f t="shared" si="21"/>
        <v>50</v>
      </c>
      <c r="I513" s="256" t="s">
        <v>703</v>
      </c>
      <c r="J513" s="403" t="s">
        <v>3739</v>
      </c>
      <c r="K513" s="258">
        <v>43364.0</v>
      </c>
      <c r="L513" s="258"/>
      <c r="M513" s="388"/>
      <c r="N513" s="333"/>
      <c r="O513" s="310"/>
      <c r="P513" s="268"/>
      <c r="Q513" s="330"/>
      <c r="R513" s="340"/>
      <c r="S513" s="862"/>
      <c r="T513" s="769"/>
      <c r="U513" s="765"/>
      <c r="V513" s="770"/>
      <c r="W513" s="769"/>
      <c r="X513" s="765"/>
      <c r="Y513" s="765">
        <v>1.602337096E9</v>
      </c>
      <c r="Z513" s="765"/>
      <c r="AA513" s="765"/>
      <c r="AB513" s="765"/>
      <c r="AC513" s="253" t="s">
        <v>284</v>
      </c>
    </row>
    <row r="514" ht="15.75" hidden="1" customHeight="1">
      <c r="A514" s="764">
        <v>43318.0</v>
      </c>
      <c r="B514" s="265" t="s">
        <v>721</v>
      </c>
      <c r="C514" s="765" t="s">
        <v>5155</v>
      </c>
      <c r="D514" s="252" t="s">
        <v>5156</v>
      </c>
      <c r="E514" s="252" t="s">
        <v>1458</v>
      </c>
      <c r="F514" s="253">
        <v>100.0</v>
      </c>
      <c r="G514" s="254">
        <v>6.5</v>
      </c>
      <c r="H514" s="255">
        <f t="shared" si="21"/>
        <v>650</v>
      </c>
      <c r="I514" s="256" t="s">
        <v>3874</v>
      </c>
      <c r="J514" s="403" t="s">
        <v>5157</v>
      </c>
      <c r="K514" s="258">
        <v>43339.0</v>
      </c>
      <c r="L514" s="258">
        <v>43335.0</v>
      </c>
      <c r="M514" s="388"/>
      <c r="N514" s="333" t="s">
        <v>90</v>
      </c>
      <c r="O514" s="310" t="s">
        <v>5158</v>
      </c>
      <c r="P514" s="268">
        <v>546.0</v>
      </c>
      <c r="Q514" s="330"/>
      <c r="R514" s="340" t="s">
        <v>94</v>
      </c>
      <c r="S514" s="862">
        <v>43373.0</v>
      </c>
      <c r="T514" s="769">
        <v>43334.0</v>
      </c>
      <c r="U514" s="765" t="s">
        <v>5159</v>
      </c>
      <c r="V514" s="770">
        <v>274470.0</v>
      </c>
      <c r="W514" s="769">
        <v>43378.0</v>
      </c>
      <c r="X514" s="765" t="s">
        <v>5160</v>
      </c>
      <c r="Y514" s="765">
        <v>9.290837183E9</v>
      </c>
      <c r="Z514" s="765"/>
      <c r="AA514" s="765"/>
      <c r="AB514" s="765"/>
      <c r="AC514" s="253" t="s">
        <v>284</v>
      </c>
    </row>
    <row r="515" ht="15.75" hidden="1" customHeight="1">
      <c r="A515" s="764">
        <v>43322.0</v>
      </c>
      <c r="B515" s="265" t="s">
        <v>721</v>
      </c>
      <c r="C515" s="765" t="s">
        <v>5161</v>
      </c>
      <c r="D515" s="252" t="s">
        <v>5156</v>
      </c>
      <c r="E515" s="252" t="s">
        <v>736</v>
      </c>
      <c r="F515" s="253">
        <v>31.0</v>
      </c>
      <c r="G515" s="325">
        <v>320.0</v>
      </c>
      <c r="H515" s="255">
        <f t="shared" si="21"/>
        <v>9920</v>
      </c>
      <c r="I515" s="256" t="s">
        <v>3874</v>
      </c>
      <c r="J515" s="269" t="s">
        <v>5157</v>
      </c>
      <c r="K515" s="258">
        <v>43339.0</v>
      </c>
      <c r="L515" s="258">
        <v>43335.0</v>
      </c>
      <c r="M515" s="388"/>
      <c r="N515" s="333" t="s">
        <v>90</v>
      </c>
      <c r="O515" s="310" t="s">
        <v>5158</v>
      </c>
      <c r="P515" s="268">
        <v>8365.35</v>
      </c>
      <c r="Q515" s="330"/>
      <c r="R515" s="340" t="s">
        <v>94</v>
      </c>
      <c r="S515" s="810">
        <v>43373.0</v>
      </c>
      <c r="T515" s="769">
        <v>43334.0</v>
      </c>
      <c r="U515" s="765" t="s">
        <v>5159</v>
      </c>
      <c r="V515" s="765" t="s">
        <v>2774</v>
      </c>
      <c r="W515" s="769">
        <v>43378.0</v>
      </c>
      <c r="X515" s="765" t="s">
        <v>5160</v>
      </c>
      <c r="Y515" s="765">
        <v>9.290837183E9</v>
      </c>
      <c r="Z515" s="765"/>
      <c r="AA515" s="765"/>
      <c r="AB515" s="765"/>
      <c r="AC515" s="253" t="s">
        <v>284</v>
      </c>
    </row>
    <row r="516" ht="15.75" hidden="1" customHeight="1">
      <c r="A516" s="764">
        <v>43319.0</v>
      </c>
      <c r="B516" s="265" t="s">
        <v>3677</v>
      </c>
      <c r="C516" s="765">
        <v>300382.0</v>
      </c>
      <c r="D516" s="252" t="s">
        <v>5162</v>
      </c>
      <c r="E516" s="252" t="s">
        <v>5163</v>
      </c>
      <c r="F516" s="253">
        <v>4.0</v>
      </c>
      <c r="G516" s="254">
        <v>64.0</v>
      </c>
      <c r="H516" s="255">
        <f t="shared" si="21"/>
        <v>256</v>
      </c>
      <c r="I516" s="256" t="s">
        <v>3874</v>
      </c>
      <c r="J516" s="269" t="s">
        <v>3680</v>
      </c>
      <c r="K516" s="258">
        <v>43342.0</v>
      </c>
      <c r="L516" s="258">
        <v>43341.0</v>
      </c>
      <c r="M516" s="388"/>
      <c r="N516" s="333" t="s">
        <v>90</v>
      </c>
      <c r="O516" s="310" t="s">
        <v>5164</v>
      </c>
      <c r="P516" s="268">
        <v>226.8</v>
      </c>
      <c r="Q516" s="330"/>
      <c r="R516" s="340" t="s">
        <v>94</v>
      </c>
      <c r="S516" s="768">
        <v>43404.0</v>
      </c>
      <c r="T516" s="769">
        <v>43340.0</v>
      </c>
      <c r="U516" s="765" t="s">
        <v>5165</v>
      </c>
      <c r="V516" s="770">
        <v>6985.0</v>
      </c>
      <c r="W516" s="769">
        <v>43405.0</v>
      </c>
      <c r="X516" s="765" t="s">
        <v>5166</v>
      </c>
      <c r="Y516" s="765">
        <v>7.73098967785E11</v>
      </c>
      <c r="Z516" s="765"/>
      <c r="AA516" s="765"/>
      <c r="AB516" s="765"/>
      <c r="AC516" s="253" t="s">
        <v>284</v>
      </c>
    </row>
    <row r="517" ht="15.75" hidden="1" customHeight="1">
      <c r="A517" s="764">
        <v>43319.0</v>
      </c>
      <c r="B517" s="265" t="s">
        <v>3677</v>
      </c>
      <c r="C517" s="765">
        <v>300382.0</v>
      </c>
      <c r="D517" s="252" t="s">
        <v>5162</v>
      </c>
      <c r="E517" s="252" t="s">
        <v>5167</v>
      </c>
      <c r="F517" s="253">
        <v>5.0</v>
      </c>
      <c r="G517" s="254">
        <v>163.0</v>
      </c>
      <c r="H517" s="255">
        <f t="shared" si="21"/>
        <v>815</v>
      </c>
      <c r="I517" s="256" t="s">
        <v>3874</v>
      </c>
      <c r="J517" s="269" t="s">
        <v>3680</v>
      </c>
      <c r="K517" s="258">
        <v>43342.0</v>
      </c>
      <c r="L517" s="258">
        <v>43339.0</v>
      </c>
      <c r="M517" s="388"/>
      <c r="N517" s="333" t="s">
        <v>3593</v>
      </c>
      <c r="O517" s="310" t="s">
        <v>5168</v>
      </c>
      <c r="P517" s="598"/>
      <c r="Q517" s="579">
        <v>22376.0</v>
      </c>
      <c r="R517" s="310" t="s">
        <v>2080</v>
      </c>
      <c r="S517" s="768">
        <v>43434.0</v>
      </c>
      <c r="T517" s="769">
        <v>43339.0</v>
      </c>
      <c r="U517" s="765" t="s">
        <v>5169</v>
      </c>
      <c r="V517" s="770">
        <v>22376.0</v>
      </c>
      <c r="W517" s="769">
        <v>43382.0</v>
      </c>
      <c r="X517" s="765" t="s">
        <v>5166</v>
      </c>
      <c r="Y517" s="765">
        <v>7.73098967785E11</v>
      </c>
      <c r="Z517" s="765"/>
      <c r="AA517" s="765"/>
      <c r="AB517" s="765"/>
      <c r="AC517" s="253" t="s">
        <v>284</v>
      </c>
    </row>
    <row r="518" ht="15.75" hidden="1" customHeight="1">
      <c r="A518" s="776">
        <v>43319.0</v>
      </c>
      <c r="B518" s="265" t="s">
        <v>621</v>
      </c>
      <c r="C518" s="765"/>
      <c r="D518" s="252" t="s">
        <v>5170</v>
      </c>
      <c r="E518" s="252" t="s">
        <v>5171</v>
      </c>
      <c r="F518" s="253">
        <v>1.0</v>
      </c>
      <c r="G518" s="254">
        <v>257.25</v>
      </c>
      <c r="H518" s="255">
        <f t="shared" si="21"/>
        <v>257.25</v>
      </c>
      <c r="I518" s="256" t="s">
        <v>43</v>
      </c>
      <c r="J518" s="369" t="s">
        <v>90</v>
      </c>
      <c r="K518" s="258">
        <v>43325.0</v>
      </c>
      <c r="L518" s="258">
        <v>43325.0</v>
      </c>
      <c r="M518" s="388"/>
      <c r="N518" s="333" t="s">
        <v>90</v>
      </c>
      <c r="O518" s="310" t="s">
        <v>5172</v>
      </c>
      <c r="P518" s="268">
        <v>236.25</v>
      </c>
      <c r="Q518" s="330"/>
      <c r="R518" s="340" t="s">
        <v>94</v>
      </c>
      <c r="S518" s="862">
        <v>43373.0</v>
      </c>
      <c r="T518" s="769">
        <v>43325.0</v>
      </c>
      <c r="U518" s="765" t="s">
        <v>5173</v>
      </c>
      <c r="V518" s="770">
        <v>7241.0</v>
      </c>
      <c r="W518" s="769">
        <v>43378.0</v>
      </c>
      <c r="X518" s="765" t="s">
        <v>5174</v>
      </c>
      <c r="Y518" s="765"/>
      <c r="Z518" s="765" t="s">
        <v>5175</v>
      </c>
      <c r="AA518" s="770">
        <v>7898.0</v>
      </c>
      <c r="AB518" s="765" t="s">
        <v>5176</v>
      </c>
      <c r="AC518" s="253" t="s">
        <v>377</v>
      </c>
    </row>
    <row r="519" ht="15.75" hidden="1" customHeight="1">
      <c r="A519" s="776">
        <v>43319.0</v>
      </c>
      <c r="B519" s="320" t="s">
        <v>326</v>
      </c>
      <c r="C519" s="252">
        <v>2024213.0</v>
      </c>
      <c r="D519" s="310" t="s">
        <v>5177</v>
      </c>
      <c r="E519" s="310" t="s">
        <v>3773</v>
      </c>
      <c r="F519" s="253">
        <v>20.0</v>
      </c>
      <c r="G519" s="325">
        <v>567.0</v>
      </c>
      <c r="H519" s="255">
        <f t="shared" si="21"/>
        <v>11340</v>
      </c>
      <c r="I519" s="256" t="s">
        <v>43</v>
      </c>
      <c r="J519" s="269" t="s">
        <v>329</v>
      </c>
      <c r="K519" s="258">
        <v>43356.0</v>
      </c>
      <c r="L519" s="258">
        <v>43354.0</v>
      </c>
      <c r="M519" s="388"/>
      <c r="N519" s="333" t="s">
        <v>3775</v>
      </c>
      <c r="O519" s="310" t="s">
        <v>5178</v>
      </c>
      <c r="P519" s="338">
        <v>10710.0</v>
      </c>
      <c r="Q519" s="330"/>
      <c r="R519" s="422" t="s">
        <v>2207</v>
      </c>
      <c r="S519" s="810">
        <v>43404.0</v>
      </c>
      <c r="T519" s="771">
        <v>43354.0</v>
      </c>
      <c r="U519" s="252" t="s">
        <v>5179</v>
      </c>
      <c r="V519" s="774">
        <v>345244.0</v>
      </c>
      <c r="W519" s="771">
        <v>43405.0</v>
      </c>
      <c r="X519" s="765" t="s">
        <v>4577</v>
      </c>
      <c r="Y519" s="765">
        <v>609229.0</v>
      </c>
      <c r="Z519" s="765"/>
      <c r="AA519" s="765"/>
      <c r="AB519" s="765"/>
      <c r="AC519" s="253" t="s">
        <v>284</v>
      </c>
    </row>
    <row r="520" ht="15.75" hidden="1" customHeight="1">
      <c r="A520" s="776">
        <v>43319.0</v>
      </c>
      <c r="B520" s="320" t="s">
        <v>326</v>
      </c>
      <c r="C520" s="252">
        <v>2024213.0</v>
      </c>
      <c r="D520" s="310" t="s">
        <v>5177</v>
      </c>
      <c r="E520" s="310" t="s">
        <v>3781</v>
      </c>
      <c r="F520" s="253">
        <v>20.0</v>
      </c>
      <c r="G520" s="325">
        <v>273.0</v>
      </c>
      <c r="H520" s="255">
        <f t="shared" si="21"/>
        <v>5460</v>
      </c>
      <c r="I520" s="256" t="s">
        <v>43</v>
      </c>
      <c r="J520" s="269" t="s">
        <v>329</v>
      </c>
      <c r="K520" s="258">
        <v>43356.0</v>
      </c>
      <c r="L520" s="258">
        <v>43346.0</v>
      </c>
      <c r="M520" s="388"/>
      <c r="N520" s="333" t="s">
        <v>45</v>
      </c>
      <c r="O520" s="310" t="s">
        <v>5180</v>
      </c>
      <c r="P520" s="268">
        <v>4368.0</v>
      </c>
      <c r="Q520" s="330"/>
      <c r="R520" s="340" t="s">
        <v>47</v>
      </c>
      <c r="S520" s="768">
        <v>43376.0</v>
      </c>
      <c r="T520" s="769">
        <v>43346.0</v>
      </c>
      <c r="U520" s="765" t="s">
        <v>5181</v>
      </c>
      <c r="V520" s="770">
        <v>134233.0</v>
      </c>
      <c r="W520" s="769">
        <v>43382.0</v>
      </c>
      <c r="X520" s="765" t="s">
        <v>4577</v>
      </c>
      <c r="Y520" s="765">
        <v>609229.0</v>
      </c>
      <c r="Z520" s="765"/>
      <c r="AA520" s="765"/>
      <c r="AB520" s="765"/>
      <c r="AC520" s="253" t="s">
        <v>284</v>
      </c>
    </row>
    <row r="521" ht="15.75" hidden="1" customHeight="1">
      <c r="A521" s="776">
        <v>43319.0</v>
      </c>
      <c r="B521" s="320" t="s">
        <v>326</v>
      </c>
      <c r="C521" s="252">
        <v>2024213.0</v>
      </c>
      <c r="D521" s="310" t="s">
        <v>5177</v>
      </c>
      <c r="E521" s="310" t="s">
        <v>53</v>
      </c>
      <c r="F521" s="253">
        <v>20.0</v>
      </c>
      <c r="G521" s="325">
        <v>31.0</v>
      </c>
      <c r="H521" s="255">
        <f t="shared" si="21"/>
        <v>620</v>
      </c>
      <c r="I521" s="256" t="s">
        <v>43</v>
      </c>
      <c r="J521" s="269" t="s">
        <v>329</v>
      </c>
      <c r="K521" s="258">
        <v>43356.0</v>
      </c>
      <c r="L521" s="258">
        <v>43354.0</v>
      </c>
      <c r="M521" s="388"/>
      <c r="N521" s="333" t="s">
        <v>3775</v>
      </c>
      <c r="O521" s="310" t="s">
        <v>5178</v>
      </c>
      <c r="P521" s="338">
        <v>453.6</v>
      </c>
      <c r="Q521" s="330"/>
      <c r="R521" s="422" t="s">
        <v>2207</v>
      </c>
      <c r="S521" s="810">
        <v>43404.0</v>
      </c>
      <c r="T521" s="771">
        <v>43354.0</v>
      </c>
      <c r="U521" s="252" t="s">
        <v>5179</v>
      </c>
      <c r="V521" s="252" t="s">
        <v>5182</v>
      </c>
      <c r="W521" s="771">
        <v>43405.0</v>
      </c>
      <c r="X521" s="765" t="s">
        <v>4577</v>
      </c>
      <c r="Y521" s="765">
        <v>609229.0</v>
      </c>
      <c r="Z521" s="765"/>
      <c r="AA521" s="765"/>
      <c r="AB521" s="765"/>
      <c r="AC521" s="253" t="s">
        <v>284</v>
      </c>
    </row>
    <row r="522" ht="15.75" hidden="1" customHeight="1">
      <c r="A522" s="776">
        <v>43319.0</v>
      </c>
      <c r="B522" s="320" t="s">
        <v>326</v>
      </c>
      <c r="C522" s="252">
        <v>2024213.0</v>
      </c>
      <c r="D522" s="310" t="s">
        <v>5177</v>
      </c>
      <c r="E522" s="310" t="s">
        <v>59</v>
      </c>
      <c r="F522" s="253">
        <v>20.0</v>
      </c>
      <c r="G522" s="325">
        <v>4.0</v>
      </c>
      <c r="H522" s="255">
        <f t="shared" si="21"/>
        <v>80</v>
      </c>
      <c r="I522" s="256" t="s">
        <v>43</v>
      </c>
      <c r="J522" s="269" t="s">
        <v>329</v>
      </c>
      <c r="K522" s="258">
        <v>43356.0</v>
      </c>
      <c r="L522" s="258">
        <v>43354.0</v>
      </c>
      <c r="M522" s="388"/>
      <c r="N522" s="333" t="s">
        <v>3775</v>
      </c>
      <c r="O522" s="310" t="s">
        <v>5178</v>
      </c>
      <c r="P522" s="338">
        <v>42.0</v>
      </c>
      <c r="Q522" s="330"/>
      <c r="R522" s="422" t="s">
        <v>2207</v>
      </c>
      <c r="S522" s="810">
        <v>43404.0</v>
      </c>
      <c r="T522" s="771">
        <v>43354.0</v>
      </c>
      <c r="U522" s="252" t="s">
        <v>5179</v>
      </c>
      <c r="V522" s="252" t="s">
        <v>5182</v>
      </c>
      <c r="W522" s="771">
        <v>43405.0</v>
      </c>
      <c r="X522" s="765" t="s">
        <v>4577</v>
      </c>
      <c r="Y522" s="765">
        <v>609229.0</v>
      </c>
      <c r="Z522" s="765"/>
      <c r="AA522" s="765"/>
      <c r="AB522" s="765"/>
      <c r="AC522" s="253" t="s">
        <v>284</v>
      </c>
    </row>
    <row r="523" ht="15.75" hidden="1" customHeight="1">
      <c r="A523" s="776">
        <v>43324.0</v>
      </c>
      <c r="B523" s="144" t="s">
        <v>101</v>
      </c>
      <c r="C523" s="252" t="s">
        <v>5183</v>
      </c>
      <c r="D523" s="252" t="s">
        <v>5184</v>
      </c>
      <c r="E523" s="602" t="s">
        <v>4885</v>
      </c>
      <c r="F523" s="253">
        <v>2.0</v>
      </c>
      <c r="G523" s="254">
        <v>42.0</v>
      </c>
      <c r="H523" s="255">
        <f t="shared" si="21"/>
        <v>84</v>
      </c>
      <c r="I523" s="256" t="s">
        <v>171</v>
      </c>
      <c r="J523" s="403" t="s">
        <v>3739</v>
      </c>
      <c r="K523" s="869">
        <v>43364.0</v>
      </c>
      <c r="L523" s="266" t="s">
        <v>4727</v>
      </c>
      <c r="M523" s="388"/>
      <c r="N523" s="266" t="s">
        <v>4727</v>
      </c>
      <c r="O523" s="310" t="s">
        <v>5185</v>
      </c>
      <c r="P523" s="598"/>
      <c r="Q523" s="330"/>
      <c r="R523" s="310"/>
      <c r="S523" s="330"/>
      <c r="T523" s="766"/>
      <c r="U523" s="766"/>
      <c r="V523" s="766"/>
      <c r="W523" s="767"/>
      <c r="X523" s="765" t="s">
        <v>5153</v>
      </c>
      <c r="Y523" s="765">
        <v>1.602337096E9</v>
      </c>
      <c r="Z523" s="765"/>
      <c r="AA523" s="765"/>
      <c r="AB523" s="765"/>
      <c r="AC523" s="253" t="s">
        <v>284</v>
      </c>
    </row>
    <row r="524" ht="15.75" hidden="1" customHeight="1">
      <c r="A524" s="776">
        <v>43324.0</v>
      </c>
      <c r="B524" s="144" t="s">
        <v>101</v>
      </c>
      <c r="C524" s="252" t="s">
        <v>5183</v>
      </c>
      <c r="D524" s="252" t="s">
        <v>5184</v>
      </c>
      <c r="E524" s="602" t="s">
        <v>4886</v>
      </c>
      <c r="F524" s="253">
        <v>2.0</v>
      </c>
      <c r="G524" s="254">
        <v>140.0</v>
      </c>
      <c r="H524" s="255">
        <f t="shared" si="21"/>
        <v>280</v>
      </c>
      <c r="I524" s="256" t="s">
        <v>171</v>
      </c>
      <c r="J524" s="403" t="s">
        <v>3739</v>
      </c>
      <c r="K524" s="869">
        <v>43364.0</v>
      </c>
      <c r="L524" s="266" t="s">
        <v>4727</v>
      </c>
      <c r="M524" s="388"/>
      <c r="N524" s="266" t="s">
        <v>4727</v>
      </c>
      <c r="O524" s="310" t="s">
        <v>5185</v>
      </c>
      <c r="P524" s="598"/>
      <c r="Q524" s="330"/>
      <c r="R524" s="310"/>
      <c r="S524" s="330"/>
      <c r="T524" s="766"/>
      <c r="U524" s="766"/>
      <c r="V524" s="766"/>
      <c r="W524" s="767"/>
      <c r="X524" s="765" t="s">
        <v>5153</v>
      </c>
      <c r="Y524" s="765">
        <v>1.602337096E9</v>
      </c>
      <c r="Z524" s="765"/>
      <c r="AA524" s="765"/>
      <c r="AB524" s="765"/>
      <c r="AC524" s="253" t="s">
        <v>284</v>
      </c>
    </row>
    <row r="525" ht="15.75" hidden="1" customHeight="1">
      <c r="A525" s="776">
        <v>43324.0</v>
      </c>
      <c r="B525" s="144" t="s">
        <v>101</v>
      </c>
      <c r="C525" s="252" t="s">
        <v>5183</v>
      </c>
      <c r="D525" s="252" t="s">
        <v>5184</v>
      </c>
      <c r="E525" s="602" t="s">
        <v>5186</v>
      </c>
      <c r="F525" s="253">
        <v>2.0</v>
      </c>
      <c r="G525" s="254">
        <v>570.0</v>
      </c>
      <c r="H525" s="255">
        <f t="shared" si="21"/>
        <v>1140</v>
      </c>
      <c r="I525" s="256" t="s">
        <v>171</v>
      </c>
      <c r="J525" s="403" t="s">
        <v>3739</v>
      </c>
      <c r="K525" s="869">
        <v>43364.0</v>
      </c>
      <c r="L525" s="266" t="s">
        <v>4727</v>
      </c>
      <c r="M525" s="388"/>
      <c r="N525" s="266" t="s">
        <v>4727</v>
      </c>
      <c r="O525" s="310" t="s">
        <v>5185</v>
      </c>
      <c r="P525" s="598"/>
      <c r="Q525" s="330"/>
      <c r="R525" s="310"/>
      <c r="S525" s="330"/>
      <c r="T525" s="766"/>
      <c r="U525" s="766"/>
      <c r="V525" s="766"/>
      <c r="W525" s="767"/>
      <c r="X525" s="765" t="s">
        <v>5153</v>
      </c>
      <c r="Y525" s="765">
        <v>1.602337096E9</v>
      </c>
      <c r="Z525" s="765"/>
      <c r="AA525" s="765"/>
      <c r="AB525" s="765"/>
      <c r="AC525" s="253" t="s">
        <v>284</v>
      </c>
    </row>
    <row r="526" ht="15.75" hidden="1" customHeight="1">
      <c r="A526" s="776">
        <v>43324.0</v>
      </c>
      <c r="B526" s="144" t="s">
        <v>101</v>
      </c>
      <c r="C526" s="252" t="s">
        <v>5183</v>
      </c>
      <c r="D526" s="252" t="s">
        <v>5184</v>
      </c>
      <c r="E526" s="602" t="s">
        <v>442</v>
      </c>
      <c r="F526" s="253">
        <v>2.0</v>
      </c>
      <c r="G526" s="254">
        <v>38.0</v>
      </c>
      <c r="H526" s="255">
        <f t="shared" si="21"/>
        <v>76</v>
      </c>
      <c r="I526" s="256" t="s">
        <v>171</v>
      </c>
      <c r="J526" s="403" t="s">
        <v>3739</v>
      </c>
      <c r="K526" s="869">
        <v>43364.0</v>
      </c>
      <c r="L526" s="266" t="s">
        <v>4727</v>
      </c>
      <c r="M526" s="388"/>
      <c r="N526" s="266" t="s">
        <v>4727</v>
      </c>
      <c r="O526" s="310" t="s">
        <v>5185</v>
      </c>
      <c r="P526" s="598"/>
      <c r="Q526" s="330"/>
      <c r="R526" s="310"/>
      <c r="S526" s="330"/>
      <c r="T526" s="766"/>
      <c r="U526" s="766"/>
      <c r="V526" s="766"/>
      <c r="W526" s="767"/>
      <c r="X526" s="765" t="s">
        <v>5153</v>
      </c>
      <c r="Y526" s="765">
        <v>1.602337096E9</v>
      </c>
      <c r="Z526" s="765"/>
      <c r="AA526" s="765"/>
      <c r="AB526" s="765"/>
      <c r="AC526" s="253" t="s">
        <v>284</v>
      </c>
    </row>
    <row r="527" ht="15.75" hidden="1" customHeight="1">
      <c r="A527" s="776">
        <v>43324.0</v>
      </c>
      <c r="B527" s="144" t="s">
        <v>101</v>
      </c>
      <c r="C527" s="252" t="s">
        <v>5183</v>
      </c>
      <c r="D527" s="252" t="s">
        <v>5184</v>
      </c>
      <c r="E527" s="602" t="s">
        <v>546</v>
      </c>
      <c r="F527" s="253">
        <v>2.0</v>
      </c>
      <c r="G527" s="254">
        <v>47.0</v>
      </c>
      <c r="H527" s="255">
        <f t="shared" si="21"/>
        <v>94</v>
      </c>
      <c r="I527" s="256" t="s">
        <v>171</v>
      </c>
      <c r="J527" s="403" t="s">
        <v>3739</v>
      </c>
      <c r="K527" s="869">
        <v>43364.0</v>
      </c>
      <c r="L527" s="266" t="s">
        <v>4727</v>
      </c>
      <c r="M527" s="388"/>
      <c r="N527" s="266" t="s">
        <v>4727</v>
      </c>
      <c r="O527" s="310" t="s">
        <v>5185</v>
      </c>
      <c r="P527" s="598"/>
      <c r="Q527" s="330"/>
      <c r="R527" s="310"/>
      <c r="S527" s="330"/>
      <c r="T527" s="766"/>
      <c r="U527" s="766"/>
      <c r="V527" s="766"/>
      <c r="W527" s="767"/>
      <c r="X527" s="765" t="s">
        <v>5153</v>
      </c>
      <c r="Y527" s="765">
        <v>1.602337096E9</v>
      </c>
      <c r="Z527" s="765"/>
      <c r="AA527" s="765"/>
      <c r="AB527" s="765"/>
      <c r="AC527" s="253" t="s">
        <v>284</v>
      </c>
    </row>
    <row r="528" ht="15.75" hidden="1" customHeight="1">
      <c r="A528" s="764">
        <v>43324.0</v>
      </c>
      <c r="B528" s="144" t="s">
        <v>101</v>
      </c>
      <c r="C528" s="252"/>
      <c r="D528" s="252" t="s">
        <v>5184</v>
      </c>
      <c r="E528" s="602" t="s">
        <v>5154</v>
      </c>
      <c r="F528" s="253">
        <v>2.0</v>
      </c>
      <c r="G528" s="254">
        <v>10.0</v>
      </c>
      <c r="H528" s="255">
        <f t="shared" si="21"/>
        <v>20</v>
      </c>
      <c r="I528" s="256" t="s">
        <v>303</v>
      </c>
      <c r="J528" s="403" t="s">
        <v>3739</v>
      </c>
      <c r="K528" s="869">
        <v>43364.0</v>
      </c>
      <c r="L528" s="258"/>
      <c r="M528" s="388"/>
      <c r="N528" s="266"/>
      <c r="O528" s="765"/>
      <c r="P528" s="598"/>
      <c r="Q528" s="331"/>
      <c r="R528" s="310"/>
      <c r="S528" s="330"/>
      <c r="T528" s="766"/>
      <c r="U528" s="766"/>
      <c r="V528" s="766"/>
      <c r="W528" s="767"/>
      <c r="X528" s="765" t="s">
        <v>5153</v>
      </c>
      <c r="Y528" s="765">
        <v>1.602337096E9</v>
      </c>
      <c r="Z528" s="765"/>
      <c r="AA528" s="765"/>
      <c r="AB528" s="765"/>
      <c r="AC528" s="253" t="s">
        <v>284</v>
      </c>
    </row>
    <row r="529" ht="15.75" hidden="1" customHeight="1">
      <c r="A529" s="764">
        <v>43326.0</v>
      </c>
      <c r="B529" s="597" t="s">
        <v>406</v>
      </c>
      <c r="C529" s="765"/>
      <c r="D529" s="334"/>
      <c r="E529" s="602" t="s">
        <v>5187</v>
      </c>
      <c r="F529" s="253">
        <v>5.0</v>
      </c>
      <c r="G529" s="254">
        <v>0.0</v>
      </c>
      <c r="H529" s="255">
        <v>0.0</v>
      </c>
      <c r="I529" s="256" t="s">
        <v>43</v>
      </c>
      <c r="J529" s="403" t="s">
        <v>4002</v>
      </c>
      <c r="K529" s="258">
        <v>43328.0</v>
      </c>
      <c r="L529" s="258">
        <v>43328.0</v>
      </c>
      <c r="M529" s="388"/>
      <c r="N529" s="266" t="s">
        <v>1537</v>
      </c>
      <c r="O529" s="765" t="s">
        <v>578</v>
      </c>
      <c r="P529" s="598"/>
      <c r="Q529" s="331" t="s">
        <v>578</v>
      </c>
      <c r="R529" s="310"/>
      <c r="S529" s="330"/>
      <c r="T529" s="766"/>
      <c r="U529" s="766"/>
      <c r="V529" s="766"/>
      <c r="W529" s="767"/>
      <c r="X529" s="766"/>
      <c r="Y529" s="765"/>
      <c r="Z529" s="765"/>
      <c r="AA529" s="765"/>
      <c r="AB529" s="765"/>
      <c r="AC529" s="253" t="s">
        <v>578</v>
      </c>
    </row>
    <row r="530" ht="15.75" hidden="1" customHeight="1">
      <c r="A530" s="764">
        <v>43327.0</v>
      </c>
      <c r="B530" s="265" t="s">
        <v>5188</v>
      </c>
      <c r="C530" s="765" t="s">
        <v>5189</v>
      </c>
      <c r="D530" s="252" t="s">
        <v>5190</v>
      </c>
      <c r="E530" s="602" t="s">
        <v>5191</v>
      </c>
      <c r="F530" s="253">
        <v>8.0</v>
      </c>
      <c r="G530" s="254">
        <v>9.87</v>
      </c>
      <c r="H530" s="255">
        <f t="shared" ref="H530:H549" si="22">G530*F530</f>
        <v>78.96</v>
      </c>
      <c r="I530" s="256" t="s">
        <v>3874</v>
      </c>
      <c r="J530" s="777" t="s">
        <v>1324</v>
      </c>
      <c r="K530" s="258">
        <v>43334.0</v>
      </c>
      <c r="L530" s="258">
        <v>43332.0</v>
      </c>
      <c r="M530" s="388"/>
      <c r="N530" s="333" t="s">
        <v>2508</v>
      </c>
      <c r="O530" s="252" t="s">
        <v>5192</v>
      </c>
      <c r="P530" s="598"/>
      <c r="Q530" s="579">
        <v>1932.0</v>
      </c>
      <c r="R530" s="310" t="s">
        <v>4491</v>
      </c>
      <c r="S530" s="768">
        <v>43348.0</v>
      </c>
      <c r="T530" s="769">
        <v>43329.0</v>
      </c>
      <c r="U530" s="765" t="s">
        <v>5193</v>
      </c>
      <c r="V530" s="770">
        <v>1932.0</v>
      </c>
      <c r="W530" s="769">
        <v>43349.0</v>
      </c>
      <c r="X530" s="765" t="s">
        <v>5194</v>
      </c>
      <c r="Y530" s="602" t="s">
        <v>5195</v>
      </c>
      <c r="Z530" s="602" t="s">
        <v>5196</v>
      </c>
      <c r="AA530" s="770">
        <v>4601.0</v>
      </c>
      <c r="AB530" s="602" t="s">
        <v>5197</v>
      </c>
      <c r="AC530" s="253" t="s">
        <v>377</v>
      </c>
    </row>
    <row r="531" ht="15.75" hidden="1" customHeight="1">
      <c r="A531" s="764">
        <v>43327.0</v>
      </c>
      <c r="B531" s="265" t="s">
        <v>5188</v>
      </c>
      <c r="C531" s="765" t="s">
        <v>5189</v>
      </c>
      <c r="D531" s="765" t="s">
        <v>5190</v>
      </c>
      <c r="E531" s="310" t="s">
        <v>5198</v>
      </c>
      <c r="F531" s="253">
        <v>5.0</v>
      </c>
      <c r="G531" s="254">
        <v>14.17</v>
      </c>
      <c r="H531" s="255">
        <f t="shared" si="22"/>
        <v>70.85</v>
      </c>
      <c r="I531" s="256" t="s">
        <v>3874</v>
      </c>
      <c r="J531" s="777" t="s">
        <v>1324</v>
      </c>
      <c r="K531" s="258">
        <v>43334.0</v>
      </c>
      <c r="L531" s="258">
        <v>43334.0</v>
      </c>
      <c r="M531" s="388"/>
      <c r="N531" s="333" t="s">
        <v>2508</v>
      </c>
      <c r="O531" s="252" t="s">
        <v>5192</v>
      </c>
      <c r="P531" s="598"/>
      <c r="Q531" s="579">
        <v>1890.0</v>
      </c>
      <c r="R531" s="310" t="s">
        <v>4491</v>
      </c>
      <c r="S531" s="768">
        <v>43348.0</v>
      </c>
      <c r="T531" s="769">
        <v>43333.0</v>
      </c>
      <c r="U531" s="765" t="s">
        <v>5199</v>
      </c>
      <c r="V531" s="770">
        <v>1890.0</v>
      </c>
      <c r="W531" s="769">
        <v>43349.0</v>
      </c>
      <c r="X531" s="765" t="s">
        <v>5194</v>
      </c>
      <c r="Y531" s="602" t="s">
        <v>5195</v>
      </c>
      <c r="Z531" s="602" t="s">
        <v>5196</v>
      </c>
      <c r="AA531" s="770" t="s">
        <v>5200</v>
      </c>
      <c r="AB531" s="602" t="s">
        <v>5197</v>
      </c>
      <c r="AC531" s="253" t="s">
        <v>377</v>
      </c>
    </row>
    <row r="532" ht="15.75" hidden="1" customHeight="1">
      <c r="A532" s="764">
        <v>43330.0</v>
      </c>
      <c r="B532" s="265" t="s">
        <v>721</v>
      </c>
      <c r="C532" s="765"/>
      <c r="D532" s="765" t="s">
        <v>5201</v>
      </c>
      <c r="E532" s="602" t="s">
        <v>4750</v>
      </c>
      <c r="F532" s="253">
        <v>18.0</v>
      </c>
      <c r="G532" s="254">
        <v>95.0</v>
      </c>
      <c r="H532" s="255">
        <f t="shared" si="22"/>
        <v>1710</v>
      </c>
      <c r="I532" s="256" t="s">
        <v>3874</v>
      </c>
      <c r="J532" s="269" t="s">
        <v>5157</v>
      </c>
      <c r="K532" s="258">
        <v>43339.0</v>
      </c>
      <c r="L532" s="258">
        <v>43335.0</v>
      </c>
      <c r="M532" s="388"/>
      <c r="N532" s="333" t="s">
        <v>90</v>
      </c>
      <c r="O532" s="310" t="s">
        <v>5202</v>
      </c>
      <c r="P532" s="268">
        <v>1587.6</v>
      </c>
      <c r="Q532" s="330"/>
      <c r="R532" s="340" t="s">
        <v>94</v>
      </c>
      <c r="S532" s="810">
        <v>43373.0</v>
      </c>
      <c r="T532" s="769">
        <v>43334.0</v>
      </c>
      <c r="U532" s="765" t="s">
        <v>5203</v>
      </c>
      <c r="V532" s="770">
        <v>48898.0</v>
      </c>
      <c r="W532" s="769">
        <v>43378.0</v>
      </c>
      <c r="X532" s="765" t="s">
        <v>5160</v>
      </c>
      <c r="Y532" s="765">
        <v>9.290837183E9</v>
      </c>
      <c r="Z532" s="765"/>
      <c r="AA532" s="765"/>
      <c r="AB532" s="765"/>
      <c r="AC532" s="253" t="s">
        <v>284</v>
      </c>
    </row>
    <row r="533" ht="15.75" hidden="1" customHeight="1">
      <c r="A533" s="764">
        <v>43334.0</v>
      </c>
      <c r="B533" s="597" t="s">
        <v>406</v>
      </c>
      <c r="C533" s="765">
        <v>7.000140533E9</v>
      </c>
      <c r="D533" s="252" t="s">
        <v>5204</v>
      </c>
      <c r="E533" s="602" t="s">
        <v>1968</v>
      </c>
      <c r="F533" s="253">
        <v>2.0</v>
      </c>
      <c r="G533" s="254">
        <v>120.0</v>
      </c>
      <c r="H533" s="255">
        <f t="shared" si="22"/>
        <v>240</v>
      </c>
      <c r="I533" s="256" t="s">
        <v>43</v>
      </c>
      <c r="J533" s="333" t="s">
        <v>4002</v>
      </c>
      <c r="K533" s="258">
        <v>43354.0</v>
      </c>
      <c r="L533" s="258">
        <v>43347.0</v>
      </c>
      <c r="M533" s="388"/>
      <c r="N533" s="333" t="s">
        <v>3593</v>
      </c>
      <c r="O533" s="310" t="s">
        <v>5205</v>
      </c>
      <c r="P533" s="598"/>
      <c r="Q533" s="579">
        <v>7556.0</v>
      </c>
      <c r="R533" s="310" t="s">
        <v>2080</v>
      </c>
      <c r="S533" s="768">
        <v>43434.0</v>
      </c>
      <c r="T533" s="769">
        <v>43346.0</v>
      </c>
      <c r="U533" s="765" t="s">
        <v>5206</v>
      </c>
      <c r="V533" s="770">
        <v>7556.0</v>
      </c>
      <c r="W533" s="769">
        <v>43382.0</v>
      </c>
      <c r="X533" s="765" t="s">
        <v>4716</v>
      </c>
      <c r="Y533" s="765">
        <v>5.528488394E9</v>
      </c>
      <c r="Z533" s="765"/>
      <c r="AA533" s="765"/>
      <c r="AB533" s="765"/>
      <c r="AC533" s="253" t="s">
        <v>284</v>
      </c>
    </row>
    <row r="534" ht="15.75" hidden="1" customHeight="1">
      <c r="A534" s="764">
        <v>43334.0</v>
      </c>
      <c r="B534" s="597" t="s">
        <v>406</v>
      </c>
      <c r="C534" s="765">
        <v>7.000140533E9</v>
      </c>
      <c r="D534" s="252" t="s">
        <v>5204</v>
      </c>
      <c r="E534" s="310" t="s">
        <v>558</v>
      </c>
      <c r="F534" s="256">
        <v>6.0</v>
      </c>
      <c r="G534" s="466">
        <v>145.0</v>
      </c>
      <c r="H534" s="255">
        <f t="shared" si="22"/>
        <v>870</v>
      </c>
      <c r="I534" s="256" t="s">
        <v>43</v>
      </c>
      <c r="J534" s="333" t="s">
        <v>4002</v>
      </c>
      <c r="K534" s="258">
        <v>43354.0</v>
      </c>
      <c r="L534" s="258">
        <v>43347.0</v>
      </c>
      <c r="M534" s="388"/>
      <c r="N534" s="333" t="s">
        <v>3593</v>
      </c>
      <c r="O534" s="310" t="s">
        <v>5207</v>
      </c>
      <c r="P534" s="598"/>
      <c r="Q534" s="579">
        <v>24583.0</v>
      </c>
      <c r="R534" s="310" t="s">
        <v>2080</v>
      </c>
      <c r="S534" s="768">
        <v>43434.0</v>
      </c>
      <c r="T534" s="769">
        <v>43346.0</v>
      </c>
      <c r="U534" s="765" t="s">
        <v>5208</v>
      </c>
      <c r="V534" s="770">
        <v>24583.0</v>
      </c>
      <c r="W534" s="769">
        <v>43382.0</v>
      </c>
      <c r="X534" s="765" t="s">
        <v>4716</v>
      </c>
      <c r="Y534" s="765">
        <v>5.528488394E9</v>
      </c>
      <c r="Z534" s="765"/>
      <c r="AA534" s="765"/>
      <c r="AB534" s="765"/>
      <c r="AC534" s="253" t="s">
        <v>284</v>
      </c>
    </row>
    <row r="535" ht="15.75" hidden="1" customHeight="1">
      <c r="A535" s="764">
        <v>43334.0</v>
      </c>
      <c r="B535" s="265" t="s">
        <v>101</v>
      </c>
      <c r="C535" s="765" t="s">
        <v>5209</v>
      </c>
      <c r="D535" s="252" t="s">
        <v>5210</v>
      </c>
      <c r="E535" s="310" t="s">
        <v>5211</v>
      </c>
      <c r="F535" s="256">
        <v>10.0</v>
      </c>
      <c r="G535" s="466">
        <v>93.0</v>
      </c>
      <c r="H535" s="255">
        <f t="shared" si="22"/>
        <v>930</v>
      </c>
      <c r="I535" s="256" t="s">
        <v>171</v>
      </c>
      <c r="J535" s="369" t="s">
        <v>3568</v>
      </c>
      <c r="K535" s="258">
        <v>43371.0</v>
      </c>
      <c r="L535" s="258">
        <v>43360.0</v>
      </c>
      <c r="M535" s="388"/>
      <c r="N535" s="333" t="s">
        <v>2034</v>
      </c>
      <c r="O535" s="310" t="s">
        <v>5212</v>
      </c>
      <c r="P535" s="268">
        <v>924.0</v>
      </c>
      <c r="Q535" s="330"/>
      <c r="R535" s="320" t="s">
        <v>2036</v>
      </c>
      <c r="S535" s="768">
        <v>43398.0</v>
      </c>
      <c r="T535" s="769">
        <v>43357.0</v>
      </c>
      <c r="U535" s="765" t="s">
        <v>5213</v>
      </c>
      <c r="V535" s="770">
        <v>94587.0</v>
      </c>
      <c r="W535" s="769">
        <v>43406.0</v>
      </c>
      <c r="X535" s="765" t="s">
        <v>5214</v>
      </c>
      <c r="Y535" s="765" t="s">
        <v>5215</v>
      </c>
      <c r="Z535" s="765"/>
      <c r="AA535" s="765"/>
      <c r="AB535" s="765"/>
      <c r="AC535" s="253" t="s">
        <v>284</v>
      </c>
    </row>
    <row r="536" ht="15.75" hidden="1" customHeight="1">
      <c r="A536" s="764">
        <v>43334.0</v>
      </c>
      <c r="B536" s="265" t="s">
        <v>101</v>
      </c>
      <c r="C536" s="765" t="s">
        <v>5209</v>
      </c>
      <c r="D536" s="252" t="s">
        <v>5210</v>
      </c>
      <c r="E536" s="310" t="s">
        <v>5216</v>
      </c>
      <c r="F536" s="256">
        <v>10.0</v>
      </c>
      <c r="G536" s="267">
        <v>73.0</v>
      </c>
      <c r="H536" s="255">
        <f t="shared" si="22"/>
        <v>730</v>
      </c>
      <c r="I536" s="256" t="s">
        <v>171</v>
      </c>
      <c r="J536" s="369" t="s">
        <v>3568</v>
      </c>
      <c r="K536" s="258">
        <v>43371.0</v>
      </c>
      <c r="L536" s="258">
        <v>43360.0</v>
      </c>
      <c r="M536" s="388"/>
      <c r="N536" s="333" t="s">
        <v>2034</v>
      </c>
      <c r="O536" s="310" t="s">
        <v>5212</v>
      </c>
      <c r="P536" s="268">
        <v>724.5</v>
      </c>
      <c r="Q536" s="330"/>
      <c r="R536" s="320" t="s">
        <v>2036</v>
      </c>
      <c r="S536" s="768">
        <v>43398.0</v>
      </c>
      <c r="T536" s="769">
        <v>43357.0</v>
      </c>
      <c r="U536" s="765" t="s">
        <v>5213</v>
      </c>
      <c r="V536" s="765" t="s">
        <v>5217</v>
      </c>
      <c r="W536" s="769">
        <v>43406.0</v>
      </c>
      <c r="X536" s="765" t="s">
        <v>5214</v>
      </c>
      <c r="Y536" s="765" t="s">
        <v>5215</v>
      </c>
      <c r="Z536" s="765"/>
      <c r="AA536" s="765"/>
      <c r="AB536" s="765"/>
      <c r="AC536" s="253" t="s">
        <v>284</v>
      </c>
    </row>
    <row r="537" ht="15.75" hidden="1" customHeight="1">
      <c r="A537" s="764">
        <v>43334.0</v>
      </c>
      <c r="B537" s="265" t="s">
        <v>101</v>
      </c>
      <c r="C537" s="765" t="s">
        <v>5209</v>
      </c>
      <c r="D537" s="252" t="s">
        <v>5210</v>
      </c>
      <c r="E537" s="310" t="s">
        <v>354</v>
      </c>
      <c r="F537" s="256">
        <v>10.0</v>
      </c>
      <c r="G537" s="267">
        <v>140.0</v>
      </c>
      <c r="H537" s="255">
        <f t="shared" si="22"/>
        <v>1400</v>
      </c>
      <c r="I537" s="256" t="s">
        <v>171</v>
      </c>
      <c r="J537" s="369" t="s">
        <v>3568</v>
      </c>
      <c r="K537" s="258">
        <v>43371.0</v>
      </c>
      <c r="L537" s="258">
        <v>43360.0</v>
      </c>
      <c r="M537" s="388"/>
      <c r="N537" s="333" t="s">
        <v>2034</v>
      </c>
      <c r="O537" s="310" t="s">
        <v>5212</v>
      </c>
      <c r="P537" s="268">
        <v>1396.5</v>
      </c>
      <c r="Q537" s="330"/>
      <c r="R537" s="320" t="s">
        <v>2036</v>
      </c>
      <c r="S537" s="768">
        <v>43398.0</v>
      </c>
      <c r="T537" s="769">
        <v>43357.0</v>
      </c>
      <c r="U537" s="765" t="s">
        <v>5213</v>
      </c>
      <c r="V537" s="765" t="s">
        <v>5217</v>
      </c>
      <c r="W537" s="769">
        <v>43406.0</v>
      </c>
      <c r="X537" s="765" t="s">
        <v>5214</v>
      </c>
      <c r="Y537" s="765" t="s">
        <v>5215</v>
      </c>
      <c r="Z537" s="765"/>
      <c r="AA537" s="765"/>
      <c r="AB537" s="765"/>
      <c r="AC537" s="253" t="s">
        <v>284</v>
      </c>
    </row>
    <row r="538" ht="15.75" hidden="1" customHeight="1">
      <c r="A538" s="764">
        <v>43334.0</v>
      </c>
      <c r="B538" s="265" t="s">
        <v>101</v>
      </c>
      <c r="C538" s="765" t="s">
        <v>5209</v>
      </c>
      <c r="D538" s="252" t="s">
        <v>5210</v>
      </c>
      <c r="E538" s="310" t="s">
        <v>356</v>
      </c>
      <c r="F538" s="256">
        <v>10.0</v>
      </c>
      <c r="G538" s="267">
        <v>2.0</v>
      </c>
      <c r="H538" s="255">
        <f t="shared" si="22"/>
        <v>20</v>
      </c>
      <c r="I538" s="256" t="s">
        <v>171</v>
      </c>
      <c r="J538" s="369" t="s">
        <v>3568</v>
      </c>
      <c r="K538" s="258">
        <v>43371.0</v>
      </c>
      <c r="L538" s="266" t="s">
        <v>179</v>
      </c>
      <c r="M538" s="388"/>
      <c r="N538" s="266" t="s">
        <v>179</v>
      </c>
      <c r="O538" s="310" t="s">
        <v>3577</v>
      </c>
      <c r="P538" s="598"/>
      <c r="Q538" s="330"/>
      <c r="R538" s="310"/>
      <c r="S538" s="330"/>
      <c r="T538" s="765"/>
      <c r="U538" s="765"/>
      <c r="V538" s="765"/>
      <c r="W538" s="769"/>
      <c r="X538" s="765" t="s">
        <v>5214</v>
      </c>
      <c r="Y538" s="765" t="s">
        <v>5215</v>
      </c>
      <c r="Z538" s="765"/>
      <c r="AA538" s="765"/>
      <c r="AB538" s="765"/>
      <c r="AC538" s="253" t="s">
        <v>284</v>
      </c>
    </row>
    <row r="539" ht="15.75" hidden="1" customHeight="1">
      <c r="A539" s="764">
        <v>43334.0</v>
      </c>
      <c r="B539" s="265" t="s">
        <v>101</v>
      </c>
      <c r="C539" s="765" t="s">
        <v>5209</v>
      </c>
      <c r="D539" s="252" t="s">
        <v>5210</v>
      </c>
      <c r="E539" s="310" t="s">
        <v>5218</v>
      </c>
      <c r="F539" s="256">
        <v>10.0</v>
      </c>
      <c r="G539" s="267">
        <v>2.5</v>
      </c>
      <c r="H539" s="255">
        <f t="shared" si="22"/>
        <v>25</v>
      </c>
      <c r="I539" s="256" t="s">
        <v>171</v>
      </c>
      <c r="J539" s="369" t="s">
        <v>3568</v>
      </c>
      <c r="K539" s="258">
        <v>43371.0</v>
      </c>
      <c r="L539" s="266" t="s">
        <v>179</v>
      </c>
      <c r="M539" s="388"/>
      <c r="N539" s="266" t="s">
        <v>179</v>
      </c>
      <c r="O539" s="650" t="s">
        <v>3579</v>
      </c>
      <c r="P539" s="598"/>
      <c r="Q539" s="330"/>
      <c r="R539" s="310"/>
      <c r="S539" s="330"/>
      <c r="T539" s="765"/>
      <c r="U539" s="765"/>
      <c r="V539" s="765"/>
      <c r="W539" s="769"/>
      <c r="X539" s="765" t="s">
        <v>5214</v>
      </c>
      <c r="Y539" s="765" t="s">
        <v>5215</v>
      </c>
      <c r="Z539" s="765"/>
      <c r="AA539" s="765"/>
      <c r="AB539" s="765"/>
      <c r="AC539" s="253" t="s">
        <v>284</v>
      </c>
    </row>
    <row r="540" ht="15.75" hidden="1" customHeight="1">
      <c r="A540" s="764">
        <v>43334.0</v>
      </c>
      <c r="B540" s="265" t="s">
        <v>101</v>
      </c>
      <c r="C540" s="765" t="s">
        <v>5209</v>
      </c>
      <c r="D540" s="252" t="s">
        <v>5210</v>
      </c>
      <c r="E540" s="310" t="s">
        <v>355</v>
      </c>
      <c r="F540" s="256">
        <v>10.0</v>
      </c>
      <c r="G540" s="267">
        <v>4.0</v>
      </c>
      <c r="H540" s="255">
        <f t="shared" si="22"/>
        <v>40</v>
      </c>
      <c r="I540" s="256" t="s">
        <v>171</v>
      </c>
      <c r="J540" s="369" t="s">
        <v>3568</v>
      </c>
      <c r="K540" s="258">
        <v>43371.0</v>
      </c>
      <c r="L540" s="258">
        <v>43360.0</v>
      </c>
      <c r="M540" s="388"/>
      <c r="N540" s="333" t="s">
        <v>2034</v>
      </c>
      <c r="O540" s="310" t="s">
        <v>5212</v>
      </c>
      <c r="P540" s="268">
        <v>31.5</v>
      </c>
      <c r="Q540" s="330"/>
      <c r="R540" s="320" t="s">
        <v>2036</v>
      </c>
      <c r="S540" s="768">
        <v>43398.0</v>
      </c>
      <c r="T540" s="769">
        <v>43357.0</v>
      </c>
      <c r="U540" s="765" t="s">
        <v>5213</v>
      </c>
      <c r="V540" s="765" t="s">
        <v>5217</v>
      </c>
      <c r="W540" s="769">
        <v>43406.0</v>
      </c>
      <c r="X540" s="765" t="s">
        <v>5214</v>
      </c>
      <c r="Y540" s="765" t="s">
        <v>5215</v>
      </c>
      <c r="Z540" s="765"/>
      <c r="AA540" s="765"/>
      <c r="AB540" s="765"/>
      <c r="AC540" s="253" t="s">
        <v>284</v>
      </c>
    </row>
    <row r="541" ht="15.75" hidden="1" customHeight="1">
      <c r="A541" s="764">
        <v>43334.0</v>
      </c>
      <c r="B541" s="265" t="s">
        <v>101</v>
      </c>
      <c r="C541" s="765" t="s">
        <v>5209</v>
      </c>
      <c r="D541" s="252" t="s">
        <v>5210</v>
      </c>
      <c r="E541" s="310" t="s">
        <v>5219</v>
      </c>
      <c r="F541" s="256">
        <v>10.0</v>
      </c>
      <c r="G541" s="267">
        <v>8.0</v>
      </c>
      <c r="H541" s="255">
        <f t="shared" si="22"/>
        <v>80</v>
      </c>
      <c r="I541" s="256" t="s">
        <v>171</v>
      </c>
      <c r="J541" s="369" t="s">
        <v>3568</v>
      </c>
      <c r="K541" s="258">
        <v>43371.0</v>
      </c>
      <c r="L541" s="258">
        <v>43360.0</v>
      </c>
      <c r="M541" s="388"/>
      <c r="N541" s="333" t="s">
        <v>2038</v>
      </c>
      <c r="O541" s="310"/>
      <c r="P541" s="598"/>
      <c r="Q541" s="330"/>
      <c r="R541" s="310"/>
      <c r="S541" s="330"/>
      <c r="T541" s="765"/>
      <c r="U541" s="765"/>
      <c r="V541" s="765"/>
      <c r="W541" s="769"/>
      <c r="X541" s="765" t="s">
        <v>5214</v>
      </c>
      <c r="Y541" s="765" t="s">
        <v>5215</v>
      </c>
      <c r="Z541" s="765"/>
      <c r="AA541" s="765"/>
      <c r="AB541" s="765"/>
      <c r="AC541" s="253" t="s">
        <v>284</v>
      </c>
    </row>
    <row r="542" ht="15.75" hidden="1" customHeight="1">
      <c r="A542" s="764">
        <v>43334.0</v>
      </c>
      <c r="B542" s="265" t="s">
        <v>101</v>
      </c>
      <c r="C542" s="765"/>
      <c r="D542" s="252" t="s">
        <v>5220</v>
      </c>
      <c r="E542" s="602" t="s">
        <v>281</v>
      </c>
      <c r="F542" s="253">
        <v>10.0</v>
      </c>
      <c r="G542" s="254">
        <v>2.6</v>
      </c>
      <c r="H542" s="255">
        <f t="shared" si="22"/>
        <v>26</v>
      </c>
      <c r="I542" s="256" t="s">
        <v>171</v>
      </c>
      <c r="J542" s="369" t="s">
        <v>3568</v>
      </c>
      <c r="K542" s="258">
        <v>43371.0</v>
      </c>
      <c r="L542" s="258">
        <v>43354.0</v>
      </c>
      <c r="M542" s="388"/>
      <c r="N542" s="333" t="s">
        <v>1971</v>
      </c>
      <c r="O542" s="310" t="s">
        <v>5212</v>
      </c>
      <c r="P542" s="598"/>
      <c r="Q542" s="310">
        <v>420.0</v>
      </c>
      <c r="R542" s="310" t="s">
        <v>1973</v>
      </c>
      <c r="S542" s="330"/>
      <c r="T542" s="769">
        <v>43350.0</v>
      </c>
      <c r="U542" s="765" t="s">
        <v>283</v>
      </c>
      <c r="V542" s="770">
        <v>5460.0</v>
      </c>
      <c r="W542" s="769">
        <v>43348.0</v>
      </c>
      <c r="X542" s="765" t="s">
        <v>5214</v>
      </c>
      <c r="Y542" s="765" t="s">
        <v>5215</v>
      </c>
      <c r="Z542" s="765"/>
      <c r="AA542" s="765"/>
      <c r="AB542" s="765"/>
      <c r="AC542" s="253" t="s">
        <v>284</v>
      </c>
    </row>
    <row r="543" ht="15.75" hidden="1" customHeight="1">
      <c r="A543" s="776">
        <v>43324.0</v>
      </c>
      <c r="B543" s="144" t="s">
        <v>101</v>
      </c>
      <c r="C543" s="252" t="s">
        <v>5183</v>
      </c>
      <c r="D543" s="252" t="s">
        <v>5221</v>
      </c>
      <c r="E543" s="602" t="s">
        <v>5186</v>
      </c>
      <c r="F543" s="253">
        <v>3.0</v>
      </c>
      <c r="G543" s="254">
        <v>570.0</v>
      </c>
      <c r="H543" s="255">
        <f t="shared" si="22"/>
        <v>1710</v>
      </c>
      <c r="I543" s="256" t="s">
        <v>171</v>
      </c>
      <c r="J543" s="403" t="s">
        <v>3739</v>
      </c>
      <c r="K543" s="258">
        <v>43377.0</v>
      </c>
      <c r="L543" s="266" t="s">
        <v>4727</v>
      </c>
      <c r="M543" s="388"/>
      <c r="N543" s="266" t="s">
        <v>4727</v>
      </c>
      <c r="O543" s="310" t="s">
        <v>5185</v>
      </c>
      <c r="P543" s="598"/>
      <c r="Q543" s="330"/>
      <c r="R543" s="310"/>
      <c r="S543" s="330"/>
      <c r="T543" s="766"/>
      <c r="U543" s="766"/>
      <c r="V543" s="766"/>
      <c r="W543" s="767"/>
      <c r="X543" s="765" t="s">
        <v>5222</v>
      </c>
      <c r="Y543" s="765">
        <v>2.236052814E9</v>
      </c>
      <c r="Z543" s="765"/>
      <c r="AA543" s="765"/>
      <c r="AB543" s="765"/>
      <c r="AC543" s="253" t="s">
        <v>284</v>
      </c>
    </row>
    <row r="544" ht="15.75" hidden="1" customHeight="1">
      <c r="A544" s="776">
        <v>43324.0</v>
      </c>
      <c r="B544" s="144" t="s">
        <v>101</v>
      </c>
      <c r="C544" s="252" t="s">
        <v>5183</v>
      </c>
      <c r="D544" s="252" t="s">
        <v>5221</v>
      </c>
      <c r="E544" s="602" t="s">
        <v>4885</v>
      </c>
      <c r="F544" s="253">
        <v>3.0</v>
      </c>
      <c r="G544" s="254">
        <v>42.0</v>
      </c>
      <c r="H544" s="255">
        <f t="shared" si="22"/>
        <v>126</v>
      </c>
      <c r="I544" s="256" t="s">
        <v>171</v>
      </c>
      <c r="J544" s="403" t="s">
        <v>3739</v>
      </c>
      <c r="K544" s="258">
        <v>43377.0</v>
      </c>
      <c r="L544" s="266" t="s">
        <v>4727</v>
      </c>
      <c r="M544" s="388"/>
      <c r="N544" s="266" t="s">
        <v>4727</v>
      </c>
      <c r="O544" s="310" t="s">
        <v>5185</v>
      </c>
      <c r="P544" s="598"/>
      <c r="Q544" s="330"/>
      <c r="R544" s="310"/>
      <c r="S544" s="330"/>
      <c r="T544" s="766"/>
      <c r="U544" s="766"/>
      <c r="V544" s="766"/>
      <c r="W544" s="767"/>
      <c r="X544" s="765" t="s">
        <v>5222</v>
      </c>
      <c r="Y544" s="765">
        <v>2.236052814E9</v>
      </c>
      <c r="Z544" s="765"/>
      <c r="AA544" s="765"/>
      <c r="AB544" s="765"/>
      <c r="AC544" s="253" t="s">
        <v>284</v>
      </c>
    </row>
    <row r="545" ht="15.75" hidden="1" customHeight="1">
      <c r="A545" s="776">
        <v>43324.0</v>
      </c>
      <c r="B545" s="144" t="s">
        <v>101</v>
      </c>
      <c r="C545" s="252" t="s">
        <v>5183</v>
      </c>
      <c r="D545" s="252" t="s">
        <v>5221</v>
      </c>
      <c r="E545" s="602" t="s">
        <v>4886</v>
      </c>
      <c r="F545" s="253">
        <v>3.0</v>
      </c>
      <c r="G545" s="254">
        <v>140.0</v>
      </c>
      <c r="H545" s="255">
        <f t="shared" si="22"/>
        <v>420</v>
      </c>
      <c r="I545" s="256" t="s">
        <v>171</v>
      </c>
      <c r="J545" s="403" t="s">
        <v>3739</v>
      </c>
      <c r="K545" s="258">
        <v>43377.0</v>
      </c>
      <c r="L545" s="266" t="s">
        <v>4727</v>
      </c>
      <c r="M545" s="388"/>
      <c r="N545" s="266" t="s">
        <v>4727</v>
      </c>
      <c r="O545" s="310" t="s">
        <v>5185</v>
      </c>
      <c r="P545" s="598"/>
      <c r="Q545" s="330"/>
      <c r="R545" s="310"/>
      <c r="S545" s="330"/>
      <c r="T545" s="766"/>
      <c r="U545" s="766"/>
      <c r="V545" s="766"/>
      <c r="W545" s="767"/>
      <c r="X545" s="765" t="s">
        <v>5222</v>
      </c>
      <c r="Y545" s="765">
        <v>2.236052814E9</v>
      </c>
      <c r="Z545" s="765"/>
      <c r="AA545" s="765"/>
      <c r="AB545" s="765"/>
      <c r="AC545" s="253" t="s">
        <v>284</v>
      </c>
    </row>
    <row r="546" ht="15.75" hidden="1" customHeight="1">
      <c r="A546" s="776">
        <v>43324.0</v>
      </c>
      <c r="B546" s="144" t="s">
        <v>101</v>
      </c>
      <c r="C546" s="252" t="s">
        <v>5183</v>
      </c>
      <c r="D546" s="252" t="s">
        <v>5221</v>
      </c>
      <c r="E546" s="602" t="s">
        <v>442</v>
      </c>
      <c r="F546" s="253">
        <v>3.0</v>
      </c>
      <c r="G546" s="254">
        <v>38.0</v>
      </c>
      <c r="H546" s="255">
        <f t="shared" si="22"/>
        <v>114</v>
      </c>
      <c r="I546" s="256" t="s">
        <v>171</v>
      </c>
      <c r="J546" s="403" t="s">
        <v>3739</v>
      </c>
      <c r="K546" s="258">
        <v>43377.0</v>
      </c>
      <c r="L546" s="266" t="s">
        <v>4727</v>
      </c>
      <c r="M546" s="388"/>
      <c r="N546" s="266" t="s">
        <v>4727</v>
      </c>
      <c r="O546" s="310" t="s">
        <v>5185</v>
      </c>
      <c r="P546" s="598"/>
      <c r="Q546" s="330"/>
      <c r="R546" s="310"/>
      <c r="S546" s="330"/>
      <c r="T546" s="766"/>
      <c r="U546" s="766"/>
      <c r="V546" s="766"/>
      <c r="W546" s="767"/>
      <c r="X546" s="765" t="s">
        <v>5222</v>
      </c>
      <c r="Y546" s="765">
        <v>2.236052814E9</v>
      </c>
      <c r="Z546" s="765"/>
      <c r="AA546" s="765"/>
      <c r="AB546" s="765"/>
      <c r="AC546" s="253" t="s">
        <v>284</v>
      </c>
    </row>
    <row r="547" ht="15.75" hidden="1" customHeight="1">
      <c r="A547" s="776">
        <v>43324.0</v>
      </c>
      <c r="B547" s="144" t="s">
        <v>101</v>
      </c>
      <c r="C547" s="252" t="s">
        <v>5183</v>
      </c>
      <c r="D547" s="252" t="s">
        <v>5221</v>
      </c>
      <c r="E547" s="602" t="s">
        <v>546</v>
      </c>
      <c r="F547" s="253">
        <v>3.0</v>
      </c>
      <c r="G547" s="254">
        <v>47.0</v>
      </c>
      <c r="H547" s="255">
        <f t="shared" si="22"/>
        <v>141</v>
      </c>
      <c r="I547" s="256" t="s">
        <v>171</v>
      </c>
      <c r="J547" s="403" t="s">
        <v>3739</v>
      </c>
      <c r="K547" s="258">
        <v>43377.0</v>
      </c>
      <c r="L547" s="266" t="s">
        <v>4727</v>
      </c>
      <c r="M547" s="388"/>
      <c r="N547" s="266" t="s">
        <v>4727</v>
      </c>
      <c r="O547" s="310" t="s">
        <v>5185</v>
      </c>
      <c r="P547" s="598"/>
      <c r="Q547" s="330"/>
      <c r="R547" s="310"/>
      <c r="S547" s="330"/>
      <c r="T547" s="766"/>
      <c r="U547" s="766"/>
      <c r="V547" s="766"/>
      <c r="W547" s="767"/>
      <c r="X547" s="765" t="s">
        <v>5222</v>
      </c>
      <c r="Y547" s="765">
        <v>2.236052814E9</v>
      </c>
      <c r="Z547" s="765"/>
      <c r="AA547" s="765"/>
      <c r="AB547" s="765"/>
      <c r="AC547" s="253" t="s">
        <v>284</v>
      </c>
    </row>
    <row r="548" ht="27.75" hidden="1" customHeight="1">
      <c r="A548" s="764">
        <v>43335.0</v>
      </c>
      <c r="B548" s="265" t="s">
        <v>4754</v>
      </c>
      <c r="C548" s="765" t="s">
        <v>5223</v>
      </c>
      <c r="D548" s="252" t="s">
        <v>5224</v>
      </c>
      <c r="E548" s="252" t="s">
        <v>5225</v>
      </c>
      <c r="F548" s="253">
        <v>2.0</v>
      </c>
      <c r="G548" s="254">
        <v>515.0</v>
      </c>
      <c r="H548" s="255">
        <f t="shared" si="22"/>
        <v>1030</v>
      </c>
      <c r="I548" s="256" t="s">
        <v>3874</v>
      </c>
      <c r="J548" s="269" t="s">
        <v>594</v>
      </c>
      <c r="K548" s="258">
        <v>43363.0</v>
      </c>
      <c r="L548" s="258">
        <v>43357.0</v>
      </c>
      <c r="M548" s="388"/>
      <c r="N548" s="333" t="s">
        <v>2041</v>
      </c>
      <c r="O548" s="310" t="s">
        <v>5226</v>
      </c>
      <c r="P548" s="268">
        <v>970.2</v>
      </c>
      <c r="Q548" s="330"/>
      <c r="R548" s="578" t="s">
        <v>5227</v>
      </c>
      <c r="S548" s="330"/>
      <c r="T548" s="769">
        <v>43356.0</v>
      </c>
      <c r="U548" s="765" t="s">
        <v>5228</v>
      </c>
      <c r="V548" s="770">
        <v>31067.0</v>
      </c>
      <c r="W548" s="769">
        <v>43377.0</v>
      </c>
      <c r="X548" s="765" t="s">
        <v>5229</v>
      </c>
      <c r="Y548" s="765" t="s">
        <v>5230</v>
      </c>
      <c r="Z548" s="765"/>
      <c r="AA548" s="765"/>
      <c r="AB548" s="765"/>
      <c r="AC548" s="253" t="s">
        <v>284</v>
      </c>
    </row>
    <row r="549" ht="26.25" hidden="1" customHeight="1">
      <c r="A549" s="764">
        <v>43335.0</v>
      </c>
      <c r="B549" s="265"/>
      <c r="C549" s="765" t="s">
        <v>5223</v>
      </c>
      <c r="D549" s="252" t="s">
        <v>5224</v>
      </c>
      <c r="E549" s="252" t="s">
        <v>5231</v>
      </c>
      <c r="F549" s="253">
        <v>2.0</v>
      </c>
      <c r="G549" s="254">
        <v>19.0</v>
      </c>
      <c r="H549" s="255">
        <f t="shared" si="22"/>
        <v>38</v>
      </c>
      <c r="I549" s="256" t="s">
        <v>3874</v>
      </c>
      <c r="J549" s="269" t="s">
        <v>594</v>
      </c>
      <c r="K549" s="258">
        <v>43363.0</v>
      </c>
      <c r="L549" s="258">
        <v>43357.0</v>
      </c>
      <c r="M549" s="388"/>
      <c r="N549" s="333" t="s">
        <v>2041</v>
      </c>
      <c r="O549" s="310" t="s">
        <v>5226</v>
      </c>
      <c r="P549" s="268">
        <v>37.8</v>
      </c>
      <c r="Q549" s="330"/>
      <c r="R549" s="578" t="s">
        <v>5227</v>
      </c>
      <c r="S549" s="330"/>
      <c r="T549" s="769">
        <v>43356.0</v>
      </c>
      <c r="U549" s="765" t="s">
        <v>5228</v>
      </c>
      <c r="V549" s="765" t="s">
        <v>5232</v>
      </c>
      <c r="W549" s="769">
        <v>43377.0</v>
      </c>
      <c r="X549" s="765" t="s">
        <v>5229</v>
      </c>
      <c r="Y549" s="765" t="s">
        <v>5230</v>
      </c>
      <c r="Z549" s="765"/>
      <c r="AA549" s="765"/>
      <c r="AB549" s="765"/>
      <c r="AC549" s="253" t="s">
        <v>284</v>
      </c>
    </row>
    <row r="550" ht="15.75" hidden="1" customHeight="1">
      <c r="A550" s="764">
        <v>43339.0</v>
      </c>
      <c r="B550" s="265" t="s">
        <v>416</v>
      </c>
      <c r="C550" s="765" t="s">
        <v>5233</v>
      </c>
      <c r="D550" s="252" t="s">
        <v>5234</v>
      </c>
      <c r="E550" s="252" t="s">
        <v>5235</v>
      </c>
      <c r="F550" s="253">
        <v>33.0</v>
      </c>
      <c r="G550" s="254">
        <v>144.0</v>
      </c>
      <c r="H550" s="255">
        <v>4752.0</v>
      </c>
      <c r="I550" s="256" t="s">
        <v>5236</v>
      </c>
      <c r="J550" s="870" t="s">
        <v>5237</v>
      </c>
      <c r="K550" s="258">
        <v>43347.0</v>
      </c>
      <c r="L550" s="258">
        <v>43346.0</v>
      </c>
      <c r="M550" s="388"/>
      <c r="N550" s="333" t="s">
        <v>5110</v>
      </c>
      <c r="O550" s="310" t="s">
        <v>5238</v>
      </c>
      <c r="P550" s="598"/>
      <c r="Q550" s="579">
        <v>137595.0</v>
      </c>
      <c r="R550" s="871" t="s">
        <v>5239</v>
      </c>
      <c r="S550" s="768">
        <v>43343.0</v>
      </c>
      <c r="T550" s="769">
        <v>43346.0</v>
      </c>
      <c r="U550" s="765" t="s">
        <v>5240</v>
      </c>
      <c r="V550" s="770">
        <v>137595.0</v>
      </c>
      <c r="W550" s="769">
        <v>43346.0</v>
      </c>
      <c r="X550" s="765" t="s">
        <v>5241</v>
      </c>
      <c r="Y550" s="765" t="s">
        <v>5242</v>
      </c>
      <c r="Z550" s="765"/>
      <c r="AA550" s="765"/>
      <c r="AB550" s="765"/>
      <c r="AC550" s="253" t="s">
        <v>284</v>
      </c>
    </row>
    <row r="551" ht="36.0" hidden="1" customHeight="1">
      <c r="A551" s="764">
        <v>43339.0</v>
      </c>
      <c r="B551" s="265" t="s">
        <v>1494</v>
      </c>
      <c r="C551" s="765"/>
      <c r="D551" s="252" t="s">
        <v>5243</v>
      </c>
      <c r="E551" s="252" t="s">
        <v>5244</v>
      </c>
      <c r="F551" s="253">
        <v>6.0</v>
      </c>
      <c r="G551" s="254">
        <v>119.0</v>
      </c>
      <c r="H551" s="255">
        <v>714.0</v>
      </c>
      <c r="I551" s="256" t="s">
        <v>5236</v>
      </c>
      <c r="J551" s="403" t="s">
        <v>1497</v>
      </c>
      <c r="K551" s="258">
        <v>43347.0</v>
      </c>
      <c r="L551" s="258">
        <v>43343.0</v>
      </c>
      <c r="M551" s="388"/>
      <c r="N551" s="333" t="s">
        <v>3840</v>
      </c>
      <c r="O551" s="310" t="s">
        <v>5245</v>
      </c>
      <c r="P551" s="598"/>
      <c r="Q551" s="579">
        <v>20160.0</v>
      </c>
      <c r="R551" s="388" t="s">
        <v>3842</v>
      </c>
      <c r="S551" s="768">
        <v>43404.0</v>
      </c>
      <c r="T551" s="769">
        <v>43342.0</v>
      </c>
      <c r="U551" s="765" t="s">
        <v>5246</v>
      </c>
      <c r="V551" s="770">
        <v>76020.0</v>
      </c>
      <c r="W551" s="769">
        <v>43406.0</v>
      </c>
      <c r="X551" s="765" t="s">
        <v>5247</v>
      </c>
      <c r="Y551" s="765">
        <v>6.26038431E8</v>
      </c>
      <c r="Z551" s="765"/>
      <c r="AA551" s="765"/>
      <c r="AB551" s="765"/>
      <c r="AC551" s="253" t="s">
        <v>284</v>
      </c>
    </row>
    <row r="552" ht="15.75" hidden="1" customHeight="1">
      <c r="A552" s="764">
        <v>43339.0</v>
      </c>
      <c r="B552" s="597" t="s">
        <v>1494</v>
      </c>
      <c r="C552" s="765"/>
      <c r="D552" s="252" t="s">
        <v>5243</v>
      </c>
      <c r="E552" s="252" t="s">
        <v>5248</v>
      </c>
      <c r="F552" s="253">
        <v>6.0</v>
      </c>
      <c r="G552" s="254">
        <v>284.0</v>
      </c>
      <c r="H552" s="255">
        <v>1704.0</v>
      </c>
      <c r="I552" s="256" t="s">
        <v>5236</v>
      </c>
      <c r="J552" s="403" t="s">
        <v>1497</v>
      </c>
      <c r="K552" s="258">
        <v>43347.0</v>
      </c>
      <c r="L552" s="258">
        <v>43343.0</v>
      </c>
      <c r="M552" s="388"/>
      <c r="N552" s="333" t="s">
        <v>3840</v>
      </c>
      <c r="O552" s="310" t="s">
        <v>5245</v>
      </c>
      <c r="P552" s="598"/>
      <c r="Q552" s="579">
        <v>45360.0</v>
      </c>
      <c r="R552" s="388" t="s">
        <v>3842</v>
      </c>
      <c r="S552" s="768">
        <v>43404.0</v>
      </c>
      <c r="T552" s="769">
        <v>43342.0</v>
      </c>
      <c r="U552" s="765" t="s">
        <v>5246</v>
      </c>
      <c r="V552" s="765" t="s">
        <v>5249</v>
      </c>
      <c r="W552" s="769">
        <v>43406.0</v>
      </c>
      <c r="X552" s="765" t="s">
        <v>5247</v>
      </c>
      <c r="Y552" s="765">
        <v>6.26038431E8</v>
      </c>
      <c r="Z552" s="765"/>
      <c r="AA552" s="765"/>
      <c r="AB552" s="765"/>
      <c r="AC552" s="253" t="s">
        <v>284</v>
      </c>
    </row>
    <row r="553" ht="15.75" hidden="1" customHeight="1">
      <c r="A553" s="764">
        <v>43339.0</v>
      </c>
      <c r="B553" s="265" t="s">
        <v>1494</v>
      </c>
      <c r="C553" s="765"/>
      <c r="D553" s="252" t="s">
        <v>5243</v>
      </c>
      <c r="E553" s="252" t="s">
        <v>5250</v>
      </c>
      <c r="F553" s="253">
        <v>4.0</v>
      </c>
      <c r="G553" s="254">
        <v>90.0</v>
      </c>
      <c r="H553" s="255">
        <v>360.0</v>
      </c>
      <c r="I553" s="256" t="s">
        <v>5236</v>
      </c>
      <c r="J553" s="403" t="s">
        <v>1497</v>
      </c>
      <c r="K553" s="258">
        <v>43347.0</v>
      </c>
      <c r="L553" s="258">
        <v>43343.0</v>
      </c>
      <c r="M553" s="388"/>
      <c r="N553" s="333" t="s">
        <v>3840</v>
      </c>
      <c r="O553" s="310" t="s">
        <v>5245</v>
      </c>
      <c r="P553" s="598"/>
      <c r="Q553" s="579">
        <v>10500.0</v>
      </c>
      <c r="R553" s="388" t="s">
        <v>3842</v>
      </c>
      <c r="S553" s="768">
        <v>43404.0</v>
      </c>
      <c r="T553" s="769">
        <v>43342.0</v>
      </c>
      <c r="U553" s="765" t="s">
        <v>5246</v>
      </c>
      <c r="V553" s="765" t="s">
        <v>5249</v>
      </c>
      <c r="W553" s="769">
        <v>43406.0</v>
      </c>
      <c r="X553" s="765" t="s">
        <v>5247</v>
      </c>
      <c r="Y553" s="765">
        <v>6.26038431E8</v>
      </c>
      <c r="Z553" s="765"/>
      <c r="AA553" s="765"/>
      <c r="AB553" s="765"/>
      <c r="AC553" s="253" t="s">
        <v>284</v>
      </c>
    </row>
    <row r="554" ht="15.75" hidden="1" customHeight="1">
      <c r="A554" s="776">
        <v>43339.0</v>
      </c>
      <c r="B554" s="265" t="s">
        <v>130</v>
      </c>
      <c r="C554" s="252" t="s">
        <v>5251</v>
      </c>
      <c r="D554" s="252" t="s">
        <v>5252</v>
      </c>
      <c r="E554" s="252" t="s">
        <v>3954</v>
      </c>
      <c r="F554" s="266">
        <v>20.0</v>
      </c>
      <c r="G554" s="267">
        <v>66.0</v>
      </c>
      <c r="H554" s="255">
        <v>1320.0</v>
      </c>
      <c r="I554" s="256" t="s">
        <v>420</v>
      </c>
      <c r="J554" s="861" t="s">
        <v>5253</v>
      </c>
      <c r="K554" s="258">
        <v>43370.0</v>
      </c>
      <c r="L554" s="258">
        <v>43353.0</v>
      </c>
      <c r="M554" s="320"/>
      <c r="N554" s="333" t="s">
        <v>90</v>
      </c>
      <c r="O554" s="310" t="s">
        <v>5254</v>
      </c>
      <c r="P554" s="268">
        <v>1260.0</v>
      </c>
      <c r="Q554" s="310"/>
      <c r="R554" s="340" t="s">
        <v>94</v>
      </c>
      <c r="S554" s="768">
        <v>43404.0</v>
      </c>
      <c r="T554" s="771">
        <v>43350.0</v>
      </c>
      <c r="U554" s="252" t="s">
        <v>5255</v>
      </c>
      <c r="V554" s="774">
        <v>38714.0</v>
      </c>
      <c r="W554" s="771">
        <v>43405.0</v>
      </c>
      <c r="X554" s="252" t="s">
        <v>5256</v>
      </c>
      <c r="Y554" s="252">
        <v>8.1233736869E11</v>
      </c>
      <c r="Z554" s="252"/>
      <c r="AA554" s="252"/>
      <c r="AB554" s="252"/>
      <c r="AC554" s="253" t="s">
        <v>284</v>
      </c>
    </row>
    <row r="555" ht="15.75" hidden="1" customHeight="1">
      <c r="A555" s="274">
        <v>43339.0</v>
      </c>
      <c r="B555" s="783" t="s">
        <v>130</v>
      </c>
      <c r="C555" s="789" t="s">
        <v>5251</v>
      </c>
      <c r="D555" s="277" t="s">
        <v>5252</v>
      </c>
      <c r="E555" s="277" t="s">
        <v>3951</v>
      </c>
      <c r="F555" s="279">
        <v>0.0</v>
      </c>
      <c r="G555" s="280">
        <v>90.0</v>
      </c>
      <c r="H555" s="805">
        <v>900.0</v>
      </c>
      <c r="I555" s="855" t="s">
        <v>5236</v>
      </c>
      <c r="J555" s="784" t="s">
        <v>80</v>
      </c>
      <c r="K555" s="854"/>
      <c r="L555" s="854">
        <v>43350.0</v>
      </c>
      <c r="M555" s="857"/>
      <c r="N555" s="283" t="s">
        <v>90</v>
      </c>
      <c r="O555" s="798" t="s">
        <v>5254</v>
      </c>
      <c r="P555" s="583"/>
      <c r="Q555" s="582"/>
      <c r="R555" s="786" t="s">
        <v>94</v>
      </c>
      <c r="S555" s="582"/>
      <c r="T555" s="789"/>
      <c r="U555" s="789"/>
      <c r="V555" s="789"/>
      <c r="W555" s="872"/>
      <c r="X555" s="789"/>
      <c r="Y555" s="789"/>
      <c r="Z555" s="789"/>
      <c r="AA555" s="789"/>
      <c r="AB555" s="789"/>
      <c r="AC555" s="279" t="s">
        <v>3617</v>
      </c>
    </row>
    <row r="556" ht="15.75" hidden="1" customHeight="1">
      <c r="A556" s="776">
        <v>43340.0</v>
      </c>
      <c r="B556" s="265" t="s">
        <v>621</v>
      </c>
      <c r="C556" s="765"/>
      <c r="D556" s="252" t="s">
        <v>5257</v>
      </c>
      <c r="E556" s="252" t="s">
        <v>5171</v>
      </c>
      <c r="F556" s="253">
        <v>1.0</v>
      </c>
      <c r="G556" s="254">
        <v>257.25</v>
      </c>
      <c r="H556" s="255">
        <f t="shared" ref="H556:H558" si="23">G556*F556</f>
        <v>257.25</v>
      </c>
      <c r="I556" s="256" t="s">
        <v>43</v>
      </c>
      <c r="J556" s="369" t="s">
        <v>90</v>
      </c>
      <c r="K556" s="258">
        <v>43349.0</v>
      </c>
      <c r="L556" s="258">
        <v>43348.0</v>
      </c>
      <c r="M556" s="388"/>
      <c r="N556" s="333" t="s">
        <v>90</v>
      </c>
      <c r="O556" s="310" t="s">
        <v>5258</v>
      </c>
      <c r="P556" s="268">
        <v>236.25</v>
      </c>
      <c r="Q556" s="330"/>
      <c r="R556" s="340" t="s">
        <v>94</v>
      </c>
      <c r="S556" s="768">
        <v>43404.0</v>
      </c>
      <c r="T556" s="771">
        <v>43348.0</v>
      </c>
      <c r="U556" s="252" t="s">
        <v>5259</v>
      </c>
      <c r="V556" s="774">
        <v>7259.0</v>
      </c>
      <c r="W556" s="769">
        <v>43405.0</v>
      </c>
      <c r="X556" s="765" t="s">
        <v>5260</v>
      </c>
      <c r="Y556" s="765"/>
      <c r="Z556" s="765" t="s">
        <v>4986</v>
      </c>
      <c r="AA556" s="770">
        <v>7922.0</v>
      </c>
      <c r="AB556" s="765" t="s">
        <v>5261</v>
      </c>
      <c r="AC556" s="253" t="s">
        <v>377</v>
      </c>
    </row>
    <row r="557" ht="15.75" hidden="1" customHeight="1">
      <c r="A557" s="764">
        <v>43342.0</v>
      </c>
      <c r="B557" s="265" t="s">
        <v>579</v>
      </c>
      <c r="C557" s="765">
        <v>2.0180829003E10</v>
      </c>
      <c r="D557" s="252" t="s">
        <v>5262</v>
      </c>
      <c r="E557" s="252" t="s">
        <v>5263</v>
      </c>
      <c r="F557" s="253">
        <v>1.0</v>
      </c>
      <c r="G557" s="254">
        <v>194.25</v>
      </c>
      <c r="H557" s="255">
        <f t="shared" si="23"/>
        <v>194.25</v>
      </c>
      <c r="I557" s="256" t="s">
        <v>171</v>
      </c>
      <c r="J557" s="369" t="s">
        <v>582</v>
      </c>
      <c r="K557" s="258">
        <v>43349.0</v>
      </c>
      <c r="L557" s="258">
        <v>43349.0</v>
      </c>
      <c r="M557" s="388"/>
      <c r="N557" s="333" t="s">
        <v>1439</v>
      </c>
      <c r="O557" s="310" t="s">
        <v>5264</v>
      </c>
      <c r="P557" s="598"/>
      <c r="Q557" s="579">
        <v>5153.0</v>
      </c>
      <c r="R557" s="320" t="s">
        <v>1976</v>
      </c>
      <c r="S557" s="768">
        <v>43404.0</v>
      </c>
      <c r="T557" s="769">
        <v>43348.0</v>
      </c>
      <c r="U557" s="765" t="s">
        <v>5265</v>
      </c>
      <c r="V557" s="770">
        <v>5153.0</v>
      </c>
      <c r="W557" s="769">
        <v>43405.0</v>
      </c>
      <c r="X557" s="765" t="s">
        <v>5266</v>
      </c>
      <c r="Y557" s="765"/>
      <c r="Z557" s="765" t="s">
        <v>5267</v>
      </c>
      <c r="AA557" s="770">
        <v>5828.0</v>
      </c>
      <c r="AB557" s="765" t="s">
        <v>5261</v>
      </c>
      <c r="AC557" s="253" t="s">
        <v>377</v>
      </c>
    </row>
    <row r="558" ht="15.75" hidden="1" customHeight="1">
      <c r="A558" s="764">
        <v>43343.0</v>
      </c>
      <c r="B558" s="597" t="s">
        <v>406</v>
      </c>
      <c r="C558" s="765">
        <v>7.000140739E9</v>
      </c>
      <c r="D558" s="252" t="s">
        <v>5268</v>
      </c>
      <c r="E558" s="252" t="s">
        <v>519</v>
      </c>
      <c r="F558" s="253">
        <v>100.0</v>
      </c>
      <c r="G558" s="254">
        <v>132.5</v>
      </c>
      <c r="H558" s="255">
        <f t="shared" si="23"/>
        <v>13250</v>
      </c>
      <c r="I558" s="256" t="s">
        <v>43</v>
      </c>
      <c r="J558" s="333" t="s">
        <v>4002</v>
      </c>
      <c r="K558" s="258">
        <v>43370.0</v>
      </c>
      <c r="L558" s="258">
        <v>43370.0</v>
      </c>
      <c r="M558" s="388"/>
      <c r="N558" s="333" t="s">
        <v>3593</v>
      </c>
      <c r="O558" s="252" t="s">
        <v>5269</v>
      </c>
      <c r="P558" s="598"/>
      <c r="Q558" s="579">
        <v>410970.0</v>
      </c>
      <c r="R558" s="310" t="s">
        <v>2080</v>
      </c>
      <c r="S558" s="768">
        <v>43465.0</v>
      </c>
      <c r="T558" s="769">
        <v>43370.0</v>
      </c>
      <c r="U558" s="765" t="s">
        <v>5270</v>
      </c>
      <c r="V558" s="770">
        <v>410970.0</v>
      </c>
      <c r="W558" s="769">
        <v>43419.0</v>
      </c>
      <c r="X558" s="252" t="s">
        <v>5271</v>
      </c>
      <c r="Y558" s="252">
        <v>6.76335457E9</v>
      </c>
      <c r="Z558" s="765"/>
      <c r="AA558" s="765"/>
      <c r="AB558" s="765"/>
      <c r="AC558" s="253" t="s">
        <v>284</v>
      </c>
    </row>
    <row r="559" ht="15.75" hidden="1" customHeight="1">
      <c r="A559" s="274">
        <v>43343.0</v>
      </c>
      <c r="B559" s="804" t="s">
        <v>406</v>
      </c>
      <c r="C559" s="789">
        <v>7.000140739E9</v>
      </c>
      <c r="D559" s="276" t="s">
        <v>5268</v>
      </c>
      <c r="E559" s="276" t="s">
        <v>5272</v>
      </c>
      <c r="F559" s="279">
        <v>100.0</v>
      </c>
      <c r="G559" s="280">
        <v>33.0</v>
      </c>
      <c r="H559" s="805"/>
      <c r="I559" s="855"/>
      <c r="J559" s="856"/>
      <c r="K559" s="860"/>
      <c r="L559" s="854"/>
      <c r="M559" s="857"/>
      <c r="N559" s="283"/>
      <c r="O559" s="798"/>
      <c r="P559" s="583"/>
      <c r="Q559" s="582"/>
      <c r="R559" s="798"/>
      <c r="S559" s="582"/>
      <c r="T559" s="787"/>
      <c r="U559" s="787"/>
      <c r="V559" s="787"/>
      <c r="W559" s="788"/>
      <c r="X559" s="787"/>
      <c r="Y559" s="789"/>
      <c r="Z559" s="789"/>
      <c r="AA559" s="789"/>
      <c r="AB559" s="789"/>
      <c r="AC559" s="253" t="s">
        <v>3617</v>
      </c>
    </row>
    <row r="560" ht="15.75" hidden="1" customHeight="1">
      <c r="A560" s="274">
        <v>43343.0</v>
      </c>
      <c r="B560" s="804" t="s">
        <v>406</v>
      </c>
      <c r="C560" s="789">
        <v>7.000140739E9</v>
      </c>
      <c r="D560" s="276" t="s">
        <v>5268</v>
      </c>
      <c r="E560" s="276" t="s">
        <v>5273</v>
      </c>
      <c r="F560" s="279">
        <v>50.0</v>
      </c>
      <c r="G560" s="280">
        <v>58.0</v>
      </c>
      <c r="H560" s="805"/>
      <c r="I560" s="855"/>
      <c r="J560" s="856"/>
      <c r="K560" s="860"/>
      <c r="L560" s="854"/>
      <c r="M560" s="857"/>
      <c r="N560" s="283"/>
      <c r="O560" s="798"/>
      <c r="P560" s="583"/>
      <c r="Q560" s="582"/>
      <c r="R560" s="798"/>
      <c r="S560" s="582"/>
      <c r="T560" s="787"/>
      <c r="U560" s="787"/>
      <c r="V560" s="787"/>
      <c r="W560" s="788"/>
      <c r="X560" s="787"/>
      <c r="Y560" s="789"/>
      <c r="Z560" s="789"/>
      <c r="AA560" s="789"/>
      <c r="AB560" s="789"/>
      <c r="AC560" s="253" t="s">
        <v>3617</v>
      </c>
    </row>
    <row r="561" ht="15.75" hidden="1" customHeight="1">
      <c r="A561" s="274">
        <v>43343.0</v>
      </c>
      <c r="B561" s="804" t="s">
        <v>406</v>
      </c>
      <c r="C561" s="789">
        <v>7.000140739E9</v>
      </c>
      <c r="D561" s="276" t="s">
        <v>5268</v>
      </c>
      <c r="E561" s="276" t="s">
        <v>5274</v>
      </c>
      <c r="F561" s="279">
        <v>50.0</v>
      </c>
      <c r="G561" s="280">
        <v>10.0</v>
      </c>
      <c r="H561" s="805"/>
      <c r="I561" s="855"/>
      <c r="J561" s="856"/>
      <c r="K561" s="854"/>
      <c r="L561" s="854"/>
      <c r="M561" s="857"/>
      <c r="N561" s="283"/>
      <c r="O561" s="798"/>
      <c r="P561" s="583"/>
      <c r="Q561" s="582"/>
      <c r="R561" s="798"/>
      <c r="S561" s="582"/>
      <c r="T561" s="787"/>
      <c r="U561" s="787"/>
      <c r="V561" s="787"/>
      <c r="W561" s="788"/>
      <c r="X561" s="787"/>
      <c r="Y561" s="789"/>
      <c r="Z561" s="789"/>
      <c r="AA561" s="789"/>
      <c r="AB561" s="789"/>
      <c r="AC561" s="253" t="s">
        <v>3617</v>
      </c>
    </row>
    <row r="562" ht="15.75" customHeight="1">
      <c r="A562" s="764">
        <v>43343.0</v>
      </c>
      <c r="B562" s="144" t="s">
        <v>77</v>
      </c>
      <c r="C562" s="765">
        <v>905.0</v>
      </c>
      <c r="D562" s="252" t="s">
        <v>5275</v>
      </c>
      <c r="E562" s="602" t="s">
        <v>5276</v>
      </c>
      <c r="F562" s="253">
        <v>2.0</v>
      </c>
      <c r="G562" s="254">
        <v>200.0</v>
      </c>
      <c r="H562" s="255">
        <f t="shared" ref="H562:H640" si="24">G562*F562</f>
        <v>400</v>
      </c>
      <c r="I562" s="256" t="s">
        <v>43</v>
      </c>
      <c r="J562" s="333" t="s">
        <v>316</v>
      </c>
      <c r="K562" s="258">
        <v>43363.0</v>
      </c>
      <c r="L562" s="258">
        <v>43360.0</v>
      </c>
      <c r="M562" s="388"/>
      <c r="N562" s="817" t="s">
        <v>1537</v>
      </c>
      <c r="O562" s="310" t="s">
        <v>5277</v>
      </c>
      <c r="P562" s="598"/>
      <c r="Q562" s="579">
        <v>10441.0</v>
      </c>
      <c r="R562" s="765" t="s">
        <v>2148</v>
      </c>
      <c r="S562" s="768">
        <v>43378.0</v>
      </c>
      <c r="T562" s="769">
        <v>43360.0</v>
      </c>
      <c r="U562" s="765" t="s">
        <v>5278</v>
      </c>
      <c r="V562" s="770">
        <v>10441.0</v>
      </c>
      <c r="W562" s="769">
        <v>43382.0</v>
      </c>
      <c r="X562" s="765" t="s">
        <v>5279</v>
      </c>
      <c r="Y562" s="765">
        <v>6.38180351E8</v>
      </c>
      <c r="Z562" s="765"/>
      <c r="AA562" s="765"/>
      <c r="AB562" s="765"/>
      <c r="AC562" s="253" t="s">
        <v>284</v>
      </c>
    </row>
    <row r="563" ht="15.75" customHeight="1">
      <c r="A563" s="764">
        <v>43343.0</v>
      </c>
      <c r="B563" s="144" t="s">
        <v>77</v>
      </c>
      <c r="C563" s="765">
        <v>905.0</v>
      </c>
      <c r="D563" s="252" t="s">
        <v>5275</v>
      </c>
      <c r="E563" s="422" t="s">
        <v>646</v>
      </c>
      <c r="F563" s="253">
        <v>2.0</v>
      </c>
      <c r="G563" s="254">
        <v>0.0</v>
      </c>
      <c r="H563" s="255">
        <f t="shared" si="24"/>
        <v>0</v>
      </c>
      <c r="I563" s="256" t="s">
        <v>43</v>
      </c>
      <c r="J563" s="333" t="s">
        <v>316</v>
      </c>
      <c r="K563" s="258">
        <v>43363.0</v>
      </c>
      <c r="L563" s="258">
        <v>43360.0</v>
      </c>
      <c r="M563" s="388"/>
      <c r="N563" s="266" t="s">
        <v>1537</v>
      </c>
      <c r="O563" s="310" t="s">
        <v>5277</v>
      </c>
      <c r="P563" s="598"/>
      <c r="Q563" s="310">
        <v>0.0</v>
      </c>
      <c r="R563" s="765" t="s">
        <v>2148</v>
      </c>
      <c r="S563" s="768">
        <v>43378.0</v>
      </c>
      <c r="T563" s="769">
        <v>43360.0</v>
      </c>
      <c r="U563" s="765" t="s">
        <v>5278</v>
      </c>
      <c r="V563" s="765" t="s">
        <v>5280</v>
      </c>
      <c r="W563" s="769">
        <v>43382.0</v>
      </c>
      <c r="X563" s="765" t="s">
        <v>5279</v>
      </c>
      <c r="Y563" s="765">
        <v>6.38180351E8</v>
      </c>
      <c r="Z563" s="765"/>
      <c r="AA563" s="765"/>
      <c r="AB563" s="765"/>
      <c r="AC563" s="253" t="s">
        <v>284</v>
      </c>
    </row>
    <row r="564" ht="15.75" customHeight="1">
      <c r="A564" s="764">
        <v>43343.0</v>
      </c>
      <c r="B564" s="144" t="s">
        <v>77</v>
      </c>
      <c r="C564" s="765">
        <v>905.0</v>
      </c>
      <c r="D564" s="252" t="s">
        <v>5275</v>
      </c>
      <c r="E564" s="252" t="s">
        <v>647</v>
      </c>
      <c r="F564" s="253">
        <v>2.0</v>
      </c>
      <c r="G564" s="254">
        <v>0.0</v>
      </c>
      <c r="H564" s="255">
        <f t="shared" si="24"/>
        <v>0</v>
      </c>
      <c r="I564" s="256" t="s">
        <v>43</v>
      </c>
      <c r="J564" s="333" t="s">
        <v>316</v>
      </c>
      <c r="K564" s="258">
        <v>43363.0</v>
      </c>
      <c r="L564" s="258">
        <v>43360.0</v>
      </c>
      <c r="M564" s="388"/>
      <c r="N564" s="266" t="s">
        <v>1537</v>
      </c>
      <c r="O564" s="310" t="s">
        <v>5277</v>
      </c>
      <c r="P564" s="598"/>
      <c r="Q564" s="310">
        <v>0.0</v>
      </c>
      <c r="R564" s="765" t="s">
        <v>2148</v>
      </c>
      <c r="S564" s="768">
        <v>43378.0</v>
      </c>
      <c r="T564" s="769">
        <v>43360.0</v>
      </c>
      <c r="U564" s="765" t="s">
        <v>5278</v>
      </c>
      <c r="V564" s="765" t="s">
        <v>5280</v>
      </c>
      <c r="W564" s="769">
        <v>43382.0</v>
      </c>
      <c r="X564" s="765" t="s">
        <v>5279</v>
      </c>
      <c r="Y564" s="765">
        <v>6.38180351E8</v>
      </c>
      <c r="Z564" s="765"/>
      <c r="AA564" s="765"/>
      <c r="AB564" s="765"/>
      <c r="AC564" s="253" t="s">
        <v>284</v>
      </c>
    </row>
    <row r="565" ht="15.75" customHeight="1">
      <c r="A565" s="764">
        <v>43343.0</v>
      </c>
      <c r="B565" s="144" t="s">
        <v>77</v>
      </c>
      <c r="C565" s="765">
        <v>905.0</v>
      </c>
      <c r="D565" s="252" t="s">
        <v>5275</v>
      </c>
      <c r="E565" s="252" t="s">
        <v>648</v>
      </c>
      <c r="F565" s="253">
        <v>2.0</v>
      </c>
      <c r="G565" s="254">
        <v>0.0</v>
      </c>
      <c r="H565" s="255">
        <f t="shared" si="24"/>
        <v>0</v>
      </c>
      <c r="I565" s="256" t="s">
        <v>43</v>
      </c>
      <c r="J565" s="333" t="s">
        <v>316</v>
      </c>
      <c r="K565" s="258">
        <v>43363.0</v>
      </c>
      <c r="L565" s="258">
        <v>43360.0</v>
      </c>
      <c r="M565" s="388"/>
      <c r="N565" s="266" t="s">
        <v>1537</v>
      </c>
      <c r="O565" s="310" t="s">
        <v>5277</v>
      </c>
      <c r="P565" s="598"/>
      <c r="Q565" s="310">
        <v>0.0</v>
      </c>
      <c r="R565" s="765" t="s">
        <v>2148</v>
      </c>
      <c r="S565" s="768">
        <v>43378.0</v>
      </c>
      <c r="T565" s="769">
        <v>43360.0</v>
      </c>
      <c r="U565" s="765" t="s">
        <v>5278</v>
      </c>
      <c r="V565" s="765" t="s">
        <v>5280</v>
      </c>
      <c r="W565" s="769">
        <v>43382.0</v>
      </c>
      <c r="X565" s="765" t="s">
        <v>5279</v>
      </c>
      <c r="Y565" s="765">
        <v>6.38180351E8</v>
      </c>
      <c r="Z565" s="765"/>
      <c r="AA565" s="765"/>
      <c r="AB565" s="765"/>
      <c r="AC565" s="253" t="s">
        <v>284</v>
      </c>
    </row>
    <row r="566" ht="15.75" customHeight="1">
      <c r="A566" s="764">
        <v>43343.0</v>
      </c>
      <c r="B566" s="144" t="s">
        <v>77</v>
      </c>
      <c r="C566" s="765">
        <v>905.0</v>
      </c>
      <c r="D566" s="252" t="s">
        <v>5275</v>
      </c>
      <c r="E566" s="252" t="s">
        <v>649</v>
      </c>
      <c r="F566" s="253">
        <v>2.0</v>
      </c>
      <c r="G566" s="254">
        <v>0.0</v>
      </c>
      <c r="H566" s="255">
        <f t="shared" si="24"/>
        <v>0</v>
      </c>
      <c r="I566" s="256" t="s">
        <v>43</v>
      </c>
      <c r="J566" s="333" t="s">
        <v>316</v>
      </c>
      <c r="K566" s="258">
        <v>43363.0</v>
      </c>
      <c r="L566" s="258">
        <v>43360.0</v>
      </c>
      <c r="M566" s="388"/>
      <c r="N566" s="266" t="s">
        <v>1537</v>
      </c>
      <c r="O566" s="310" t="s">
        <v>5277</v>
      </c>
      <c r="P566" s="598"/>
      <c r="Q566" s="310">
        <v>0.0</v>
      </c>
      <c r="R566" s="765" t="s">
        <v>2148</v>
      </c>
      <c r="S566" s="768">
        <v>43378.0</v>
      </c>
      <c r="T566" s="769">
        <v>43360.0</v>
      </c>
      <c r="U566" s="765" t="s">
        <v>5278</v>
      </c>
      <c r="V566" s="765" t="s">
        <v>5280</v>
      </c>
      <c r="W566" s="769">
        <v>43382.0</v>
      </c>
      <c r="X566" s="765" t="s">
        <v>5279</v>
      </c>
      <c r="Y566" s="765">
        <v>6.38180351E8</v>
      </c>
      <c r="Z566" s="765"/>
      <c r="AA566" s="765"/>
      <c r="AB566" s="765"/>
      <c r="AC566" s="253" t="s">
        <v>284</v>
      </c>
    </row>
    <row r="567" ht="15.75" customHeight="1">
      <c r="A567" s="764">
        <v>43343.0</v>
      </c>
      <c r="B567" s="144" t="s">
        <v>77</v>
      </c>
      <c r="C567" s="765">
        <v>905.0</v>
      </c>
      <c r="D567" s="252" t="s">
        <v>5275</v>
      </c>
      <c r="E567" s="252" t="s">
        <v>5119</v>
      </c>
      <c r="F567" s="253">
        <v>2.0</v>
      </c>
      <c r="G567" s="254">
        <v>0.0</v>
      </c>
      <c r="H567" s="255">
        <f t="shared" si="24"/>
        <v>0</v>
      </c>
      <c r="I567" s="256" t="s">
        <v>43</v>
      </c>
      <c r="J567" s="333" t="s">
        <v>316</v>
      </c>
      <c r="K567" s="258">
        <v>43363.0</v>
      </c>
      <c r="L567" s="258">
        <v>43362.0</v>
      </c>
      <c r="M567" s="388"/>
      <c r="N567" s="333" t="s">
        <v>2039</v>
      </c>
      <c r="O567" s="252" t="s">
        <v>5281</v>
      </c>
      <c r="P567" s="598"/>
      <c r="Q567" s="339"/>
      <c r="R567" s="330" t="s">
        <v>2194</v>
      </c>
      <c r="S567" s="330"/>
      <c r="T567" s="766"/>
      <c r="U567" s="766"/>
      <c r="V567" s="766"/>
      <c r="W567" s="767"/>
      <c r="X567" s="765" t="s">
        <v>5279</v>
      </c>
      <c r="Y567" s="765">
        <v>6.38180351E8</v>
      </c>
      <c r="Z567" s="765"/>
      <c r="AA567" s="765"/>
      <c r="AB567" s="765"/>
      <c r="AC567" s="253" t="s">
        <v>284</v>
      </c>
    </row>
    <row r="568" ht="15.75" customHeight="1">
      <c r="A568" s="764">
        <v>43343.0</v>
      </c>
      <c r="B568" s="144" t="s">
        <v>77</v>
      </c>
      <c r="C568" s="765">
        <v>905.0</v>
      </c>
      <c r="D568" s="252" t="s">
        <v>5275</v>
      </c>
      <c r="E568" s="602" t="s">
        <v>3562</v>
      </c>
      <c r="F568" s="253">
        <v>2.0</v>
      </c>
      <c r="G568" s="254">
        <v>6.0</v>
      </c>
      <c r="H568" s="255">
        <f t="shared" si="24"/>
        <v>12</v>
      </c>
      <c r="I568" s="256" t="s">
        <v>43</v>
      </c>
      <c r="J568" s="333" t="s">
        <v>316</v>
      </c>
      <c r="K568" s="258">
        <v>43363.0</v>
      </c>
      <c r="L568" s="258">
        <v>43362.0</v>
      </c>
      <c r="M568" s="388"/>
      <c r="N568" s="333" t="s">
        <v>2039</v>
      </c>
      <c r="O568" s="252" t="s">
        <v>5281</v>
      </c>
      <c r="P568" s="598"/>
      <c r="Q568" s="339"/>
      <c r="R568" s="330" t="s">
        <v>2194</v>
      </c>
      <c r="S568" s="330"/>
      <c r="T568" s="766"/>
      <c r="U568" s="766"/>
      <c r="V568" s="766"/>
      <c r="W568" s="767"/>
      <c r="X568" s="765" t="s">
        <v>5279</v>
      </c>
      <c r="Y568" s="765">
        <v>6.38180351E8</v>
      </c>
      <c r="Z568" s="765"/>
      <c r="AA568" s="765"/>
      <c r="AB568" s="765"/>
      <c r="AC568" s="253" t="s">
        <v>284</v>
      </c>
    </row>
    <row r="569" ht="15.75" customHeight="1">
      <c r="A569" s="764">
        <v>43343.0</v>
      </c>
      <c r="B569" s="144" t="s">
        <v>77</v>
      </c>
      <c r="C569" s="765">
        <v>905.0</v>
      </c>
      <c r="D569" s="252" t="s">
        <v>5275</v>
      </c>
      <c r="E569" s="602" t="s">
        <v>5282</v>
      </c>
      <c r="F569" s="253">
        <v>2.0</v>
      </c>
      <c r="G569" s="254">
        <v>2.0</v>
      </c>
      <c r="H569" s="255">
        <f t="shared" si="24"/>
        <v>4</v>
      </c>
      <c r="I569" s="256" t="s">
        <v>43</v>
      </c>
      <c r="J569" s="333" t="s">
        <v>316</v>
      </c>
      <c r="K569" s="258">
        <v>43363.0</v>
      </c>
      <c r="L569" s="258">
        <v>43362.0</v>
      </c>
      <c r="M569" s="388"/>
      <c r="N569" s="333" t="s">
        <v>2039</v>
      </c>
      <c r="O569" s="252" t="s">
        <v>5281</v>
      </c>
      <c r="P569" s="598"/>
      <c r="Q569" s="339"/>
      <c r="R569" s="330" t="s">
        <v>2194</v>
      </c>
      <c r="S569" s="330"/>
      <c r="T569" s="766"/>
      <c r="U569" s="766"/>
      <c r="V569" s="766"/>
      <c r="W569" s="767"/>
      <c r="X569" s="765" t="s">
        <v>5279</v>
      </c>
      <c r="Y569" s="765">
        <v>6.38180351E8</v>
      </c>
      <c r="Z569" s="765"/>
      <c r="AA569" s="765"/>
      <c r="AB569" s="765"/>
      <c r="AC569" s="253" t="s">
        <v>284</v>
      </c>
    </row>
    <row r="570" ht="15.75" hidden="1" customHeight="1">
      <c r="A570" s="764">
        <v>43343.0</v>
      </c>
      <c r="B570" s="265" t="s">
        <v>373</v>
      </c>
      <c r="C570" s="765">
        <v>2.01808310006E11</v>
      </c>
      <c r="D570" s="252" t="s">
        <v>5283</v>
      </c>
      <c r="E570" s="602" t="s">
        <v>1067</v>
      </c>
      <c r="F570" s="307">
        <v>60.0</v>
      </c>
      <c r="G570" s="254">
        <v>63.0</v>
      </c>
      <c r="H570" s="268">
        <f t="shared" si="24"/>
        <v>3780</v>
      </c>
      <c r="I570" s="266" t="s">
        <v>43</v>
      </c>
      <c r="J570" s="256" t="s">
        <v>90</v>
      </c>
      <c r="K570" s="258">
        <v>43354.0</v>
      </c>
      <c r="L570" s="258">
        <v>43354.0</v>
      </c>
      <c r="M570" s="388"/>
      <c r="N570" s="333" t="s">
        <v>90</v>
      </c>
      <c r="O570" s="310" t="s">
        <v>5284</v>
      </c>
      <c r="P570" s="268">
        <v>3528.0</v>
      </c>
      <c r="Q570" s="330"/>
      <c r="R570" s="340" t="s">
        <v>94</v>
      </c>
      <c r="S570" s="768">
        <v>43404.0</v>
      </c>
      <c r="T570" s="769">
        <v>43354.0</v>
      </c>
      <c r="U570" s="765" t="s">
        <v>5285</v>
      </c>
      <c r="V570" s="770">
        <v>108468.0</v>
      </c>
      <c r="W570" s="769">
        <v>43405.0</v>
      </c>
      <c r="X570" s="765" t="s">
        <v>5286</v>
      </c>
      <c r="Y570" s="765"/>
      <c r="Z570" s="765" t="s">
        <v>5287</v>
      </c>
      <c r="AA570" s="770">
        <v>116462.0</v>
      </c>
      <c r="AB570" s="765" t="s">
        <v>5261</v>
      </c>
      <c r="AC570" s="253" t="s">
        <v>377</v>
      </c>
    </row>
    <row r="571" ht="15.75" hidden="1" customHeight="1">
      <c r="A571" s="764">
        <v>43346.0</v>
      </c>
      <c r="B571" s="265" t="s">
        <v>4930</v>
      </c>
      <c r="C571" s="765" t="s">
        <v>5288</v>
      </c>
      <c r="D571" s="252" t="s">
        <v>5289</v>
      </c>
      <c r="E571" s="602" t="s">
        <v>5290</v>
      </c>
      <c r="F571" s="253">
        <v>8.0</v>
      </c>
      <c r="G571" s="254">
        <v>27.3</v>
      </c>
      <c r="H571" s="268">
        <f t="shared" si="24"/>
        <v>218.4</v>
      </c>
      <c r="I571" s="256" t="s">
        <v>171</v>
      </c>
      <c r="J571" s="333" t="s">
        <v>5291</v>
      </c>
      <c r="K571" s="258">
        <v>43353.0</v>
      </c>
      <c r="L571" s="333" t="s">
        <v>179</v>
      </c>
      <c r="M571" s="388"/>
      <c r="N571" s="333" t="s">
        <v>179</v>
      </c>
      <c r="O571" s="310" t="s">
        <v>5292</v>
      </c>
      <c r="P571" s="598"/>
      <c r="Q571" s="330"/>
      <c r="R571" s="310"/>
      <c r="S571" s="330"/>
      <c r="T571" s="766"/>
      <c r="U571" s="766"/>
      <c r="V571" s="766"/>
      <c r="W571" s="767"/>
      <c r="X571" s="765" t="s">
        <v>5293</v>
      </c>
      <c r="Y571" s="765"/>
      <c r="Z571" s="765" t="s">
        <v>5294</v>
      </c>
      <c r="AA571" s="770">
        <v>6719.0</v>
      </c>
      <c r="AB571" s="765" t="s">
        <v>5295</v>
      </c>
      <c r="AC571" s="253" t="s">
        <v>377</v>
      </c>
    </row>
    <row r="572" ht="15.75" hidden="1" customHeight="1">
      <c r="A572" s="764">
        <v>43346.0</v>
      </c>
      <c r="B572" s="144" t="s">
        <v>101</v>
      </c>
      <c r="C572" s="765"/>
      <c r="D572" s="252" t="s">
        <v>5296</v>
      </c>
      <c r="E572" s="838" t="s">
        <v>5297</v>
      </c>
      <c r="F572" s="253">
        <v>1.0</v>
      </c>
      <c r="G572" s="254">
        <v>761.0</v>
      </c>
      <c r="H572" s="268">
        <f t="shared" si="24"/>
        <v>761</v>
      </c>
      <c r="I572" s="256" t="s">
        <v>171</v>
      </c>
      <c r="J572" s="269" t="s">
        <v>5298</v>
      </c>
      <c r="K572" s="258" t="s">
        <v>5299</v>
      </c>
      <c r="L572" s="630"/>
      <c r="M572" s="388"/>
      <c r="N572" s="333"/>
      <c r="O572" s="310"/>
      <c r="P572" s="598"/>
      <c r="Q572" s="330"/>
      <c r="R572" s="310"/>
      <c r="S572" s="330"/>
      <c r="T572" s="766"/>
      <c r="U572" s="766"/>
      <c r="V572" s="766"/>
      <c r="W572" s="767"/>
      <c r="X572" s="766"/>
      <c r="Y572" s="765"/>
      <c r="Z572" s="765"/>
      <c r="AA572" s="765"/>
      <c r="AB572" s="765"/>
      <c r="AC572" s="253" t="s">
        <v>284</v>
      </c>
    </row>
    <row r="573" ht="15.75" hidden="1" customHeight="1">
      <c r="A573" s="764">
        <v>43346.0</v>
      </c>
      <c r="B573" s="144" t="s">
        <v>101</v>
      </c>
      <c r="C573" s="765"/>
      <c r="D573" s="252" t="s">
        <v>5296</v>
      </c>
      <c r="E573" s="838" t="s">
        <v>5300</v>
      </c>
      <c r="F573" s="253">
        <v>1.0</v>
      </c>
      <c r="G573" s="254">
        <v>40.0</v>
      </c>
      <c r="H573" s="268">
        <f t="shared" si="24"/>
        <v>40</v>
      </c>
      <c r="I573" s="256" t="s">
        <v>171</v>
      </c>
      <c r="J573" s="269" t="s">
        <v>5298</v>
      </c>
      <c r="K573" s="258" t="s">
        <v>5299</v>
      </c>
      <c r="L573" s="630"/>
      <c r="M573" s="388"/>
      <c r="N573" s="333"/>
      <c r="O573" s="310"/>
      <c r="P573" s="598"/>
      <c r="Q573" s="330"/>
      <c r="R573" s="310"/>
      <c r="S573" s="330"/>
      <c r="T573" s="766"/>
      <c r="U573" s="766"/>
      <c r="V573" s="766"/>
      <c r="W573" s="767"/>
      <c r="X573" s="766"/>
      <c r="Y573" s="765"/>
      <c r="Z573" s="765"/>
      <c r="AA573" s="765"/>
      <c r="AB573" s="765"/>
      <c r="AC573" s="253" t="s">
        <v>284</v>
      </c>
    </row>
    <row r="574" ht="15.75" hidden="1" customHeight="1">
      <c r="A574" s="764">
        <v>43346.0</v>
      </c>
      <c r="B574" s="144" t="s">
        <v>101</v>
      </c>
      <c r="C574" s="765"/>
      <c r="D574" s="252" t="s">
        <v>5296</v>
      </c>
      <c r="E574" s="838" t="s">
        <v>5301</v>
      </c>
      <c r="F574" s="253">
        <v>1.0</v>
      </c>
      <c r="G574" s="254">
        <v>53.0</v>
      </c>
      <c r="H574" s="268">
        <f t="shared" si="24"/>
        <v>53</v>
      </c>
      <c r="I574" s="256" t="s">
        <v>171</v>
      </c>
      <c r="J574" s="269" t="s">
        <v>5298</v>
      </c>
      <c r="K574" s="258" t="s">
        <v>5299</v>
      </c>
      <c r="L574" s="630"/>
      <c r="M574" s="388"/>
      <c r="N574" s="333"/>
      <c r="O574" s="310"/>
      <c r="P574" s="598"/>
      <c r="Q574" s="330"/>
      <c r="R574" s="310"/>
      <c r="S574" s="330"/>
      <c r="T574" s="766"/>
      <c r="U574" s="766"/>
      <c r="V574" s="766"/>
      <c r="W574" s="767"/>
      <c r="X574" s="766"/>
      <c r="Y574" s="765"/>
      <c r="Z574" s="765"/>
      <c r="AA574" s="765"/>
      <c r="AB574" s="765"/>
      <c r="AC574" s="253" t="s">
        <v>284</v>
      </c>
    </row>
    <row r="575" ht="15.75" hidden="1" customHeight="1">
      <c r="A575" s="764">
        <v>43346.0</v>
      </c>
      <c r="B575" s="144" t="s">
        <v>101</v>
      </c>
      <c r="C575" s="765"/>
      <c r="D575" s="252" t="s">
        <v>5296</v>
      </c>
      <c r="E575" s="838" t="s">
        <v>5154</v>
      </c>
      <c r="F575" s="253">
        <v>12.0</v>
      </c>
      <c r="G575" s="254">
        <v>10.0</v>
      </c>
      <c r="H575" s="268">
        <f t="shared" si="24"/>
        <v>120</v>
      </c>
      <c r="I575" s="256" t="s">
        <v>171</v>
      </c>
      <c r="J575" s="333" t="s">
        <v>4002</v>
      </c>
      <c r="K575" s="258">
        <v>43368.0</v>
      </c>
      <c r="L575" s="258">
        <v>43355.0</v>
      </c>
      <c r="M575" s="388"/>
      <c r="N575" s="333" t="s">
        <v>5302</v>
      </c>
      <c r="O575" s="310" t="s">
        <v>5303</v>
      </c>
      <c r="P575" s="598"/>
      <c r="Q575" s="791">
        <v>2600.0</v>
      </c>
      <c r="R575" s="310" t="s">
        <v>5304</v>
      </c>
      <c r="S575" s="330"/>
      <c r="T575" s="771">
        <v>43355.0</v>
      </c>
      <c r="U575" s="765" t="s">
        <v>5305</v>
      </c>
      <c r="V575" s="770">
        <v>2600.0</v>
      </c>
      <c r="W575" s="769">
        <v>43355.0</v>
      </c>
      <c r="X575" s="765" t="s">
        <v>5306</v>
      </c>
      <c r="Y575" s="765" t="s">
        <v>5307</v>
      </c>
      <c r="Z575" s="765"/>
      <c r="AA575" s="765"/>
      <c r="AB575" s="765"/>
      <c r="AC575" s="253" t="s">
        <v>284</v>
      </c>
    </row>
    <row r="576" ht="15.75" hidden="1" customHeight="1">
      <c r="A576" s="764">
        <v>43348.0</v>
      </c>
      <c r="B576" s="597" t="s">
        <v>406</v>
      </c>
      <c r="C576" s="765">
        <v>7.00014094E9</v>
      </c>
      <c r="D576" s="252" t="s">
        <v>5308</v>
      </c>
      <c r="E576" s="602" t="s">
        <v>807</v>
      </c>
      <c r="F576" s="253">
        <v>1.0</v>
      </c>
      <c r="G576" s="254">
        <v>565.0</v>
      </c>
      <c r="H576" s="255">
        <f t="shared" si="24"/>
        <v>565</v>
      </c>
      <c r="I576" s="256" t="s">
        <v>43</v>
      </c>
      <c r="J576" s="333" t="s">
        <v>4002</v>
      </c>
      <c r="K576" s="258">
        <v>43354.0</v>
      </c>
      <c r="L576" s="258">
        <v>43353.0</v>
      </c>
      <c r="M576" s="388"/>
      <c r="N576" s="333" t="s">
        <v>3593</v>
      </c>
      <c r="O576" s="252" t="s">
        <v>5309</v>
      </c>
      <c r="P576" s="598"/>
      <c r="Q576" s="579">
        <v>15825.0</v>
      </c>
      <c r="R576" s="310" t="s">
        <v>2080</v>
      </c>
      <c r="S576" s="768">
        <v>43434.0</v>
      </c>
      <c r="T576" s="769">
        <v>43353.0</v>
      </c>
      <c r="U576" s="765" t="s">
        <v>5310</v>
      </c>
      <c r="V576" s="770">
        <v>15825.0</v>
      </c>
      <c r="W576" s="769">
        <v>43419.0</v>
      </c>
      <c r="X576" s="765" t="s">
        <v>4716</v>
      </c>
      <c r="Y576" s="765">
        <v>5.528488394E9</v>
      </c>
      <c r="Z576" s="765"/>
      <c r="AA576" s="765"/>
      <c r="AB576" s="765"/>
      <c r="AC576" s="253" t="s">
        <v>284</v>
      </c>
    </row>
    <row r="577" ht="15.75" hidden="1" customHeight="1">
      <c r="A577" s="764">
        <v>43349.0</v>
      </c>
      <c r="B577" s="265" t="s">
        <v>101</v>
      </c>
      <c r="C577" s="765">
        <v>0.0</v>
      </c>
      <c r="D577" s="252" t="s">
        <v>5311</v>
      </c>
      <c r="E577" s="422" t="s">
        <v>5312</v>
      </c>
      <c r="F577" s="253">
        <v>1.0</v>
      </c>
      <c r="G577" s="254">
        <v>550.0</v>
      </c>
      <c r="H577" s="268">
        <f t="shared" si="24"/>
        <v>550</v>
      </c>
      <c r="I577" s="256" t="s">
        <v>171</v>
      </c>
      <c r="J577" s="403" t="s">
        <v>3739</v>
      </c>
      <c r="K577" s="258">
        <v>43356.0</v>
      </c>
      <c r="L577" s="258">
        <v>43356.0</v>
      </c>
      <c r="M577" s="388"/>
      <c r="N577" s="333" t="s">
        <v>2028</v>
      </c>
      <c r="O577" s="310" t="s">
        <v>5313</v>
      </c>
      <c r="P577" s="598"/>
      <c r="Q577" s="579">
        <v>16006.0</v>
      </c>
      <c r="R577" s="578" t="s">
        <v>2030</v>
      </c>
      <c r="S577" s="768">
        <v>43409.0</v>
      </c>
      <c r="T577" s="771">
        <v>43355.0</v>
      </c>
      <c r="U577" s="252" t="s">
        <v>5314</v>
      </c>
      <c r="V577" s="774">
        <v>16006.0</v>
      </c>
      <c r="W577" s="771">
        <v>43410.0</v>
      </c>
      <c r="X577" s="765" t="s">
        <v>5315</v>
      </c>
      <c r="Y577" s="765">
        <v>2.445414333E9</v>
      </c>
      <c r="Z577" s="765"/>
      <c r="AA577" s="765"/>
      <c r="AB577" s="765"/>
      <c r="AC577" s="253" t="s">
        <v>284</v>
      </c>
    </row>
    <row r="578" ht="15.75" hidden="1" customHeight="1">
      <c r="A578" s="764">
        <v>43349.0</v>
      </c>
      <c r="B578" s="265" t="s">
        <v>101</v>
      </c>
      <c r="C578" s="765" t="s">
        <v>5316</v>
      </c>
      <c r="D578" s="252" t="s">
        <v>5311</v>
      </c>
      <c r="E578" s="602" t="s">
        <v>5317</v>
      </c>
      <c r="F578" s="253">
        <v>1.0</v>
      </c>
      <c r="G578" s="254">
        <v>130.0</v>
      </c>
      <c r="H578" s="268">
        <f t="shared" si="24"/>
        <v>130</v>
      </c>
      <c r="I578" s="256" t="s">
        <v>171</v>
      </c>
      <c r="J578" s="403" t="s">
        <v>3739</v>
      </c>
      <c r="K578" s="258">
        <v>43356.0</v>
      </c>
      <c r="L578" s="258">
        <v>43353.0</v>
      </c>
      <c r="M578" s="388"/>
      <c r="N578" s="333" t="s">
        <v>2026</v>
      </c>
      <c r="O578" s="310" t="s">
        <v>5318</v>
      </c>
      <c r="P578" s="268">
        <v>118.65</v>
      </c>
      <c r="Q578" s="330"/>
      <c r="R578" s="340" t="s">
        <v>47</v>
      </c>
      <c r="S578" s="768">
        <v>43380.0</v>
      </c>
      <c r="T578" s="769">
        <v>43350.0</v>
      </c>
      <c r="U578" s="765" t="s">
        <v>5319</v>
      </c>
      <c r="V578" s="770">
        <v>3655.0</v>
      </c>
      <c r="W578" s="769">
        <v>43382.0</v>
      </c>
      <c r="X578" s="765" t="s">
        <v>5315</v>
      </c>
      <c r="Y578" s="765">
        <v>2.445414333E9</v>
      </c>
      <c r="Z578" s="765"/>
      <c r="AA578" s="765"/>
      <c r="AB578" s="765"/>
      <c r="AC578" s="253" t="s">
        <v>284</v>
      </c>
    </row>
    <row r="579" ht="15.75" hidden="1" customHeight="1">
      <c r="A579" s="764">
        <v>43349.0</v>
      </c>
      <c r="B579" s="265" t="s">
        <v>101</v>
      </c>
      <c r="C579" s="765" t="s">
        <v>5316</v>
      </c>
      <c r="D579" s="252" t="s">
        <v>5311</v>
      </c>
      <c r="E579" s="780" t="s">
        <v>4644</v>
      </c>
      <c r="F579" s="253">
        <v>1.0</v>
      </c>
      <c r="G579" s="254">
        <v>97.0</v>
      </c>
      <c r="H579" s="268">
        <f t="shared" si="24"/>
        <v>97</v>
      </c>
      <c r="I579" s="256" t="s">
        <v>171</v>
      </c>
      <c r="J579" s="403" t="s">
        <v>3739</v>
      </c>
      <c r="K579" s="258">
        <v>43356.0</v>
      </c>
      <c r="L579" s="850">
        <v>43349.0</v>
      </c>
      <c r="M579" s="388"/>
      <c r="N579" s="333" t="s">
        <v>5320</v>
      </c>
      <c r="O579" s="310" t="s">
        <v>5321</v>
      </c>
      <c r="P579" s="598"/>
      <c r="Q579" s="330"/>
      <c r="R579" s="310"/>
      <c r="S579" s="330"/>
      <c r="T579" s="771">
        <v>43355.0</v>
      </c>
      <c r="U579" s="252" t="s">
        <v>5314</v>
      </c>
      <c r="V579" s="252" t="s">
        <v>5322</v>
      </c>
      <c r="W579" s="767"/>
      <c r="X579" s="765" t="s">
        <v>5315</v>
      </c>
      <c r="Y579" s="765">
        <v>2.445414333E9</v>
      </c>
      <c r="Z579" s="765"/>
      <c r="AA579" s="765"/>
      <c r="AB579" s="765"/>
      <c r="AC579" s="253" t="s">
        <v>284</v>
      </c>
    </row>
    <row r="580" ht="15.75" hidden="1" customHeight="1">
      <c r="A580" s="764">
        <v>43349.0</v>
      </c>
      <c r="B580" s="265" t="s">
        <v>3506</v>
      </c>
      <c r="C580" s="765"/>
      <c r="D580" s="252" t="s">
        <v>5323</v>
      </c>
      <c r="E580" s="602" t="s">
        <v>4989</v>
      </c>
      <c r="F580" s="253">
        <v>100.0</v>
      </c>
      <c r="G580" s="254">
        <v>163.0</v>
      </c>
      <c r="H580" s="268">
        <f t="shared" si="24"/>
        <v>16300</v>
      </c>
      <c r="I580" s="256" t="s">
        <v>171</v>
      </c>
      <c r="J580" s="269" t="s">
        <v>3509</v>
      </c>
      <c r="K580" s="258">
        <v>43370.0</v>
      </c>
      <c r="L580" s="258">
        <v>43363.0</v>
      </c>
      <c r="M580" s="388"/>
      <c r="N580" s="333" t="s">
        <v>3510</v>
      </c>
      <c r="O580" s="310" t="s">
        <v>5324</v>
      </c>
      <c r="P580" s="268">
        <v>16590.0</v>
      </c>
      <c r="Q580" s="330"/>
      <c r="R580" s="310" t="s">
        <v>3512</v>
      </c>
      <c r="S580" s="330"/>
      <c r="T580" s="771">
        <v>43369.0</v>
      </c>
      <c r="U580" s="252" t="s">
        <v>5325</v>
      </c>
      <c r="V580" s="774">
        <v>510060.0</v>
      </c>
      <c r="W580" s="769">
        <v>43355.0</v>
      </c>
      <c r="X580" s="765" t="s">
        <v>5326</v>
      </c>
      <c r="Y580" s="765" t="s">
        <v>5327</v>
      </c>
      <c r="Z580" s="765"/>
      <c r="AA580" s="765"/>
      <c r="AB580" s="765"/>
      <c r="AC580" s="253" t="s">
        <v>284</v>
      </c>
    </row>
    <row r="581" ht="15.75" hidden="1" customHeight="1">
      <c r="A581" s="764">
        <v>43349.0</v>
      </c>
      <c r="B581" s="265" t="s">
        <v>101</v>
      </c>
      <c r="C581" s="765" t="s">
        <v>5328</v>
      </c>
      <c r="D581" s="252" t="s">
        <v>5329</v>
      </c>
      <c r="E581" s="602" t="s">
        <v>5330</v>
      </c>
      <c r="F581" s="253">
        <v>10.0</v>
      </c>
      <c r="G581" s="254">
        <v>40.0</v>
      </c>
      <c r="H581" s="268">
        <f t="shared" si="24"/>
        <v>400</v>
      </c>
      <c r="I581" s="256" t="s">
        <v>171</v>
      </c>
      <c r="J581" s="403" t="s">
        <v>3739</v>
      </c>
      <c r="K581" s="258">
        <v>43356.0</v>
      </c>
      <c r="L581" s="258">
        <v>43356.0</v>
      </c>
      <c r="M581" s="388"/>
      <c r="N581" s="333" t="s">
        <v>1439</v>
      </c>
      <c r="O581" s="252" t="s">
        <v>5331</v>
      </c>
      <c r="P581" s="268">
        <v>367.5</v>
      </c>
      <c r="Q581" s="330"/>
      <c r="R581" s="320" t="s">
        <v>1976</v>
      </c>
      <c r="S581" s="768">
        <v>43404.0</v>
      </c>
      <c r="T581" s="769">
        <v>43355.0</v>
      </c>
      <c r="U581" s="765" t="s">
        <v>5332</v>
      </c>
      <c r="V581" s="770">
        <v>11309.0</v>
      </c>
      <c r="W581" s="769">
        <v>43405.0</v>
      </c>
      <c r="X581" s="765" t="s">
        <v>5315</v>
      </c>
      <c r="Y581" s="765">
        <v>2.445414333E9</v>
      </c>
      <c r="Z581" s="765"/>
      <c r="AA581" s="765"/>
      <c r="AB581" s="765"/>
      <c r="AC581" s="253" t="s">
        <v>284</v>
      </c>
    </row>
    <row r="582" ht="15.75" hidden="1" customHeight="1">
      <c r="A582" s="764">
        <v>43349.0</v>
      </c>
      <c r="B582" s="144" t="s">
        <v>101</v>
      </c>
      <c r="C582" s="765" t="s">
        <v>5333</v>
      </c>
      <c r="D582" s="252" t="s">
        <v>5334</v>
      </c>
      <c r="E582" s="602" t="s">
        <v>5335</v>
      </c>
      <c r="F582" s="253">
        <v>8.0</v>
      </c>
      <c r="G582" s="254">
        <v>237.0</v>
      </c>
      <c r="H582" s="268">
        <f t="shared" si="24"/>
        <v>1896</v>
      </c>
      <c r="I582" s="256" t="s">
        <v>171</v>
      </c>
      <c r="J582" s="369" t="s">
        <v>3568</v>
      </c>
      <c r="K582" s="258">
        <v>43371.0</v>
      </c>
      <c r="L582" s="258">
        <v>43369.0</v>
      </c>
      <c r="M582" s="388"/>
      <c r="N582" s="266" t="s">
        <v>1537</v>
      </c>
      <c r="O582" s="310" t="s">
        <v>5336</v>
      </c>
      <c r="P582" s="598"/>
      <c r="Q582" s="579">
        <v>46586.0</v>
      </c>
      <c r="R582" s="765" t="s">
        <v>2148</v>
      </c>
      <c r="S582" s="768">
        <v>43378.0</v>
      </c>
      <c r="T582" s="769">
        <v>43368.0</v>
      </c>
      <c r="U582" s="765" t="s">
        <v>5337</v>
      </c>
      <c r="V582" s="770">
        <v>93836.0</v>
      </c>
      <c r="W582" s="769">
        <v>43382.0</v>
      </c>
      <c r="X582" s="765" t="s">
        <v>5214</v>
      </c>
      <c r="Y582" s="765" t="s">
        <v>5215</v>
      </c>
      <c r="Z582" s="765"/>
      <c r="AA582" s="765"/>
      <c r="AB582" s="765"/>
      <c r="AC582" s="253" t="s">
        <v>284</v>
      </c>
    </row>
    <row r="583" ht="15.75" hidden="1" customHeight="1">
      <c r="A583" s="764">
        <v>43349.0</v>
      </c>
      <c r="B583" s="597" t="s">
        <v>406</v>
      </c>
      <c r="C583" s="765">
        <v>7.000140992E9</v>
      </c>
      <c r="D583" s="252" t="s">
        <v>5338</v>
      </c>
      <c r="E583" s="602" t="s">
        <v>5339</v>
      </c>
      <c r="F583" s="253">
        <v>1.0</v>
      </c>
      <c r="G583" s="254">
        <v>875.0</v>
      </c>
      <c r="H583" s="268">
        <f t="shared" si="24"/>
        <v>875</v>
      </c>
      <c r="I583" s="256" t="s">
        <v>43</v>
      </c>
      <c r="J583" s="333" t="s">
        <v>4002</v>
      </c>
      <c r="K583" s="258">
        <v>43363.0</v>
      </c>
      <c r="L583" s="258">
        <v>43362.0</v>
      </c>
      <c r="M583" s="388"/>
      <c r="N583" s="333" t="s">
        <v>3593</v>
      </c>
      <c r="O583" s="310" t="s">
        <v>5340</v>
      </c>
      <c r="P583" s="598"/>
      <c r="Q583" s="579">
        <v>24436.0</v>
      </c>
      <c r="R583" s="310" t="s">
        <v>2080</v>
      </c>
      <c r="S583" s="768">
        <v>43434.0</v>
      </c>
      <c r="T583" s="769">
        <v>43360.0</v>
      </c>
      <c r="U583" s="765" t="s">
        <v>5341</v>
      </c>
      <c r="V583" s="770">
        <v>24436.0</v>
      </c>
      <c r="W583" s="769">
        <v>43419.0</v>
      </c>
      <c r="X583" s="765" t="s">
        <v>5342</v>
      </c>
      <c r="Y583" s="765">
        <v>6.184509833E9</v>
      </c>
      <c r="Z583" s="765"/>
      <c r="AA583" s="765"/>
      <c r="AB583" s="765"/>
      <c r="AC583" s="253" t="s">
        <v>284</v>
      </c>
    </row>
    <row r="584" ht="15.75" hidden="1" customHeight="1">
      <c r="A584" s="764">
        <v>43349.0</v>
      </c>
      <c r="B584" s="597" t="s">
        <v>406</v>
      </c>
      <c r="C584" s="765">
        <v>7.000140992E9</v>
      </c>
      <c r="D584" s="252" t="s">
        <v>5338</v>
      </c>
      <c r="E584" s="602" t="s">
        <v>5343</v>
      </c>
      <c r="F584" s="253">
        <v>1.0</v>
      </c>
      <c r="G584" s="254">
        <v>85.0</v>
      </c>
      <c r="H584" s="268">
        <f t="shared" si="24"/>
        <v>85</v>
      </c>
      <c r="I584" s="256" t="s">
        <v>43</v>
      </c>
      <c r="J584" s="333" t="s">
        <v>4002</v>
      </c>
      <c r="K584" s="258">
        <v>43363.0</v>
      </c>
      <c r="L584" s="258">
        <v>43355.0</v>
      </c>
      <c r="M584" s="388"/>
      <c r="N584" s="333" t="s">
        <v>2170</v>
      </c>
      <c r="O584" s="310" t="s">
        <v>5344</v>
      </c>
      <c r="P584" s="598"/>
      <c r="Q584" s="579">
        <v>2447.0</v>
      </c>
      <c r="R584" s="310" t="s">
        <v>2172</v>
      </c>
      <c r="S584" s="330"/>
      <c r="T584" s="769">
        <v>43354.0</v>
      </c>
      <c r="U584" s="765" t="s">
        <v>5345</v>
      </c>
      <c r="V584" s="770">
        <v>2447.0</v>
      </c>
      <c r="W584" s="769">
        <v>43350.0</v>
      </c>
      <c r="X584" s="765" t="s">
        <v>5342</v>
      </c>
      <c r="Y584" s="765">
        <v>6.184509833E9</v>
      </c>
      <c r="Z584" s="765"/>
      <c r="AA584" s="765"/>
      <c r="AB584" s="765"/>
      <c r="AC584" s="253" t="s">
        <v>284</v>
      </c>
    </row>
    <row r="585" ht="15.75" hidden="1" customHeight="1">
      <c r="A585" s="776">
        <v>43350.0</v>
      </c>
      <c r="B585" s="320" t="s">
        <v>326</v>
      </c>
      <c r="C585" s="252">
        <v>2024672.0</v>
      </c>
      <c r="D585" s="310" t="s">
        <v>5346</v>
      </c>
      <c r="E585" s="310" t="s">
        <v>3773</v>
      </c>
      <c r="F585" s="253">
        <v>10.0</v>
      </c>
      <c r="G585" s="325">
        <v>567.0</v>
      </c>
      <c r="H585" s="255">
        <f t="shared" si="24"/>
        <v>5670</v>
      </c>
      <c r="I585" s="256" t="s">
        <v>43</v>
      </c>
      <c r="J585" s="269" t="s">
        <v>329</v>
      </c>
      <c r="K585" s="258">
        <v>43377.0</v>
      </c>
      <c r="L585" s="258">
        <v>43362.0</v>
      </c>
      <c r="M585" s="388"/>
      <c r="N585" s="333" t="s">
        <v>3775</v>
      </c>
      <c r="O585" s="310" t="s">
        <v>5347</v>
      </c>
      <c r="P585" s="338">
        <v>5355.0</v>
      </c>
      <c r="Q585" s="330"/>
      <c r="R585" s="422" t="s">
        <v>2207</v>
      </c>
      <c r="S585" s="810">
        <v>43404.0</v>
      </c>
      <c r="T585" s="771">
        <v>43363.0</v>
      </c>
      <c r="U585" s="252" t="s">
        <v>5348</v>
      </c>
      <c r="V585" s="774">
        <v>172454.0</v>
      </c>
      <c r="W585" s="771">
        <v>43405.0</v>
      </c>
      <c r="X585" s="765" t="s">
        <v>5349</v>
      </c>
      <c r="Y585" s="765" t="s">
        <v>5350</v>
      </c>
      <c r="Z585" s="765"/>
      <c r="AA585" s="765"/>
      <c r="AB585" s="765"/>
      <c r="AC585" s="253" t="s">
        <v>284</v>
      </c>
    </row>
    <row r="586" ht="15.75" hidden="1" customHeight="1">
      <c r="A586" s="776">
        <v>43350.0</v>
      </c>
      <c r="B586" s="320" t="s">
        <v>326</v>
      </c>
      <c r="C586" s="252">
        <v>2024672.0</v>
      </c>
      <c r="D586" s="310" t="s">
        <v>5346</v>
      </c>
      <c r="E586" s="310" t="s">
        <v>3781</v>
      </c>
      <c r="F586" s="253">
        <v>10.0</v>
      </c>
      <c r="G586" s="325">
        <v>273.0</v>
      </c>
      <c r="H586" s="255">
        <f t="shared" si="24"/>
        <v>2730</v>
      </c>
      <c r="I586" s="256" t="s">
        <v>43</v>
      </c>
      <c r="J586" s="269" t="s">
        <v>329</v>
      </c>
      <c r="K586" s="258">
        <v>43377.0</v>
      </c>
      <c r="L586" s="258">
        <v>43357.0</v>
      </c>
      <c r="M586" s="388"/>
      <c r="N586" s="333" t="s">
        <v>45</v>
      </c>
      <c r="O586" s="310" t="s">
        <v>5351</v>
      </c>
      <c r="P586" s="268">
        <v>2184.0</v>
      </c>
      <c r="Q586" s="330"/>
      <c r="R586" s="340" t="s">
        <v>47</v>
      </c>
      <c r="S586" s="768">
        <v>43385.0</v>
      </c>
      <c r="T586" s="769">
        <v>43355.0</v>
      </c>
      <c r="U586" s="765" t="s">
        <v>5352</v>
      </c>
      <c r="V586" s="770">
        <v>67298.0</v>
      </c>
      <c r="W586" s="769">
        <v>43382.0</v>
      </c>
      <c r="X586" s="765" t="s">
        <v>5349</v>
      </c>
      <c r="Y586" s="765" t="s">
        <v>5350</v>
      </c>
      <c r="Z586" s="765"/>
      <c r="AA586" s="765"/>
      <c r="AB586" s="765"/>
      <c r="AC586" s="253" t="s">
        <v>284</v>
      </c>
    </row>
    <row r="587" ht="15.75" hidden="1" customHeight="1">
      <c r="A587" s="776">
        <v>43350.0</v>
      </c>
      <c r="B587" s="320" t="s">
        <v>326</v>
      </c>
      <c r="C587" s="252">
        <v>2024672.0</v>
      </c>
      <c r="D587" s="310" t="s">
        <v>5346</v>
      </c>
      <c r="E587" s="310" t="s">
        <v>53</v>
      </c>
      <c r="F587" s="253">
        <v>10.0</v>
      </c>
      <c r="G587" s="325">
        <v>31.0</v>
      </c>
      <c r="H587" s="255">
        <f t="shared" si="24"/>
        <v>310</v>
      </c>
      <c r="I587" s="256" t="s">
        <v>43</v>
      </c>
      <c r="J587" s="269" t="s">
        <v>329</v>
      </c>
      <c r="K587" s="258">
        <v>43377.0</v>
      </c>
      <c r="L587" s="258">
        <v>43362.0</v>
      </c>
      <c r="M587" s="388"/>
      <c r="N587" s="333" t="s">
        <v>3775</v>
      </c>
      <c r="O587" s="310" t="s">
        <v>5347</v>
      </c>
      <c r="P587" s="338">
        <v>226.8</v>
      </c>
      <c r="Q587" s="330"/>
      <c r="R587" s="422" t="s">
        <v>2207</v>
      </c>
      <c r="S587" s="810">
        <v>43404.0</v>
      </c>
      <c r="T587" s="771">
        <v>43363.0</v>
      </c>
      <c r="U587" s="252" t="s">
        <v>5348</v>
      </c>
      <c r="V587" s="252" t="s">
        <v>5353</v>
      </c>
      <c r="W587" s="771">
        <v>43405.0</v>
      </c>
      <c r="X587" s="765" t="s">
        <v>5349</v>
      </c>
      <c r="Y587" s="765" t="s">
        <v>5350</v>
      </c>
      <c r="Z587" s="765"/>
      <c r="AA587" s="765"/>
      <c r="AB587" s="765"/>
      <c r="AC587" s="253" t="s">
        <v>284</v>
      </c>
    </row>
    <row r="588" ht="15.75" hidden="1" customHeight="1">
      <c r="A588" s="776">
        <v>43350.0</v>
      </c>
      <c r="B588" s="320" t="s">
        <v>326</v>
      </c>
      <c r="C588" s="252">
        <v>2024672.0</v>
      </c>
      <c r="D588" s="310" t="s">
        <v>5346</v>
      </c>
      <c r="E588" s="310" t="s">
        <v>59</v>
      </c>
      <c r="F588" s="253">
        <v>10.0</v>
      </c>
      <c r="G588" s="325">
        <v>4.0</v>
      </c>
      <c r="H588" s="255">
        <f t="shared" si="24"/>
        <v>40</v>
      </c>
      <c r="I588" s="256" t="s">
        <v>43</v>
      </c>
      <c r="J588" s="269" t="s">
        <v>329</v>
      </c>
      <c r="K588" s="258">
        <v>43377.0</v>
      </c>
      <c r="L588" s="258">
        <v>43362.0</v>
      </c>
      <c r="M588" s="388"/>
      <c r="N588" s="333" t="s">
        <v>3775</v>
      </c>
      <c r="O588" s="310" t="s">
        <v>5347</v>
      </c>
      <c r="P588" s="338">
        <v>21.0</v>
      </c>
      <c r="Q588" s="330"/>
      <c r="R588" s="422" t="s">
        <v>2207</v>
      </c>
      <c r="S588" s="810">
        <v>43404.0</v>
      </c>
      <c r="T588" s="771">
        <v>43363.0</v>
      </c>
      <c r="U588" s="252" t="s">
        <v>5348</v>
      </c>
      <c r="V588" s="252" t="s">
        <v>5353</v>
      </c>
      <c r="W588" s="771">
        <v>43405.0</v>
      </c>
      <c r="X588" s="765" t="s">
        <v>5349</v>
      </c>
      <c r="Y588" s="765" t="s">
        <v>5350</v>
      </c>
      <c r="Z588" s="765"/>
      <c r="AA588" s="765"/>
      <c r="AB588" s="765"/>
      <c r="AC588" s="253" t="s">
        <v>284</v>
      </c>
    </row>
    <row r="589" ht="15.75" hidden="1" customHeight="1">
      <c r="A589" s="764">
        <v>43353.0</v>
      </c>
      <c r="B589" s="265" t="s">
        <v>130</v>
      </c>
      <c r="C589" s="765" t="s">
        <v>5354</v>
      </c>
      <c r="D589" s="252" t="s">
        <v>5355</v>
      </c>
      <c r="E589" s="252" t="s">
        <v>4141</v>
      </c>
      <c r="F589" s="253">
        <v>4.0</v>
      </c>
      <c r="G589" s="254">
        <v>58.0</v>
      </c>
      <c r="H589" s="255">
        <f t="shared" si="24"/>
        <v>232</v>
      </c>
      <c r="I589" s="256" t="s">
        <v>420</v>
      </c>
      <c r="J589" s="873" t="s">
        <v>5253</v>
      </c>
      <c r="K589" s="258">
        <v>43370.0</v>
      </c>
      <c r="L589" s="258">
        <v>43363.0</v>
      </c>
      <c r="M589" s="388"/>
      <c r="N589" s="333" t="s">
        <v>90</v>
      </c>
      <c r="O589" s="252" t="s">
        <v>5356</v>
      </c>
      <c r="P589" s="268">
        <v>218.4</v>
      </c>
      <c r="Q589" s="330"/>
      <c r="R589" s="340" t="s">
        <v>94</v>
      </c>
      <c r="S589" s="768">
        <v>43404.0</v>
      </c>
      <c r="T589" s="769">
        <v>43362.0</v>
      </c>
      <c r="U589" s="765" t="s">
        <v>5357</v>
      </c>
      <c r="V589" s="770">
        <v>6715.0</v>
      </c>
      <c r="W589" s="769">
        <v>43405.0</v>
      </c>
      <c r="X589" s="765" t="s">
        <v>5256</v>
      </c>
      <c r="Y589" s="765">
        <v>8.1233736869E11</v>
      </c>
      <c r="Z589" s="765"/>
      <c r="AA589" s="765"/>
      <c r="AB589" s="765"/>
      <c r="AC589" s="253" t="s">
        <v>284</v>
      </c>
    </row>
    <row r="590" ht="15.75" hidden="1" customHeight="1">
      <c r="A590" s="764">
        <v>43354.0</v>
      </c>
      <c r="B590" s="265" t="s">
        <v>119</v>
      </c>
      <c r="C590" s="765" t="s">
        <v>5358</v>
      </c>
      <c r="D590" s="252" t="s">
        <v>5359</v>
      </c>
      <c r="E590" s="252" t="s">
        <v>166</v>
      </c>
      <c r="F590" s="253">
        <v>1.0</v>
      </c>
      <c r="G590" s="254">
        <v>880.0</v>
      </c>
      <c r="H590" s="255">
        <f t="shared" si="24"/>
        <v>880</v>
      </c>
      <c r="I590" s="256" t="s">
        <v>171</v>
      </c>
      <c r="J590" s="269" t="s">
        <v>5360</v>
      </c>
      <c r="K590" s="258">
        <v>43382.0</v>
      </c>
      <c r="L590" s="258">
        <v>43378.0</v>
      </c>
      <c r="M590" s="388"/>
      <c r="N590" s="333" t="s">
        <v>90</v>
      </c>
      <c r="O590" s="310" t="s">
        <v>5361</v>
      </c>
      <c r="P590" s="268">
        <v>784.88</v>
      </c>
      <c r="Q590" s="330"/>
      <c r="R590" s="340" t="s">
        <v>94</v>
      </c>
      <c r="S590" s="768">
        <v>43434.0</v>
      </c>
      <c r="T590" s="769">
        <v>43378.0</v>
      </c>
      <c r="U590" s="765" t="s">
        <v>5362</v>
      </c>
      <c r="V590" s="770">
        <v>115561.0</v>
      </c>
      <c r="W590" s="769">
        <v>43440.0</v>
      </c>
      <c r="X590" s="765" t="s">
        <v>5363</v>
      </c>
      <c r="Y590" s="765">
        <v>8.12337415038E11</v>
      </c>
      <c r="Z590" s="765"/>
      <c r="AA590" s="765"/>
      <c r="AB590" s="765"/>
      <c r="AC590" s="266" t="s">
        <v>284</v>
      </c>
    </row>
    <row r="591" ht="15.75" hidden="1" customHeight="1">
      <c r="A591" s="764">
        <v>43354.0</v>
      </c>
      <c r="B591" s="265" t="s">
        <v>119</v>
      </c>
      <c r="C591" s="765" t="s">
        <v>5358</v>
      </c>
      <c r="D591" s="252" t="s">
        <v>5359</v>
      </c>
      <c r="E591" s="252" t="s">
        <v>162</v>
      </c>
      <c r="F591" s="253">
        <v>4.0</v>
      </c>
      <c r="G591" s="267">
        <v>893.0</v>
      </c>
      <c r="H591" s="255">
        <f t="shared" si="24"/>
        <v>3572</v>
      </c>
      <c r="I591" s="256" t="s">
        <v>171</v>
      </c>
      <c r="J591" s="269" t="s">
        <v>5360</v>
      </c>
      <c r="K591" s="258">
        <v>43382.0</v>
      </c>
      <c r="L591" s="258">
        <v>43378.0</v>
      </c>
      <c r="M591" s="388"/>
      <c r="N591" s="333" t="s">
        <v>90</v>
      </c>
      <c r="O591" s="310" t="s">
        <v>5361</v>
      </c>
      <c r="P591" s="268">
        <v>2679.6</v>
      </c>
      <c r="Q591" s="330"/>
      <c r="R591" s="340" t="s">
        <v>94</v>
      </c>
      <c r="S591" s="768">
        <v>43434.0</v>
      </c>
      <c r="T591" s="769">
        <v>43378.0</v>
      </c>
      <c r="U591" s="765" t="s">
        <v>5362</v>
      </c>
      <c r="V591" s="252" t="s">
        <v>5364</v>
      </c>
      <c r="W591" s="769">
        <v>43440.0</v>
      </c>
      <c r="X591" s="765" t="s">
        <v>5363</v>
      </c>
      <c r="Y591" s="765">
        <v>8.12337415038E11</v>
      </c>
      <c r="Z591" s="765"/>
      <c r="AA591" s="765"/>
      <c r="AB591" s="765"/>
      <c r="AC591" s="266" t="s">
        <v>284</v>
      </c>
    </row>
    <row r="592" ht="15.75" hidden="1" customHeight="1">
      <c r="A592" s="764">
        <v>43354.0</v>
      </c>
      <c r="B592" s="265" t="s">
        <v>119</v>
      </c>
      <c r="C592" s="765" t="s">
        <v>5358</v>
      </c>
      <c r="D592" s="252" t="s">
        <v>5359</v>
      </c>
      <c r="E592" s="252" t="s">
        <v>5003</v>
      </c>
      <c r="F592" s="253">
        <v>2.0</v>
      </c>
      <c r="G592" s="267">
        <v>173.0</v>
      </c>
      <c r="H592" s="255">
        <f t="shared" si="24"/>
        <v>346</v>
      </c>
      <c r="I592" s="256" t="s">
        <v>171</v>
      </c>
      <c r="J592" s="269" t="s">
        <v>5360</v>
      </c>
      <c r="K592" s="258">
        <v>43382.0</v>
      </c>
      <c r="L592" s="258">
        <v>43378.0</v>
      </c>
      <c r="M592" s="388"/>
      <c r="N592" s="333" t="s">
        <v>90</v>
      </c>
      <c r="O592" s="310" t="s">
        <v>5361</v>
      </c>
      <c r="P592" s="268">
        <v>310.8</v>
      </c>
      <c r="Q592" s="330"/>
      <c r="R592" s="340" t="s">
        <v>94</v>
      </c>
      <c r="S592" s="768">
        <v>43434.0</v>
      </c>
      <c r="T592" s="769">
        <v>43378.0</v>
      </c>
      <c r="U592" s="765" t="s">
        <v>5362</v>
      </c>
      <c r="V592" s="252" t="s">
        <v>5364</v>
      </c>
      <c r="W592" s="769">
        <v>43440.0</v>
      </c>
      <c r="X592" s="765" t="s">
        <v>5363</v>
      </c>
      <c r="Y592" s="765">
        <v>8.12337415038E11</v>
      </c>
      <c r="Z592" s="765"/>
      <c r="AA592" s="765"/>
      <c r="AB592" s="765"/>
      <c r="AC592" s="266" t="s">
        <v>284</v>
      </c>
    </row>
    <row r="593" ht="15.75" hidden="1" customHeight="1">
      <c r="A593" s="764">
        <v>43354.0</v>
      </c>
      <c r="B593" s="144" t="s">
        <v>378</v>
      </c>
      <c r="C593" s="765">
        <v>8633.0</v>
      </c>
      <c r="D593" s="252" t="s">
        <v>5365</v>
      </c>
      <c r="E593" s="602" t="s">
        <v>5366</v>
      </c>
      <c r="F593" s="253">
        <v>1.0</v>
      </c>
      <c r="G593" s="254">
        <v>1500.0</v>
      </c>
      <c r="H593" s="255">
        <f t="shared" si="24"/>
        <v>1500</v>
      </c>
      <c r="I593" s="256" t="s">
        <v>171</v>
      </c>
      <c r="J593" s="369" t="s">
        <v>1122</v>
      </c>
      <c r="K593" s="258">
        <v>43445.0</v>
      </c>
      <c r="L593" s="258">
        <v>43364.0</v>
      </c>
      <c r="M593" s="388"/>
      <c r="N593" s="333" t="s">
        <v>3116</v>
      </c>
      <c r="O593" s="310"/>
      <c r="P593" s="268">
        <v>0.0</v>
      </c>
      <c r="Q593" s="330">
        <v>0.0</v>
      </c>
      <c r="R593" s="310"/>
      <c r="S593" s="330"/>
      <c r="T593" s="766"/>
      <c r="U593" s="766"/>
      <c r="V593" s="766"/>
      <c r="W593" s="767"/>
      <c r="X593" s="765" t="s">
        <v>5367</v>
      </c>
      <c r="Y593" s="765" t="s">
        <v>5368</v>
      </c>
      <c r="Z593" s="765"/>
      <c r="AA593" s="765"/>
      <c r="AB593" s="765"/>
      <c r="AC593" s="253" t="s">
        <v>284</v>
      </c>
    </row>
    <row r="594" ht="15.75" hidden="1" customHeight="1">
      <c r="A594" s="764">
        <v>43354.0</v>
      </c>
      <c r="B594" s="144" t="s">
        <v>378</v>
      </c>
      <c r="C594" s="765">
        <v>8633.0</v>
      </c>
      <c r="D594" s="252" t="s">
        <v>5365</v>
      </c>
      <c r="E594" s="602" t="s">
        <v>5369</v>
      </c>
      <c r="F594" s="253">
        <v>1.0</v>
      </c>
      <c r="G594" s="254">
        <v>1500.0</v>
      </c>
      <c r="H594" s="255">
        <f t="shared" si="24"/>
        <v>1500</v>
      </c>
      <c r="I594" s="256" t="s">
        <v>171</v>
      </c>
      <c r="J594" s="369" t="s">
        <v>1122</v>
      </c>
      <c r="K594" s="258">
        <v>43445.0</v>
      </c>
      <c r="L594" s="258">
        <v>43364.0</v>
      </c>
      <c r="M594" s="388"/>
      <c r="N594" s="333" t="s">
        <v>5370</v>
      </c>
      <c r="O594" s="310" t="s">
        <v>5371</v>
      </c>
      <c r="P594" s="268">
        <v>525.0</v>
      </c>
      <c r="Q594" s="874">
        <f t="shared" ref="Q594:Q595" si="25">P594*30.845</f>
        <v>16193.625</v>
      </c>
      <c r="R594" s="310" t="s">
        <v>5372</v>
      </c>
      <c r="S594" s="331" t="s">
        <v>422</v>
      </c>
      <c r="T594" s="769">
        <v>43369.0</v>
      </c>
      <c r="U594" s="765" t="s">
        <v>5373</v>
      </c>
      <c r="V594" s="770">
        <v>20394.0</v>
      </c>
      <c r="W594" s="769">
        <v>43362.0</v>
      </c>
      <c r="X594" s="765" t="s">
        <v>5367</v>
      </c>
      <c r="Y594" s="765" t="s">
        <v>5368</v>
      </c>
      <c r="Z594" s="765"/>
      <c r="AA594" s="765"/>
      <c r="AB594" s="765"/>
      <c r="AC594" s="253" t="s">
        <v>284</v>
      </c>
    </row>
    <row r="595" ht="15.75" hidden="1" customHeight="1">
      <c r="A595" s="764">
        <v>43354.0</v>
      </c>
      <c r="B595" s="144" t="s">
        <v>378</v>
      </c>
      <c r="C595" s="765">
        <v>8633.0</v>
      </c>
      <c r="D595" s="252" t="s">
        <v>5365</v>
      </c>
      <c r="E595" s="602" t="s">
        <v>5374</v>
      </c>
      <c r="F595" s="253">
        <v>10.0</v>
      </c>
      <c r="G595" s="254">
        <v>138.0</v>
      </c>
      <c r="H595" s="255">
        <f t="shared" si="24"/>
        <v>1380</v>
      </c>
      <c r="I595" s="256" t="s">
        <v>171</v>
      </c>
      <c r="J595" s="369" t="s">
        <v>1122</v>
      </c>
      <c r="K595" s="258">
        <v>43445.0</v>
      </c>
      <c r="L595" s="258">
        <v>43417.0</v>
      </c>
      <c r="M595" s="388"/>
      <c r="N595" s="333" t="s">
        <v>5370</v>
      </c>
      <c r="O595" s="310" t="s">
        <v>5371</v>
      </c>
      <c r="P595" s="338">
        <v>682.5</v>
      </c>
      <c r="Q595" s="874">
        <f t="shared" si="25"/>
        <v>21051.7125</v>
      </c>
      <c r="R595" s="310" t="s">
        <v>5372</v>
      </c>
      <c r="S595" s="810">
        <v>43409.0</v>
      </c>
      <c r="T595" s="769">
        <v>43416.0</v>
      </c>
      <c r="U595" s="765" t="s">
        <v>5375</v>
      </c>
      <c r="V595" s="770">
        <v>74958.0</v>
      </c>
      <c r="W595" s="769">
        <v>43405.0</v>
      </c>
      <c r="X595" s="765" t="s">
        <v>5367</v>
      </c>
      <c r="Y595" s="765" t="s">
        <v>5368</v>
      </c>
      <c r="Z595" s="765"/>
      <c r="AA595" s="765"/>
      <c r="AB595" s="765"/>
      <c r="AC595" s="253" t="s">
        <v>284</v>
      </c>
    </row>
    <row r="596" ht="15.75" hidden="1" customHeight="1">
      <c r="A596" s="764">
        <v>43354.0</v>
      </c>
      <c r="B596" s="144" t="s">
        <v>378</v>
      </c>
      <c r="C596" s="765">
        <v>8633.0</v>
      </c>
      <c r="D596" s="252" t="s">
        <v>5365</v>
      </c>
      <c r="E596" s="602" t="s">
        <v>1128</v>
      </c>
      <c r="F596" s="253">
        <v>10.0</v>
      </c>
      <c r="G596" s="254">
        <v>0.0</v>
      </c>
      <c r="H596" s="255">
        <f t="shared" si="24"/>
        <v>0</v>
      </c>
      <c r="I596" s="256" t="s">
        <v>171</v>
      </c>
      <c r="J596" s="369" t="s">
        <v>1122</v>
      </c>
      <c r="K596" s="258">
        <v>43445.0</v>
      </c>
      <c r="L596" s="258">
        <v>43437.0</v>
      </c>
      <c r="M596" s="388"/>
      <c r="N596" s="256" t="s">
        <v>2054</v>
      </c>
      <c r="O596" s="310" t="s">
        <v>5376</v>
      </c>
      <c r="P596" s="598"/>
      <c r="Q596" s="579">
        <v>14175.0</v>
      </c>
      <c r="R596" s="265" t="s">
        <v>2056</v>
      </c>
      <c r="S596" s="810">
        <v>43431.0</v>
      </c>
      <c r="T596" s="769">
        <v>43434.0</v>
      </c>
      <c r="U596" s="765" t="s">
        <v>5377</v>
      </c>
      <c r="V596" s="770">
        <v>22365.0</v>
      </c>
      <c r="W596" s="769">
        <v>43440.0</v>
      </c>
      <c r="X596" s="765" t="s">
        <v>5367</v>
      </c>
      <c r="Y596" s="765" t="s">
        <v>5368</v>
      </c>
      <c r="Z596" s="765"/>
      <c r="AA596" s="765"/>
      <c r="AB596" s="765"/>
      <c r="AC596" s="253" t="s">
        <v>284</v>
      </c>
    </row>
    <row r="597" ht="15.75" hidden="1" customHeight="1">
      <c r="A597" s="764">
        <v>43354.0</v>
      </c>
      <c r="B597" s="144" t="s">
        <v>378</v>
      </c>
      <c r="C597" s="765">
        <v>8633.0</v>
      </c>
      <c r="D597" s="252" t="s">
        <v>5365</v>
      </c>
      <c r="E597" s="602" t="s">
        <v>5378</v>
      </c>
      <c r="F597" s="253">
        <v>10.0</v>
      </c>
      <c r="G597" s="254">
        <v>0.0</v>
      </c>
      <c r="H597" s="255">
        <f t="shared" si="24"/>
        <v>0</v>
      </c>
      <c r="I597" s="256" t="s">
        <v>171</v>
      </c>
      <c r="J597" s="369" t="s">
        <v>1122</v>
      </c>
      <c r="K597" s="258">
        <v>43445.0</v>
      </c>
      <c r="L597" s="258">
        <v>43368.0</v>
      </c>
      <c r="M597" s="388"/>
      <c r="N597" s="333" t="s">
        <v>1970</v>
      </c>
      <c r="O597" s="600"/>
      <c r="P597" s="598"/>
      <c r="Q597" s="330"/>
      <c r="R597" s="310"/>
      <c r="S597" s="330"/>
      <c r="T597" s="765"/>
      <c r="U597" s="765"/>
      <c r="V597" s="765"/>
      <c r="W597" s="769"/>
      <c r="X597" s="765" t="s">
        <v>5367</v>
      </c>
      <c r="Y597" s="765" t="s">
        <v>5368</v>
      </c>
      <c r="Z597" s="765"/>
      <c r="AA597" s="765"/>
      <c r="AB597" s="765"/>
      <c r="AC597" s="253" t="s">
        <v>284</v>
      </c>
    </row>
    <row r="598" ht="15.75" hidden="1" customHeight="1">
      <c r="A598" s="764">
        <v>43354.0</v>
      </c>
      <c r="B598" s="144" t="s">
        <v>378</v>
      </c>
      <c r="C598" s="765">
        <v>8633.0</v>
      </c>
      <c r="D598" s="252" t="s">
        <v>5365</v>
      </c>
      <c r="E598" s="602" t="s">
        <v>5379</v>
      </c>
      <c r="F598" s="253">
        <v>3.0</v>
      </c>
      <c r="G598" s="254">
        <v>301.0</v>
      </c>
      <c r="H598" s="255">
        <f t="shared" si="24"/>
        <v>903</v>
      </c>
      <c r="I598" s="256" t="s">
        <v>171</v>
      </c>
      <c r="J598" s="369" t="s">
        <v>1122</v>
      </c>
      <c r="K598" s="258">
        <v>43445.0</v>
      </c>
      <c r="L598" s="258">
        <v>43417.0</v>
      </c>
      <c r="M598" s="388"/>
      <c r="N598" s="333" t="s">
        <v>5370</v>
      </c>
      <c r="O598" s="310" t="s">
        <v>5371</v>
      </c>
      <c r="P598" s="338">
        <v>519.75</v>
      </c>
      <c r="Q598" s="874">
        <f>P598*30.845</f>
        <v>16031.68875</v>
      </c>
      <c r="R598" s="310" t="s">
        <v>5372</v>
      </c>
      <c r="S598" s="810">
        <v>43409.0</v>
      </c>
      <c r="T598" s="769">
        <v>43416.0</v>
      </c>
      <c r="U598" s="765" t="s">
        <v>5375</v>
      </c>
      <c r="V598" s="765" t="s">
        <v>5380</v>
      </c>
      <c r="W598" s="769">
        <v>43405.0</v>
      </c>
      <c r="X598" s="765" t="s">
        <v>5367</v>
      </c>
      <c r="Y598" s="765" t="s">
        <v>5368</v>
      </c>
      <c r="Z598" s="765"/>
      <c r="AA598" s="765"/>
      <c r="AB598" s="765"/>
      <c r="AC598" s="253" t="s">
        <v>284</v>
      </c>
    </row>
    <row r="599" ht="15.75" hidden="1" customHeight="1">
      <c r="A599" s="764">
        <v>43354.0</v>
      </c>
      <c r="B599" s="144" t="s">
        <v>378</v>
      </c>
      <c r="C599" s="765">
        <v>8633.0</v>
      </c>
      <c r="D599" s="252" t="s">
        <v>5365</v>
      </c>
      <c r="E599" s="602" t="s">
        <v>1128</v>
      </c>
      <c r="F599" s="253">
        <v>3.0</v>
      </c>
      <c r="G599" s="254">
        <v>0.0</v>
      </c>
      <c r="H599" s="255">
        <f t="shared" si="24"/>
        <v>0</v>
      </c>
      <c r="I599" s="256" t="s">
        <v>171</v>
      </c>
      <c r="J599" s="369" t="s">
        <v>1122</v>
      </c>
      <c r="K599" s="258">
        <v>43445.0</v>
      </c>
      <c r="L599" s="258">
        <v>43437.0</v>
      </c>
      <c r="M599" s="388"/>
      <c r="N599" s="256" t="s">
        <v>2054</v>
      </c>
      <c r="O599" s="310" t="s">
        <v>5376</v>
      </c>
      <c r="P599" s="598"/>
      <c r="Q599" s="579">
        <v>8190.0</v>
      </c>
      <c r="R599" s="265" t="s">
        <v>2056</v>
      </c>
      <c r="S599" s="810">
        <v>43431.0</v>
      </c>
      <c r="T599" s="769">
        <v>43434.0</v>
      </c>
      <c r="U599" s="765" t="s">
        <v>5377</v>
      </c>
      <c r="V599" s="765" t="s">
        <v>5381</v>
      </c>
      <c r="W599" s="769">
        <v>43440.0</v>
      </c>
      <c r="X599" s="765" t="s">
        <v>5367</v>
      </c>
      <c r="Y599" s="765" t="s">
        <v>5368</v>
      </c>
      <c r="Z599" s="765"/>
      <c r="AA599" s="765"/>
      <c r="AB599" s="765"/>
      <c r="AC599" s="253" t="s">
        <v>284</v>
      </c>
    </row>
    <row r="600" ht="15.75" hidden="1" customHeight="1">
      <c r="A600" s="764">
        <v>43354.0</v>
      </c>
      <c r="B600" s="144" t="s">
        <v>378</v>
      </c>
      <c r="C600" s="765">
        <v>8633.0</v>
      </c>
      <c r="D600" s="252" t="s">
        <v>5365</v>
      </c>
      <c r="E600" s="602" t="s">
        <v>1130</v>
      </c>
      <c r="F600" s="253">
        <v>3.0</v>
      </c>
      <c r="G600" s="254">
        <v>0.0</v>
      </c>
      <c r="H600" s="255">
        <f t="shared" si="24"/>
        <v>0</v>
      </c>
      <c r="I600" s="256" t="s">
        <v>171</v>
      </c>
      <c r="J600" s="369" t="s">
        <v>1122</v>
      </c>
      <c r="K600" s="258">
        <v>43445.0</v>
      </c>
      <c r="L600" s="258">
        <v>43368.0</v>
      </c>
      <c r="M600" s="388"/>
      <c r="N600" s="333" t="s">
        <v>1970</v>
      </c>
      <c r="O600" s="600"/>
      <c r="P600" s="598"/>
      <c r="Q600" s="330"/>
      <c r="R600" s="310"/>
      <c r="S600" s="330"/>
      <c r="T600" s="765"/>
      <c r="U600" s="765"/>
      <c r="V600" s="765"/>
      <c r="W600" s="769"/>
      <c r="X600" s="765" t="s">
        <v>5367</v>
      </c>
      <c r="Y600" s="765" t="s">
        <v>5368</v>
      </c>
      <c r="Z600" s="765"/>
      <c r="AA600" s="765"/>
      <c r="AB600" s="765"/>
      <c r="AC600" s="253" t="s">
        <v>284</v>
      </c>
    </row>
    <row r="601" ht="15.75" hidden="1" customHeight="1">
      <c r="A601" s="764">
        <v>43354.0</v>
      </c>
      <c r="B601" s="144" t="s">
        <v>378</v>
      </c>
      <c r="C601" s="765">
        <v>8633.0</v>
      </c>
      <c r="D601" s="252" t="s">
        <v>5365</v>
      </c>
      <c r="E601" s="602" t="s">
        <v>5382</v>
      </c>
      <c r="F601" s="253">
        <v>7.0</v>
      </c>
      <c r="G601" s="254">
        <v>253.0</v>
      </c>
      <c r="H601" s="255">
        <f t="shared" si="24"/>
        <v>1771</v>
      </c>
      <c r="I601" s="256" t="s">
        <v>171</v>
      </c>
      <c r="J601" s="369" t="s">
        <v>1122</v>
      </c>
      <c r="K601" s="258">
        <v>43445.0</v>
      </c>
      <c r="L601" s="258">
        <v>43417.0</v>
      </c>
      <c r="M601" s="388"/>
      <c r="N601" s="333" t="s">
        <v>5370</v>
      </c>
      <c r="O601" s="310" t="s">
        <v>5371</v>
      </c>
      <c r="P601" s="338">
        <v>1212.75</v>
      </c>
      <c r="Q601" s="874">
        <f t="shared" ref="Q601:Q606" si="26">P601*30.845</f>
        <v>37407.27375</v>
      </c>
      <c r="R601" s="310" t="s">
        <v>5372</v>
      </c>
      <c r="S601" s="810">
        <v>43409.0</v>
      </c>
      <c r="T601" s="769">
        <v>43416.0</v>
      </c>
      <c r="U601" s="765" t="s">
        <v>5375</v>
      </c>
      <c r="V601" s="765" t="s">
        <v>5380</v>
      </c>
      <c r="W601" s="769">
        <v>43405.0</v>
      </c>
      <c r="X601" s="765" t="s">
        <v>5367</v>
      </c>
      <c r="Y601" s="765" t="s">
        <v>5368</v>
      </c>
      <c r="Z601" s="765"/>
      <c r="AA601" s="765"/>
      <c r="AB601" s="765"/>
      <c r="AC601" s="253" t="s">
        <v>284</v>
      </c>
    </row>
    <row r="602" ht="15.75" hidden="1" customHeight="1">
      <c r="A602" s="764">
        <v>43354.0</v>
      </c>
      <c r="B602" s="144" t="s">
        <v>378</v>
      </c>
      <c r="C602" s="765">
        <v>8633.0</v>
      </c>
      <c r="D602" s="252" t="s">
        <v>5365</v>
      </c>
      <c r="E602" s="602" t="s">
        <v>5383</v>
      </c>
      <c r="F602" s="253">
        <v>5.0</v>
      </c>
      <c r="G602" s="254">
        <v>5.0</v>
      </c>
      <c r="H602" s="255">
        <f t="shared" si="24"/>
        <v>25</v>
      </c>
      <c r="I602" s="256" t="s">
        <v>171</v>
      </c>
      <c r="J602" s="369" t="s">
        <v>1122</v>
      </c>
      <c r="K602" s="258">
        <v>43445.0</v>
      </c>
      <c r="L602" s="258">
        <v>43417.0</v>
      </c>
      <c r="M602" s="388"/>
      <c r="N602" s="333" t="s">
        <v>5370</v>
      </c>
      <c r="O602" s="310" t="s">
        <v>5371</v>
      </c>
      <c r="P602" s="338">
        <v>15.75</v>
      </c>
      <c r="Q602" s="874">
        <f t="shared" si="26"/>
        <v>485.80875</v>
      </c>
      <c r="R602" s="310" t="s">
        <v>5372</v>
      </c>
      <c r="S602" s="810">
        <v>43409.0</v>
      </c>
      <c r="T602" s="769">
        <v>43416.0</v>
      </c>
      <c r="U602" s="765" t="s">
        <v>5375</v>
      </c>
      <c r="V602" s="765" t="s">
        <v>5380</v>
      </c>
      <c r="W602" s="769">
        <v>43405.0</v>
      </c>
      <c r="X602" s="765" t="s">
        <v>5367</v>
      </c>
      <c r="Y602" s="765" t="s">
        <v>5368</v>
      </c>
      <c r="Z602" s="765"/>
      <c r="AA602" s="765"/>
      <c r="AB602" s="765"/>
      <c r="AC602" s="253" t="s">
        <v>284</v>
      </c>
    </row>
    <row r="603" ht="15.75" hidden="1" customHeight="1">
      <c r="A603" s="764">
        <v>43354.0</v>
      </c>
      <c r="B603" s="144" t="s">
        <v>378</v>
      </c>
      <c r="C603" s="765">
        <v>8633.0</v>
      </c>
      <c r="D603" s="252" t="s">
        <v>5365</v>
      </c>
      <c r="E603" s="602" t="s">
        <v>5384</v>
      </c>
      <c r="F603" s="253">
        <v>5.0</v>
      </c>
      <c r="G603" s="254">
        <v>4.0</v>
      </c>
      <c r="H603" s="255">
        <f t="shared" si="24"/>
        <v>20</v>
      </c>
      <c r="I603" s="256" t="s">
        <v>171</v>
      </c>
      <c r="J603" s="369" t="s">
        <v>1122</v>
      </c>
      <c r="K603" s="258">
        <v>43445.0</v>
      </c>
      <c r="L603" s="258">
        <v>43417.0</v>
      </c>
      <c r="M603" s="388"/>
      <c r="N603" s="333" t="s">
        <v>5370</v>
      </c>
      <c r="O603" s="310" t="s">
        <v>5371</v>
      </c>
      <c r="P603" s="338">
        <v>10.5</v>
      </c>
      <c r="Q603" s="874">
        <f t="shared" si="26"/>
        <v>323.8725</v>
      </c>
      <c r="R603" s="310" t="s">
        <v>5372</v>
      </c>
      <c r="S603" s="810">
        <v>43409.0</v>
      </c>
      <c r="T603" s="769">
        <v>43416.0</v>
      </c>
      <c r="U603" s="765" t="s">
        <v>5375</v>
      </c>
      <c r="V603" s="765" t="s">
        <v>5380</v>
      </c>
      <c r="W603" s="769">
        <v>43405.0</v>
      </c>
      <c r="X603" s="765" t="s">
        <v>5367</v>
      </c>
      <c r="Y603" s="765" t="s">
        <v>5368</v>
      </c>
      <c r="Z603" s="765"/>
      <c r="AA603" s="765"/>
      <c r="AB603" s="765"/>
      <c r="AC603" s="253" t="s">
        <v>284</v>
      </c>
    </row>
    <row r="604" ht="15.75" hidden="1" customHeight="1">
      <c r="A604" s="764">
        <v>43354.0</v>
      </c>
      <c r="B604" s="144" t="s">
        <v>378</v>
      </c>
      <c r="C604" s="765">
        <v>8633.0</v>
      </c>
      <c r="D604" s="252" t="s">
        <v>5385</v>
      </c>
      <c r="E604" s="602" t="s">
        <v>5386</v>
      </c>
      <c r="F604" s="253">
        <v>1.0</v>
      </c>
      <c r="G604" s="254">
        <v>156.0</v>
      </c>
      <c r="H604" s="255">
        <f t="shared" si="24"/>
        <v>156</v>
      </c>
      <c r="I604" s="256" t="s">
        <v>171</v>
      </c>
      <c r="J604" s="369" t="s">
        <v>5387</v>
      </c>
      <c r="K604" s="258">
        <v>43368.0</v>
      </c>
      <c r="L604" s="258">
        <v>43364.0</v>
      </c>
      <c r="M604" s="388"/>
      <c r="N604" s="333" t="s">
        <v>5370</v>
      </c>
      <c r="O604" s="310" t="s">
        <v>5371</v>
      </c>
      <c r="P604" s="875">
        <v>130.935</v>
      </c>
      <c r="Q604" s="874">
        <f t="shared" si="26"/>
        <v>4038.690075</v>
      </c>
      <c r="R604" s="310" t="s">
        <v>5372</v>
      </c>
      <c r="S604" s="331" t="s">
        <v>422</v>
      </c>
      <c r="T604" s="769">
        <v>43369.0</v>
      </c>
      <c r="U604" s="765" t="s">
        <v>5373</v>
      </c>
      <c r="V604" s="765" t="s">
        <v>5388</v>
      </c>
      <c r="W604" s="769">
        <v>43362.0</v>
      </c>
      <c r="X604" s="766"/>
      <c r="Y604" s="765" t="s">
        <v>5389</v>
      </c>
      <c r="Z604" s="765"/>
      <c r="AA604" s="765"/>
      <c r="AB604" s="765"/>
      <c r="AC604" s="253" t="s">
        <v>284</v>
      </c>
    </row>
    <row r="605" ht="15.75" hidden="1" customHeight="1">
      <c r="A605" s="764">
        <v>43354.0</v>
      </c>
      <c r="B605" s="144" t="s">
        <v>378</v>
      </c>
      <c r="C605" s="765">
        <v>8633.0</v>
      </c>
      <c r="D605" s="252" t="s">
        <v>5385</v>
      </c>
      <c r="E605" s="602" t="s">
        <v>5383</v>
      </c>
      <c r="F605" s="253">
        <v>1.0</v>
      </c>
      <c r="G605" s="254">
        <v>5.0</v>
      </c>
      <c r="H605" s="255">
        <f t="shared" si="24"/>
        <v>5</v>
      </c>
      <c r="I605" s="256" t="s">
        <v>171</v>
      </c>
      <c r="J605" s="369" t="s">
        <v>5387</v>
      </c>
      <c r="K605" s="258">
        <v>43368.0</v>
      </c>
      <c r="L605" s="258">
        <v>43364.0</v>
      </c>
      <c r="M605" s="388"/>
      <c r="N605" s="333" t="s">
        <v>5370</v>
      </c>
      <c r="O605" s="310" t="s">
        <v>5371</v>
      </c>
      <c r="P605" s="268">
        <v>3.15</v>
      </c>
      <c r="Q605" s="874">
        <f t="shared" si="26"/>
        <v>97.16175</v>
      </c>
      <c r="R605" s="310" t="s">
        <v>5372</v>
      </c>
      <c r="S605" s="331" t="s">
        <v>422</v>
      </c>
      <c r="T605" s="769">
        <v>43369.0</v>
      </c>
      <c r="U605" s="765" t="s">
        <v>5373</v>
      </c>
      <c r="V605" s="765" t="s">
        <v>5388</v>
      </c>
      <c r="W605" s="769">
        <v>43362.0</v>
      </c>
      <c r="X605" s="766"/>
      <c r="Y605" s="765" t="s">
        <v>5389</v>
      </c>
      <c r="Z605" s="765"/>
      <c r="AA605" s="765"/>
      <c r="AB605" s="765"/>
      <c r="AC605" s="253" t="s">
        <v>284</v>
      </c>
    </row>
    <row r="606" ht="15.75" hidden="1" customHeight="1">
      <c r="A606" s="764">
        <v>43354.0</v>
      </c>
      <c r="B606" s="144" t="s">
        <v>378</v>
      </c>
      <c r="C606" s="765">
        <v>8633.0</v>
      </c>
      <c r="D606" s="252" t="s">
        <v>5385</v>
      </c>
      <c r="E606" s="602" t="s">
        <v>5384</v>
      </c>
      <c r="F606" s="253">
        <v>1.0</v>
      </c>
      <c r="G606" s="254">
        <v>4.0</v>
      </c>
      <c r="H606" s="255">
        <f t="shared" si="24"/>
        <v>4</v>
      </c>
      <c r="I606" s="256" t="s">
        <v>171</v>
      </c>
      <c r="J606" s="369" t="s">
        <v>5387</v>
      </c>
      <c r="K606" s="258">
        <v>43368.0</v>
      </c>
      <c r="L606" s="258">
        <v>43364.0</v>
      </c>
      <c r="M606" s="388"/>
      <c r="N606" s="333" t="s">
        <v>5370</v>
      </c>
      <c r="O606" s="310" t="s">
        <v>5371</v>
      </c>
      <c r="P606" s="268">
        <v>2.1</v>
      </c>
      <c r="Q606" s="874">
        <f t="shared" si="26"/>
        <v>64.7745</v>
      </c>
      <c r="R606" s="310" t="s">
        <v>5372</v>
      </c>
      <c r="S606" s="331" t="s">
        <v>422</v>
      </c>
      <c r="T606" s="769">
        <v>43369.0</v>
      </c>
      <c r="U606" s="765" t="s">
        <v>5373</v>
      </c>
      <c r="V606" s="765" t="s">
        <v>5388</v>
      </c>
      <c r="W606" s="769">
        <v>43362.0</v>
      </c>
      <c r="X606" s="766"/>
      <c r="Y606" s="765" t="s">
        <v>5389</v>
      </c>
      <c r="Z606" s="765"/>
      <c r="AA606" s="765"/>
      <c r="AB606" s="765"/>
      <c r="AC606" s="253" t="s">
        <v>284</v>
      </c>
    </row>
    <row r="607" ht="15.75" hidden="1" customHeight="1">
      <c r="A607" s="776">
        <v>43355.0</v>
      </c>
      <c r="B607" s="320" t="s">
        <v>326</v>
      </c>
      <c r="C607" s="252">
        <v>2024820.0</v>
      </c>
      <c r="D607" s="310" t="s">
        <v>5390</v>
      </c>
      <c r="E607" s="602" t="s">
        <v>4915</v>
      </c>
      <c r="F607" s="253">
        <v>5.0</v>
      </c>
      <c r="G607" s="254">
        <v>607.0</v>
      </c>
      <c r="H607" s="255">
        <f t="shared" si="24"/>
        <v>3035</v>
      </c>
      <c r="I607" s="256" t="s">
        <v>43</v>
      </c>
      <c r="J607" s="269" t="s">
        <v>329</v>
      </c>
      <c r="K607" s="258">
        <v>43377.0</v>
      </c>
      <c r="L607" s="258">
        <v>43376.0</v>
      </c>
      <c r="M607" s="388"/>
      <c r="N607" s="333" t="s">
        <v>3775</v>
      </c>
      <c r="O607" s="310" t="s">
        <v>5391</v>
      </c>
      <c r="P607" s="268">
        <v>2966.25</v>
      </c>
      <c r="Q607" s="330"/>
      <c r="R607" s="422" t="s">
        <v>5392</v>
      </c>
      <c r="S607" s="810">
        <v>43434.0</v>
      </c>
      <c r="T607" s="771">
        <v>43377.0</v>
      </c>
      <c r="U607" s="252" t="s">
        <v>5393</v>
      </c>
      <c r="V607" s="774">
        <v>94969.0</v>
      </c>
      <c r="W607" s="771">
        <v>43434.0</v>
      </c>
      <c r="X607" s="765" t="s">
        <v>5349</v>
      </c>
      <c r="Y607" s="765" t="s">
        <v>5350</v>
      </c>
      <c r="Z607" s="765"/>
      <c r="AA607" s="765"/>
      <c r="AB607" s="765"/>
      <c r="AC607" s="253" t="s">
        <v>284</v>
      </c>
    </row>
    <row r="608" ht="15.75" hidden="1" customHeight="1">
      <c r="A608" s="776">
        <v>43355.0</v>
      </c>
      <c r="B608" s="320" t="s">
        <v>326</v>
      </c>
      <c r="C608" s="252">
        <v>2024820.0</v>
      </c>
      <c r="D608" s="310" t="s">
        <v>5390</v>
      </c>
      <c r="E608" s="602" t="s">
        <v>4419</v>
      </c>
      <c r="F608" s="253">
        <v>5.0</v>
      </c>
      <c r="G608" s="254">
        <v>27.0</v>
      </c>
      <c r="H608" s="255">
        <f t="shared" si="24"/>
        <v>135</v>
      </c>
      <c r="I608" s="256" t="s">
        <v>43</v>
      </c>
      <c r="J608" s="269" t="s">
        <v>329</v>
      </c>
      <c r="K608" s="258">
        <v>43377.0</v>
      </c>
      <c r="L608" s="258">
        <v>43376.0</v>
      </c>
      <c r="M608" s="388"/>
      <c r="N608" s="333" t="s">
        <v>3775</v>
      </c>
      <c r="O608" s="310" t="s">
        <v>5391</v>
      </c>
      <c r="P608" s="268">
        <v>131.25</v>
      </c>
      <c r="Q608" s="330"/>
      <c r="R608" s="422" t="s">
        <v>56</v>
      </c>
      <c r="S608" s="810">
        <v>43434.0</v>
      </c>
      <c r="T608" s="771">
        <v>43377.0</v>
      </c>
      <c r="U608" s="252" t="s">
        <v>5393</v>
      </c>
      <c r="V608" s="252" t="s">
        <v>5394</v>
      </c>
      <c r="W608" s="771">
        <v>43434.0</v>
      </c>
      <c r="X608" s="765" t="s">
        <v>5349</v>
      </c>
      <c r="Y608" s="765" t="s">
        <v>5350</v>
      </c>
      <c r="Z608" s="765"/>
      <c r="AA608" s="765"/>
      <c r="AB608" s="765"/>
      <c r="AC608" s="253" t="s">
        <v>284</v>
      </c>
    </row>
    <row r="609" ht="15.75" customHeight="1">
      <c r="A609" s="764">
        <v>43355.0</v>
      </c>
      <c r="B609" s="144" t="s">
        <v>77</v>
      </c>
      <c r="C609" s="765">
        <v>945.0</v>
      </c>
      <c r="D609" s="252" t="s">
        <v>5395</v>
      </c>
      <c r="E609" s="602" t="s">
        <v>5396</v>
      </c>
      <c r="F609" s="253">
        <v>1.0</v>
      </c>
      <c r="G609" s="254">
        <v>2.0</v>
      </c>
      <c r="H609" s="255">
        <f t="shared" si="24"/>
        <v>2</v>
      </c>
      <c r="I609" s="256" t="s">
        <v>43</v>
      </c>
      <c r="J609" s="333" t="s">
        <v>316</v>
      </c>
      <c r="K609" s="258">
        <v>43382.0</v>
      </c>
      <c r="L609" s="258">
        <v>43375.0</v>
      </c>
      <c r="M609" s="388"/>
      <c r="N609" s="333" t="s">
        <v>2039</v>
      </c>
      <c r="O609" s="252" t="s">
        <v>4319</v>
      </c>
      <c r="P609" s="598"/>
      <c r="Q609" s="331" t="s">
        <v>578</v>
      </c>
      <c r="R609" s="330" t="s">
        <v>2194</v>
      </c>
      <c r="S609" s="330"/>
      <c r="T609" s="766"/>
      <c r="U609" s="766"/>
      <c r="V609" s="765" t="s">
        <v>578</v>
      </c>
      <c r="W609" s="767"/>
      <c r="X609" s="765" t="s">
        <v>5397</v>
      </c>
      <c r="Y609" s="765">
        <v>2.50972971E8</v>
      </c>
      <c r="Z609" s="765"/>
      <c r="AA609" s="765"/>
      <c r="AB609" s="765"/>
      <c r="AC609" s="253" t="s">
        <v>284</v>
      </c>
    </row>
    <row r="610" ht="15.75" customHeight="1">
      <c r="A610" s="764">
        <v>43355.0</v>
      </c>
      <c r="B610" s="144" t="s">
        <v>77</v>
      </c>
      <c r="C610" s="765">
        <v>945.0</v>
      </c>
      <c r="D610" s="252" t="s">
        <v>5395</v>
      </c>
      <c r="E610" s="602" t="s">
        <v>5398</v>
      </c>
      <c r="F610" s="253">
        <v>1.0</v>
      </c>
      <c r="G610" s="254">
        <v>6.0</v>
      </c>
      <c r="H610" s="255">
        <f t="shared" si="24"/>
        <v>6</v>
      </c>
      <c r="I610" s="256" t="s">
        <v>43</v>
      </c>
      <c r="J610" s="333" t="s">
        <v>316</v>
      </c>
      <c r="K610" s="258">
        <v>43382.0</v>
      </c>
      <c r="L610" s="258">
        <v>43375.0</v>
      </c>
      <c r="M610" s="388"/>
      <c r="N610" s="333" t="s">
        <v>2039</v>
      </c>
      <c r="O610" s="252" t="s">
        <v>4319</v>
      </c>
      <c r="P610" s="598"/>
      <c r="Q610" s="331" t="s">
        <v>578</v>
      </c>
      <c r="R610" s="330" t="s">
        <v>2194</v>
      </c>
      <c r="S610" s="330"/>
      <c r="T610" s="766"/>
      <c r="U610" s="766"/>
      <c r="V610" s="765" t="s">
        <v>578</v>
      </c>
      <c r="W610" s="767"/>
      <c r="X610" s="765" t="s">
        <v>5397</v>
      </c>
      <c r="Y610" s="765">
        <v>2.50972971E8</v>
      </c>
      <c r="Z610" s="765"/>
      <c r="AA610" s="765"/>
      <c r="AB610" s="765"/>
      <c r="AC610" s="253" t="s">
        <v>284</v>
      </c>
    </row>
    <row r="611" ht="15.75" customHeight="1">
      <c r="A611" s="764">
        <v>43355.0</v>
      </c>
      <c r="B611" s="144" t="s">
        <v>77</v>
      </c>
      <c r="C611" s="765">
        <v>945.0</v>
      </c>
      <c r="D611" s="252" t="s">
        <v>5395</v>
      </c>
      <c r="E611" s="876" t="s">
        <v>5399</v>
      </c>
      <c r="F611" s="253">
        <v>1.0</v>
      </c>
      <c r="G611" s="254">
        <v>263.0</v>
      </c>
      <c r="H611" s="255">
        <f t="shared" si="24"/>
        <v>263</v>
      </c>
      <c r="I611" s="256" t="s">
        <v>43</v>
      </c>
      <c r="J611" s="333" t="s">
        <v>316</v>
      </c>
      <c r="K611" s="258">
        <v>43382.0</v>
      </c>
      <c r="L611" s="258">
        <v>43374.0</v>
      </c>
      <c r="M611" s="388"/>
      <c r="N611" s="333" t="s">
        <v>1537</v>
      </c>
      <c r="O611" s="310" t="s">
        <v>5400</v>
      </c>
      <c r="P611" s="268">
        <v>215.25</v>
      </c>
      <c r="Q611" s="579">
        <v>6631.0</v>
      </c>
      <c r="R611" s="765" t="s">
        <v>2148</v>
      </c>
      <c r="S611" s="768">
        <v>43409.0</v>
      </c>
      <c r="T611" s="769">
        <v>43374.0</v>
      </c>
      <c r="U611" s="765" t="s">
        <v>5401</v>
      </c>
      <c r="V611" s="770">
        <v>6631.0</v>
      </c>
      <c r="W611" s="769">
        <v>43409.0</v>
      </c>
      <c r="X611" s="765" t="s">
        <v>5397</v>
      </c>
      <c r="Y611" s="765">
        <v>2.50972971E8</v>
      </c>
      <c r="Z611" s="765"/>
      <c r="AA611" s="765"/>
      <c r="AB611" s="765"/>
      <c r="AC611" s="253" t="s">
        <v>284</v>
      </c>
    </row>
    <row r="612" ht="15.75" customHeight="1">
      <c r="A612" s="764">
        <v>43355.0</v>
      </c>
      <c r="B612" s="144" t="s">
        <v>77</v>
      </c>
      <c r="C612" s="765">
        <v>945.0</v>
      </c>
      <c r="D612" s="252" t="s">
        <v>5395</v>
      </c>
      <c r="E612" s="877" t="s">
        <v>646</v>
      </c>
      <c r="F612" s="253">
        <v>1.0</v>
      </c>
      <c r="G612" s="254">
        <v>0.0</v>
      </c>
      <c r="H612" s="255">
        <f t="shared" si="24"/>
        <v>0</v>
      </c>
      <c r="I612" s="256" t="s">
        <v>43</v>
      </c>
      <c r="J612" s="333" t="s">
        <v>316</v>
      </c>
      <c r="K612" s="258">
        <v>43382.0</v>
      </c>
      <c r="L612" s="258">
        <v>43374.0</v>
      </c>
      <c r="M612" s="388"/>
      <c r="N612" s="333" t="s">
        <v>1537</v>
      </c>
      <c r="O612" s="310" t="s">
        <v>5400</v>
      </c>
      <c r="P612" s="268">
        <v>0.0</v>
      </c>
      <c r="Q612" s="268">
        <v>0.0</v>
      </c>
      <c r="R612" s="765" t="s">
        <v>2148</v>
      </c>
      <c r="S612" s="768">
        <v>43409.0</v>
      </c>
      <c r="T612" s="769">
        <v>43374.0</v>
      </c>
      <c r="U612" s="765" t="s">
        <v>5401</v>
      </c>
      <c r="V612" s="765" t="s">
        <v>2981</v>
      </c>
      <c r="W612" s="769">
        <v>43409.0</v>
      </c>
      <c r="X612" s="765" t="s">
        <v>5397</v>
      </c>
      <c r="Y612" s="765">
        <v>2.50972971E8</v>
      </c>
      <c r="Z612" s="765"/>
      <c r="AA612" s="765"/>
      <c r="AB612" s="765"/>
      <c r="AC612" s="253" t="s">
        <v>284</v>
      </c>
    </row>
    <row r="613" ht="15.75" customHeight="1">
      <c r="A613" s="764">
        <v>43355.0</v>
      </c>
      <c r="B613" s="144" t="s">
        <v>77</v>
      </c>
      <c r="C613" s="765">
        <v>945.0</v>
      </c>
      <c r="D613" s="252" t="s">
        <v>5395</v>
      </c>
      <c r="E613" s="878" t="s">
        <v>647</v>
      </c>
      <c r="F613" s="253">
        <v>1.0</v>
      </c>
      <c r="G613" s="254">
        <v>0.0</v>
      </c>
      <c r="H613" s="255">
        <f t="shared" si="24"/>
        <v>0</v>
      </c>
      <c r="I613" s="256" t="s">
        <v>43</v>
      </c>
      <c r="J613" s="333" t="s">
        <v>316</v>
      </c>
      <c r="K613" s="258">
        <v>43382.0</v>
      </c>
      <c r="L613" s="258">
        <v>43374.0</v>
      </c>
      <c r="M613" s="388"/>
      <c r="N613" s="333" t="s">
        <v>1537</v>
      </c>
      <c r="O613" s="310" t="s">
        <v>5400</v>
      </c>
      <c r="P613" s="268">
        <v>0.0</v>
      </c>
      <c r="Q613" s="268">
        <v>0.0</v>
      </c>
      <c r="R613" s="765" t="s">
        <v>2148</v>
      </c>
      <c r="S613" s="768">
        <v>43409.0</v>
      </c>
      <c r="T613" s="769">
        <v>43374.0</v>
      </c>
      <c r="U613" s="765" t="s">
        <v>5401</v>
      </c>
      <c r="V613" s="765" t="s">
        <v>2981</v>
      </c>
      <c r="W613" s="769">
        <v>43409.0</v>
      </c>
      <c r="X613" s="765" t="s">
        <v>5397</v>
      </c>
      <c r="Y613" s="765">
        <v>2.50972971E8</v>
      </c>
      <c r="Z613" s="765"/>
      <c r="AA613" s="765"/>
      <c r="AB613" s="765"/>
      <c r="AC613" s="253" t="s">
        <v>284</v>
      </c>
    </row>
    <row r="614" ht="15.75" customHeight="1">
      <c r="A614" s="764">
        <v>43355.0</v>
      </c>
      <c r="B614" s="144" t="s">
        <v>77</v>
      </c>
      <c r="C614" s="765">
        <v>945.0</v>
      </c>
      <c r="D614" s="252" t="s">
        <v>5395</v>
      </c>
      <c r="E614" s="878" t="s">
        <v>648</v>
      </c>
      <c r="F614" s="253">
        <v>1.0</v>
      </c>
      <c r="G614" s="254">
        <v>0.0</v>
      </c>
      <c r="H614" s="255">
        <f t="shared" si="24"/>
        <v>0</v>
      </c>
      <c r="I614" s="256" t="s">
        <v>43</v>
      </c>
      <c r="J614" s="333" t="s">
        <v>316</v>
      </c>
      <c r="K614" s="258">
        <v>43382.0</v>
      </c>
      <c r="L614" s="258">
        <v>43374.0</v>
      </c>
      <c r="M614" s="388"/>
      <c r="N614" s="333" t="s">
        <v>1537</v>
      </c>
      <c r="O614" s="310" t="s">
        <v>5400</v>
      </c>
      <c r="P614" s="268">
        <v>0.0</v>
      </c>
      <c r="Q614" s="268">
        <v>0.0</v>
      </c>
      <c r="R614" s="765" t="s">
        <v>2148</v>
      </c>
      <c r="S614" s="768">
        <v>43409.0</v>
      </c>
      <c r="T614" s="769">
        <v>43374.0</v>
      </c>
      <c r="U614" s="765" t="s">
        <v>5401</v>
      </c>
      <c r="V614" s="765" t="s">
        <v>2981</v>
      </c>
      <c r="W614" s="769">
        <v>43409.0</v>
      </c>
      <c r="X614" s="765" t="s">
        <v>5397</v>
      </c>
      <c r="Y614" s="765">
        <v>2.50972971E8</v>
      </c>
      <c r="Z614" s="765"/>
      <c r="AA614" s="765"/>
      <c r="AB614" s="765"/>
      <c r="AC614" s="253" t="s">
        <v>284</v>
      </c>
    </row>
    <row r="615" ht="15.75" customHeight="1">
      <c r="A615" s="764">
        <v>43355.0</v>
      </c>
      <c r="B615" s="144" t="s">
        <v>77</v>
      </c>
      <c r="C615" s="765">
        <v>945.0</v>
      </c>
      <c r="D615" s="252" t="s">
        <v>5395</v>
      </c>
      <c r="E615" s="878" t="s">
        <v>649</v>
      </c>
      <c r="F615" s="253">
        <v>1.0</v>
      </c>
      <c r="G615" s="254">
        <v>0.0</v>
      </c>
      <c r="H615" s="255">
        <f t="shared" si="24"/>
        <v>0</v>
      </c>
      <c r="I615" s="256" t="s">
        <v>43</v>
      </c>
      <c r="J615" s="333" t="s">
        <v>316</v>
      </c>
      <c r="K615" s="258">
        <v>43382.0</v>
      </c>
      <c r="L615" s="258">
        <v>43374.0</v>
      </c>
      <c r="M615" s="388"/>
      <c r="N615" s="333" t="s">
        <v>1537</v>
      </c>
      <c r="O615" s="310" t="s">
        <v>5400</v>
      </c>
      <c r="P615" s="268">
        <v>0.0</v>
      </c>
      <c r="Q615" s="268">
        <v>0.0</v>
      </c>
      <c r="R615" s="765" t="s">
        <v>2148</v>
      </c>
      <c r="S615" s="768">
        <v>43409.0</v>
      </c>
      <c r="T615" s="769">
        <v>43374.0</v>
      </c>
      <c r="U615" s="765" t="s">
        <v>5401</v>
      </c>
      <c r="V615" s="765" t="s">
        <v>2981</v>
      </c>
      <c r="W615" s="769">
        <v>43409.0</v>
      </c>
      <c r="X615" s="765" t="s">
        <v>5397</v>
      </c>
      <c r="Y615" s="765">
        <v>2.50972971E8</v>
      </c>
      <c r="Z615" s="765"/>
      <c r="AA615" s="765"/>
      <c r="AB615" s="765"/>
      <c r="AC615" s="253" t="s">
        <v>284</v>
      </c>
    </row>
    <row r="616" ht="15.75" customHeight="1">
      <c r="A616" s="764">
        <v>43355.0</v>
      </c>
      <c r="B616" s="144" t="s">
        <v>77</v>
      </c>
      <c r="C616" s="765">
        <v>945.0</v>
      </c>
      <c r="D616" s="252" t="s">
        <v>5395</v>
      </c>
      <c r="E616" s="877" t="s">
        <v>5402</v>
      </c>
      <c r="F616" s="253">
        <v>1.0</v>
      </c>
      <c r="G616" s="254">
        <v>0.0</v>
      </c>
      <c r="H616" s="255">
        <f t="shared" si="24"/>
        <v>0</v>
      </c>
      <c r="I616" s="256" t="s">
        <v>43</v>
      </c>
      <c r="J616" s="333" t="s">
        <v>316</v>
      </c>
      <c r="K616" s="258">
        <v>43382.0</v>
      </c>
      <c r="L616" s="258">
        <v>43375.0</v>
      </c>
      <c r="M616" s="388"/>
      <c r="N616" s="333" t="s">
        <v>2039</v>
      </c>
      <c r="O616" s="252" t="s">
        <v>4319</v>
      </c>
      <c r="P616" s="598"/>
      <c r="Q616" s="331" t="s">
        <v>578</v>
      </c>
      <c r="R616" s="330" t="s">
        <v>2194</v>
      </c>
      <c r="S616" s="330"/>
      <c r="T616" s="766"/>
      <c r="U616" s="766"/>
      <c r="V616" s="765" t="s">
        <v>578</v>
      </c>
      <c r="W616" s="767"/>
      <c r="X616" s="765" t="s">
        <v>5397</v>
      </c>
      <c r="Y616" s="765">
        <v>2.50972971E8</v>
      </c>
      <c r="Z616" s="765"/>
      <c r="AA616" s="765"/>
      <c r="AB616" s="765"/>
      <c r="AC616" s="253" t="s">
        <v>284</v>
      </c>
    </row>
    <row r="617" ht="15.75" hidden="1" customHeight="1">
      <c r="A617" s="764">
        <v>43356.0</v>
      </c>
      <c r="B617" s="265" t="s">
        <v>101</v>
      </c>
      <c r="C617" s="879" t="s">
        <v>5403</v>
      </c>
      <c r="D617" s="252" t="s">
        <v>5404</v>
      </c>
      <c r="E617" s="422" t="s">
        <v>5405</v>
      </c>
      <c r="F617" s="440">
        <v>6.0</v>
      </c>
      <c r="G617" s="254">
        <v>339.0</v>
      </c>
      <c r="H617" s="268">
        <f t="shared" si="24"/>
        <v>2034</v>
      </c>
      <c r="I617" s="256" t="s">
        <v>303</v>
      </c>
      <c r="J617" s="369" t="s">
        <v>3568</v>
      </c>
      <c r="K617" s="258">
        <v>43371.0</v>
      </c>
      <c r="L617" s="258">
        <v>43369.0</v>
      </c>
      <c r="M617" s="388"/>
      <c r="N617" s="403" t="s">
        <v>2028</v>
      </c>
      <c r="O617" s="252" t="s">
        <v>5406</v>
      </c>
      <c r="P617" s="598"/>
      <c r="Q617" s="579">
        <v>78910.0</v>
      </c>
      <c r="R617" s="578" t="s">
        <v>2030</v>
      </c>
      <c r="S617" s="768">
        <v>43409.0</v>
      </c>
      <c r="T617" s="769">
        <v>43368.0</v>
      </c>
      <c r="U617" s="765" t="s">
        <v>5407</v>
      </c>
      <c r="V617" s="770">
        <v>80979.0</v>
      </c>
      <c r="W617" s="771">
        <v>43410.0</v>
      </c>
      <c r="X617" s="765" t="s">
        <v>5214</v>
      </c>
      <c r="Y617" s="765" t="s">
        <v>5215</v>
      </c>
      <c r="Z617" s="765"/>
      <c r="AA617" s="765"/>
      <c r="AB617" s="765"/>
      <c r="AC617" s="253" t="s">
        <v>284</v>
      </c>
    </row>
    <row r="618" ht="15.75" hidden="1" customHeight="1">
      <c r="A618" s="764">
        <v>43356.0</v>
      </c>
      <c r="B618" s="265" t="s">
        <v>101</v>
      </c>
      <c r="C618" s="879" t="s">
        <v>5403</v>
      </c>
      <c r="D618" s="252" t="s">
        <v>5404</v>
      </c>
      <c r="E618" s="422" t="s">
        <v>5143</v>
      </c>
      <c r="F618" s="440">
        <v>6.0</v>
      </c>
      <c r="G618" s="254">
        <v>56.0</v>
      </c>
      <c r="H618" s="268">
        <f t="shared" si="24"/>
        <v>336</v>
      </c>
      <c r="I618" s="256" t="s">
        <v>303</v>
      </c>
      <c r="J618" s="369" t="s">
        <v>3568</v>
      </c>
      <c r="K618" s="258">
        <v>43371.0</v>
      </c>
      <c r="L618" s="258">
        <v>43362.0</v>
      </c>
      <c r="M618" s="388"/>
      <c r="N618" s="403" t="s">
        <v>4846</v>
      </c>
      <c r="O618" s="252" t="s">
        <v>5408</v>
      </c>
      <c r="P618" s="268">
        <v>326.76</v>
      </c>
      <c r="Q618" s="579">
        <v>10046.0</v>
      </c>
      <c r="R618" s="310" t="s">
        <v>2172</v>
      </c>
      <c r="S618" s="330"/>
      <c r="T618" s="769">
        <v>43363.0</v>
      </c>
      <c r="U618" s="765" t="s">
        <v>5409</v>
      </c>
      <c r="V618" s="770">
        <v>10046.0</v>
      </c>
      <c r="W618" s="769">
        <v>43361.0</v>
      </c>
      <c r="X618" s="765" t="s">
        <v>5214</v>
      </c>
      <c r="Y618" s="765" t="s">
        <v>5215</v>
      </c>
      <c r="Z618" s="765"/>
      <c r="AA618" s="765"/>
      <c r="AB618" s="765"/>
      <c r="AC618" s="253" t="s">
        <v>284</v>
      </c>
    </row>
    <row r="619" ht="15.75" hidden="1" customHeight="1">
      <c r="A619" s="764">
        <v>43356.0</v>
      </c>
      <c r="B619" s="265" t="s">
        <v>101</v>
      </c>
      <c r="C619" s="880" t="s">
        <v>5403</v>
      </c>
      <c r="D619" s="368" t="s">
        <v>5404</v>
      </c>
      <c r="E619" s="881" t="s">
        <v>292</v>
      </c>
      <c r="F619" s="440">
        <v>6.0</v>
      </c>
      <c r="G619" s="367">
        <v>9.0</v>
      </c>
      <c r="H619" s="255">
        <f t="shared" si="24"/>
        <v>54</v>
      </c>
      <c r="I619" s="256" t="s">
        <v>303</v>
      </c>
      <c r="J619" s="321" t="s">
        <v>3568</v>
      </c>
      <c r="K619" s="258">
        <v>43371.0</v>
      </c>
      <c r="L619" s="258">
        <v>43369.0</v>
      </c>
      <c r="M619" s="388"/>
      <c r="N619" s="333" t="s">
        <v>2028</v>
      </c>
      <c r="O619" s="310" t="s">
        <v>5406</v>
      </c>
      <c r="P619" s="598"/>
      <c r="Q619" s="579">
        <v>2070.0</v>
      </c>
      <c r="R619" s="578" t="s">
        <v>2030</v>
      </c>
      <c r="S619" s="768">
        <v>43409.0</v>
      </c>
      <c r="T619" s="769">
        <v>43368.0</v>
      </c>
      <c r="U619" s="765" t="s">
        <v>5407</v>
      </c>
      <c r="V619" s="765" t="s">
        <v>5410</v>
      </c>
      <c r="W619" s="771">
        <v>43410.0</v>
      </c>
      <c r="X619" s="765" t="s">
        <v>5214</v>
      </c>
      <c r="Y619" s="765" t="s">
        <v>5215</v>
      </c>
      <c r="Z619" s="765"/>
      <c r="AA619" s="765"/>
      <c r="AB619" s="765"/>
      <c r="AC619" s="253" t="s">
        <v>284</v>
      </c>
    </row>
    <row r="620" ht="15.75" hidden="1" customHeight="1">
      <c r="A620" s="764">
        <v>43357.0</v>
      </c>
      <c r="B620" s="597" t="s">
        <v>406</v>
      </c>
      <c r="C620" s="765">
        <v>7.000140867E9</v>
      </c>
      <c r="D620" s="252" t="s">
        <v>5411</v>
      </c>
      <c r="E620" s="252" t="s">
        <v>5412</v>
      </c>
      <c r="F620" s="253">
        <v>100.0</v>
      </c>
      <c r="G620" s="254">
        <v>140.0</v>
      </c>
      <c r="H620" s="255">
        <f t="shared" si="24"/>
        <v>14000</v>
      </c>
      <c r="I620" s="256" t="s">
        <v>43</v>
      </c>
      <c r="J620" s="333" t="s">
        <v>4002</v>
      </c>
      <c r="K620" s="258">
        <v>43384.0</v>
      </c>
      <c r="L620" s="258">
        <v>43381.0</v>
      </c>
      <c r="M620" s="388"/>
      <c r="N620" s="333" t="s">
        <v>2129</v>
      </c>
      <c r="O620" s="310" t="s">
        <v>5413</v>
      </c>
      <c r="P620" s="579">
        <v>13965.0</v>
      </c>
      <c r="Q620" s="330"/>
      <c r="R620" s="340" t="s">
        <v>47</v>
      </c>
      <c r="S620" s="768">
        <v>43408.0</v>
      </c>
      <c r="T620" s="769">
        <v>43378.0</v>
      </c>
      <c r="U620" s="765" t="s">
        <v>5414</v>
      </c>
      <c r="V620" s="770">
        <v>430011.0</v>
      </c>
      <c r="W620" s="771">
        <v>43419.0</v>
      </c>
      <c r="X620" s="765" t="s">
        <v>5415</v>
      </c>
      <c r="Y620" s="765">
        <v>6.748221863E9</v>
      </c>
      <c r="Z620" s="765"/>
      <c r="AA620" s="765"/>
      <c r="AB620" s="765"/>
      <c r="AC620" s="253" t="s">
        <v>284</v>
      </c>
    </row>
    <row r="621" ht="15.75" hidden="1" customHeight="1">
      <c r="A621" s="764">
        <v>43357.0</v>
      </c>
      <c r="B621" s="597" t="s">
        <v>406</v>
      </c>
      <c r="C621" s="765">
        <v>7.000140867E9</v>
      </c>
      <c r="D621" s="252" t="s">
        <v>5411</v>
      </c>
      <c r="E621" s="252" t="s">
        <v>5416</v>
      </c>
      <c r="F621" s="253">
        <v>1.0</v>
      </c>
      <c r="G621" s="254">
        <v>50.0</v>
      </c>
      <c r="H621" s="255">
        <f t="shared" si="24"/>
        <v>50</v>
      </c>
      <c r="I621" s="256" t="s">
        <v>43</v>
      </c>
      <c r="J621" s="333" t="s">
        <v>4002</v>
      </c>
      <c r="K621" s="258">
        <v>43375.0</v>
      </c>
      <c r="L621" s="258">
        <v>43375.0</v>
      </c>
      <c r="M621" s="388"/>
      <c r="N621" s="333" t="s">
        <v>3593</v>
      </c>
      <c r="O621" s="310" t="s">
        <v>5417</v>
      </c>
      <c r="P621" s="596"/>
      <c r="Q621" s="579">
        <v>1450.0</v>
      </c>
      <c r="R621" s="310" t="s">
        <v>2080</v>
      </c>
      <c r="S621" s="768">
        <v>43465.0</v>
      </c>
      <c r="T621" s="771">
        <v>43374.0</v>
      </c>
      <c r="U621" s="765" t="s">
        <v>5418</v>
      </c>
      <c r="V621" s="770">
        <v>1450.0</v>
      </c>
      <c r="W621" s="769">
        <v>43467.0</v>
      </c>
      <c r="X621" s="765" t="s">
        <v>5419</v>
      </c>
      <c r="Y621" s="765">
        <v>3.218406472E9</v>
      </c>
      <c r="Z621" s="765"/>
      <c r="AA621" s="765"/>
      <c r="AB621" s="765"/>
      <c r="AC621" s="253" t="s">
        <v>284</v>
      </c>
    </row>
    <row r="622" ht="15.75" hidden="1" customHeight="1">
      <c r="A622" s="764">
        <v>43357.0</v>
      </c>
      <c r="B622" s="597" t="s">
        <v>406</v>
      </c>
      <c r="C622" s="765">
        <v>7.000140867E9</v>
      </c>
      <c r="D622" s="252" t="s">
        <v>5411</v>
      </c>
      <c r="E622" s="252" t="s">
        <v>5420</v>
      </c>
      <c r="F622" s="253">
        <v>1.0</v>
      </c>
      <c r="G622" s="254">
        <v>1776.0</v>
      </c>
      <c r="H622" s="255">
        <f t="shared" si="24"/>
        <v>1776</v>
      </c>
      <c r="I622" s="256" t="s">
        <v>43</v>
      </c>
      <c r="J622" s="333" t="s">
        <v>4002</v>
      </c>
      <c r="K622" s="258">
        <v>43363.0</v>
      </c>
      <c r="L622" s="258">
        <v>43362.0</v>
      </c>
      <c r="M622" s="388"/>
      <c r="N622" s="333" t="s">
        <v>3593</v>
      </c>
      <c r="O622" s="310" t="s">
        <v>5417</v>
      </c>
      <c r="P622" s="596"/>
      <c r="Q622" s="579">
        <v>50338.0</v>
      </c>
      <c r="R622" s="310" t="s">
        <v>2080</v>
      </c>
      <c r="S622" s="768">
        <v>43434.0</v>
      </c>
      <c r="T622" s="769">
        <v>43360.0</v>
      </c>
      <c r="U622" s="765" t="s">
        <v>5421</v>
      </c>
      <c r="V622" s="770">
        <v>50338.0</v>
      </c>
      <c r="W622" s="769">
        <v>43419.0</v>
      </c>
      <c r="X622" s="765" t="s">
        <v>5342</v>
      </c>
      <c r="Y622" s="765">
        <v>6.184509833E9</v>
      </c>
      <c r="Z622" s="765"/>
      <c r="AA622" s="765"/>
      <c r="AB622" s="765"/>
      <c r="AC622" s="253" t="s">
        <v>284</v>
      </c>
    </row>
    <row r="623" ht="15.75" hidden="1" customHeight="1">
      <c r="A623" s="764">
        <v>43357.0</v>
      </c>
      <c r="B623" s="882" t="s">
        <v>1745</v>
      </c>
      <c r="C623" s="765" t="s">
        <v>5422</v>
      </c>
      <c r="D623" s="252" t="s">
        <v>5423</v>
      </c>
      <c r="E623" s="602" t="s">
        <v>1748</v>
      </c>
      <c r="F623" s="253">
        <v>20.0</v>
      </c>
      <c r="G623" s="254">
        <f>75+29+5</f>
        <v>109</v>
      </c>
      <c r="H623" s="255">
        <f t="shared" si="24"/>
        <v>2180</v>
      </c>
      <c r="I623" s="256" t="s">
        <v>171</v>
      </c>
      <c r="J623" s="369" t="s">
        <v>1749</v>
      </c>
      <c r="K623" s="258">
        <v>43389.0</v>
      </c>
      <c r="L623" s="258">
        <v>43378.0</v>
      </c>
      <c r="M623" s="388"/>
      <c r="N623" s="333" t="s">
        <v>3273</v>
      </c>
      <c r="O623" s="252" t="s">
        <v>5424</v>
      </c>
      <c r="P623" s="579">
        <v>1512.0</v>
      </c>
      <c r="Q623" s="330"/>
      <c r="R623" s="340" t="s">
        <v>47</v>
      </c>
      <c r="S623" s="768">
        <v>43407.0</v>
      </c>
      <c r="T623" s="771">
        <v>43377.0</v>
      </c>
      <c r="U623" s="252" t="s">
        <v>5425</v>
      </c>
      <c r="V623" s="774">
        <v>46373.0</v>
      </c>
      <c r="W623" s="771">
        <v>43419.0</v>
      </c>
      <c r="X623" s="765" t="s">
        <v>5426</v>
      </c>
      <c r="Y623" s="765">
        <v>9.46623215E8</v>
      </c>
      <c r="Z623" s="765"/>
      <c r="AA623" s="765"/>
      <c r="AB623" s="765"/>
      <c r="AC623" s="253" t="s">
        <v>284</v>
      </c>
    </row>
    <row r="624" ht="15.75" hidden="1" customHeight="1">
      <c r="A624" s="764">
        <v>43357.0</v>
      </c>
      <c r="B624" s="882" t="s">
        <v>1745</v>
      </c>
      <c r="C624" s="765" t="s">
        <v>5422</v>
      </c>
      <c r="D624" s="252" t="s">
        <v>5423</v>
      </c>
      <c r="E624" s="578" t="s">
        <v>1750</v>
      </c>
      <c r="F624" s="253">
        <v>20.0</v>
      </c>
      <c r="G624" s="254">
        <v>0.0</v>
      </c>
      <c r="H624" s="255">
        <f t="shared" si="24"/>
        <v>0</v>
      </c>
      <c r="I624" s="256" t="s">
        <v>171</v>
      </c>
      <c r="J624" s="369" t="s">
        <v>1749</v>
      </c>
      <c r="K624" s="258">
        <v>43389.0</v>
      </c>
      <c r="L624" s="258">
        <v>43377.0</v>
      </c>
      <c r="M624" s="388"/>
      <c r="N624" s="333" t="s">
        <v>2218</v>
      </c>
      <c r="O624" s="252" t="s">
        <v>5427</v>
      </c>
      <c r="P624" s="598"/>
      <c r="Q624" s="579">
        <v>14700.0</v>
      </c>
      <c r="R624" s="604" t="s">
        <v>2220</v>
      </c>
      <c r="S624" s="768">
        <v>43409.0</v>
      </c>
      <c r="T624" s="769">
        <v>43375.0</v>
      </c>
      <c r="U624" s="765" t="s">
        <v>5428</v>
      </c>
      <c r="V624" s="770">
        <v>21630.0</v>
      </c>
      <c r="W624" s="769">
        <v>43410.0</v>
      </c>
      <c r="X624" s="765" t="s">
        <v>5426</v>
      </c>
      <c r="Y624" s="765">
        <v>9.46623215E8</v>
      </c>
      <c r="Z624" s="765"/>
      <c r="AA624" s="765"/>
      <c r="AB624" s="765"/>
      <c r="AC624" s="253" t="s">
        <v>284</v>
      </c>
    </row>
    <row r="625" ht="15.75" hidden="1" customHeight="1">
      <c r="A625" s="764">
        <v>43357.0</v>
      </c>
      <c r="B625" s="882" t="s">
        <v>1745</v>
      </c>
      <c r="C625" s="765" t="s">
        <v>5422</v>
      </c>
      <c r="D625" s="252" t="s">
        <v>5423</v>
      </c>
      <c r="E625" s="883" t="s">
        <v>1751</v>
      </c>
      <c r="F625" s="253">
        <v>20.0</v>
      </c>
      <c r="G625" s="254">
        <v>0.0</v>
      </c>
      <c r="H625" s="255">
        <f t="shared" si="24"/>
        <v>0</v>
      </c>
      <c r="I625" s="256" t="s">
        <v>171</v>
      </c>
      <c r="J625" s="369" t="s">
        <v>1749</v>
      </c>
      <c r="K625" s="258">
        <v>43389.0</v>
      </c>
      <c r="L625" s="258">
        <v>43389.0</v>
      </c>
      <c r="M625" s="388"/>
      <c r="N625" s="333" t="s">
        <v>1537</v>
      </c>
      <c r="O625" s="252" t="s">
        <v>5429</v>
      </c>
      <c r="P625" s="598"/>
      <c r="Q625" s="579">
        <v>2562.0</v>
      </c>
      <c r="R625" s="330" t="s">
        <v>2148</v>
      </c>
      <c r="S625" s="768">
        <v>43409.0</v>
      </c>
      <c r="T625" s="771">
        <v>43389.0</v>
      </c>
      <c r="U625" s="252" t="s">
        <v>5430</v>
      </c>
      <c r="V625" s="774">
        <v>15032.0</v>
      </c>
      <c r="W625" s="769">
        <v>43410.0</v>
      </c>
      <c r="X625" s="765" t="s">
        <v>5426</v>
      </c>
      <c r="Y625" s="765">
        <v>9.46623215E8</v>
      </c>
      <c r="Z625" s="765"/>
      <c r="AA625" s="765"/>
      <c r="AB625" s="765"/>
      <c r="AC625" s="253" t="s">
        <v>284</v>
      </c>
    </row>
    <row r="626" ht="15.75" hidden="1" customHeight="1">
      <c r="A626" s="764">
        <v>43357.0</v>
      </c>
      <c r="B626" s="882" t="s">
        <v>1745</v>
      </c>
      <c r="C626" s="765" t="s">
        <v>5422</v>
      </c>
      <c r="D626" s="252" t="s">
        <v>5423</v>
      </c>
      <c r="E626" s="602" t="s">
        <v>5431</v>
      </c>
      <c r="F626" s="253">
        <v>20.0</v>
      </c>
      <c r="G626" s="254">
        <v>13.0</v>
      </c>
      <c r="H626" s="255">
        <f t="shared" si="24"/>
        <v>260</v>
      </c>
      <c r="I626" s="256" t="s">
        <v>171</v>
      </c>
      <c r="J626" s="369" t="s">
        <v>1749</v>
      </c>
      <c r="K626" s="258">
        <v>43389.0</v>
      </c>
      <c r="L626" s="258">
        <v>43377.0</v>
      </c>
      <c r="M626" s="388"/>
      <c r="N626" s="333" t="s">
        <v>2218</v>
      </c>
      <c r="O626" s="252" t="s">
        <v>5427</v>
      </c>
      <c r="P626" s="598"/>
      <c r="Q626" s="579">
        <v>6930.0</v>
      </c>
      <c r="R626" s="604" t="s">
        <v>2220</v>
      </c>
      <c r="S626" s="768">
        <v>43409.0</v>
      </c>
      <c r="T626" s="769">
        <v>43375.0</v>
      </c>
      <c r="U626" s="765" t="s">
        <v>5428</v>
      </c>
      <c r="V626" s="765" t="s">
        <v>5432</v>
      </c>
      <c r="W626" s="769">
        <v>43410.0</v>
      </c>
      <c r="X626" s="765" t="s">
        <v>5426</v>
      </c>
      <c r="Y626" s="765">
        <v>9.46623215E8</v>
      </c>
      <c r="Z626" s="765"/>
      <c r="AA626" s="765"/>
      <c r="AB626" s="765"/>
      <c r="AC626" s="253" t="s">
        <v>284</v>
      </c>
    </row>
    <row r="627" ht="15.75" hidden="1" customHeight="1">
      <c r="A627" s="776">
        <v>43360.0</v>
      </c>
      <c r="B627" s="144" t="s">
        <v>101</v>
      </c>
      <c r="C627" s="252" t="s">
        <v>5433</v>
      </c>
      <c r="D627" s="265" t="s">
        <v>5434</v>
      </c>
      <c r="E627" s="602" t="s">
        <v>5435</v>
      </c>
      <c r="F627" s="253">
        <v>4.0</v>
      </c>
      <c r="G627" s="254">
        <v>570.0</v>
      </c>
      <c r="H627" s="255">
        <f t="shared" si="24"/>
        <v>2280</v>
      </c>
      <c r="I627" s="256" t="s">
        <v>303</v>
      </c>
      <c r="J627" s="884" t="s">
        <v>5436</v>
      </c>
      <c r="K627" s="258">
        <v>43413.0</v>
      </c>
      <c r="L627" s="593"/>
      <c r="M627" s="388"/>
      <c r="N627" s="266" t="s">
        <v>4727</v>
      </c>
      <c r="O627" s="310" t="s">
        <v>5437</v>
      </c>
      <c r="P627" s="598"/>
      <c r="Q627" s="330"/>
      <c r="R627" s="310"/>
      <c r="S627" s="330"/>
      <c r="T627" s="766"/>
      <c r="U627" s="766"/>
      <c r="V627" s="766"/>
      <c r="W627" s="767"/>
      <c r="X627" s="252" t="s">
        <v>5438</v>
      </c>
      <c r="Y627" s="765">
        <v>8.279290143E9</v>
      </c>
      <c r="Z627" s="765"/>
      <c r="AA627" s="765"/>
      <c r="AB627" s="765"/>
      <c r="AC627" s="253" t="s">
        <v>284</v>
      </c>
    </row>
    <row r="628" ht="15.75" hidden="1" customHeight="1">
      <c r="A628" s="776">
        <v>43360.0</v>
      </c>
      <c r="B628" s="144" t="s">
        <v>101</v>
      </c>
      <c r="C628" s="252" t="s">
        <v>5433</v>
      </c>
      <c r="D628" s="265" t="s">
        <v>5434</v>
      </c>
      <c r="E628" s="602" t="s">
        <v>4885</v>
      </c>
      <c r="F628" s="253">
        <v>4.0</v>
      </c>
      <c r="G628" s="254">
        <v>42.0</v>
      </c>
      <c r="H628" s="255">
        <f t="shared" si="24"/>
        <v>168</v>
      </c>
      <c r="I628" s="256" t="s">
        <v>303</v>
      </c>
      <c r="J628" s="884" t="s">
        <v>5436</v>
      </c>
      <c r="K628" s="258">
        <v>43413.0</v>
      </c>
      <c r="L628" s="593"/>
      <c r="M628" s="388"/>
      <c r="N628" s="266" t="s">
        <v>4727</v>
      </c>
      <c r="O628" s="310" t="s">
        <v>5437</v>
      </c>
      <c r="P628" s="598"/>
      <c r="Q628" s="330"/>
      <c r="R628" s="310"/>
      <c r="S628" s="330"/>
      <c r="T628" s="766"/>
      <c r="U628" s="766"/>
      <c r="V628" s="766"/>
      <c r="W628" s="767"/>
      <c r="X628" s="252" t="s">
        <v>5438</v>
      </c>
      <c r="Y628" s="765">
        <v>8.279290143E9</v>
      </c>
      <c r="Z628" s="765"/>
      <c r="AA628" s="765"/>
      <c r="AB628" s="765"/>
      <c r="AC628" s="253" t="s">
        <v>284</v>
      </c>
    </row>
    <row r="629" ht="15.75" hidden="1" customHeight="1">
      <c r="A629" s="776">
        <v>43360.0</v>
      </c>
      <c r="B629" s="144" t="s">
        <v>101</v>
      </c>
      <c r="C629" s="252" t="s">
        <v>5433</v>
      </c>
      <c r="D629" s="265" t="s">
        <v>5434</v>
      </c>
      <c r="E629" s="602" t="s">
        <v>4886</v>
      </c>
      <c r="F629" s="253">
        <v>4.0</v>
      </c>
      <c r="G629" s="254">
        <v>140.0</v>
      </c>
      <c r="H629" s="255">
        <f t="shared" si="24"/>
        <v>560</v>
      </c>
      <c r="I629" s="256" t="s">
        <v>303</v>
      </c>
      <c r="J629" s="884" t="s">
        <v>5436</v>
      </c>
      <c r="K629" s="258">
        <v>43413.0</v>
      </c>
      <c r="L629" s="593"/>
      <c r="M629" s="388"/>
      <c r="N629" s="266" t="s">
        <v>4727</v>
      </c>
      <c r="O629" s="310" t="s">
        <v>5437</v>
      </c>
      <c r="P629" s="598"/>
      <c r="Q629" s="330"/>
      <c r="R629" s="310"/>
      <c r="S629" s="330"/>
      <c r="T629" s="766"/>
      <c r="U629" s="766"/>
      <c r="V629" s="766"/>
      <c r="W629" s="767"/>
      <c r="X629" s="252" t="s">
        <v>5438</v>
      </c>
      <c r="Y629" s="765">
        <v>8.279290143E9</v>
      </c>
      <c r="Z629" s="765"/>
      <c r="AA629" s="765"/>
      <c r="AB629" s="765"/>
      <c r="AC629" s="253" t="s">
        <v>284</v>
      </c>
    </row>
    <row r="630" ht="15.75" hidden="1" customHeight="1">
      <c r="A630" s="776">
        <v>43360.0</v>
      </c>
      <c r="B630" s="144" t="s">
        <v>101</v>
      </c>
      <c r="C630" s="252" t="s">
        <v>5433</v>
      </c>
      <c r="D630" s="265" t="s">
        <v>5434</v>
      </c>
      <c r="E630" s="602" t="s">
        <v>442</v>
      </c>
      <c r="F630" s="253">
        <v>4.0</v>
      </c>
      <c r="G630" s="254">
        <v>38.0</v>
      </c>
      <c r="H630" s="255">
        <f t="shared" si="24"/>
        <v>152</v>
      </c>
      <c r="I630" s="256" t="s">
        <v>303</v>
      </c>
      <c r="J630" s="884" t="s">
        <v>5436</v>
      </c>
      <c r="K630" s="258">
        <v>43413.0</v>
      </c>
      <c r="L630" s="593"/>
      <c r="M630" s="388"/>
      <c r="N630" s="266" t="s">
        <v>4727</v>
      </c>
      <c r="O630" s="310" t="s">
        <v>5437</v>
      </c>
      <c r="P630" s="598"/>
      <c r="Q630" s="330"/>
      <c r="R630" s="310"/>
      <c r="S630" s="330"/>
      <c r="T630" s="766"/>
      <c r="U630" s="766"/>
      <c r="V630" s="766"/>
      <c r="W630" s="767"/>
      <c r="X630" s="252" t="s">
        <v>5438</v>
      </c>
      <c r="Y630" s="765">
        <v>8.279290143E9</v>
      </c>
      <c r="Z630" s="765"/>
      <c r="AA630" s="765"/>
      <c r="AB630" s="765"/>
      <c r="AC630" s="253" t="s">
        <v>284</v>
      </c>
    </row>
    <row r="631" ht="15.75" hidden="1" customHeight="1">
      <c r="A631" s="776">
        <v>43360.0</v>
      </c>
      <c r="B631" s="144" t="s">
        <v>101</v>
      </c>
      <c r="C631" s="252" t="s">
        <v>5433</v>
      </c>
      <c r="D631" s="265" t="s">
        <v>5434</v>
      </c>
      <c r="E631" s="602" t="s">
        <v>546</v>
      </c>
      <c r="F631" s="253">
        <v>4.0</v>
      </c>
      <c r="G631" s="254">
        <v>47.0</v>
      </c>
      <c r="H631" s="255">
        <f t="shared" si="24"/>
        <v>188</v>
      </c>
      <c r="I631" s="256" t="s">
        <v>303</v>
      </c>
      <c r="J631" s="884" t="s">
        <v>5436</v>
      </c>
      <c r="K631" s="258">
        <v>43413.0</v>
      </c>
      <c r="L631" s="593"/>
      <c r="M631" s="388"/>
      <c r="N631" s="266" t="s">
        <v>4727</v>
      </c>
      <c r="O631" s="310" t="s">
        <v>5437</v>
      </c>
      <c r="P631" s="598"/>
      <c r="Q631" s="330"/>
      <c r="R631" s="310"/>
      <c r="S631" s="330"/>
      <c r="T631" s="766"/>
      <c r="U631" s="766"/>
      <c r="V631" s="766"/>
      <c r="W631" s="767"/>
      <c r="X631" s="252" t="s">
        <v>5438</v>
      </c>
      <c r="Y631" s="765">
        <v>8.279290143E9</v>
      </c>
      <c r="Z631" s="765"/>
      <c r="AA631" s="765"/>
      <c r="AB631" s="765"/>
      <c r="AC631" s="253" t="s">
        <v>284</v>
      </c>
    </row>
    <row r="632" ht="15.75" hidden="1" customHeight="1">
      <c r="A632" s="776">
        <v>43360.0</v>
      </c>
      <c r="B632" s="144" t="s">
        <v>101</v>
      </c>
      <c r="C632" s="252" t="s">
        <v>5433</v>
      </c>
      <c r="D632" s="265" t="s">
        <v>5434</v>
      </c>
      <c r="E632" s="838" t="s">
        <v>5154</v>
      </c>
      <c r="F632" s="253">
        <v>4.0</v>
      </c>
      <c r="G632" s="254">
        <v>10.0</v>
      </c>
      <c r="H632" s="268">
        <f t="shared" si="24"/>
        <v>40</v>
      </c>
      <c r="I632" s="256" t="s">
        <v>171</v>
      </c>
      <c r="J632" s="884" t="s">
        <v>5436</v>
      </c>
      <c r="K632" s="258">
        <v>43413.0</v>
      </c>
      <c r="L632" s="266" t="s">
        <v>179</v>
      </c>
      <c r="M632" s="388"/>
      <c r="N632" s="333" t="s">
        <v>5439</v>
      </c>
      <c r="O632" s="310" t="s">
        <v>5440</v>
      </c>
      <c r="P632" s="598"/>
      <c r="Q632" s="330"/>
      <c r="R632" s="310"/>
      <c r="S632" s="330"/>
      <c r="T632" s="766"/>
      <c r="U632" s="766"/>
      <c r="V632" s="766"/>
      <c r="W632" s="767"/>
      <c r="X632" s="252" t="s">
        <v>5438</v>
      </c>
      <c r="Y632" s="765">
        <v>8.279290143E9</v>
      </c>
      <c r="Z632" s="765"/>
      <c r="AA632" s="765"/>
      <c r="AB632" s="765"/>
      <c r="AC632" s="253" t="s">
        <v>284</v>
      </c>
    </row>
    <row r="633" ht="15.75" hidden="1" customHeight="1">
      <c r="A633" s="776">
        <v>43360.0</v>
      </c>
      <c r="B633" s="144" t="s">
        <v>101</v>
      </c>
      <c r="C633" s="252" t="s">
        <v>5433</v>
      </c>
      <c r="D633" s="265" t="s">
        <v>5441</v>
      </c>
      <c r="E633" s="820" t="s">
        <v>347</v>
      </c>
      <c r="F633" s="253">
        <v>1.0</v>
      </c>
      <c r="G633" s="254">
        <v>174.0</v>
      </c>
      <c r="H633" s="268">
        <f t="shared" si="24"/>
        <v>174</v>
      </c>
      <c r="I633" s="256" t="s">
        <v>303</v>
      </c>
      <c r="J633" s="884" t="s">
        <v>5436</v>
      </c>
      <c r="K633" s="258">
        <v>43413.0</v>
      </c>
      <c r="L633" s="593"/>
      <c r="M633" s="388"/>
      <c r="N633" s="333" t="s">
        <v>2032</v>
      </c>
      <c r="O633" s="358"/>
      <c r="P633" s="598"/>
      <c r="Q633" s="579">
        <v>6692.0</v>
      </c>
      <c r="R633" s="320" t="s">
        <v>2033</v>
      </c>
      <c r="S633" s="768">
        <v>43450.0</v>
      </c>
      <c r="T633" s="769">
        <v>43420.0</v>
      </c>
      <c r="U633" s="765" t="s">
        <v>5442</v>
      </c>
      <c r="V633" s="770">
        <v>6692.0</v>
      </c>
      <c r="W633" s="769">
        <v>43445.0</v>
      </c>
      <c r="X633" s="252"/>
      <c r="Y633" s="765"/>
      <c r="Z633" s="765"/>
      <c r="AA633" s="765"/>
      <c r="AB633" s="765"/>
      <c r="AC633" s="253" t="s">
        <v>284</v>
      </c>
    </row>
    <row r="634" ht="15.75" hidden="1" customHeight="1">
      <c r="A634" s="776">
        <v>43360.0</v>
      </c>
      <c r="B634" s="144" t="s">
        <v>101</v>
      </c>
      <c r="C634" s="252" t="s">
        <v>5433</v>
      </c>
      <c r="D634" s="265" t="s">
        <v>5443</v>
      </c>
      <c r="E634" s="602" t="s">
        <v>5444</v>
      </c>
      <c r="F634" s="253">
        <v>1.0</v>
      </c>
      <c r="G634" s="254">
        <v>570.0</v>
      </c>
      <c r="H634" s="255">
        <f t="shared" si="24"/>
        <v>570</v>
      </c>
      <c r="I634" s="256" t="s">
        <v>303</v>
      </c>
      <c r="J634" s="884" t="s">
        <v>5436</v>
      </c>
      <c r="K634" s="258">
        <v>43420.0</v>
      </c>
      <c r="L634" s="593"/>
      <c r="M634" s="388"/>
      <c r="N634" s="266" t="s">
        <v>4727</v>
      </c>
      <c r="O634" s="310" t="s">
        <v>5437</v>
      </c>
      <c r="P634" s="598"/>
      <c r="Q634" s="330"/>
      <c r="R634" s="310"/>
      <c r="S634" s="330"/>
      <c r="T634" s="766"/>
      <c r="U634" s="766"/>
      <c r="V634" s="766"/>
      <c r="W634" s="767"/>
      <c r="X634" s="252" t="s">
        <v>5445</v>
      </c>
      <c r="Y634" s="765">
        <v>7.282183672E9</v>
      </c>
      <c r="Z634" s="765"/>
      <c r="AA634" s="765"/>
      <c r="AB634" s="765"/>
      <c r="AC634" s="253" t="s">
        <v>284</v>
      </c>
    </row>
    <row r="635" ht="15.75" hidden="1" customHeight="1">
      <c r="A635" s="776">
        <v>43360.0</v>
      </c>
      <c r="B635" s="144" t="s">
        <v>101</v>
      </c>
      <c r="C635" s="252" t="s">
        <v>5433</v>
      </c>
      <c r="D635" s="265" t="s">
        <v>5443</v>
      </c>
      <c r="E635" s="602" t="s">
        <v>4885</v>
      </c>
      <c r="F635" s="253">
        <v>1.0</v>
      </c>
      <c r="G635" s="254">
        <v>42.0</v>
      </c>
      <c r="H635" s="255">
        <f t="shared" si="24"/>
        <v>42</v>
      </c>
      <c r="I635" s="256" t="s">
        <v>303</v>
      </c>
      <c r="J635" s="884" t="s">
        <v>5436</v>
      </c>
      <c r="K635" s="258">
        <v>43420.0</v>
      </c>
      <c r="L635" s="593"/>
      <c r="M635" s="388"/>
      <c r="N635" s="266" t="s">
        <v>4727</v>
      </c>
      <c r="O635" s="310" t="s">
        <v>5437</v>
      </c>
      <c r="P635" s="598"/>
      <c r="Q635" s="330"/>
      <c r="R635" s="310"/>
      <c r="S635" s="330"/>
      <c r="T635" s="766"/>
      <c r="U635" s="766"/>
      <c r="V635" s="766"/>
      <c r="W635" s="767"/>
      <c r="X635" s="252" t="s">
        <v>5445</v>
      </c>
      <c r="Y635" s="765">
        <v>7.282183672E9</v>
      </c>
      <c r="Z635" s="765"/>
      <c r="AA635" s="765"/>
      <c r="AB635" s="765"/>
      <c r="AC635" s="253" t="s">
        <v>284</v>
      </c>
    </row>
    <row r="636" ht="15.75" hidden="1" customHeight="1">
      <c r="A636" s="776">
        <v>43360.0</v>
      </c>
      <c r="B636" s="144" t="s">
        <v>101</v>
      </c>
      <c r="C636" s="252" t="s">
        <v>5433</v>
      </c>
      <c r="D636" s="265" t="s">
        <v>5443</v>
      </c>
      <c r="E636" s="602" t="s">
        <v>4886</v>
      </c>
      <c r="F636" s="253">
        <v>1.0</v>
      </c>
      <c r="G636" s="254">
        <v>140.0</v>
      </c>
      <c r="H636" s="255">
        <f t="shared" si="24"/>
        <v>140</v>
      </c>
      <c r="I636" s="256" t="s">
        <v>303</v>
      </c>
      <c r="J636" s="884" t="s">
        <v>5436</v>
      </c>
      <c r="K636" s="258">
        <v>43420.0</v>
      </c>
      <c r="L636" s="593"/>
      <c r="M636" s="388"/>
      <c r="N636" s="266" t="s">
        <v>4727</v>
      </c>
      <c r="O636" s="310" t="s">
        <v>5437</v>
      </c>
      <c r="P636" s="598"/>
      <c r="Q636" s="330"/>
      <c r="R636" s="310"/>
      <c r="S636" s="330"/>
      <c r="T636" s="766"/>
      <c r="U636" s="766"/>
      <c r="V636" s="766"/>
      <c r="W636" s="767"/>
      <c r="X636" s="252" t="s">
        <v>5445</v>
      </c>
      <c r="Y636" s="765">
        <v>7.282183672E9</v>
      </c>
      <c r="Z636" s="765"/>
      <c r="AA636" s="765"/>
      <c r="AB636" s="765"/>
      <c r="AC636" s="253" t="s">
        <v>284</v>
      </c>
    </row>
    <row r="637" ht="15.75" hidden="1" customHeight="1">
      <c r="A637" s="776">
        <v>43360.0</v>
      </c>
      <c r="B637" s="144" t="s">
        <v>101</v>
      </c>
      <c r="C637" s="252" t="s">
        <v>5433</v>
      </c>
      <c r="D637" s="265" t="s">
        <v>5443</v>
      </c>
      <c r="E637" s="602" t="s">
        <v>442</v>
      </c>
      <c r="F637" s="253">
        <v>1.0</v>
      </c>
      <c r="G637" s="254">
        <v>38.0</v>
      </c>
      <c r="H637" s="255">
        <f t="shared" si="24"/>
        <v>38</v>
      </c>
      <c r="I637" s="256" t="s">
        <v>303</v>
      </c>
      <c r="J637" s="884" t="s">
        <v>5436</v>
      </c>
      <c r="K637" s="258">
        <v>43420.0</v>
      </c>
      <c r="L637" s="593"/>
      <c r="M637" s="388"/>
      <c r="N637" s="266" t="s">
        <v>4727</v>
      </c>
      <c r="O637" s="310" t="s">
        <v>5437</v>
      </c>
      <c r="P637" s="598"/>
      <c r="Q637" s="330"/>
      <c r="R637" s="310"/>
      <c r="S637" s="330"/>
      <c r="T637" s="766"/>
      <c r="U637" s="766"/>
      <c r="V637" s="766"/>
      <c r="W637" s="767"/>
      <c r="X637" s="252" t="s">
        <v>5445</v>
      </c>
      <c r="Y637" s="765">
        <v>7.282183672E9</v>
      </c>
      <c r="Z637" s="765"/>
      <c r="AA637" s="765"/>
      <c r="AB637" s="765"/>
      <c r="AC637" s="253" t="s">
        <v>284</v>
      </c>
    </row>
    <row r="638" ht="15.75" hidden="1" customHeight="1">
      <c r="A638" s="776">
        <v>43360.0</v>
      </c>
      <c r="B638" s="144" t="s">
        <v>101</v>
      </c>
      <c r="C638" s="252" t="s">
        <v>5433</v>
      </c>
      <c r="D638" s="265" t="s">
        <v>5443</v>
      </c>
      <c r="E638" s="602" t="s">
        <v>546</v>
      </c>
      <c r="F638" s="253">
        <v>1.0</v>
      </c>
      <c r="G638" s="254">
        <v>47.0</v>
      </c>
      <c r="H638" s="255">
        <f t="shared" si="24"/>
        <v>47</v>
      </c>
      <c r="I638" s="256" t="s">
        <v>303</v>
      </c>
      <c r="J638" s="884" t="s">
        <v>5436</v>
      </c>
      <c r="K638" s="258">
        <v>43420.0</v>
      </c>
      <c r="L638" s="593"/>
      <c r="M638" s="388"/>
      <c r="N638" s="266" t="s">
        <v>4727</v>
      </c>
      <c r="O638" s="310" t="s">
        <v>5437</v>
      </c>
      <c r="P638" s="598"/>
      <c r="Q638" s="330"/>
      <c r="R638" s="310"/>
      <c r="S638" s="330"/>
      <c r="T638" s="766"/>
      <c r="U638" s="766"/>
      <c r="V638" s="766"/>
      <c r="W638" s="767"/>
      <c r="X638" s="252" t="s">
        <v>5445</v>
      </c>
      <c r="Y638" s="765">
        <v>7.282183672E9</v>
      </c>
      <c r="Z638" s="765"/>
      <c r="AA638" s="765"/>
      <c r="AB638" s="765"/>
      <c r="AC638" s="253" t="s">
        <v>284</v>
      </c>
    </row>
    <row r="639" ht="15.75" hidden="1" customHeight="1">
      <c r="A639" s="776">
        <v>43360.0</v>
      </c>
      <c r="B639" s="144" t="s">
        <v>101</v>
      </c>
      <c r="C639" s="252" t="s">
        <v>5433</v>
      </c>
      <c r="D639" s="265" t="s">
        <v>5443</v>
      </c>
      <c r="E639" s="838" t="s">
        <v>5154</v>
      </c>
      <c r="F639" s="253">
        <v>1.0</v>
      </c>
      <c r="G639" s="254">
        <v>10.0</v>
      </c>
      <c r="H639" s="268">
        <f t="shared" si="24"/>
        <v>10</v>
      </c>
      <c r="I639" s="256" t="s">
        <v>171</v>
      </c>
      <c r="J639" s="884" t="s">
        <v>5436</v>
      </c>
      <c r="K639" s="258">
        <v>43420.0</v>
      </c>
      <c r="L639" s="266" t="s">
        <v>179</v>
      </c>
      <c r="M639" s="388"/>
      <c r="N639" s="333" t="s">
        <v>5439</v>
      </c>
      <c r="O639" s="310" t="s">
        <v>5440</v>
      </c>
      <c r="P639" s="598"/>
      <c r="Q639" s="330"/>
      <c r="R639" s="310"/>
      <c r="S639" s="792"/>
      <c r="T639" s="767"/>
      <c r="U639" s="766"/>
      <c r="V639" s="885"/>
      <c r="W639" s="767"/>
      <c r="X639" s="252" t="s">
        <v>5445</v>
      </c>
      <c r="Y639" s="765">
        <v>7.282183672E9</v>
      </c>
      <c r="Z639" s="765"/>
      <c r="AA639" s="765"/>
      <c r="AB639" s="765"/>
      <c r="AC639" s="253" t="s">
        <v>284</v>
      </c>
    </row>
    <row r="640" ht="16.5" hidden="1" customHeight="1">
      <c r="A640" s="776">
        <v>43420.0</v>
      </c>
      <c r="B640" s="144" t="s">
        <v>101</v>
      </c>
      <c r="C640" s="252" t="s">
        <v>5433</v>
      </c>
      <c r="D640" s="265" t="s">
        <v>5446</v>
      </c>
      <c r="E640" s="853" t="s">
        <v>347</v>
      </c>
      <c r="F640" s="253">
        <v>1.0</v>
      </c>
      <c r="G640" s="254">
        <v>477.0</v>
      </c>
      <c r="H640" s="268">
        <f t="shared" si="24"/>
        <v>477</v>
      </c>
      <c r="I640" s="256" t="s">
        <v>303</v>
      </c>
      <c r="J640" s="884" t="s">
        <v>5436</v>
      </c>
      <c r="K640" s="258">
        <v>43420.0</v>
      </c>
      <c r="L640" s="630"/>
      <c r="M640" s="388"/>
      <c r="N640" s="333" t="s">
        <v>2032</v>
      </c>
      <c r="O640" s="310"/>
      <c r="P640" s="598"/>
      <c r="Q640" s="268">
        <v>13592.0</v>
      </c>
      <c r="R640" s="320" t="s">
        <v>2033</v>
      </c>
      <c r="S640" s="768">
        <v>43457.0</v>
      </c>
      <c r="T640" s="769">
        <v>43427.0</v>
      </c>
      <c r="U640" s="765" t="s">
        <v>5447</v>
      </c>
      <c r="V640" s="770">
        <v>13592.0</v>
      </c>
      <c r="W640" s="769">
        <v>43458.0</v>
      </c>
      <c r="X640" s="252"/>
      <c r="Y640" s="765">
        <v>7.282183672E9</v>
      </c>
      <c r="Z640" s="765"/>
      <c r="AA640" s="765"/>
      <c r="AB640" s="765"/>
      <c r="AC640" s="253" t="s">
        <v>284</v>
      </c>
    </row>
    <row r="641" ht="16.5" hidden="1" customHeight="1">
      <c r="A641" s="776">
        <v>43361.0</v>
      </c>
      <c r="B641" s="597" t="s">
        <v>3729</v>
      </c>
      <c r="C641" s="765" t="s">
        <v>5448</v>
      </c>
      <c r="D641" s="265" t="s">
        <v>5449</v>
      </c>
      <c r="E641" s="765" t="s">
        <v>4473</v>
      </c>
      <c r="F641" s="253">
        <v>8.0</v>
      </c>
      <c r="G641" s="254">
        <v>1790.0</v>
      </c>
      <c r="H641" s="267">
        <v>14320.0</v>
      </c>
      <c r="I641" s="256" t="s">
        <v>303</v>
      </c>
      <c r="J641" s="403" t="s">
        <v>5450</v>
      </c>
      <c r="K641" s="258">
        <v>43437.0</v>
      </c>
      <c r="L641" s="258">
        <v>43425.0</v>
      </c>
      <c r="M641" s="388"/>
      <c r="N641" s="333" t="s">
        <v>2034</v>
      </c>
      <c r="O641" s="310" t="s">
        <v>5451</v>
      </c>
      <c r="P641" s="268">
        <v>13381.2</v>
      </c>
      <c r="Q641" s="268"/>
      <c r="R641" s="320" t="s">
        <v>2036</v>
      </c>
      <c r="S641" s="768">
        <v>43470.0</v>
      </c>
      <c r="T641" s="769">
        <v>43424.0</v>
      </c>
      <c r="U641" s="765" t="s">
        <v>5452</v>
      </c>
      <c r="V641" s="770">
        <v>410870.0</v>
      </c>
      <c r="W641" s="769">
        <v>43469.0</v>
      </c>
      <c r="X641" s="765" t="s">
        <v>5453</v>
      </c>
      <c r="Y641" s="765" t="s">
        <v>5454</v>
      </c>
      <c r="Z641" s="765"/>
      <c r="AA641" s="765"/>
      <c r="AB641" s="765"/>
      <c r="AC641" s="253" t="s">
        <v>284</v>
      </c>
    </row>
    <row r="642" ht="15.75" hidden="1" customHeight="1">
      <c r="A642" s="776">
        <v>43361.0</v>
      </c>
      <c r="B642" s="597" t="s">
        <v>3729</v>
      </c>
      <c r="C642" s="765" t="s">
        <v>5448</v>
      </c>
      <c r="D642" s="265" t="s">
        <v>5455</v>
      </c>
      <c r="E642" s="765" t="s">
        <v>4478</v>
      </c>
      <c r="F642" s="253">
        <v>16.0</v>
      </c>
      <c r="G642" s="254">
        <v>172.0</v>
      </c>
      <c r="H642" s="267">
        <v>2752.0</v>
      </c>
      <c r="I642" s="256" t="s">
        <v>303</v>
      </c>
      <c r="J642" s="403" t="s">
        <v>5450</v>
      </c>
      <c r="K642" s="258">
        <v>43423.0</v>
      </c>
      <c r="L642" s="258">
        <v>43402.0</v>
      </c>
      <c r="M642" s="388"/>
      <c r="N642" s="333" t="s">
        <v>2034</v>
      </c>
      <c r="O642" s="310" t="s">
        <v>5451</v>
      </c>
      <c r="P642" s="268">
        <v>2486.4</v>
      </c>
      <c r="Q642" s="268"/>
      <c r="R642" s="320" t="s">
        <v>2036</v>
      </c>
      <c r="S642" s="768">
        <v>43470.0</v>
      </c>
      <c r="T642" s="769">
        <v>43399.0</v>
      </c>
      <c r="U642" s="765" t="s">
        <v>5456</v>
      </c>
      <c r="V642" s="770">
        <v>76755.0</v>
      </c>
      <c r="W642" s="769">
        <v>43469.0</v>
      </c>
      <c r="X642" s="765" t="s">
        <v>5457</v>
      </c>
      <c r="Y642" s="765">
        <v>7.563203734E9</v>
      </c>
      <c r="Z642" s="765"/>
      <c r="AA642" s="765"/>
      <c r="AB642" s="765"/>
      <c r="AC642" s="253" t="s">
        <v>284</v>
      </c>
    </row>
    <row r="643" ht="27.75" hidden="1" customHeight="1">
      <c r="A643" s="776">
        <v>43361.0</v>
      </c>
      <c r="B643" s="597" t="s">
        <v>406</v>
      </c>
      <c r="C643" s="765">
        <v>7.000141228E9</v>
      </c>
      <c r="D643" s="252" t="s">
        <v>5458</v>
      </c>
      <c r="E643" s="602" t="s">
        <v>5459</v>
      </c>
      <c r="F643" s="253">
        <v>1.0</v>
      </c>
      <c r="G643" s="254">
        <v>18.0</v>
      </c>
      <c r="H643" s="255">
        <f t="shared" ref="H643:H645" si="27">G643*F643</f>
        <v>18</v>
      </c>
      <c r="I643" s="256" t="s">
        <v>43</v>
      </c>
      <c r="J643" s="333" t="s">
        <v>4002</v>
      </c>
      <c r="K643" s="258">
        <v>43368.0</v>
      </c>
      <c r="L643" s="258">
        <v>43364.0</v>
      </c>
      <c r="M643" s="388"/>
      <c r="N643" s="333" t="s">
        <v>3840</v>
      </c>
      <c r="O643" s="252" t="s">
        <v>5460</v>
      </c>
      <c r="P643" s="598"/>
      <c r="Q643" s="310">
        <v>441.0</v>
      </c>
      <c r="R643" s="388" t="s">
        <v>3842</v>
      </c>
      <c r="S643" s="768">
        <v>43404.0</v>
      </c>
      <c r="T643" s="769">
        <v>43363.0</v>
      </c>
      <c r="U643" s="765" t="s">
        <v>5461</v>
      </c>
      <c r="V643" s="770">
        <v>17850.0</v>
      </c>
      <c r="W643" s="769">
        <v>43406.0</v>
      </c>
      <c r="X643" s="765" t="s">
        <v>5462</v>
      </c>
      <c r="Y643" s="765">
        <v>6.538323492E9</v>
      </c>
      <c r="Z643" s="765"/>
      <c r="AA643" s="765"/>
      <c r="AB643" s="765"/>
      <c r="AC643" s="253" t="s">
        <v>284</v>
      </c>
    </row>
    <row r="644" ht="15.75" hidden="1" customHeight="1">
      <c r="A644" s="776">
        <v>43361.0</v>
      </c>
      <c r="B644" s="597" t="s">
        <v>406</v>
      </c>
      <c r="C644" s="765">
        <v>7.000141228E9</v>
      </c>
      <c r="D644" s="252" t="s">
        <v>5458</v>
      </c>
      <c r="E644" s="602" t="s">
        <v>4966</v>
      </c>
      <c r="F644" s="253">
        <v>1.0</v>
      </c>
      <c r="G644" s="254">
        <v>548.0</v>
      </c>
      <c r="H644" s="255">
        <f t="shared" si="27"/>
        <v>548</v>
      </c>
      <c r="I644" s="256" t="s">
        <v>43</v>
      </c>
      <c r="J644" s="333" t="s">
        <v>4002</v>
      </c>
      <c r="K644" s="258">
        <v>43368.0</v>
      </c>
      <c r="L644" s="258">
        <v>43364.0</v>
      </c>
      <c r="M644" s="388"/>
      <c r="N644" s="333" t="s">
        <v>3840</v>
      </c>
      <c r="O644" s="252" t="s">
        <v>5460</v>
      </c>
      <c r="P644" s="598"/>
      <c r="Q644" s="579">
        <v>16275.0</v>
      </c>
      <c r="R644" s="388" t="s">
        <v>3842</v>
      </c>
      <c r="S644" s="768">
        <v>43404.0</v>
      </c>
      <c r="T644" s="769">
        <v>43363.0</v>
      </c>
      <c r="U644" s="765" t="s">
        <v>5461</v>
      </c>
      <c r="V644" s="765" t="s">
        <v>5463</v>
      </c>
      <c r="W644" s="769">
        <v>43406.0</v>
      </c>
      <c r="X644" s="765" t="s">
        <v>5462</v>
      </c>
      <c r="Y644" s="765">
        <v>6.538323492E9</v>
      </c>
      <c r="Z644" s="765"/>
      <c r="AA644" s="765"/>
      <c r="AB644" s="765"/>
      <c r="AC644" s="253" t="s">
        <v>284</v>
      </c>
    </row>
    <row r="645" ht="15.75" hidden="1" customHeight="1">
      <c r="A645" s="776">
        <v>43361.0</v>
      </c>
      <c r="B645" s="597" t="s">
        <v>406</v>
      </c>
      <c r="C645" s="765">
        <v>7.000141228E9</v>
      </c>
      <c r="D645" s="252" t="s">
        <v>5458</v>
      </c>
      <c r="E645" s="602" t="s">
        <v>4969</v>
      </c>
      <c r="F645" s="253">
        <v>1.0</v>
      </c>
      <c r="G645" s="254">
        <v>40.0</v>
      </c>
      <c r="H645" s="255">
        <f t="shared" si="27"/>
        <v>40</v>
      </c>
      <c r="I645" s="256" t="s">
        <v>43</v>
      </c>
      <c r="J645" s="333" t="s">
        <v>4002</v>
      </c>
      <c r="K645" s="258">
        <v>43368.0</v>
      </c>
      <c r="L645" s="258">
        <v>43364.0</v>
      </c>
      <c r="M645" s="388"/>
      <c r="N645" s="333" t="s">
        <v>3840</v>
      </c>
      <c r="O645" s="252" t="s">
        <v>5460</v>
      </c>
      <c r="P645" s="598"/>
      <c r="Q645" s="579">
        <v>1134.0</v>
      </c>
      <c r="R645" s="388" t="s">
        <v>3842</v>
      </c>
      <c r="S645" s="768">
        <v>43404.0</v>
      </c>
      <c r="T645" s="769">
        <v>43363.0</v>
      </c>
      <c r="U645" s="765" t="s">
        <v>5461</v>
      </c>
      <c r="V645" s="765" t="s">
        <v>5463</v>
      </c>
      <c r="W645" s="769">
        <v>43406.0</v>
      </c>
      <c r="X645" s="765" t="s">
        <v>5462</v>
      </c>
      <c r="Y645" s="765">
        <v>6.538323492E9</v>
      </c>
      <c r="Z645" s="765"/>
      <c r="AA645" s="765"/>
      <c r="AB645" s="765"/>
      <c r="AC645" s="253" t="s">
        <v>284</v>
      </c>
    </row>
    <row r="646" ht="15.75" hidden="1" customHeight="1">
      <c r="A646" s="776">
        <v>43361.0</v>
      </c>
      <c r="B646" s="597" t="s">
        <v>579</v>
      </c>
      <c r="C646" s="765">
        <v>2.0181005002E10</v>
      </c>
      <c r="D646" s="252" t="s">
        <v>5464</v>
      </c>
      <c r="E646" s="422" t="s">
        <v>5465</v>
      </c>
      <c r="F646" s="369">
        <v>1.0</v>
      </c>
      <c r="G646" s="254">
        <v>895.08</v>
      </c>
      <c r="H646" s="255">
        <f t="shared" ref="H646:H652" si="28">F646*G646</f>
        <v>895.08</v>
      </c>
      <c r="I646" s="256" t="s">
        <v>171</v>
      </c>
      <c r="J646" s="403" t="s">
        <v>1324</v>
      </c>
      <c r="K646" s="886">
        <v>43430.0</v>
      </c>
      <c r="L646" s="258">
        <v>43405.0</v>
      </c>
      <c r="M646" s="388"/>
      <c r="N646" s="333" t="s">
        <v>1439</v>
      </c>
      <c r="O646" s="310" t="s">
        <v>5466</v>
      </c>
      <c r="P646" s="598"/>
      <c r="Q646" s="579">
        <v>23568.0</v>
      </c>
      <c r="R646" s="320" t="s">
        <v>1976</v>
      </c>
      <c r="S646" s="768">
        <v>43465.0</v>
      </c>
      <c r="T646" s="842">
        <v>43404.0</v>
      </c>
      <c r="U646" s="765" t="s">
        <v>5467</v>
      </c>
      <c r="V646" s="770">
        <v>26332.0</v>
      </c>
      <c r="W646" s="769">
        <v>43469.0</v>
      </c>
      <c r="X646" s="765" t="s">
        <v>5468</v>
      </c>
      <c r="Y646" s="765"/>
      <c r="Z646" s="765"/>
      <c r="AA646" s="770">
        <v>49297.0</v>
      </c>
      <c r="AB646" s="765" t="s">
        <v>5469</v>
      </c>
      <c r="AC646" s="253" t="s">
        <v>377</v>
      </c>
    </row>
    <row r="647" ht="15.75" hidden="1" customHeight="1">
      <c r="A647" s="776">
        <v>43361.0</v>
      </c>
      <c r="B647" s="597" t="s">
        <v>579</v>
      </c>
      <c r="C647" s="765">
        <v>2.0181005002E10</v>
      </c>
      <c r="D647" s="252" t="s">
        <v>5470</v>
      </c>
      <c r="E647" s="422" t="s">
        <v>5471</v>
      </c>
      <c r="F647" s="369">
        <v>1.0</v>
      </c>
      <c r="G647" s="254">
        <v>245.11</v>
      </c>
      <c r="H647" s="255">
        <f t="shared" si="28"/>
        <v>245.11</v>
      </c>
      <c r="I647" s="256" t="s">
        <v>171</v>
      </c>
      <c r="J647" s="403" t="s">
        <v>1324</v>
      </c>
      <c r="K647" s="886">
        <v>43430.0</v>
      </c>
      <c r="L647" s="258">
        <v>43398.0</v>
      </c>
      <c r="M647" s="388"/>
      <c r="N647" s="333" t="s">
        <v>4641</v>
      </c>
      <c r="O647" s="310" t="s">
        <v>5472</v>
      </c>
      <c r="P647" s="268">
        <v>199.5</v>
      </c>
      <c r="Q647" s="330"/>
      <c r="R647" s="340" t="s">
        <v>47</v>
      </c>
      <c r="S647" s="768">
        <v>43426.0</v>
      </c>
      <c r="T647" s="769">
        <v>43396.0</v>
      </c>
      <c r="U647" s="765" t="s">
        <v>5473</v>
      </c>
      <c r="V647" s="770">
        <v>6169.0</v>
      </c>
      <c r="W647" s="771">
        <v>43419.0</v>
      </c>
      <c r="X647" s="765" t="s">
        <v>5468</v>
      </c>
      <c r="Y647" s="765"/>
      <c r="Z647" s="765"/>
      <c r="AA647" s="765" t="s">
        <v>5474</v>
      </c>
      <c r="AB647" s="765" t="s">
        <v>5469</v>
      </c>
      <c r="AC647" s="253" t="s">
        <v>377</v>
      </c>
    </row>
    <row r="648" ht="50.25" hidden="1" customHeight="1">
      <c r="A648" s="776">
        <v>43361.0</v>
      </c>
      <c r="B648" s="597" t="s">
        <v>579</v>
      </c>
      <c r="C648" s="765">
        <v>2.0181005002E10</v>
      </c>
      <c r="D648" s="252" t="s">
        <v>5470</v>
      </c>
      <c r="E648" s="422" t="s">
        <v>5475</v>
      </c>
      <c r="F648" s="369">
        <v>2.0</v>
      </c>
      <c r="G648" s="254">
        <v>58.52</v>
      </c>
      <c r="H648" s="255">
        <f t="shared" si="28"/>
        <v>117.04</v>
      </c>
      <c r="I648" s="256" t="s">
        <v>171</v>
      </c>
      <c r="J648" s="403" t="s">
        <v>1324</v>
      </c>
      <c r="K648" s="886">
        <v>43430.0</v>
      </c>
      <c r="L648" s="258">
        <v>43398.0</v>
      </c>
      <c r="M648" s="388"/>
      <c r="N648" s="369" t="s">
        <v>5046</v>
      </c>
      <c r="O648" s="310" t="s">
        <v>5476</v>
      </c>
      <c r="P648" s="268">
        <v>88.2</v>
      </c>
      <c r="Q648" s="330"/>
      <c r="R648" s="578" t="s">
        <v>5477</v>
      </c>
      <c r="S648" s="768">
        <v>43427.0</v>
      </c>
      <c r="T648" s="769">
        <v>43396.0</v>
      </c>
      <c r="U648" s="765" t="s">
        <v>5478</v>
      </c>
      <c r="V648" s="770">
        <v>2727.0</v>
      </c>
      <c r="W648" s="771">
        <v>43410.0</v>
      </c>
      <c r="X648" s="765" t="s">
        <v>5468</v>
      </c>
      <c r="Y648" s="765"/>
      <c r="Z648" s="765"/>
      <c r="AA648" s="765" t="s">
        <v>5474</v>
      </c>
      <c r="AB648" s="765" t="s">
        <v>5469</v>
      </c>
      <c r="AC648" s="253" t="s">
        <v>377</v>
      </c>
    </row>
    <row r="649" ht="15.75" hidden="1" customHeight="1">
      <c r="A649" s="776">
        <v>43361.0</v>
      </c>
      <c r="B649" s="597" t="s">
        <v>579</v>
      </c>
      <c r="C649" s="765">
        <v>2.0181005002E10</v>
      </c>
      <c r="D649" s="252" t="s">
        <v>5470</v>
      </c>
      <c r="E649" s="422" t="s">
        <v>5479</v>
      </c>
      <c r="F649" s="369">
        <v>1.0</v>
      </c>
      <c r="G649" s="254">
        <v>61.28</v>
      </c>
      <c r="H649" s="255">
        <f t="shared" si="28"/>
        <v>61.28</v>
      </c>
      <c r="I649" s="256" t="s">
        <v>171</v>
      </c>
      <c r="J649" s="403" t="s">
        <v>1324</v>
      </c>
      <c r="K649" s="886">
        <v>43430.0</v>
      </c>
      <c r="L649" s="258">
        <v>43402.0</v>
      </c>
      <c r="M649" s="388"/>
      <c r="N649" s="333" t="s">
        <v>5480</v>
      </c>
      <c r="O649" s="310" t="s">
        <v>5481</v>
      </c>
      <c r="P649" s="598"/>
      <c r="Q649" s="579">
        <v>1365.0</v>
      </c>
      <c r="R649" s="604" t="s">
        <v>5482</v>
      </c>
      <c r="S649" s="792"/>
      <c r="T649" s="769">
        <v>43398.0</v>
      </c>
      <c r="U649" s="765" t="s">
        <v>5483</v>
      </c>
      <c r="V649" s="770">
        <v>1365.0</v>
      </c>
      <c r="W649" s="769">
        <v>43397.0</v>
      </c>
      <c r="X649" s="765" t="s">
        <v>5468</v>
      </c>
      <c r="Y649" s="765"/>
      <c r="Z649" s="765"/>
      <c r="AA649" s="765" t="s">
        <v>5474</v>
      </c>
      <c r="AB649" s="765" t="s">
        <v>5469</v>
      </c>
      <c r="AC649" s="253" t="s">
        <v>377</v>
      </c>
    </row>
    <row r="650" ht="15.75" hidden="1" customHeight="1">
      <c r="A650" s="776">
        <v>43361.0</v>
      </c>
      <c r="B650" s="597" t="s">
        <v>579</v>
      </c>
      <c r="C650" s="765">
        <v>2.0181005002E10</v>
      </c>
      <c r="D650" s="252" t="s">
        <v>5464</v>
      </c>
      <c r="E650" s="422" t="s">
        <v>5484</v>
      </c>
      <c r="F650" s="369">
        <v>1.0</v>
      </c>
      <c r="G650" s="254">
        <v>34.43</v>
      </c>
      <c r="H650" s="255">
        <f t="shared" si="28"/>
        <v>34.43</v>
      </c>
      <c r="I650" s="256" t="s">
        <v>171</v>
      </c>
      <c r="J650" s="403" t="s">
        <v>1324</v>
      </c>
      <c r="K650" s="886">
        <v>43430.0</v>
      </c>
      <c r="L650" s="258">
        <v>43398.0</v>
      </c>
      <c r="M650" s="388"/>
      <c r="N650" s="333" t="s">
        <v>2170</v>
      </c>
      <c r="O650" s="310" t="s">
        <v>3122</v>
      </c>
      <c r="P650" s="598"/>
      <c r="Q650" s="310">
        <v>788.0</v>
      </c>
      <c r="R650" s="340" t="s">
        <v>5485</v>
      </c>
      <c r="S650" s="792"/>
      <c r="T650" s="769">
        <v>43396.0</v>
      </c>
      <c r="U650" s="765" t="s">
        <v>5486</v>
      </c>
      <c r="V650" s="765">
        <v>788.0</v>
      </c>
      <c r="W650" s="769">
        <v>43411.0</v>
      </c>
      <c r="X650" s="765" t="s">
        <v>5468</v>
      </c>
      <c r="Y650" s="765"/>
      <c r="Z650" s="765"/>
      <c r="AA650" s="765" t="s">
        <v>5474</v>
      </c>
      <c r="AB650" s="765" t="s">
        <v>5469</v>
      </c>
      <c r="AC650" s="253" t="s">
        <v>377</v>
      </c>
    </row>
    <row r="651" ht="15.75" hidden="1" customHeight="1">
      <c r="A651" s="776">
        <v>43361.0</v>
      </c>
      <c r="B651" s="597" t="s">
        <v>579</v>
      </c>
      <c r="C651" s="765">
        <v>2.0181005002E10</v>
      </c>
      <c r="D651" s="252" t="s">
        <v>5470</v>
      </c>
      <c r="E651" s="422" t="s">
        <v>5487</v>
      </c>
      <c r="F651" s="369">
        <v>1.0</v>
      </c>
      <c r="G651" s="254">
        <v>106.72</v>
      </c>
      <c r="H651" s="255">
        <f t="shared" si="28"/>
        <v>106.72</v>
      </c>
      <c r="I651" s="256" t="s">
        <v>171</v>
      </c>
      <c r="J651" s="403" t="s">
        <v>1324</v>
      </c>
      <c r="K651" s="886">
        <v>43430.0</v>
      </c>
      <c r="L651" s="258">
        <v>43405.0</v>
      </c>
      <c r="M651" s="388"/>
      <c r="N651" s="333" t="s">
        <v>1439</v>
      </c>
      <c r="O651" s="310" t="s">
        <v>5466</v>
      </c>
      <c r="P651" s="598"/>
      <c r="Q651" s="579">
        <v>2764.0</v>
      </c>
      <c r="R651" s="320" t="s">
        <v>1976</v>
      </c>
      <c r="S651" s="768">
        <v>43465.0</v>
      </c>
      <c r="T651" s="842">
        <v>43404.0</v>
      </c>
      <c r="U651" s="765" t="s">
        <v>5467</v>
      </c>
      <c r="V651" s="765" t="s">
        <v>5488</v>
      </c>
      <c r="W651" s="769">
        <v>43469.0</v>
      </c>
      <c r="X651" s="765" t="s">
        <v>5468</v>
      </c>
      <c r="Y651" s="765"/>
      <c r="Z651" s="765"/>
      <c r="AA651" s="765" t="s">
        <v>5474</v>
      </c>
      <c r="AB651" s="765" t="s">
        <v>5469</v>
      </c>
      <c r="AC651" s="253" t="s">
        <v>377</v>
      </c>
    </row>
    <row r="652" ht="15.75" hidden="1" customHeight="1">
      <c r="A652" s="776">
        <v>43361.0</v>
      </c>
      <c r="B652" s="597" t="s">
        <v>579</v>
      </c>
      <c r="C652" s="765">
        <v>2.0181005002E10</v>
      </c>
      <c r="D652" s="252" t="s">
        <v>5489</v>
      </c>
      <c r="E652" s="602" t="s">
        <v>5490</v>
      </c>
      <c r="F652" s="369">
        <v>1.0</v>
      </c>
      <c r="G652" s="254">
        <v>156.64</v>
      </c>
      <c r="H652" s="255">
        <f t="shared" si="28"/>
        <v>156.64</v>
      </c>
      <c r="I652" s="256" t="s">
        <v>171</v>
      </c>
      <c r="J652" s="403" t="s">
        <v>1324</v>
      </c>
      <c r="K652" s="886">
        <v>43430.0</v>
      </c>
      <c r="L652" s="258">
        <v>43412.0</v>
      </c>
      <c r="M652" s="388"/>
      <c r="N652" s="333" t="s">
        <v>3775</v>
      </c>
      <c r="O652" s="310" t="s">
        <v>5491</v>
      </c>
      <c r="P652" s="267">
        <v>136.5</v>
      </c>
      <c r="Q652" s="887"/>
      <c r="R652" s="604" t="s">
        <v>2207</v>
      </c>
      <c r="S652" s="768">
        <v>43465.0</v>
      </c>
      <c r="T652" s="769">
        <v>43402.0</v>
      </c>
      <c r="U652" s="765" t="s">
        <v>5492</v>
      </c>
      <c r="V652" s="770">
        <v>8462.0</v>
      </c>
      <c r="W652" s="769">
        <v>43467.0</v>
      </c>
      <c r="X652" s="765" t="s">
        <v>5468</v>
      </c>
      <c r="Y652" s="765"/>
      <c r="Z652" s="765"/>
      <c r="AA652" s="765" t="s">
        <v>5474</v>
      </c>
      <c r="AB652" s="765" t="s">
        <v>5469</v>
      </c>
      <c r="AC652" s="253" t="s">
        <v>377</v>
      </c>
    </row>
    <row r="653" ht="15.75" hidden="1" customHeight="1">
      <c r="A653" s="764">
        <v>43362.0</v>
      </c>
      <c r="B653" s="265" t="s">
        <v>119</v>
      </c>
      <c r="C653" s="765" t="s">
        <v>5493</v>
      </c>
      <c r="D653" s="252" t="s">
        <v>5494</v>
      </c>
      <c r="E653" s="252" t="s">
        <v>161</v>
      </c>
      <c r="F653" s="369">
        <v>10.0</v>
      </c>
      <c r="G653" s="254">
        <v>485.0</v>
      </c>
      <c r="H653" s="255">
        <f t="shared" ref="H653:H659" si="29">G653*F653</f>
        <v>4850</v>
      </c>
      <c r="I653" s="256" t="s">
        <v>171</v>
      </c>
      <c r="J653" s="428" t="s">
        <v>122</v>
      </c>
      <c r="K653" s="258">
        <v>43396.0</v>
      </c>
      <c r="L653" s="258">
        <v>43389.0</v>
      </c>
      <c r="M653" s="388"/>
      <c r="N653" s="333" t="s">
        <v>90</v>
      </c>
      <c r="O653" s="310" t="s">
        <v>5495</v>
      </c>
      <c r="P653" s="268">
        <v>4200.0</v>
      </c>
      <c r="Q653" s="330"/>
      <c r="R653" s="340" t="s">
        <v>94</v>
      </c>
      <c r="S653" s="768">
        <v>43434.0</v>
      </c>
      <c r="T653" s="771">
        <v>43388.0</v>
      </c>
      <c r="U653" s="252" t="s">
        <v>5496</v>
      </c>
      <c r="V653" s="774">
        <v>486322.0</v>
      </c>
      <c r="W653" s="769">
        <v>43440.0</v>
      </c>
      <c r="X653" s="252" t="s">
        <v>5497</v>
      </c>
      <c r="Y653" s="765" t="s">
        <v>5498</v>
      </c>
      <c r="Z653" s="765"/>
      <c r="AA653" s="765"/>
      <c r="AB653" s="765"/>
      <c r="AC653" s="266" t="s">
        <v>284</v>
      </c>
    </row>
    <row r="654" ht="15.75" hidden="1" customHeight="1">
      <c r="A654" s="764">
        <v>43362.0</v>
      </c>
      <c r="B654" s="265" t="s">
        <v>119</v>
      </c>
      <c r="C654" s="765" t="s">
        <v>5493</v>
      </c>
      <c r="D654" s="252" t="s">
        <v>5494</v>
      </c>
      <c r="E654" s="252" t="s">
        <v>5003</v>
      </c>
      <c r="F654" s="369">
        <v>10.0</v>
      </c>
      <c r="G654" s="267">
        <v>173.0</v>
      </c>
      <c r="H654" s="255">
        <f t="shared" si="29"/>
        <v>1730</v>
      </c>
      <c r="I654" s="256" t="s">
        <v>171</v>
      </c>
      <c r="J654" s="428" t="s">
        <v>122</v>
      </c>
      <c r="K654" s="258">
        <v>43396.0</v>
      </c>
      <c r="L654" s="258">
        <v>43389.0</v>
      </c>
      <c r="M654" s="388"/>
      <c r="N654" s="333" t="s">
        <v>90</v>
      </c>
      <c r="O654" s="310" t="s">
        <v>5495</v>
      </c>
      <c r="P654" s="268">
        <v>1554.0</v>
      </c>
      <c r="Q654" s="330"/>
      <c r="R654" s="340" t="s">
        <v>94</v>
      </c>
      <c r="S654" s="768">
        <v>43434.0</v>
      </c>
      <c r="T654" s="771">
        <v>43388.0</v>
      </c>
      <c r="U654" s="252" t="s">
        <v>5496</v>
      </c>
      <c r="V654" s="252" t="s">
        <v>5499</v>
      </c>
      <c r="W654" s="769">
        <v>43440.0</v>
      </c>
      <c r="X654" s="252" t="s">
        <v>5497</v>
      </c>
      <c r="Y654" s="765" t="s">
        <v>5498</v>
      </c>
      <c r="Z654" s="765"/>
      <c r="AA654" s="765"/>
      <c r="AB654" s="765"/>
      <c r="AC654" s="266" t="s">
        <v>284</v>
      </c>
    </row>
    <row r="655" ht="15.75" hidden="1" customHeight="1">
      <c r="A655" s="764">
        <v>43362.0</v>
      </c>
      <c r="B655" s="265" t="s">
        <v>119</v>
      </c>
      <c r="C655" s="765" t="s">
        <v>5493</v>
      </c>
      <c r="D655" s="252" t="s">
        <v>5494</v>
      </c>
      <c r="E655" s="252" t="s">
        <v>162</v>
      </c>
      <c r="F655" s="369">
        <v>15.0</v>
      </c>
      <c r="G655" s="267">
        <v>893.0</v>
      </c>
      <c r="H655" s="255">
        <f t="shared" si="29"/>
        <v>13395</v>
      </c>
      <c r="I655" s="256" t="s">
        <v>171</v>
      </c>
      <c r="J655" s="428" t="s">
        <v>122</v>
      </c>
      <c r="K655" s="258">
        <v>43396.0</v>
      </c>
      <c r="L655" s="258">
        <v>43389.0</v>
      </c>
      <c r="M655" s="388"/>
      <c r="N655" s="333" t="s">
        <v>90</v>
      </c>
      <c r="O655" s="310" t="s">
        <v>5495</v>
      </c>
      <c r="P655" s="268">
        <v>10048.5</v>
      </c>
      <c r="Q655" s="330"/>
      <c r="R655" s="340" t="s">
        <v>94</v>
      </c>
      <c r="S655" s="768">
        <v>43434.0</v>
      </c>
      <c r="T655" s="771">
        <v>43388.0</v>
      </c>
      <c r="U655" s="252" t="s">
        <v>5496</v>
      </c>
      <c r="V655" s="252" t="s">
        <v>5499</v>
      </c>
      <c r="W655" s="769">
        <v>43440.0</v>
      </c>
      <c r="X655" s="252" t="s">
        <v>5497</v>
      </c>
      <c r="Y655" s="765" t="s">
        <v>5498</v>
      </c>
      <c r="Z655" s="765"/>
      <c r="AA655" s="765"/>
      <c r="AB655" s="765"/>
      <c r="AC655" s="266" t="s">
        <v>284</v>
      </c>
    </row>
    <row r="656" ht="15.75" hidden="1" customHeight="1">
      <c r="A656" s="796">
        <v>43363.0</v>
      </c>
      <c r="B656" s="804" t="s">
        <v>4441</v>
      </c>
      <c r="C656" s="789" t="s">
        <v>0</v>
      </c>
      <c r="D656" s="277" t="s">
        <v>5500</v>
      </c>
      <c r="E656" s="821" t="s">
        <v>4633</v>
      </c>
      <c r="F656" s="888">
        <v>0.0</v>
      </c>
      <c r="G656" s="280">
        <v>762.0</v>
      </c>
      <c r="H656" s="805">
        <f t="shared" si="29"/>
        <v>0</v>
      </c>
      <c r="I656" s="855" t="s">
        <v>303</v>
      </c>
      <c r="J656" s="283" t="s">
        <v>4634</v>
      </c>
      <c r="K656" s="860" t="s">
        <v>71</v>
      </c>
      <c r="L656" s="593"/>
      <c r="M656" s="388"/>
      <c r="N656" s="333" t="s">
        <v>0</v>
      </c>
      <c r="O656" s="310"/>
      <c r="P656" s="598"/>
      <c r="Q656" s="330"/>
      <c r="R656" s="310"/>
      <c r="S656" s="330"/>
      <c r="T656" s="766"/>
      <c r="U656" s="766"/>
      <c r="V656" s="766"/>
      <c r="W656" s="767"/>
      <c r="X656" s="766"/>
      <c r="Y656" s="765"/>
      <c r="Z656" s="765"/>
      <c r="AA656" s="765"/>
      <c r="AB656" s="765"/>
      <c r="AC656" s="253" t="s">
        <v>3617</v>
      </c>
    </row>
    <row r="657" ht="15.75" hidden="1" customHeight="1">
      <c r="A657" s="796">
        <v>43363.0</v>
      </c>
      <c r="B657" s="804" t="s">
        <v>4441</v>
      </c>
      <c r="C657" s="789" t="s">
        <v>0</v>
      </c>
      <c r="D657" s="277" t="s">
        <v>5500</v>
      </c>
      <c r="E657" s="821" t="s">
        <v>4640</v>
      </c>
      <c r="F657" s="888">
        <v>0.0</v>
      </c>
      <c r="G657" s="280">
        <v>200.0</v>
      </c>
      <c r="H657" s="805">
        <f t="shared" si="29"/>
        <v>0</v>
      </c>
      <c r="I657" s="855" t="s">
        <v>303</v>
      </c>
      <c r="J657" s="283" t="s">
        <v>4634</v>
      </c>
      <c r="K657" s="860" t="s">
        <v>71</v>
      </c>
      <c r="L657" s="630"/>
      <c r="M657" s="388"/>
      <c r="N657" s="333" t="s">
        <v>0</v>
      </c>
      <c r="O657" s="310"/>
      <c r="P657" s="598"/>
      <c r="Q657" s="330"/>
      <c r="R657" s="310"/>
      <c r="S657" s="330"/>
      <c r="T657" s="766"/>
      <c r="U657" s="766"/>
      <c r="V657" s="766"/>
      <c r="W657" s="767"/>
      <c r="X657" s="766"/>
      <c r="Y657" s="765"/>
      <c r="Z657" s="765"/>
      <c r="AA657" s="765"/>
      <c r="AB657" s="765"/>
      <c r="AC657" s="253" t="s">
        <v>3617</v>
      </c>
    </row>
    <row r="658" ht="15.75" hidden="1" customHeight="1">
      <c r="A658" s="796">
        <v>43363.0</v>
      </c>
      <c r="B658" s="804" t="s">
        <v>4441</v>
      </c>
      <c r="C658" s="789" t="s">
        <v>0</v>
      </c>
      <c r="D658" s="277" t="s">
        <v>5500</v>
      </c>
      <c r="E658" s="821" t="s">
        <v>4506</v>
      </c>
      <c r="F658" s="279">
        <v>0.0</v>
      </c>
      <c r="G658" s="280">
        <v>90.0</v>
      </c>
      <c r="H658" s="805">
        <f t="shared" si="29"/>
        <v>0</v>
      </c>
      <c r="I658" s="855" t="s">
        <v>303</v>
      </c>
      <c r="J658" s="283" t="s">
        <v>4634</v>
      </c>
      <c r="K658" s="860" t="s">
        <v>71</v>
      </c>
      <c r="L658" s="593"/>
      <c r="M658" s="388"/>
      <c r="N658" s="333" t="s">
        <v>0</v>
      </c>
      <c r="O658" s="310"/>
      <c r="P658" s="598"/>
      <c r="Q658" s="330"/>
      <c r="R658" s="310"/>
      <c r="S658" s="330"/>
      <c r="T658" s="766"/>
      <c r="U658" s="766"/>
      <c r="V658" s="766"/>
      <c r="W658" s="767"/>
      <c r="X658" s="766"/>
      <c r="Y658" s="765"/>
      <c r="Z658" s="765"/>
      <c r="AA658" s="765"/>
      <c r="AB658" s="765"/>
      <c r="AC658" s="253" t="s">
        <v>3617</v>
      </c>
    </row>
    <row r="659" ht="15.75" hidden="1" customHeight="1">
      <c r="A659" s="776">
        <v>43364.0</v>
      </c>
      <c r="B659" s="597" t="s">
        <v>406</v>
      </c>
      <c r="C659" s="765">
        <v>7.000141288E9</v>
      </c>
      <c r="D659" s="252" t="s">
        <v>5501</v>
      </c>
      <c r="E659" s="602" t="s">
        <v>958</v>
      </c>
      <c r="F659" s="253">
        <v>6.0</v>
      </c>
      <c r="G659" s="254">
        <v>74.0</v>
      </c>
      <c r="H659" s="255">
        <f t="shared" si="29"/>
        <v>444</v>
      </c>
      <c r="I659" s="256" t="s">
        <v>43</v>
      </c>
      <c r="J659" s="333" t="s">
        <v>4002</v>
      </c>
      <c r="K659" s="258">
        <v>43375.0</v>
      </c>
      <c r="L659" s="258">
        <v>43370.0</v>
      </c>
      <c r="M659" s="388"/>
      <c r="N659" s="333" t="s">
        <v>3593</v>
      </c>
      <c r="O659" s="252" t="s">
        <v>5502</v>
      </c>
      <c r="P659" s="598"/>
      <c r="Q659" s="579">
        <v>12304.0</v>
      </c>
      <c r="R659" s="310" t="s">
        <v>2080</v>
      </c>
      <c r="S659" s="768">
        <v>43465.0</v>
      </c>
      <c r="T659" s="769">
        <v>43370.0</v>
      </c>
      <c r="U659" s="765" t="s">
        <v>5503</v>
      </c>
      <c r="V659" s="770">
        <v>12304.0</v>
      </c>
      <c r="W659" s="769">
        <v>43467.0</v>
      </c>
      <c r="X659" s="765" t="s">
        <v>5419</v>
      </c>
      <c r="Y659" s="765">
        <v>3.218406472E9</v>
      </c>
      <c r="Z659" s="765"/>
      <c r="AA659" s="765"/>
      <c r="AB659" s="765"/>
      <c r="AC659" s="253" t="s">
        <v>284</v>
      </c>
    </row>
    <row r="660" ht="15.75" hidden="1" customHeight="1">
      <c r="A660" s="764">
        <v>43364.0</v>
      </c>
      <c r="B660" s="597" t="s">
        <v>579</v>
      </c>
      <c r="C660" s="765">
        <v>2.0181005002E10</v>
      </c>
      <c r="D660" s="252" t="s">
        <v>5504</v>
      </c>
      <c r="E660" s="422" t="s">
        <v>5505</v>
      </c>
      <c r="F660" s="253">
        <v>1.0</v>
      </c>
      <c r="G660" s="254">
        <v>361.48</v>
      </c>
      <c r="H660" s="255">
        <f t="shared" ref="H660:H670" si="30">F660*G660</f>
        <v>361.48</v>
      </c>
      <c r="I660" s="256" t="s">
        <v>171</v>
      </c>
      <c r="J660" s="403" t="s">
        <v>1324</v>
      </c>
      <c r="K660" s="886">
        <v>43430.0</v>
      </c>
      <c r="L660" s="258">
        <v>43404.0</v>
      </c>
      <c r="M660" s="388"/>
      <c r="N660" s="403" t="s">
        <v>1998</v>
      </c>
      <c r="O660" s="310" t="s">
        <v>5506</v>
      </c>
      <c r="P660" s="268">
        <v>262.5</v>
      </c>
      <c r="Q660" s="330"/>
      <c r="R660" s="310" t="s">
        <v>2000</v>
      </c>
      <c r="S660" s="768">
        <v>43105.0</v>
      </c>
      <c r="T660" s="771">
        <v>43403.0</v>
      </c>
      <c r="U660" s="252" t="s">
        <v>5507</v>
      </c>
      <c r="V660" s="774">
        <v>8135.0</v>
      </c>
      <c r="W660" s="769">
        <v>43469.0</v>
      </c>
      <c r="X660" s="765" t="s">
        <v>5508</v>
      </c>
      <c r="Y660" s="765"/>
      <c r="Z660" s="765"/>
      <c r="AA660" s="770">
        <v>56668.0</v>
      </c>
      <c r="AB660" s="765" t="s">
        <v>5469</v>
      </c>
      <c r="AC660" s="253" t="s">
        <v>377</v>
      </c>
    </row>
    <row r="661" ht="15.75" hidden="1" customHeight="1">
      <c r="A661" s="764">
        <v>43364.0</v>
      </c>
      <c r="B661" s="597" t="s">
        <v>579</v>
      </c>
      <c r="C661" s="765">
        <v>2.0181005002E10</v>
      </c>
      <c r="D661" s="252" t="s">
        <v>5504</v>
      </c>
      <c r="E661" s="422" t="s">
        <v>5509</v>
      </c>
      <c r="F661" s="253">
        <v>1.0</v>
      </c>
      <c r="G661" s="254">
        <v>380.41</v>
      </c>
      <c r="H661" s="255">
        <f t="shared" si="30"/>
        <v>380.41</v>
      </c>
      <c r="I661" s="256" t="s">
        <v>171</v>
      </c>
      <c r="J661" s="403" t="s">
        <v>1324</v>
      </c>
      <c r="K661" s="886">
        <v>43430.0</v>
      </c>
      <c r="L661" s="258">
        <v>43399.0</v>
      </c>
      <c r="M661" s="388"/>
      <c r="N661" s="333" t="s">
        <v>2129</v>
      </c>
      <c r="O661" s="310" t="s">
        <v>5510</v>
      </c>
      <c r="P661" s="268">
        <v>304.5</v>
      </c>
      <c r="Q661" s="596"/>
      <c r="R661" s="340" t="s">
        <v>47</v>
      </c>
      <c r="S661" s="768">
        <v>43430.0</v>
      </c>
      <c r="T661" s="769">
        <v>43399.0</v>
      </c>
      <c r="U661" s="765" t="s">
        <v>5511</v>
      </c>
      <c r="V661" s="770">
        <v>9424.0</v>
      </c>
      <c r="W661" s="769">
        <v>43445.0</v>
      </c>
      <c r="X661" s="765" t="s">
        <v>5508</v>
      </c>
      <c r="Y661" s="889"/>
      <c r="Z661" s="765"/>
      <c r="AA661" s="765" t="s">
        <v>5512</v>
      </c>
      <c r="AB661" s="765" t="s">
        <v>5469</v>
      </c>
      <c r="AC661" s="253" t="s">
        <v>377</v>
      </c>
    </row>
    <row r="662" ht="52.5" hidden="1" customHeight="1">
      <c r="A662" s="764">
        <v>43364.0</v>
      </c>
      <c r="B662" s="597" t="s">
        <v>579</v>
      </c>
      <c r="C662" s="765">
        <v>2.0181005002E10</v>
      </c>
      <c r="D662" s="252" t="s">
        <v>5504</v>
      </c>
      <c r="E662" s="422" t="s">
        <v>5513</v>
      </c>
      <c r="F662" s="253">
        <v>2.0</v>
      </c>
      <c r="G662" s="254">
        <v>105.69</v>
      </c>
      <c r="H662" s="255">
        <f t="shared" si="30"/>
        <v>211.38</v>
      </c>
      <c r="I662" s="256" t="s">
        <v>171</v>
      </c>
      <c r="J662" s="403"/>
      <c r="K662" s="886">
        <v>43430.0</v>
      </c>
      <c r="L662" s="258">
        <v>43404.0</v>
      </c>
      <c r="M662" s="388"/>
      <c r="N662" s="369" t="s">
        <v>1981</v>
      </c>
      <c r="O662" s="310" t="s">
        <v>5514</v>
      </c>
      <c r="P662" s="598"/>
      <c r="Q662" s="579">
        <v>4929.0</v>
      </c>
      <c r="R662" s="578" t="s">
        <v>5477</v>
      </c>
      <c r="S662" s="768">
        <v>43439.0</v>
      </c>
      <c r="T662" s="769">
        <v>43399.0</v>
      </c>
      <c r="U662" s="765" t="s">
        <v>5515</v>
      </c>
      <c r="V662" s="770">
        <v>4929.0</v>
      </c>
      <c r="W662" s="769">
        <v>43445.0</v>
      </c>
      <c r="X662" s="765" t="s">
        <v>5508</v>
      </c>
      <c r="Y662" s="889"/>
      <c r="Z662" s="765"/>
      <c r="AA662" s="765" t="s">
        <v>5512</v>
      </c>
      <c r="AB662" s="765" t="s">
        <v>5469</v>
      </c>
      <c r="AC662" s="253" t="s">
        <v>377</v>
      </c>
    </row>
    <row r="663" ht="15.75" hidden="1" customHeight="1">
      <c r="A663" s="764">
        <v>43364.0</v>
      </c>
      <c r="B663" s="597" t="s">
        <v>579</v>
      </c>
      <c r="C663" s="765">
        <v>2.0181005002E10</v>
      </c>
      <c r="D663" s="252" t="s">
        <v>5504</v>
      </c>
      <c r="E663" s="422" t="s">
        <v>5516</v>
      </c>
      <c r="F663" s="253">
        <v>1.0</v>
      </c>
      <c r="G663" s="254">
        <v>72.64</v>
      </c>
      <c r="H663" s="255">
        <f t="shared" si="30"/>
        <v>72.64</v>
      </c>
      <c r="I663" s="256" t="s">
        <v>171</v>
      </c>
      <c r="J663" s="403" t="s">
        <v>1324</v>
      </c>
      <c r="K663" s="886">
        <v>43430.0</v>
      </c>
      <c r="L663" s="258">
        <v>43402.0</v>
      </c>
      <c r="M663" s="388"/>
      <c r="N663" s="333" t="s">
        <v>5517</v>
      </c>
      <c r="O663" s="815" t="s">
        <v>5518</v>
      </c>
      <c r="P663" s="598"/>
      <c r="Q663" s="579">
        <v>1890.0</v>
      </c>
      <c r="R663" s="604" t="s">
        <v>5482</v>
      </c>
      <c r="S663" s="792"/>
      <c r="T663" s="769">
        <v>43398.0</v>
      </c>
      <c r="U663" s="765" t="s">
        <v>5519</v>
      </c>
      <c r="V663" s="770">
        <v>5565.0</v>
      </c>
      <c r="W663" s="769">
        <v>43397.0</v>
      </c>
      <c r="X663" s="765" t="s">
        <v>5508</v>
      </c>
      <c r="Y663" s="889"/>
      <c r="Z663" s="765"/>
      <c r="AA663" s="765" t="s">
        <v>5512</v>
      </c>
      <c r="AB663" s="765" t="s">
        <v>5469</v>
      </c>
      <c r="AC663" s="253" t="s">
        <v>377</v>
      </c>
    </row>
    <row r="664" ht="15.75" hidden="1" customHeight="1">
      <c r="A664" s="764">
        <v>43364.0</v>
      </c>
      <c r="B664" s="597" t="s">
        <v>579</v>
      </c>
      <c r="C664" s="765">
        <v>2.0181005002E10</v>
      </c>
      <c r="D664" s="252" t="s">
        <v>5504</v>
      </c>
      <c r="E664" s="422" t="s">
        <v>5520</v>
      </c>
      <c r="F664" s="253">
        <v>1.0</v>
      </c>
      <c r="G664" s="254">
        <v>141.84</v>
      </c>
      <c r="H664" s="255">
        <f t="shared" si="30"/>
        <v>141.84</v>
      </c>
      <c r="I664" s="256" t="s">
        <v>171</v>
      </c>
      <c r="J664" s="403" t="s">
        <v>1324</v>
      </c>
      <c r="K664" s="886">
        <v>43430.0</v>
      </c>
      <c r="L664" s="258">
        <v>43402.0</v>
      </c>
      <c r="M664" s="388"/>
      <c r="N664" s="333" t="s">
        <v>5517</v>
      </c>
      <c r="O664" s="815" t="s">
        <v>5518</v>
      </c>
      <c r="P664" s="598"/>
      <c r="Q664" s="579">
        <v>3675.0</v>
      </c>
      <c r="R664" s="604" t="s">
        <v>5482</v>
      </c>
      <c r="S664" s="792"/>
      <c r="T664" s="769">
        <v>43398.0</v>
      </c>
      <c r="U664" s="765" t="s">
        <v>5519</v>
      </c>
      <c r="V664" s="770" t="s">
        <v>5521</v>
      </c>
      <c r="W664" s="769">
        <v>43397.0</v>
      </c>
      <c r="X664" s="765" t="s">
        <v>5508</v>
      </c>
      <c r="Y664" s="889"/>
      <c r="Z664" s="765"/>
      <c r="AA664" s="765" t="s">
        <v>5512</v>
      </c>
      <c r="AB664" s="765" t="s">
        <v>5469</v>
      </c>
      <c r="AC664" s="253" t="s">
        <v>377</v>
      </c>
    </row>
    <row r="665" ht="15.75" hidden="1" customHeight="1">
      <c r="A665" s="764">
        <v>43364.0</v>
      </c>
      <c r="B665" s="597" t="s">
        <v>579</v>
      </c>
      <c r="C665" s="765">
        <v>2.0181005002E10</v>
      </c>
      <c r="D665" s="252" t="s">
        <v>5504</v>
      </c>
      <c r="E665" s="422" t="s">
        <v>5522</v>
      </c>
      <c r="F665" s="253">
        <v>1.0</v>
      </c>
      <c r="G665" s="254">
        <v>105.0</v>
      </c>
      <c r="H665" s="255">
        <f t="shared" si="30"/>
        <v>105</v>
      </c>
      <c r="I665" s="256" t="s">
        <v>171</v>
      </c>
      <c r="J665" s="403" t="s">
        <v>1324</v>
      </c>
      <c r="K665" s="886">
        <v>43430.0</v>
      </c>
      <c r="L665" s="258">
        <v>43419.0</v>
      </c>
      <c r="M665" s="388"/>
      <c r="N665" s="333" t="s">
        <v>5523</v>
      </c>
      <c r="O665" s="252"/>
      <c r="P665" s="598"/>
      <c r="Q665" s="579">
        <v>2650.0</v>
      </c>
      <c r="R665" s="310" t="s">
        <v>5524</v>
      </c>
      <c r="S665" s="768">
        <v>43417.0</v>
      </c>
      <c r="T665" s="769">
        <v>43418.0</v>
      </c>
      <c r="U665" s="765" t="s">
        <v>5525</v>
      </c>
      <c r="V665" s="770">
        <v>2650.0</v>
      </c>
      <c r="W665" s="771">
        <v>43417.0</v>
      </c>
      <c r="X665" s="765" t="s">
        <v>5508</v>
      </c>
      <c r="Y665" s="889"/>
      <c r="Z665" s="765"/>
      <c r="AA665" s="765" t="s">
        <v>5512</v>
      </c>
      <c r="AB665" s="765" t="s">
        <v>5469</v>
      </c>
      <c r="AC665" s="253" t="s">
        <v>377</v>
      </c>
    </row>
    <row r="666" ht="15.75" hidden="1" customHeight="1">
      <c r="A666" s="764">
        <v>43364.0</v>
      </c>
      <c r="B666" s="597" t="s">
        <v>579</v>
      </c>
      <c r="C666" s="765">
        <v>2.0181005002E10</v>
      </c>
      <c r="D666" s="252" t="s">
        <v>5504</v>
      </c>
      <c r="E666" s="422" t="s">
        <v>5526</v>
      </c>
      <c r="F666" s="253">
        <v>1.0</v>
      </c>
      <c r="G666" s="254">
        <v>110.16</v>
      </c>
      <c r="H666" s="255">
        <f t="shared" si="30"/>
        <v>110.16</v>
      </c>
      <c r="I666" s="256" t="s">
        <v>171</v>
      </c>
      <c r="J666" s="403" t="s">
        <v>1324</v>
      </c>
      <c r="K666" s="886">
        <v>43430.0</v>
      </c>
      <c r="L666" s="258">
        <v>43399.0</v>
      </c>
      <c r="M666" s="388"/>
      <c r="N666" s="333" t="s">
        <v>5527</v>
      </c>
      <c r="O666" s="815" t="s">
        <v>5528</v>
      </c>
      <c r="P666" s="598"/>
      <c r="Q666" s="579">
        <v>2835.0</v>
      </c>
      <c r="R666" s="310" t="s">
        <v>5529</v>
      </c>
      <c r="S666" s="768">
        <v>43439.0</v>
      </c>
      <c r="T666" s="769">
        <v>43399.0</v>
      </c>
      <c r="U666" s="765" t="s">
        <v>5530</v>
      </c>
      <c r="V666" s="770">
        <v>2835.0</v>
      </c>
      <c r="W666" s="769">
        <v>43445.0</v>
      </c>
      <c r="X666" s="765" t="s">
        <v>5508</v>
      </c>
      <c r="Y666" s="889"/>
      <c r="Z666" s="765"/>
      <c r="AA666" s="765" t="s">
        <v>5512</v>
      </c>
      <c r="AB666" s="765" t="s">
        <v>5469</v>
      </c>
      <c r="AC666" s="253" t="s">
        <v>377</v>
      </c>
    </row>
    <row r="667" ht="15.75" hidden="1" customHeight="1">
      <c r="A667" s="764">
        <v>43364.0</v>
      </c>
      <c r="B667" s="597" t="s">
        <v>579</v>
      </c>
      <c r="C667" s="765">
        <v>2.0181005002E10</v>
      </c>
      <c r="D667" s="252" t="s">
        <v>5504</v>
      </c>
      <c r="E667" s="422" t="s">
        <v>5531</v>
      </c>
      <c r="F667" s="253">
        <v>1.0</v>
      </c>
      <c r="G667" s="254">
        <v>3.44</v>
      </c>
      <c r="H667" s="255">
        <f t="shared" si="30"/>
        <v>3.44</v>
      </c>
      <c r="I667" s="256" t="s">
        <v>171</v>
      </c>
      <c r="J667" s="403" t="s">
        <v>1324</v>
      </c>
      <c r="K667" s="886">
        <v>43430.0</v>
      </c>
      <c r="L667" s="266" t="s">
        <v>5532</v>
      </c>
      <c r="M667" s="388"/>
      <c r="N667" s="333"/>
      <c r="O667" s="252"/>
      <c r="P667" s="598"/>
      <c r="Q667" s="596"/>
      <c r="R667" s="310"/>
      <c r="S667" s="792"/>
      <c r="T667" s="767"/>
      <c r="U667" s="766"/>
      <c r="V667" s="885"/>
      <c r="W667" s="767"/>
      <c r="X667" s="765" t="s">
        <v>5508</v>
      </c>
      <c r="Y667" s="889"/>
      <c r="Z667" s="765"/>
      <c r="AA667" s="765" t="s">
        <v>5512</v>
      </c>
      <c r="AB667" s="765" t="s">
        <v>5469</v>
      </c>
      <c r="AC667" s="253" t="s">
        <v>377</v>
      </c>
    </row>
    <row r="668" ht="15.75" hidden="1" customHeight="1">
      <c r="A668" s="764">
        <v>43364.0</v>
      </c>
      <c r="B668" s="597" t="s">
        <v>579</v>
      </c>
      <c r="C668" s="765">
        <v>2.0181005002E10</v>
      </c>
      <c r="D668" s="252" t="s">
        <v>5533</v>
      </c>
      <c r="E668" s="422" t="s">
        <v>5490</v>
      </c>
      <c r="F668" s="253">
        <v>1.0</v>
      </c>
      <c r="G668" s="254">
        <v>156.64</v>
      </c>
      <c r="H668" s="255">
        <f t="shared" si="30"/>
        <v>156.64</v>
      </c>
      <c r="I668" s="256" t="s">
        <v>171</v>
      </c>
      <c r="J668" s="403" t="s">
        <v>1324</v>
      </c>
      <c r="K668" s="886">
        <v>43430.0</v>
      </c>
      <c r="L668" s="886">
        <v>43412.0</v>
      </c>
      <c r="M668" s="388"/>
      <c r="N668" s="333" t="s">
        <v>3775</v>
      </c>
      <c r="O668" s="310" t="s">
        <v>5534</v>
      </c>
      <c r="P668" s="268">
        <v>136.5</v>
      </c>
      <c r="Q668" s="596"/>
      <c r="R668" s="604" t="s">
        <v>2207</v>
      </c>
      <c r="S668" s="768">
        <v>43465.0</v>
      </c>
      <c r="T668" s="769">
        <v>43402.0</v>
      </c>
      <c r="U668" s="765" t="s">
        <v>5492</v>
      </c>
      <c r="V668" s="770" t="s">
        <v>5535</v>
      </c>
      <c r="W668" s="769">
        <v>43467.0</v>
      </c>
      <c r="X668" s="765" t="s">
        <v>5508</v>
      </c>
      <c r="Y668" s="889"/>
      <c r="Z668" s="765"/>
      <c r="AA668" s="765" t="s">
        <v>5512</v>
      </c>
      <c r="AB668" s="765" t="s">
        <v>5469</v>
      </c>
      <c r="AC668" s="253" t="s">
        <v>377</v>
      </c>
    </row>
    <row r="669" ht="15.75" hidden="1" customHeight="1">
      <c r="A669" s="764">
        <v>43364.0</v>
      </c>
      <c r="B669" s="597" t="s">
        <v>579</v>
      </c>
      <c r="C669" s="765">
        <v>2.0181005002E10</v>
      </c>
      <c r="D669" s="252" t="s">
        <v>5504</v>
      </c>
      <c r="E669" s="422" t="s">
        <v>5536</v>
      </c>
      <c r="F669" s="253">
        <v>1.0</v>
      </c>
      <c r="G669" s="254">
        <v>263.36</v>
      </c>
      <c r="H669" s="255">
        <f t="shared" si="30"/>
        <v>263.36</v>
      </c>
      <c r="I669" s="256" t="s">
        <v>171</v>
      </c>
      <c r="J669" s="403" t="s">
        <v>1324</v>
      </c>
      <c r="K669" s="886">
        <v>43430.0</v>
      </c>
      <c r="L669" s="886">
        <v>43423.0</v>
      </c>
      <c r="M669" s="388"/>
      <c r="N669" s="333" t="s">
        <v>5537</v>
      </c>
      <c r="O669" s="815" t="s">
        <v>5538</v>
      </c>
      <c r="P669" s="598"/>
      <c r="Q669" s="579">
        <v>6300.0</v>
      </c>
      <c r="R669" s="604" t="s">
        <v>5539</v>
      </c>
      <c r="S669" s="581" t="s">
        <v>422</v>
      </c>
      <c r="T669" s="769">
        <v>43423.0</v>
      </c>
      <c r="U669" s="765" t="s">
        <v>5540</v>
      </c>
      <c r="V669" s="770">
        <v>6300.0</v>
      </c>
      <c r="W669" s="769">
        <v>43396.0</v>
      </c>
      <c r="X669" s="765" t="s">
        <v>5508</v>
      </c>
      <c r="Y669" s="889"/>
      <c r="Z669" s="765"/>
      <c r="AA669" s="765" t="s">
        <v>5512</v>
      </c>
      <c r="AB669" s="765" t="s">
        <v>5469</v>
      </c>
      <c r="AC669" s="253" t="s">
        <v>377</v>
      </c>
    </row>
    <row r="670" ht="15.75" hidden="1" customHeight="1">
      <c r="A670" s="764">
        <v>43364.0</v>
      </c>
      <c r="B670" s="597" t="s">
        <v>579</v>
      </c>
      <c r="C670" s="765">
        <v>2.0181005002E10</v>
      </c>
      <c r="D670" s="252" t="s">
        <v>5504</v>
      </c>
      <c r="E670" s="602" t="s">
        <v>5541</v>
      </c>
      <c r="F670" s="253">
        <v>1.0</v>
      </c>
      <c r="G670" s="254">
        <v>51.64</v>
      </c>
      <c r="H670" s="255">
        <f t="shared" si="30"/>
        <v>51.64</v>
      </c>
      <c r="I670" s="256" t="s">
        <v>171</v>
      </c>
      <c r="J670" s="403" t="s">
        <v>1324</v>
      </c>
      <c r="K670" s="886">
        <v>43430.0</v>
      </c>
      <c r="L670" s="886">
        <v>43430.0</v>
      </c>
      <c r="M670" s="388"/>
      <c r="N670" s="333" t="s">
        <v>2038</v>
      </c>
      <c r="O670" s="605"/>
      <c r="P670" s="598"/>
      <c r="Q670" s="596"/>
      <c r="R670" s="310"/>
      <c r="S670" s="792"/>
      <c r="T670" s="767"/>
      <c r="U670" s="766"/>
      <c r="V670" s="885"/>
      <c r="W670" s="767"/>
      <c r="X670" s="765" t="s">
        <v>5508</v>
      </c>
      <c r="Y670" s="889"/>
      <c r="Z670" s="765"/>
      <c r="AA670" s="765" t="s">
        <v>5512</v>
      </c>
      <c r="AB670" s="765" t="s">
        <v>5469</v>
      </c>
      <c r="AC670" s="253" t="s">
        <v>377</v>
      </c>
    </row>
    <row r="671" ht="15.75" hidden="1" customHeight="1">
      <c r="A671" s="776">
        <v>43367.0</v>
      </c>
      <c r="B671" s="597" t="s">
        <v>406</v>
      </c>
      <c r="C671" s="765">
        <v>7.00014132E9</v>
      </c>
      <c r="D671" s="252" t="s">
        <v>5542</v>
      </c>
      <c r="E671" s="602" t="s">
        <v>5543</v>
      </c>
      <c r="F671" s="253">
        <v>2.0</v>
      </c>
      <c r="G671" s="254">
        <v>145.0</v>
      </c>
      <c r="H671" s="255">
        <f t="shared" ref="H671:H676" si="31">G671*F671</f>
        <v>290</v>
      </c>
      <c r="I671" s="256" t="s">
        <v>43</v>
      </c>
      <c r="J671" s="333" t="s">
        <v>520</v>
      </c>
      <c r="K671" s="258">
        <v>43381.0</v>
      </c>
      <c r="L671" s="258">
        <v>43370.0</v>
      </c>
      <c r="M671" s="388"/>
      <c r="N671" s="333" t="s">
        <v>3593</v>
      </c>
      <c r="O671" s="252" t="s">
        <v>5544</v>
      </c>
      <c r="P671" s="598"/>
      <c r="Q671" s="579">
        <v>7993.0</v>
      </c>
      <c r="R671" s="310" t="s">
        <v>2080</v>
      </c>
      <c r="S671" s="768">
        <v>43465.0</v>
      </c>
      <c r="T671" s="769">
        <v>43370.0</v>
      </c>
      <c r="U671" s="765" t="s">
        <v>5545</v>
      </c>
      <c r="V671" s="770">
        <v>7993.0</v>
      </c>
      <c r="W671" s="769">
        <v>43467.0</v>
      </c>
      <c r="X671" s="765" t="s">
        <v>5546</v>
      </c>
      <c r="Y671" s="889" t="s">
        <v>5547</v>
      </c>
      <c r="Z671" s="765"/>
      <c r="AA671" s="765"/>
      <c r="AB671" s="765"/>
      <c r="AC671" s="253" t="s">
        <v>284</v>
      </c>
    </row>
    <row r="672" ht="15.75" hidden="1" customHeight="1">
      <c r="A672" s="776">
        <v>43367.0</v>
      </c>
      <c r="B672" s="597" t="s">
        <v>406</v>
      </c>
      <c r="C672" s="765">
        <v>7.000141401E9</v>
      </c>
      <c r="D672" s="252" t="s">
        <v>5548</v>
      </c>
      <c r="E672" s="602" t="s">
        <v>853</v>
      </c>
      <c r="F672" s="253">
        <v>6.0</v>
      </c>
      <c r="G672" s="254">
        <v>186.0</v>
      </c>
      <c r="H672" s="255">
        <f t="shared" si="31"/>
        <v>1116</v>
      </c>
      <c r="I672" s="256" t="s">
        <v>43</v>
      </c>
      <c r="J672" s="333" t="s">
        <v>520</v>
      </c>
      <c r="K672" s="258">
        <v>43381.0</v>
      </c>
      <c r="L672" s="258">
        <v>43370.0</v>
      </c>
      <c r="M672" s="388"/>
      <c r="N672" s="333" t="s">
        <v>3593</v>
      </c>
      <c r="O672" s="252" t="s">
        <v>5549</v>
      </c>
      <c r="P672" s="598"/>
      <c r="Q672" s="579">
        <v>30845.0</v>
      </c>
      <c r="R672" s="310" t="s">
        <v>2080</v>
      </c>
      <c r="S672" s="768">
        <v>43465.0</v>
      </c>
      <c r="T672" s="769">
        <v>43370.0</v>
      </c>
      <c r="U672" s="765" t="s">
        <v>5550</v>
      </c>
      <c r="V672" s="890">
        <v>41693.0</v>
      </c>
      <c r="W672" s="769">
        <v>43467.0</v>
      </c>
      <c r="X672" s="765" t="s">
        <v>5546</v>
      </c>
      <c r="Y672" s="889" t="s">
        <v>5547</v>
      </c>
      <c r="Z672" s="765"/>
      <c r="AA672" s="765"/>
      <c r="AB672" s="765"/>
      <c r="AC672" s="253" t="s">
        <v>284</v>
      </c>
    </row>
    <row r="673" ht="15.75" hidden="1" customHeight="1">
      <c r="A673" s="776">
        <v>43367.0</v>
      </c>
      <c r="B673" s="597" t="s">
        <v>406</v>
      </c>
      <c r="C673" s="765">
        <v>7.000141401E9</v>
      </c>
      <c r="D673" s="252" t="s">
        <v>5548</v>
      </c>
      <c r="E673" s="602" t="s">
        <v>809</v>
      </c>
      <c r="F673" s="253">
        <v>6.0</v>
      </c>
      <c r="G673" s="254">
        <v>67.0</v>
      </c>
      <c r="H673" s="255">
        <f t="shared" si="31"/>
        <v>402</v>
      </c>
      <c r="I673" s="256" t="s">
        <v>43</v>
      </c>
      <c r="J673" s="333" t="s">
        <v>520</v>
      </c>
      <c r="K673" s="258">
        <v>43381.0</v>
      </c>
      <c r="L673" s="258">
        <v>43370.0</v>
      </c>
      <c r="M673" s="388"/>
      <c r="N673" s="333" t="s">
        <v>3593</v>
      </c>
      <c r="O673" s="252" t="s">
        <v>5549</v>
      </c>
      <c r="P673" s="598"/>
      <c r="Q673" s="579">
        <v>10848.0</v>
      </c>
      <c r="R673" s="310" t="s">
        <v>2080</v>
      </c>
      <c r="S673" s="768">
        <v>43465.0</v>
      </c>
      <c r="T673" s="769">
        <v>43370.0</v>
      </c>
      <c r="U673" s="765" t="s">
        <v>5550</v>
      </c>
      <c r="V673" s="765" t="s">
        <v>5551</v>
      </c>
      <c r="W673" s="769">
        <v>43467.0</v>
      </c>
      <c r="X673" s="765" t="s">
        <v>5546</v>
      </c>
      <c r="Y673" s="891" t="s">
        <v>5547</v>
      </c>
      <c r="Z673" s="765"/>
      <c r="AA673" s="765"/>
      <c r="AB673" s="765"/>
      <c r="AC673" s="253" t="s">
        <v>284</v>
      </c>
    </row>
    <row r="674" ht="15.75" customHeight="1">
      <c r="A674" s="764">
        <v>43367.0</v>
      </c>
      <c r="B674" s="597" t="s">
        <v>77</v>
      </c>
      <c r="C674" s="765">
        <v>976.0</v>
      </c>
      <c r="D674" s="252" t="s">
        <v>5552</v>
      </c>
      <c r="E674" s="599" t="s">
        <v>827</v>
      </c>
      <c r="F674" s="253">
        <v>20.0</v>
      </c>
      <c r="G674" s="254">
        <v>14.0</v>
      </c>
      <c r="H674" s="255">
        <f t="shared" si="31"/>
        <v>280</v>
      </c>
      <c r="I674" s="256" t="s">
        <v>43</v>
      </c>
      <c r="J674" s="333" t="s">
        <v>316</v>
      </c>
      <c r="K674" s="258">
        <v>43389.0</v>
      </c>
      <c r="L674" s="258">
        <v>43377.0</v>
      </c>
      <c r="M674" s="388"/>
      <c r="N674" s="333" t="s">
        <v>2041</v>
      </c>
      <c r="O674" s="252" t="s">
        <v>5553</v>
      </c>
      <c r="P674" s="268">
        <v>252.0</v>
      </c>
      <c r="Q674" s="330"/>
      <c r="R674" s="310" t="s">
        <v>2043</v>
      </c>
      <c r="S674" s="810">
        <v>43391.0</v>
      </c>
      <c r="T674" s="771">
        <v>43377.0</v>
      </c>
      <c r="U674" s="252" t="s">
        <v>5554</v>
      </c>
      <c r="V674" s="774">
        <v>7729.0</v>
      </c>
      <c r="W674" s="769">
        <v>43395.0</v>
      </c>
      <c r="X674" s="765" t="s">
        <v>5555</v>
      </c>
      <c r="Y674" s="765">
        <v>9.46525672E8</v>
      </c>
      <c r="Z674" s="765"/>
      <c r="AA674" s="765"/>
      <c r="AB674" s="765"/>
      <c r="AC674" s="253" t="s">
        <v>284</v>
      </c>
    </row>
    <row r="675" ht="42.0" customHeight="1">
      <c r="A675" s="764">
        <v>43367.0</v>
      </c>
      <c r="B675" s="597" t="s">
        <v>77</v>
      </c>
      <c r="C675" s="765">
        <v>976.0</v>
      </c>
      <c r="D675" s="252" t="s">
        <v>5552</v>
      </c>
      <c r="E675" s="602" t="s">
        <v>5556</v>
      </c>
      <c r="F675" s="253">
        <v>50.0</v>
      </c>
      <c r="G675" s="254">
        <v>2.25</v>
      </c>
      <c r="H675" s="255">
        <f t="shared" si="31"/>
        <v>112.5</v>
      </c>
      <c r="I675" s="256" t="s">
        <v>43</v>
      </c>
      <c r="J675" s="333" t="s">
        <v>316</v>
      </c>
      <c r="K675" s="258">
        <v>43389.0</v>
      </c>
      <c r="L675" s="333" t="s">
        <v>5439</v>
      </c>
      <c r="M675" s="388"/>
      <c r="N675" s="333" t="s">
        <v>5557</v>
      </c>
      <c r="O675" s="310" t="s">
        <v>5558</v>
      </c>
      <c r="P675" s="598"/>
      <c r="Q675" s="330"/>
      <c r="R675" s="388" t="s">
        <v>2131</v>
      </c>
      <c r="S675" s="330"/>
      <c r="T675" s="766"/>
      <c r="U675" s="766"/>
      <c r="V675" s="766"/>
      <c r="W675" s="767"/>
      <c r="X675" s="765" t="s">
        <v>5555</v>
      </c>
      <c r="Y675" s="765">
        <v>9.46525672E8</v>
      </c>
      <c r="Z675" s="765"/>
      <c r="AA675" s="765"/>
      <c r="AB675" s="765"/>
      <c r="AC675" s="253" t="s">
        <v>284</v>
      </c>
    </row>
    <row r="676" ht="15.75" hidden="1" customHeight="1">
      <c r="A676" s="776">
        <v>43367.0</v>
      </c>
      <c r="B676" s="340" t="s">
        <v>54</v>
      </c>
      <c r="C676" s="252" t="s">
        <v>5559</v>
      </c>
      <c r="D676" s="310" t="s">
        <v>5560</v>
      </c>
      <c r="E676" s="578" t="s">
        <v>386</v>
      </c>
      <c r="F676" s="253">
        <v>10.0</v>
      </c>
      <c r="G676" s="254">
        <v>150.15</v>
      </c>
      <c r="H676" s="267">
        <f t="shared" si="31"/>
        <v>1501.5</v>
      </c>
      <c r="I676" s="266" t="s">
        <v>43</v>
      </c>
      <c r="J676" s="253" t="s">
        <v>90</v>
      </c>
      <c r="K676" s="258">
        <v>43396.0</v>
      </c>
      <c r="L676" s="258">
        <v>43396.0</v>
      </c>
      <c r="M676" s="388"/>
      <c r="N676" s="333" t="s">
        <v>90</v>
      </c>
      <c r="O676" s="310" t="s">
        <v>5561</v>
      </c>
      <c r="P676" s="268">
        <v>1344.0</v>
      </c>
      <c r="Q676" s="330"/>
      <c r="R676" s="340" t="s">
        <v>94</v>
      </c>
      <c r="S676" s="768">
        <v>43434.0</v>
      </c>
      <c r="T676" s="769">
        <v>43396.0</v>
      </c>
      <c r="U676" s="765" t="s">
        <v>5562</v>
      </c>
      <c r="V676" s="770">
        <v>41489.0</v>
      </c>
      <c r="W676" s="769">
        <v>43440.0</v>
      </c>
      <c r="X676" s="765" t="s">
        <v>5563</v>
      </c>
      <c r="Y676" s="765"/>
      <c r="Z676" s="602" t="s">
        <v>5564</v>
      </c>
      <c r="AA676" s="770">
        <v>46418.0</v>
      </c>
      <c r="AB676" s="765" t="s">
        <v>5565</v>
      </c>
      <c r="AC676" s="253" t="s">
        <v>377</v>
      </c>
    </row>
    <row r="677" ht="15.75" hidden="1" customHeight="1">
      <c r="A677" s="258">
        <v>43369.0</v>
      </c>
      <c r="B677" s="892" t="s">
        <v>101</v>
      </c>
      <c r="C677" s="358" t="s">
        <v>5566</v>
      </c>
      <c r="D677" s="358" t="s">
        <v>5567</v>
      </c>
      <c r="E677" s="892" t="s">
        <v>5568</v>
      </c>
      <c r="F677" s="359">
        <v>5.0</v>
      </c>
      <c r="G677" s="366">
        <v>1118.0</v>
      </c>
      <c r="H677" s="267">
        <v>5590.0</v>
      </c>
      <c r="I677" s="253" t="s">
        <v>303</v>
      </c>
      <c r="J677" s="884" t="s">
        <v>438</v>
      </c>
      <c r="K677" s="258">
        <v>43409.0</v>
      </c>
      <c r="L677" s="258">
        <v>43409.0</v>
      </c>
      <c r="M677" s="320"/>
      <c r="N677" s="333" t="s">
        <v>1439</v>
      </c>
      <c r="O677" s="358" t="s">
        <v>5569</v>
      </c>
      <c r="P677" s="268">
        <v>5223.75</v>
      </c>
      <c r="Q677" s="579">
        <v>159350.0</v>
      </c>
      <c r="R677" s="320" t="s">
        <v>1976</v>
      </c>
      <c r="S677" s="768">
        <v>43465.0</v>
      </c>
      <c r="T677" s="771">
        <v>43410.0</v>
      </c>
      <c r="U677" s="252" t="s">
        <v>5570</v>
      </c>
      <c r="V677" s="774">
        <v>159350.0</v>
      </c>
      <c r="W677" s="771">
        <v>43469.0</v>
      </c>
      <c r="X677" s="252" t="s">
        <v>5571</v>
      </c>
      <c r="Y677" s="765">
        <v>2.574425405E9</v>
      </c>
      <c r="Z677" s="839"/>
      <c r="AA677" s="839"/>
      <c r="AB677" s="839"/>
      <c r="AC677" s="253" t="s">
        <v>284</v>
      </c>
    </row>
    <row r="678" ht="15.75" hidden="1" customHeight="1">
      <c r="A678" s="258">
        <v>43369.0</v>
      </c>
      <c r="B678" s="892" t="s">
        <v>101</v>
      </c>
      <c r="C678" s="358" t="s">
        <v>5566</v>
      </c>
      <c r="D678" s="358" t="s">
        <v>5572</v>
      </c>
      <c r="E678" s="422" t="s">
        <v>347</v>
      </c>
      <c r="F678" s="253">
        <v>1.0</v>
      </c>
      <c r="G678" s="254">
        <v>362.0</v>
      </c>
      <c r="H678" s="268">
        <f t="shared" ref="H678:H683" si="32">G678*F678</f>
        <v>362</v>
      </c>
      <c r="I678" s="266" t="s">
        <v>303</v>
      </c>
      <c r="J678" s="269" t="s">
        <v>438</v>
      </c>
      <c r="K678" s="258">
        <v>43409.0</v>
      </c>
      <c r="L678" s="258"/>
      <c r="M678" s="388"/>
      <c r="N678" s="333" t="s">
        <v>2032</v>
      </c>
      <c r="O678" s="358"/>
      <c r="P678" s="598"/>
      <c r="Q678" s="579">
        <v>11501.0</v>
      </c>
      <c r="R678" s="320" t="s">
        <v>2033</v>
      </c>
      <c r="S678" s="810">
        <v>43443.0</v>
      </c>
      <c r="T678" s="769">
        <v>43413.0</v>
      </c>
      <c r="U678" s="765" t="s">
        <v>5573</v>
      </c>
      <c r="V678" s="770">
        <v>11501.0</v>
      </c>
      <c r="W678" s="769">
        <v>43445.0</v>
      </c>
      <c r="X678" s="839"/>
      <c r="Y678" s="766"/>
      <c r="Z678" s="765"/>
      <c r="AA678" s="765"/>
      <c r="AB678" s="765"/>
      <c r="AC678" s="253" t="s">
        <v>284</v>
      </c>
    </row>
    <row r="679" ht="15.75" hidden="1" customHeight="1">
      <c r="A679" s="258">
        <v>43370.0</v>
      </c>
      <c r="B679" s="893" t="s">
        <v>167</v>
      </c>
      <c r="C679" s="358" t="s">
        <v>5574</v>
      </c>
      <c r="D679" s="358" t="s">
        <v>5575</v>
      </c>
      <c r="E679" s="602" t="s">
        <v>5576</v>
      </c>
      <c r="F679" s="359">
        <v>2.0</v>
      </c>
      <c r="G679" s="366">
        <v>1155.0</v>
      </c>
      <c r="H679" s="267">
        <f t="shared" si="32"/>
        <v>2310</v>
      </c>
      <c r="I679" s="266" t="s">
        <v>303</v>
      </c>
      <c r="J679" s="884" t="s">
        <v>263</v>
      </c>
      <c r="K679" s="258">
        <v>43409.0</v>
      </c>
      <c r="L679" s="266" t="s">
        <v>4727</v>
      </c>
      <c r="M679" s="388"/>
      <c r="N679" s="266" t="s">
        <v>4727</v>
      </c>
      <c r="O679" s="310" t="s">
        <v>5577</v>
      </c>
      <c r="P679" s="268"/>
      <c r="Q679" s="596"/>
      <c r="R679" s="310"/>
      <c r="S679" s="310"/>
      <c r="T679" s="839"/>
      <c r="U679" s="839"/>
      <c r="V679" s="839"/>
      <c r="W679" s="809"/>
      <c r="X679" s="252" t="s">
        <v>5578</v>
      </c>
      <c r="Y679" s="252">
        <v>2.072662826E9</v>
      </c>
      <c r="Z679" s="252"/>
      <c r="AA679" s="252"/>
      <c r="AB679" s="252"/>
      <c r="AC679" s="266" t="s">
        <v>540</v>
      </c>
    </row>
    <row r="680" ht="15.75" hidden="1" customHeight="1">
      <c r="A680" s="258">
        <v>43370.0</v>
      </c>
      <c r="B680" s="893" t="s">
        <v>167</v>
      </c>
      <c r="C680" s="358" t="s">
        <v>5574</v>
      </c>
      <c r="D680" s="358" t="s">
        <v>5575</v>
      </c>
      <c r="E680" s="602" t="s">
        <v>4921</v>
      </c>
      <c r="F680" s="253">
        <v>2.0</v>
      </c>
      <c r="G680" s="254">
        <v>132.0</v>
      </c>
      <c r="H680" s="267">
        <f t="shared" si="32"/>
        <v>264</v>
      </c>
      <c r="I680" s="266" t="s">
        <v>303</v>
      </c>
      <c r="J680" s="884" t="s">
        <v>263</v>
      </c>
      <c r="K680" s="258">
        <v>43409.0</v>
      </c>
      <c r="L680" s="266" t="s">
        <v>4727</v>
      </c>
      <c r="M680" s="388"/>
      <c r="N680" s="266" t="s">
        <v>4727</v>
      </c>
      <c r="O680" s="310" t="s">
        <v>5577</v>
      </c>
      <c r="P680" s="598"/>
      <c r="Q680" s="596"/>
      <c r="R680" s="604"/>
      <c r="S680" s="792"/>
      <c r="T680" s="769"/>
      <c r="U680" s="765"/>
      <c r="V680" s="770"/>
      <c r="W680" s="767"/>
      <c r="X680" s="252" t="s">
        <v>5578</v>
      </c>
      <c r="Y680" s="252">
        <v>2.072662826E9</v>
      </c>
      <c r="Z680" s="765"/>
      <c r="AA680" s="765"/>
      <c r="AB680" s="765"/>
      <c r="AC680" s="266" t="s">
        <v>540</v>
      </c>
    </row>
    <row r="681" ht="15.75" hidden="1" customHeight="1">
      <c r="A681" s="764">
        <v>43371.0</v>
      </c>
      <c r="B681" s="265" t="s">
        <v>101</v>
      </c>
      <c r="C681" s="358" t="s">
        <v>5579</v>
      </c>
      <c r="D681" s="358" t="s">
        <v>5580</v>
      </c>
      <c r="E681" s="422" t="s">
        <v>5581</v>
      </c>
      <c r="F681" s="440">
        <v>8.0</v>
      </c>
      <c r="G681" s="254">
        <v>291.0</v>
      </c>
      <c r="H681" s="268">
        <f t="shared" si="32"/>
        <v>2328</v>
      </c>
      <c r="I681" s="256" t="s">
        <v>171</v>
      </c>
      <c r="J681" s="269" t="s">
        <v>438</v>
      </c>
      <c r="K681" s="258">
        <v>43384.0</v>
      </c>
      <c r="L681" s="258">
        <v>43384.0</v>
      </c>
      <c r="M681" s="388"/>
      <c r="N681" s="403" t="s">
        <v>2028</v>
      </c>
      <c r="O681" s="310" t="s">
        <v>5582</v>
      </c>
      <c r="P681" s="598"/>
      <c r="Q681" s="579">
        <v>72181.0</v>
      </c>
      <c r="R681" s="578" t="s">
        <v>2030</v>
      </c>
      <c r="S681" s="810">
        <v>43439.0</v>
      </c>
      <c r="T681" s="769">
        <v>43384.0</v>
      </c>
      <c r="U681" s="765" t="s">
        <v>5583</v>
      </c>
      <c r="V681" s="770">
        <v>74248.0</v>
      </c>
      <c r="W681" s="769">
        <v>43445.0</v>
      </c>
      <c r="X681" s="765" t="s">
        <v>5584</v>
      </c>
      <c r="Y681" s="765">
        <v>7.300335022E9</v>
      </c>
      <c r="Z681" s="765"/>
      <c r="AA681" s="765"/>
      <c r="AB681" s="765"/>
      <c r="AC681" s="253" t="s">
        <v>284</v>
      </c>
    </row>
    <row r="682" ht="15.75" hidden="1" customHeight="1">
      <c r="A682" s="764">
        <v>43371.0</v>
      </c>
      <c r="B682" s="265" t="s">
        <v>101</v>
      </c>
      <c r="C682" s="358" t="s">
        <v>5579</v>
      </c>
      <c r="D682" s="358" t="s">
        <v>5580</v>
      </c>
      <c r="E682" s="422" t="s">
        <v>5143</v>
      </c>
      <c r="F682" s="440">
        <v>8.0</v>
      </c>
      <c r="G682" s="254">
        <v>56.0</v>
      </c>
      <c r="H682" s="268">
        <f t="shared" si="32"/>
        <v>448</v>
      </c>
      <c r="I682" s="256" t="s">
        <v>171</v>
      </c>
      <c r="J682" s="269" t="s">
        <v>438</v>
      </c>
      <c r="K682" s="258">
        <v>43384.0</v>
      </c>
      <c r="L682" s="258">
        <v>43378.0</v>
      </c>
      <c r="M682" s="388"/>
      <c r="N682" s="403" t="s">
        <v>4846</v>
      </c>
      <c r="O682" s="358" t="s">
        <v>5585</v>
      </c>
      <c r="P682" s="598"/>
      <c r="Q682" s="579">
        <v>10046.0</v>
      </c>
      <c r="R682" s="310" t="s">
        <v>2172</v>
      </c>
      <c r="S682" s="330"/>
      <c r="T682" s="769">
        <v>43376.0</v>
      </c>
      <c r="U682" s="765" t="s">
        <v>5586</v>
      </c>
      <c r="V682" s="770">
        <v>10046.0</v>
      </c>
      <c r="W682" s="769">
        <v>43374.0</v>
      </c>
      <c r="X682" s="765" t="s">
        <v>5584</v>
      </c>
      <c r="Y682" s="765">
        <v>7.300335022E9</v>
      </c>
      <c r="Z682" s="765"/>
      <c r="AA682" s="765"/>
      <c r="AB682" s="765"/>
      <c r="AC682" s="253" t="s">
        <v>284</v>
      </c>
    </row>
    <row r="683" ht="26.25" hidden="1" customHeight="1">
      <c r="A683" s="764">
        <v>43371.0</v>
      </c>
      <c r="B683" s="265" t="s">
        <v>101</v>
      </c>
      <c r="C683" s="358" t="s">
        <v>5579</v>
      </c>
      <c r="D683" s="358" t="s">
        <v>5580</v>
      </c>
      <c r="E683" s="881" t="s">
        <v>292</v>
      </c>
      <c r="F683" s="894">
        <v>8.0</v>
      </c>
      <c r="G683" s="367">
        <v>6.0</v>
      </c>
      <c r="H683" s="255">
        <f t="shared" si="32"/>
        <v>48</v>
      </c>
      <c r="I683" s="256" t="s">
        <v>171</v>
      </c>
      <c r="J683" s="269" t="s">
        <v>438</v>
      </c>
      <c r="K683" s="258">
        <v>43384.0</v>
      </c>
      <c r="L683" s="258">
        <v>43384.0</v>
      </c>
      <c r="M683" s="388"/>
      <c r="N683" s="403" t="s">
        <v>2028</v>
      </c>
      <c r="O683" s="310" t="s">
        <v>5582</v>
      </c>
      <c r="P683" s="598"/>
      <c r="Q683" s="579">
        <v>2066.0</v>
      </c>
      <c r="R683" s="578" t="s">
        <v>2030</v>
      </c>
      <c r="S683" s="810">
        <v>43439.0</v>
      </c>
      <c r="T683" s="769">
        <v>43384.0</v>
      </c>
      <c r="U683" s="765" t="s">
        <v>5583</v>
      </c>
      <c r="V683" s="765" t="s">
        <v>5587</v>
      </c>
      <c r="W683" s="769">
        <v>43445.0</v>
      </c>
      <c r="X683" s="765" t="s">
        <v>5584</v>
      </c>
      <c r="Y683" s="765">
        <v>7.300335022E9</v>
      </c>
      <c r="Z683" s="765"/>
      <c r="AA683" s="765"/>
      <c r="AB683" s="765"/>
      <c r="AC683" s="253" t="s">
        <v>284</v>
      </c>
    </row>
    <row r="684" ht="15.75" hidden="1" customHeight="1">
      <c r="A684" s="258">
        <v>43384.0</v>
      </c>
      <c r="B684" s="892" t="s">
        <v>101</v>
      </c>
      <c r="C684" s="358" t="s">
        <v>0</v>
      </c>
      <c r="D684" s="358" t="s">
        <v>5588</v>
      </c>
      <c r="E684" s="892" t="s">
        <v>5589</v>
      </c>
      <c r="F684" s="359">
        <v>1.0</v>
      </c>
      <c r="G684" s="366">
        <v>107.0</v>
      </c>
      <c r="H684" s="267">
        <v>107.0</v>
      </c>
      <c r="I684" s="266" t="s">
        <v>303</v>
      </c>
      <c r="J684" s="269" t="s">
        <v>438</v>
      </c>
      <c r="K684" s="258">
        <v>43384.0</v>
      </c>
      <c r="L684" s="593" t="s">
        <v>0</v>
      </c>
      <c r="M684" s="320"/>
      <c r="N684" s="333" t="s">
        <v>2032</v>
      </c>
      <c r="O684" s="358"/>
      <c r="P684" s="598"/>
      <c r="Q684" s="579">
        <v>5158.0</v>
      </c>
      <c r="R684" s="320" t="s">
        <v>2033</v>
      </c>
      <c r="S684" s="768">
        <v>43422.0</v>
      </c>
      <c r="T684" s="771">
        <v>43392.0</v>
      </c>
      <c r="U684" s="252" t="s">
        <v>5590</v>
      </c>
      <c r="V684" s="774">
        <v>5158.0</v>
      </c>
      <c r="W684" s="771">
        <v>43413.0</v>
      </c>
      <c r="X684" s="765"/>
      <c r="Y684" s="252"/>
      <c r="Z684" s="839"/>
      <c r="AA684" s="839"/>
      <c r="AB684" s="839"/>
      <c r="AC684" s="266" t="s">
        <v>284</v>
      </c>
    </row>
    <row r="685" ht="15.75" hidden="1" customHeight="1">
      <c r="A685" s="764">
        <v>43374.0</v>
      </c>
      <c r="B685" s="265" t="s">
        <v>579</v>
      </c>
      <c r="C685" s="895">
        <v>2.0180928001E10</v>
      </c>
      <c r="D685" s="368" t="s">
        <v>5591</v>
      </c>
      <c r="E685" s="602" t="s">
        <v>4871</v>
      </c>
      <c r="F685" s="253">
        <v>1.0</v>
      </c>
      <c r="G685" s="254">
        <v>194.25</v>
      </c>
      <c r="H685" s="255">
        <f t="shared" ref="H685:H699" si="33">G685*F685</f>
        <v>194.25</v>
      </c>
      <c r="I685" s="256" t="s">
        <v>171</v>
      </c>
      <c r="J685" s="321" t="s">
        <v>582</v>
      </c>
      <c r="K685" s="258">
        <v>43384.0</v>
      </c>
      <c r="L685" s="258">
        <v>43384.0</v>
      </c>
      <c r="M685" s="388"/>
      <c r="N685" s="333" t="s">
        <v>1439</v>
      </c>
      <c r="O685" s="368" t="s">
        <v>5592</v>
      </c>
      <c r="P685" s="598"/>
      <c r="Q685" s="579">
        <v>5129.0</v>
      </c>
      <c r="R685" s="320" t="s">
        <v>1976</v>
      </c>
      <c r="S685" s="768">
        <v>43434.0</v>
      </c>
      <c r="T685" s="769">
        <v>43382.0</v>
      </c>
      <c r="U685" s="765" t="s">
        <v>5593</v>
      </c>
      <c r="V685" s="770">
        <v>5129.0</v>
      </c>
      <c r="W685" s="769">
        <v>43437.0</v>
      </c>
      <c r="X685" s="765" t="s">
        <v>5594</v>
      </c>
      <c r="Y685" s="765"/>
      <c r="Z685" s="765" t="s">
        <v>3659</v>
      </c>
      <c r="AA685" s="770">
        <v>5828.0</v>
      </c>
      <c r="AB685" s="765" t="s">
        <v>5595</v>
      </c>
      <c r="AC685" s="253"/>
    </row>
    <row r="686" ht="15.75" hidden="1" customHeight="1">
      <c r="A686" s="764">
        <v>43375.0</v>
      </c>
      <c r="B686" s="144" t="s">
        <v>406</v>
      </c>
      <c r="C686" s="765">
        <v>7.000141577E9</v>
      </c>
      <c r="D686" s="252" t="s">
        <v>5596</v>
      </c>
      <c r="E686" s="602" t="s">
        <v>5597</v>
      </c>
      <c r="F686" s="253">
        <v>10.0</v>
      </c>
      <c r="G686" s="254">
        <v>685.0</v>
      </c>
      <c r="H686" s="255">
        <f t="shared" si="33"/>
        <v>6850</v>
      </c>
      <c r="I686" s="256" t="s">
        <v>43</v>
      </c>
      <c r="J686" s="333" t="s">
        <v>520</v>
      </c>
      <c r="K686" s="258">
        <v>43430.0</v>
      </c>
      <c r="L686" s="403" t="s">
        <v>2112</v>
      </c>
      <c r="M686" s="388"/>
      <c r="N686" s="333"/>
      <c r="O686" s="252" t="s">
        <v>5598</v>
      </c>
      <c r="P686" s="598"/>
      <c r="Q686" s="596"/>
      <c r="R686" s="310"/>
      <c r="S686" s="330"/>
      <c r="T686" s="766"/>
      <c r="U686" s="766"/>
      <c r="V686" s="766"/>
      <c r="W686" s="767"/>
      <c r="X686" s="252" t="s">
        <v>5599</v>
      </c>
      <c r="Y686" s="765" t="s">
        <v>5600</v>
      </c>
      <c r="Z686" s="765"/>
      <c r="AA686" s="765"/>
      <c r="AB686" s="765"/>
      <c r="AC686" s="253" t="s">
        <v>284</v>
      </c>
    </row>
    <row r="687" ht="15.75" hidden="1" customHeight="1">
      <c r="A687" s="764">
        <v>43375.0</v>
      </c>
      <c r="B687" s="144" t="s">
        <v>406</v>
      </c>
      <c r="C687" s="765">
        <v>7.000141577E9</v>
      </c>
      <c r="D687" s="252" t="s">
        <v>5601</v>
      </c>
      <c r="E687" s="602" t="s">
        <v>512</v>
      </c>
      <c r="F687" s="253">
        <v>10.0</v>
      </c>
      <c r="G687" s="254">
        <v>39.0</v>
      </c>
      <c r="H687" s="255">
        <f t="shared" si="33"/>
        <v>390</v>
      </c>
      <c r="I687" s="256" t="s">
        <v>43</v>
      </c>
      <c r="J687" s="333" t="s">
        <v>520</v>
      </c>
      <c r="K687" s="258">
        <v>43430.0</v>
      </c>
      <c r="L687" s="403" t="s">
        <v>2112</v>
      </c>
      <c r="M687" s="388"/>
      <c r="N687" s="333"/>
      <c r="O687" s="252" t="s">
        <v>5598</v>
      </c>
      <c r="P687" s="598"/>
      <c r="Q687" s="596"/>
      <c r="R687" s="310"/>
      <c r="S687" s="330"/>
      <c r="T687" s="766"/>
      <c r="U687" s="766"/>
      <c r="V687" s="766"/>
      <c r="W687" s="767"/>
      <c r="X687" s="252" t="s">
        <v>5599</v>
      </c>
      <c r="Y687" s="765" t="s">
        <v>5600</v>
      </c>
      <c r="Z687" s="765"/>
      <c r="AA687" s="765"/>
      <c r="AB687" s="765"/>
      <c r="AC687" s="253" t="s">
        <v>284</v>
      </c>
    </row>
    <row r="688" ht="15.75" hidden="1" customHeight="1">
      <c r="A688" s="764">
        <v>43375.0</v>
      </c>
      <c r="B688" s="144" t="s">
        <v>406</v>
      </c>
      <c r="C688" s="765">
        <v>7.000141577E9</v>
      </c>
      <c r="D688" s="252" t="s">
        <v>5601</v>
      </c>
      <c r="E688" s="602" t="s">
        <v>515</v>
      </c>
      <c r="F688" s="253">
        <v>10.0</v>
      </c>
      <c r="G688" s="254">
        <v>43.0</v>
      </c>
      <c r="H688" s="255">
        <f t="shared" si="33"/>
        <v>430</v>
      </c>
      <c r="I688" s="256" t="s">
        <v>43</v>
      </c>
      <c r="J688" s="333" t="s">
        <v>520</v>
      </c>
      <c r="K688" s="258">
        <v>43430.0</v>
      </c>
      <c r="L688" s="403" t="s">
        <v>2112</v>
      </c>
      <c r="M688" s="388"/>
      <c r="N688" s="333"/>
      <c r="O688" s="252" t="s">
        <v>5598</v>
      </c>
      <c r="P688" s="598"/>
      <c r="Q688" s="596"/>
      <c r="R688" s="310"/>
      <c r="S688" s="330"/>
      <c r="T688" s="766"/>
      <c r="U688" s="766"/>
      <c r="V688" s="766"/>
      <c r="W688" s="767"/>
      <c r="X688" s="252" t="s">
        <v>5599</v>
      </c>
      <c r="Y688" s="765" t="s">
        <v>5600</v>
      </c>
      <c r="Z688" s="765"/>
      <c r="AA688" s="765"/>
      <c r="AB688" s="765"/>
      <c r="AC688" s="253" t="s">
        <v>284</v>
      </c>
    </row>
    <row r="689" ht="15.75" customHeight="1">
      <c r="A689" s="764">
        <v>43381.0</v>
      </c>
      <c r="B689" s="144" t="s">
        <v>77</v>
      </c>
      <c r="C689" s="765">
        <v>1009.0</v>
      </c>
      <c r="D689" s="252" t="s">
        <v>5602</v>
      </c>
      <c r="E689" s="602" t="s">
        <v>5603</v>
      </c>
      <c r="F689" s="253">
        <v>4.0</v>
      </c>
      <c r="G689" s="254">
        <v>200.0</v>
      </c>
      <c r="H689" s="255">
        <f t="shared" si="33"/>
        <v>800</v>
      </c>
      <c r="I689" s="256" t="s">
        <v>43</v>
      </c>
      <c r="J689" s="896" t="s">
        <v>5109</v>
      </c>
      <c r="K689" s="258">
        <v>43398.0</v>
      </c>
      <c r="L689" s="258">
        <v>43385.0</v>
      </c>
      <c r="M689" s="388"/>
      <c r="N689" s="333" t="s">
        <v>5604</v>
      </c>
      <c r="O689" s="310" t="s">
        <v>5605</v>
      </c>
      <c r="P689" s="598"/>
      <c r="Q689" s="579">
        <v>11171.0</v>
      </c>
      <c r="R689" s="604" t="s">
        <v>5112</v>
      </c>
      <c r="S689" s="330"/>
      <c r="T689" s="771">
        <v>43384.0</v>
      </c>
      <c r="U689" s="252" t="s">
        <v>5606</v>
      </c>
      <c r="V689" s="770">
        <v>11171.0</v>
      </c>
      <c r="W689" s="769">
        <v>43381.0</v>
      </c>
      <c r="X689" s="765" t="s">
        <v>5607</v>
      </c>
      <c r="Y689" s="815" t="s">
        <v>5608</v>
      </c>
      <c r="Z689" s="765"/>
      <c r="AA689" s="765"/>
      <c r="AB689" s="765"/>
      <c r="AC689" s="253" t="s">
        <v>284</v>
      </c>
    </row>
    <row r="690" ht="15.75" customHeight="1">
      <c r="A690" s="764">
        <v>43381.0</v>
      </c>
      <c r="B690" s="144" t="s">
        <v>77</v>
      </c>
      <c r="C690" s="765">
        <v>1009.0</v>
      </c>
      <c r="D690" s="252" t="s">
        <v>5602</v>
      </c>
      <c r="E690" s="422" t="s">
        <v>646</v>
      </c>
      <c r="F690" s="253">
        <v>4.0</v>
      </c>
      <c r="G690" s="254">
        <v>0.0</v>
      </c>
      <c r="H690" s="255">
        <f t="shared" si="33"/>
        <v>0</v>
      </c>
      <c r="I690" s="256" t="s">
        <v>43</v>
      </c>
      <c r="J690" s="896" t="s">
        <v>5109</v>
      </c>
      <c r="K690" s="258">
        <v>43398.0</v>
      </c>
      <c r="L690" s="258">
        <v>43389.0</v>
      </c>
      <c r="M690" s="388"/>
      <c r="N690" s="333" t="s">
        <v>1537</v>
      </c>
      <c r="O690" s="310" t="s">
        <v>5609</v>
      </c>
      <c r="P690" s="598"/>
      <c r="Q690" s="579">
        <v>12470.0</v>
      </c>
      <c r="R690" s="765" t="s">
        <v>2148</v>
      </c>
      <c r="S690" s="768">
        <v>43409.0</v>
      </c>
      <c r="T690" s="771">
        <v>43389.0</v>
      </c>
      <c r="U690" s="252" t="s">
        <v>5430</v>
      </c>
      <c r="V690" s="765" t="s">
        <v>5610</v>
      </c>
      <c r="W690" s="769">
        <v>43409.0</v>
      </c>
      <c r="X690" s="765" t="s">
        <v>5607</v>
      </c>
      <c r="Y690" s="815" t="s">
        <v>5608</v>
      </c>
      <c r="Z690" s="765"/>
      <c r="AA690" s="765"/>
      <c r="AB690" s="765"/>
      <c r="AC690" s="253" t="s">
        <v>284</v>
      </c>
    </row>
    <row r="691" ht="15.75" customHeight="1">
      <c r="A691" s="764">
        <v>43381.0</v>
      </c>
      <c r="B691" s="144" t="s">
        <v>77</v>
      </c>
      <c r="C691" s="765">
        <v>1009.0</v>
      </c>
      <c r="D691" s="252" t="s">
        <v>5602</v>
      </c>
      <c r="E691" s="252" t="s">
        <v>647</v>
      </c>
      <c r="F691" s="253">
        <v>4.0</v>
      </c>
      <c r="G691" s="254">
        <v>0.0</v>
      </c>
      <c r="H691" s="255">
        <f t="shared" si="33"/>
        <v>0</v>
      </c>
      <c r="I691" s="256" t="s">
        <v>43</v>
      </c>
      <c r="J691" s="896" t="s">
        <v>5109</v>
      </c>
      <c r="K691" s="258">
        <v>43398.0</v>
      </c>
      <c r="L691" s="258">
        <v>43389.0</v>
      </c>
      <c r="M691" s="388"/>
      <c r="N691" s="333" t="s">
        <v>1537</v>
      </c>
      <c r="O691" s="310" t="s">
        <v>5609</v>
      </c>
      <c r="P691" s="598"/>
      <c r="Q691" s="579">
        <v>0.0</v>
      </c>
      <c r="R691" s="765" t="s">
        <v>2148</v>
      </c>
      <c r="S691" s="768">
        <v>43409.0</v>
      </c>
      <c r="T691" s="771">
        <v>43389.0</v>
      </c>
      <c r="U691" s="252" t="s">
        <v>5430</v>
      </c>
      <c r="V691" s="765" t="s">
        <v>5610</v>
      </c>
      <c r="W691" s="769">
        <v>43409.0</v>
      </c>
      <c r="X691" s="765" t="s">
        <v>5607</v>
      </c>
      <c r="Y691" s="815" t="s">
        <v>5608</v>
      </c>
      <c r="Z691" s="765"/>
      <c r="AA691" s="765"/>
      <c r="AB691" s="765"/>
      <c r="AC691" s="253" t="s">
        <v>284</v>
      </c>
    </row>
    <row r="692" ht="15.75" customHeight="1">
      <c r="A692" s="764">
        <v>43381.0</v>
      </c>
      <c r="B692" s="144" t="s">
        <v>77</v>
      </c>
      <c r="C692" s="765">
        <v>1009.0</v>
      </c>
      <c r="D692" s="252" t="s">
        <v>5602</v>
      </c>
      <c r="E692" s="252" t="s">
        <v>648</v>
      </c>
      <c r="F692" s="253">
        <v>4.0</v>
      </c>
      <c r="G692" s="254">
        <v>0.0</v>
      </c>
      <c r="H692" s="255">
        <f t="shared" si="33"/>
        <v>0</v>
      </c>
      <c r="I692" s="256" t="s">
        <v>43</v>
      </c>
      <c r="J692" s="896" t="s">
        <v>5109</v>
      </c>
      <c r="K692" s="258">
        <v>43398.0</v>
      </c>
      <c r="L692" s="258">
        <v>43389.0</v>
      </c>
      <c r="M692" s="388"/>
      <c r="N692" s="333" t="s">
        <v>1537</v>
      </c>
      <c r="O692" s="310" t="s">
        <v>5609</v>
      </c>
      <c r="P692" s="598"/>
      <c r="Q692" s="579">
        <v>0.0</v>
      </c>
      <c r="R692" s="765" t="s">
        <v>2148</v>
      </c>
      <c r="S692" s="768">
        <v>43409.0</v>
      </c>
      <c r="T692" s="771">
        <v>43389.0</v>
      </c>
      <c r="U692" s="252" t="s">
        <v>5430</v>
      </c>
      <c r="V692" s="765" t="s">
        <v>5610</v>
      </c>
      <c r="W692" s="769">
        <v>43409.0</v>
      </c>
      <c r="X692" s="765" t="s">
        <v>5607</v>
      </c>
      <c r="Y692" s="815" t="s">
        <v>5608</v>
      </c>
      <c r="Z692" s="765"/>
      <c r="AA692" s="765"/>
      <c r="AB692" s="765"/>
      <c r="AC692" s="253" t="s">
        <v>284</v>
      </c>
    </row>
    <row r="693" ht="15.75" customHeight="1">
      <c r="A693" s="764">
        <v>43381.0</v>
      </c>
      <c r="B693" s="144" t="s">
        <v>77</v>
      </c>
      <c r="C693" s="765">
        <v>1009.0</v>
      </c>
      <c r="D693" s="252" t="s">
        <v>5602</v>
      </c>
      <c r="E693" s="252" t="s">
        <v>649</v>
      </c>
      <c r="F693" s="253">
        <v>4.0</v>
      </c>
      <c r="G693" s="254">
        <v>0.0</v>
      </c>
      <c r="H693" s="255">
        <f t="shared" si="33"/>
        <v>0</v>
      </c>
      <c r="I693" s="256" t="s">
        <v>43</v>
      </c>
      <c r="J693" s="896" t="s">
        <v>5109</v>
      </c>
      <c r="K693" s="258">
        <v>43398.0</v>
      </c>
      <c r="L693" s="258">
        <v>43389.0</v>
      </c>
      <c r="M693" s="388"/>
      <c r="N693" s="333" t="s">
        <v>1537</v>
      </c>
      <c r="O693" s="310" t="s">
        <v>5609</v>
      </c>
      <c r="P693" s="598"/>
      <c r="Q693" s="579">
        <v>0.0</v>
      </c>
      <c r="R693" s="765" t="s">
        <v>2148</v>
      </c>
      <c r="S693" s="768">
        <v>43409.0</v>
      </c>
      <c r="T693" s="771">
        <v>43389.0</v>
      </c>
      <c r="U693" s="252" t="s">
        <v>5430</v>
      </c>
      <c r="V693" s="765" t="s">
        <v>5610</v>
      </c>
      <c r="W693" s="769">
        <v>43409.0</v>
      </c>
      <c r="X693" s="765" t="s">
        <v>5607</v>
      </c>
      <c r="Y693" s="815" t="s">
        <v>5608</v>
      </c>
      <c r="Z693" s="765"/>
      <c r="AA693" s="765"/>
      <c r="AB693" s="765"/>
      <c r="AC693" s="253" t="s">
        <v>284</v>
      </c>
    </row>
    <row r="694" ht="15.75" customHeight="1">
      <c r="A694" s="764">
        <v>43381.0</v>
      </c>
      <c r="B694" s="144" t="s">
        <v>77</v>
      </c>
      <c r="C694" s="765">
        <v>1009.0</v>
      </c>
      <c r="D694" s="252" t="s">
        <v>5602</v>
      </c>
      <c r="E694" s="252" t="s">
        <v>5119</v>
      </c>
      <c r="F694" s="253">
        <v>4.0</v>
      </c>
      <c r="G694" s="254">
        <v>0.0</v>
      </c>
      <c r="H694" s="255">
        <f t="shared" si="33"/>
        <v>0</v>
      </c>
      <c r="I694" s="256" t="s">
        <v>43</v>
      </c>
      <c r="J694" s="896" t="s">
        <v>5109</v>
      </c>
      <c r="K694" s="258">
        <v>43398.0</v>
      </c>
      <c r="L694" s="266" t="s">
        <v>179</v>
      </c>
      <c r="M694" s="388"/>
      <c r="N694" s="333" t="s">
        <v>2039</v>
      </c>
      <c r="O694" s="310"/>
      <c r="P694" s="598"/>
      <c r="Q694" s="596"/>
      <c r="R694" s="310"/>
      <c r="S694" s="330"/>
      <c r="T694" s="766"/>
      <c r="U694" s="766"/>
      <c r="V694" s="766"/>
      <c r="W694" s="767"/>
      <c r="X694" s="765" t="s">
        <v>5607</v>
      </c>
      <c r="Y694" s="815" t="s">
        <v>5608</v>
      </c>
      <c r="Z694" s="765"/>
      <c r="AA694" s="765"/>
      <c r="AB694" s="765"/>
      <c r="AC694" s="253" t="s">
        <v>284</v>
      </c>
    </row>
    <row r="695" ht="15.75" customHeight="1">
      <c r="A695" s="764">
        <v>43381.0</v>
      </c>
      <c r="B695" s="144" t="s">
        <v>77</v>
      </c>
      <c r="C695" s="765">
        <v>1009.0</v>
      </c>
      <c r="D695" s="252" t="s">
        <v>5602</v>
      </c>
      <c r="E695" s="602" t="s">
        <v>3562</v>
      </c>
      <c r="F695" s="253">
        <v>4.0</v>
      </c>
      <c r="G695" s="254">
        <v>6.0</v>
      </c>
      <c r="H695" s="255">
        <f t="shared" si="33"/>
        <v>24</v>
      </c>
      <c r="I695" s="256" t="s">
        <v>43</v>
      </c>
      <c r="J695" s="896" t="s">
        <v>5109</v>
      </c>
      <c r="K695" s="258">
        <v>43398.0</v>
      </c>
      <c r="L695" s="266" t="s">
        <v>179</v>
      </c>
      <c r="M695" s="388"/>
      <c r="N695" s="333" t="s">
        <v>2039</v>
      </c>
      <c r="O695" s="310" t="s">
        <v>5281</v>
      </c>
      <c r="P695" s="598"/>
      <c r="Q695" s="596"/>
      <c r="R695" s="310"/>
      <c r="S695" s="330"/>
      <c r="T695" s="766"/>
      <c r="U695" s="766"/>
      <c r="V695" s="766"/>
      <c r="W695" s="767"/>
      <c r="X695" s="765" t="s">
        <v>5607</v>
      </c>
      <c r="Y695" s="815" t="s">
        <v>5608</v>
      </c>
      <c r="Z695" s="765"/>
      <c r="AA695" s="765"/>
      <c r="AB695" s="765"/>
      <c r="AC695" s="253" t="s">
        <v>284</v>
      </c>
    </row>
    <row r="696" ht="15.75" customHeight="1">
      <c r="A696" s="764">
        <v>43381.0</v>
      </c>
      <c r="B696" s="144" t="s">
        <v>77</v>
      </c>
      <c r="C696" s="765">
        <v>1009.0</v>
      </c>
      <c r="D696" s="252" t="s">
        <v>5602</v>
      </c>
      <c r="E696" s="602" t="s">
        <v>5282</v>
      </c>
      <c r="F696" s="253">
        <v>4.0</v>
      </c>
      <c r="G696" s="254">
        <v>2.0</v>
      </c>
      <c r="H696" s="255">
        <f t="shared" si="33"/>
        <v>8</v>
      </c>
      <c r="I696" s="256" t="s">
        <v>43</v>
      </c>
      <c r="J696" s="896" t="s">
        <v>5109</v>
      </c>
      <c r="K696" s="258">
        <v>43398.0</v>
      </c>
      <c r="L696" s="266" t="s">
        <v>179</v>
      </c>
      <c r="M696" s="388"/>
      <c r="N696" s="333" t="s">
        <v>2039</v>
      </c>
      <c r="O696" s="310" t="s">
        <v>5281</v>
      </c>
      <c r="P696" s="598"/>
      <c r="Q696" s="596"/>
      <c r="R696" s="310"/>
      <c r="S696" s="330"/>
      <c r="T696" s="766"/>
      <c r="U696" s="766"/>
      <c r="V696" s="766"/>
      <c r="W696" s="767"/>
      <c r="X696" s="765" t="s">
        <v>5607</v>
      </c>
      <c r="Y696" s="815" t="s">
        <v>5608</v>
      </c>
      <c r="Z696" s="765"/>
      <c r="AA696" s="765"/>
      <c r="AB696" s="765"/>
      <c r="AC696" s="253" t="s">
        <v>284</v>
      </c>
    </row>
    <row r="697" ht="15.75" hidden="1" customHeight="1">
      <c r="A697" s="764">
        <v>43381.0</v>
      </c>
      <c r="B697" s="597" t="s">
        <v>406</v>
      </c>
      <c r="C697" s="765">
        <v>7.000141715E9</v>
      </c>
      <c r="D697" s="252" t="s">
        <v>5611</v>
      </c>
      <c r="E697" s="602" t="s">
        <v>611</v>
      </c>
      <c r="F697" s="253">
        <v>7.0</v>
      </c>
      <c r="G697" s="254">
        <v>148.0</v>
      </c>
      <c r="H697" s="255">
        <f t="shared" si="33"/>
        <v>1036</v>
      </c>
      <c r="I697" s="256" t="s">
        <v>43</v>
      </c>
      <c r="J697" s="333" t="s">
        <v>4002</v>
      </c>
      <c r="K697" s="258">
        <v>43391.0</v>
      </c>
      <c r="L697" s="258">
        <v>43385.0</v>
      </c>
      <c r="M697" s="388"/>
      <c r="N697" s="333" t="s">
        <v>5612</v>
      </c>
      <c r="O697" s="252" t="s">
        <v>5613</v>
      </c>
      <c r="P697" s="598"/>
      <c r="Q697" s="579">
        <v>28680.0</v>
      </c>
      <c r="R697" s="310" t="s">
        <v>2080</v>
      </c>
      <c r="S697" s="768">
        <v>43465.0</v>
      </c>
      <c r="T697" s="769">
        <v>43385.0</v>
      </c>
      <c r="U697" s="765" t="s">
        <v>5614</v>
      </c>
      <c r="V697" s="770">
        <v>55380.0</v>
      </c>
      <c r="W697" s="769">
        <v>43467.0</v>
      </c>
      <c r="X697" s="765" t="s">
        <v>5615</v>
      </c>
      <c r="Y697" s="765">
        <v>6.793487632E9</v>
      </c>
      <c r="Z697" s="766"/>
      <c r="AA697" s="766"/>
      <c r="AB697" s="766"/>
      <c r="AC697" s="253" t="s">
        <v>284</v>
      </c>
    </row>
    <row r="698" ht="15.75" hidden="1" customHeight="1">
      <c r="A698" s="764">
        <v>43381.0</v>
      </c>
      <c r="B698" s="597" t="s">
        <v>406</v>
      </c>
      <c r="C698" s="765">
        <v>7.000141715E9</v>
      </c>
      <c r="D698" s="358" t="s">
        <v>5616</v>
      </c>
      <c r="E698" s="602" t="s">
        <v>519</v>
      </c>
      <c r="F698" s="253">
        <v>5.0</v>
      </c>
      <c r="G698" s="254">
        <v>149.0</v>
      </c>
      <c r="H698" s="255">
        <f t="shared" si="33"/>
        <v>745</v>
      </c>
      <c r="I698" s="256" t="s">
        <v>43</v>
      </c>
      <c r="J698" s="333" t="s">
        <v>4002</v>
      </c>
      <c r="K698" s="258">
        <v>43391.0</v>
      </c>
      <c r="L698" s="258">
        <v>43385.0</v>
      </c>
      <c r="M698" s="388"/>
      <c r="N698" s="333" t="s">
        <v>2078</v>
      </c>
      <c r="O698" s="252" t="s">
        <v>5613</v>
      </c>
      <c r="P698" s="598"/>
      <c r="Q698" s="579">
        <v>20548.0</v>
      </c>
      <c r="R698" s="310" t="s">
        <v>2080</v>
      </c>
      <c r="S698" s="768">
        <v>43465.0</v>
      </c>
      <c r="T698" s="769">
        <v>43385.0</v>
      </c>
      <c r="U698" s="765" t="s">
        <v>5614</v>
      </c>
      <c r="V698" s="765" t="s">
        <v>5617</v>
      </c>
      <c r="W698" s="769">
        <v>43467.0</v>
      </c>
      <c r="X698" s="765" t="s">
        <v>5615</v>
      </c>
      <c r="Y698" s="765">
        <v>6.793487632E9</v>
      </c>
      <c r="Z698" s="766"/>
      <c r="AA698" s="766"/>
      <c r="AB698" s="766"/>
      <c r="AC698" s="253" t="s">
        <v>284</v>
      </c>
    </row>
    <row r="699" ht="15.75" hidden="1" customHeight="1">
      <c r="A699" s="764">
        <v>43381.0</v>
      </c>
      <c r="B699" s="597" t="s">
        <v>406</v>
      </c>
      <c r="C699" s="765">
        <v>7.000141715E9</v>
      </c>
      <c r="D699" s="252" t="s">
        <v>5611</v>
      </c>
      <c r="E699" s="602" t="s">
        <v>958</v>
      </c>
      <c r="F699" s="253">
        <v>3.0</v>
      </c>
      <c r="G699" s="254">
        <v>74.0</v>
      </c>
      <c r="H699" s="255">
        <f t="shared" si="33"/>
        <v>222</v>
      </c>
      <c r="I699" s="256" t="s">
        <v>43</v>
      </c>
      <c r="J699" s="333" t="s">
        <v>4002</v>
      </c>
      <c r="K699" s="258">
        <v>43391.0</v>
      </c>
      <c r="L699" s="258">
        <v>43385.0</v>
      </c>
      <c r="M699" s="388"/>
      <c r="N699" s="333" t="s">
        <v>2078</v>
      </c>
      <c r="O699" s="252" t="s">
        <v>5613</v>
      </c>
      <c r="P699" s="598"/>
      <c r="Q699" s="579">
        <v>6152.0</v>
      </c>
      <c r="R699" s="310" t="s">
        <v>2080</v>
      </c>
      <c r="S699" s="768">
        <v>43465.0</v>
      </c>
      <c r="T699" s="769">
        <v>43385.0</v>
      </c>
      <c r="U699" s="765" t="s">
        <v>5614</v>
      </c>
      <c r="V699" s="765" t="s">
        <v>5617</v>
      </c>
      <c r="W699" s="769">
        <v>43467.0</v>
      </c>
      <c r="X699" s="765" t="s">
        <v>5615</v>
      </c>
      <c r="Y699" s="765">
        <v>6.793487632E9</v>
      </c>
      <c r="Z699" s="766"/>
      <c r="AA699" s="766"/>
      <c r="AB699" s="766"/>
      <c r="AC699" s="253" t="s">
        <v>284</v>
      </c>
    </row>
    <row r="700" ht="15.75" hidden="1" customHeight="1">
      <c r="A700" s="258">
        <v>43381.0</v>
      </c>
      <c r="B700" s="892" t="s">
        <v>101</v>
      </c>
      <c r="C700" s="358" t="s">
        <v>5618</v>
      </c>
      <c r="D700" s="897"/>
      <c r="E700" s="595" t="s">
        <v>5619</v>
      </c>
      <c r="F700" s="359">
        <v>5.0</v>
      </c>
      <c r="G700" s="366">
        <v>1108.0</v>
      </c>
      <c r="H700" s="267">
        <f t="shared" ref="H700:H701" si="34">F700*G700</f>
        <v>5540</v>
      </c>
      <c r="I700" s="266" t="s">
        <v>303</v>
      </c>
      <c r="J700" s="884" t="s">
        <v>3739</v>
      </c>
      <c r="K700" s="258">
        <v>43409.0</v>
      </c>
      <c r="L700" s="258">
        <v>43406.0</v>
      </c>
      <c r="M700" s="320"/>
      <c r="N700" s="333" t="s">
        <v>1439</v>
      </c>
      <c r="O700" s="358" t="s">
        <v>5620</v>
      </c>
      <c r="P700" s="268" t="s">
        <v>0</v>
      </c>
      <c r="Q700" s="579">
        <v>161545.0</v>
      </c>
      <c r="R700" s="320" t="s">
        <v>1976</v>
      </c>
      <c r="S700" s="768">
        <v>43465.0</v>
      </c>
      <c r="T700" s="771">
        <v>43406.0</v>
      </c>
      <c r="U700" s="252" t="s">
        <v>5621</v>
      </c>
      <c r="V700" s="774">
        <v>161545.0</v>
      </c>
      <c r="W700" s="771">
        <v>43469.0</v>
      </c>
      <c r="X700" s="252" t="s">
        <v>5571</v>
      </c>
      <c r="Y700" s="602">
        <v>2.574425405E9</v>
      </c>
      <c r="Z700" s="839"/>
      <c r="AA700" s="839"/>
      <c r="AB700" s="839"/>
      <c r="AC700" s="253" t="s">
        <v>284</v>
      </c>
    </row>
    <row r="701" ht="15.75" hidden="1" customHeight="1">
      <c r="A701" s="258">
        <v>43381.0</v>
      </c>
      <c r="B701" s="892" t="s">
        <v>101</v>
      </c>
      <c r="C701" s="358" t="s">
        <v>5618</v>
      </c>
      <c r="D701" s="358" t="s">
        <v>5622</v>
      </c>
      <c r="E701" s="892" t="s">
        <v>5623</v>
      </c>
      <c r="F701" s="359">
        <v>7.0</v>
      </c>
      <c r="G701" s="366">
        <v>1108.0</v>
      </c>
      <c r="H701" s="267">
        <f t="shared" si="34"/>
        <v>7756</v>
      </c>
      <c r="I701" s="266" t="s">
        <v>303</v>
      </c>
      <c r="J701" s="884" t="s">
        <v>3739</v>
      </c>
      <c r="K701" s="258">
        <v>43420.0</v>
      </c>
      <c r="L701" s="258">
        <v>43418.0</v>
      </c>
      <c r="M701" s="320"/>
      <c r="N701" s="333" t="s">
        <v>1439</v>
      </c>
      <c r="O701" s="358" t="s">
        <v>5620</v>
      </c>
      <c r="P701" s="268" t="s">
        <v>0</v>
      </c>
      <c r="Q701" s="579">
        <v>226163.0</v>
      </c>
      <c r="R701" s="320" t="s">
        <v>1976</v>
      </c>
      <c r="S701" s="768">
        <v>43465.0</v>
      </c>
      <c r="T701" s="771">
        <v>43417.0</v>
      </c>
      <c r="U701" s="252" t="s">
        <v>5624</v>
      </c>
      <c r="V701" s="774">
        <v>226163.0</v>
      </c>
      <c r="W701" s="771">
        <v>43469.0</v>
      </c>
      <c r="X701" s="252" t="s">
        <v>5445</v>
      </c>
      <c r="Y701" s="765">
        <v>7.282183672E9</v>
      </c>
      <c r="Z701" s="839"/>
      <c r="AA701" s="839"/>
      <c r="AB701" s="839"/>
      <c r="AC701" s="253" t="s">
        <v>284</v>
      </c>
    </row>
    <row r="702" ht="15.75" hidden="1" customHeight="1">
      <c r="A702" s="764">
        <v>43381.0</v>
      </c>
      <c r="B702" s="597" t="s">
        <v>406</v>
      </c>
      <c r="C702" s="252">
        <v>7.000141826E9</v>
      </c>
      <c r="D702" s="422" t="s">
        <v>5625</v>
      </c>
      <c r="E702" s="602" t="s">
        <v>5626</v>
      </c>
      <c r="F702" s="253">
        <v>1.0</v>
      </c>
      <c r="G702" s="254">
        <v>280.0</v>
      </c>
      <c r="H702" s="255">
        <f t="shared" ref="H702:H704" si="35">G702*F702</f>
        <v>280</v>
      </c>
      <c r="I702" s="256" t="s">
        <v>43</v>
      </c>
      <c r="J702" s="333" t="s">
        <v>4002</v>
      </c>
      <c r="K702" s="258">
        <v>43391.0</v>
      </c>
      <c r="L702" s="258">
        <v>43391.0</v>
      </c>
      <c r="M702" s="388"/>
      <c r="N702" s="266" t="s">
        <v>5627</v>
      </c>
      <c r="O702" s="310" t="s">
        <v>5628</v>
      </c>
      <c r="P702" s="268">
        <v>232.05</v>
      </c>
      <c r="Q702" s="637">
        <v>7136.0</v>
      </c>
      <c r="R702" s="252" t="s">
        <v>5629</v>
      </c>
      <c r="S702" s="768">
        <v>43465.0</v>
      </c>
      <c r="T702" s="809">
        <v>43412.0</v>
      </c>
      <c r="U702" s="252" t="s">
        <v>5630</v>
      </c>
      <c r="V702" s="774">
        <v>7136.0</v>
      </c>
      <c r="W702" s="769">
        <v>43467.0</v>
      </c>
      <c r="X702" s="765" t="s">
        <v>5615</v>
      </c>
      <c r="Y702" s="765">
        <v>6.793487632E9</v>
      </c>
      <c r="Z702" s="766"/>
      <c r="AA702" s="766"/>
      <c r="AB702" s="766"/>
      <c r="AC702" s="253" t="s">
        <v>284</v>
      </c>
    </row>
    <row r="703" ht="15.75" hidden="1" customHeight="1">
      <c r="A703" s="764">
        <v>43381.0</v>
      </c>
      <c r="B703" s="265" t="s">
        <v>119</v>
      </c>
      <c r="C703" s="895" t="s">
        <v>5631</v>
      </c>
      <c r="D703" s="368" t="s">
        <v>5632</v>
      </c>
      <c r="E703" s="815" t="s">
        <v>158</v>
      </c>
      <c r="F703" s="253">
        <v>1.0</v>
      </c>
      <c r="G703" s="267">
        <v>979.0</v>
      </c>
      <c r="H703" s="255">
        <f t="shared" si="35"/>
        <v>979</v>
      </c>
      <c r="I703" s="256" t="s">
        <v>171</v>
      </c>
      <c r="J703" s="428" t="s">
        <v>122</v>
      </c>
      <c r="K703" s="258">
        <v>43427.0</v>
      </c>
      <c r="L703" s="258">
        <v>43423.0</v>
      </c>
      <c r="M703" s="388"/>
      <c r="N703" s="333" t="s">
        <v>90</v>
      </c>
      <c r="O703" s="310" t="s">
        <v>5633</v>
      </c>
      <c r="P703" s="268">
        <v>835.8</v>
      </c>
      <c r="Q703" s="596"/>
      <c r="R703" s="340" t="s">
        <v>94</v>
      </c>
      <c r="S703" s="768">
        <v>43465.0</v>
      </c>
      <c r="T703" s="769">
        <v>43420.0</v>
      </c>
      <c r="U703" s="765" t="s">
        <v>5634</v>
      </c>
      <c r="V703" s="770">
        <v>25663.0</v>
      </c>
      <c r="W703" s="769">
        <v>43467.0</v>
      </c>
      <c r="X703" s="252" t="s">
        <v>5635</v>
      </c>
      <c r="Y703" s="765" t="s">
        <v>5636</v>
      </c>
      <c r="Z703" s="765"/>
      <c r="AA703" s="765"/>
      <c r="AB703" s="765"/>
      <c r="AC703" s="266" t="s">
        <v>284</v>
      </c>
    </row>
    <row r="704" ht="15.75" hidden="1" customHeight="1">
      <c r="A704" s="764">
        <v>43383.0</v>
      </c>
      <c r="B704" s="597" t="s">
        <v>406</v>
      </c>
      <c r="C704" s="765">
        <v>7.000141821E9</v>
      </c>
      <c r="D704" s="252" t="s">
        <v>5637</v>
      </c>
      <c r="E704" s="602" t="s">
        <v>519</v>
      </c>
      <c r="F704" s="253">
        <v>100.0</v>
      </c>
      <c r="G704" s="254">
        <v>143.62</v>
      </c>
      <c r="H704" s="255">
        <f t="shared" si="35"/>
        <v>14362</v>
      </c>
      <c r="I704" s="256" t="s">
        <v>43</v>
      </c>
      <c r="J704" s="333" t="s">
        <v>4002</v>
      </c>
      <c r="K704" s="258">
        <v>43410.0</v>
      </c>
      <c r="L704" s="258">
        <v>43405.0</v>
      </c>
      <c r="M704" s="388"/>
      <c r="N704" s="333" t="s">
        <v>3593</v>
      </c>
      <c r="O704" s="252" t="s">
        <v>5638</v>
      </c>
      <c r="P704" s="598"/>
      <c r="Q704" s="791">
        <v>410970.0</v>
      </c>
      <c r="R704" s="310" t="s">
        <v>2080</v>
      </c>
      <c r="S704" s="768">
        <v>43131.0</v>
      </c>
      <c r="T704" s="769">
        <v>43404.0</v>
      </c>
      <c r="U704" s="765" t="s">
        <v>5639</v>
      </c>
      <c r="V704" s="770">
        <v>410970.0</v>
      </c>
      <c r="W704" s="769">
        <v>43494.0</v>
      </c>
      <c r="X704" s="765" t="s">
        <v>5640</v>
      </c>
      <c r="Y704" s="765">
        <v>2.292362284E9</v>
      </c>
      <c r="Z704" s="765"/>
      <c r="AA704" s="765"/>
      <c r="AB704" s="765"/>
      <c r="AC704" s="253" t="s">
        <v>284</v>
      </c>
    </row>
    <row r="705" ht="15.75" hidden="1" customHeight="1">
      <c r="A705" s="764">
        <v>43384.0</v>
      </c>
      <c r="B705" s="265" t="s">
        <v>130</v>
      </c>
      <c r="C705" s="895" t="s">
        <v>5641</v>
      </c>
      <c r="D705" s="368" t="s">
        <v>5642</v>
      </c>
      <c r="E705" s="602" t="s">
        <v>5643</v>
      </c>
      <c r="F705" s="253">
        <v>10.0</v>
      </c>
      <c r="G705" s="254">
        <v>90.0</v>
      </c>
      <c r="H705" s="255">
        <v>900.0</v>
      </c>
      <c r="I705" s="256" t="s">
        <v>420</v>
      </c>
      <c r="J705" s="876" t="s">
        <v>5644</v>
      </c>
      <c r="K705" s="258">
        <v>43419.0</v>
      </c>
      <c r="L705" s="258">
        <v>43397.0</v>
      </c>
      <c r="M705" s="388"/>
      <c r="N705" s="333" t="s">
        <v>90</v>
      </c>
      <c r="O705" s="310" t="s">
        <v>5645</v>
      </c>
      <c r="P705" s="268">
        <v>892.5</v>
      </c>
      <c r="Q705" s="596"/>
      <c r="R705" s="340" t="s">
        <v>94</v>
      </c>
      <c r="S705" s="768">
        <v>43434.0</v>
      </c>
      <c r="T705" s="769">
        <v>43396.0</v>
      </c>
      <c r="U705" s="765" t="s">
        <v>5646</v>
      </c>
      <c r="V705" s="770">
        <v>62882.0</v>
      </c>
      <c r="W705" s="769">
        <v>43440.0</v>
      </c>
      <c r="X705" s="578" t="s">
        <v>5647</v>
      </c>
      <c r="Y705" s="765" t="s">
        <v>5648</v>
      </c>
      <c r="Z705" s="765"/>
      <c r="AA705" s="765"/>
      <c r="AB705" s="765"/>
      <c r="AC705" s="266" t="s">
        <v>284</v>
      </c>
    </row>
    <row r="706" ht="15.75" hidden="1" customHeight="1">
      <c r="A706" s="764">
        <v>43384.0</v>
      </c>
      <c r="B706" s="265" t="s">
        <v>130</v>
      </c>
      <c r="C706" s="895" t="s">
        <v>5641</v>
      </c>
      <c r="D706" s="368" t="s">
        <v>5642</v>
      </c>
      <c r="E706" s="602" t="s">
        <v>5649</v>
      </c>
      <c r="F706" s="253">
        <v>10.0</v>
      </c>
      <c r="G706" s="254">
        <v>66.0</v>
      </c>
      <c r="H706" s="255">
        <v>660.0</v>
      </c>
      <c r="I706" s="256" t="s">
        <v>420</v>
      </c>
      <c r="J706" s="876" t="s">
        <v>5644</v>
      </c>
      <c r="K706" s="258">
        <v>43419.0</v>
      </c>
      <c r="L706" s="258">
        <v>43397.0</v>
      </c>
      <c r="M706" s="388"/>
      <c r="N706" s="333" t="s">
        <v>90</v>
      </c>
      <c r="O706" s="310" t="s">
        <v>5645</v>
      </c>
      <c r="P706" s="268">
        <v>630.0</v>
      </c>
      <c r="Q706" s="596"/>
      <c r="R706" s="340" t="s">
        <v>94</v>
      </c>
      <c r="S706" s="768">
        <v>43434.0</v>
      </c>
      <c r="T706" s="769">
        <v>43396.0</v>
      </c>
      <c r="U706" s="765" t="s">
        <v>5646</v>
      </c>
      <c r="V706" s="765" t="s">
        <v>5650</v>
      </c>
      <c r="W706" s="769">
        <v>43440.0</v>
      </c>
      <c r="X706" s="578" t="s">
        <v>5647</v>
      </c>
      <c r="Y706" s="765" t="s">
        <v>5648</v>
      </c>
      <c r="Z706" s="765"/>
      <c r="AA706" s="765"/>
      <c r="AB706" s="765"/>
      <c r="AC706" s="266" t="s">
        <v>284</v>
      </c>
    </row>
    <row r="707" ht="15.75" hidden="1" customHeight="1">
      <c r="A707" s="764">
        <v>43384.0</v>
      </c>
      <c r="B707" s="265" t="s">
        <v>130</v>
      </c>
      <c r="C707" s="895" t="s">
        <v>5641</v>
      </c>
      <c r="D707" s="368" t="s">
        <v>5642</v>
      </c>
      <c r="E707" s="602" t="s">
        <v>718</v>
      </c>
      <c r="F707" s="253">
        <v>5.0</v>
      </c>
      <c r="G707" s="254">
        <v>50.0</v>
      </c>
      <c r="H707" s="255">
        <v>250.0</v>
      </c>
      <c r="I707" s="256" t="s">
        <v>420</v>
      </c>
      <c r="J707" s="876" t="s">
        <v>5644</v>
      </c>
      <c r="K707" s="258">
        <v>43419.0</v>
      </c>
      <c r="L707" s="258">
        <v>43397.0</v>
      </c>
      <c r="M707" s="388"/>
      <c r="N707" s="333" t="s">
        <v>90</v>
      </c>
      <c r="O707" s="310" t="s">
        <v>5645</v>
      </c>
      <c r="P707" s="268">
        <v>241.5</v>
      </c>
      <c r="Q707" s="596"/>
      <c r="R707" s="340" t="s">
        <v>94</v>
      </c>
      <c r="S707" s="768">
        <v>43434.0</v>
      </c>
      <c r="T707" s="769">
        <v>43396.0</v>
      </c>
      <c r="U707" s="765" t="s">
        <v>5646</v>
      </c>
      <c r="V707" s="765" t="s">
        <v>5650</v>
      </c>
      <c r="W707" s="769">
        <v>43440.0</v>
      </c>
      <c r="X707" s="578" t="s">
        <v>5647</v>
      </c>
      <c r="Y707" s="765" t="s">
        <v>5648</v>
      </c>
      <c r="Z707" s="765"/>
      <c r="AA707" s="765"/>
      <c r="AB707" s="765"/>
      <c r="AC707" s="266" t="s">
        <v>284</v>
      </c>
    </row>
    <row r="708" ht="15.75" hidden="1" customHeight="1">
      <c r="A708" s="764">
        <v>43384.0</v>
      </c>
      <c r="B708" s="265" t="s">
        <v>130</v>
      </c>
      <c r="C708" s="895" t="s">
        <v>5641</v>
      </c>
      <c r="D708" s="368" t="s">
        <v>5642</v>
      </c>
      <c r="E708" s="602" t="s">
        <v>453</v>
      </c>
      <c r="F708" s="253">
        <v>5.0</v>
      </c>
      <c r="G708" s="254">
        <v>58.0</v>
      </c>
      <c r="H708" s="255">
        <v>290.0</v>
      </c>
      <c r="I708" s="256" t="s">
        <v>420</v>
      </c>
      <c r="J708" s="876" t="s">
        <v>5644</v>
      </c>
      <c r="K708" s="258">
        <v>43419.0</v>
      </c>
      <c r="L708" s="258">
        <v>43397.0</v>
      </c>
      <c r="M708" s="388"/>
      <c r="N708" s="333" t="s">
        <v>90</v>
      </c>
      <c r="O708" s="310" t="s">
        <v>5645</v>
      </c>
      <c r="P708" s="268">
        <v>273.0</v>
      </c>
      <c r="Q708" s="596"/>
      <c r="R708" s="340" t="s">
        <v>94</v>
      </c>
      <c r="S708" s="768">
        <v>43434.0</v>
      </c>
      <c r="T708" s="769">
        <v>43396.0</v>
      </c>
      <c r="U708" s="765" t="s">
        <v>5646</v>
      </c>
      <c r="V708" s="765" t="s">
        <v>5650</v>
      </c>
      <c r="W708" s="769">
        <v>43440.0</v>
      </c>
      <c r="X708" s="578" t="s">
        <v>5647</v>
      </c>
      <c r="Y708" s="765" t="s">
        <v>5648</v>
      </c>
      <c r="Z708" s="765"/>
      <c r="AA708" s="765"/>
      <c r="AB708" s="765"/>
      <c r="AC708" s="266" t="s">
        <v>284</v>
      </c>
    </row>
    <row r="709" ht="15.75" hidden="1" customHeight="1">
      <c r="A709" s="764">
        <v>43385.0</v>
      </c>
      <c r="B709" s="265" t="s">
        <v>631</v>
      </c>
      <c r="C709" s="895" t="s">
        <v>5651</v>
      </c>
      <c r="D709" s="368" t="s">
        <v>5652</v>
      </c>
      <c r="E709" s="765" t="s">
        <v>634</v>
      </c>
      <c r="F709" s="253">
        <v>20.0</v>
      </c>
      <c r="G709" s="325">
        <v>173.25</v>
      </c>
      <c r="H709" s="267">
        <f t="shared" ref="H709:H713" si="36">F709*G709</f>
        <v>3465</v>
      </c>
      <c r="I709" s="256" t="s">
        <v>171</v>
      </c>
      <c r="J709" s="321" t="s">
        <v>1324</v>
      </c>
      <c r="K709" s="258">
        <v>43396.0</v>
      </c>
      <c r="L709" s="258">
        <v>43391.0</v>
      </c>
      <c r="M709" s="388"/>
      <c r="N709" s="333" t="s">
        <v>2263</v>
      </c>
      <c r="O709" s="310" t="s">
        <v>5653</v>
      </c>
      <c r="P709" s="598"/>
      <c r="Q709" s="579">
        <v>101850.0</v>
      </c>
      <c r="R709" s="310" t="s">
        <v>2265</v>
      </c>
      <c r="S709" s="768">
        <v>43409.0</v>
      </c>
      <c r="T709" s="769">
        <v>43391.0</v>
      </c>
      <c r="U709" s="765" t="s">
        <v>5654</v>
      </c>
      <c r="V709" s="770">
        <v>101850.0</v>
      </c>
      <c r="W709" s="769">
        <v>43410.0</v>
      </c>
      <c r="X709" s="765" t="s">
        <v>5655</v>
      </c>
      <c r="Y709" s="765"/>
      <c r="Z709" s="602" t="s">
        <v>5656</v>
      </c>
      <c r="AA709" s="770">
        <v>107120.0</v>
      </c>
      <c r="AB709" s="765" t="s">
        <v>4982</v>
      </c>
      <c r="AC709" s="253" t="s">
        <v>377</v>
      </c>
    </row>
    <row r="710" ht="15.75" hidden="1" customHeight="1">
      <c r="A710" s="764">
        <v>43385.0</v>
      </c>
      <c r="B710" s="265" t="s">
        <v>119</v>
      </c>
      <c r="C710" s="895" t="s">
        <v>5657</v>
      </c>
      <c r="D710" s="368" t="s">
        <v>5658</v>
      </c>
      <c r="E710" s="602" t="s">
        <v>5659</v>
      </c>
      <c r="F710" s="253">
        <v>2.0</v>
      </c>
      <c r="G710" s="254">
        <v>1737.0</v>
      </c>
      <c r="H710" s="267">
        <f t="shared" si="36"/>
        <v>3474</v>
      </c>
      <c r="I710" s="256" t="s">
        <v>171</v>
      </c>
      <c r="J710" s="428" t="s">
        <v>122</v>
      </c>
      <c r="K710" s="258">
        <v>43427.0</v>
      </c>
      <c r="L710" s="258">
        <v>43426.0</v>
      </c>
      <c r="M710" s="388"/>
      <c r="N710" s="333" t="s">
        <v>90</v>
      </c>
      <c r="O710" s="310" t="s">
        <v>5660</v>
      </c>
      <c r="P710" s="268">
        <v>3118.5</v>
      </c>
      <c r="Q710" s="596"/>
      <c r="R710" s="340" t="s">
        <v>94</v>
      </c>
      <c r="S710" s="768">
        <v>43465.0</v>
      </c>
      <c r="T710" s="769">
        <v>43426.0</v>
      </c>
      <c r="U710" s="765" t="s">
        <v>5661</v>
      </c>
      <c r="V710" s="770">
        <v>96019.0</v>
      </c>
      <c r="W710" s="769">
        <v>43467.0</v>
      </c>
      <c r="X710" s="252" t="s">
        <v>5635</v>
      </c>
      <c r="Y710" s="765" t="s">
        <v>5636</v>
      </c>
      <c r="Z710" s="765"/>
      <c r="AA710" s="765"/>
      <c r="AB710" s="765"/>
      <c r="AC710" s="266" t="s">
        <v>284</v>
      </c>
    </row>
    <row r="711" ht="15.75" hidden="1" customHeight="1">
      <c r="A711" s="776">
        <v>43385.0</v>
      </c>
      <c r="B711" s="265" t="s">
        <v>119</v>
      </c>
      <c r="C711" s="368" t="s">
        <v>5662</v>
      </c>
      <c r="D711" s="368" t="s">
        <v>5663</v>
      </c>
      <c r="E711" s="602" t="s">
        <v>152</v>
      </c>
      <c r="F711" s="253">
        <v>2.0</v>
      </c>
      <c r="G711" s="254">
        <v>1045.0</v>
      </c>
      <c r="H711" s="267">
        <f t="shared" si="36"/>
        <v>2090</v>
      </c>
      <c r="I711" s="256" t="s">
        <v>171</v>
      </c>
      <c r="J711" s="428" t="s">
        <v>122</v>
      </c>
      <c r="K711" s="258">
        <v>43427.0</v>
      </c>
      <c r="L711" s="258">
        <v>43427.0</v>
      </c>
      <c r="M711" s="388"/>
      <c r="N711" s="333" t="s">
        <v>90</v>
      </c>
      <c r="O711" s="310" t="s">
        <v>5664</v>
      </c>
      <c r="P711" s="268">
        <v>1932.0</v>
      </c>
      <c r="Q711" s="596"/>
      <c r="R711" s="340" t="s">
        <v>94</v>
      </c>
      <c r="S711" s="768">
        <v>43465.0</v>
      </c>
      <c r="T711" s="769">
        <v>43426.0</v>
      </c>
      <c r="U711" s="765" t="s">
        <v>5665</v>
      </c>
      <c r="V711" s="770">
        <v>96989.0</v>
      </c>
      <c r="W711" s="769">
        <v>43467.0</v>
      </c>
      <c r="X711" s="252" t="s">
        <v>5635</v>
      </c>
      <c r="Y711" s="765" t="s">
        <v>5636</v>
      </c>
      <c r="Z711" s="765"/>
      <c r="AA711" s="765"/>
      <c r="AB711" s="765"/>
      <c r="AC711" s="266" t="s">
        <v>284</v>
      </c>
    </row>
    <row r="712" ht="15.75" hidden="1" customHeight="1">
      <c r="A712" s="776">
        <v>43385.0</v>
      </c>
      <c r="B712" s="265" t="s">
        <v>119</v>
      </c>
      <c r="C712" s="368" t="s">
        <v>5662</v>
      </c>
      <c r="D712" s="368" t="s">
        <v>5663</v>
      </c>
      <c r="E712" s="602" t="s">
        <v>415</v>
      </c>
      <c r="F712" s="253">
        <v>4.0</v>
      </c>
      <c r="G712" s="254">
        <v>335.0</v>
      </c>
      <c r="H712" s="267">
        <f t="shared" si="36"/>
        <v>1340</v>
      </c>
      <c r="I712" s="256" t="s">
        <v>171</v>
      </c>
      <c r="J712" s="428" t="s">
        <v>122</v>
      </c>
      <c r="K712" s="258">
        <v>43427.0</v>
      </c>
      <c r="L712" s="258">
        <v>43427.0</v>
      </c>
      <c r="M712" s="388"/>
      <c r="N712" s="333" t="s">
        <v>90</v>
      </c>
      <c r="O712" s="310" t="s">
        <v>5664</v>
      </c>
      <c r="P712" s="268">
        <v>1218.0</v>
      </c>
      <c r="Q712" s="596"/>
      <c r="R712" s="340" t="s">
        <v>94</v>
      </c>
      <c r="S712" s="768">
        <v>43465.0</v>
      </c>
      <c r="T712" s="769">
        <v>43426.0</v>
      </c>
      <c r="U712" s="765" t="s">
        <v>5665</v>
      </c>
      <c r="V712" s="765" t="s">
        <v>5666</v>
      </c>
      <c r="W712" s="769">
        <v>43467.0</v>
      </c>
      <c r="X712" s="252" t="s">
        <v>5635</v>
      </c>
      <c r="Y712" s="765" t="s">
        <v>5636</v>
      </c>
      <c r="Z712" s="765"/>
      <c r="AA712" s="765"/>
      <c r="AB712" s="765"/>
      <c r="AC712" s="266" t="s">
        <v>284</v>
      </c>
    </row>
    <row r="713" ht="15.75" hidden="1" customHeight="1">
      <c r="A713" s="776">
        <v>43385.0</v>
      </c>
      <c r="B713" s="265" t="s">
        <v>119</v>
      </c>
      <c r="C713" s="368" t="s">
        <v>5662</v>
      </c>
      <c r="D713" s="368" t="s">
        <v>5667</v>
      </c>
      <c r="E713" s="815" t="s">
        <v>158</v>
      </c>
      <c r="F713" s="253">
        <v>4.0</v>
      </c>
      <c r="G713" s="267">
        <v>979.0</v>
      </c>
      <c r="H713" s="267">
        <f t="shared" si="36"/>
        <v>3916</v>
      </c>
      <c r="I713" s="256" t="s">
        <v>171</v>
      </c>
      <c r="J713" s="428" t="s">
        <v>122</v>
      </c>
      <c r="K713" s="258">
        <v>43433.0</v>
      </c>
      <c r="L713" s="258">
        <v>43423.0</v>
      </c>
      <c r="M713" s="388"/>
      <c r="N713" s="333" t="s">
        <v>90</v>
      </c>
      <c r="O713" s="310" t="s">
        <v>5668</v>
      </c>
      <c r="P713" s="268">
        <v>3343.2</v>
      </c>
      <c r="Q713" s="596"/>
      <c r="R713" s="340" t="s">
        <v>94</v>
      </c>
      <c r="S713" s="768">
        <v>43465.0</v>
      </c>
      <c r="T713" s="769">
        <v>43420.0</v>
      </c>
      <c r="U713" s="765" t="s">
        <v>5669</v>
      </c>
      <c r="V713" s="770">
        <v>102653.0</v>
      </c>
      <c r="W713" s="769">
        <v>43467.0</v>
      </c>
      <c r="X713" s="765" t="s">
        <v>5670</v>
      </c>
      <c r="Y713" s="765" t="s">
        <v>5671</v>
      </c>
      <c r="Z713" s="765"/>
      <c r="AA713" s="765"/>
      <c r="AB713" s="765"/>
      <c r="AC713" s="266" t="s">
        <v>284</v>
      </c>
    </row>
    <row r="714" ht="15.75" hidden="1" customHeight="1">
      <c r="A714" s="776">
        <v>43388.0</v>
      </c>
      <c r="B714" s="320" t="s">
        <v>326</v>
      </c>
      <c r="C714" s="252">
        <v>2025459.0</v>
      </c>
      <c r="D714" s="310" t="s">
        <v>5672</v>
      </c>
      <c r="E714" s="602" t="s">
        <v>328</v>
      </c>
      <c r="F714" s="253">
        <v>5.0</v>
      </c>
      <c r="G714" s="254">
        <v>607.0</v>
      </c>
      <c r="H714" s="255">
        <f t="shared" ref="H714:H721" si="37">G714*F714</f>
        <v>3035</v>
      </c>
      <c r="I714" s="256" t="s">
        <v>43</v>
      </c>
      <c r="J714" s="269" t="s">
        <v>329</v>
      </c>
      <c r="K714" s="258">
        <v>43412.0</v>
      </c>
      <c r="L714" s="258">
        <v>43409.0</v>
      </c>
      <c r="M714" s="388"/>
      <c r="N714" s="333" t="s">
        <v>3775</v>
      </c>
      <c r="O714" s="310" t="s">
        <v>5673</v>
      </c>
      <c r="P714" s="268">
        <v>2966.25</v>
      </c>
      <c r="Q714" s="596"/>
      <c r="R714" s="422" t="s">
        <v>56</v>
      </c>
      <c r="S714" s="810">
        <v>43131.0</v>
      </c>
      <c r="T714" s="771">
        <v>43441.0</v>
      </c>
      <c r="U714" s="252" t="s">
        <v>5674</v>
      </c>
      <c r="V714" s="774">
        <v>268317.0</v>
      </c>
      <c r="W714" s="769">
        <v>43496.0</v>
      </c>
      <c r="X714" s="765" t="s">
        <v>5675</v>
      </c>
      <c r="Y714" s="765" t="s">
        <v>5676</v>
      </c>
      <c r="Z714" s="765"/>
      <c r="AA714" s="765"/>
      <c r="AB714" s="765"/>
      <c r="AC714" s="253" t="s">
        <v>284</v>
      </c>
    </row>
    <row r="715" ht="15.75" hidden="1" customHeight="1">
      <c r="A715" s="776">
        <v>43388.0</v>
      </c>
      <c r="B715" s="320" t="s">
        <v>326</v>
      </c>
      <c r="C715" s="252">
        <v>2025459.0</v>
      </c>
      <c r="D715" s="310" t="s">
        <v>5672</v>
      </c>
      <c r="E715" s="602" t="s">
        <v>4419</v>
      </c>
      <c r="F715" s="253">
        <v>5.0</v>
      </c>
      <c r="G715" s="254">
        <v>27.0</v>
      </c>
      <c r="H715" s="255">
        <f t="shared" si="37"/>
        <v>135</v>
      </c>
      <c r="I715" s="256" t="s">
        <v>43</v>
      </c>
      <c r="J715" s="269" t="s">
        <v>329</v>
      </c>
      <c r="K715" s="258">
        <v>43412.0</v>
      </c>
      <c r="L715" s="258">
        <v>43409.0</v>
      </c>
      <c r="M715" s="388"/>
      <c r="N715" s="333" t="s">
        <v>3775</v>
      </c>
      <c r="O715" s="310" t="s">
        <v>5673</v>
      </c>
      <c r="P715" s="268">
        <v>131.25</v>
      </c>
      <c r="Q715" s="596"/>
      <c r="R715" s="422" t="s">
        <v>56</v>
      </c>
      <c r="S715" s="810">
        <v>43131.0</v>
      </c>
      <c r="T715" s="771">
        <v>43441.0</v>
      </c>
      <c r="U715" s="252" t="s">
        <v>5674</v>
      </c>
      <c r="V715" s="252" t="s">
        <v>5677</v>
      </c>
      <c r="W715" s="769">
        <v>43496.0</v>
      </c>
      <c r="X715" s="765" t="s">
        <v>5675</v>
      </c>
      <c r="Y715" s="765" t="s">
        <v>5676</v>
      </c>
      <c r="Z715" s="765"/>
      <c r="AA715" s="765"/>
      <c r="AB715" s="765"/>
      <c r="AC715" s="253" t="s">
        <v>284</v>
      </c>
    </row>
    <row r="716" ht="15.75" hidden="1" customHeight="1">
      <c r="A716" s="776">
        <v>43388.0</v>
      </c>
      <c r="B716" s="320" t="s">
        <v>326</v>
      </c>
      <c r="C716" s="252">
        <v>2025459.0</v>
      </c>
      <c r="D716" s="310" t="s">
        <v>5672</v>
      </c>
      <c r="E716" s="820" t="s">
        <v>61</v>
      </c>
      <c r="F716" s="253">
        <v>10.0</v>
      </c>
      <c r="G716" s="325">
        <v>567.0</v>
      </c>
      <c r="H716" s="255">
        <f t="shared" si="37"/>
        <v>5670</v>
      </c>
      <c r="I716" s="256" t="s">
        <v>43</v>
      </c>
      <c r="J716" s="269" t="s">
        <v>329</v>
      </c>
      <c r="K716" s="258">
        <v>43412.0</v>
      </c>
      <c r="L716" s="258">
        <v>43409.0</v>
      </c>
      <c r="M716" s="388"/>
      <c r="N716" s="333" t="s">
        <v>3775</v>
      </c>
      <c r="O716" s="310" t="s">
        <v>5673</v>
      </c>
      <c r="P716" s="268">
        <v>5355.0</v>
      </c>
      <c r="Q716" s="596"/>
      <c r="R716" s="422" t="s">
        <v>56</v>
      </c>
      <c r="S716" s="810">
        <v>43131.0</v>
      </c>
      <c r="T716" s="771">
        <v>43441.0</v>
      </c>
      <c r="U716" s="252" t="s">
        <v>5674</v>
      </c>
      <c r="V716" s="252" t="s">
        <v>5677</v>
      </c>
      <c r="W716" s="769">
        <v>43496.0</v>
      </c>
      <c r="X716" s="765" t="s">
        <v>5675</v>
      </c>
      <c r="Y716" s="765" t="s">
        <v>5676</v>
      </c>
      <c r="Z716" s="765"/>
      <c r="AA716" s="765"/>
      <c r="AB716" s="765"/>
      <c r="AC716" s="253" t="s">
        <v>284</v>
      </c>
    </row>
    <row r="717" ht="15.75" hidden="1" customHeight="1">
      <c r="A717" s="776">
        <v>43388.0</v>
      </c>
      <c r="B717" s="320" t="s">
        <v>326</v>
      </c>
      <c r="C717" s="252">
        <v>2025459.0</v>
      </c>
      <c r="D717" s="310" t="s">
        <v>5672</v>
      </c>
      <c r="E717" s="820" t="s">
        <v>42</v>
      </c>
      <c r="F717" s="253">
        <v>10.0</v>
      </c>
      <c r="G717" s="325">
        <v>273.0</v>
      </c>
      <c r="H717" s="255">
        <f t="shared" si="37"/>
        <v>2730</v>
      </c>
      <c r="I717" s="256" t="s">
        <v>43</v>
      </c>
      <c r="J717" s="269" t="s">
        <v>329</v>
      </c>
      <c r="K717" s="258">
        <v>43412.0</v>
      </c>
      <c r="L717" s="258">
        <v>43399.0</v>
      </c>
      <c r="M717" s="388"/>
      <c r="N717" s="333" t="s">
        <v>45</v>
      </c>
      <c r="O717" s="310" t="s">
        <v>5678</v>
      </c>
      <c r="P717" s="268">
        <v>2184.0</v>
      </c>
      <c r="Q717" s="579">
        <f>67671</f>
        <v>67671</v>
      </c>
      <c r="R717" s="340" t="s">
        <v>47</v>
      </c>
      <c r="S717" s="768">
        <v>43428.0</v>
      </c>
      <c r="T717" s="769">
        <v>43397.0</v>
      </c>
      <c r="U717" s="765" t="s">
        <v>5679</v>
      </c>
      <c r="V717" s="770">
        <v>67671.0</v>
      </c>
      <c r="W717" s="771">
        <v>43419.0</v>
      </c>
      <c r="X717" s="765" t="s">
        <v>5675</v>
      </c>
      <c r="Y717" s="765" t="s">
        <v>5676</v>
      </c>
      <c r="Z717" s="765"/>
      <c r="AA717" s="765"/>
      <c r="AB717" s="765"/>
      <c r="AC717" s="253" t="s">
        <v>284</v>
      </c>
    </row>
    <row r="718" ht="15.75" hidden="1" customHeight="1">
      <c r="A718" s="776">
        <v>43388.0</v>
      </c>
      <c r="B718" s="320" t="s">
        <v>326</v>
      </c>
      <c r="C718" s="252">
        <v>2025459.0</v>
      </c>
      <c r="D718" s="310" t="s">
        <v>5672</v>
      </c>
      <c r="E718" s="820" t="s">
        <v>53</v>
      </c>
      <c r="F718" s="253">
        <v>10.0</v>
      </c>
      <c r="G718" s="325">
        <v>31.0</v>
      </c>
      <c r="H718" s="255">
        <f t="shared" si="37"/>
        <v>310</v>
      </c>
      <c r="I718" s="256" t="s">
        <v>43</v>
      </c>
      <c r="J718" s="269" t="s">
        <v>329</v>
      </c>
      <c r="K718" s="258">
        <v>43412.0</v>
      </c>
      <c r="L718" s="258">
        <v>43409.0</v>
      </c>
      <c r="M718" s="388"/>
      <c r="N718" s="333" t="s">
        <v>3775</v>
      </c>
      <c r="O718" s="310" t="s">
        <v>5673</v>
      </c>
      <c r="P718" s="268">
        <v>226.8</v>
      </c>
      <c r="Q718" s="596"/>
      <c r="R718" s="422" t="s">
        <v>56</v>
      </c>
      <c r="S718" s="810">
        <v>43131.0</v>
      </c>
      <c r="T718" s="771">
        <v>43441.0</v>
      </c>
      <c r="U718" s="252" t="s">
        <v>5674</v>
      </c>
      <c r="V718" s="252" t="s">
        <v>5677</v>
      </c>
      <c r="W718" s="769">
        <v>43496.0</v>
      </c>
      <c r="X718" s="765" t="s">
        <v>5675</v>
      </c>
      <c r="Y718" s="765" t="s">
        <v>5676</v>
      </c>
      <c r="Z718" s="765"/>
      <c r="AA718" s="765"/>
      <c r="AB718" s="765"/>
      <c r="AC718" s="253" t="s">
        <v>284</v>
      </c>
    </row>
    <row r="719" ht="15.75" hidden="1" customHeight="1">
      <c r="A719" s="776">
        <v>43388.0</v>
      </c>
      <c r="B719" s="320" t="s">
        <v>326</v>
      </c>
      <c r="C719" s="252">
        <v>2025459.0</v>
      </c>
      <c r="D719" s="310" t="s">
        <v>5672</v>
      </c>
      <c r="E719" s="820" t="s">
        <v>59</v>
      </c>
      <c r="F719" s="253">
        <v>10.0</v>
      </c>
      <c r="G719" s="325">
        <v>4.0</v>
      </c>
      <c r="H719" s="255">
        <f t="shared" si="37"/>
        <v>40</v>
      </c>
      <c r="I719" s="256" t="s">
        <v>43</v>
      </c>
      <c r="J719" s="269" t="s">
        <v>329</v>
      </c>
      <c r="K719" s="258">
        <v>43412.0</v>
      </c>
      <c r="L719" s="258">
        <v>43409.0</v>
      </c>
      <c r="M719" s="388"/>
      <c r="N719" s="333" t="s">
        <v>3775</v>
      </c>
      <c r="O719" s="310" t="s">
        <v>5673</v>
      </c>
      <c r="P719" s="268">
        <v>21.0</v>
      </c>
      <c r="Q719" s="596"/>
      <c r="R719" s="422" t="s">
        <v>56</v>
      </c>
      <c r="S719" s="810">
        <v>43131.0</v>
      </c>
      <c r="T719" s="771">
        <v>43441.0</v>
      </c>
      <c r="U719" s="252" t="s">
        <v>5674</v>
      </c>
      <c r="V719" s="252" t="s">
        <v>5677</v>
      </c>
      <c r="W719" s="769">
        <v>43496.0</v>
      </c>
      <c r="X719" s="765" t="s">
        <v>5675</v>
      </c>
      <c r="Y719" s="765" t="s">
        <v>5676</v>
      </c>
      <c r="Z719" s="765"/>
      <c r="AA719" s="765"/>
      <c r="AB719" s="765"/>
      <c r="AC719" s="253" t="s">
        <v>284</v>
      </c>
    </row>
    <row r="720" ht="15.75" customHeight="1">
      <c r="A720" s="764">
        <v>43388.0</v>
      </c>
      <c r="B720" s="265" t="s">
        <v>77</v>
      </c>
      <c r="C720" s="765">
        <v>1036.0</v>
      </c>
      <c r="D720" s="252" t="s">
        <v>5680</v>
      </c>
      <c r="E720" s="578" t="s">
        <v>478</v>
      </c>
      <c r="F720" s="266">
        <v>50.0</v>
      </c>
      <c r="G720" s="254">
        <v>2.25</v>
      </c>
      <c r="H720" s="255">
        <f t="shared" si="37"/>
        <v>112.5</v>
      </c>
      <c r="I720" s="256" t="s">
        <v>43</v>
      </c>
      <c r="J720" s="896" t="s">
        <v>5109</v>
      </c>
      <c r="K720" s="258">
        <v>43398.0</v>
      </c>
      <c r="L720" s="266" t="s">
        <v>179</v>
      </c>
      <c r="M720" s="388"/>
      <c r="N720" s="333"/>
      <c r="O720" s="600"/>
      <c r="P720" s="598"/>
      <c r="Q720" s="596"/>
      <c r="R720" s="388"/>
      <c r="S720" s="330"/>
      <c r="T720" s="765"/>
      <c r="U720" s="765"/>
      <c r="V720" s="765"/>
      <c r="W720" s="769"/>
      <c r="X720" s="765" t="s">
        <v>5607</v>
      </c>
      <c r="Y720" s="815" t="s">
        <v>5608</v>
      </c>
      <c r="Z720" s="765"/>
      <c r="AA720" s="765"/>
      <c r="AB720" s="765"/>
      <c r="AC720" s="253" t="s">
        <v>284</v>
      </c>
    </row>
    <row r="721" ht="15.75" customHeight="1">
      <c r="A721" s="764">
        <v>43388.0</v>
      </c>
      <c r="B721" s="265" t="s">
        <v>77</v>
      </c>
      <c r="C721" s="765">
        <v>1036.0</v>
      </c>
      <c r="D721" s="252" t="s">
        <v>5680</v>
      </c>
      <c r="E721" s="602" t="s">
        <v>362</v>
      </c>
      <c r="F721" s="307">
        <v>30.0</v>
      </c>
      <c r="G721" s="254">
        <v>20.0</v>
      </c>
      <c r="H721" s="255">
        <f t="shared" si="37"/>
        <v>600</v>
      </c>
      <c r="I721" s="256" t="s">
        <v>43</v>
      </c>
      <c r="J721" s="896" t="s">
        <v>5109</v>
      </c>
      <c r="K721" s="258">
        <v>43398.0</v>
      </c>
      <c r="L721" s="258">
        <v>43396.0</v>
      </c>
      <c r="M721" s="388"/>
      <c r="N721" s="333" t="s">
        <v>2041</v>
      </c>
      <c r="O721" s="310" t="s">
        <v>5681</v>
      </c>
      <c r="P721" s="268">
        <v>557.55</v>
      </c>
      <c r="Q721" s="596"/>
      <c r="R721" s="310" t="s">
        <v>2043</v>
      </c>
      <c r="S721" s="810">
        <v>43409.0</v>
      </c>
      <c r="T721" s="769">
        <v>43395.0</v>
      </c>
      <c r="U721" s="765" t="s">
        <v>5682</v>
      </c>
      <c r="V721" s="770">
        <v>17267.0</v>
      </c>
      <c r="W721" s="771">
        <v>43409.0</v>
      </c>
      <c r="X721" s="765" t="s">
        <v>5607</v>
      </c>
      <c r="Y721" s="815" t="s">
        <v>5608</v>
      </c>
      <c r="Z721" s="765"/>
      <c r="AA721" s="765"/>
      <c r="AB721" s="765"/>
      <c r="AC721" s="253" t="s">
        <v>284</v>
      </c>
    </row>
    <row r="722" ht="15.75" customHeight="1">
      <c r="A722" s="274">
        <v>43388.0</v>
      </c>
      <c r="B722" s="783" t="s">
        <v>77</v>
      </c>
      <c r="C722" s="789">
        <v>1036.0</v>
      </c>
      <c r="D722" s="276" t="s">
        <v>5680</v>
      </c>
      <c r="E722" s="898" t="s">
        <v>5683</v>
      </c>
      <c r="F722" s="899">
        <v>20.0</v>
      </c>
      <c r="G722" s="900">
        <v>25.0</v>
      </c>
      <c r="H722" s="805"/>
      <c r="I722" s="855"/>
      <c r="J722" s="901"/>
      <c r="K722" s="854"/>
      <c r="L722" s="291">
        <v>43434.0</v>
      </c>
      <c r="M722" s="388"/>
      <c r="N722" s="333" t="s">
        <v>2508</v>
      </c>
      <c r="O722" s="310" t="s">
        <v>5684</v>
      </c>
      <c r="P722" s="598"/>
      <c r="Q722" s="579">
        <v>2604.0</v>
      </c>
      <c r="R722" s="310" t="s">
        <v>2510</v>
      </c>
      <c r="S722" s="826">
        <v>43409.0</v>
      </c>
      <c r="T722" s="767">
        <v>43397.0</v>
      </c>
      <c r="U722" s="765" t="s">
        <v>5685</v>
      </c>
      <c r="V722" s="770">
        <v>2604.0</v>
      </c>
      <c r="W722" s="771">
        <v>43409.0</v>
      </c>
      <c r="X722" s="766"/>
      <c r="Y722" s="765"/>
      <c r="Z722" s="765"/>
      <c r="AA722" s="765"/>
      <c r="AB722" s="765"/>
      <c r="AC722" s="253" t="s">
        <v>3617</v>
      </c>
    </row>
    <row r="723" ht="15.75" hidden="1" customHeight="1">
      <c r="A723" s="764">
        <v>43388.0</v>
      </c>
      <c r="B723" s="265" t="s">
        <v>101</v>
      </c>
      <c r="C723" s="895" t="s">
        <v>5686</v>
      </c>
      <c r="D723" s="368" t="s">
        <v>5687</v>
      </c>
      <c r="E723" s="422" t="s">
        <v>5688</v>
      </c>
      <c r="F723" s="253">
        <v>1.0</v>
      </c>
      <c r="G723" s="254">
        <v>533.5</v>
      </c>
      <c r="H723" s="255">
        <f t="shared" ref="H723:H743" si="38">G723*F723</f>
        <v>533.5</v>
      </c>
      <c r="I723" s="256" t="s">
        <v>303</v>
      </c>
      <c r="J723" s="884" t="s">
        <v>5436</v>
      </c>
      <c r="K723" s="258">
        <v>43409.0</v>
      </c>
      <c r="L723" s="258">
        <v>43404.0</v>
      </c>
      <c r="M723" s="388"/>
      <c r="N723" s="333" t="s">
        <v>2028</v>
      </c>
      <c r="O723" s="310" t="s">
        <v>5689</v>
      </c>
      <c r="P723" s="598"/>
      <c r="Q723" s="579">
        <v>16040.0</v>
      </c>
      <c r="R723" s="578" t="s">
        <v>2030</v>
      </c>
      <c r="S723" s="810">
        <v>43470.0</v>
      </c>
      <c r="T723" s="769">
        <v>43403.0</v>
      </c>
      <c r="U723" s="765" t="s">
        <v>5690</v>
      </c>
      <c r="V723" s="765" t="s">
        <v>5691</v>
      </c>
      <c r="W723" s="769">
        <v>43469.0</v>
      </c>
      <c r="X723" s="252" t="s">
        <v>5571</v>
      </c>
      <c r="Y723" s="765">
        <v>2.574425405E9</v>
      </c>
      <c r="Z723" s="765"/>
      <c r="AA723" s="765"/>
      <c r="AB723" s="765"/>
      <c r="AC723" s="253" t="s">
        <v>284</v>
      </c>
    </row>
    <row r="724" ht="15.75" hidden="1" customHeight="1">
      <c r="A724" s="764">
        <v>43388.0</v>
      </c>
      <c r="B724" s="265" t="s">
        <v>101</v>
      </c>
      <c r="C724" s="895" t="s">
        <v>5686</v>
      </c>
      <c r="D724" s="368" t="s">
        <v>5687</v>
      </c>
      <c r="E724" s="422" t="s">
        <v>5692</v>
      </c>
      <c r="F724" s="253">
        <v>1.0</v>
      </c>
      <c r="G724" s="254">
        <v>592.0</v>
      </c>
      <c r="H724" s="255">
        <f t="shared" si="38"/>
        <v>592</v>
      </c>
      <c r="I724" s="256" t="s">
        <v>303</v>
      </c>
      <c r="J724" s="884" t="s">
        <v>5436</v>
      </c>
      <c r="K724" s="258">
        <v>43409.0</v>
      </c>
      <c r="L724" s="258">
        <v>43404.0</v>
      </c>
      <c r="M724" s="388"/>
      <c r="N724" s="333" t="s">
        <v>2028</v>
      </c>
      <c r="O724" s="310" t="s">
        <v>5689</v>
      </c>
      <c r="P724" s="598"/>
      <c r="Q724" s="579">
        <v>17174.0</v>
      </c>
      <c r="R724" s="578" t="s">
        <v>2030</v>
      </c>
      <c r="S724" s="810">
        <v>43470.0</v>
      </c>
      <c r="T724" s="769">
        <v>43403.0</v>
      </c>
      <c r="U724" s="765" t="s">
        <v>5690</v>
      </c>
      <c r="V724" s="770">
        <v>33214.0</v>
      </c>
      <c r="W724" s="769">
        <v>43469.0</v>
      </c>
      <c r="X724" s="252" t="s">
        <v>5571</v>
      </c>
      <c r="Y724" s="765">
        <v>2.574425405E9</v>
      </c>
      <c r="Z724" s="765"/>
      <c r="AA724" s="765"/>
      <c r="AB724" s="765"/>
      <c r="AC724" s="253" t="s">
        <v>284</v>
      </c>
    </row>
    <row r="725" ht="15.75" hidden="1" customHeight="1">
      <c r="A725" s="764">
        <v>43388.0</v>
      </c>
      <c r="B725" s="265" t="s">
        <v>101</v>
      </c>
      <c r="C725" s="895" t="s">
        <v>5686</v>
      </c>
      <c r="D725" s="368" t="s">
        <v>5687</v>
      </c>
      <c r="E725" s="602" t="s">
        <v>5693</v>
      </c>
      <c r="F725" s="253">
        <v>2.0</v>
      </c>
      <c r="G725" s="254">
        <v>268.0</v>
      </c>
      <c r="H725" s="255">
        <f t="shared" si="38"/>
        <v>536</v>
      </c>
      <c r="I725" s="256" t="s">
        <v>303</v>
      </c>
      <c r="J725" s="884" t="s">
        <v>5436</v>
      </c>
      <c r="K725" s="258">
        <v>43409.0</v>
      </c>
      <c r="L725" s="258">
        <v>43392.0</v>
      </c>
      <c r="M725" s="388"/>
      <c r="N725" s="333" t="s">
        <v>2026</v>
      </c>
      <c r="O725" s="310" t="s">
        <v>5694</v>
      </c>
      <c r="P725" s="268">
        <v>399.0</v>
      </c>
      <c r="Q725" s="596"/>
      <c r="R725" s="340" t="s">
        <v>47</v>
      </c>
      <c r="S725" s="768">
        <v>43421.0</v>
      </c>
      <c r="T725" s="769">
        <v>43391.0</v>
      </c>
      <c r="U725" s="765" t="s">
        <v>5695</v>
      </c>
      <c r="V725" s="770">
        <v>12309.0</v>
      </c>
      <c r="W725" s="771">
        <v>43419.0</v>
      </c>
      <c r="X725" s="252" t="s">
        <v>5571</v>
      </c>
      <c r="Y725" s="765">
        <v>2.574425405E9</v>
      </c>
      <c r="Z725" s="765"/>
      <c r="AA725" s="765"/>
      <c r="AB725" s="765"/>
      <c r="AC725" s="253" t="s">
        <v>284</v>
      </c>
    </row>
    <row r="726" ht="50.25" hidden="1" customHeight="1">
      <c r="A726" s="764">
        <v>43388.0</v>
      </c>
      <c r="B726" s="265" t="s">
        <v>101</v>
      </c>
      <c r="C726" s="895" t="s">
        <v>5686</v>
      </c>
      <c r="D726" s="368" t="s">
        <v>5687</v>
      </c>
      <c r="E726" s="602" t="s">
        <v>4644</v>
      </c>
      <c r="F726" s="253">
        <v>2.0</v>
      </c>
      <c r="G726" s="254">
        <v>95.0</v>
      </c>
      <c r="H726" s="255">
        <f t="shared" si="38"/>
        <v>190</v>
      </c>
      <c r="I726" s="256" t="s">
        <v>303</v>
      </c>
      <c r="J726" s="884" t="s">
        <v>5436</v>
      </c>
      <c r="K726" s="258">
        <v>43409.0</v>
      </c>
      <c r="L726" s="258">
        <v>43390.0</v>
      </c>
      <c r="M726" s="388"/>
      <c r="N726" s="253" t="s">
        <v>2020</v>
      </c>
      <c r="O726" s="310" t="s">
        <v>5696</v>
      </c>
      <c r="P726" s="598"/>
      <c r="Q726" s="579">
        <v>4912.0</v>
      </c>
      <c r="R726" s="604" t="s">
        <v>3906</v>
      </c>
      <c r="S726" s="768">
        <v>43420.0</v>
      </c>
      <c r="T726" s="769">
        <v>43389.0</v>
      </c>
      <c r="U726" s="765" t="s">
        <v>5697</v>
      </c>
      <c r="V726" s="770">
        <v>4912.0</v>
      </c>
      <c r="W726" s="771">
        <v>43410.0</v>
      </c>
      <c r="X726" s="252" t="s">
        <v>5571</v>
      </c>
      <c r="Y726" s="765">
        <v>2.574425405E9</v>
      </c>
      <c r="Z726" s="765"/>
      <c r="AA726" s="765"/>
      <c r="AB726" s="765"/>
      <c r="AC726" s="253" t="s">
        <v>284</v>
      </c>
    </row>
    <row r="727" ht="15.75" customHeight="1">
      <c r="A727" s="764">
        <v>43392.0</v>
      </c>
      <c r="B727" s="265" t="s">
        <v>77</v>
      </c>
      <c r="C727" s="765"/>
      <c r="D727" s="252" t="s">
        <v>5698</v>
      </c>
      <c r="E727" s="602" t="s">
        <v>5699</v>
      </c>
      <c r="F727" s="253">
        <v>1.0</v>
      </c>
      <c r="G727" s="254">
        <v>40.0</v>
      </c>
      <c r="H727" s="255">
        <f t="shared" si="38"/>
        <v>40</v>
      </c>
      <c r="I727" s="256" t="s">
        <v>43</v>
      </c>
      <c r="J727" s="333" t="s">
        <v>316</v>
      </c>
      <c r="K727" s="258">
        <v>43412.0</v>
      </c>
      <c r="L727" s="630"/>
      <c r="M727" s="388"/>
      <c r="N727" s="333" t="s">
        <v>5700</v>
      </c>
      <c r="O727" s="310" t="s">
        <v>5698</v>
      </c>
      <c r="P727" s="598"/>
      <c r="Q727" s="596"/>
      <c r="R727" s="310" t="s">
        <v>2000</v>
      </c>
      <c r="S727" s="330"/>
      <c r="T727" s="252" t="s">
        <v>5701</v>
      </c>
      <c r="U727" s="252" t="s">
        <v>5701</v>
      </c>
      <c r="V727" s="252" t="s">
        <v>5701</v>
      </c>
      <c r="W727" s="767"/>
      <c r="X727" s="765" t="s">
        <v>5702</v>
      </c>
      <c r="Y727" s="765">
        <v>9.63463686E8</v>
      </c>
      <c r="Z727" s="765"/>
      <c r="AA727" s="765"/>
      <c r="AB727" s="765"/>
      <c r="AC727" s="253" t="s">
        <v>284</v>
      </c>
    </row>
    <row r="728" ht="15.75" hidden="1" customHeight="1">
      <c r="A728" s="764">
        <v>43394.0</v>
      </c>
      <c r="B728" s="265" t="s">
        <v>631</v>
      </c>
      <c r="C728" s="895" t="s">
        <v>5703</v>
      </c>
      <c r="D728" s="368" t="s">
        <v>5704</v>
      </c>
      <c r="E728" s="602" t="s">
        <v>1300</v>
      </c>
      <c r="F728" s="253">
        <v>4.0</v>
      </c>
      <c r="G728" s="254">
        <v>112.35</v>
      </c>
      <c r="H728" s="255">
        <f t="shared" si="38"/>
        <v>449.4</v>
      </c>
      <c r="I728" s="256" t="s">
        <v>171</v>
      </c>
      <c r="J728" s="321" t="s">
        <v>90</v>
      </c>
      <c r="K728" s="258">
        <v>43409.0</v>
      </c>
      <c r="L728" s="258">
        <v>43409.0</v>
      </c>
      <c r="M728" s="388"/>
      <c r="N728" s="333" t="s">
        <v>90</v>
      </c>
      <c r="O728" s="310" t="s">
        <v>5705</v>
      </c>
      <c r="P728" s="268">
        <v>384.0</v>
      </c>
      <c r="Q728" s="596"/>
      <c r="R728" s="340" t="s">
        <v>94</v>
      </c>
      <c r="S728" s="768">
        <v>43465.0</v>
      </c>
      <c r="T728" s="771">
        <v>43409.0</v>
      </c>
      <c r="U728" s="252" t="s">
        <v>5706</v>
      </c>
      <c r="V728" s="774">
        <v>22607.0</v>
      </c>
      <c r="W728" s="769">
        <v>43467.0</v>
      </c>
      <c r="X728" s="765" t="s">
        <v>5707</v>
      </c>
      <c r="Y728" s="765"/>
      <c r="Z728" s="602" t="s">
        <v>5708</v>
      </c>
      <c r="AA728" s="770">
        <v>29546.0</v>
      </c>
      <c r="AB728" s="765" t="s">
        <v>5709</v>
      </c>
      <c r="AC728" s="253" t="s">
        <v>377</v>
      </c>
    </row>
    <row r="729" ht="15.75" hidden="1" customHeight="1">
      <c r="A729" s="764">
        <v>43394.0</v>
      </c>
      <c r="B729" s="265" t="s">
        <v>631</v>
      </c>
      <c r="C729" s="895" t="s">
        <v>5703</v>
      </c>
      <c r="D729" s="368" t="s">
        <v>5704</v>
      </c>
      <c r="E729" s="602" t="s">
        <v>5710</v>
      </c>
      <c r="F729" s="253">
        <v>4.0</v>
      </c>
      <c r="G729" s="254">
        <v>93.45</v>
      </c>
      <c r="H729" s="255">
        <f t="shared" si="38"/>
        <v>373.8</v>
      </c>
      <c r="I729" s="256" t="s">
        <v>171</v>
      </c>
      <c r="J729" s="321" t="s">
        <v>90</v>
      </c>
      <c r="K729" s="258">
        <v>43409.0</v>
      </c>
      <c r="L729" s="258">
        <v>43409.0</v>
      </c>
      <c r="M729" s="388"/>
      <c r="N729" s="333" t="s">
        <v>90</v>
      </c>
      <c r="O729" s="310" t="s">
        <v>5705</v>
      </c>
      <c r="P729" s="268">
        <v>327.6</v>
      </c>
      <c r="Q729" s="596"/>
      <c r="R729" s="340" t="s">
        <v>94</v>
      </c>
      <c r="S729" s="768">
        <v>43465.0</v>
      </c>
      <c r="T729" s="771">
        <v>43409.0</v>
      </c>
      <c r="U729" s="252" t="s">
        <v>5706</v>
      </c>
      <c r="V729" s="252" t="s">
        <v>5711</v>
      </c>
      <c r="W729" s="769">
        <v>43467.0</v>
      </c>
      <c r="X729" s="765" t="s">
        <v>5707</v>
      </c>
      <c r="Y729" s="765"/>
      <c r="Z729" s="602" t="s">
        <v>5708</v>
      </c>
      <c r="AA729" s="765" t="s">
        <v>5712</v>
      </c>
      <c r="AB729" s="765" t="s">
        <v>5709</v>
      </c>
      <c r="AC729" s="253" t="s">
        <v>377</v>
      </c>
    </row>
    <row r="730" ht="15.75" hidden="1" customHeight="1">
      <c r="A730" s="764">
        <v>43395.0</v>
      </c>
      <c r="B730" s="597" t="s">
        <v>406</v>
      </c>
      <c r="C730" s="765">
        <v>7.00014214E9</v>
      </c>
      <c r="D730" s="252" t="s">
        <v>5713</v>
      </c>
      <c r="E730" s="602" t="s">
        <v>1968</v>
      </c>
      <c r="F730" s="253">
        <v>2.0</v>
      </c>
      <c r="G730" s="254">
        <v>137.0</v>
      </c>
      <c r="H730" s="255">
        <f t="shared" si="38"/>
        <v>274</v>
      </c>
      <c r="I730" s="256" t="s">
        <v>43</v>
      </c>
      <c r="J730" s="333" t="s">
        <v>4002</v>
      </c>
      <c r="K730" s="258">
        <v>43417.0</v>
      </c>
      <c r="L730" s="258">
        <v>43411.0</v>
      </c>
      <c r="M730" s="388"/>
      <c r="N730" s="333" t="s">
        <v>3593</v>
      </c>
      <c r="O730" s="310" t="s">
        <v>5714</v>
      </c>
      <c r="P730" s="598"/>
      <c r="Q730" s="579">
        <v>7556.0</v>
      </c>
      <c r="R730" s="310" t="s">
        <v>2080</v>
      </c>
      <c r="S730" s="768">
        <v>43496.0</v>
      </c>
      <c r="T730" s="769">
        <v>43410.0</v>
      </c>
      <c r="U730" s="765" t="s">
        <v>5715</v>
      </c>
      <c r="V730" s="770">
        <v>24047.0</v>
      </c>
      <c r="W730" s="769">
        <v>43494.0</v>
      </c>
      <c r="X730" s="765" t="s">
        <v>5716</v>
      </c>
      <c r="Y730" s="765">
        <v>4.637951802E9</v>
      </c>
      <c r="Z730" s="765"/>
      <c r="AA730" s="765"/>
      <c r="AB730" s="765"/>
      <c r="AC730" s="253" t="s">
        <v>284</v>
      </c>
    </row>
    <row r="731" ht="15.75" hidden="1" customHeight="1">
      <c r="A731" s="764">
        <v>43395.0</v>
      </c>
      <c r="B731" s="597" t="s">
        <v>406</v>
      </c>
      <c r="C731" s="765">
        <v>7.00014214E9</v>
      </c>
      <c r="D731" s="252" t="s">
        <v>5713</v>
      </c>
      <c r="E731" s="602" t="s">
        <v>5717</v>
      </c>
      <c r="F731" s="253">
        <v>2.0</v>
      </c>
      <c r="G731" s="254">
        <v>224.0</v>
      </c>
      <c r="H731" s="255">
        <f t="shared" si="38"/>
        <v>448</v>
      </c>
      <c r="I731" s="256" t="s">
        <v>43</v>
      </c>
      <c r="J731" s="333" t="s">
        <v>4002</v>
      </c>
      <c r="K731" s="258">
        <v>43417.0</v>
      </c>
      <c r="L731" s="258">
        <v>43411.0</v>
      </c>
      <c r="M731" s="388"/>
      <c r="N731" s="333" t="s">
        <v>3593</v>
      </c>
      <c r="O731" s="310" t="s">
        <v>5714</v>
      </c>
      <c r="P731" s="598"/>
      <c r="Q731" s="579">
        <v>12390.0</v>
      </c>
      <c r="R731" s="310" t="s">
        <v>2080</v>
      </c>
      <c r="S731" s="768">
        <v>43496.0</v>
      </c>
      <c r="T731" s="769">
        <v>43410.0</v>
      </c>
      <c r="U731" s="765" t="s">
        <v>5715</v>
      </c>
      <c r="V731" s="252" t="s">
        <v>5718</v>
      </c>
      <c r="W731" s="769">
        <v>43494.0</v>
      </c>
      <c r="X731" s="765" t="s">
        <v>5716</v>
      </c>
      <c r="Y731" s="765">
        <v>4.637951802E9</v>
      </c>
      <c r="Z731" s="765"/>
      <c r="AA731" s="765"/>
      <c r="AB731" s="765"/>
      <c r="AC731" s="253" t="s">
        <v>284</v>
      </c>
    </row>
    <row r="732" ht="15.75" hidden="1" customHeight="1">
      <c r="A732" s="764">
        <v>43395.0</v>
      </c>
      <c r="B732" s="597" t="s">
        <v>406</v>
      </c>
      <c r="C732" s="765">
        <v>7.00014214E9</v>
      </c>
      <c r="D732" s="252" t="s">
        <v>5713</v>
      </c>
      <c r="E732" s="602" t="s">
        <v>958</v>
      </c>
      <c r="F732" s="253">
        <v>2.0</v>
      </c>
      <c r="G732" s="254">
        <v>74.0</v>
      </c>
      <c r="H732" s="255">
        <f t="shared" si="38"/>
        <v>148</v>
      </c>
      <c r="I732" s="256" t="s">
        <v>43</v>
      </c>
      <c r="J732" s="333" t="s">
        <v>4002</v>
      </c>
      <c r="K732" s="258">
        <v>43417.0</v>
      </c>
      <c r="L732" s="258">
        <v>43411.0</v>
      </c>
      <c r="M732" s="388"/>
      <c r="N732" s="333" t="s">
        <v>3593</v>
      </c>
      <c r="O732" s="310" t="s">
        <v>5714</v>
      </c>
      <c r="P732" s="598"/>
      <c r="Q732" s="579">
        <v>4101.0</v>
      </c>
      <c r="R732" s="310" t="s">
        <v>2080</v>
      </c>
      <c r="S732" s="768">
        <v>43496.0</v>
      </c>
      <c r="T732" s="769">
        <v>43410.0</v>
      </c>
      <c r="U732" s="765" t="s">
        <v>5715</v>
      </c>
      <c r="V732" s="252" t="s">
        <v>5718</v>
      </c>
      <c r="W732" s="769">
        <v>43494.0</v>
      </c>
      <c r="X732" s="765" t="s">
        <v>5716</v>
      </c>
      <c r="Y732" s="765">
        <v>4.637951802E9</v>
      </c>
      <c r="Z732" s="765"/>
      <c r="AA732" s="765"/>
      <c r="AB732" s="765"/>
      <c r="AC732" s="253" t="s">
        <v>284</v>
      </c>
    </row>
    <row r="733" ht="15.75" customHeight="1">
      <c r="A733" s="764">
        <v>43395.0</v>
      </c>
      <c r="B733" s="144" t="s">
        <v>77</v>
      </c>
      <c r="C733" s="765">
        <v>1065.0</v>
      </c>
      <c r="D733" s="252" t="s">
        <v>5719</v>
      </c>
      <c r="E733" s="602" t="s">
        <v>5720</v>
      </c>
      <c r="F733" s="253">
        <v>1.0</v>
      </c>
      <c r="G733" s="254">
        <v>77.0</v>
      </c>
      <c r="H733" s="255">
        <f t="shared" si="38"/>
        <v>77</v>
      </c>
      <c r="I733" s="256" t="s">
        <v>43</v>
      </c>
      <c r="J733" s="333" t="s">
        <v>316</v>
      </c>
      <c r="K733" s="258">
        <v>43412.0</v>
      </c>
      <c r="L733" s="258">
        <v>43409.0</v>
      </c>
      <c r="M733" s="388"/>
      <c r="N733" s="333" t="s">
        <v>1537</v>
      </c>
      <c r="O733" s="252" t="s">
        <v>5721</v>
      </c>
      <c r="P733" s="268">
        <v>42.0</v>
      </c>
      <c r="Q733" s="579">
        <v>1366.0</v>
      </c>
      <c r="R733" s="765" t="s">
        <v>2148</v>
      </c>
      <c r="S733" s="768">
        <v>43439.0</v>
      </c>
      <c r="T733" s="771">
        <v>43404.0</v>
      </c>
      <c r="U733" s="252" t="s">
        <v>5722</v>
      </c>
      <c r="V733" s="774">
        <v>3437.0</v>
      </c>
      <c r="W733" s="769">
        <v>43440.0</v>
      </c>
      <c r="X733" s="765" t="s">
        <v>5702</v>
      </c>
      <c r="Y733" s="765">
        <v>9.63463686E8</v>
      </c>
      <c r="Z733" s="765"/>
      <c r="AA733" s="765"/>
      <c r="AB733" s="765"/>
      <c r="AC733" s="253" t="s">
        <v>284</v>
      </c>
    </row>
    <row r="734" ht="15.75" hidden="1" customHeight="1">
      <c r="A734" s="764">
        <v>43394.0</v>
      </c>
      <c r="B734" s="265" t="s">
        <v>631</v>
      </c>
      <c r="C734" s="895" t="s">
        <v>5703</v>
      </c>
      <c r="D734" s="368" t="s">
        <v>5723</v>
      </c>
      <c r="E734" s="602" t="s">
        <v>137</v>
      </c>
      <c r="F734" s="253">
        <v>4.0</v>
      </c>
      <c r="G734" s="254">
        <v>34.65</v>
      </c>
      <c r="H734" s="255">
        <f t="shared" si="38"/>
        <v>138.6</v>
      </c>
      <c r="I734" s="256" t="s">
        <v>171</v>
      </c>
      <c r="J734" s="321" t="s">
        <v>90</v>
      </c>
      <c r="K734" s="258">
        <v>43409.0</v>
      </c>
      <c r="L734" s="258">
        <v>43409.0</v>
      </c>
      <c r="M734" s="388"/>
      <c r="N734" s="333" t="s">
        <v>90</v>
      </c>
      <c r="O734" s="310" t="s">
        <v>5724</v>
      </c>
      <c r="P734" s="268">
        <v>113.4</v>
      </c>
      <c r="Q734" s="596"/>
      <c r="R734" s="340" t="s">
        <v>94</v>
      </c>
      <c r="S734" s="768">
        <v>43465.0</v>
      </c>
      <c r="T734" s="769">
        <v>43409.0</v>
      </c>
      <c r="U734" s="765" t="s">
        <v>5725</v>
      </c>
      <c r="V734" s="770">
        <v>3508.0</v>
      </c>
      <c r="W734" s="769">
        <v>43467.0</v>
      </c>
      <c r="X734" s="765" t="s">
        <v>5707</v>
      </c>
      <c r="Y734" s="765"/>
      <c r="Z734" s="602" t="s">
        <v>5708</v>
      </c>
      <c r="AA734" s="765" t="s">
        <v>5712</v>
      </c>
      <c r="AB734" s="765" t="s">
        <v>5709</v>
      </c>
      <c r="AC734" s="253" t="s">
        <v>377</v>
      </c>
    </row>
    <row r="735" ht="15.75" hidden="1" customHeight="1">
      <c r="A735" s="764">
        <v>43396.0</v>
      </c>
      <c r="B735" s="597" t="s">
        <v>1204</v>
      </c>
      <c r="C735" s="765" t="s">
        <v>5726</v>
      </c>
      <c r="D735" s="310" t="s">
        <v>5727</v>
      </c>
      <c r="E735" s="310" t="s">
        <v>5728</v>
      </c>
      <c r="F735" s="808">
        <v>200.0</v>
      </c>
      <c r="G735" s="268">
        <v>8.3</v>
      </c>
      <c r="H735" s="255">
        <f t="shared" si="38"/>
        <v>1660</v>
      </c>
      <c r="I735" s="266" t="s">
        <v>43</v>
      </c>
      <c r="J735" s="269" t="s">
        <v>4489</v>
      </c>
      <c r="K735" s="258">
        <v>43461.0</v>
      </c>
      <c r="L735" s="258">
        <v>43461.0</v>
      </c>
      <c r="M735" s="388"/>
      <c r="N735" s="333" t="s">
        <v>2508</v>
      </c>
      <c r="O735" s="310" t="s">
        <v>5729</v>
      </c>
      <c r="P735" s="598"/>
      <c r="Q735" s="579">
        <v>39900.0</v>
      </c>
      <c r="R735" s="310" t="s">
        <v>2510</v>
      </c>
      <c r="S735" s="768">
        <v>43136.0</v>
      </c>
      <c r="T735" s="769">
        <v>43467.0</v>
      </c>
      <c r="U735" s="765" t="s">
        <v>5730</v>
      </c>
      <c r="V735" s="770">
        <v>39900.0</v>
      </c>
      <c r="W735" s="769">
        <v>43523.0</v>
      </c>
      <c r="X735" s="765" t="s">
        <v>5731</v>
      </c>
      <c r="Y735" s="765">
        <v>6.02588814E8</v>
      </c>
      <c r="Z735" s="766"/>
      <c r="AA735" s="765"/>
      <c r="AB735" s="765"/>
      <c r="AC735" s="253" t="s">
        <v>284</v>
      </c>
    </row>
    <row r="736" ht="15.75" hidden="1" customHeight="1">
      <c r="A736" s="776">
        <v>43396.0</v>
      </c>
      <c r="B736" s="340" t="s">
        <v>54</v>
      </c>
      <c r="C736" s="252" t="s">
        <v>5732</v>
      </c>
      <c r="D736" s="310" t="s">
        <v>5733</v>
      </c>
      <c r="E736" s="578" t="s">
        <v>386</v>
      </c>
      <c r="F736" s="253">
        <v>10.0</v>
      </c>
      <c r="G736" s="254">
        <v>150.15</v>
      </c>
      <c r="H736" s="267">
        <f t="shared" si="38"/>
        <v>1501.5</v>
      </c>
      <c r="I736" s="266" t="s">
        <v>43</v>
      </c>
      <c r="J736" s="253" t="s">
        <v>90</v>
      </c>
      <c r="K736" s="258">
        <v>43424.0</v>
      </c>
      <c r="L736" s="258">
        <v>43424.0</v>
      </c>
      <c r="M736" s="388"/>
      <c r="N736" s="333" t="s">
        <v>90</v>
      </c>
      <c r="O736" s="310" t="s">
        <v>5734</v>
      </c>
      <c r="P736" s="268">
        <v>1344.0</v>
      </c>
      <c r="Q736" s="596"/>
      <c r="R736" s="340" t="s">
        <v>94</v>
      </c>
      <c r="S736" s="768">
        <v>43465.0</v>
      </c>
      <c r="T736" s="771">
        <v>43424.0</v>
      </c>
      <c r="U736" s="252" t="s">
        <v>5735</v>
      </c>
      <c r="V736" s="774">
        <v>41268.0</v>
      </c>
      <c r="W736" s="769">
        <v>43467.0</v>
      </c>
      <c r="X736" s="765" t="s">
        <v>5736</v>
      </c>
      <c r="Y736" s="766"/>
      <c r="Z736" s="602" t="s">
        <v>5737</v>
      </c>
      <c r="AA736" s="770">
        <v>46405.0</v>
      </c>
      <c r="AB736" s="765" t="s">
        <v>5738</v>
      </c>
      <c r="AC736" s="253" t="s">
        <v>377</v>
      </c>
    </row>
    <row r="737" ht="15.75" hidden="1" customHeight="1">
      <c r="A737" s="764">
        <v>43398.0</v>
      </c>
      <c r="B737" s="597" t="s">
        <v>406</v>
      </c>
      <c r="C737" s="765">
        <v>7.00014225E9</v>
      </c>
      <c r="D737" s="252" t="s">
        <v>5739</v>
      </c>
      <c r="E737" s="602" t="s">
        <v>684</v>
      </c>
      <c r="F737" s="253">
        <v>2.0</v>
      </c>
      <c r="G737" s="254">
        <v>129.0</v>
      </c>
      <c r="H737" s="267">
        <f t="shared" si="38"/>
        <v>258</v>
      </c>
      <c r="I737" s="266" t="s">
        <v>43</v>
      </c>
      <c r="J737" s="333" t="s">
        <v>4002</v>
      </c>
      <c r="K737" s="258">
        <v>43417.0</v>
      </c>
      <c r="L737" s="258">
        <v>43410.0</v>
      </c>
      <c r="M737" s="388"/>
      <c r="N737" s="333" t="s">
        <v>3593</v>
      </c>
      <c r="O737" s="252" t="s">
        <v>5740</v>
      </c>
      <c r="P737" s="598"/>
      <c r="Q737" s="579">
        <v>7142.0</v>
      </c>
      <c r="R737" s="310" t="s">
        <v>2080</v>
      </c>
      <c r="S737" s="768">
        <v>43496.0</v>
      </c>
      <c r="T737" s="771">
        <v>43409.0</v>
      </c>
      <c r="U737" s="252" t="s">
        <v>5741</v>
      </c>
      <c r="V737" s="774">
        <v>61913.0</v>
      </c>
      <c r="W737" s="769">
        <v>43494.0</v>
      </c>
      <c r="X737" s="765" t="s">
        <v>5716</v>
      </c>
      <c r="Y737" s="765">
        <v>4.637951802E9</v>
      </c>
      <c r="Z737" s="766"/>
      <c r="AA737" s="765"/>
      <c r="AB737" s="765"/>
      <c r="AC737" s="253" t="s">
        <v>284</v>
      </c>
    </row>
    <row r="738" ht="15.75" hidden="1" customHeight="1">
      <c r="A738" s="764">
        <v>43398.0</v>
      </c>
      <c r="B738" s="597" t="s">
        <v>406</v>
      </c>
      <c r="C738" s="765">
        <v>7.00014225E9</v>
      </c>
      <c r="D738" s="252" t="s">
        <v>5739</v>
      </c>
      <c r="E738" s="602" t="s">
        <v>1550</v>
      </c>
      <c r="F738" s="253">
        <v>10.0</v>
      </c>
      <c r="G738" s="254">
        <v>83.0</v>
      </c>
      <c r="H738" s="267">
        <f t="shared" si="38"/>
        <v>830</v>
      </c>
      <c r="I738" s="266" t="s">
        <v>43</v>
      </c>
      <c r="J738" s="333" t="s">
        <v>4002</v>
      </c>
      <c r="K738" s="258">
        <v>43417.0</v>
      </c>
      <c r="L738" s="258">
        <v>43410.0</v>
      </c>
      <c r="M738" s="388"/>
      <c r="N738" s="333" t="s">
        <v>3593</v>
      </c>
      <c r="O738" s="252" t="s">
        <v>5740</v>
      </c>
      <c r="P738" s="598"/>
      <c r="Q738" s="579">
        <v>22859.0</v>
      </c>
      <c r="R738" s="310" t="s">
        <v>2080</v>
      </c>
      <c r="S738" s="768">
        <v>43496.0</v>
      </c>
      <c r="T738" s="771">
        <v>43409.0</v>
      </c>
      <c r="U738" s="252" t="s">
        <v>5741</v>
      </c>
      <c r="V738" s="252" t="s">
        <v>5742</v>
      </c>
      <c r="W738" s="769">
        <v>43494.0</v>
      </c>
      <c r="X738" s="765" t="s">
        <v>5716</v>
      </c>
      <c r="Y738" s="765">
        <v>4.637951802E9</v>
      </c>
      <c r="Z738" s="766"/>
      <c r="AA738" s="765"/>
      <c r="AB738" s="765"/>
      <c r="AC738" s="253" t="s">
        <v>284</v>
      </c>
    </row>
    <row r="739" ht="15.75" hidden="1" customHeight="1">
      <c r="A739" s="764">
        <v>43398.0</v>
      </c>
      <c r="B739" s="597" t="s">
        <v>406</v>
      </c>
      <c r="C739" s="765">
        <v>7.00014225E9</v>
      </c>
      <c r="D739" s="252" t="s">
        <v>5739</v>
      </c>
      <c r="E739" s="602" t="s">
        <v>5019</v>
      </c>
      <c r="F739" s="253">
        <v>6.0</v>
      </c>
      <c r="G739" s="254">
        <v>165.0</v>
      </c>
      <c r="H739" s="267">
        <f t="shared" si="38"/>
        <v>990</v>
      </c>
      <c r="I739" s="266" t="s">
        <v>43</v>
      </c>
      <c r="J739" s="333" t="s">
        <v>4002</v>
      </c>
      <c r="K739" s="258">
        <v>43417.0</v>
      </c>
      <c r="L739" s="258">
        <v>43410.0</v>
      </c>
      <c r="M739" s="388"/>
      <c r="N739" s="333" t="s">
        <v>3593</v>
      </c>
      <c r="O739" s="252" t="s">
        <v>5740</v>
      </c>
      <c r="P739" s="598"/>
      <c r="Q739" s="579">
        <v>27443.0</v>
      </c>
      <c r="R739" s="310" t="s">
        <v>2080</v>
      </c>
      <c r="S739" s="768">
        <v>43496.0</v>
      </c>
      <c r="T739" s="771">
        <v>43409.0</v>
      </c>
      <c r="U739" s="252" t="s">
        <v>5741</v>
      </c>
      <c r="V739" s="252" t="s">
        <v>5742</v>
      </c>
      <c r="W739" s="769">
        <v>43494.0</v>
      </c>
      <c r="X739" s="765" t="s">
        <v>5716</v>
      </c>
      <c r="Y739" s="765">
        <v>4.637951802E9</v>
      </c>
      <c r="Z739" s="766"/>
      <c r="AA739" s="765"/>
      <c r="AB739" s="765"/>
      <c r="AC739" s="253" t="s">
        <v>284</v>
      </c>
    </row>
    <row r="740" ht="15.75" hidden="1" customHeight="1">
      <c r="A740" s="764">
        <v>43398.0</v>
      </c>
      <c r="B740" s="597" t="s">
        <v>406</v>
      </c>
      <c r="C740" s="765">
        <v>7.00014225E9</v>
      </c>
      <c r="D740" s="252" t="s">
        <v>5739</v>
      </c>
      <c r="E740" s="602" t="s">
        <v>408</v>
      </c>
      <c r="F740" s="253">
        <v>3.0</v>
      </c>
      <c r="G740" s="254">
        <v>54.0</v>
      </c>
      <c r="H740" s="267">
        <f t="shared" si="38"/>
        <v>162</v>
      </c>
      <c r="I740" s="266" t="s">
        <v>43</v>
      </c>
      <c r="J740" s="333" t="s">
        <v>4002</v>
      </c>
      <c r="K740" s="258">
        <v>43417.0</v>
      </c>
      <c r="L740" s="258">
        <v>43410.0</v>
      </c>
      <c r="M740" s="388"/>
      <c r="N740" s="333" t="s">
        <v>3593</v>
      </c>
      <c r="O740" s="252" t="s">
        <v>5740</v>
      </c>
      <c r="P740" s="598"/>
      <c r="Q740" s="579">
        <v>4470.0</v>
      </c>
      <c r="R740" s="310" t="s">
        <v>2080</v>
      </c>
      <c r="S740" s="768">
        <v>43496.0</v>
      </c>
      <c r="T740" s="771">
        <v>43409.0</v>
      </c>
      <c r="U740" s="252" t="s">
        <v>5741</v>
      </c>
      <c r="V740" s="252" t="s">
        <v>5742</v>
      </c>
      <c r="W740" s="769">
        <v>43494.0</v>
      </c>
      <c r="X740" s="765" t="s">
        <v>5716</v>
      </c>
      <c r="Y740" s="765">
        <v>4.637951802E9</v>
      </c>
      <c r="Z740" s="766"/>
      <c r="AA740" s="765"/>
      <c r="AB740" s="765"/>
      <c r="AC740" s="253" t="s">
        <v>284</v>
      </c>
    </row>
    <row r="741" ht="15.75" customHeight="1">
      <c r="A741" s="764">
        <v>43399.0</v>
      </c>
      <c r="B741" s="265" t="s">
        <v>77</v>
      </c>
      <c r="C741" s="765">
        <v>1066.0</v>
      </c>
      <c r="D741" s="252" t="s">
        <v>5743</v>
      </c>
      <c r="E741" s="578" t="s">
        <v>3501</v>
      </c>
      <c r="F741" s="266">
        <v>1.0</v>
      </c>
      <c r="G741" s="581">
        <v>2.0</v>
      </c>
      <c r="H741" s="255">
        <f t="shared" si="38"/>
        <v>2</v>
      </c>
      <c r="I741" s="256" t="s">
        <v>43</v>
      </c>
      <c r="J741" s="369" t="s">
        <v>1098</v>
      </c>
      <c r="K741" s="258">
        <v>43423.0</v>
      </c>
      <c r="L741" s="266" t="s">
        <v>5744</v>
      </c>
      <c r="M741" s="388"/>
      <c r="N741" s="333" t="s">
        <v>2039</v>
      </c>
      <c r="O741" s="252" t="s">
        <v>5745</v>
      </c>
      <c r="P741" s="598"/>
      <c r="Q741" s="596"/>
      <c r="R741" s="320" t="s">
        <v>2194</v>
      </c>
      <c r="S741" s="902"/>
      <c r="T741" s="766"/>
      <c r="U741" s="766"/>
      <c r="V741" s="766"/>
      <c r="W741" s="767"/>
      <c r="X741" s="765" t="s">
        <v>5746</v>
      </c>
      <c r="Y741" s="765">
        <v>9.70912644E8</v>
      </c>
      <c r="Z741" s="766"/>
      <c r="AA741" s="765"/>
      <c r="AB741" s="765"/>
      <c r="AC741" s="253" t="s">
        <v>284</v>
      </c>
    </row>
    <row r="742" ht="15.75" customHeight="1">
      <c r="A742" s="764">
        <v>43399.0</v>
      </c>
      <c r="B742" s="265" t="s">
        <v>77</v>
      </c>
      <c r="C742" s="765">
        <v>1066.0</v>
      </c>
      <c r="D742" s="252" t="s">
        <v>5743</v>
      </c>
      <c r="E742" s="578" t="s">
        <v>3504</v>
      </c>
      <c r="F742" s="266">
        <v>1.0</v>
      </c>
      <c r="G742" s="581">
        <v>6.0</v>
      </c>
      <c r="H742" s="255">
        <f t="shared" si="38"/>
        <v>6</v>
      </c>
      <c r="I742" s="256" t="s">
        <v>43</v>
      </c>
      <c r="J742" s="369" t="s">
        <v>1098</v>
      </c>
      <c r="K742" s="258">
        <v>43423.0</v>
      </c>
      <c r="L742" s="266" t="s">
        <v>5744</v>
      </c>
      <c r="M742" s="388"/>
      <c r="N742" s="333" t="s">
        <v>2039</v>
      </c>
      <c r="O742" s="252" t="s">
        <v>5745</v>
      </c>
      <c r="P742" s="598"/>
      <c r="Q742" s="596"/>
      <c r="R742" s="320" t="s">
        <v>2194</v>
      </c>
      <c r="S742" s="902"/>
      <c r="T742" s="766"/>
      <c r="U742" s="766"/>
      <c r="V742" s="766"/>
      <c r="W742" s="767"/>
      <c r="X742" s="765" t="s">
        <v>5746</v>
      </c>
      <c r="Y742" s="765">
        <v>9.70912644E8</v>
      </c>
      <c r="Z742" s="766"/>
      <c r="AA742" s="765"/>
      <c r="AB742" s="765"/>
      <c r="AC742" s="253" t="s">
        <v>284</v>
      </c>
    </row>
    <row r="743" ht="15.75" customHeight="1">
      <c r="A743" s="776">
        <v>43399.0</v>
      </c>
      <c r="B743" s="340" t="s">
        <v>77</v>
      </c>
      <c r="C743" s="252">
        <v>1098.0</v>
      </c>
      <c r="D743" s="310" t="s">
        <v>5747</v>
      </c>
      <c r="E743" s="604" t="s">
        <v>720</v>
      </c>
      <c r="F743" s="266">
        <v>50.0</v>
      </c>
      <c r="G743" s="267">
        <v>1.9</v>
      </c>
      <c r="H743" s="255">
        <f t="shared" si="38"/>
        <v>95</v>
      </c>
      <c r="I743" s="256" t="s">
        <v>43</v>
      </c>
      <c r="J743" s="333" t="s">
        <v>316</v>
      </c>
      <c r="K743" s="258">
        <v>43412.0</v>
      </c>
      <c r="L743" s="266" t="s">
        <v>179</v>
      </c>
      <c r="M743" s="310" t="s">
        <v>5124</v>
      </c>
      <c r="N743" s="333" t="s">
        <v>3769</v>
      </c>
      <c r="O743" s="310" t="s">
        <v>5748</v>
      </c>
      <c r="P743" s="598"/>
      <c r="Q743" s="596"/>
      <c r="R743" s="388" t="s">
        <v>2131</v>
      </c>
      <c r="S743" s="902"/>
      <c r="T743" s="903"/>
      <c r="U743" s="903"/>
      <c r="V743" s="903"/>
      <c r="W743" s="767"/>
      <c r="X743" s="765" t="s">
        <v>5702</v>
      </c>
      <c r="Y743" s="765">
        <v>9.63463686E8</v>
      </c>
      <c r="Z743" s="766"/>
      <c r="AA743" s="765"/>
      <c r="AB743" s="765"/>
      <c r="AC743" s="253" t="s">
        <v>284</v>
      </c>
    </row>
    <row r="744" ht="15.75" hidden="1" customHeight="1">
      <c r="A744" s="258">
        <v>43399.0</v>
      </c>
      <c r="B744" s="892" t="s">
        <v>101</v>
      </c>
      <c r="C744" s="358" t="s">
        <v>5749</v>
      </c>
      <c r="D744" s="358" t="s">
        <v>5750</v>
      </c>
      <c r="E744" s="892" t="s">
        <v>5751</v>
      </c>
      <c r="F744" s="359">
        <v>6.0</v>
      </c>
      <c r="G744" s="366">
        <v>1108.0</v>
      </c>
      <c r="H744" s="267">
        <f t="shared" ref="H744:H751" si="39">F744*G744</f>
        <v>6648</v>
      </c>
      <c r="I744" s="266" t="s">
        <v>303</v>
      </c>
      <c r="J744" s="884" t="s">
        <v>3739</v>
      </c>
      <c r="K744" s="258">
        <v>43420.0</v>
      </c>
      <c r="L744" s="258">
        <v>43418.0</v>
      </c>
      <c r="M744" s="320"/>
      <c r="N744" s="333" t="s">
        <v>1439</v>
      </c>
      <c r="O744" s="358" t="s">
        <v>5752</v>
      </c>
      <c r="P744" s="268" t="s">
        <v>0</v>
      </c>
      <c r="Q744" s="579">
        <v>194261.0</v>
      </c>
      <c r="R744" s="320" t="s">
        <v>1976</v>
      </c>
      <c r="S744" s="768">
        <v>43465.0</v>
      </c>
      <c r="T744" s="771">
        <v>43417.0</v>
      </c>
      <c r="U744" s="252" t="s">
        <v>5753</v>
      </c>
      <c r="V744" s="774">
        <v>194261.0</v>
      </c>
      <c r="W744" s="771">
        <v>43469.0</v>
      </c>
      <c r="X744" s="252" t="s">
        <v>5445</v>
      </c>
      <c r="Y744" s="765">
        <v>7.282183672E9</v>
      </c>
      <c r="Z744" s="839"/>
      <c r="AA744" s="839"/>
      <c r="AB744" s="839"/>
      <c r="AC744" s="253" t="s">
        <v>284</v>
      </c>
    </row>
    <row r="745" ht="15.75" hidden="1" customHeight="1">
      <c r="A745" s="291">
        <v>43399.0</v>
      </c>
      <c r="B745" s="904" t="s">
        <v>101</v>
      </c>
      <c r="C745" s="905" t="s">
        <v>5749</v>
      </c>
      <c r="D745" s="905" t="s">
        <v>5750</v>
      </c>
      <c r="E745" s="904" t="s">
        <v>4644</v>
      </c>
      <c r="F745" s="906">
        <v>0.0</v>
      </c>
      <c r="G745" s="907">
        <v>85.0</v>
      </c>
      <c r="H745" s="908">
        <f t="shared" si="39"/>
        <v>0</v>
      </c>
      <c r="I745" s="860" t="s">
        <v>303</v>
      </c>
      <c r="J745" s="909" t="s">
        <v>3739</v>
      </c>
      <c r="K745" s="854">
        <v>43420.0</v>
      </c>
      <c r="L745" s="291">
        <v>43406.0</v>
      </c>
      <c r="M745" s="800"/>
      <c r="N745" s="888" t="s">
        <v>5046</v>
      </c>
      <c r="O745" s="905" t="s">
        <v>5754</v>
      </c>
      <c r="P745" s="583"/>
      <c r="Q745" s="579">
        <v>14792.0</v>
      </c>
      <c r="R745" s="604" t="s">
        <v>5755</v>
      </c>
      <c r="S745" s="768">
        <v>43439.0</v>
      </c>
      <c r="T745" s="771">
        <v>43405.0</v>
      </c>
      <c r="U745" s="252" t="s">
        <v>5756</v>
      </c>
      <c r="V745" s="774">
        <v>17258.0</v>
      </c>
      <c r="W745" s="771">
        <v>43445.0</v>
      </c>
      <c r="X745" s="910"/>
      <c r="Y745" s="789">
        <v>7.282183672E9</v>
      </c>
      <c r="Z745" s="276"/>
      <c r="AA745" s="276"/>
      <c r="AB745" s="276"/>
      <c r="AC745" s="797" t="s">
        <v>3617</v>
      </c>
    </row>
    <row r="746" ht="29.25" hidden="1" customHeight="1">
      <c r="A746" s="258">
        <v>43399.0</v>
      </c>
      <c r="B746" s="892" t="s">
        <v>101</v>
      </c>
      <c r="C746" s="358" t="s">
        <v>5757</v>
      </c>
      <c r="D746" s="358" t="s">
        <v>5758</v>
      </c>
      <c r="E746" s="578" t="s">
        <v>5759</v>
      </c>
      <c r="F746" s="359">
        <v>1.0</v>
      </c>
      <c r="G746" s="366">
        <v>620.0</v>
      </c>
      <c r="H746" s="267">
        <f t="shared" si="39"/>
        <v>620</v>
      </c>
      <c r="I746" s="266" t="s">
        <v>303</v>
      </c>
      <c r="J746" s="884" t="s">
        <v>3739</v>
      </c>
      <c r="K746" s="258">
        <v>43420.0</v>
      </c>
      <c r="L746" s="258">
        <v>43418.0</v>
      </c>
      <c r="M746" s="320"/>
      <c r="N746" s="333" t="s">
        <v>1439</v>
      </c>
      <c r="O746" s="358" t="s">
        <v>5760</v>
      </c>
      <c r="P746" s="268" t="s">
        <v>0</v>
      </c>
      <c r="Q746" s="579">
        <v>18373.0</v>
      </c>
      <c r="R746" s="320" t="s">
        <v>1976</v>
      </c>
      <c r="S746" s="768">
        <v>43465.0</v>
      </c>
      <c r="T746" s="771">
        <v>43417.0</v>
      </c>
      <c r="U746" s="252" t="s">
        <v>5761</v>
      </c>
      <c r="V746" s="774">
        <v>28226.0</v>
      </c>
      <c r="W746" s="771">
        <v>43469.0</v>
      </c>
      <c r="X746" s="252" t="s">
        <v>5445</v>
      </c>
      <c r="Y746" s="765">
        <v>7.282183672E9</v>
      </c>
      <c r="Z746" s="839"/>
      <c r="AA746" s="839"/>
      <c r="AB746" s="839"/>
      <c r="AC746" s="253" t="s">
        <v>284</v>
      </c>
    </row>
    <row r="747" ht="15.75" hidden="1" customHeight="1">
      <c r="A747" s="258">
        <v>43399.0</v>
      </c>
      <c r="B747" s="892" t="s">
        <v>101</v>
      </c>
      <c r="C747" s="358" t="s">
        <v>5757</v>
      </c>
      <c r="D747" s="358" t="s">
        <v>5758</v>
      </c>
      <c r="E747" s="604" t="s">
        <v>5762</v>
      </c>
      <c r="F747" s="359">
        <v>1.0</v>
      </c>
      <c r="G747" s="366">
        <v>330.0</v>
      </c>
      <c r="H747" s="267">
        <f t="shared" si="39"/>
        <v>330</v>
      </c>
      <c r="I747" s="266" t="s">
        <v>303</v>
      </c>
      <c r="J747" s="884" t="s">
        <v>3739</v>
      </c>
      <c r="K747" s="258">
        <v>43420.0</v>
      </c>
      <c r="L747" s="258">
        <v>43418.0</v>
      </c>
      <c r="M747" s="320"/>
      <c r="N747" s="333" t="s">
        <v>1439</v>
      </c>
      <c r="O747" s="358" t="s">
        <v>5760</v>
      </c>
      <c r="P747" s="268" t="s">
        <v>0</v>
      </c>
      <c r="Q747" s="579">
        <v>9853.0</v>
      </c>
      <c r="R747" s="320" t="s">
        <v>1976</v>
      </c>
      <c r="S747" s="768">
        <v>43465.0</v>
      </c>
      <c r="T747" s="771">
        <v>43417.0</v>
      </c>
      <c r="U747" s="252" t="s">
        <v>5761</v>
      </c>
      <c r="V747" s="252" t="s">
        <v>3127</v>
      </c>
      <c r="W747" s="771">
        <v>43469.0</v>
      </c>
      <c r="X747" s="252" t="s">
        <v>5445</v>
      </c>
      <c r="Y747" s="765">
        <v>7.282183672E9</v>
      </c>
      <c r="Z747" s="839"/>
      <c r="AA747" s="839"/>
      <c r="AB747" s="839"/>
      <c r="AC747" s="253" t="s">
        <v>284</v>
      </c>
    </row>
    <row r="748" ht="15.75" hidden="1" customHeight="1">
      <c r="A748" s="258">
        <v>43399.0</v>
      </c>
      <c r="B748" s="892" t="s">
        <v>101</v>
      </c>
      <c r="C748" s="358" t="s">
        <v>5757</v>
      </c>
      <c r="D748" s="358" t="s">
        <v>5758</v>
      </c>
      <c r="E748" s="604" t="s">
        <v>4644</v>
      </c>
      <c r="F748" s="359">
        <v>1.0</v>
      </c>
      <c r="G748" s="366">
        <v>85.0</v>
      </c>
      <c r="H748" s="267">
        <f t="shared" si="39"/>
        <v>85</v>
      </c>
      <c r="I748" s="266" t="s">
        <v>303</v>
      </c>
      <c r="J748" s="884" t="s">
        <v>3739</v>
      </c>
      <c r="K748" s="258">
        <v>43420.0</v>
      </c>
      <c r="L748" s="258">
        <v>43406.0</v>
      </c>
      <c r="M748" s="320"/>
      <c r="N748" s="333" t="s">
        <v>5763</v>
      </c>
      <c r="O748" s="358" t="s">
        <v>5764</v>
      </c>
      <c r="P748" s="598" t="s">
        <v>0</v>
      </c>
      <c r="Q748" s="579">
        <v>2465.0</v>
      </c>
      <c r="R748" s="604" t="s">
        <v>5755</v>
      </c>
      <c r="S748" s="911">
        <v>43439.0</v>
      </c>
      <c r="T748" s="771">
        <v>43405.0</v>
      </c>
      <c r="U748" s="252" t="s">
        <v>5756</v>
      </c>
      <c r="V748" s="252" t="s">
        <v>3195</v>
      </c>
      <c r="W748" s="809">
        <v>43445.0</v>
      </c>
      <c r="X748" s="252" t="s">
        <v>5445</v>
      </c>
      <c r="Y748" s="765">
        <v>7.282183672E9</v>
      </c>
      <c r="Z748" s="839"/>
      <c r="AA748" s="839"/>
      <c r="AB748" s="839"/>
      <c r="AC748" s="253" t="s">
        <v>284</v>
      </c>
    </row>
    <row r="749" ht="15.75" hidden="1" customHeight="1">
      <c r="A749" s="258">
        <v>43399.0</v>
      </c>
      <c r="B749" s="144" t="s">
        <v>406</v>
      </c>
      <c r="C749" s="895">
        <v>7.000142316E9</v>
      </c>
      <c r="D749" s="358" t="s">
        <v>5765</v>
      </c>
      <c r="E749" s="602" t="s">
        <v>5766</v>
      </c>
      <c r="F749" s="253">
        <v>5.0</v>
      </c>
      <c r="G749" s="254">
        <v>685.0</v>
      </c>
      <c r="H749" s="254">
        <f t="shared" si="39"/>
        <v>3425</v>
      </c>
      <c r="I749" s="266" t="s">
        <v>43</v>
      </c>
      <c r="J749" s="333" t="s">
        <v>4002</v>
      </c>
      <c r="K749" s="258">
        <v>43453.0</v>
      </c>
      <c r="L749" s="258">
        <v>43451.0</v>
      </c>
      <c r="M749" s="388"/>
      <c r="N749" s="333"/>
      <c r="O749" s="358" t="s">
        <v>5767</v>
      </c>
      <c r="P749" s="598"/>
      <c r="Q749" s="596"/>
      <c r="R749" s="320"/>
      <c r="S749" s="902"/>
      <c r="T749" s="766"/>
      <c r="U749" s="766"/>
      <c r="V749" s="766"/>
      <c r="W749" s="767"/>
      <c r="X749" s="765" t="s">
        <v>5768</v>
      </c>
      <c r="Y749" s="765">
        <v>7.856597044E9</v>
      </c>
      <c r="Z749" s="766"/>
      <c r="AA749" s="765"/>
      <c r="AB749" s="765"/>
      <c r="AC749" s="253" t="s">
        <v>284</v>
      </c>
    </row>
    <row r="750" ht="15.75" hidden="1" customHeight="1">
      <c r="A750" s="258">
        <v>43399.0</v>
      </c>
      <c r="B750" s="144" t="s">
        <v>406</v>
      </c>
      <c r="C750" s="895">
        <v>7.000142316E9</v>
      </c>
      <c r="D750" s="358" t="s">
        <v>5765</v>
      </c>
      <c r="E750" s="602" t="s">
        <v>512</v>
      </c>
      <c r="F750" s="253">
        <v>5.0</v>
      </c>
      <c r="G750" s="254">
        <v>39.0</v>
      </c>
      <c r="H750" s="254">
        <f t="shared" si="39"/>
        <v>195</v>
      </c>
      <c r="I750" s="266" t="s">
        <v>43</v>
      </c>
      <c r="J750" s="333" t="s">
        <v>4002</v>
      </c>
      <c r="K750" s="258">
        <v>43453.0</v>
      </c>
      <c r="L750" s="266" t="s">
        <v>4727</v>
      </c>
      <c r="M750" s="388"/>
      <c r="N750" s="333"/>
      <c r="O750" s="358" t="s">
        <v>5767</v>
      </c>
      <c r="P750" s="598"/>
      <c r="Q750" s="596"/>
      <c r="R750" s="320"/>
      <c r="S750" s="902"/>
      <c r="T750" s="766"/>
      <c r="U750" s="766"/>
      <c r="V750" s="766"/>
      <c r="W750" s="767"/>
      <c r="X750" s="765" t="s">
        <v>5768</v>
      </c>
      <c r="Y750" s="765">
        <v>7.856597044E9</v>
      </c>
      <c r="Z750" s="766"/>
      <c r="AA750" s="765"/>
      <c r="AB750" s="765"/>
      <c r="AC750" s="253" t="s">
        <v>284</v>
      </c>
    </row>
    <row r="751" ht="15.75" hidden="1" customHeight="1">
      <c r="A751" s="258">
        <v>43399.0</v>
      </c>
      <c r="B751" s="144" t="s">
        <v>406</v>
      </c>
      <c r="C751" s="895">
        <v>7.000142316E9</v>
      </c>
      <c r="D751" s="358" t="s">
        <v>5765</v>
      </c>
      <c r="E751" s="602" t="s">
        <v>515</v>
      </c>
      <c r="F751" s="253">
        <v>5.0</v>
      </c>
      <c r="G751" s="254">
        <v>43.0</v>
      </c>
      <c r="H751" s="254">
        <f t="shared" si="39"/>
        <v>215</v>
      </c>
      <c r="I751" s="266" t="s">
        <v>43</v>
      </c>
      <c r="J751" s="333" t="s">
        <v>4002</v>
      </c>
      <c r="K751" s="258">
        <v>43453.0</v>
      </c>
      <c r="L751" s="266" t="s">
        <v>4727</v>
      </c>
      <c r="M751" s="388"/>
      <c r="N751" s="333"/>
      <c r="O751" s="358" t="s">
        <v>5767</v>
      </c>
      <c r="P751" s="598"/>
      <c r="Q751" s="596"/>
      <c r="R751" s="320"/>
      <c r="S751" s="902"/>
      <c r="T751" s="766"/>
      <c r="U751" s="766"/>
      <c r="V751" s="766"/>
      <c r="W751" s="767"/>
      <c r="X751" s="765" t="s">
        <v>5768</v>
      </c>
      <c r="Y751" s="765">
        <v>7.856597044E9</v>
      </c>
      <c r="Z751" s="766"/>
      <c r="AA751" s="765"/>
      <c r="AB751" s="765"/>
      <c r="AC751" s="253" t="s">
        <v>284</v>
      </c>
    </row>
    <row r="752" ht="15.75" hidden="1" customHeight="1">
      <c r="A752" s="776">
        <v>43402.0</v>
      </c>
      <c r="B752" s="144" t="s">
        <v>101</v>
      </c>
      <c r="C752" s="252" t="s">
        <v>5769</v>
      </c>
      <c r="D752" s="265" t="s">
        <v>5770</v>
      </c>
      <c r="E752" s="422" t="s">
        <v>5771</v>
      </c>
      <c r="F752" s="253">
        <v>1.0</v>
      </c>
      <c r="G752" s="254">
        <v>570.0</v>
      </c>
      <c r="H752" s="255">
        <f t="shared" ref="H752:H762" si="40">G752*F752</f>
        <v>570</v>
      </c>
      <c r="I752" s="256" t="s">
        <v>303</v>
      </c>
      <c r="J752" s="269" t="s">
        <v>438</v>
      </c>
      <c r="K752" s="258">
        <v>43444.0</v>
      </c>
      <c r="L752" s="266" t="s">
        <v>4727</v>
      </c>
      <c r="M752" s="388"/>
      <c r="N752" s="266" t="s">
        <v>4727</v>
      </c>
      <c r="O752" s="252" t="s">
        <v>5772</v>
      </c>
      <c r="P752" s="598"/>
      <c r="Q752" s="330"/>
      <c r="R752" s="310"/>
      <c r="S752" s="902"/>
      <c r="T752" s="766"/>
      <c r="U752" s="766"/>
      <c r="V752" s="766"/>
      <c r="W752" s="767"/>
      <c r="X752" s="765" t="s">
        <v>5773</v>
      </c>
      <c r="Y752" s="765">
        <v>4.17498473E9</v>
      </c>
      <c r="Z752" s="766"/>
      <c r="AA752" s="765"/>
      <c r="AB752" s="765"/>
      <c r="AC752" s="253" t="s">
        <v>284</v>
      </c>
    </row>
    <row r="753" ht="15.75" hidden="1" customHeight="1">
      <c r="A753" s="776">
        <v>43402.0</v>
      </c>
      <c r="B753" s="144" t="s">
        <v>101</v>
      </c>
      <c r="C753" s="252" t="s">
        <v>5769</v>
      </c>
      <c r="D753" s="265" t="s">
        <v>5770</v>
      </c>
      <c r="E753" s="602" t="s">
        <v>442</v>
      </c>
      <c r="F753" s="253">
        <v>1.0</v>
      </c>
      <c r="G753" s="254">
        <v>38.0</v>
      </c>
      <c r="H753" s="255">
        <f t="shared" si="40"/>
        <v>38</v>
      </c>
      <c r="I753" s="912" t="s">
        <v>303</v>
      </c>
      <c r="J753" s="269" t="s">
        <v>438</v>
      </c>
      <c r="K753" s="258">
        <v>43444.0</v>
      </c>
      <c r="L753" s="266" t="s">
        <v>4727</v>
      </c>
      <c r="M753" s="388"/>
      <c r="N753" s="266" t="s">
        <v>4727</v>
      </c>
      <c r="O753" s="252" t="s">
        <v>5772</v>
      </c>
      <c r="P753" s="598"/>
      <c r="Q753" s="330"/>
      <c r="R753" s="310"/>
      <c r="S753" s="902"/>
      <c r="T753" s="766"/>
      <c r="U753" s="766"/>
      <c r="V753" s="766"/>
      <c r="W753" s="767"/>
      <c r="X753" s="765" t="s">
        <v>5773</v>
      </c>
      <c r="Y753" s="765">
        <v>4.17498473E9</v>
      </c>
      <c r="Z753" s="766"/>
      <c r="AA753" s="765"/>
      <c r="AB753" s="765"/>
      <c r="AC753" s="253" t="s">
        <v>284</v>
      </c>
    </row>
    <row r="754" ht="15.75" hidden="1" customHeight="1">
      <c r="A754" s="776">
        <v>43402.0</v>
      </c>
      <c r="B754" s="144" t="s">
        <v>101</v>
      </c>
      <c r="C754" s="252" t="s">
        <v>5769</v>
      </c>
      <c r="D754" s="265" t="s">
        <v>5770</v>
      </c>
      <c r="E754" s="602" t="s">
        <v>4885</v>
      </c>
      <c r="F754" s="253">
        <v>1.0</v>
      </c>
      <c r="G754" s="254">
        <v>42.0</v>
      </c>
      <c r="H754" s="255">
        <f t="shared" si="40"/>
        <v>42</v>
      </c>
      <c r="I754" s="912" t="s">
        <v>303</v>
      </c>
      <c r="J754" s="269" t="s">
        <v>438</v>
      </c>
      <c r="K754" s="258">
        <v>43444.0</v>
      </c>
      <c r="L754" s="266" t="s">
        <v>4727</v>
      </c>
      <c r="M754" s="388"/>
      <c r="N754" s="266" t="s">
        <v>4727</v>
      </c>
      <c r="O754" s="252" t="s">
        <v>5772</v>
      </c>
      <c r="P754" s="598"/>
      <c r="Q754" s="330"/>
      <c r="R754" s="310"/>
      <c r="S754" s="902"/>
      <c r="T754" s="766"/>
      <c r="U754" s="766"/>
      <c r="V754" s="766"/>
      <c r="W754" s="767"/>
      <c r="X754" s="765" t="s">
        <v>5773</v>
      </c>
      <c r="Y754" s="765">
        <v>4.17498473E9</v>
      </c>
      <c r="Z754" s="766"/>
      <c r="AA754" s="765"/>
      <c r="AB754" s="765"/>
      <c r="AC754" s="253" t="s">
        <v>284</v>
      </c>
    </row>
    <row r="755" ht="15.75" hidden="1" customHeight="1">
      <c r="A755" s="776">
        <v>43402.0</v>
      </c>
      <c r="B755" s="144" t="s">
        <v>101</v>
      </c>
      <c r="C755" s="252" t="s">
        <v>5769</v>
      </c>
      <c r="D755" s="265" t="s">
        <v>5770</v>
      </c>
      <c r="E755" s="602" t="s">
        <v>546</v>
      </c>
      <c r="F755" s="253">
        <v>1.0</v>
      </c>
      <c r="G755" s="254">
        <v>47.0</v>
      </c>
      <c r="H755" s="255">
        <f t="shared" si="40"/>
        <v>47</v>
      </c>
      <c r="I755" s="912" t="s">
        <v>303</v>
      </c>
      <c r="J755" s="269" t="s">
        <v>438</v>
      </c>
      <c r="K755" s="258">
        <v>43444.0</v>
      </c>
      <c r="L755" s="266" t="s">
        <v>4727</v>
      </c>
      <c r="M755" s="388"/>
      <c r="N755" s="266" t="s">
        <v>4727</v>
      </c>
      <c r="O755" s="252" t="s">
        <v>5772</v>
      </c>
      <c r="P755" s="598"/>
      <c r="Q755" s="330"/>
      <c r="R755" s="310"/>
      <c r="S755" s="902"/>
      <c r="T755" s="766"/>
      <c r="U755" s="766"/>
      <c r="V755" s="766"/>
      <c r="W755" s="767"/>
      <c r="X755" s="765" t="s">
        <v>5773</v>
      </c>
      <c r="Y755" s="765">
        <v>4.17498473E9</v>
      </c>
      <c r="Z755" s="766"/>
      <c r="AA755" s="765"/>
      <c r="AB755" s="765"/>
      <c r="AC755" s="253" t="s">
        <v>284</v>
      </c>
    </row>
    <row r="756" ht="15.75" hidden="1" customHeight="1">
      <c r="A756" s="776">
        <v>43402.0</v>
      </c>
      <c r="B756" s="144" t="s">
        <v>101</v>
      </c>
      <c r="C756" s="252" t="s">
        <v>5769</v>
      </c>
      <c r="D756" s="265" t="s">
        <v>5770</v>
      </c>
      <c r="E756" s="602" t="s">
        <v>4886</v>
      </c>
      <c r="F756" s="253">
        <v>1.0</v>
      </c>
      <c r="G756" s="254">
        <v>140.0</v>
      </c>
      <c r="H756" s="255">
        <f t="shared" si="40"/>
        <v>140</v>
      </c>
      <c r="I756" s="912" t="s">
        <v>303</v>
      </c>
      <c r="J756" s="269" t="s">
        <v>438</v>
      </c>
      <c r="K756" s="258">
        <v>43444.0</v>
      </c>
      <c r="L756" s="266" t="s">
        <v>4727</v>
      </c>
      <c r="M756" s="388"/>
      <c r="N756" s="266" t="s">
        <v>4727</v>
      </c>
      <c r="O756" s="252" t="s">
        <v>5772</v>
      </c>
      <c r="P756" s="598"/>
      <c r="Q756" s="330"/>
      <c r="R756" s="310"/>
      <c r="S756" s="902"/>
      <c r="T756" s="766"/>
      <c r="U756" s="766"/>
      <c r="V756" s="766"/>
      <c r="W756" s="767"/>
      <c r="X756" s="765" t="s">
        <v>5773</v>
      </c>
      <c r="Y756" s="765">
        <v>4.17498473E9</v>
      </c>
      <c r="Z756" s="766"/>
      <c r="AA756" s="765"/>
      <c r="AB756" s="765"/>
      <c r="AC756" s="253" t="s">
        <v>284</v>
      </c>
    </row>
    <row r="757" ht="15.75" hidden="1" customHeight="1">
      <c r="A757" s="776">
        <v>43402.0</v>
      </c>
      <c r="B757" s="144" t="s">
        <v>101</v>
      </c>
      <c r="C757" s="252" t="s">
        <v>5769</v>
      </c>
      <c r="D757" s="265" t="s">
        <v>5770</v>
      </c>
      <c r="E757" s="838" t="s">
        <v>5154</v>
      </c>
      <c r="F757" s="253">
        <v>1.0</v>
      </c>
      <c r="G757" s="254">
        <v>10.0</v>
      </c>
      <c r="H757" s="268">
        <f t="shared" si="40"/>
        <v>10</v>
      </c>
      <c r="I757" s="912" t="s">
        <v>303</v>
      </c>
      <c r="J757" s="269" t="s">
        <v>438</v>
      </c>
      <c r="K757" s="258">
        <v>43444.0</v>
      </c>
      <c r="L757" s="266" t="s">
        <v>4727</v>
      </c>
      <c r="M757" s="388"/>
      <c r="N757" s="266" t="s">
        <v>4727</v>
      </c>
      <c r="O757" s="252" t="s">
        <v>5772</v>
      </c>
      <c r="P757" s="598"/>
      <c r="Q757" s="330"/>
      <c r="R757" s="310"/>
      <c r="S757" s="902"/>
      <c r="T757" s="766"/>
      <c r="U757" s="766" t="s">
        <v>0</v>
      </c>
      <c r="V757" s="766"/>
      <c r="W757" s="767"/>
      <c r="X757" s="765" t="s">
        <v>5773</v>
      </c>
      <c r="Y757" s="765">
        <v>4.17498473E9</v>
      </c>
      <c r="Z757" s="766"/>
      <c r="AA757" s="765"/>
      <c r="AB757" s="765"/>
      <c r="AC757" s="253" t="s">
        <v>284</v>
      </c>
    </row>
    <row r="758" ht="15.75" hidden="1" customHeight="1">
      <c r="A758" s="776">
        <v>43402.0</v>
      </c>
      <c r="B758" s="144" t="s">
        <v>101</v>
      </c>
      <c r="C758" s="252" t="s">
        <v>5769</v>
      </c>
      <c r="D758" s="913" t="s">
        <v>5774</v>
      </c>
      <c r="E758" s="838" t="s">
        <v>347</v>
      </c>
      <c r="F758" s="253">
        <v>1.0</v>
      </c>
      <c r="G758" s="254">
        <v>706.5</v>
      </c>
      <c r="H758" s="268">
        <f t="shared" si="40"/>
        <v>706.5</v>
      </c>
      <c r="I758" s="912" t="s">
        <v>303</v>
      </c>
      <c r="J758" s="914" t="s">
        <v>438</v>
      </c>
      <c r="K758" s="258">
        <v>43444.0</v>
      </c>
      <c r="L758" s="266"/>
      <c r="M758" s="388"/>
      <c r="N758" s="333" t="s">
        <v>2032</v>
      </c>
      <c r="O758" s="358"/>
      <c r="P758" s="598"/>
      <c r="Q758" s="637">
        <v>18445.0</v>
      </c>
      <c r="R758" s="320" t="s">
        <v>2033</v>
      </c>
      <c r="S758" s="768">
        <v>43478.0</v>
      </c>
      <c r="T758" s="771">
        <v>43448.0</v>
      </c>
      <c r="U758" s="252" t="s">
        <v>5775</v>
      </c>
      <c r="V758" s="774">
        <v>18445.0</v>
      </c>
      <c r="W758" s="771">
        <v>43477.0</v>
      </c>
      <c r="X758" s="765" t="s">
        <v>5773</v>
      </c>
      <c r="Y758" s="765">
        <v>4.17498473E9</v>
      </c>
      <c r="Z758" s="766"/>
      <c r="AA758" s="765"/>
      <c r="AB758" s="765"/>
      <c r="AC758" s="253" t="s">
        <v>284</v>
      </c>
    </row>
    <row r="759" ht="15.75" hidden="1" customHeight="1">
      <c r="A759" s="764">
        <v>43403.0</v>
      </c>
      <c r="B759" s="265" t="s">
        <v>101</v>
      </c>
      <c r="C759" s="358" t="s">
        <v>5776</v>
      </c>
      <c r="D759" s="358" t="s">
        <v>5777</v>
      </c>
      <c r="E759" s="838" t="s">
        <v>5778</v>
      </c>
      <c r="F759" s="253">
        <v>6.0</v>
      </c>
      <c r="G759" s="254">
        <v>322.0</v>
      </c>
      <c r="H759" s="268">
        <f t="shared" si="40"/>
        <v>1932</v>
      </c>
      <c r="I759" s="912" t="s">
        <v>303</v>
      </c>
      <c r="J759" s="269" t="s">
        <v>438</v>
      </c>
      <c r="K759" s="258">
        <v>43425.0</v>
      </c>
      <c r="L759" s="258">
        <v>43420.0</v>
      </c>
      <c r="M759" s="388"/>
      <c r="N759" s="403" t="s">
        <v>2028</v>
      </c>
      <c r="O759" s="358" t="s">
        <v>5779</v>
      </c>
      <c r="P759" s="598"/>
      <c r="Q759" s="579">
        <v>56555.0</v>
      </c>
      <c r="R759" s="578" t="s">
        <v>2030</v>
      </c>
      <c r="S759" s="810">
        <v>43470.0</v>
      </c>
      <c r="T759" s="769">
        <v>43419.0</v>
      </c>
      <c r="U759" s="765" t="s">
        <v>5780</v>
      </c>
      <c r="V759" s="770">
        <v>58118.0</v>
      </c>
      <c r="W759" s="769">
        <v>43469.0</v>
      </c>
      <c r="X759" s="252" t="s">
        <v>5781</v>
      </c>
      <c r="Y759" s="765">
        <v>6.296006636E9</v>
      </c>
      <c r="Z759" s="766"/>
      <c r="AA759" s="765"/>
      <c r="AB759" s="765"/>
      <c r="AC759" s="253" t="s">
        <v>284</v>
      </c>
    </row>
    <row r="760" ht="40.5" hidden="1" customHeight="1">
      <c r="A760" s="764">
        <v>43371.0</v>
      </c>
      <c r="B760" s="265" t="s">
        <v>101</v>
      </c>
      <c r="C760" s="358" t="s">
        <v>5776</v>
      </c>
      <c r="D760" s="358" t="s">
        <v>5782</v>
      </c>
      <c r="E760" s="838" t="s">
        <v>5783</v>
      </c>
      <c r="F760" s="253">
        <v>6.0</v>
      </c>
      <c r="G760" s="254">
        <v>44.0</v>
      </c>
      <c r="H760" s="268">
        <f t="shared" si="40"/>
        <v>264</v>
      </c>
      <c r="I760" s="912" t="s">
        <v>303</v>
      </c>
      <c r="J760" s="269" t="s">
        <v>438</v>
      </c>
      <c r="K760" s="258">
        <v>43425.0</v>
      </c>
      <c r="L760" s="258">
        <v>43411.0</v>
      </c>
      <c r="M760" s="388"/>
      <c r="N760" s="253" t="s">
        <v>2020</v>
      </c>
      <c r="O760" s="358" t="s">
        <v>5784</v>
      </c>
      <c r="P760" s="598"/>
      <c r="Q760" s="791">
        <v>7585.0</v>
      </c>
      <c r="R760" s="604" t="s">
        <v>5755</v>
      </c>
      <c r="S760" s="768">
        <v>43439.0</v>
      </c>
      <c r="T760" s="769">
        <v>43410.0</v>
      </c>
      <c r="U760" s="765" t="s">
        <v>5785</v>
      </c>
      <c r="V760" s="770">
        <v>7585.0</v>
      </c>
      <c r="W760" s="771">
        <v>43445.0</v>
      </c>
      <c r="X760" s="252" t="s">
        <v>5781</v>
      </c>
      <c r="Y760" s="765">
        <v>6.296006636E9</v>
      </c>
      <c r="Z760" s="766"/>
      <c r="AA760" s="765"/>
      <c r="AB760" s="765"/>
      <c r="AC760" s="253" t="s">
        <v>284</v>
      </c>
    </row>
    <row r="761" ht="26.25" hidden="1" customHeight="1">
      <c r="A761" s="764">
        <v>43371.0</v>
      </c>
      <c r="B761" s="265" t="s">
        <v>101</v>
      </c>
      <c r="C761" s="358" t="s">
        <v>5776</v>
      </c>
      <c r="D761" s="358" t="s">
        <v>5782</v>
      </c>
      <c r="E761" s="838" t="s">
        <v>292</v>
      </c>
      <c r="F761" s="253">
        <v>6.0</v>
      </c>
      <c r="G761" s="254">
        <v>6.0</v>
      </c>
      <c r="H761" s="255">
        <f t="shared" si="40"/>
        <v>36</v>
      </c>
      <c r="I761" s="912" t="s">
        <v>303</v>
      </c>
      <c r="J761" s="269" t="s">
        <v>438</v>
      </c>
      <c r="K761" s="258">
        <v>43425.0</v>
      </c>
      <c r="L761" s="258">
        <v>43420.0</v>
      </c>
      <c r="M761" s="388"/>
      <c r="N761" s="403" t="s">
        <v>2028</v>
      </c>
      <c r="O761" s="358" t="s">
        <v>5779</v>
      </c>
      <c r="P761" s="598"/>
      <c r="Q761" s="579">
        <v>1563.0</v>
      </c>
      <c r="R761" s="578" t="s">
        <v>2030</v>
      </c>
      <c r="S761" s="810">
        <v>43470.0</v>
      </c>
      <c r="T761" s="769">
        <v>43419.0</v>
      </c>
      <c r="U761" s="765" t="s">
        <v>5780</v>
      </c>
      <c r="V761" s="765" t="s">
        <v>5786</v>
      </c>
      <c r="W761" s="769">
        <v>43469.0</v>
      </c>
      <c r="X761" s="252" t="s">
        <v>5781</v>
      </c>
      <c r="Y761" s="765">
        <v>6.296006636E9</v>
      </c>
      <c r="Z761" s="766"/>
      <c r="AA761" s="765"/>
      <c r="AB761" s="765"/>
      <c r="AC761" s="253" t="s">
        <v>284</v>
      </c>
    </row>
    <row r="762" ht="15.75" hidden="1" customHeight="1">
      <c r="A762" s="258">
        <v>43425.0</v>
      </c>
      <c r="B762" s="265" t="s">
        <v>101</v>
      </c>
      <c r="C762" s="358" t="s">
        <v>5776</v>
      </c>
      <c r="D762" s="358" t="s">
        <v>5787</v>
      </c>
      <c r="E762" s="915" t="s">
        <v>347</v>
      </c>
      <c r="F762" s="916">
        <v>1.0</v>
      </c>
      <c r="G762" s="917">
        <v>88.35</v>
      </c>
      <c r="H762" s="255">
        <f t="shared" si="40"/>
        <v>88.35</v>
      </c>
      <c r="I762" s="918" t="s">
        <v>303</v>
      </c>
      <c r="J762" s="269" t="s">
        <v>438</v>
      </c>
      <c r="K762" s="258">
        <v>43425.0</v>
      </c>
      <c r="L762" s="630"/>
      <c r="M762" s="388"/>
      <c r="N762" s="333" t="s">
        <v>2032</v>
      </c>
      <c r="O762" s="358" t="s">
        <v>5779</v>
      </c>
      <c r="P762" s="598"/>
      <c r="Q762" s="579">
        <v>2549.0</v>
      </c>
      <c r="R762" s="320" t="s">
        <v>2033</v>
      </c>
      <c r="S762" s="826">
        <v>43464.0</v>
      </c>
      <c r="T762" s="769">
        <v>43434.0</v>
      </c>
      <c r="U762" s="765" t="s">
        <v>5788</v>
      </c>
      <c r="V762" s="770">
        <v>7599.0</v>
      </c>
      <c r="W762" s="769">
        <v>43458.0</v>
      </c>
      <c r="X762" s="839"/>
      <c r="Y762" s="765">
        <v>6.296006636E9</v>
      </c>
      <c r="Z762" s="766"/>
      <c r="AA762" s="765"/>
      <c r="AB762" s="765"/>
      <c r="AC762" s="253" t="s">
        <v>284</v>
      </c>
    </row>
    <row r="763" ht="15.75" hidden="1" customHeight="1">
      <c r="A763" s="919">
        <v>43404.0</v>
      </c>
      <c r="B763" s="144" t="s">
        <v>101</v>
      </c>
      <c r="C763" s="920" t="s">
        <v>5789</v>
      </c>
      <c r="D763" s="920" t="s">
        <v>5790</v>
      </c>
      <c r="E763" s="920" t="s">
        <v>5791</v>
      </c>
      <c r="F763" s="390">
        <v>10.0</v>
      </c>
      <c r="G763" s="391">
        <v>570.0</v>
      </c>
      <c r="H763" s="391">
        <v>5700.0</v>
      </c>
      <c r="I763" s="918" t="s">
        <v>303</v>
      </c>
      <c r="J763" s="269" t="s">
        <v>438</v>
      </c>
      <c r="K763" s="258">
        <v>43444.0</v>
      </c>
      <c r="L763" s="630"/>
      <c r="M763" s="388"/>
      <c r="N763" s="266" t="s">
        <v>4727</v>
      </c>
      <c r="O763" s="806" t="s">
        <v>5792</v>
      </c>
      <c r="P763" s="598"/>
      <c r="Q763" s="596"/>
      <c r="R763" s="320"/>
      <c r="S763" s="902"/>
      <c r="T763" s="766"/>
      <c r="U763" s="766"/>
      <c r="V763" s="766"/>
      <c r="W763" s="767"/>
      <c r="X763" s="765" t="s">
        <v>5773</v>
      </c>
      <c r="Y763" s="765">
        <v>4.17498473E9</v>
      </c>
      <c r="Z763" s="766"/>
      <c r="AA763" s="765"/>
      <c r="AB763" s="765"/>
      <c r="AC763" s="253" t="s">
        <v>284</v>
      </c>
    </row>
    <row r="764" ht="15.75" hidden="1" customHeight="1">
      <c r="A764" s="919">
        <v>43404.0</v>
      </c>
      <c r="B764" s="920" t="s">
        <v>101</v>
      </c>
      <c r="C764" s="920" t="s">
        <v>5789</v>
      </c>
      <c r="D764" s="920" t="s">
        <v>5790</v>
      </c>
      <c r="E764" s="920" t="s">
        <v>442</v>
      </c>
      <c r="F764" s="390">
        <v>10.0</v>
      </c>
      <c r="G764" s="391">
        <v>38.0</v>
      </c>
      <c r="H764" s="391">
        <v>380.0</v>
      </c>
      <c r="I764" s="918" t="s">
        <v>303</v>
      </c>
      <c r="J764" s="269" t="s">
        <v>438</v>
      </c>
      <c r="K764" s="258">
        <v>43444.0</v>
      </c>
      <c r="L764" s="630"/>
      <c r="M764" s="388"/>
      <c r="N764" s="266" t="s">
        <v>4727</v>
      </c>
      <c r="O764" s="806" t="s">
        <v>5792</v>
      </c>
      <c r="P764" s="598"/>
      <c r="Q764" s="596"/>
      <c r="R764" s="320"/>
      <c r="S764" s="902"/>
      <c r="T764" s="766"/>
      <c r="U764" s="766"/>
      <c r="V764" s="766"/>
      <c r="W764" s="767"/>
      <c r="X764" s="765" t="s">
        <v>5773</v>
      </c>
      <c r="Y764" s="765">
        <v>4.17498473E9</v>
      </c>
      <c r="Z764" s="766"/>
      <c r="AA764" s="765"/>
      <c r="AB764" s="765"/>
      <c r="AC764" s="253" t="s">
        <v>284</v>
      </c>
    </row>
    <row r="765" ht="15.75" hidden="1" customHeight="1">
      <c r="A765" s="919">
        <v>43404.0</v>
      </c>
      <c r="B765" s="920" t="s">
        <v>101</v>
      </c>
      <c r="C765" s="920" t="s">
        <v>5789</v>
      </c>
      <c r="D765" s="920" t="s">
        <v>5790</v>
      </c>
      <c r="E765" s="920" t="s">
        <v>5793</v>
      </c>
      <c r="F765" s="390">
        <v>10.0</v>
      </c>
      <c r="G765" s="391">
        <v>44.0</v>
      </c>
      <c r="H765" s="391">
        <v>440.0</v>
      </c>
      <c r="I765" s="918" t="s">
        <v>303</v>
      </c>
      <c r="J765" s="269" t="s">
        <v>438</v>
      </c>
      <c r="K765" s="258">
        <v>43444.0</v>
      </c>
      <c r="L765" s="630"/>
      <c r="M765" s="388"/>
      <c r="N765" s="266" t="s">
        <v>4727</v>
      </c>
      <c r="O765" s="806" t="s">
        <v>5792</v>
      </c>
      <c r="P765" s="598"/>
      <c r="Q765" s="596"/>
      <c r="R765" s="320"/>
      <c r="S765" s="902"/>
      <c r="T765" s="766"/>
      <c r="U765" s="766"/>
      <c r="V765" s="766"/>
      <c r="W765" s="767"/>
      <c r="X765" s="765" t="s">
        <v>5773</v>
      </c>
      <c r="Y765" s="765">
        <v>4.17498473E9</v>
      </c>
      <c r="Z765" s="766"/>
      <c r="AA765" s="765"/>
      <c r="AB765" s="765"/>
      <c r="AC765" s="253" t="s">
        <v>284</v>
      </c>
    </row>
    <row r="766" ht="15.75" hidden="1" customHeight="1">
      <c r="A766" s="919">
        <v>43404.0</v>
      </c>
      <c r="B766" s="920" t="s">
        <v>101</v>
      </c>
      <c r="C766" s="920" t="s">
        <v>5789</v>
      </c>
      <c r="D766" s="920" t="s">
        <v>5790</v>
      </c>
      <c r="E766" s="920" t="s">
        <v>5794</v>
      </c>
      <c r="F766" s="390">
        <v>10.0</v>
      </c>
      <c r="G766" s="391">
        <v>140.0</v>
      </c>
      <c r="H766" s="391">
        <v>1400.0</v>
      </c>
      <c r="I766" s="918" t="s">
        <v>303</v>
      </c>
      <c r="J766" s="269" t="s">
        <v>438</v>
      </c>
      <c r="K766" s="258">
        <v>43444.0</v>
      </c>
      <c r="L766" s="630"/>
      <c r="M766" s="388"/>
      <c r="N766" s="266" t="s">
        <v>4727</v>
      </c>
      <c r="O766" s="806" t="s">
        <v>5792</v>
      </c>
      <c r="P766" s="598"/>
      <c r="Q766" s="596"/>
      <c r="R766" s="320"/>
      <c r="S766" s="902"/>
      <c r="T766" s="766"/>
      <c r="U766" s="766"/>
      <c r="V766" s="766"/>
      <c r="W766" s="767"/>
      <c r="X766" s="765" t="s">
        <v>5773</v>
      </c>
      <c r="Y766" s="765">
        <v>4.17498473E9</v>
      </c>
      <c r="Z766" s="766"/>
      <c r="AA766" s="765"/>
      <c r="AB766" s="765"/>
      <c r="AC766" s="253" t="s">
        <v>284</v>
      </c>
    </row>
    <row r="767" ht="15.75" hidden="1" customHeight="1">
      <c r="A767" s="919">
        <v>43404.0</v>
      </c>
      <c r="B767" s="920" t="s">
        <v>101</v>
      </c>
      <c r="C767" s="920" t="s">
        <v>5789</v>
      </c>
      <c r="D767" s="920" t="s">
        <v>5790</v>
      </c>
      <c r="E767" s="920" t="s">
        <v>546</v>
      </c>
      <c r="F767" s="390">
        <v>10.0</v>
      </c>
      <c r="G767" s="391">
        <v>47.0</v>
      </c>
      <c r="H767" s="391">
        <v>470.0</v>
      </c>
      <c r="I767" s="918" t="s">
        <v>303</v>
      </c>
      <c r="J767" s="269" t="s">
        <v>438</v>
      </c>
      <c r="K767" s="258">
        <v>43444.0</v>
      </c>
      <c r="L767" s="630"/>
      <c r="M767" s="388"/>
      <c r="N767" s="266" t="s">
        <v>4727</v>
      </c>
      <c r="O767" s="806" t="s">
        <v>5792</v>
      </c>
      <c r="P767" s="598"/>
      <c r="Q767" s="596"/>
      <c r="R767" s="320"/>
      <c r="S767" s="902"/>
      <c r="T767" s="766"/>
      <c r="U767" s="766"/>
      <c r="V767" s="766"/>
      <c r="W767" s="767"/>
      <c r="X767" s="765" t="s">
        <v>5773</v>
      </c>
      <c r="Y767" s="765">
        <v>4.17498473E9</v>
      </c>
      <c r="Z767" s="766"/>
      <c r="AA767" s="765"/>
      <c r="AB767" s="765"/>
      <c r="AC767" s="253" t="s">
        <v>284</v>
      </c>
    </row>
    <row r="768" ht="15.75" hidden="1" customHeight="1">
      <c r="A768" s="919">
        <v>43404.0</v>
      </c>
      <c r="B768" s="920" t="s">
        <v>101</v>
      </c>
      <c r="C768" s="920" t="s">
        <v>5789</v>
      </c>
      <c r="D768" s="920" t="s">
        <v>5790</v>
      </c>
      <c r="E768" s="920" t="s">
        <v>445</v>
      </c>
      <c r="F768" s="390">
        <v>10.0</v>
      </c>
      <c r="G768" s="391">
        <v>10.0</v>
      </c>
      <c r="H768" s="391">
        <v>100.0</v>
      </c>
      <c r="I768" s="918" t="s">
        <v>303</v>
      </c>
      <c r="J768" s="269" t="s">
        <v>438</v>
      </c>
      <c r="K768" s="258">
        <v>43444.0</v>
      </c>
      <c r="L768" s="630"/>
      <c r="M768" s="388"/>
      <c r="N768" s="266" t="s">
        <v>4727</v>
      </c>
      <c r="O768" s="806" t="s">
        <v>5792</v>
      </c>
      <c r="P768" s="598"/>
      <c r="Q768" s="596"/>
      <c r="R768" s="320"/>
      <c r="S768" s="902"/>
      <c r="T768" s="766"/>
      <c r="U768" s="766"/>
      <c r="V768" s="766"/>
      <c r="W768" s="767"/>
      <c r="X768" s="765" t="s">
        <v>5773</v>
      </c>
      <c r="Y768" s="765">
        <v>4.17498473E9</v>
      </c>
      <c r="Z768" s="766"/>
      <c r="AA768" s="765"/>
      <c r="AB768" s="765"/>
      <c r="AC768" s="253" t="s">
        <v>284</v>
      </c>
    </row>
    <row r="769" ht="15.75" hidden="1" customHeight="1">
      <c r="A769" s="919">
        <v>43404.0</v>
      </c>
      <c r="B769" s="416" t="s">
        <v>101</v>
      </c>
      <c r="C769" s="920" t="s">
        <v>5795</v>
      </c>
      <c r="D769" s="920" t="s">
        <v>5796</v>
      </c>
      <c r="E769" s="920" t="s">
        <v>5797</v>
      </c>
      <c r="F769" s="390">
        <v>2.0</v>
      </c>
      <c r="G769" s="391">
        <v>592.0</v>
      </c>
      <c r="H769" s="391">
        <f t="shared" ref="H769:H775" si="41">F769*G769</f>
        <v>1184</v>
      </c>
      <c r="I769" s="266" t="s">
        <v>303</v>
      </c>
      <c r="J769" s="269" t="s">
        <v>438</v>
      </c>
      <c r="K769" s="258">
        <v>43461.0</v>
      </c>
      <c r="L769" s="630"/>
      <c r="M769" s="388"/>
      <c r="N769" s="266" t="s">
        <v>5798</v>
      </c>
      <c r="O769" s="806" t="s">
        <v>5799</v>
      </c>
      <c r="P769" s="598"/>
      <c r="Q769" s="596"/>
      <c r="R769" s="320"/>
      <c r="S769" s="902"/>
      <c r="T769" s="766"/>
      <c r="U769" s="766"/>
      <c r="V769" s="766"/>
      <c r="W769" s="767"/>
      <c r="X769" s="765" t="s">
        <v>5800</v>
      </c>
      <c r="Y769" s="252">
        <v>2.336134651E9</v>
      </c>
      <c r="Z769" s="766"/>
      <c r="AA769" s="765"/>
      <c r="AB769" s="765"/>
      <c r="AC769" s="253" t="s">
        <v>284</v>
      </c>
    </row>
    <row r="770" ht="15.75" hidden="1" customHeight="1">
      <c r="A770" s="919">
        <v>43404.0</v>
      </c>
      <c r="B770" s="416" t="s">
        <v>101</v>
      </c>
      <c r="C770" s="920" t="s">
        <v>5795</v>
      </c>
      <c r="D770" s="920" t="s">
        <v>5796</v>
      </c>
      <c r="E770" s="920" t="s">
        <v>442</v>
      </c>
      <c r="F770" s="390">
        <v>2.0</v>
      </c>
      <c r="G770" s="391">
        <v>38.0</v>
      </c>
      <c r="H770" s="391">
        <f t="shared" si="41"/>
        <v>76</v>
      </c>
      <c r="I770" s="266" t="s">
        <v>303</v>
      </c>
      <c r="J770" s="269" t="s">
        <v>438</v>
      </c>
      <c r="K770" s="258">
        <v>43461.0</v>
      </c>
      <c r="L770" s="630"/>
      <c r="M770" s="388"/>
      <c r="N770" s="266" t="s">
        <v>5798</v>
      </c>
      <c r="O770" s="806" t="s">
        <v>5799</v>
      </c>
      <c r="P770" s="598"/>
      <c r="Q770" s="596"/>
      <c r="R770" s="320"/>
      <c r="S770" s="902"/>
      <c r="T770" s="766"/>
      <c r="U770" s="766"/>
      <c r="V770" s="766"/>
      <c r="W770" s="767"/>
      <c r="X770" s="765" t="s">
        <v>5800</v>
      </c>
      <c r="Y770" s="252">
        <v>2.336134651E9</v>
      </c>
      <c r="Z770" s="766"/>
      <c r="AA770" s="765"/>
      <c r="AB770" s="765"/>
      <c r="AC770" s="253" t="s">
        <v>284</v>
      </c>
    </row>
    <row r="771" ht="15.75" hidden="1" customHeight="1">
      <c r="A771" s="919">
        <v>43404.0</v>
      </c>
      <c r="B771" s="416" t="s">
        <v>101</v>
      </c>
      <c r="C771" s="920" t="s">
        <v>5795</v>
      </c>
      <c r="D771" s="920" t="s">
        <v>5796</v>
      </c>
      <c r="E771" s="920" t="s">
        <v>545</v>
      </c>
      <c r="F771" s="390">
        <v>2.0</v>
      </c>
      <c r="G771" s="391">
        <v>76.0</v>
      </c>
      <c r="H771" s="391">
        <f t="shared" si="41"/>
        <v>152</v>
      </c>
      <c r="I771" s="266" t="s">
        <v>303</v>
      </c>
      <c r="J771" s="269" t="s">
        <v>438</v>
      </c>
      <c r="K771" s="258">
        <v>43461.0</v>
      </c>
      <c r="L771" s="630"/>
      <c r="M771" s="388"/>
      <c r="N771" s="266" t="s">
        <v>5798</v>
      </c>
      <c r="O771" s="806" t="s">
        <v>5799</v>
      </c>
      <c r="P771" s="598"/>
      <c r="Q771" s="596"/>
      <c r="R771" s="320"/>
      <c r="S771" s="902"/>
      <c r="T771" s="766"/>
      <c r="U771" s="766"/>
      <c r="V771" s="766"/>
      <c r="W771" s="767"/>
      <c r="X771" s="765" t="s">
        <v>5800</v>
      </c>
      <c r="Y771" s="252">
        <v>2.336134651E9</v>
      </c>
      <c r="Z771" s="766"/>
      <c r="AA771" s="765"/>
      <c r="AB771" s="765"/>
      <c r="AC771" s="253" t="s">
        <v>284</v>
      </c>
    </row>
    <row r="772" ht="15.75" hidden="1" customHeight="1">
      <c r="A772" s="919">
        <v>43404.0</v>
      </c>
      <c r="B772" s="416" t="s">
        <v>101</v>
      </c>
      <c r="C772" s="920" t="s">
        <v>5795</v>
      </c>
      <c r="D772" s="920" t="s">
        <v>5796</v>
      </c>
      <c r="E772" s="920" t="s">
        <v>5794</v>
      </c>
      <c r="F772" s="390">
        <v>2.0</v>
      </c>
      <c r="G772" s="391">
        <v>140.0</v>
      </c>
      <c r="H772" s="391">
        <f t="shared" si="41"/>
        <v>280</v>
      </c>
      <c r="I772" s="266" t="s">
        <v>303</v>
      </c>
      <c r="J772" s="269" t="s">
        <v>438</v>
      </c>
      <c r="K772" s="258">
        <v>43461.0</v>
      </c>
      <c r="L772" s="630"/>
      <c r="M772" s="388"/>
      <c r="N772" s="266" t="s">
        <v>5798</v>
      </c>
      <c r="O772" s="806" t="s">
        <v>5799</v>
      </c>
      <c r="P772" s="598"/>
      <c r="Q772" s="596"/>
      <c r="R772" s="320"/>
      <c r="S772" s="902"/>
      <c r="T772" s="766"/>
      <c r="U772" s="766"/>
      <c r="V772" s="766"/>
      <c r="W772" s="767"/>
      <c r="X772" s="765" t="s">
        <v>5800</v>
      </c>
      <c r="Y772" s="252">
        <v>2.336134651E9</v>
      </c>
      <c r="Z772" s="766"/>
      <c r="AA772" s="765"/>
      <c r="AB772" s="765"/>
      <c r="AC772" s="253" t="s">
        <v>284</v>
      </c>
    </row>
    <row r="773" ht="15.75" hidden="1" customHeight="1">
      <c r="A773" s="919">
        <v>43404.0</v>
      </c>
      <c r="B773" s="416" t="s">
        <v>101</v>
      </c>
      <c r="C773" s="920" t="s">
        <v>5795</v>
      </c>
      <c r="D773" s="920" t="s">
        <v>5796</v>
      </c>
      <c r="E773" s="920" t="s">
        <v>546</v>
      </c>
      <c r="F773" s="390">
        <v>2.0</v>
      </c>
      <c r="G773" s="391">
        <v>47.0</v>
      </c>
      <c r="H773" s="391">
        <f t="shared" si="41"/>
        <v>94</v>
      </c>
      <c r="I773" s="266" t="s">
        <v>303</v>
      </c>
      <c r="J773" s="269" t="s">
        <v>438</v>
      </c>
      <c r="K773" s="258">
        <v>43461.0</v>
      </c>
      <c r="L773" s="630"/>
      <c r="M773" s="388"/>
      <c r="N773" s="266" t="s">
        <v>5798</v>
      </c>
      <c r="O773" s="806" t="s">
        <v>5799</v>
      </c>
      <c r="P773" s="598"/>
      <c r="Q773" s="596"/>
      <c r="R773" s="320"/>
      <c r="S773" s="902"/>
      <c r="T773" s="766"/>
      <c r="U773" s="766"/>
      <c r="V773" s="766"/>
      <c r="W773" s="767"/>
      <c r="X773" s="765" t="s">
        <v>5800</v>
      </c>
      <c r="Y773" s="252">
        <v>2.336134651E9</v>
      </c>
      <c r="Z773" s="766"/>
      <c r="AA773" s="765"/>
      <c r="AB773" s="765"/>
      <c r="AC773" s="253" t="s">
        <v>284</v>
      </c>
    </row>
    <row r="774" ht="15.75" hidden="1" customHeight="1">
      <c r="A774" s="919">
        <v>43404.0</v>
      </c>
      <c r="B774" s="416" t="s">
        <v>101</v>
      </c>
      <c r="C774" s="920" t="s">
        <v>5795</v>
      </c>
      <c r="D774" s="920" t="s">
        <v>5796</v>
      </c>
      <c r="E774" s="920" t="s">
        <v>445</v>
      </c>
      <c r="F774" s="390">
        <v>2.0</v>
      </c>
      <c r="G774" s="391">
        <v>10.0</v>
      </c>
      <c r="H774" s="391">
        <f t="shared" si="41"/>
        <v>20</v>
      </c>
      <c r="I774" s="266" t="s">
        <v>303</v>
      </c>
      <c r="J774" s="269" t="s">
        <v>438</v>
      </c>
      <c r="K774" s="258">
        <v>43461.0</v>
      </c>
      <c r="L774" s="630"/>
      <c r="M774" s="388"/>
      <c r="N774" s="266" t="s">
        <v>5798</v>
      </c>
      <c r="O774" s="806" t="s">
        <v>5799</v>
      </c>
      <c r="P774" s="598"/>
      <c r="Q774" s="596"/>
      <c r="R774" s="320"/>
      <c r="S774" s="902"/>
      <c r="T774" s="766"/>
      <c r="U774" s="766"/>
      <c r="V774" s="766"/>
      <c r="W774" s="767"/>
      <c r="X774" s="765" t="s">
        <v>5800</v>
      </c>
      <c r="Y774" s="252">
        <v>2.336134651E9</v>
      </c>
      <c r="Z774" s="766"/>
      <c r="AA774" s="765"/>
      <c r="AB774" s="765"/>
      <c r="AC774" s="253" t="s">
        <v>284</v>
      </c>
    </row>
    <row r="775" ht="15.75" hidden="1" customHeight="1">
      <c r="A775" s="919">
        <v>43404.0</v>
      </c>
      <c r="B775" s="416" t="s">
        <v>101</v>
      </c>
      <c r="C775" s="920" t="s">
        <v>5795</v>
      </c>
      <c r="D775" s="920" t="s">
        <v>5796</v>
      </c>
      <c r="E775" s="920" t="s">
        <v>547</v>
      </c>
      <c r="F775" s="390">
        <v>2.0</v>
      </c>
      <c r="G775" s="391">
        <v>29.0</v>
      </c>
      <c r="H775" s="391">
        <f t="shared" si="41"/>
        <v>58</v>
      </c>
      <c r="I775" s="266" t="s">
        <v>303</v>
      </c>
      <c r="J775" s="269" t="s">
        <v>438</v>
      </c>
      <c r="K775" s="258">
        <v>43461.0</v>
      </c>
      <c r="L775" s="630"/>
      <c r="M775" s="388"/>
      <c r="N775" s="266" t="s">
        <v>5798</v>
      </c>
      <c r="O775" s="806" t="s">
        <v>5799</v>
      </c>
      <c r="P775" s="598"/>
      <c r="Q775" s="596"/>
      <c r="R775" s="320"/>
      <c r="S775" s="902"/>
      <c r="T775" s="766"/>
      <c r="U775" s="766"/>
      <c r="V775" s="766"/>
      <c r="W775" s="767"/>
      <c r="X775" s="765" t="s">
        <v>5800</v>
      </c>
      <c r="Y775" s="252">
        <v>2.336134651E9</v>
      </c>
      <c r="Z775" s="766"/>
      <c r="AA775" s="765"/>
      <c r="AB775" s="765"/>
      <c r="AC775" s="253" t="s">
        <v>284</v>
      </c>
    </row>
    <row r="776" ht="45.75" hidden="1" customHeight="1">
      <c r="A776" s="764">
        <v>43461.0</v>
      </c>
      <c r="B776" s="920" t="s">
        <v>101</v>
      </c>
      <c r="C776" s="920" t="s">
        <v>5789</v>
      </c>
      <c r="D776" s="920" t="s">
        <v>5801</v>
      </c>
      <c r="E776" s="844" t="s">
        <v>347</v>
      </c>
      <c r="F776" s="592">
        <v>1.0</v>
      </c>
      <c r="G776" s="325">
        <v>610.0</v>
      </c>
      <c r="H776" s="391">
        <v>610.0</v>
      </c>
      <c r="I776" s="256" t="s">
        <v>303</v>
      </c>
      <c r="J776" s="269" t="s">
        <v>438</v>
      </c>
      <c r="K776" s="258">
        <v>43461.0</v>
      </c>
      <c r="L776" s="258"/>
      <c r="M776" s="388"/>
      <c r="N776" s="333" t="s">
        <v>2032</v>
      </c>
      <c r="O776" s="806"/>
      <c r="P776" s="598"/>
      <c r="Q776" s="579">
        <v>16191.0</v>
      </c>
      <c r="R776" s="320" t="s">
        <v>2033</v>
      </c>
      <c r="S776" s="768">
        <v>43495.0</v>
      </c>
      <c r="T776" s="769">
        <v>43465.0</v>
      </c>
      <c r="U776" s="765" t="s">
        <v>5802</v>
      </c>
      <c r="V776" s="770">
        <v>20764.0</v>
      </c>
      <c r="W776" s="771">
        <v>43485.0</v>
      </c>
      <c r="X776" s="765" t="s">
        <v>5800</v>
      </c>
      <c r="Y776" s="252">
        <v>2.336134651E9</v>
      </c>
      <c r="Z776" s="602"/>
      <c r="AA776" s="770"/>
      <c r="AB776" s="765"/>
      <c r="AC776" s="253" t="s">
        <v>284</v>
      </c>
    </row>
    <row r="777" ht="45.75" hidden="1" customHeight="1">
      <c r="A777" s="764">
        <v>43405.0</v>
      </c>
      <c r="B777" s="265" t="s">
        <v>229</v>
      </c>
      <c r="C777" s="765" t="s">
        <v>5803</v>
      </c>
      <c r="D777" s="252" t="s">
        <v>5804</v>
      </c>
      <c r="E777" s="602" t="s">
        <v>232</v>
      </c>
      <c r="F777" s="253">
        <v>12.0</v>
      </c>
      <c r="G777" s="325">
        <v>407.4</v>
      </c>
      <c r="H777" s="255">
        <f t="shared" ref="H777:H778" si="42">G777*F777</f>
        <v>4888.8</v>
      </c>
      <c r="I777" s="256" t="s">
        <v>171</v>
      </c>
      <c r="J777" s="269" t="s">
        <v>233</v>
      </c>
      <c r="K777" s="258">
        <v>43413.0</v>
      </c>
      <c r="L777" s="258">
        <v>43412.0</v>
      </c>
      <c r="M777" s="388"/>
      <c r="N777" s="333" t="s">
        <v>90</v>
      </c>
      <c r="O777" s="310" t="s">
        <v>5805</v>
      </c>
      <c r="P777" s="268">
        <v>4473.0</v>
      </c>
      <c r="Q777" s="596" t="s">
        <v>0</v>
      </c>
      <c r="R777" s="340" t="s">
        <v>94</v>
      </c>
      <c r="S777" s="768">
        <v>43465.0</v>
      </c>
      <c r="T777" s="769">
        <v>43412.0</v>
      </c>
      <c r="U777" s="765" t="s">
        <v>5806</v>
      </c>
      <c r="V777" s="770">
        <v>140019.0</v>
      </c>
      <c r="W777" s="769">
        <v>43467.0</v>
      </c>
      <c r="X777" s="765" t="s">
        <v>5807</v>
      </c>
      <c r="Y777" s="766"/>
      <c r="Z777" s="602" t="s">
        <v>5808</v>
      </c>
      <c r="AA777" s="770">
        <v>151996.0</v>
      </c>
      <c r="AB777" s="765" t="s">
        <v>5809</v>
      </c>
      <c r="AC777" s="253" t="s">
        <v>377</v>
      </c>
    </row>
    <row r="778" ht="31.5" hidden="1" customHeight="1">
      <c r="A778" s="764">
        <v>43405.0</v>
      </c>
      <c r="B778" s="265" t="s">
        <v>229</v>
      </c>
      <c r="C778" s="765" t="s">
        <v>5803</v>
      </c>
      <c r="D778" s="252" t="s">
        <v>5804</v>
      </c>
      <c r="E778" s="820" t="s">
        <v>737</v>
      </c>
      <c r="F778" s="253">
        <v>3.0</v>
      </c>
      <c r="G778" s="325">
        <v>21.0</v>
      </c>
      <c r="H778" s="255">
        <f t="shared" si="42"/>
        <v>63</v>
      </c>
      <c r="I778" s="256" t="s">
        <v>171</v>
      </c>
      <c r="J778" s="269" t="s">
        <v>233</v>
      </c>
      <c r="K778" s="258">
        <v>43413.0</v>
      </c>
      <c r="L778" s="258">
        <v>43412.0</v>
      </c>
      <c r="M778" s="388"/>
      <c r="N778" s="333" t="s">
        <v>90</v>
      </c>
      <c r="O778" s="310" t="s">
        <v>5805</v>
      </c>
      <c r="P778" s="875">
        <v>53.235</v>
      </c>
      <c r="Q778" s="596"/>
      <c r="R778" s="340" t="s">
        <v>94</v>
      </c>
      <c r="S778" s="768">
        <v>43465.0</v>
      </c>
      <c r="T778" s="769">
        <v>43412.0</v>
      </c>
      <c r="U778" s="765" t="s">
        <v>5806</v>
      </c>
      <c r="V778" s="765" t="s">
        <v>5810</v>
      </c>
      <c r="W778" s="769">
        <v>43467.0</v>
      </c>
      <c r="X778" s="765" t="s">
        <v>5807</v>
      </c>
      <c r="Y778" s="766"/>
      <c r="Z778" s="602" t="s">
        <v>5808</v>
      </c>
      <c r="AA778" s="765" t="s">
        <v>5811</v>
      </c>
      <c r="AB778" s="765" t="s">
        <v>5812</v>
      </c>
      <c r="AC778" s="253" t="s">
        <v>377</v>
      </c>
    </row>
    <row r="779" ht="15.75" hidden="1" customHeight="1">
      <c r="A779" s="764">
        <v>43405.0</v>
      </c>
      <c r="B779" s="265" t="s">
        <v>416</v>
      </c>
      <c r="C779" s="765" t="s">
        <v>5813</v>
      </c>
      <c r="D779" s="252" t="s">
        <v>5814</v>
      </c>
      <c r="E779" s="422" t="s">
        <v>5815</v>
      </c>
      <c r="F779" s="253">
        <v>8.0</v>
      </c>
      <c r="G779" s="254">
        <v>437.0</v>
      </c>
      <c r="H779" s="921">
        <v>3496.0</v>
      </c>
      <c r="I779" s="256" t="s">
        <v>420</v>
      </c>
      <c r="J779" s="922" t="s">
        <v>5816</v>
      </c>
      <c r="K779" s="850">
        <v>43437.0</v>
      </c>
      <c r="L779" s="258">
        <v>43420.0</v>
      </c>
      <c r="M779" s="388"/>
      <c r="N779" s="333" t="s">
        <v>90</v>
      </c>
      <c r="O779" s="422" t="s">
        <v>5817</v>
      </c>
      <c r="P779" s="268">
        <v>3276.0</v>
      </c>
      <c r="Q779" s="596"/>
      <c r="R779" s="340" t="s">
        <v>94</v>
      </c>
      <c r="S779" s="768">
        <v>43465.0</v>
      </c>
      <c r="T779" s="769">
        <v>43418.0</v>
      </c>
      <c r="U779" s="765" t="s">
        <v>5818</v>
      </c>
      <c r="V779" s="770">
        <v>108327.0</v>
      </c>
      <c r="W779" s="769">
        <v>43467.0</v>
      </c>
      <c r="X779" s="765" t="s">
        <v>5819</v>
      </c>
      <c r="Y779" s="765" t="s">
        <v>5820</v>
      </c>
      <c r="Z779" s="766"/>
      <c r="AA779" s="765"/>
      <c r="AB779" s="765"/>
      <c r="AC779" s="266" t="s">
        <v>284</v>
      </c>
    </row>
    <row r="780" ht="15.75" hidden="1" customHeight="1">
      <c r="A780" s="764">
        <v>43405.0</v>
      </c>
      <c r="B780" s="265" t="s">
        <v>416</v>
      </c>
      <c r="C780" s="765" t="s">
        <v>5813</v>
      </c>
      <c r="D780" s="252" t="s">
        <v>5814</v>
      </c>
      <c r="E780" s="422" t="s">
        <v>5821</v>
      </c>
      <c r="F780" s="253">
        <v>8.0</v>
      </c>
      <c r="G780" s="254">
        <v>34.0</v>
      </c>
      <c r="H780" s="921">
        <v>272.0</v>
      </c>
      <c r="I780" s="256" t="s">
        <v>420</v>
      </c>
      <c r="J780" s="923" t="s">
        <v>5822</v>
      </c>
      <c r="K780" s="850">
        <v>43437.0</v>
      </c>
      <c r="L780" s="258">
        <v>43420.0</v>
      </c>
      <c r="M780" s="388"/>
      <c r="N780" s="333" t="s">
        <v>90</v>
      </c>
      <c r="O780" s="422" t="s">
        <v>5817</v>
      </c>
      <c r="P780" s="268">
        <v>252.0</v>
      </c>
      <c r="Q780" s="596"/>
      <c r="R780" s="340" t="s">
        <v>94</v>
      </c>
      <c r="S780" s="768">
        <v>43465.0</v>
      </c>
      <c r="T780" s="769">
        <v>43418.0</v>
      </c>
      <c r="U780" s="765" t="s">
        <v>5818</v>
      </c>
      <c r="V780" s="765" t="s">
        <v>5823</v>
      </c>
      <c r="W780" s="769">
        <v>43467.0</v>
      </c>
      <c r="X780" s="765" t="s">
        <v>5819</v>
      </c>
      <c r="Y780" s="765" t="s">
        <v>5820</v>
      </c>
      <c r="Z780" s="766"/>
      <c r="AA780" s="765"/>
      <c r="AB780" s="765"/>
      <c r="AC780" s="266" t="s">
        <v>284</v>
      </c>
    </row>
    <row r="781" ht="15.75" hidden="1" customHeight="1">
      <c r="A781" s="258">
        <v>43406.0</v>
      </c>
      <c r="B781" s="892" t="s">
        <v>101</v>
      </c>
      <c r="C781" s="358" t="s">
        <v>5824</v>
      </c>
      <c r="D781" s="924" t="s">
        <v>5825</v>
      </c>
      <c r="E781" s="578" t="s">
        <v>5826</v>
      </c>
      <c r="F781" s="359">
        <v>1.0</v>
      </c>
      <c r="G781" s="366">
        <v>620.0</v>
      </c>
      <c r="H781" s="925">
        <f t="shared" ref="H781:H785" si="43">F781*G781</f>
        <v>620</v>
      </c>
      <c r="I781" s="266" t="s">
        <v>303</v>
      </c>
      <c r="J781" s="884" t="s">
        <v>3739</v>
      </c>
      <c r="K781" s="258">
        <v>43444.0</v>
      </c>
      <c r="L781" s="258">
        <v>43431.0</v>
      </c>
      <c r="M781" s="320"/>
      <c r="N781" s="333" t="s">
        <v>1439</v>
      </c>
      <c r="O781" s="358" t="s">
        <v>5827</v>
      </c>
      <c r="P781" s="268">
        <v>593.25</v>
      </c>
      <c r="Q781" s="596"/>
      <c r="R781" s="320" t="s">
        <v>1976</v>
      </c>
      <c r="S781" s="826">
        <v>43496.0</v>
      </c>
      <c r="T781" s="771">
        <v>43430.0</v>
      </c>
      <c r="U781" s="252" t="s">
        <v>5828</v>
      </c>
      <c r="V781" s="774">
        <v>28043.0</v>
      </c>
      <c r="W781" s="771">
        <v>43495.0</v>
      </c>
      <c r="X781" s="765" t="s">
        <v>5773</v>
      </c>
      <c r="Y781" s="765">
        <v>4.17498473E9</v>
      </c>
      <c r="Z781" s="839"/>
      <c r="AA781" s="839"/>
      <c r="AB781" s="839"/>
      <c r="AC781" s="253" t="s">
        <v>284</v>
      </c>
    </row>
    <row r="782" ht="35.25" hidden="1" customHeight="1">
      <c r="A782" s="258">
        <v>43406.0</v>
      </c>
      <c r="B782" s="892" t="s">
        <v>101</v>
      </c>
      <c r="C782" s="358" t="s">
        <v>5824</v>
      </c>
      <c r="D782" s="358" t="s">
        <v>5829</v>
      </c>
      <c r="E782" s="604" t="s">
        <v>5830</v>
      </c>
      <c r="F782" s="359">
        <v>1.0</v>
      </c>
      <c r="G782" s="366">
        <v>330.0</v>
      </c>
      <c r="H782" s="925">
        <f t="shared" si="43"/>
        <v>330</v>
      </c>
      <c r="I782" s="266" t="s">
        <v>303</v>
      </c>
      <c r="J782" s="884" t="s">
        <v>3739</v>
      </c>
      <c r="K782" s="258">
        <v>43444.0</v>
      </c>
      <c r="L782" s="258">
        <v>43431.0</v>
      </c>
      <c r="M782" s="388"/>
      <c r="N782" s="333" t="s">
        <v>1439</v>
      </c>
      <c r="O782" s="358" t="s">
        <v>5827</v>
      </c>
      <c r="P782" s="268">
        <v>318.15</v>
      </c>
      <c r="Q782" s="596"/>
      <c r="R782" s="320" t="s">
        <v>1976</v>
      </c>
      <c r="S782" s="826">
        <v>43496.0</v>
      </c>
      <c r="T782" s="771">
        <v>43430.0</v>
      </c>
      <c r="U782" s="252" t="s">
        <v>5828</v>
      </c>
      <c r="V782" s="765" t="s">
        <v>5831</v>
      </c>
      <c r="W782" s="771">
        <v>43495.0</v>
      </c>
      <c r="X782" s="765" t="s">
        <v>5773</v>
      </c>
      <c r="Y782" s="765">
        <v>4.17498473E9</v>
      </c>
      <c r="Z782" s="766"/>
      <c r="AA782" s="765"/>
      <c r="AB782" s="765"/>
      <c r="AC782" s="253" t="s">
        <v>284</v>
      </c>
    </row>
    <row r="783" ht="39.75" hidden="1" customHeight="1">
      <c r="A783" s="258">
        <v>43406.0</v>
      </c>
      <c r="B783" s="892" t="s">
        <v>101</v>
      </c>
      <c r="C783" s="358" t="s">
        <v>5824</v>
      </c>
      <c r="D783" s="358" t="s">
        <v>5829</v>
      </c>
      <c r="E783" s="604" t="s">
        <v>4644</v>
      </c>
      <c r="F783" s="359">
        <v>1.0</v>
      </c>
      <c r="G783" s="366">
        <v>85.0</v>
      </c>
      <c r="H783" s="925">
        <f t="shared" si="43"/>
        <v>85</v>
      </c>
      <c r="I783" s="266" t="s">
        <v>303</v>
      </c>
      <c r="J783" s="884" t="s">
        <v>3739</v>
      </c>
      <c r="K783" s="258">
        <v>43444.0</v>
      </c>
      <c r="L783" s="333" t="s">
        <v>179</v>
      </c>
      <c r="M783" s="388"/>
      <c r="N783" s="253" t="s">
        <v>1981</v>
      </c>
      <c r="O783" s="310" t="s">
        <v>5832</v>
      </c>
      <c r="P783" s="268">
        <v>73.71</v>
      </c>
      <c r="Q783" s="926"/>
      <c r="R783" s="604" t="s">
        <v>5755</v>
      </c>
      <c r="S783" s="768">
        <v>43500.0</v>
      </c>
      <c r="T783" s="771">
        <v>43469.0</v>
      </c>
      <c r="U783" s="252" t="s">
        <v>5833</v>
      </c>
      <c r="V783" s="774">
        <v>2276.0</v>
      </c>
      <c r="W783" s="769">
        <v>43528.0</v>
      </c>
      <c r="X783" s="765" t="s">
        <v>5773</v>
      </c>
      <c r="Y783" s="765">
        <v>4.17498473E9</v>
      </c>
      <c r="Z783" s="766"/>
      <c r="AA783" s="765"/>
      <c r="AB783" s="765"/>
      <c r="AC783" s="253" t="s">
        <v>284</v>
      </c>
    </row>
    <row r="784" ht="15.75" hidden="1" customHeight="1">
      <c r="A784" s="764">
        <v>43410.0</v>
      </c>
      <c r="B784" s="265" t="s">
        <v>406</v>
      </c>
      <c r="C784" s="252">
        <v>7.000142284E9</v>
      </c>
      <c r="D784" s="252" t="s">
        <v>5834</v>
      </c>
      <c r="E784" s="602" t="s">
        <v>5835</v>
      </c>
      <c r="F784" s="253">
        <v>1.0</v>
      </c>
      <c r="G784" s="254">
        <v>115.0</v>
      </c>
      <c r="H784" s="267">
        <f t="shared" si="43"/>
        <v>115</v>
      </c>
      <c r="I784" s="256" t="s">
        <v>171</v>
      </c>
      <c r="J784" s="333" t="s">
        <v>4002</v>
      </c>
      <c r="K784" s="258">
        <v>43417.0</v>
      </c>
      <c r="L784" s="258">
        <v>43413.0</v>
      </c>
      <c r="M784" s="388"/>
      <c r="N784" s="333" t="s">
        <v>5836</v>
      </c>
      <c r="O784" s="252" t="s">
        <v>5837</v>
      </c>
      <c r="P784" s="268">
        <v>102.9</v>
      </c>
      <c r="Q784" s="579">
        <v>3164.0</v>
      </c>
      <c r="R784" s="388" t="s">
        <v>5838</v>
      </c>
      <c r="S784" s="581" t="s">
        <v>422</v>
      </c>
      <c r="T784" s="769">
        <v>43412.0</v>
      </c>
      <c r="U784" s="765" t="s">
        <v>5839</v>
      </c>
      <c r="V784" s="770">
        <v>3164.0</v>
      </c>
      <c r="W784" s="769">
        <v>43412.0</v>
      </c>
      <c r="X784" s="765" t="s">
        <v>5716</v>
      </c>
      <c r="Y784" s="765">
        <v>4.637951802E9</v>
      </c>
      <c r="Z784" s="766"/>
      <c r="AA784" s="765"/>
      <c r="AB784" s="765"/>
      <c r="AC784" s="253" t="s">
        <v>284</v>
      </c>
    </row>
    <row r="785" ht="16.5" hidden="1" customHeight="1">
      <c r="A785" s="776">
        <v>43411.0</v>
      </c>
      <c r="B785" s="597" t="s">
        <v>5840</v>
      </c>
      <c r="C785" s="765" t="s">
        <v>5841</v>
      </c>
      <c r="D785" s="252" t="s">
        <v>5842</v>
      </c>
      <c r="E785" s="765" t="s">
        <v>5843</v>
      </c>
      <c r="F785" s="253">
        <v>3.0</v>
      </c>
      <c r="G785" s="254">
        <v>1400.0</v>
      </c>
      <c r="H785" s="267">
        <f t="shared" si="43"/>
        <v>4200</v>
      </c>
      <c r="I785" s="256" t="s">
        <v>303</v>
      </c>
      <c r="J785" s="403" t="s">
        <v>5450</v>
      </c>
      <c r="K785" s="258">
        <v>43423.0</v>
      </c>
      <c r="L785" s="258">
        <v>43417.0</v>
      </c>
      <c r="M785" s="388"/>
      <c r="N785" s="333" t="s">
        <v>2034</v>
      </c>
      <c r="O785" s="252" t="s">
        <v>5844</v>
      </c>
      <c r="P785" s="268">
        <v>3780.0</v>
      </c>
      <c r="Q785" s="268"/>
      <c r="R785" s="320" t="s">
        <v>2036</v>
      </c>
      <c r="S785" s="768">
        <v>43470.0</v>
      </c>
      <c r="T785" s="769">
        <v>43416.0</v>
      </c>
      <c r="U785" s="765" t="s">
        <v>5845</v>
      </c>
      <c r="V785" s="770">
        <v>116065.0</v>
      </c>
      <c r="W785" s="769">
        <v>43469.0</v>
      </c>
      <c r="X785" s="765" t="s">
        <v>5457</v>
      </c>
      <c r="Y785" s="765">
        <v>7.563203734E9</v>
      </c>
      <c r="Z785" s="766"/>
      <c r="AA785" s="765"/>
      <c r="AB785" s="765"/>
      <c r="AC785" s="253" t="s">
        <v>284</v>
      </c>
    </row>
    <row r="786" ht="15.75" hidden="1" customHeight="1">
      <c r="A786" s="776">
        <v>43413.0</v>
      </c>
      <c r="B786" s="144" t="s">
        <v>101</v>
      </c>
      <c r="C786" s="252" t="s">
        <v>5846</v>
      </c>
      <c r="D786" s="265" t="s">
        <v>5847</v>
      </c>
      <c r="E786" s="602" t="s">
        <v>5848</v>
      </c>
      <c r="F786" s="253">
        <v>8.0</v>
      </c>
      <c r="G786" s="254">
        <v>570.0</v>
      </c>
      <c r="H786" s="255">
        <f t="shared" ref="H786:H796" si="44">G786*F786</f>
        <v>4560</v>
      </c>
      <c r="I786" s="256" t="s">
        <v>303</v>
      </c>
      <c r="J786" s="884" t="s">
        <v>5436</v>
      </c>
      <c r="K786" s="258">
        <v>43461.0</v>
      </c>
      <c r="L786" s="266" t="s">
        <v>5849</v>
      </c>
      <c r="M786" s="388"/>
      <c r="N786" s="266"/>
      <c r="O786" s="310" t="s">
        <v>5850</v>
      </c>
      <c r="P786" s="598"/>
      <c r="Q786" s="330"/>
      <c r="R786" s="310"/>
      <c r="S786" s="330"/>
      <c r="T786" s="766"/>
      <c r="U786" s="766"/>
      <c r="V786" s="766"/>
      <c r="W786" s="767"/>
      <c r="X786" s="765" t="s">
        <v>5800</v>
      </c>
      <c r="Y786" s="252">
        <v>2.336134651E9</v>
      </c>
      <c r="Z786" s="765"/>
      <c r="AA786" s="765"/>
      <c r="AB786" s="765"/>
      <c r="AC786" s="253" t="s">
        <v>284</v>
      </c>
    </row>
    <row r="787" ht="15.75" hidden="1" customHeight="1">
      <c r="A787" s="776">
        <v>43413.0</v>
      </c>
      <c r="B787" s="144" t="s">
        <v>101</v>
      </c>
      <c r="C787" s="252" t="s">
        <v>5846</v>
      </c>
      <c r="D787" s="265" t="s">
        <v>5847</v>
      </c>
      <c r="E787" s="602" t="s">
        <v>4885</v>
      </c>
      <c r="F787" s="253">
        <v>8.0</v>
      </c>
      <c r="G787" s="254">
        <v>42.0</v>
      </c>
      <c r="H787" s="255">
        <f t="shared" si="44"/>
        <v>336</v>
      </c>
      <c r="I787" s="256" t="s">
        <v>303</v>
      </c>
      <c r="J787" s="884" t="s">
        <v>5436</v>
      </c>
      <c r="K787" s="258">
        <v>43461.0</v>
      </c>
      <c r="L787" s="266" t="s">
        <v>5849</v>
      </c>
      <c r="M787" s="388"/>
      <c r="N787" s="266" t="s">
        <v>0</v>
      </c>
      <c r="O787" s="310" t="s">
        <v>5850</v>
      </c>
      <c r="P787" s="598"/>
      <c r="Q787" s="330"/>
      <c r="R787" s="310"/>
      <c r="S787" s="330"/>
      <c r="T787" s="766"/>
      <c r="U787" s="766"/>
      <c r="V787" s="766"/>
      <c r="W787" s="767"/>
      <c r="X787" s="765" t="s">
        <v>5800</v>
      </c>
      <c r="Y787" s="252">
        <v>2.336134651E9</v>
      </c>
      <c r="Z787" s="765"/>
      <c r="AA787" s="765"/>
      <c r="AB787" s="765"/>
      <c r="AC787" s="253" t="s">
        <v>284</v>
      </c>
    </row>
    <row r="788" ht="15.75" hidden="1" customHeight="1">
      <c r="A788" s="776">
        <v>43413.0</v>
      </c>
      <c r="B788" s="144" t="s">
        <v>101</v>
      </c>
      <c r="C788" s="252" t="s">
        <v>5846</v>
      </c>
      <c r="D788" s="265" t="s">
        <v>5847</v>
      </c>
      <c r="E788" s="927" t="s">
        <v>5851</v>
      </c>
      <c r="F788" s="253">
        <v>8.0</v>
      </c>
      <c r="G788" s="254">
        <v>140.0</v>
      </c>
      <c r="H788" s="255">
        <f t="shared" si="44"/>
        <v>1120</v>
      </c>
      <c r="I788" s="256" t="s">
        <v>303</v>
      </c>
      <c r="J788" s="884" t="s">
        <v>5436</v>
      </c>
      <c r="K788" s="258">
        <v>43461.0</v>
      </c>
      <c r="L788" s="266" t="s">
        <v>5849</v>
      </c>
      <c r="M788" s="388"/>
      <c r="N788" s="266" t="s">
        <v>0</v>
      </c>
      <c r="O788" s="310" t="s">
        <v>5850</v>
      </c>
      <c r="P788" s="598"/>
      <c r="Q788" s="330"/>
      <c r="R788" s="310"/>
      <c r="S788" s="330"/>
      <c r="T788" s="766"/>
      <c r="U788" s="766"/>
      <c r="V788" s="766"/>
      <c r="W788" s="767"/>
      <c r="X788" s="765" t="s">
        <v>5800</v>
      </c>
      <c r="Y788" s="252">
        <v>2.336134651E9</v>
      </c>
      <c r="Z788" s="765"/>
      <c r="AA788" s="765"/>
      <c r="AB788" s="765"/>
      <c r="AC788" s="253" t="s">
        <v>284</v>
      </c>
    </row>
    <row r="789" ht="15.75" hidden="1" customHeight="1">
      <c r="A789" s="776">
        <v>43413.0</v>
      </c>
      <c r="B789" s="144" t="s">
        <v>101</v>
      </c>
      <c r="C789" s="252" t="s">
        <v>5846</v>
      </c>
      <c r="D789" s="265" t="s">
        <v>5847</v>
      </c>
      <c r="E789" s="602" t="s">
        <v>442</v>
      </c>
      <c r="F789" s="253">
        <v>8.0</v>
      </c>
      <c r="G789" s="254">
        <v>38.0</v>
      </c>
      <c r="H789" s="255">
        <f t="shared" si="44"/>
        <v>304</v>
      </c>
      <c r="I789" s="256" t="s">
        <v>303</v>
      </c>
      <c r="J789" s="884" t="s">
        <v>5436</v>
      </c>
      <c r="K789" s="258">
        <v>43461.0</v>
      </c>
      <c r="L789" s="266" t="s">
        <v>5849</v>
      </c>
      <c r="M789" s="388"/>
      <c r="N789" s="266" t="s">
        <v>0</v>
      </c>
      <c r="O789" s="310" t="s">
        <v>5850</v>
      </c>
      <c r="P789" s="598"/>
      <c r="Q789" s="330"/>
      <c r="R789" s="310"/>
      <c r="S789" s="330"/>
      <c r="T789" s="766"/>
      <c r="U789" s="766"/>
      <c r="V789" s="766"/>
      <c r="W789" s="767"/>
      <c r="X789" s="765" t="s">
        <v>5800</v>
      </c>
      <c r="Y789" s="252">
        <v>2.336134651E9</v>
      </c>
      <c r="Z789" s="765"/>
      <c r="AA789" s="765"/>
      <c r="AB789" s="765"/>
      <c r="AC789" s="253" t="s">
        <v>284</v>
      </c>
    </row>
    <row r="790" ht="15.75" hidden="1" customHeight="1">
      <c r="A790" s="776">
        <v>43413.0</v>
      </c>
      <c r="B790" s="144" t="s">
        <v>101</v>
      </c>
      <c r="C790" s="252" t="s">
        <v>5846</v>
      </c>
      <c r="D790" s="265" t="s">
        <v>5847</v>
      </c>
      <c r="E790" s="602" t="s">
        <v>546</v>
      </c>
      <c r="F790" s="253">
        <v>8.0</v>
      </c>
      <c r="G790" s="254">
        <v>47.0</v>
      </c>
      <c r="H790" s="255">
        <f t="shared" si="44"/>
        <v>376</v>
      </c>
      <c r="I790" s="256" t="s">
        <v>303</v>
      </c>
      <c r="J790" s="884" t="s">
        <v>5436</v>
      </c>
      <c r="K790" s="258">
        <v>43461.0</v>
      </c>
      <c r="L790" s="266" t="s">
        <v>5849</v>
      </c>
      <c r="M790" s="388"/>
      <c r="N790" s="266" t="s">
        <v>0</v>
      </c>
      <c r="O790" s="310" t="s">
        <v>5850</v>
      </c>
      <c r="P790" s="598"/>
      <c r="Q790" s="330"/>
      <c r="R790" s="310"/>
      <c r="S790" s="330"/>
      <c r="T790" s="766"/>
      <c r="U790" s="766"/>
      <c r="V790" s="766"/>
      <c r="W790" s="767"/>
      <c r="X790" s="765" t="s">
        <v>5800</v>
      </c>
      <c r="Y790" s="252">
        <v>2.336134651E9</v>
      </c>
      <c r="Z790" s="765"/>
      <c r="AA790" s="765"/>
      <c r="AB790" s="765"/>
      <c r="AC790" s="253" t="s">
        <v>284</v>
      </c>
    </row>
    <row r="791" ht="15.75" hidden="1" customHeight="1">
      <c r="A791" s="776">
        <v>43413.0</v>
      </c>
      <c r="B791" s="144" t="s">
        <v>101</v>
      </c>
      <c r="C791" s="252" t="s">
        <v>5846</v>
      </c>
      <c r="D791" s="265" t="s">
        <v>5847</v>
      </c>
      <c r="E791" s="838" t="s">
        <v>5154</v>
      </c>
      <c r="F791" s="253">
        <v>8.0</v>
      </c>
      <c r="G791" s="254">
        <v>10.0</v>
      </c>
      <c r="H791" s="268">
        <f t="shared" si="44"/>
        <v>80</v>
      </c>
      <c r="I791" s="256" t="s">
        <v>303</v>
      </c>
      <c r="J791" s="884" t="s">
        <v>5436</v>
      </c>
      <c r="K791" s="258">
        <v>43461.0</v>
      </c>
      <c r="L791" s="266" t="s">
        <v>5849</v>
      </c>
      <c r="M791" s="388"/>
      <c r="N791" s="333" t="s">
        <v>0</v>
      </c>
      <c r="O791" s="310" t="s">
        <v>5850</v>
      </c>
      <c r="P791" s="598"/>
      <c r="Q791" s="330"/>
      <c r="R791" s="310"/>
      <c r="S791" s="330"/>
      <c r="T791" s="766"/>
      <c r="U791" s="766"/>
      <c r="V791" s="766"/>
      <c r="W791" s="767"/>
      <c r="X791" s="765" t="s">
        <v>5800</v>
      </c>
      <c r="Y791" s="252">
        <v>2.336134651E9</v>
      </c>
      <c r="Z791" s="765"/>
      <c r="AA791" s="765"/>
      <c r="AB791" s="765"/>
      <c r="AC791" s="253" t="s">
        <v>284</v>
      </c>
    </row>
    <row r="792" ht="15.75" hidden="1" customHeight="1">
      <c r="A792" s="776">
        <v>43413.0</v>
      </c>
      <c r="B792" s="265" t="s">
        <v>721</v>
      </c>
      <c r="C792" s="840" t="s">
        <v>5852</v>
      </c>
      <c r="D792" s="265" t="s">
        <v>5853</v>
      </c>
      <c r="E792" s="602" t="s">
        <v>723</v>
      </c>
      <c r="F792" s="253">
        <v>15.0</v>
      </c>
      <c r="G792" s="254">
        <v>95.0</v>
      </c>
      <c r="H792" s="268">
        <f t="shared" si="44"/>
        <v>1425</v>
      </c>
      <c r="I792" s="256" t="s">
        <v>3874</v>
      </c>
      <c r="J792" s="269" t="s">
        <v>5854</v>
      </c>
      <c r="K792" s="258">
        <v>43424.0</v>
      </c>
      <c r="L792" s="258">
        <v>43424.0</v>
      </c>
      <c r="M792" s="388"/>
      <c r="N792" s="333" t="s">
        <v>90</v>
      </c>
      <c r="O792" s="310" t="s">
        <v>5855</v>
      </c>
      <c r="P792" s="268">
        <v>1323.0</v>
      </c>
      <c r="Q792" s="596"/>
      <c r="R792" s="340" t="s">
        <v>94</v>
      </c>
      <c r="S792" s="768">
        <v>43465.0</v>
      </c>
      <c r="T792" s="769">
        <v>43423.0</v>
      </c>
      <c r="U792" s="765" t="s">
        <v>5856</v>
      </c>
      <c r="V792" s="770">
        <v>254214.0</v>
      </c>
      <c r="W792" s="769">
        <v>43467.0</v>
      </c>
      <c r="X792" s="765" t="s">
        <v>5857</v>
      </c>
      <c r="Y792" s="765" t="s">
        <v>5858</v>
      </c>
      <c r="Z792" s="766"/>
      <c r="AA792" s="765"/>
      <c r="AB792" s="765"/>
      <c r="AC792" s="253" t="s">
        <v>284</v>
      </c>
    </row>
    <row r="793" ht="15.75" hidden="1" customHeight="1">
      <c r="A793" s="776">
        <v>43413.0</v>
      </c>
      <c r="B793" s="265" t="s">
        <v>721</v>
      </c>
      <c r="C793" s="840" t="s">
        <v>5852</v>
      </c>
      <c r="D793" s="265" t="s">
        <v>5853</v>
      </c>
      <c r="E793" s="602" t="s">
        <v>726</v>
      </c>
      <c r="F793" s="253">
        <v>15.0</v>
      </c>
      <c r="G793" s="254">
        <v>320.0</v>
      </c>
      <c r="H793" s="268">
        <f t="shared" si="44"/>
        <v>4800</v>
      </c>
      <c r="I793" s="256" t="s">
        <v>3874</v>
      </c>
      <c r="J793" s="269" t="s">
        <v>5859</v>
      </c>
      <c r="K793" s="258">
        <v>43424.0</v>
      </c>
      <c r="L793" s="258">
        <v>43424.0</v>
      </c>
      <c r="M793" s="388"/>
      <c r="N793" s="333" t="s">
        <v>90</v>
      </c>
      <c r="O793" s="310" t="s">
        <v>5855</v>
      </c>
      <c r="P793" s="268">
        <v>4047.75</v>
      </c>
      <c r="Q793" s="596"/>
      <c r="R793" s="340" t="s">
        <v>94</v>
      </c>
      <c r="S793" s="768">
        <v>43465.0</v>
      </c>
      <c r="T793" s="769">
        <v>43423.0</v>
      </c>
      <c r="U793" s="765" t="s">
        <v>5856</v>
      </c>
      <c r="V793" s="765" t="s">
        <v>5860</v>
      </c>
      <c r="W793" s="769">
        <v>43467.0</v>
      </c>
      <c r="X793" s="765" t="s">
        <v>5857</v>
      </c>
      <c r="Y793" s="765" t="s">
        <v>5858</v>
      </c>
      <c r="Z793" s="766"/>
      <c r="AA793" s="765"/>
      <c r="AB793" s="765"/>
      <c r="AC793" s="253" t="s">
        <v>284</v>
      </c>
    </row>
    <row r="794" ht="15.75" hidden="1" customHeight="1">
      <c r="A794" s="776">
        <v>43413.0</v>
      </c>
      <c r="B794" s="265" t="s">
        <v>721</v>
      </c>
      <c r="C794" s="840" t="s">
        <v>5852</v>
      </c>
      <c r="D794" s="265" t="s">
        <v>5853</v>
      </c>
      <c r="E794" s="602" t="s">
        <v>1620</v>
      </c>
      <c r="F794" s="253">
        <v>10.0</v>
      </c>
      <c r="G794" s="254">
        <v>345.0</v>
      </c>
      <c r="H794" s="268">
        <f t="shared" si="44"/>
        <v>3450</v>
      </c>
      <c r="I794" s="256" t="s">
        <v>3874</v>
      </c>
      <c r="J794" s="269" t="s">
        <v>5859</v>
      </c>
      <c r="K794" s="258">
        <v>43424.0</v>
      </c>
      <c r="L794" s="258">
        <v>43424.0</v>
      </c>
      <c r="M794" s="388"/>
      <c r="N794" s="333" t="s">
        <v>90</v>
      </c>
      <c r="O794" s="310" t="s">
        <v>5855</v>
      </c>
      <c r="P794" s="268">
        <v>2908.5</v>
      </c>
      <c r="Q794" s="596"/>
      <c r="R794" s="340" t="s">
        <v>94</v>
      </c>
      <c r="S794" s="768">
        <v>43465.0</v>
      </c>
      <c r="T794" s="769">
        <v>43423.0</v>
      </c>
      <c r="U794" s="765" t="s">
        <v>5856</v>
      </c>
      <c r="V794" s="765" t="s">
        <v>5860</v>
      </c>
      <c r="W794" s="769">
        <v>43467.0</v>
      </c>
      <c r="X794" s="765" t="s">
        <v>5857</v>
      </c>
      <c r="Y794" s="765" t="s">
        <v>5858</v>
      </c>
      <c r="Z794" s="766"/>
      <c r="AA794" s="765"/>
      <c r="AB794" s="765"/>
      <c r="AC794" s="253" t="s">
        <v>284</v>
      </c>
    </row>
    <row r="795" ht="15.75" hidden="1" customHeight="1">
      <c r="A795" s="764">
        <v>43415.0</v>
      </c>
      <c r="B795" s="265" t="s">
        <v>406</v>
      </c>
      <c r="C795" s="252">
        <v>7.000142708E9</v>
      </c>
      <c r="D795" s="252" t="s">
        <v>5861</v>
      </c>
      <c r="E795" s="602" t="s">
        <v>481</v>
      </c>
      <c r="F795" s="253">
        <v>3.0</v>
      </c>
      <c r="G795" s="254">
        <v>137.0</v>
      </c>
      <c r="H795" s="268">
        <f t="shared" si="44"/>
        <v>411</v>
      </c>
      <c r="I795" s="256" t="s">
        <v>43</v>
      </c>
      <c r="J795" s="333" t="s">
        <v>520</v>
      </c>
      <c r="K795" s="258">
        <v>43430.0</v>
      </c>
      <c r="L795" s="258">
        <v>43423.0</v>
      </c>
      <c r="M795" s="388"/>
      <c r="N795" s="333" t="s">
        <v>3593</v>
      </c>
      <c r="O795" s="252" t="s">
        <v>5862</v>
      </c>
      <c r="P795" s="598"/>
      <c r="Q795" s="579">
        <v>11334.0</v>
      </c>
      <c r="R795" s="310" t="s">
        <v>2080</v>
      </c>
      <c r="S795" s="768">
        <v>43496.0</v>
      </c>
      <c r="T795" s="769">
        <v>43420.0</v>
      </c>
      <c r="U795" s="765" t="s">
        <v>5863</v>
      </c>
      <c r="V795" s="770">
        <v>11334.0</v>
      </c>
      <c r="W795" s="769">
        <v>43494.0</v>
      </c>
      <c r="X795" s="252" t="s">
        <v>5599</v>
      </c>
      <c r="Y795" s="765" t="s">
        <v>5600</v>
      </c>
      <c r="Z795" s="766"/>
      <c r="AA795" s="765"/>
      <c r="AB795" s="765"/>
      <c r="AC795" s="253" t="s">
        <v>284</v>
      </c>
    </row>
    <row r="796" ht="15.75" hidden="1" customHeight="1">
      <c r="A796" s="764">
        <v>43417.0</v>
      </c>
      <c r="B796" s="265" t="s">
        <v>3506</v>
      </c>
      <c r="C796" s="765" t="s">
        <v>5864</v>
      </c>
      <c r="D796" s="422" t="s">
        <v>5865</v>
      </c>
      <c r="E796" s="252" t="s">
        <v>5866</v>
      </c>
      <c r="F796" s="253">
        <v>100.0</v>
      </c>
      <c r="G796" s="254">
        <v>163.0</v>
      </c>
      <c r="H796" s="268">
        <f t="shared" si="44"/>
        <v>16300</v>
      </c>
      <c r="I796" s="256" t="s">
        <v>171</v>
      </c>
      <c r="J796" s="269" t="s">
        <v>3509</v>
      </c>
      <c r="K796" s="258">
        <v>43451.0</v>
      </c>
      <c r="L796" s="258">
        <v>43441.0</v>
      </c>
      <c r="M796" s="388"/>
      <c r="N796" s="333" t="s">
        <v>3510</v>
      </c>
      <c r="O796" s="310" t="s">
        <v>5867</v>
      </c>
      <c r="P796" s="268">
        <v>16590.0</v>
      </c>
      <c r="Q796" s="330"/>
      <c r="R796" s="310" t="s">
        <v>3512</v>
      </c>
      <c r="S796" s="768">
        <v>43430.0</v>
      </c>
      <c r="T796" s="928">
        <v>43447.0</v>
      </c>
      <c r="U796" s="252" t="s">
        <v>5868</v>
      </c>
      <c r="V796" s="774">
        <v>511719.0</v>
      </c>
      <c r="W796" s="769">
        <v>43437.0</v>
      </c>
      <c r="X796" s="252" t="s">
        <v>5869</v>
      </c>
      <c r="Y796" s="765" t="s">
        <v>5870</v>
      </c>
      <c r="Z796" s="766"/>
      <c r="AA796" s="765"/>
      <c r="AB796" s="765"/>
      <c r="AC796" s="253" t="s">
        <v>284</v>
      </c>
    </row>
    <row r="797" ht="15.75" hidden="1" customHeight="1">
      <c r="A797" s="776">
        <v>43418.0</v>
      </c>
      <c r="B797" s="265" t="s">
        <v>119</v>
      </c>
      <c r="C797" s="252" t="s">
        <v>5871</v>
      </c>
      <c r="D797" s="252" t="s">
        <v>5872</v>
      </c>
      <c r="E797" s="815" t="s">
        <v>158</v>
      </c>
      <c r="F797" s="253">
        <v>3.0</v>
      </c>
      <c r="G797" s="267">
        <v>979.0</v>
      </c>
      <c r="H797" s="267">
        <f t="shared" ref="H797:H804" si="45">F797*G797</f>
        <v>2937</v>
      </c>
      <c r="I797" s="256" t="s">
        <v>171</v>
      </c>
      <c r="J797" s="428" t="s">
        <v>122</v>
      </c>
      <c r="K797" s="258">
        <v>43433.0</v>
      </c>
      <c r="L797" s="258">
        <v>43426.0</v>
      </c>
      <c r="M797" s="388"/>
      <c r="N797" s="333" t="s">
        <v>90</v>
      </c>
      <c r="O797" s="310" t="s">
        <v>5873</v>
      </c>
      <c r="P797" s="268">
        <v>2507.4</v>
      </c>
      <c r="Q797" s="596"/>
      <c r="R797" s="340" t="s">
        <v>94</v>
      </c>
      <c r="S797" s="768">
        <v>43465.0</v>
      </c>
      <c r="T797" s="771">
        <v>43426.0</v>
      </c>
      <c r="U797" s="929" t="s">
        <v>5874</v>
      </c>
      <c r="V797" s="774">
        <v>598920.0</v>
      </c>
      <c r="W797" s="769">
        <v>43467.0</v>
      </c>
      <c r="X797" s="765" t="s">
        <v>5670</v>
      </c>
      <c r="Y797" s="765" t="s">
        <v>5671</v>
      </c>
      <c r="Z797" s="766"/>
      <c r="AA797" s="765"/>
      <c r="AB797" s="765"/>
      <c r="AC797" s="266" t="s">
        <v>284</v>
      </c>
    </row>
    <row r="798" ht="15.75" hidden="1" customHeight="1">
      <c r="A798" s="776">
        <v>43418.0</v>
      </c>
      <c r="B798" s="265" t="s">
        <v>119</v>
      </c>
      <c r="C798" s="252" t="s">
        <v>5871</v>
      </c>
      <c r="D798" s="252" t="s">
        <v>5872</v>
      </c>
      <c r="E798" s="252" t="s">
        <v>161</v>
      </c>
      <c r="F798" s="369">
        <v>4.0</v>
      </c>
      <c r="G798" s="254">
        <v>485.0</v>
      </c>
      <c r="H798" s="267">
        <f t="shared" si="45"/>
        <v>1940</v>
      </c>
      <c r="I798" s="256" t="s">
        <v>171</v>
      </c>
      <c r="J798" s="428" t="s">
        <v>122</v>
      </c>
      <c r="K798" s="258">
        <v>43433.0</v>
      </c>
      <c r="L798" s="258">
        <v>43426.0</v>
      </c>
      <c r="M798" s="388"/>
      <c r="N798" s="333" t="s">
        <v>90</v>
      </c>
      <c r="O798" s="310" t="s">
        <v>5873</v>
      </c>
      <c r="P798" s="268">
        <v>1680.0</v>
      </c>
      <c r="Q798" s="596"/>
      <c r="R798" s="340" t="s">
        <v>94</v>
      </c>
      <c r="S798" s="768">
        <v>43465.0</v>
      </c>
      <c r="T798" s="771">
        <v>43426.0</v>
      </c>
      <c r="U798" s="252" t="s">
        <v>5874</v>
      </c>
      <c r="V798" s="252" t="s">
        <v>5875</v>
      </c>
      <c r="W798" s="769">
        <v>43467.0</v>
      </c>
      <c r="X798" s="765" t="s">
        <v>5670</v>
      </c>
      <c r="Y798" s="765" t="s">
        <v>5671</v>
      </c>
      <c r="Z798" s="766"/>
      <c r="AA798" s="765"/>
      <c r="AB798" s="765"/>
      <c r="AC798" s="266" t="s">
        <v>284</v>
      </c>
    </row>
    <row r="799" ht="15.75" hidden="1" customHeight="1">
      <c r="A799" s="776">
        <v>43418.0</v>
      </c>
      <c r="B799" s="265" t="s">
        <v>119</v>
      </c>
      <c r="C799" s="252" t="s">
        <v>5871</v>
      </c>
      <c r="D799" s="252" t="s">
        <v>5872</v>
      </c>
      <c r="E799" s="252" t="s">
        <v>166</v>
      </c>
      <c r="F799" s="253">
        <v>3.0</v>
      </c>
      <c r="G799" s="254">
        <v>880.0</v>
      </c>
      <c r="H799" s="267">
        <f t="shared" si="45"/>
        <v>2640</v>
      </c>
      <c r="I799" s="256" t="s">
        <v>171</v>
      </c>
      <c r="J799" s="428" t="s">
        <v>122</v>
      </c>
      <c r="K799" s="258">
        <v>43433.0</v>
      </c>
      <c r="L799" s="258">
        <v>43426.0</v>
      </c>
      <c r="M799" s="388"/>
      <c r="N799" s="333" t="s">
        <v>90</v>
      </c>
      <c r="O799" s="310" t="s">
        <v>5873</v>
      </c>
      <c r="P799" s="875">
        <v>2354.625</v>
      </c>
      <c r="Q799" s="596"/>
      <c r="R799" s="340" t="s">
        <v>94</v>
      </c>
      <c r="S799" s="768">
        <v>43465.0</v>
      </c>
      <c r="T799" s="771">
        <v>43426.0</v>
      </c>
      <c r="U799" s="252" t="s">
        <v>5874</v>
      </c>
      <c r="V799" s="252" t="s">
        <v>5875</v>
      </c>
      <c r="W799" s="769">
        <v>43467.0</v>
      </c>
      <c r="X799" s="765" t="s">
        <v>5670</v>
      </c>
      <c r="Y799" s="765" t="s">
        <v>5671</v>
      </c>
      <c r="Z799" s="766"/>
      <c r="AA799" s="765"/>
      <c r="AB799" s="765"/>
      <c r="AC799" s="266" t="s">
        <v>284</v>
      </c>
    </row>
    <row r="800" ht="15.75" hidden="1" customHeight="1">
      <c r="A800" s="776">
        <v>43418.0</v>
      </c>
      <c r="B800" s="265" t="s">
        <v>119</v>
      </c>
      <c r="C800" s="252" t="s">
        <v>5871</v>
      </c>
      <c r="D800" s="252" t="s">
        <v>5872</v>
      </c>
      <c r="E800" s="602" t="s">
        <v>121</v>
      </c>
      <c r="F800" s="253">
        <v>10.0</v>
      </c>
      <c r="G800" s="254">
        <v>359.0</v>
      </c>
      <c r="H800" s="267">
        <f t="shared" si="45"/>
        <v>3590</v>
      </c>
      <c r="I800" s="256" t="s">
        <v>171</v>
      </c>
      <c r="J800" s="428" t="s">
        <v>122</v>
      </c>
      <c r="K800" s="258">
        <v>43433.0</v>
      </c>
      <c r="L800" s="258">
        <v>43426.0</v>
      </c>
      <c r="M800" s="388"/>
      <c r="N800" s="333" t="s">
        <v>90</v>
      </c>
      <c r="O800" s="310" t="s">
        <v>5873</v>
      </c>
      <c r="P800" s="268">
        <v>3486.0</v>
      </c>
      <c r="Q800" s="596"/>
      <c r="R800" s="340" t="s">
        <v>94</v>
      </c>
      <c r="S800" s="768">
        <v>43465.0</v>
      </c>
      <c r="T800" s="771">
        <v>43426.0</v>
      </c>
      <c r="U800" s="252" t="s">
        <v>5874</v>
      </c>
      <c r="V800" s="252" t="s">
        <v>5875</v>
      </c>
      <c r="W800" s="769">
        <v>43467.0</v>
      </c>
      <c r="X800" s="765" t="s">
        <v>5670</v>
      </c>
      <c r="Y800" s="765" t="s">
        <v>5671</v>
      </c>
      <c r="Z800" s="766"/>
      <c r="AA800" s="765"/>
      <c r="AB800" s="765"/>
      <c r="AC800" s="266" t="s">
        <v>284</v>
      </c>
    </row>
    <row r="801" ht="15.75" hidden="1" customHeight="1">
      <c r="A801" s="776">
        <v>43418.0</v>
      </c>
      <c r="B801" s="265" t="s">
        <v>119</v>
      </c>
      <c r="C801" s="252" t="s">
        <v>5871</v>
      </c>
      <c r="D801" s="252" t="s">
        <v>5872</v>
      </c>
      <c r="E801" s="252" t="s">
        <v>162</v>
      </c>
      <c r="F801" s="369">
        <v>4.0</v>
      </c>
      <c r="G801" s="267">
        <v>738.0</v>
      </c>
      <c r="H801" s="267">
        <f t="shared" si="45"/>
        <v>2952</v>
      </c>
      <c r="I801" s="256" t="s">
        <v>171</v>
      </c>
      <c r="J801" s="428" t="s">
        <v>122</v>
      </c>
      <c r="K801" s="258">
        <v>43433.0</v>
      </c>
      <c r="L801" s="258">
        <v>43426.0</v>
      </c>
      <c r="M801" s="388"/>
      <c r="N801" s="333" t="s">
        <v>90</v>
      </c>
      <c r="O801" s="310" t="s">
        <v>5873</v>
      </c>
      <c r="P801" s="268">
        <v>2679.6</v>
      </c>
      <c r="Q801" s="596"/>
      <c r="R801" s="340" t="s">
        <v>94</v>
      </c>
      <c r="S801" s="768">
        <v>43465.0</v>
      </c>
      <c r="T801" s="771">
        <v>43426.0</v>
      </c>
      <c r="U801" s="252" t="s">
        <v>5874</v>
      </c>
      <c r="V801" s="252" t="s">
        <v>5875</v>
      </c>
      <c r="W801" s="769">
        <v>43467.0</v>
      </c>
      <c r="X801" s="765" t="s">
        <v>5670</v>
      </c>
      <c r="Y801" s="765" t="s">
        <v>5671</v>
      </c>
      <c r="Z801" s="766"/>
      <c r="AA801" s="765"/>
      <c r="AB801" s="765"/>
      <c r="AC801" s="266" t="s">
        <v>284</v>
      </c>
    </row>
    <row r="802" ht="15.75" hidden="1" customHeight="1">
      <c r="A802" s="776">
        <v>43418.0</v>
      </c>
      <c r="B802" s="265" t="s">
        <v>119</v>
      </c>
      <c r="C802" s="252" t="s">
        <v>5871</v>
      </c>
      <c r="D802" s="252" t="s">
        <v>5872</v>
      </c>
      <c r="E802" s="602" t="s">
        <v>152</v>
      </c>
      <c r="F802" s="253">
        <v>4.0</v>
      </c>
      <c r="G802" s="254">
        <v>1045.0</v>
      </c>
      <c r="H802" s="267">
        <f t="shared" si="45"/>
        <v>4180</v>
      </c>
      <c r="I802" s="256" t="s">
        <v>171</v>
      </c>
      <c r="J802" s="428" t="s">
        <v>122</v>
      </c>
      <c r="K802" s="258">
        <v>43433.0</v>
      </c>
      <c r="L802" s="258">
        <v>43426.0</v>
      </c>
      <c r="M802" s="388"/>
      <c r="N802" s="333" t="s">
        <v>90</v>
      </c>
      <c r="O802" s="310" t="s">
        <v>5873</v>
      </c>
      <c r="P802" s="268">
        <v>3864.0</v>
      </c>
      <c r="Q802" s="596"/>
      <c r="R802" s="340" t="s">
        <v>94</v>
      </c>
      <c r="S802" s="768">
        <v>43465.0</v>
      </c>
      <c r="T802" s="771">
        <v>43426.0</v>
      </c>
      <c r="U802" s="252" t="s">
        <v>5874</v>
      </c>
      <c r="V802" s="252" t="s">
        <v>5875</v>
      </c>
      <c r="W802" s="769">
        <v>43467.0</v>
      </c>
      <c r="X802" s="765" t="s">
        <v>5670</v>
      </c>
      <c r="Y802" s="765" t="s">
        <v>5671</v>
      </c>
      <c r="Z802" s="766"/>
      <c r="AA802" s="765"/>
      <c r="AB802" s="765"/>
      <c r="AC802" s="266" t="s">
        <v>284</v>
      </c>
    </row>
    <row r="803" ht="15.75" hidden="1" customHeight="1">
      <c r="A803" s="776">
        <v>43418.0</v>
      </c>
      <c r="B803" s="265" t="s">
        <v>119</v>
      </c>
      <c r="C803" s="252" t="s">
        <v>5871</v>
      </c>
      <c r="D803" s="252" t="s">
        <v>5872</v>
      </c>
      <c r="E803" s="602" t="s">
        <v>414</v>
      </c>
      <c r="F803" s="253">
        <v>2.0</v>
      </c>
      <c r="G803" s="254">
        <v>118.0</v>
      </c>
      <c r="H803" s="267">
        <f t="shared" si="45"/>
        <v>236</v>
      </c>
      <c r="I803" s="256" t="s">
        <v>171</v>
      </c>
      <c r="J803" s="428" t="s">
        <v>122</v>
      </c>
      <c r="K803" s="258">
        <v>43433.0</v>
      </c>
      <c r="L803" s="258">
        <v>43426.0</v>
      </c>
      <c r="M803" s="388"/>
      <c r="N803" s="333" t="s">
        <v>90</v>
      </c>
      <c r="O803" s="310" t="s">
        <v>5873</v>
      </c>
      <c r="P803" s="268">
        <v>218.4</v>
      </c>
      <c r="Q803" s="596"/>
      <c r="R803" s="340" t="s">
        <v>94</v>
      </c>
      <c r="S803" s="768">
        <v>43465.0</v>
      </c>
      <c r="T803" s="771">
        <v>43426.0</v>
      </c>
      <c r="U803" s="252" t="s">
        <v>5874</v>
      </c>
      <c r="V803" s="252" t="s">
        <v>5875</v>
      </c>
      <c r="W803" s="769">
        <v>43467.0</v>
      </c>
      <c r="X803" s="765" t="s">
        <v>5670</v>
      </c>
      <c r="Y803" s="765" t="s">
        <v>5671</v>
      </c>
      <c r="Z803" s="766"/>
      <c r="AA803" s="765"/>
      <c r="AB803" s="765"/>
      <c r="AC803" s="266" t="s">
        <v>284</v>
      </c>
    </row>
    <row r="804" ht="15.75" hidden="1" customHeight="1">
      <c r="A804" s="776">
        <v>43418.0</v>
      </c>
      <c r="B804" s="265" t="s">
        <v>119</v>
      </c>
      <c r="C804" s="252" t="s">
        <v>5871</v>
      </c>
      <c r="D804" s="252" t="s">
        <v>5872</v>
      </c>
      <c r="E804" s="602" t="s">
        <v>325</v>
      </c>
      <c r="F804" s="253">
        <v>5.0</v>
      </c>
      <c r="G804" s="254">
        <v>577.0</v>
      </c>
      <c r="H804" s="267">
        <f t="shared" si="45"/>
        <v>2885</v>
      </c>
      <c r="I804" s="256" t="s">
        <v>171</v>
      </c>
      <c r="J804" s="428" t="s">
        <v>122</v>
      </c>
      <c r="K804" s="258">
        <v>43433.0</v>
      </c>
      <c r="L804" s="258">
        <v>43426.0</v>
      </c>
      <c r="M804" s="388"/>
      <c r="N804" s="333" t="s">
        <v>90</v>
      </c>
      <c r="O804" s="310" t="s">
        <v>5873</v>
      </c>
      <c r="P804" s="268">
        <v>2661.75</v>
      </c>
      <c r="Q804" s="596"/>
      <c r="R804" s="340" t="s">
        <v>94</v>
      </c>
      <c r="S804" s="768">
        <v>43465.0</v>
      </c>
      <c r="T804" s="771">
        <v>43426.0</v>
      </c>
      <c r="U804" s="252" t="s">
        <v>5874</v>
      </c>
      <c r="V804" s="252" t="s">
        <v>5875</v>
      </c>
      <c r="W804" s="769">
        <v>43467.0</v>
      </c>
      <c r="X804" s="765" t="s">
        <v>5670</v>
      </c>
      <c r="Y804" s="765" t="s">
        <v>5671</v>
      </c>
      <c r="Z804" s="766"/>
      <c r="AA804" s="765"/>
      <c r="AB804" s="765"/>
      <c r="AC804" s="266" t="s">
        <v>284</v>
      </c>
    </row>
    <row r="805" ht="15.75" hidden="1" customHeight="1">
      <c r="A805" s="764">
        <v>43423.0</v>
      </c>
      <c r="B805" s="265" t="s">
        <v>579</v>
      </c>
      <c r="C805" s="765">
        <v>2.0181116005E10</v>
      </c>
      <c r="D805" s="252" t="s">
        <v>5876</v>
      </c>
      <c r="E805" s="602" t="s">
        <v>1266</v>
      </c>
      <c r="F805" s="253">
        <v>2.0</v>
      </c>
      <c r="G805" s="254">
        <v>96.6</v>
      </c>
      <c r="H805" s="255">
        <f t="shared" ref="H805:H810" si="46">G805*F805</f>
        <v>193.2</v>
      </c>
      <c r="I805" s="256" t="s">
        <v>171</v>
      </c>
      <c r="J805" s="321" t="s">
        <v>582</v>
      </c>
      <c r="K805" s="258">
        <v>43433.0</v>
      </c>
      <c r="L805" s="258">
        <v>43433.0</v>
      </c>
      <c r="M805" s="388"/>
      <c r="N805" s="333" t="s">
        <v>1439</v>
      </c>
      <c r="O805" s="252" t="s">
        <v>5877</v>
      </c>
      <c r="P805" s="268">
        <v>168.0</v>
      </c>
      <c r="Q805" s="596"/>
      <c r="R805" s="320" t="s">
        <v>1976</v>
      </c>
      <c r="S805" s="826">
        <v>43496.0</v>
      </c>
      <c r="T805" s="771">
        <v>43433.0</v>
      </c>
      <c r="U805" s="252" t="s">
        <v>5878</v>
      </c>
      <c r="V805" s="774">
        <v>5192.0</v>
      </c>
      <c r="W805" s="769">
        <v>43495.0</v>
      </c>
      <c r="X805" s="765" t="s">
        <v>5879</v>
      </c>
      <c r="Y805" s="765"/>
      <c r="Z805" s="766"/>
      <c r="AA805" s="770">
        <v>5796.0</v>
      </c>
      <c r="AB805" s="765"/>
      <c r="AC805" s="253" t="s">
        <v>377</v>
      </c>
    </row>
    <row r="806" ht="15.75" hidden="1" customHeight="1">
      <c r="A806" s="764">
        <v>43423.0</v>
      </c>
      <c r="B806" s="265" t="s">
        <v>119</v>
      </c>
      <c r="C806" s="252" t="s">
        <v>5880</v>
      </c>
      <c r="D806" s="252" t="s">
        <v>5881</v>
      </c>
      <c r="E806" s="602" t="s">
        <v>121</v>
      </c>
      <c r="F806" s="253">
        <v>38.0</v>
      </c>
      <c r="G806" s="254">
        <v>359.0</v>
      </c>
      <c r="H806" s="255">
        <f t="shared" si="46"/>
        <v>13642</v>
      </c>
      <c r="I806" s="256" t="s">
        <v>171</v>
      </c>
      <c r="J806" s="428" t="s">
        <v>122</v>
      </c>
      <c r="K806" s="258">
        <v>43461.0</v>
      </c>
      <c r="L806" s="258">
        <v>43454.0</v>
      </c>
      <c r="M806" s="388"/>
      <c r="N806" s="333" t="s">
        <v>90</v>
      </c>
      <c r="O806" s="310" t="s">
        <v>5882</v>
      </c>
      <c r="P806" s="268">
        <v>13246.8</v>
      </c>
      <c r="Q806" s="596"/>
      <c r="R806" s="340" t="s">
        <v>94</v>
      </c>
      <c r="S806" s="768">
        <v>43496.0</v>
      </c>
      <c r="T806" s="769">
        <v>43453.0</v>
      </c>
      <c r="U806" s="765" t="s">
        <v>5883</v>
      </c>
      <c r="V806" s="770">
        <v>549275.0</v>
      </c>
      <c r="W806" s="767">
        <v>43475.0</v>
      </c>
      <c r="X806" s="765" t="s">
        <v>5884</v>
      </c>
      <c r="Y806" s="765" t="s">
        <v>5885</v>
      </c>
      <c r="Z806" s="766"/>
      <c r="AA806" s="765"/>
      <c r="AB806" s="765"/>
      <c r="AC806" s="266" t="s">
        <v>284</v>
      </c>
    </row>
    <row r="807" ht="15.75" hidden="1" customHeight="1">
      <c r="A807" s="764">
        <v>43424.0</v>
      </c>
      <c r="B807" s="265" t="s">
        <v>119</v>
      </c>
      <c r="C807" s="252" t="s">
        <v>5880</v>
      </c>
      <c r="D807" s="252" t="s">
        <v>5881</v>
      </c>
      <c r="E807" s="815" t="s">
        <v>158</v>
      </c>
      <c r="F807" s="253">
        <v>1.0</v>
      </c>
      <c r="G807" s="267">
        <v>979.0</v>
      </c>
      <c r="H807" s="255">
        <f t="shared" si="46"/>
        <v>979</v>
      </c>
      <c r="I807" s="256" t="s">
        <v>171</v>
      </c>
      <c r="J807" s="428" t="s">
        <v>122</v>
      </c>
      <c r="K807" s="258">
        <v>43461.0</v>
      </c>
      <c r="L807" s="258">
        <v>43454.0</v>
      </c>
      <c r="M807" s="388"/>
      <c r="N807" s="333" t="s">
        <v>90</v>
      </c>
      <c r="O807" s="310" t="s">
        <v>5882</v>
      </c>
      <c r="P807" s="268">
        <v>835.8</v>
      </c>
      <c r="Q807" s="596"/>
      <c r="R807" s="340" t="s">
        <v>94</v>
      </c>
      <c r="S807" s="768">
        <v>43496.0</v>
      </c>
      <c r="T807" s="769">
        <v>43453.0</v>
      </c>
      <c r="U807" s="765" t="s">
        <v>5883</v>
      </c>
      <c r="V807" s="765" t="s">
        <v>5886</v>
      </c>
      <c r="W807" s="767">
        <v>43475.0</v>
      </c>
      <c r="X807" s="765" t="s">
        <v>5884</v>
      </c>
      <c r="Y807" s="252" t="s">
        <v>5885</v>
      </c>
      <c r="Z807" s="766"/>
      <c r="AA807" s="765"/>
      <c r="AB807" s="765"/>
      <c r="AC807" s="266" t="s">
        <v>284</v>
      </c>
    </row>
    <row r="808" ht="15.75" hidden="1" customHeight="1">
      <c r="A808" s="764">
        <v>43425.0</v>
      </c>
      <c r="B808" s="265" t="s">
        <v>119</v>
      </c>
      <c r="C808" s="252" t="s">
        <v>5880</v>
      </c>
      <c r="D808" s="252" t="s">
        <v>5881</v>
      </c>
      <c r="E808" s="252" t="s">
        <v>161</v>
      </c>
      <c r="F808" s="369">
        <v>9.0</v>
      </c>
      <c r="G808" s="254">
        <v>485.0</v>
      </c>
      <c r="H808" s="255">
        <f t="shared" si="46"/>
        <v>4365</v>
      </c>
      <c r="I808" s="256" t="s">
        <v>171</v>
      </c>
      <c r="J808" s="428" t="s">
        <v>122</v>
      </c>
      <c r="K808" s="258">
        <v>43461.0</v>
      </c>
      <c r="L808" s="258">
        <v>43454.0</v>
      </c>
      <c r="M808" s="388"/>
      <c r="N808" s="333" t="s">
        <v>90</v>
      </c>
      <c r="O808" s="310" t="s">
        <v>5882</v>
      </c>
      <c r="P808" s="268">
        <v>3780.0</v>
      </c>
      <c r="Q808" s="596"/>
      <c r="R808" s="340" t="s">
        <v>94</v>
      </c>
      <c r="S808" s="768">
        <v>43496.0</v>
      </c>
      <c r="T808" s="769">
        <v>43453.0</v>
      </c>
      <c r="U808" s="765" t="s">
        <v>5883</v>
      </c>
      <c r="V808" s="765" t="s">
        <v>5886</v>
      </c>
      <c r="W808" s="767">
        <v>43475.0</v>
      </c>
      <c r="X808" s="765" t="s">
        <v>5884</v>
      </c>
      <c r="Y808" s="252" t="s">
        <v>5885</v>
      </c>
      <c r="Z808" s="766"/>
      <c r="AA808" s="765"/>
      <c r="AB808" s="765"/>
      <c r="AC808" s="266" t="s">
        <v>284</v>
      </c>
    </row>
    <row r="809" ht="15.75" hidden="1" customHeight="1">
      <c r="A809" s="764">
        <v>43423.0</v>
      </c>
      <c r="B809" s="265" t="s">
        <v>3677</v>
      </c>
      <c r="C809" s="765">
        <v>300496.0</v>
      </c>
      <c r="D809" s="252" t="s">
        <v>5887</v>
      </c>
      <c r="E809" s="602" t="s">
        <v>5888</v>
      </c>
      <c r="F809" s="253">
        <v>3.0</v>
      </c>
      <c r="G809" s="254">
        <v>64.0</v>
      </c>
      <c r="H809" s="255">
        <f t="shared" si="46"/>
        <v>192</v>
      </c>
      <c r="I809" s="256" t="s">
        <v>3874</v>
      </c>
      <c r="J809" s="269" t="s">
        <v>3680</v>
      </c>
      <c r="K809" s="258">
        <v>43431.0</v>
      </c>
      <c r="L809" s="258">
        <v>43431.0</v>
      </c>
      <c r="M809" s="388"/>
      <c r="N809" s="333" t="s">
        <v>90</v>
      </c>
      <c r="O809" s="310" t="s">
        <v>5889</v>
      </c>
      <c r="P809" s="268">
        <v>170.1</v>
      </c>
      <c r="Q809" s="596"/>
      <c r="R809" s="340" t="s">
        <v>94</v>
      </c>
      <c r="S809" s="768">
        <v>43496.0</v>
      </c>
      <c r="T809" s="771">
        <v>43430.0</v>
      </c>
      <c r="U809" s="252" t="s">
        <v>5890</v>
      </c>
      <c r="V809" s="774">
        <v>46619.0</v>
      </c>
      <c r="W809" s="767">
        <v>43475.0</v>
      </c>
      <c r="X809" s="765" t="s">
        <v>5891</v>
      </c>
      <c r="Y809" s="765">
        <v>7.73809437583E11</v>
      </c>
      <c r="Z809" s="766"/>
      <c r="AA809" s="765"/>
      <c r="AB809" s="765"/>
      <c r="AC809" s="253" t="s">
        <v>284</v>
      </c>
    </row>
    <row r="810" ht="15.75" hidden="1" customHeight="1">
      <c r="A810" s="764">
        <v>43423.0</v>
      </c>
      <c r="B810" s="265" t="s">
        <v>3677</v>
      </c>
      <c r="C810" s="765">
        <v>300496.0</v>
      </c>
      <c r="D810" s="252" t="s">
        <v>5887</v>
      </c>
      <c r="E810" s="602" t="s">
        <v>5892</v>
      </c>
      <c r="F810" s="253">
        <v>10.0</v>
      </c>
      <c r="G810" s="254">
        <v>135.0</v>
      </c>
      <c r="H810" s="255">
        <f t="shared" si="46"/>
        <v>1350</v>
      </c>
      <c r="I810" s="256" t="s">
        <v>3874</v>
      </c>
      <c r="J810" s="269" t="s">
        <v>3680</v>
      </c>
      <c r="K810" s="258">
        <v>43431.0</v>
      </c>
      <c r="L810" s="258">
        <v>43431.0</v>
      </c>
      <c r="M810" s="388"/>
      <c r="N810" s="333" t="s">
        <v>90</v>
      </c>
      <c r="O810" s="310" t="s">
        <v>5889</v>
      </c>
      <c r="P810" s="268">
        <v>1344.0</v>
      </c>
      <c r="Q810" s="596"/>
      <c r="R810" s="340" t="s">
        <v>94</v>
      </c>
      <c r="S810" s="768">
        <v>43496.0</v>
      </c>
      <c r="T810" s="771">
        <v>43430.0</v>
      </c>
      <c r="U810" s="252" t="s">
        <v>5890</v>
      </c>
      <c r="V810" s="252" t="s">
        <v>5893</v>
      </c>
      <c r="W810" s="767">
        <v>43475.0</v>
      </c>
      <c r="X810" s="765" t="s">
        <v>5891</v>
      </c>
      <c r="Y810" s="765">
        <v>7.73809437583E11</v>
      </c>
      <c r="Z810" s="766"/>
      <c r="AA810" s="765"/>
      <c r="AB810" s="765"/>
      <c r="AC810" s="253" t="s">
        <v>284</v>
      </c>
    </row>
    <row r="811" ht="15.75" customHeight="1">
      <c r="A811" s="796">
        <v>43424.0</v>
      </c>
      <c r="B811" s="786" t="s">
        <v>77</v>
      </c>
      <c r="C811" s="276">
        <v>1233.0</v>
      </c>
      <c r="D811" s="785" t="s">
        <v>5894</v>
      </c>
      <c r="E811" s="798" t="s">
        <v>3495</v>
      </c>
      <c r="F811" s="282">
        <v>1.0</v>
      </c>
      <c r="G811" s="930">
        <v>234.0</v>
      </c>
      <c r="H811" s="931"/>
      <c r="I811" s="823"/>
      <c r="J811" s="269"/>
      <c r="K811" s="630"/>
      <c r="L811" s="630"/>
      <c r="M811" s="388"/>
      <c r="N811" s="333"/>
      <c r="O811" s="310"/>
      <c r="P811" s="598"/>
      <c r="Q811" s="596"/>
      <c r="R811" s="310"/>
      <c r="S811" s="902"/>
      <c r="T811" s="766"/>
      <c r="U811" s="766"/>
      <c r="V811" s="766"/>
      <c r="W811" s="767"/>
      <c r="X811" s="765"/>
      <c r="Y811" s="765"/>
      <c r="Z811" s="766"/>
      <c r="AA811" s="765"/>
      <c r="AB811" s="765"/>
      <c r="AC811" s="253" t="s">
        <v>3617</v>
      </c>
    </row>
    <row r="812" ht="15.75" hidden="1" customHeight="1">
      <c r="A812" s="764">
        <v>43425.0</v>
      </c>
      <c r="B812" s="265" t="s">
        <v>579</v>
      </c>
      <c r="C812" s="765">
        <v>2.0181121004E10</v>
      </c>
      <c r="D812" s="252" t="s">
        <v>5895</v>
      </c>
      <c r="E812" s="602" t="s">
        <v>1266</v>
      </c>
      <c r="F812" s="253">
        <v>1.0</v>
      </c>
      <c r="G812" s="254">
        <v>96.6</v>
      </c>
      <c r="H812" s="255">
        <f t="shared" ref="H812:H836" si="47">G812*F812</f>
        <v>96.6</v>
      </c>
      <c r="I812" s="256" t="s">
        <v>171</v>
      </c>
      <c r="J812" s="321" t="s">
        <v>582</v>
      </c>
      <c r="K812" s="258">
        <v>43433.0</v>
      </c>
      <c r="L812" s="258">
        <v>43433.0</v>
      </c>
      <c r="M812" s="388"/>
      <c r="N812" s="333" t="s">
        <v>1439</v>
      </c>
      <c r="O812" s="252" t="s">
        <v>5896</v>
      </c>
      <c r="P812" s="268">
        <v>84.0</v>
      </c>
      <c r="Q812" s="596"/>
      <c r="R812" s="320" t="s">
        <v>1976</v>
      </c>
      <c r="S812" s="826">
        <v>43496.0</v>
      </c>
      <c r="T812" s="771">
        <v>43433.0</v>
      </c>
      <c r="U812" s="252" t="s">
        <v>5897</v>
      </c>
      <c r="V812" s="774">
        <v>2596.0</v>
      </c>
      <c r="W812" s="769">
        <v>43495.0</v>
      </c>
      <c r="X812" s="765" t="s">
        <v>5898</v>
      </c>
      <c r="Y812" s="766"/>
      <c r="Z812" s="766"/>
      <c r="AA812" s="770">
        <v>2898.0</v>
      </c>
      <c r="AB812" s="765" t="s">
        <v>5899</v>
      </c>
      <c r="AC812" s="253" t="s">
        <v>377</v>
      </c>
    </row>
    <row r="813" ht="15.75" hidden="1" customHeight="1">
      <c r="A813" s="764">
        <v>43426.0</v>
      </c>
      <c r="B813" s="265" t="s">
        <v>406</v>
      </c>
      <c r="C813" s="252">
        <v>7.00014301E9</v>
      </c>
      <c r="D813" s="252" t="s">
        <v>5900</v>
      </c>
      <c r="E813" s="602" t="s">
        <v>685</v>
      </c>
      <c r="F813" s="253">
        <v>1.0</v>
      </c>
      <c r="G813" s="254">
        <v>71.0</v>
      </c>
      <c r="H813" s="255">
        <f t="shared" si="47"/>
        <v>71</v>
      </c>
      <c r="I813" s="256" t="s">
        <v>43</v>
      </c>
      <c r="J813" s="333" t="s">
        <v>520</v>
      </c>
      <c r="K813" s="258">
        <v>43430.0</v>
      </c>
      <c r="L813" s="258">
        <v>43430.0</v>
      </c>
      <c r="M813" s="388"/>
      <c r="N813" s="333" t="s">
        <v>3593</v>
      </c>
      <c r="O813" s="252" t="s">
        <v>5901</v>
      </c>
      <c r="P813" s="598"/>
      <c r="Q813" s="579">
        <v>1956.0</v>
      </c>
      <c r="R813" s="310" t="s">
        <v>2080</v>
      </c>
      <c r="S813" s="768">
        <v>43524.0</v>
      </c>
      <c r="T813" s="769">
        <v>43430.0</v>
      </c>
      <c r="U813" s="765" t="s">
        <v>5902</v>
      </c>
      <c r="V813" s="770">
        <v>1956.0</v>
      </c>
      <c r="W813" s="769">
        <v>43523.0</v>
      </c>
      <c r="X813" s="252" t="s">
        <v>5599</v>
      </c>
      <c r="Y813" s="765" t="s">
        <v>5600</v>
      </c>
      <c r="Z813" s="766"/>
      <c r="AA813" s="765"/>
      <c r="AB813" s="765"/>
      <c r="AC813" s="253" t="s">
        <v>284</v>
      </c>
    </row>
    <row r="814" ht="15.75" hidden="1" customHeight="1">
      <c r="A814" s="764">
        <v>43426.0</v>
      </c>
      <c r="B814" s="265" t="s">
        <v>406</v>
      </c>
      <c r="C814" s="252">
        <v>7.00014301E9</v>
      </c>
      <c r="D814" s="252" t="s">
        <v>5900</v>
      </c>
      <c r="E814" s="602" t="s">
        <v>5903</v>
      </c>
      <c r="F814" s="253">
        <v>1.0</v>
      </c>
      <c r="G814" s="254">
        <v>20.0</v>
      </c>
      <c r="H814" s="255">
        <f t="shared" si="47"/>
        <v>20</v>
      </c>
      <c r="I814" s="256" t="s">
        <v>43</v>
      </c>
      <c r="J814" s="333" t="s">
        <v>520</v>
      </c>
      <c r="K814" s="258">
        <v>43430.0</v>
      </c>
      <c r="L814" s="258">
        <v>43430.0</v>
      </c>
      <c r="M814" s="388"/>
      <c r="N814" s="333" t="s">
        <v>3593</v>
      </c>
      <c r="O814" s="252" t="s">
        <v>5901</v>
      </c>
      <c r="P814" s="598"/>
      <c r="Q814" s="579">
        <v>456.0</v>
      </c>
      <c r="R814" s="310" t="s">
        <v>2080</v>
      </c>
      <c r="S814" s="768">
        <v>43524.0</v>
      </c>
      <c r="T814" s="769">
        <v>43430.0</v>
      </c>
      <c r="U814" s="765" t="s">
        <v>5904</v>
      </c>
      <c r="V814" s="765">
        <v>456.0</v>
      </c>
      <c r="W814" s="769">
        <v>43523.0</v>
      </c>
      <c r="X814" s="252" t="s">
        <v>5599</v>
      </c>
      <c r="Y814" s="765" t="s">
        <v>5600</v>
      </c>
      <c r="Z814" s="766"/>
      <c r="AA814" s="765"/>
      <c r="AB814" s="765"/>
      <c r="AC814" s="253" t="s">
        <v>284</v>
      </c>
    </row>
    <row r="815" ht="15.75" hidden="1" customHeight="1">
      <c r="A815" s="764">
        <v>43427.0</v>
      </c>
      <c r="B815" s="265" t="s">
        <v>229</v>
      </c>
      <c r="C815" s="765" t="s">
        <v>5905</v>
      </c>
      <c r="D815" s="252" t="s">
        <v>5906</v>
      </c>
      <c r="E815" s="602" t="s">
        <v>232</v>
      </c>
      <c r="F815" s="253">
        <v>6.0</v>
      </c>
      <c r="G815" s="325">
        <v>407.4</v>
      </c>
      <c r="H815" s="255">
        <f t="shared" si="47"/>
        <v>2444.4</v>
      </c>
      <c r="I815" s="256" t="s">
        <v>171</v>
      </c>
      <c r="J815" s="369" t="s">
        <v>233</v>
      </c>
      <c r="K815" s="258">
        <v>43441.0</v>
      </c>
      <c r="L815" s="258">
        <v>43441.0</v>
      </c>
      <c r="M815" s="388"/>
      <c r="N815" s="333" t="s">
        <v>90</v>
      </c>
      <c r="O815" s="310" t="s">
        <v>5907</v>
      </c>
      <c r="P815" s="268">
        <v>2236.5</v>
      </c>
      <c r="Q815" s="596"/>
      <c r="R815" s="340" t="s">
        <v>94</v>
      </c>
      <c r="S815" s="768">
        <v>43496.0</v>
      </c>
      <c r="T815" s="771">
        <v>43441.0</v>
      </c>
      <c r="U815" s="252" t="s">
        <v>5908</v>
      </c>
      <c r="V815" s="774">
        <v>139952.0</v>
      </c>
      <c r="W815" s="769">
        <v>43475.0</v>
      </c>
      <c r="X815" s="765" t="s">
        <v>5909</v>
      </c>
      <c r="Y815" s="765"/>
      <c r="Z815" s="765" t="s">
        <v>5910</v>
      </c>
      <c r="AA815" s="770">
        <v>163517.0</v>
      </c>
      <c r="AB815" s="765"/>
      <c r="AC815" s="253" t="s">
        <v>377</v>
      </c>
    </row>
    <row r="816" ht="15.75" hidden="1" customHeight="1">
      <c r="A816" s="764">
        <v>43427.0</v>
      </c>
      <c r="B816" s="265" t="s">
        <v>229</v>
      </c>
      <c r="C816" s="765" t="s">
        <v>5905</v>
      </c>
      <c r="D816" s="252" t="s">
        <v>5906</v>
      </c>
      <c r="E816" s="599" t="s">
        <v>736</v>
      </c>
      <c r="F816" s="253">
        <v>8.0</v>
      </c>
      <c r="G816" s="793">
        <v>336.0</v>
      </c>
      <c r="H816" s="255">
        <f t="shared" si="47"/>
        <v>2688</v>
      </c>
      <c r="I816" s="256" t="s">
        <v>171</v>
      </c>
      <c r="J816" s="269" t="s">
        <v>233</v>
      </c>
      <c r="K816" s="258">
        <v>43441.0</v>
      </c>
      <c r="L816" s="258">
        <v>43441.0</v>
      </c>
      <c r="M816" s="388"/>
      <c r="N816" s="333" t="s">
        <v>90</v>
      </c>
      <c r="O816" s="310" t="s">
        <v>5907</v>
      </c>
      <c r="P816" s="268">
        <v>2158.8</v>
      </c>
      <c r="Q816" s="596"/>
      <c r="R816" s="340" t="s">
        <v>94</v>
      </c>
      <c r="S816" s="768">
        <v>43496.0</v>
      </c>
      <c r="T816" s="771">
        <v>43441.0</v>
      </c>
      <c r="U816" s="252" t="s">
        <v>5908</v>
      </c>
      <c r="V816" s="252" t="s">
        <v>5911</v>
      </c>
      <c r="W816" s="769">
        <v>43475.0</v>
      </c>
      <c r="X816" s="765" t="s">
        <v>5909</v>
      </c>
      <c r="Y816" s="765"/>
      <c r="Z816" s="765" t="s">
        <v>5910</v>
      </c>
      <c r="AA816" s="765" t="s">
        <v>5912</v>
      </c>
      <c r="AB816" s="765"/>
      <c r="AC816" s="253" t="s">
        <v>377</v>
      </c>
    </row>
    <row r="817" ht="15.75" hidden="1" customHeight="1">
      <c r="A817" s="764">
        <v>43427.0</v>
      </c>
      <c r="B817" s="265" t="s">
        <v>229</v>
      </c>
      <c r="C817" s="765" t="s">
        <v>5905</v>
      </c>
      <c r="D817" s="252" t="s">
        <v>5906</v>
      </c>
      <c r="E817" s="820" t="s">
        <v>737</v>
      </c>
      <c r="F817" s="253">
        <v>8.0</v>
      </c>
      <c r="G817" s="325">
        <v>21.0</v>
      </c>
      <c r="H817" s="255">
        <f t="shared" si="47"/>
        <v>168</v>
      </c>
      <c r="I817" s="256" t="s">
        <v>171</v>
      </c>
      <c r="J817" s="269" t="s">
        <v>233</v>
      </c>
      <c r="K817" s="258">
        <v>43441.0</v>
      </c>
      <c r="L817" s="258">
        <v>43441.0</v>
      </c>
      <c r="M817" s="388"/>
      <c r="N817" s="333" t="s">
        <v>90</v>
      </c>
      <c r="O817" s="310" t="s">
        <v>5907</v>
      </c>
      <c r="P817" s="268">
        <v>141.96</v>
      </c>
      <c r="Q817" s="596"/>
      <c r="R817" s="340" t="s">
        <v>94</v>
      </c>
      <c r="S817" s="768">
        <v>43496.0</v>
      </c>
      <c r="T817" s="771">
        <v>43441.0</v>
      </c>
      <c r="U817" s="252" t="s">
        <v>5908</v>
      </c>
      <c r="V817" s="252" t="s">
        <v>5911</v>
      </c>
      <c r="W817" s="769">
        <v>43475.0</v>
      </c>
      <c r="X817" s="765" t="s">
        <v>5909</v>
      </c>
      <c r="Y817" s="765"/>
      <c r="Z817" s="765" t="s">
        <v>5910</v>
      </c>
      <c r="AA817" s="765" t="s">
        <v>5912</v>
      </c>
      <c r="AB817" s="765"/>
      <c r="AC817" s="253" t="s">
        <v>377</v>
      </c>
    </row>
    <row r="818" ht="15.75" hidden="1" customHeight="1">
      <c r="A818" s="764">
        <v>43413.0</v>
      </c>
      <c r="B818" s="265" t="s">
        <v>721</v>
      </c>
      <c r="C818" s="765" t="s">
        <v>5913</v>
      </c>
      <c r="D818" s="252" t="s">
        <v>5914</v>
      </c>
      <c r="E818" s="602" t="s">
        <v>723</v>
      </c>
      <c r="F818" s="266">
        <v>2.0</v>
      </c>
      <c r="G818" s="254">
        <v>95.0</v>
      </c>
      <c r="H818" s="255">
        <f t="shared" si="47"/>
        <v>190</v>
      </c>
      <c r="I818" s="256" t="s">
        <v>3874</v>
      </c>
      <c r="J818" s="269" t="s">
        <v>5915</v>
      </c>
      <c r="K818" s="258">
        <v>43458.0</v>
      </c>
      <c r="L818" s="258">
        <v>43440.0</v>
      </c>
      <c r="M818" s="388"/>
      <c r="N818" s="333" t="s">
        <v>90</v>
      </c>
      <c r="O818" s="310" t="s">
        <v>5916</v>
      </c>
      <c r="P818" s="268">
        <v>176.4</v>
      </c>
      <c r="Q818" s="932"/>
      <c r="R818" s="340" t="s">
        <v>94</v>
      </c>
      <c r="S818" s="768">
        <v>43496.0</v>
      </c>
      <c r="T818" s="769">
        <v>43439.0</v>
      </c>
      <c r="U818" s="252" t="s">
        <v>5917</v>
      </c>
      <c r="V818" s="765" t="s">
        <v>5918</v>
      </c>
      <c r="W818" s="769">
        <v>43475.0</v>
      </c>
      <c r="X818" s="765" t="s">
        <v>5919</v>
      </c>
      <c r="Y818" s="765" t="s">
        <v>5920</v>
      </c>
      <c r="Z818" s="766"/>
      <c r="AA818" s="765"/>
      <c r="AB818" s="765"/>
      <c r="AC818" s="266" t="s">
        <v>284</v>
      </c>
    </row>
    <row r="819" ht="15.75" hidden="1" customHeight="1">
      <c r="A819" s="764">
        <v>43413.0</v>
      </c>
      <c r="B819" s="265" t="s">
        <v>721</v>
      </c>
      <c r="C819" s="765" t="s">
        <v>5913</v>
      </c>
      <c r="D819" s="252" t="s">
        <v>5914</v>
      </c>
      <c r="E819" s="602" t="s">
        <v>723</v>
      </c>
      <c r="F819" s="266">
        <v>20.0</v>
      </c>
      <c r="G819" s="254">
        <v>95.0</v>
      </c>
      <c r="H819" s="255">
        <f t="shared" si="47"/>
        <v>1900</v>
      </c>
      <c r="I819" s="256" t="s">
        <v>3874</v>
      </c>
      <c r="J819" s="269" t="s">
        <v>5915</v>
      </c>
      <c r="K819" s="258">
        <v>43458.0</v>
      </c>
      <c r="L819" s="258">
        <v>43455.0</v>
      </c>
      <c r="M819" s="388"/>
      <c r="N819" s="333" t="s">
        <v>90</v>
      </c>
      <c r="O819" s="578" t="s">
        <v>5921</v>
      </c>
      <c r="P819" s="267" t="s">
        <v>5922</v>
      </c>
      <c r="Q819" s="932"/>
      <c r="R819" s="340" t="s">
        <v>94</v>
      </c>
      <c r="S819" s="768">
        <v>43496.0</v>
      </c>
      <c r="T819" s="765" t="s">
        <v>5923</v>
      </c>
      <c r="U819" s="765" t="s">
        <v>5924</v>
      </c>
      <c r="V819" s="770" t="s">
        <v>5925</v>
      </c>
      <c r="W819" s="769">
        <v>43475.0</v>
      </c>
      <c r="X819" s="765" t="s">
        <v>5919</v>
      </c>
      <c r="Y819" s="765" t="s">
        <v>5920</v>
      </c>
      <c r="Z819" s="766"/>
      <c r="AA819" s="765"/>
      <c r="AB819" s="765"/>
      <c r="AC819" s="266" t="s">
        <v>284</v>
      </c>
    </row>
    <row r="820" ht="15.75" hidden="1" customHeight="1">
      <c r="A820" s="764">
        <v>43413.0</v>
      </c>
      <c r="B820" s="265" t="s">
        <v>721</v>
      </c>
      <c r="C820" s="765" t="s">
        <v>5913</v>
      </c>
      <c r="D820" s="252" t="s">
        <v>5914</v>
      </c>
      <c r="E820" s="602" t="s">
        <v>726</v>
      </c>
      <c r="F820" s="266">
        <v>15.0</v>
      </c>
      <c r="G820" s="254">
        <v>320.0</v>
      </c>
      <c r="H820" s="255">
        <f t="shared" si="47"/>
        <v>4800</v>
      </c>
      <c r="I820" s="256" t="s">
        <v>3874</v>
      </c>
      <c r="J820" s="269" t="s">
        <v>5915</v>
      </c>
      <c r="K820" s="258">
        <v>43458.0</v>
      </c>
      <c r="L820" s="258">
        <v>43440.0</v>
      </c>
      <c r="M820" s="388"/>
      <c r="N820" s="333" t="s">
        <v>90</v>
      </c>
      <c r="O820" s="310" t="s">
        <v>5916</v>
      </c>
      <c r="P820" s="268">
        <v>4047.75</v>
      </c>
      <c r="Q820" s="932"/>
      <c r="R820" s="340" t="s">
        <v>94</v>
      </c>
      <c r="S820" s="768">
        <v>43496.0</v>
      </c>
      <c r="T820" s="769">
        <v>43439.0</v>
      </c>
      <c r="U820" s="252" t="s">
        <v>5917</v>
      </c>
      <c r="V820" s="770">
        <v>130294.0</v>
      </c>
      <c r="W820" s="769">
        <v>43475.0</v>
      </c>
      <c r="X820" s="765" t="s">
        <v>5919</v>
      </c>
      <c r="Y820" s="765" t="s">
        <v>5920</v>
      </c>
      <c r="Z820" s="766"/>
      <c r="AA820" s="765"/>
      <c r="AB820" s="765"/>
      <c r="AC820" s="266" t="s">
        <v>284</v>
      </c>
    </row>
    <row r="821" ht="15.75" hidden="1" customHeight="1">
      <c r="A821" s="764">
        <v>43413.0</v>
      </c>
      <c r="B821" s="265" t="s">
        <v>721</v>
      </c>
      <c r="C821" s="765" t="s">
        <v>5913</v>
      </c>
      <c r="D821" s="252" t="s">
        <v>5914</v>
      </c>
      <c r="E821" s="602" t="s">
        <v>726</v>
      </c>
      <c r="F821" s="266">
        <v>20.0</v>
      </c>
      <c r="G821" s="254">
        <v>320.0</v>
      </c>
      <c r="H821" s="255">
        <f t="shared" si="47"/>
        <v>6400</v>
      </c>
      <c r="I821" s="256" t="s">
        <v>3874</v>
      </c>
      <c r="J821" s="269" t="s">
        <v>5915</v>
      </c>
      <c r="K821" s="258">
        <v>43458.0</v>
      </c>
      <c r="L821" s="258">
        <v>43454.0</v>
      </c>
      <c r="M821" s="388"/>
      <c r="N821" s="333" t="s">
        <v>90</v>
      </c>
      <c r="O821" s="310" t="s">
        <v>5926</v>
      </c>
      <c r="P821" s="268">
        <v>5397.0</v>
      </c>
      <c r="Q821" s="932"/>
      <c r="R821" s="340" t="s">
        <v>94</v>
      </c>
      <c r="S821" s="768">
        <v>43496.0</v>
      </c>
      <c r="T821" s="769">
        <v>43453.0</v>
      </c>
      <c r="U821" s="765" t="s">
        <v>5927</v>
      </c>
      <c r="V821" s="765" t="s">
        <v>5928</v>
      </c>
      <c r="W821" s="769">
        <v>43475.0</v>
      </c>
      <c r="X821" s="765" t="s">
        <v>5919</v>
      </c>
      <c r="Y821" s="765" t="s">
        <v>5920</v>
      </c>
      <c r="Z821" s="766"/>
      <c r="AA821" s="765"/>
      <c r="AB821" s="765"/>
      <c r="AC821" s="266" t="s">
        <v>284</v>
      </c>
    </row>
    <row r="822" ht="15.75" hidden="1" customHeight="1">
      <c r="A822" s="764">
        <v>43434.0</v>
      </c>
      <c r="B822" s="265" t="s">
        <v>721</v>
      </c>
      <c r="C822" s="765"/>
      <c r="D822" s="578" t="s">
        <v>5929</v>
      </c>
      <c r="E822" s="602" t="s">
        <v>727</v>
      </c>
      <c r="F822" s="266">
        <v>3.0</v>
      </c>
      <c r="G822" s="254">
        <v>123.0</v>
      </c>
      <c r="H822" s="255">
        <f t="shared" si="47"/>
        <v>369</v>
      </c>
      <c r="I822" s="256" t="s">
        <v>3874</v>
      </c>
      <c r="J822" s="269" t="s">
        <v>5915</v>
      </c>
      <c r="K822" s="258">
        <v>43458.0</v>
      </c>
      <c r="L822" s="258">
        <v>43447.0</v>
      </c>
      <c r="M822" s="388"/>
      <c r="N822" s="333" t="s">
        <v>90</v>
      </c>
      <c r="O822" s="310" t="s">
        <v>5930</v>
      </c>
      <c r="P822" s="268">
        <v>294.84</v>
      </c>
      <c r="Q822" s="932"/>
      <c r="R822" s="340" t="s">
        <v>94</v>
      </c>
      <c r="S822" s="768">
        <v>43496.0</v>
      </c>
      <c r="T822" s="771">
        <v>43446.0</v>
      </c>
      <c r="U822" s="252" t="s">
        <v>5931</v>
      </c>
      <c r="V822" s="770">
        <v>9066.0</v>
      </c>
      <c r="W822" s="769">
        <v>43475.0</v>
      </c>
      <c r="X822" s="765" t="s">
        <v>5919</v>
      </c>
      <c r="Y822" s="765" t="s">
        <v>5920</v>
      </c>
      <c r="Z822" s="766"/>
      <c r="AA822" s="765"/>
      <c r="AB822" s="765"/>
      <c r="AC822" s="266" t="s">
        <v>284</v>
      </c>
    </row>
    <row r="823" ht="15.75" hidden="1" customHeight="1">
      <c r="A823" s="764">
        <v>43441.0</v>
      </c>
      <c r="B823" s="265" t="s">
        <v>721</v>
      </c>
      <c r="C823" s="252"/>
      <c r="D823" s="252" t="s">
        <v>5914</v>
      </c>
      <c r="E823" s="765" t="s">
        <v>1620</v>
      </c>
      <c r="F823" s="266">
        <v>10.0</v>
      </c>
      <c r="G823" s="466">
        <v>345.0</v>
      </c>
      <c r="H823" s="255">
        <f t="shared" si="47"/>
        <v>3450</v>
      </c>
      <c r="I823" s="256" t="s">
        <v>3874</v>
      </c>
      <c r="J823" s="269" t="s">
        <v>5915</v>
      </c>
      <c r="K823" s="258">
        <v>43458.0</v>
      </c>
      <c r="L823" s="258">
        <v>43454.0</v>
      </c>
      <c r="M823" s="388"/>
      <c r="N823" s="333" t="s">
        <v>90</v>
      </c>
      <c r="O823" s="310" t="s">
        <v>5926</v>
      </c>
      <c r="P823" s="268">
        <v>2908.5</v>
      </c>
      <c r="Q823" s="932"/>
      <c r="R823" s="340" t="s">
        <v>94</v>
      </c>
      <c r="S823" s="768">
        <v>43496.0</v>
      </c>
      <c r="T823" s="769">
        <v>43453.0</v>
      </c>
      <c r="U823" s="765" t="s">
        <v>5927</v>
      </c>
      <c r="V823" s="765" t="s">
        <v>5928</v>
      </c>
      <c r="W823" s="769">
        <v>43475.0</v>
      </c>
      <c r="X823" s="765" t="s">
        <v>5919</v>
      </c>
      <c r="Y823" s="765" t="s">
        <v>5920</v>
      </c>
      <c r="Z823" s="765"/>
      <c r="AA823" s="770"/>
      <c r="AB823" s="765"/>
      <c r="AC823" s="266" t="s">
        <v>284</v>
      </c>
    </row>
    <row r="824" ht="15.75" hidden="1" customHeight="1">
      <c r="A824" s="764">
        <v>43432.0</v>
      </c>
      <c r="B824" s="265" t="s">
        <v>631</v>
      </c>
      <c r="C824" s="252" t="s">
        <v>5932</v>
      </c>
      <c r="D824" s="252" t="s">
        <v>5933</v>
      </c>
      <c r="E824" s="765" t="s">
        <v>634</v>
      </c>
      <c r="F824" s="253">
        <v>10.0</v>
      </c>
      <c r="G824" s="466">
        <v>173.25</v>
      </c>
      <c r="H824" s="255">
        <f t="shared" si="47"/>
        <v>1732.5</v>
      </c>
      <c r="I824" s="256" t="s">
        <v>171</v>
      </c>
      <c r="J824" s="269" t="s">
        <v>628</v>
      </c>
      <c r="K824" s="258">
        <v>43438.0</v>
      </c>
      <c r="L824" s="258">
        <v>43433.0</v>
      </c>
      <c r="M824" s="388"/>
      <c r="N824" s="333" t="s">
        <v>2263</v>
      </c>
      <c r="O824" s="310" t="s">
        <v>5934</v>
      </c>
      <c r="P824" s="598"/>
      <c r="Q824" s="579">
        <v>50925.0</v>
      </c>
      <c r="R824" s="310" t="s">
        <v>2265</v>
      </c>
      <c r="S824" s="768">
        <v>43105.0</v>
      </c>
      <c r="T824" s="769">
        <v>43433.0</v>
      </c>
      <c r="U824" s="765" t="s">
        <v>5935</v>
      </c>
      <c r="V824" s="770">
        <v>50925.0</v>
      </c>
      <c r="W824" s="769">
        <v>43469.0</v>
      </c>
      <c r="X824" s="765" t="s">
        <v>5936</v>
      </c>
      <c r="Y824" s="765" t="s">
        <v>5937</v>
      </c>
      <c r="Z824" s="765">
        <v>30.73</v>
      </c>
      <c r="AA824" s="770">
        <v>53240.0</v>
      </c>
      <c r="AB824" s="765" t="s">
        <v>5938</v>
      </c>
      <c r="AC824" s="253" t="s">
        <v>377</v>
      </c>
    </row>
    <row r="825" ht="28.5" hidden="1" customHeight="1">
      <c r="A825" s="764">
        <v>43432.0</v>
      </c>
      <c r="B825" s="265" t="s">
        <v>906</v>
      </c>
      <c r="C825" s="252" t="s">
        <v>5939</v>
      </c>
      <c r="D825" s="252" t="s">
        <v>5940</v>
      </c>
      <c r="E825" s="602" t="s">
        <v>968</v>
      </c>
      <c r="F825" s="253">
        <v>15.0</v>
      </c>
      <c r="G825" s="254">
        <v>305.0</v>
      </c>
      <c r="H825" s="255">
        <f t="shared" si="47"/>
        <v>4575</v>
      </c>
      <c r="I825" s="256" t="s">
        <v>303</v>
      </c>
      <c r="J825" s="369" t="s">
        <v>5941</v>
      </c>
      <c r="K825" s="850">
        <v>43446.0</v>
      </c>
      <c r="L825" s="258">
        <v>43438.0</v>
      </c>
      <c r="M825" s="388"/>
      <c r="N825" s="333" t="s">
        <v>2034</v>
      </c>
      <c r="O825" s="252" t="s">
        <v>5942</v>
      </c>
      <c r="P825" s="268">
        <v>4252.5</v>
      </c>
      <c r="Q825" s="596"/>
      <c r="R825" s="320" t="s">
        <v>2036</v>
      </c>
      <c r="S825" s="826">
        <v>43501.0</v>
      </c>
      <c r="T825" s="769">
        <v>43437.0</v>
      </c>
      <c r="U825" s="765" t="s">
        <v>5943</v>
      </c>
      <c r="V825" s="770">
        <v>224444.0</v>
      </c>
      <c r="W825" s="769">
        <v>43578.0</v>
      </c>
      <c r="X825" s="765" t="s">
        <v>5944</v>
      </c>
      <c r="Y825" s="765">
        <v>1.46160735E8</v>
      </c>
      <c r="Z825" s="766"/>
      <c r="AA825" s="765"/>
      <c r="AB825" s="765"/>
      <c r="AC825" s="253" t="s">
        <v>284</v>
      </c>
    </row>
    <row r="826" ht="15.75" hidden="1" customHeight="1">
      <c r="A826" s="764">
        <v>43432.0</v>
      </c>
      <c r="B826" s="265" t="s">
        <v>906</v>
      </c>
      <c r="C826" s="252" t="s">
        <v>5939</v>
      </c>
      <c r="D826" s="252" t="s">
        <v>5940</v>
      </c>
      <c r="E826" s="602" t="s">
        <v>970</v>
      </c>
      <c r="F826" s="253">
        <v>30.0</v>
      </c>
      <c r="G826" s="254">
        <v>105.0</v>
      </c>
      <c r="H826" s="255">
        <f t="shared" si="47"/>
        <v>3150</v>
      </c>
      <c r="I826" s="256" t="s">
        <v>303</v>
      </c>
      <c r="J826" s="369" t="s">
        <v>5941</v>
      </c>
      <c r="K826" s="850">
        <v>43446.0</v>
      </c>
      <c r="L826" s="258">
        <v>43438.0</v>
      </c>
      <c r="M826" s="388"/>
      <c r="N826" s="333" t="s">
        <v>2034</v>
      </c>
      <c r="O826" s="252" t="s">
        <v>5942</v>
      </c>
      <c r="P826" s="268">
        <v>3024.0</v>
      </c>
      <c r="Q826" s="596"/>
      <c r="R826" s="320" t="s">
        <v>2036</v>
      </c>
      <c r="S826" s="826">
        <v>43501.0</v>
      </c>
      <c r="T826" s="769">
        <v>43437.0</v>
      </c>
      <c r="U826" s="765" t="s">
        <v>5943</v>
      </c>
      <c r="V826" s="765" t="s">
        <v>5945</v>
      </c>
      <c r="W826" s="769">
        <v>43578.0</v>
      </c>
      <c r="X826" s="765" t="s">
        <v>5944</v>
      </c>
      <c r="Y826" s="765">
        <v>1.46160735E8</v>
      </c>
      <c r="Z826" s="766"/>
      <c r="AA826" s="765"/>
      <c r="AB826" s="765"/>
      <c r="AC826" s="253" t="s">
        <v>284</v>
      </c>
    </row>
    <row r="827" ht="15.75" customHeight="1">
      <c r="A827" s="764">
        <v>43433.0</v>
      </c>
      <c r="B827" s="265" t="s">
        <v>77</v>
      </c>
      <c r="C827" s="765">
        <v>1266.0</v>
      </c>
      <c r="D827" s="252" t="s">
        <v>5946</v>
      </c>
      <c r="E827" s="602" t="s">
        <v>3541</v>
      </c>
      <c r="F827" s="307">
        <v>5.0</v>
      </c>
      <c r="G827" s="254">
        <v>285.0</v>
      </c>
      <c r="H827" s="255">
        <f t="shared" si="47"/>
        <v>1425</v>
      </c>
      <c r="I827" s="256" t="s">
        <v>43</v>
      </c>
      <c r="J827" s="333" t="s">
        <v>5947</v>
      </c>
      <c r="K827" s="258">
        <v>43444.0</v>
      </c>
      <c r="L827" s="258">
        <v>43444.0</v>
      </c>
      <c r="M827" s="388"/>
      <c r="N827" s="403" t="s">
        <v>1998</v>
      </c>
      <c r="O827" s="252" t="s">
        <v>5948</v>
      </c>
      <c r="P827" s="268">
        <v>1312.5</v>
      </c>
      <c r="Q827" s="596"/>
      <c r="R827" s="310" t="s">
        <v>2000</v>
      </c>
      <c r="S827" s="768">
        <v>43136.0</v>
      </c>
      <c r="T827" s="769">
        <v>43441.0</v>
      </c>
      <c r="U827" s="765" t="s">
        <v>5949</v>
      </c>
      <c r="V827" s="770">
        <v>40465.0</v>
      </c>
      <c r="W827" s="769">
        <v>43649.0</v>
      </c>
      <c r="X827" s="765" t="s">
        <v>5950</v>
      </c>
      <c r="Y827" s="765">
        <v>9.86900692E8</v>
      </c>
      <c r="Z827" s="766"/>
      <c r="AA827" s="765"/>
      <c r="AB827" s="765"/>
      <c r="AC827" s="253" t="s">
        <v>284</v>
      </c>
    </row>
    <row r="828" ht="15.75" hidden="1" customHeight="1">
      <c r="A828" s="764">
        <v>43440.0</v>
      </c>
      <c r="B828" s="597" t="s">
        <v>5951</v>
      </c>
      <c r="C828" s="765"/>
      <c r="D828" s="252" t="s">
        <v>5952</v>
      </c>
      <c r="E828" s="602" t="s">
        <v>5953</v>
      </c>
      <c r="F828" s="253">
        <v>2.0</v>
      </c>
      <c r="G828" s="254">
        <v>32.0</v>
      </c>
      <c r="H828" s="255">
        <f t="shared" si="47"/>
        <v>64</v>
      </c>
      <c r="I828" s="256" t="s">
        <v>3874</v>
      </c>
      <c r="J828" s="269" t="s">
        <v>5954</v>
      </c>
      <c r="K828" s="850">
        <v>43452.0</v>
      </c>
      <c r="L828" s="258">
        <v>43446.0</v>
      </c>
      <c r="M828" s="388"/>
      <c r="N828" s="333" t="s">
        <v>5955</v>
      </c>
      <c r="O828" s="310" t="s">
        <v>5956</v>
      </c>
      <c r="P828" s="268">
        <v>53.55</v>
      </c>
      <c r="Q828" s="596"/>
      <c r="R828" s="310" t="s">
        <v>2043</v>
      </c>
      <c r="S828" s="768">
        <v>43460.0</v>
      </c>
      <c r="T828" s="842">
        <v>43446.0</v>
      </c>
      <c r="U828" s="765" t="s">
        <v>5957</v>
      </c>
      <c r="V828" s="770">
        <v>1655.0</v>
      </c>
      <c r="W828" s="928">
        <v>43467.0</v>
      </c>
      <c r="X828" s="252" t="s">
        <v>5958</v>
      </c>
      <c r="Y828" s="765" t="s">
        <v>5959</v>
      </c>
      <c r="Z828" s="765"/>
      <c r="AA828" s="765"/>
      <c r="AB828" s="765"/>
      <c r="AC828" s="253" t="s">
        <v>284</v>
      </c>
    </row>
    <row r="829" ht="15.75" hidden="1" customHeight="1">
      <c r="A829" s="764">
        <v>43440.0</v>
      </c>
      <c r="B829" s="597" t="s">
        <v>5951</v>
      </c>
      <c r="C829" s="765"/>
      <c r="D829" s="252" t="s">
        <v>5952</v>
      </c>
      <c r="E829" s="602" t="s">
        <v>5960</v>
      </c>
      <c r="F829" s="253">
        <v>1.0</v>
      </c>
      <c r="G829" s="254">
        <v>40.0</v>
      </c>
      <c r="H829" s="255">
        <f t="shared" si="47"/>
        <v>40</v>
      </c>
      <c r="I829" s="256" t="s">
        <v>3874</v>
      </c>
      <c r="J829" s="269" t="s">
        <v>5954</v>
      </c>
      <c r="K829" s="850">
        <v>43452.0</v>
      </c>
      <c r="L829" s="630"/>
      <c r="M829" s="388"/>
      <c r="N829" s="333"/>
      <c r="O829" s="310"/>
      <c r="P829" s="598"/>
      <c r="Q829" s="596"/>
      <c r="R829" s="310"/>
      <c r="S829" s="902"/>
      <c r="T829" s="765"/>
      <c r="U829" s="765"/>
      <c r="V829" s="765"/>
      <c r="W829" s="769"/>
      <c r="X829" s="252" t="s">
        <v>5958</v>
      </c>
      <c r="Y829" s="765" t="s">
        <v>5959</v>
      </c>
      <c r="Z829" s="765"/>
      <c r="AA829" s="765"/>
      <c r="AB829" s="765"/>
      <c r="AC829" s="253" t="s">
        <v>284</v>
      </c>
    </row>
    <row r="830" ht="15.75" hidden="1" customHeight="1">
      <c r="A830" s="764">
        <v>43441.0</v>
      </c>
      <c r="B830" s="265" t="s">
        <v>119</v>
      </c>
      <c r="C830" s="765" t="s">
        <v>322</v>
      </c>
      <c r="D830" s="252" t="s">
        <v>5961</v>
      </c>
      <c r="E830" s="252" t="s">
        <v>566</v>
      </c>
      <c r="F830" s="253">
        <v>60.0</v>
      </c>
      <c r="G830" s="325">
        <v>105.0</v>
      </c>
      <c r="H830" s="255">
        <f t="shared" si="47"/>
        <v>6300</v>
      </c>
      <c r="I830" s="256" t="s">
        <v>171</v>
      </c>
      <c r="J830" s="428" t="s">
        <v>122</v>
      </c>
      <c r="K830" s="258">
        <v>43461.0</v>
      </c>
      <c r="L830" s="258">
        <v>43454.0</v>
      </c>
      <c r="M830" s="388"/>
      <c r="N830" s="333" t="s">
        <v>90</v>
      </c>
      <c r="O830" s="310" t="s">
        <v>5962</v>
      </c>
      <c r="P830" s="268">
        <v>5166.0</v>
      </c>
      <c r="Q830" s="596"/>
      <c r="R830" s="340" t="s">
        <v>94</v>
      </c>
      <c r="S830" s="768">
        <v>43496.0</v>
      </c>
      <c r="T830" s="769">
        <v>43453.0</v>
      </c>
      <c r="U830" s="765" t="s">
        <v>5963</v>
      </c>
      <c r="V830" s="770">
        <v>651239.0</v>
      </c>
      <c r="W830" s="769">
        <v>43496.0</v>
      </c>
      <c r="X830" s="765" t="s">
        <v>5884</v>
      </c>
      <c r="Y830" s="252" t="s">
        <v>5885</v>
      </c>
      <c r="Z830" s="766"/>
      <c r="AA830" s="765"/>
      <c r="AB830" s="765"/>
      <c r="AC830" s="266" t="s">
        <v>284</v>
      </c>
    </row>
    <row r="831" ht="15.75" hidden="1" customHeight="1">
      <c r="A831" s="764">
        <v>43441.0</v>
      </c>
      <c r="B831" s="265" t="s">
        <v>119</v>
      </c>
      <c r="C831" s="765" t="s">
        <v>322</v>
      </c>
      <c r="D831" s="252" t="s">
        <v>5961</v>
      </c>
      <c r="E831" s="602" t="s">
        <v>415</v>
      </c>
      <c r="F831" s="253">
        <v>4.0</v>
      </c>
      <c r="G831" s="254">
        <v>335.0</v>
      </c>
      <c r="H831" s="255">
        <f t="shared" si="47"/>
        <v>1340</v>
      </c>
      <c r="I831" s="256" t="s">
        <v>171</v>
      </c>
      <c r="J831" s="428" t="s">
        <v>122</v>
      </c>
      <c r="K831" s="258">
        <v>43461.0</v>
      </c>
      <c r="L831" s="258">
        <v>43454.0</v>
      </c>
      <c r="M831" s="388"/>
      <c r="N831" s="333" t="s">
        <v>90</v>
      </c>
      <c r="O831" s="310" t="s">
        <v>5962</v>
      </c>
      <c r="P831" s="268">
        <v>1218.0</v>
      </c>
      <c r="Q831" s="596"/>
      <c r="R831" s="340" t="s">
        <v>94</v>
      </c>
      <c r="S831" s="768">
        <v>43496.0</v>
      </c>
      <c r="T831" s="769">
        <v>43453.0</v>
      </c>
      <c r="U831" s="765" t="s">
        <v>5963</v>
      </c>
      <c r="V831" s="765" t="s">
        <v>5964</v>
      </c>
      <c r="W831" s="769">
        <v>43496.0</v>
      </c>
      <c r="X831" s="765" t="s">
        <v>5884</v>
      </c>
      <c r="Y831" s="252" t="s">
        <v>5885</v>
      </c>
      <c r="Z831" s="766"/>
      <c r="AA831" s="765"/>
      <c r="AB831" s="765"/>
      <c r="AC831" s="266" t="s">
        <v>284</v>
      </c>
    </row>
    <row r="832" ht="15.75" hidden="1" customHeight="1">
      <c r="A832" s="764">
        <v>43441.0</v>
      </c>
      <c r="B832" s="265" t="s">
        <v>119</v>
      </c>
      <c r="C832" s="765" t="s">
        <v>322</v>
      </c>
      <c r="D832" s="252" t="s">
        <v>5961</v>
      </c>
      <c r="E832" s="252" t="s">
        <v>161</v>
      </c>
      <c r="F832" s="369">
        <v>10.0</v>
      </c>
      <c r="G832" s="254">
        <v>485.0</v>
      </c>
      <c r="H832" s="255">
        <f t="shared" si="47"/>
        <v>4850</v>
      </c>
      <c r="I832" s="256" t="s">
        <v>171</v>
      </c>
      <c r="J832" s="428" t="s">
        <v>122</v>
      </c>
      <c r="K832" s="258">
        <v>43461.0</v>
      </c>
      <c r="L832" s="258">
        <v>43454.0</v>
      </c>
      <c r="M832" s="388"/>
      <c r="N832" s="333" t="s">
        <v>90</v>
      </c>
      <c r="O832" s="310" t="s">
        <v>5962</v>
      </c>
      <c r="P832" s="268">
        <v>4200.0</v>
      </c>
      <c r="Q832" s="596"/>
      <c r="R832" s="340" t="s">
        <v>94</v>
      </c>
      <c r="S832" s="768">
        <v>43496.0</v>
      </c>
      <c r="T832" s="769">
        <v>43453.0</v>
      </c>
      <c r="U832" s="765" t="s">
        <v>5963</v>
      </c>
      <c r="V832" s="765" t="s">
        <v>5964</v>
      </c>
      <c r="W832" s="769">
        <v>43496.0</v>
      </c>
      <c r="X832" s="765" t="s">
        <v>5884</v>
      </c>
      <c r="Y832" s="252" t="s">
        <v>5885</v>
      </c>
      <c r="Z832" s="766"/>
      <c r="AA832" s="765"/>
      <c r="AB832" s="765"/>
      <c r="AC832" s="266" t="s">
        <v>284</v>
      </c>
    </row>
    <row r="833" ht="15.75" hidden="1" customHeight="1">
      <c r="A833" s="764">
        <v>43441.0</v>
      </c>
      <c r="B833" s="265" t="s">
        <v>119</v>
      </c>
      <c r="C833" s="765" t="s">
        <v>322</v>
      </c>
      <c r="D833" s="252" t="s">
        <v>5961</v>
      </c>
      <c r="E833" s="252" t="s">
        <v>162</v>
      </c>
      <c r="F833" s="369">
        <v>10.0</v>
      </c>
      <c r="G833" s="267">
        <v>738.0</v>
      </c>
      <c r="H833" s="255">
        <f t="shared" si="47"/>
        <v>7380</v>
      </c>
      <c r="I833" s="256" t="s">
        <v>171</v>
      </c>
      <c r="J833" s="428" t="s">
        <v>122</v>
      </c>
      <c r="K833" s="258">
        <v>43461.0</v>
      </c>
      <c r="L833" s="258">
        <v>43454.0</v>
      </c>
      <c r="M833" s="388"/>
      <c r="N833" s="333" t="s">
        <v>90</v>
      </c>
      <c r="O833" s="310" t="s">
        <v>5962</v>
      </c>
      <c r="P833" s="268">
        <v>6699.0</v>
      </c>
      <c r="Q833" s="596"/>
      <c r="R833" s="340" t="s">
        <v>94</v>
      </c>
      <c r="S833" s="768">
        <v>43496.0</v>
      </c>
      <c r="T833" s="769">
        <v>43453.0</v>
      </c>
      <c r="U833" s="765" t="s">
        <v>5963</v>
      </c>
      <c r="V833" s="765" t="s">
        <v>5964</v>
      </c>
      <c r="W833" s="769">
        <v>43496.0</v>
      </c>
      <c r="X833" s="765" t="s">
        <v>5884</v>
      </c>
      <c r="Y833" s="252" t="s">
        <v>5885</v>
      </c>
      <c r="Z833" s="766"/>
      <c r="AA833" s="765"/>
      <c r="AB833" s="765"/>
      <c r="AC833" s="266" t="s">
        <v>284</v>
      </c>
    </row>
    <row r="834" ht="15.75" hidden="1" customHeight="1">
      <c r="A834" s="764">
        <v>43441.0</v>
      </c>
      <c r="B834" s="265" t="s">
        <v>119</v>
      </c>
      <c r="C834" s="765" t="s">
        <v>322</v>
      </c>
      <c r="D834" s="252" t="s">
        <v>5961</v>
      </c>
      <c r="E834" s="252" t="s">
        <v>538</v>
      </c>
      <c r="F834" s="253">
        <v>20.0</v>
      </c>
      <c r="G834" s="254">
        <v>44.0</v>
      </c>
      <c r="H834" s="255">
        <f t="shared" si="47"/>
        <v>880</v>
      </c>
      <c r="I834" s="256" t="s">
        <v>171</v>
      </c>
      <c r="J834" s="428" t="s">
        <v>122</v>
      </c>
      <c r="K834" s="258">
        <v>43461.0</v>
      </c>
      <c r="L834" s="258">
        <v>43454.0</v>
      </c>
      <c r="M834" s="388"/>
      <c r="N834" s="333" t="s">
        <v>90</v>
      </c>
      <c r="O834" s="310" t="s">
        <v>5962</v>
      </c>
      <c r="P834" s="268">
        <v>756.0</v>
      </c>
      <c r="Q834" s="596"/>
      <c r="R834" s="340" t="s">
        <v>94</v>
      </c>
      <c r="S834" s="768">
        <v>43496.0</v>
      </c>
      <c r="T834" s="769">
        <v>43453.0</v>
      </c>
      <c r="U834" s="765" t="s">
        <v>5963</v>
      </c>
      <c r="V834" s="765" t="s">
        <v>5964</v>
      </c>
      <c r="W834" s="769">
        <v>43496.0</v>
      </c>
      <c r="X834" s="765" t="s">
        <v>5884</v>
      </c>
      <c r="Y834" s="252" t="s">
        <v>5885</v>
      </c>
      <c r="Z834" s="766"/>
      <c r="AA834" s="765"/>
      <c r="AB834" s="765"/>
      <c r="AC834" s="266" t="s">
        <v>284</v>
      </c>
    </row>
    <row r="835" ht="15.75" hidden="1" customHeight="1">
      <c r="A835" s="764">
        <v>43441.0</v>
      </c>
      <c r="B835" s="265" t="s">
        <v>119</v>
      </c>
      <c r="C835" s="765" t="s">
        <v>322</v>
      </c>
      <c r="D835" s="252" t="s">
        <v>5961</v>
      </c>
      <c r="E835" s="252" t="s">
        <v>166</v>
      </c>
      <c r="F835" s="253">
        <v>4.0</v>
      </c>
      <c r="G835" s="254">
        <v>880.0</v>
      </c>
      <c r="H835" s="255">
        <f t="shared" si="47"/>
        <v>3520</v>
      </c>
      <c r="I835" s="256" t="s">
        <v>171</v>
      </c>
      <c r="J835" s="428" t="s">
        <v>122</v>
      </c>
      <c r="K835" s="258">
        <v>43461.0</v>
      </c>
      <c r="L835" s="258">
        <v>43454.0</v>
      </c>
      <c r="M835" s="388"/>
      <c r="N835" s="333" t="s">
        <v>90</v>
      </c>
      <c r="O835" s="310" t="s">
        <v>5962</v>
      </c>
      <c r="P835" s="268">
        <v>3139.5</v>
      </c>
      <c r="Q835" s="596"/>
      <c r="R835" s="340" t="s">
        <v>94</v>
      </c>
      <c r="S835" s="768">
        <v>43496.0</v>
      </c>
      <c r="T835" s="769">
        <v>43453.0</v>
      </c>
      <c r="U835" s="765" t="s">
        <v>5963</v>
      </c>
      <c r="V835" s="765" t="s">
        <v>5964</v>
      </c>
      <c r="W835" s="769">
        <v>43496.0</v>
      </c>
      <c r="X835" s="765" t="s">
        <v>5884</v>
      </c>
      <c r="Y835" s="252" t="s">
        <v>5885</v>
      </c>
      <c r="Z835" s="766"/>
      <c r="AA835" s="765"/>
      <c r="AB835" s="765"/>
      <c r="AC835" s="266" t="s">
        <v>284</v>
      </c>
    </row>
    <row r="836" ht="15.75" hidden="1" customHeight="1">
      <c r="A836" s="764">
        <v>43444.0</v>
      </c>
      <c r="B836" s="265" t="s">
        <v>3506</v>
      </c>
      <c r="C836" s="765"/>
      <c r="D836" s="422" t="s">
        <v>5965</v>
      </c>
      <c r="E836" s="602" t="s">
        <v>3525</v>
      </c>
      <c r="F836" s="253">
        <v>10.0</v>
      </c>
      <c r="G836" s="254">
        <v>163.0</v>
      </c>
      <c r="H836" s="268">
        <f t="shared" si="47"/>
        <v>1630</v>
      </c>
      <c r="I836" s="256" t="s">
        <v>171</v>
      </c>
      <c r="J836" s="269" t="s">
        <v>3509</v>
      </c>
      <c r="K836" s="258">
        <v>43451.0</v>
      </c>
      <c r="L836" s="337">
        <v>43448.0</v>
      </c>
      <c r="M836" s="388"/>
      <c r="N836" s="333" t="s">
        <v>3510</v>
      </c>
      <c r="O836" s="310" t="s">
        <v>5966</v>
      </c>
      <c r="P836" s="268">
        <v>1659.0</v>
      </c>
      <c r="Q836" s="596"/>
      <c r="R836" s="578" t="s">
        <v>3512</v>
      </c>
      <c r="S836" s="902"/>
      <c r="T836" s="928">
        <v>43451.0</v>
      </c>
      <c r="U836" s="252" t="s">
        <v>5967</v>
      </c>
      <c r="V836" s="774">
        <v>51015.0</v>
      </c>
      <c r="W836" s="769">
        <v>43445.0</v>
      </c>
      <c r="X836" s="252" t="s">
        <v>5869</v>
      </c>
      <c r="Y836" s="766"/>
      <c r="Z836" s="766"/>
      <c r="AA836" s="765"/>
      <c r="AB836" s="765"/>
      <c r="AC836" s="253" t="s">
        <v>284</v>
      </c>
    </row>
    <row r="837" ht="15.75" customHeight="1">
      <c r="A837" s="204"/>
      <c r="B837" s="70"/>
      <c r="C837" s="148" t="s">
        <v>0</v>
      </c>
      <c r="D837" s="933" t="s">
        <v>0</v>
      </c>
      <c r="E837" s="934"/>
      <c r="F837" s="24"/>
      <c r="G837" s="25"/>
      <c r="H837" s="935"/>
      <c r="I837" s="61"/>
      <c r="J837" s="450"/>
      <c r="K837" s="44"/>
      <c r="L837" s="44"/>
      <c r="M837" s="66"/>
      <c r="N837" s="31"/>
      <c r="O837" s="22"/>
      <c r="P837" s="611"/>
      <c r="Q837" s="85"/>
      <c r="R837" s="22"/>
      <c r="S837" s="936"/>
      <c r="T837" s="937"/>
      <c r="U837" s="937"/>
      <c r="V837" s="937"/>
      <c r="W837" s="938"/>
      <c r="X837" s="937"/>
      <c r="Y837" s="937"/>
      <c r="Z837" s="937"/>
      <c r="AA837" s="148"/>
      <c r="AB837" s="148"/>
      <c r="AC837" s="54"/>
    </row>
    <row r="838" ht="15.75" customHeight="1">
      <c r="A838" s="204"/>
      <c r="B838" s="70"/>
      <c r="C838" s="148"/>
      <c r="D838" s="933"/>
      <c r="E838" s="934"/>
      <c r="F838" s="24"/>
      <c r="G838" s="25"/>
      <c r="H838" s="935"/>
      <c r="I838" s="61"/>
      <c r="J838" s="450"/>
      <c r="K838" s="44"/>
      <c r="L838" s="44"/>
      <c r="M838" s="66"/>
      <c r="N838" s="31"/>
      <c r="O838" s="22"/>
      <c r="P838" s="611"/>
      <c r="Q838" s="85"/>
      <c r="R838" s="22"/>
      <c r="S838" s="936"/>
      <c r="T838" s="937"/>
      <c r="U838" s="937"/>
      <c r="V838" s="937"/>
      <c r="W838" s="938"/>
      <c r="X838" s="937"/>
      <c r="Y838" s="937"/>
      <c r="Z838" s="937"/>
      <c r="AA838" s="148"/>
      <c r="AB838" s="148"/>
      <c r="AC838" s="54"/>
    </row>
    <row r="839" ht="15.75" customHeight="1">
      <c r="A839" s="204"/>
      <c r="B839" s="70"/>
      <c r="C839" s="148"/>
      <c r="D839" s="933"/>
      <c r="E839" s="934"/>
      <c r="F839" s="24"/>
      <c r="G839" s="25"/>
      <c r="H839" s="935"/>
      <c r="I839" s="61"/>
      <c r="J839" s="450"/>
      <c r="K839" s="44"/>
      <c r="L839" s="44"/>
      <c r="M839" s="66"/>
      <c r="N839" s="31"/>
      <c r="O839" s="22"/>
      <c r="P839" s="611"/>
      <c r="Q839" s="85"/>
      <c r="R839" s="22"/>
      <c r="S839" s="936"/>
      <c r="T839" s="937"/>
      <c r="U839" s="937"/>
      <c r="V839" s="937"/>
      <c r="W839" s="938"/>
      <c r="X839" s="937"/>
      <c r="Y839" s="937"/>
      <c r="Z839" s="937"/>
      <c r="AA839" s="148"/>
      <c r="AB839" s="148"/>
      <c r="AC839" s="54"/>
    </row>
    <row r="840" ht="15.75" customHeight="1">
      <c r="A840" s="204"/>
      <c r="B840" s="70"/>
      <c r="C840" s="148"/>
      <c r="D840" s="933"/>
      <c r="E840" s="934"/>
      <c r="F840" s="24"/>
      <c r="G840" s="25"/>
      <c r="H840" s="935"/>
      <c r="I840" s="61"/>
      <c r="J840" s="450"/>
      <c r="K840" s="44"/>
      <c r="L840" s="44"/>
      <c r="M840" s="66"/>
      <c r="N840" s="31"/>
      <c r="O840" s="22"/>
      <c r="P840" s="611"/>
      <c r="Q840" s="85"/>
      <c r="R840" s="22"/>
      <c r="S840" s="936"/>
      <c r="T840" s="937"/>
      <c r="U840" s="937"/>
      <c r="V840" s="937"/>
      <c r="W840" s="938"/>
      <c r="X840" s="937"/>
      <c r="Y840" s="937"/>
      <c r="Z840" s="937"/>
      <c r="AA840" s="148"/>
      <c r="AB840" s="148"/>
      <c r="AC840" s="54"/>
    </row>
    <row r="841" ht="15.75" customHeight="1">
      <c r="A841" s="204"/>
      <c r="B841" s="70"/>
      <c r="C841" s="148"/>
      <c r="D841" s="933"/>
      <c r="E841" s="934"/>
      <c r="F841" s="24"/>
      <c r="G841" s="25"/>
      <c r="H841" s="935"/>
      <c r="I841" s="61"/>
      <c r="J841" s="450"/>
      <c r="K841" s="44"/>
      <c r="L841" s="44"/>
      <c r="M841" s="66"/>
      <c r="N841" s="31"/>
      <c r="O841" s="22"/>
      <c r="P841" s="611"/>
      <c r="Q841" s="85"/>
      <c r="R841" s="22"/>
      <c r="S841" s="936"/>
      <c r="T841" s="937"/>
      <c r="U841" s="937"/>
      <c r="V841" s="937"/>
      <c r="W841" s="938"/>
      <c r="X841" s="937"/>
      <c r="Y841" s="937"/>
      <c r="Z841" s="937"/>
      <c r="AA841" s="148"/>
      <c r="AB841" s="148"/>
      <c r="AC841" s="54"/>
    </row>
    <row r="842" ht="15.75" customHeight="1">
      <c r="A842" s="204"/>
      <c r="B842" s="70"/>
      <c r="C842" s="148"/>
      <c r="D842" s="933"/>
      <c r="E842" s="324"/>
      <c r="F842" s="24"/>
      <c r="G842" s="25"/>
      <c r="H842" s="935"/>
      <c r="I842" s="61"/>
      <c r="J842" s="450"/>
      <c r="L842" s="44"/>
      <c r="M842" s="66"/>
      <c r="N842" s="31"/>
      <c r="O842" s="22"/>
      <c r="P842" s="611"/>
      <c r="Q842" s="85"/>
      <c r="R842" s="22"/>
      <c r="S842" s="936"/>
      <c r="T842" s="937"/>
      <c r="U842" s="937"/>
      <c r="V842" s="937"/>
      <c r="W842" s="938"/>
      <c r="X842" s="937"/>
      <c r="Y842" s="937"/>
      <c r="Z842" s="937"/>
      <c r="AA842" s="148"/>
      <c r="AB842" s="148"/>
      <c r="AC842" s="54"/>
    </row>
    <row r="843" ht="15.75" customHeight="1">
      <c r="A843" s="204"/>
      <c r="B843" s="70"/>
      <c r="C843" s="148"/>
      <c r="D843" s="24"/>
      <c r="E843" s="324"/>
      <c r="F843" s="24"/>
      <c r="G843" s="25"/>
      <c r="H843" s="935"/>
      <c r="I843" s="61"/>
      <c r="J843" s="450"/>
      <c r="K843" s="44"/>
      <c r="L843" s="44"/>
      <c r="M843" s="66"/>
      <c r="N843" s="31"/>
      <c r="O843" s="22"/>
      <c r="P843" s="611"/>
      <c r="Q843" s="85"/>
      <c r="R843" s="22"/>
      <c r="S843" s="936"/>
      <c r="T843" s="937"/>
      <c r="U843" s="937"/>
      <c r="V843" s="937"/>
      <c r="W843" s="938"/>
      <c r="X843" s="937"/>
      <c r="Y843" s="937"/>
      <c r="Z843" s="937"/>
      <c r="AA843" s="148"/>
      <c r="AB843" s="148"/>
      <c r="AC843" s="54"/>
    </row>
    <row r="844" ht="15.75" customHeight="1">
      <c r="A844" s="204"/>
      <c r="B844" s="70"/>
      <c r="C844" s="148"/>
      <c r="D844" s="933"/>
      <c r="F844" s="24"/>
      <c r="G844" s="25"/>
      <c r="H844" s="935"/>
      <c r="I844" s="61"/>
      <c r="J844" s="450"/>
      <c r="K844" s="44"/>
      <c r="L844" s="44"/>
      <c r="M844" s="66"/>
      <c r="N844" s="31"/>
      <c r="O844" s="22"/>
      <c r="P844" s="611"/>
      <c r="Q844" s="85"/>
      <c r="R844" s="22"/>
      <c r="S844" s="936"/>
      <c r="T844" s="937"/>
      <c r="U844" s="937"/>
      <c r="V844" s="937"/>
      <c r="W844" s="938"/>
      <c r="X844" s="937"/>
      <c r="Y844" s="937"/>
      <c r="Z844" s="937"/>
      <c r="AA844" s="148"/>
      <c r="AB844" s="148"/>
      <c r="AC844" s="54"/>
    </row>
    <row r="845" ht="15.75" customHeight="1">
      <c r="A845" s="204"/>
      <c r="B845" s="70"/>
      <c r="C845" s="148"/>
      <c r="D845" s="933"/>
      <c r="E845" s="246"/>
      <c r="F845" s="24"/>
      <c r="G845" s="48"/>
      <c r="H845" s="935"/>
      <c r="I845" s="61"/>
      <c r="J845" s="450"/>
      <c r="K845" s="44"/>
      <c r="L845" s="44"/>
      <c r="M845" s="66"/>
      <c r="N845" s="31"/>
      <c r="O845" s="22"/>
      <c r="P845" s="611"/>
      <c r="Q845" s="85"/>
      <c r="R845" s="22"/>
      <c r="S845" s="936"/>
      <c r="T845" s="937"/>
      <c r="U845" s="937"/>
      <c r="V845" s="937"/>
      <c r="W845" s="938"/>
      <c r="X845" s="937"/>
      <c r="Y845" s="937"/>
      <c r="Z845" s="937"/>
      <c r="AA845" s="148"/>
      <c r="AB845" s="148"/>
      <c r="AC845" s="54"/>
    </row>
    <row r="846" ht="15.75" customHeight="1">
      <c r="A846" s="204"/>
      <c r="B846" s="70"/>
      <c r="C846" s="148"/>
      <c r="D846" s="933"/>
      <c r="F846" s="24"/>
      <c r="G846" s="48"/>
      <c r="H846" s="935"/>
      <c r="I846" s="61"/>
      <c r="J846" s="450"/>
      <c r="K846" s="44"/>
      <c r="L846" s="44"/>
      <c r="M846" s="66"/>
      <c r="N846" s="31"/>
      <c r="O846" s="22"/>
      <c r="P846" s="611"/>
      <c r="Q846" s="85"/>
      <c r="R846" s="22"/>
      <c r="S846" s="936"/>
      <c r="T846" s="937"/>
      <c r="U846" s="937"/>
      <c r="V846" s="937"/>
      <c r="W846" s="938"/>
      <c r="X846" s="937"/>
      <c r="Y846" s="937"/>
      <c r="Z846" s="937"/>
      <c r="AA846" s="148"/>
      <c r="AB846" s="148"/>
      <c r="AC846" s="54"/>
    </row>
    <row r="847" ht="15.75" customHeight="1">
      <c r="A847" s="204"/>
      <c r="B847" s="70"/>
      <c r="C847" s="148"/>
      <c r="D847" s="933"/>
      <c r="E847" s="246"/>
      <c r="F847" s="24"/>
      <c r="G847" s="48"/>
      <c r="H847" s="935"/>
      <c r="I847" s="61"/>
      <c r="J847" s="450"/>
      <c r="K847" s="44"/>
      <c r="L847" s="44"/>
      <c r="M847" s="66"/>
      <c r="N847" s="31"/>
      <c r="O847" s="22"/>
      <c r="P847" s="611"/>
      <c r="Q847" s="85"/>
      <c r="R847" s="22"/>
      <c r="S847" s="936"/>
      <c r="T847" s="937"/>
      <c r="U847" s="937"/>
      <c r="V847" s="937"/>
      <c r="W847" s="938"/>
      <c r="X847" s="937"/>
      <c r="Y847" s="937"/>
      <c r="Z847" s="937"/>
      <c r="AA847" s="148"/>
      <c r="AB847" s="148"/>
      <c r="AC847" s="54"/>
    </row>
    <row r="848" ht="15.75" customHeight="1">
      <c r="A848" s="204"/>
      <c r="B848" s="70"/>
      <c r="C848" s="148"/>
      <c r="D848" s="933"/>
      <c r="E848" s="246"/>
      <c r="F848" s="24"/>
      <c r="G848" s="48"/>
      <c r="H848" s="935"/>
      <c r="I848" s="61"/>
      <c r="J848" s="349"/>
      <c r="K848" s="44"/>
      <c r="L848" s="44"/>
      <c r="M848" s="66"/>
      <c r="N848" s="31"/>
      <c r="O848" s="22"/>
      <c r="P848" s="611"/>
      <c r="Q848" s="85"/>
      <c r="R848" s="22"/>
      <c r="S848" s="936"/>
      <c r="T848" s="937"/>
      <c r="U848" s="937"/>
      <c r="V848" s="937"/>
      <c r="W848" s="938"/>
      <c r="X848" s="937"/>
      <c r="Y848" s="937"/>
      <c r="Z848" s="937"/>
      <c r="AA848" s="148"/>
      <c r="AB848" s="148"/>
      <c r="AC848" s="54"/>
    </row>
    <row r="849" ht="15.75" customHeight="1">
      <c r="A849" s="204"/>
      <c r="B849" s="70"/>
      <c r="C849" s="148"/>
      <c r="D849" s="933"/>
      <c r="E849" s="246"/>
      <c r="F849" s="54"/>
      <c r="G849" s="48"/>
      <c r="H849" s="935"/>
      <c r="I849" s="61"/>
      <c r="J849" s="349"/>
      <c r="K849" s="44"/>
      <c r="L849" s="44"/>
      <c r="M849" s="66"/>
      <c r="N849" s="31"/>
      <c r="O849" s="22"/>
      <c r="P849" s="611"/>
      <c r="Q849" s="85" t="s">
        <v>0</v>
      </c>
      <c r="R849" s="22"/>
      <c r="S849" s="936"/>
      <c r="T849" s="937"/>
      <c r="U849" s="937"/>
      <c r="V849" s="937"/>
      <c r="W849" s="938"/>
      <c r="X849" s="937"/>
      <c r="Y849" s="937"/>
      <c r="Z849" s="937"/>
      <c r="AA849" s="148"/>
      <c r="AB849" s="148"/>
      <c r="AC849" s="54"/>
    </row>
    <row r="850" ht="15.75" customHeight="1">
      <c r="A850" s="204"/>
      <c r="B850" s="70"/>
      <c r="C850" s="148"/>
      <c r="D850" s="933"/>
      <c r="E850" s="246"/>
      <c r="F850" s="54"/>
      <c r="G850" s="48"/>
      <c r="H850" s="935"/>
      <c r="I850" s="61"/>
      <c r="J850" s="349"/>
      <c r="K850" s="44"/>
      <c r="L850" s="44"/>
      <c r="M850" s="66"/>
      <c r="N850" s="31"/>
      <c r="O850" s="22"/>
      <c r="P850" s="611"/>
      <c r="Q850" s="85"/>
      <c r="R850" s="22"/>
      <c r="S850" s="936"/>
      <c r="T850" s="937"/>
      <c r="U850" s="937"/>
      <c r="V850" s="937"/>
      <c r="W850" s="938"/>
      <c r="X850" s="148"/>
      <c r="Y850" s="937"/>
      <c r="Z850" s="937"/>
      <c r="AA850" s="148"/>
      <c r="AB850" s="148"/>
      <c r="AC850" s="54"/>
    </row>
    <row r="851" ht="15.75" customHeight="1">
      <c r="A851" s="204"/>
      <c r="B851" s="70"/>
      <c r="C851" s="148"/>
      <c r="D851" s="933"/>
      <c r="E851" s="246"/>
      <c r="F851" s="54"/>
      <c r="G851" s="48"/>
      <c r="H851" s="935"/>
      <c r="I851" s="61"/>
      <c r="J851" s="349"/>
      <c r="K851" s="44"/>
      <c r="L851" s="44"/>
      <c r="M851" s="66"/>
      <c r="N851" s="31"/>
      <c r="O851" s="22"/>
      <c r="P851" s="611"/>
      <c r="Q851" s="85"/>
      <c r="R851" s="22"/>
      <c r="S851" s="936"/>
      <c r="T851" s="937"/>
      <c r="U851" s="937"/>
      <c r="V851" s="937"/>
      <c r="W851" s="938"/>
      <c r="X851" s="937"/>
      <c r="Y851" s="937"/>
      <c r="Z851" s="937"/>
      <c r="AA851" s="148"/>
      <c r="AB851" s="148"/>
      <c r="AC851" s="54"/>
    </row>
    <row r="852" ht="15.75" customHeight="1">
      <c r="A852" s="204"/>
      <c r="B852" s="70"/>
      <c r="C852" s="148"/>
      <c r="D852" s="933"/>
      <c r="E852" s="246"/>
      <c r="F852" s="54"/>
      <c r="G852" s="48"/>
      <c r="H852" s="935"/>
      <c r="I852" s="61"/>
      <c r="J852" s="349"/>
      <c r="K852" s="44"/>
      <c r="L852" s="44"/>
      <c r="M852" s="66"/>
      <c r="N852" s="31"/>
      <c r="O852" s="22"/>
      <c r="P852" s="611"/>
      <c r="Q852" s="85"/>
      <c r="R852" s="22"/>
      <c r="S852" s="936"/>
      <c r="T852" s="937"/>
      <c r="U852" s="937"/>
      <c r="V852" s="937"/>
      <c r="W852" s="938"/>
      <c r="X852" s="937"/>
      <c r="Y852" s="937"/>
      <c r="Z852" s="937"/>
      <c r="AA852" s="148"/>
      <c r="AB852" s="148"/>
      <c r="AC852" s="54"/>
    </row>
    <row r="853" ht="15.75" customHeight="1">
      <c r="A853" s="204"/>
      <c r="B853" s="70"/>
      <c r="C853" s="148"/>
      <c r="D853" s="933"/>
      <c r="E853" s="246"/>
      <c r="F853" s="54"/>
      <c r="G853" s="48"/>
      <c r="H853" s="935"/>
      <c r="I853" s="61"/>
      <c r="J853" s="349"/>
      <c r="K853" s="44"/>
      <c r="L853" s="44"/>
      <c r="M853" s="66"/>
      <c r="N853" s="31"/>
      <c r="O853" s="22"/>
      <c r="P853" s="611"/>
      <c r="Q853" s="85"/>
      <c r="R853" s="22"/>
      <c r="S853" s="936"/>
      <c r="T853" s="937"/>
      <c r="U853" s="937"/>
      <c r="V853" s="937"/>
      <c r="W853" s="938"/>
      <c r="X853" s="937"/>
      <c r="Y853" s="937"/>
      <c r="Z853" s="937"/>
      <c r="AA853" s="148"/>
      <c r="AB853" s="148"/>
      <c r="AC853" s="54"/>
    </row>
    <row r="854" ht="15.75" customHeight="1">
      <c r="A854" s="204"/>
      <c r="B854" s="70"/>
      <c r="C854" s="148"/>
      <c r="D854" s="933"/>
      <c r="E854" s="246"/>
      <c r="F854" s="54"/>
      <c r="G854" s="48"/>
      <c r="H854" s="935"/>
      <c r="I854" s="61"/>
      <c r="J854" s="349"/>
      <c r="K854" s="44"/>
      <c r="L854" s="44"/>
      <c r="M854" s="66"/>
      <c r="N854" s="31"/>
      <c r="O854" s="22"/>
      <c r="P854" s="611"/>
      <c r="Q854" s="85"/>
      <c r="R854" s="22"/>
      <c r="S854" s="936"/>
      <c r="T854" s="937"/>
      <c r="U854" s="937"/>
      <c r="V854" s="937"/>
      <c r="W854" s="938"/>
      <c r="X854" s="937"/>
      <c r="Y854" s="937"/>
      <c r="Z854" s="937"/>
      <c r="AA854" s="148"/>
      <c r="AB854" s="148"/>
      <c r="AC854" s="54"/>
    </row>
    <row r="855" ht="15.75" customHeight="1">
      <c r="A855" s="939"/>
      <c r="B855" s="240"/>
      <c r="C855" s="241"/>
      <c r="D855" s="940"/>
      <c r="E855" s="329"/>
      <c r="F855" s="57"/>
      <c r="G855" s="515"/>
      <c r="H855" s="941">
        <f>SUM(H2:H854)</f>
        <v>1493881.45</v>
      </c>
      <c r="I855" s="942"/>
      <c r="J855" s="943"/>
      <c r="K855" s="944"/>
      <c r="L855" s="944"/>
      <c r="M855" s="91"/>
      <c r="N855" s="608"/>
      <c r="O855" s="708"/>
      <c r="P855" s="945"/>
      <c r="Q855" s="946"/>
      <c r="R855" s="708"/>
      <c r="S855" s="91"/>
      <c r="T855" s="947"/>
      <c r="U855" s="947"/>
      <c r="V855" s="947"/>
      <c r="W855" s="948"/>
      <c r="X855" s="947"/>
      <c r="Y855" s="241"/>
      <c r="Z855" s="241"/>
      <c r="AA855" s="241"/>
      <c r="AB855" s="241"/>
      <c r="AC855" s="57"/>
    </row>
    <row r="856" ht="15.75" customHeight="1">
      <c r="A856" s="939"/>
      <c r="B856" s="240"/>
      <c r="C856" s="241"/>
      <c r="D856" s="940"/>
      <c r="E856" s="329"/>
      <c r="F856" s="57"/>
      <c r="G856" s="515"/>
      <c r="H856" s="949"/>
      <c r="I856" s="942"/>
      <c r="J856" s="943"/>
      <c r="K856" s="944"/>
      <c r="L856" s="944"/>
      <c r="M856" s="91"/>
      <c r="N856" s="608"/>
      <c r="O856" s="708"/>
      <c r="P856" s="945"/>
      <c r="Q856" s="946"/>
      <c r="R856" s="708"/>
      <c r="S856" s="91"/>
      <c r="T856" s="947"/>
      <c r="U856" s="947"/>
      <c r="V856" s="947"/>
      <c r="W856" s="948"/>
      <c r="X856" s="947"/>
      <c r="Y856" s="241"/>
      <c r="Z856" s="241"/>
      <c r="AA856" s="241"/>
      <c r="AB856" s="241"/>
      <c r="AC856" s="57"/>
    </row>
    <row r="857" ht="15.75" customHeight="1">
      <c r="A857" s="57"/>
      <c r="B857" s="240" t="s">
        <v>264</v>
      </c>
      <c r="C857" s="241" t="s">
        <v>265</v>
      </c>
      <c r="D857" s="91"/>
      <c r="E857" s="950" t="s">
        <v>5968</v>
      </c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46"/>
      <c r="R857" s="91"/>
      <c r="S857" s="91"/>
      <c r="T857" s="91"/>
      <c r="U857" s="91"/>
      <c r="V857" s="91"/>
      <c r="W857" s="951"/>
      <c r="X857" s="91"/>
      <c r="Y857" s="91"/>
      <c r="Z857" s="91"/>
      <c r="AA857" s="91"/>
      <c r="AB857" s="91"/>
      <c r="AC857" s="57"/>
    </row>
    <row r="858" ht="15.75" customHeight="1">
      <c r="A858" s="54" t="s">
        <v>267</v>
      </c>
      <c r="B858" s="21">
        <v>29.5</v>
      </c>
      <c r="C858" s="148">
        <v>29.0</v>
      </c>
      <c r="D858" s="91"/>
      <c r="E858" s="708" t="s">
        <v>5969</v>
      </c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46"/>
      <c r="R858" s="91"/>
      <c r="S858" s="91"/>
      <c r="T858" s="91"/>
      <c r="U858" s="91"/>
      <c r="V858" s="91"/>
      <c r="W858" s="951"/>
      <c r="X858" s="91"/>
      <c r="Y858" s="91"/>
      <c r="Z858" s="91"/>
      <c r="AA858" s="91"/>
      <c r="AB858" s="91"/>
      <c r="AC858" s="57"/>
    </row>
    <row r="859" ht="15.75" customHeight="1">
      <c r="A859" s="54" t="s">
        <v>268</v>
      </c>
      <c r="B859" s="21">
        <v>29.0</v>
      </c>
      <c r="C859" s="148">
        <v>29.315</v>
      </c>
      <c r="D859" s="91"/>
      <c r="E859" s="708" t="s">
        <v>5970</v>
      </c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46"/>
      <c r="R859" s="91"/>
      <c r="S859" s="91"/>
      <c r="T859" s="91"/>
      <c r="U859" s="91"/>
      <c r="V859" s="91"/>
      <c r="W859" s="951"/>
      <c r="X859" s="91"/>
      <c r="Y859" s="91"/>
      <c r="Z859" s="91"/>
      <c r="AA859" s="91"/>
      <c r="AB859" s="91"/>
      <c r="AC859" s="57"/>
    </row>
    <row r="860" ht="15.75" customHeight="1">
      <c r="A860" s="54" t="s">
        <v>269</v>
      </c>
      <c r="B860" s="21">
        <v>29.195</v>
      </c>
      <c r="C860" s="148">
        <v>29.185</v>
      </c>
      <c r="D860" s="91"/>
      <c r="E860" s="708" t="s">
        <v>5971</v>
      </c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46"/>
      <c r="R860" s="91"/>
      <c r="S860" s="91"/>
      <c r="T860" s="91"/>
      <c r="U860" s="91"/>
      <c r="V860" s="91"/>
      <c r="W860" s="951"/>
      <c r="X860" s="91"/>
      <c r="Y860" s="91"/>
      <c r="Z860" s="91"/>
      <c r="AA860" s="91"/>
      <c r="AB860" s="91"/>
      <c r="AC860" s="57"/>
    </row>
    <row r="861" ht="15.75" customHeight="1">
      <c r="A861" s="54" t="s">
        <v>270</v>
      </c>
      <c r="B861" s="32">
        <v>29.105</v>
      </c>
      <c r="C861" s="246">
        <v>29.41</v>
      </c>
      <c r="D861" s="91"/>
      <c r="E861" s="708" t="s">
        <v>5972</v>
      </c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46"/>
      <c r="R861" s="91"/>
      <c r="S861" s="91"/>
      <c r="T861" s="91"/>
      <c r="U861" s="91"/>
      <c r="V861" s="91"/>
      <c r="W861" s="951"/>
      <c r="X861" s="91"/>
      <c r="Y861" s="91"/>
      <c r="Z861" s="91"/>
      <c r="AA861" s="91"/>
      <c r="AB861" s="91"/>
      <c r="AC861" s="57"/>
    </row>
    <row r="862" ht="15.75" customHeight="1">
      <c r="A862" s="54" t="s">
        <v>271</v>
      </c>
      <c r="B862" s="32">
        <v>29.605</v>
      </c>
      <c r="C862" s="148">
        <v>29.875</v>
      </c>
      <c r="D862" s="91"/>
      <c r="E862" s="952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46"/>
      <c r="R862" s="91"/>
      <c r="S862" s="91"/>
      <c r="T862" s="91"/>
      <c r="U862" s="91"/>
      <c r="V862" s="91"/>
      <c r="W862" s="951"/>
      <c r="X862" s="91"/>
      <c r="Y862" s="91"/>
      <c r="Z862" s="91"/>
      <c r="AA862" s="91"/>
      <c r="AB862" s="91"/>
      <c r="AC862" s="57"/>
    </row>
    <row r="863" ht="15.75" customHeight="1">
      <c r="A863" s="54" t="s">
        <v>272</v>
      </c>
      <c r="B863" s="32">
        <v>29.84</v>
      </c>
      <c r="C863" s="148">
        <v>30.18</v>
      </c>
      <c r="D863" s="91"/>
      <c r="E863" s="952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46"/>
      <c r="R863" s="91"/>
      <c r="S863" s="91"/>
      <c r="T863" s="91"/>
      <c r="U863" s="91"/>
      <c r="V863" s="91"/>
      <c r="W863" s="951"/>
      <c r="X863" s="91"/>
      <c r="Y863" s="91"/>
      <c r="Z863" s="91"/>
      <c r="AA863" s="91"/>
      <c r="AB863" s="91"/>
      <c r="AC863" s="57"/>
    </row>
    <row r="864" ht="15.75" customHeight="1">
      <c r="A864" s="54" t="s">
        <v>273</v>
      </c>
      <c r="B864" s="32">
        <v>30.51</v>
      </c>
      <c r="C864" s="148">
        <v>30.57</v>
      </c>
      <c r="D864" s="91"/>
      <c r="E864" s="952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46"/>
      <c r="R864" s="91"/>
      <c r="S864" s="91"/>
      <c r="T864" s="91"/>
      <c r="U864" s="91"/>
      <c r="V864" s="91"/>
      <c r="W864" s="951"/>
      <c r="X864" s="91"/>
      <c r="Y864" s="91"/>
      <c r="Z864" s="91"/>
      <c r="AA864" s="91"/>
      <c r="AB864" s="91"/>
      <c r="AC864" s="57"/>
    </row>
    <row r="865" ht="15.75" customHeight="1">
      <c r="A865" s="54" t="s">
        <v>274</v>
      </c>
      <c r="B865" s="32">
        <v>30.6</v>
      </c>
      <c r="C865" s="148">
        <v>30.85</v>
      </c>
      <c r="D865" s="91"/>
      <c r="E865" s="952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46"/>
      <c r="R865" s="91"/>
      <c r="S865" s="91"/>
      <c r="T865" s="91"/>
      <c r="U865" s="91"/>
      <c r="V865" s="91"/>
      <c r="W865" s="951"/>
      <c r="X865" s="91"/>
      <c r="Y865" s="91"/>
      <c r="Z865" s="91"/>
      <c r="AA865" s="91"/>
      <c r="AB865" s="91"/>
      <c r="AC865" s="57"/>
    </row>
    <row r="866" ht="15.75" customHeight="1">
      <c r="A866" s="54" t="s">
        <v>275</v>
      </c>
      <c r="B866" s="32">
        <v>30.7</v>
      </c>
      <c r="C866" s="953">
        <v>30.8</v>
      </c>
      <c r="D866" s="91"/>
      <c r="E866" s="952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46"/>
      <c r="R866" s="91"/>
      <c r="S866" s="91"/>
      <c r="T866" s="91"/>
      <c r="U866" s="91"/>
      <c r="V866" s="91"/>
      <c r="W866" s="951"/>
      <c r="X866" s="91"/>
      <c r="Y866" s="91"/>
      <c r="Z866" s="91"/>
      <c r="AA866" s="91"/>
      <c r="AB866" s="91"/>
      <c r="AC866" s="57"/>
    </row>
    <row r="867" ht="15.75" customHeight="1">
      <c r="A867" s="54" t="s">
        <v>276</v>
      </c>
      <c r="B867" s="32">
        <v>30.53</v>
      </c>
      <c r="C867" s="148">
        <v>30.92</v>
      </c>
      <c r="D867" s="91"/>
      <c r="E867" s="952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46"/>
      <c r="R867" s="91"/>
      <c r="S867" s="91"/>
      <c r="T867" s="91"/>
      <c r="U867" s="91"/>
      <c r="V867" s="91"/>
      <c r="W867" s="951"/>
      <c r="X867" s="91"/>
      <c r="Y867" s="91"/>
      <c r="Z867" s="91"/>
      <c r="AA867" s="91"/>
      <c r="AB867" s="91"/>
      <c r="AC867" s="57"/>
    </row>
    <row r="868" ht="15.75" customHeight="1">
      <c r="A868" s="54" t="s">
        <v>277</v>
      </c>
      <c r="B868" s="32">
        <v>30.915</v>
      </c>
      <c r="C868" s="246">
        <v>30.84</v>
      </c>
      <c r="D868" s="91"/>
      <c r="E868" s="952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46"/>
      <c r="R868" s="91"/>
      <c r="S868" s="91"/>
      <c r="T868" s="91"/>
      <c r="U868" s="91"/>
      <c r="V868" s="91"/>
      <c r="W868" s="951"/>
      <c r="X868" s="91"/>
      <c r="Y868" s="91"/>
      <c r="Z868" s="91"/>
      <c r="AA868" s="91"/>
      <c r="AB868" s="91"/>
      <c r="AC868" s="57"/>
    </row>
    <row r="869" ht="15.75" customHeight="1">
      <c r="A869" s="54" t="s">
        <v>278</v>
      </c>
      <c r="B869" s="32">
        <v>30.73</v>
      </c>
      <c r="C869" s="148">
        <v>30.855</v>
      </c>
      <c r="D869" s="91"/>
      <c r="E869" s="952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51"/>
      <c r="X869" s="91"/>
      <c r="Y869" s="91"/>
      <c r="Z869" s="91"/>
      <c r="AA869" s="91"/>
      <c r="AB869" s="91"/>
      <c r="AC869" s="57"/>
    </row>
    <row r="870" ht="15.75" customHeight="1">
      <c r="A870" s="91"/>
      <c r="B870" s="236"/>
      <c r="C870" s="91"/>
      <c r="D870" s="91"/>
      <c r="E870" s="952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51"/>
      <c r="X870" s="91"/>
      <c r="Y870" s="91"/>
      <c r="Z870" s="91"/>
      <c r="AA870" s="91"/>
      <c r="AB870" s="91"/>
      <c r="AC870" s="57"/>
    </row>
    <row r="871" ht="15.75" customHeight="1">
      <c r="A871" s="91"/>
      <c r="B871" s="236"/>
      <c r="C871" s="91"/>
      <c r="D871" s="91"/>
      <c r="E871" s="952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51"/>
      <c r="X871" s="91"/>
      <c r="Y871" s="91"/>
      <c r="Z871" s="91"/>
      <c r="AA871" s="91"/>
      <c r="AB871" s="91"/>
      <c r="AC871" s="57"/>
    </row>
    <row r="872" ht="15.75" customHeight="1">
      <c r="A872" s="91"/>
      <c r="B872" s="236"/>
      <c r="C872" s="91"/>
      <c r="D872" s="91"/>
      <c r="E872" s="952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51"/>
      <c r="X872" s="91"/>
      <c r="Y872" s="91"/>
      <c r="Z872" s="91"/>
      <c r="AA872" s="91"/>
      <c r="AB872" s="91"/>
      <c r="AC872" s="57"/>
    </row>
    <row r="873" ht="15.75" customHeight="1">
      <c r="A873" s="91"/>
      <c r="B873" s="236"/>
      <c r="C873" s="91"/>
      <c r="D873" s="91"/>
      <c r="E873" s="952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51"/>
      <c r="X873" s="91"/>
      <c r="Y873" s="91"/>
      <c r="Z873" s="91"/>
      <c r="AA873" s="91"/>
      <c r="AB873" s="91"/>
      <c r="AC873" s="57"/>
    </row>
    <row r="874" ht="15.75" customHeight="1">
      <c r="A874" s="91"/>
      <c r="B874" s="236"/>
      <c r="C874" s="91"/>
      <c r="D874" s="91"/>
      <c r="E874" s="952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51"/>
      <c r="X874" s="91"/>
      <c r="Y874" s="91"/>
      <c r="Z874" s="91"/>
      <c r="AA874" s="91"/>
      <c r="AB874" s="91"/>
      <c r="AC874" s="57"/>
    </row>
    <row r="875" ht="15.75" customHeight="1">
      <c r="A875" s="91"/>
      <c r="B875" s="236"/>
      <c r="C875" s="91"/>
      <c r="D875" s="91"/>
      <c r="E875" s="952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51"/>
      <c r="X875" s="91"/>
      <c r="Y875" s="91"/>
      <c r="Z875" s="91"/>
      <c r="AA875" s="91"/>
      <c r="AB875" s="91"/>
      <c r="AC875" s="57"/>
    </row>
    <row r="876" ht="15.75" customHeight="1">
      <c r="A876" s="91"/>
      <c r="B876" s="236"/>
      <c r="C876" s="91"/>
      <c r="D876" s="91"/>
      <c r="E876" s="952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51"/>
      <c r="X876" s="91"/>
      <c r="Y876" s="91"/>
      <c r="Z876" s="91"/>
      <c r="AA876" s="91"/>
      <c r="AB876" s="91"/>
      <c r="AC876" s="57"/>
    </row>
    <row r="877" ht="15.75" customHeight="1">
      <c r="A877" s="91"/>
      <c r="B877" s="236"/>
      <c r="C877" s="91"/>
      <c r="D877" s="91"/>
      <c r="E877" s="952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51"/>
      <c r="X877" s="91"/>
      <c r="Y877" s="91"/>
      <c r="Z877" s="91"/>
      <c r="AA877" s="91"/>
      <c r="AB877" s="91"/>
      <c r="AC877" s="57"/>
    </row>
    <row r="878" ht="15.75" customHeight="1">
      <c r="A878" s="91"/>
      <c r="B878" s="236"/>
      <c r="C878" s="91"/>
      <c r="D878" s="91"/>
      <c r="E878" s="952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51"/>
      <c r="X878" s="91"/>
      <c r="Y878" s="91"/>
      <c r="Z878" s="91"/>
      <c r="AA878" s="91"/>
      <c r="AB878" s="91"/>
      <c r="AC878" s="57"/>
    </row>
    <row r="879" ht="15.75" customHeight="1">
      <c r="A879" s="91"/>
      <c r="B879" s="236"/>
      <c r="C879" s="91"/>
      <c r="D879" s="91"/>
      <c r="E879" s="952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51"/>
      <c r="X879" s="91"/>
      <c r="Y879" s="91"/>
      <c r="Z879" s="91"/>
      <c r="AA879" s="91"/>
      <c r="AB879" s="91"/>
      <c r="AC879" s="57"/>
    </row>
    <row r="880" ht="15.75" customHeight="1">
      <c r="A880" s="91"/>
      <c r="B880" s="236"/>
      <c r="C880" s="91"/>
      <c r="D880" s="91"/>
      <c r="E880" s="952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51"/>
      <c r="X880" s="91"/>
      <c r="Y880" s="91"/>
      <c r="Z880" s="91"/>
      <c r="AA880" s="91"/>
      <c r="AB880" s="91"/>
      <c r="AC880" s="57"/>
    </row>
    <row r="881" ht="15.75" customHeight="1">
      <c r="A881" s="91"/>
      <c r="B881" s="236"/>
      <c r="C881" s="91"/>
      <c r="D881" s="91"/>
      <c r="E881" s="952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51"/>
      <c r="X881" s="91"/>
      <c r="Y881" s="91"/>
      <c r="Z881" s="91"/>
      <c r="AA881" s="91"/>
      <c r="AB881" s="91"/>
      <c r="AC881" s="57"/>
    </row>
    <row r="882" ht="15.75" customHeight="1">
      <c r="A882" s="91"/>
      <c r="B882" s="236"/>
      <c r="C882" s="91"/>
      <c r="D882" s="91"/>
      <c r="E882" s="952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51"/>
      <c r="X882" s="91"/>
      <c r="Y882" s="91"/>
      <c r="Z882" s="91"/>
      <c r="AA882" s="91"/>
      <c r="AB882" s="91"/>
      <c r="AC882" s="57"/>
    </row>
    <row r="883" ht="15.75" customHeight="1">
      <c r="A883" s="91"/>
      <c r="B883" s="236"/>
      <c r="C883" s="91"/>
      <c r="D883" s="91"/>
      <c r="E883" s="952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51"/>
      <c r="X883" s="91"/>
      <c r="Y883" s="91"/>
      <c r="Z883" s="91"/>
      <c r="AA883" s="91"/>
      <c r="AB883" s="91"/>
      <c r="AC883" s="57"/>
    </row>
    <row r="884" ht="15.75" customHeight="1">
      <c r="A884" s="91"/>
      <c r="B884" s="236"/>
      <c r="C884" s="91"/>
      <c r="D884" s="91"/>
      <c r="E884" s="952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51"/>
      <c r="X884" s="91"/>
      <c r="Y884" s="91"/>
      <c r="Z884" s="91"/>
      <c r="AA884" s="91"/>
      <c r="AB884" s="91"/>
      <c r="AC884" s="57"/>
    </row>
    <row r="885" ht="15.75" customHeight="1">
      <c r="A885" s="91"/>
      <c r="B885" s="236"/>
      <c r="C885" s="91"/>
      <c r="D885" s="91"/>
      <c r="E885" s="952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51"/>
      <c r="X885" s="91"/>
      <c r="Y885" s="91"/>
      <c r="Z885" s="91"/>
      <c r="AA885" s="91"/>
      <c r="AB885" s="91"/>
      <c r="AC885" s="57"/>
    </row>
    <row r="886" ht="15.75" customHeight="1">
      <c r="A886" s="91"/>
      <c r="B886" s="236"/>
      <c r="C886" s="91"/>
      <c r="D886" s="91"/>
      <c r="E886" s="952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51"/>
      <c r="X886" s="91"/>
      <c r="Y886" s="91"/>
      <c r="Z886" s="91"/>
      <c r="AA886" s="91"/>
      <c r="AB886" s="91"/>
      <c r="AC886" s="57"/>
    </row>
    <row r="887" ht="15.75" customHeight="1">
      <c r="A887" s="91"/>
      <c r="B887" s="236"/>
      <c r="C887" s="91"/>
      <c r="D887" s="91"/>
      <c r="E887" s="952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51"/>
      <c r="X887" s="91"/>
      <c r="Y887" s="91"/>
      <c r="Z887" s="91"/>
      <c r="AA887" s="91"/>
      <c r="AB887" s="91"/>
      <c r="AC887" s="57"/>
    </row>
    <row r="888" ht="15.75" customHeight="1">
      <c r="A888" s="91"/>
      <c r="B888" s="236"/>
      <c r="C888" s="91"/>
      <c r="D888" s="91"/>
      <c r="E888" s="952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51"/>
      <c r="X888" s="91"/>
      <c r="Y888" s="91"/>
      <c r="Z888" s="91"/>
      <c r="AA888" s="91"/>
      <c r="AB888" s="91"/>
      <c r="AC888" s="57"/>
    </row>
    <row r="889" ht="15.75" customHeight="1">
      <c r="A889" s="91"/>
      <c r="B889" s="236"/>
      <c r="C889" s="91"/>
      <c r="D889" s="91"/>
      <c r="E889" s="952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51"/>
      <c r="X889" s="91"/>
      <c r="Y889" s="91"/>
      <c r="Z889" s="91"/>
      <c r="AA889" s="91"/>
      <c r="AB889" s="91"/>
      <c r="AC889" s="57"/>
    </row>
    <row r="890" ht="15.75" customHeight="1">
      <c r="A890" s="91"/>
      <c r="B890" s="236"/>
      <c r="C890" s="91"/>
      <c r="D890" s="91"/>
      <c r="E890" s="952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51"/>
      <c r="X890" s="91"/>
      <c r="Y890" s="91"/>
      <c r="Z890" s="91"/>
      <c r="AA890" s="91"/>
      <c r="AB890" s="91"/>
      <c r="AC890" s="57"/>
    </row>
    <row r="891" ht="15.75" customHeight="1">
      <c r="A891" s="91"/>
      <c r="B891" s="236"/>
      <c r="C891" s="91"/>
      <c r="D891" s="91"/>
      <c r="E891" s="952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51"/>
      <c r="X891" s="91"/>
      <c r="Y891" s="91"/>
      <c r="Z891" s="91"/>
      <c r="AA891" s="91"/>
      <c r="AB891" s="91"/>
      <c r="AC891" s="57"/>
    </row>
    <row r="892" ht="15.75" customHeight="1">
      <c r="A892" s="91"/>
      <c r="B892" s="236"/>
      <c r="C892" s="91"/>
      <c r="D892" s="91"/>
      <c r="E892" s="952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51"/>
      <c r="X892" s="91"/>
      <c r="Y892" s="91"/>
      <c r="Z892" s="91"/>
      <c r="AA892" s="91"/>
      <c r="AB892" s="91"/>
      <c r="AC892" s="57"/>
    </row>
    <row r="893" ht="15.75" customHeight="1">
      <c r="A893" s="91"/>
      <c r="B893" s="236"/>
      <c r="C893" s="91"/>
      <c r="D893" s="91"/>
      <c r="E893" s="952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51"/>
      <c r="X893" s="91"/>
      <c r="Y893" s="91"/>
      <c r="Z893" s="91"/>
      <c r="AA893" s="91"/>
      <c r="AB893" s="91"/>
      <c r="AC893" s="57"/>
    </row>
    <row r="894" ht="15.75" customHeight="1">
      <c r="A894" s="91"/>
      <c r="B894" s="236"/>
      <c r="C894" s="91"/>
      <c r="D894" s="91"/>
      <c r="E894" s="952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51"/>
      <c r="X894" s="91"/>
      <c r="Y894" s="91"/>
      <c r="Z894" s="91"/>
      <c r="AA894" s="91"/>
      <c r="AB894" s="91"/>
      <c r="AC894" s="57"/>
    </row>
    <row r="895" ht="15.75" customHeight="1">
      <c r="A895" s="91"/>
      <c r="B895" s="236"/>
      <c r="C895" s="91"/>
      <c r="D895" s="91"/>
      <c r="E895" s="952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51"/>
      <c r="X895" s="91"/>
      <c r="Y895" s="91"/>
      <c r="Z895" s="91"/>
      <c r="AA895" s="91"/>
      <c r="AB895" s="91"/>
      <c r="AC895" s="57"/>
    </row>
    <row r="896" ht="15.75" customHeight="1">
      <c r="A896" s="91"/>
      <c r="B896" s="236"/>
      <c r="C896" s="91"/>
      <c r="D896" s="91"/>
      <c r="E896" s="952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51"/>
      <c r="X896" s="91"/>
      <c r="Y896" s="91"/>
      <c r="Z896" s="91"/>
      <c r="AA896" s="91"/>
      <c r="AB896" s="91"/>
      <c r="AC896" s="57"/>
    </row>
    <row r="897" ht="15.75" customHeight="1">
      <c r="A897" s="91"/>
      <c r="B897" s="236"/>
      <c r="C897" s="91"/>
      <c r="D897" s="91"/>
      <c r="E897" s="952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51"/>
      <c r="X897" s="91"/>
      <c r="Y897" s="91"/>
      <c r="Z897" s="91"/>
      <c r="AA897" s="91"/>
      <c r="AB897" s="91"/>
      <c r="AC897" s="57"/>
    </row>
    <row r="898" ht="15.75" customHeight="1">
      <c r="A898" s="91"/>
      <c r="B898" s="236"/>
      <c r="C898" s="91"/>
      <c r="D898" s="91"/>
      <c r="E898" s="952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51"/>
      <c r="X898" s="91"/>
      <c r="Y898" s="91"/>
      <c r="Z898" s="91"/>
      <c r="AA898" s="91"/>
      <c r="AB898" s="91"/>
      <c r="AC898" s="57"/>
    </row>
    <row r="899" ht="15.75" customHeight="1">
      <c r="A899" s="91"/>
      <c r="B899" s="236"/>
      <c r="C899" s="91"/>
      <c r="D899" s="91"/>
      <c r="E899" s="952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51"/>
      <c r="X899" s="91"/>
      <c r="Y899" s="91"/>
      <c r="Z899" s="91"/>
      <c r="AA899" s="91"/>
      <c r="AB899" s="91"/>
      <c r="AC899" s="57"/>
    </row>
    <row r="900" ht="15.75" customHeight="1">
      <c r="A900" s="91"/>
      <c r="B900" s="236"/>
      <c r="C900" s="91"/>
      <c r="D900" s="91"/>
      <c r="E900" s="952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51"/>
      <c r="X900" s="91"/>
      <c r="Y900" s="91"/>
      <c r="Z900" s="91"/>
      <c r="AA900" s="91"/>
      <c r="AB900" s="91"/>
      <c r="AC900" s="57"/>
    </row>
    <row r="901" ht="15.75" customHeight="1">
      <c r="A901" s="91"/>
      <c r="B901" s="236"/>
      <c r="C901" s="91"/>
      <c r="D901" s="91"/>
      <c r="E901" s="952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51"/>
      <c r="X901" s="91"/>
      <c r="Y901" s="91"/>
      <c r="Z901" s="91"/>
      <c r="AA901" s="91"/>
      <c r="AB901" s="91"/>
      <c r="AC901" s="57"/>
    </row>
    <row r="902" ht="15.75" customHeight="1">
      <c r="A902" s="91"/>
      <c r="B902" s="236"/>
      <c r="C902" s="91"/>
      <c r="D902" s="91"/>
      <c r="E902" s="952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51"/>
      <c r="X902" s="91"/>
      <c r="Y902" s="91"/>
      <c r="Z902" s="91"/>
      <c r="AA902" s="91"/>
      <c r="AB902" s="91"/>
      <c r="AC902" s="57"/>
    </row>
    <row r="903" ht="15.75" customHeight="1">
      <c r="A903" s="91"/>
      <c r="B903" s="236"/>
      <c r="C903" s="91"/>
      <c r="D903" s="91"/>
      <c r="E903" s="952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51"/>
      <c r="X903" s="91"/>
      <c r="Y903" s="91"/>
      <c r="Z903" s="91"/>
      <c r="AA903" s="91"/>
      <c r="AB903" s="91"/>
      <c r="AC903" s="57"/>
    </row>
    <row r="904" ht="15.75" customHeight="1">
      <c r="A904" s="91"/>
      <c r="B904" s="236"/>
      <c r="C904" s="91"/>
      <c r="D904" s="91"/>
      <c r="E904" s="952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51"/>
      <c r="X904" s="91"/>
      <c r="Y904" s="91"/>
      <c r="Z904" s="91"/>
      <c r="AA904" s="91"/>
      <c r="AB904" s="91"/>
      <c r="AC904" s="57"/>
    </row>
    <row r="905" ht="15.75" customHeight="1">
      <c r="A905" s="91"/>
      <c r="B905" s="236"/>
      <c r="C905" s="91"/>
      <c r="D905" s="91"/>
      <c r="E905" s="952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51"/>
      <c r="X905" s="91"/>
      <c r="Y905" s="91"/>
      <c r="Z905" s="91"/>
      <c r="AA905" s="91"/>
      <c r="AB905" s="91"/>
      <c r="AC905" s="57"/>
    </row>
    <row r="906" ht="15.75" customHeight="1">
      <c r="A906" s="91"/>
      <c r="B906" s="236"/>
      <c r="C906" s="91"/>
      <c r="D906" s="91"/>
      <c r="E906" s="952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51"/>
      <c r="X906" s="91"/>
      <c r="Y906" s="91"/>
      <c r="Z906" s="91"/>
      <c r="AA906" s="91"/>
      <c r="AB906" s="91"/>
      <c r="AC906" s="57"/>
    </row>
    <row r="907" ht="15.75" customHeight="1">
      <c r="A907" s="91"/>
      <c r="B907" s="236"/>
      <c r="C907" s="91"/>
      <c r="D907" s="91"/>
      <c r="E907" s="952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51"/>
      <c r="X907" s="91"/>
      <c r="Y907" s="91"/>
      <c r="Z907" s="91"/>
      <c r="AA907" s="91"/>
      <c r="AB907" s="91"/>
      <c r="AC907" s="57"/>
    </row>
    <row r="908" ht="15.75" customHeight="1">
      <c r="A908" s="91"/>
      <c r="B908" s="236"/>
      <c r="C908" s="91"/>
      <c r="D908" s="91"/>
      <c r="E908" s="952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51"/>
      <c r="X908" s="91"/>
      <c r="Y908" s="91"/>
      <c r="Z908" s="91"/>
      <c r="AA908" s="91"/>
      <c r="AB908" s="91"/>
      <c r="AC908" s="57"/>
    </row>
    <row r="909" ht="15.75" customHeight="1">
      <c r="A909" s="91"/>
      <c r="B909" s="236"/>
      <c r="C909" s="91"/>
      <c r="D909" s="91"/>
      <c r="E909" s="952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51"/>
      <c r="X909" s="91"/>
      <c r="Y909" s="91"/>
      <c r="Z909" s="91"/>
      <c r="AA909" s="91"/>
      <c r="AB909" s="91"/>
      <c r="AC909" s="57"/>
    </row>
    <row r="910" ht="15.75" customHeight="1">
      <c r="A910" s="91"/>
      <c r="B910" s="236"/>
      <c r="C910" s="91"/>
      <c r="D910" s="91"/>
      <c r="E910" s="952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51"/>
      <c r="X910" s="91"/>
      <c r="Y910" s="91"/>
      <c r="Z910" s="91"/>
      <c r="AA910" s="91"/>
      <c r="AB910" s="91"/>
      <c r="AC910" s="57"/>
    </row>
    <row r="911" ht="15.75" customHeight="1">
      <c r="A911" s="91"/>
      <c r="B911" s="236"/>
      <c r="C911" s="91"/>
      <c r="D911" s="91"/>
      <c r="E911" s="952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51"/>
      <c r="X911" s="91"/>
      <c r="Y911" s="91"/>
      <c r="Z911" s="91"/>
      <c r="AA911" s="91"/>
      <c r="AB911" s="91"/>
      <c r="AC911" s="57"/>
    </row>
    <row r="912" ht="15.75" customHeight="1">
      <c r="A912" s="91"/>
      <c r="B912" s="236"/>
      <c r="C912" s="91"/>
      <c r="D912" s="91"/>
      <c r="E912" s="952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51"/>
      <c r="X912" s="91"/>
      <c r="Y912" s="91"/>
      <c r="Z912" s="91"/>
      <c r="AA912" s="91"/>
      <c r="AB912" s="91"/>
      <c r="AC912" s="57"/>
    </row>
    <row r="913" ht="15.75" customHeight="1">
      <c r="A913" s="91"/>
      <c r="B913" s="236"/>
      <c r="C913" s="91"/>
      <c r="D913" s="91"/>
      <c r="E913" s="952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51"/>
      <c r="X913" s="91"/>
      <c r="Y913" s="91"/>
      <c r="Z913" s="91"/>
      <c r="AA913" s="91"/>
      <c r="AB913" s="91"/>
      <c r="AC913" s="57"/>
    </row>
    <row r="914" ht="15.75" customHeight="1">
      <c r="A914" s="91"/>
      <c r="B914" s="236"/>
      <c r="C914" s="91"/>
      <c r="D914" s="91"/>
      <c r="E914" s="952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51"/>
      <c r="X914" s="91"/>
      <c r="Y914" s="91"/>
      <c r="Z914" s="91"/>
      <c r="AA914" s="91"/>
      <c r="AB914" s="91"/>
      <c r="AC914" s="57"/>
    </row>
    <row r="915" ht="15.75" customHeight="1">
      <c r="A915" s="91"/>
      <c r="B915" s="236"/>
      <c r="C915" s="91"/>
      <c r="D915" s="91"/>
      <c r="E915" s="952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51"/>
      <c r="X915" s="91"/>
      <c r="Y915" s="91"/>
      <c r="Z915" s="91"/>
      <c r="AA915" s="91"/>
      <c r="AB915" s="91"/>
      <c r="AC915" s="57"/>
    </row>
    <row r="916" ht="15.75" customHeight="1">
      <c r="A916" s="91"/>
      <c r="B916" s="236"/>
      <c r="C916" s="91"/>
      <c r="D916" s="91"/>
      <c r="E916" s="952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51"/>
      <c r="X916" s="91"/>
      <c r="Y916" s="91"/>
      <c r="Z916" s="91"/>
      <c r="AA916" s="91"/>
      <c r="AB916" s="91"/>
      <c r="AC916" s="57"/>
    </row>
    <row r="917" ht="15.75" customHeight="1">
      <c r="A917" s="91"/>
      <c r="B917" s="236"/>
      <c r="C917" s="91"/>
      <c r="D917" s="91"/>
      <c r="E917" s="952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51"/>
      <c r="X917" s="91"/>
      <c r="Y917" s="91"/>
      <c r="Z917" s="91"/>
      <c r="AA917" s="91"/>
      <c r="AB917" s="91"/>
      <c r="AC917" s="57"/>
    </row>
    <row r="918" ht="15.75" customHeight="1">
      <c r="A918" s="91"/>
      <c r="B918" s="236"/>
      <c r="C918" s="91"/>
      <c r="D918" s="91"/>
      <c r="E918" s="952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51"/>
      <c r="X918" s="91"/>
      <c r="Y918" s="91"/>
      <c r="Z918" s="91"/>
      <c r="AA918" s="91"/>
      <c r="AB918" s="91"/>
      <c r="AC918" s="57"/>
    </row>
    <row r="919" ht="15.75" customHeight="1">
      <c r="A919" s="91"/>
      <c r="B919" s="236"/>
      <c r="C919" s="91"/>
      <c r="D919" s="91"/>
      <c r="E919" s="952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51"/>
      <c r="X919" s="91"/>
      <c r="Y919" s="91"/>
      <c r="Z919" s="91"/>
      <c r="AA919" s="91"/>
      <c r="AB919" s="91"/>
      <c r="AC919" s="57"/>
    </row>
    <row r="920" ht="15.75" customHeight="1">
      <c r="A920" s="91"/>
      <c r="B920" s="236"/>
      <c r="C920" s="91"/>
      <c r="D920" s="91"/>
      <c r="E920" s="952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51"/>
      <c r="X920" s="91"/>
      <c r="Y920" s="91"/>
      <c r="Z920" s="91"/>
      <c r="AA920" s="91"/>
      <c r="AB920" s="91"/>
      <c r="AC920" s="57"/>
    </row>
    <row r="921" ht="15.75" customHeight="1">
      <c r="A921" s="91"/>
      <c r="B921" s="236"/>
      <c r="C921" s="91"/>
      <c r="D921" s="91"/>
      <c r="E921" s="952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51"/>
      <c r="X921" s="91"/>
      <c r="Y921" s="91"/>
      <c r="Z921" s="91"/>
      <c r="AA921" s="91"/>
      <c r="AB921" s="91"/>
      <c r="AC921" s="57"/>
    </row>
    <row r="922" ht="15.75" customHeight="1">
      <c r="A922" s="91"/>
      <c r="B922" s="236"/>
      <c r="C922" s="91"/>
      <c r="D922" s="91"/>
      <c r="E922" s="952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51"/>
      <c r="X922" s="91"/>
      <c r="Y922" s="91"/>
      <c r="Z922" s="91"/>
      <c r="AA922" s="91"/>
      <c r="AB922" s="91"/>
      <c r="AC922" s="57"/>
    </row>
    <row r="923" ht="15.75" customHeight="1">
      <c r="A923" s="91"/>
      <c r="B923" s="236"/>
      <c r="C923" s="91"/>
      <c r="D923" s="91"/>
      <c r="E923" s="952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51"/>
      <c r="X923" s="91"/>
      <c r="Y923" s="91"/>
      <c r="Z923" s="91"/>
      <c r="AA923" s="91"/>
      <c r="AB923" s="91"/>
      <c r="AC923" s="57"/>
    </row>
    <row r="924" ht="15.75" customHeight="1">
      <c r="A924" s="91"/>
      <c r="B924" s="236"/>
      <c r="C924" s="91"/>
      <c r="D924" s="91"/>
      <c r="E924" s="952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51"/>
      <c r="X924" s="91"/>
      <c r="Y924" s="91"/>
      <c r="Z924" s="91"/>
      <c r="AA924" s="91"/>
      <c r="AB924" s="91"/>
      <c r="AC924" s="57"/>
    </row>
    <row r="925" ht="15.75" customHeight="1">
      <c r="A925" s="91"/>
      <c r="B925" s="236"/>
      <c r="C925" s="91"/>
      <c r="D925" s="91"/>
      <c r="E925" s="952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51"/>
      <c r="X925" s="91"/>
      <c r="Y925" s="91"/>
      <c r="Z925" s="91"/>
      <c r="AA925" s="91"/>
      <c r="AB925" s="91"/>
      <c r="AC925" s="57"/>
    </row>
    <row r="926" ht="15.75" customHeight="1">
      <c r="A926" s="91"/>
      <c r="B926" s="236"/>
      <c r="C926" s="91"/>
      <c r="D926" s="91"/>
      <c r="E926" s="952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51"/>
      <c r="X926" s="91"/>
      <c r="Y926" s="91"/>
      <c r="Z926" s="91"/>
      <c r="AA926" s="91"/>
      <c r="AB926" s="91"/>
      <c r="AC926" s="57"/>
    </row>
    <row r="927" ht="15.75" customHeight="1">
      <c r="A927" s="91"/>
      <c r="B927" s="236"/>
      <c r="C927" s="91"/>
      <c r="D927" s="91"/>
      <c r="E927" s="952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51"/>
      <c r="X927" s="91"/>
      <c r="Y927" s="91"/>
      <c r="Z927" s="91"/>
      <c r="AA927" s="91"/>
      <c r="AB927" s="91"/>
      <c r="AC927" s="57"/>
    </row>
    <row r="928" ht="15.75" customHeight="1">
      <c r="A928" s="91"/>
      <c r="B928" s="236"/>
      <c r="C928" s="91"/>
      <c r="D928" s="91"/>
      <c r="E928" s="952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51"/>
      <c r="X928" s="91"/>
      <c r="Y928" s="91"/>
      <c r="Z928" s="91"/>
      <c r="AA928" s="91"/>
      <c r="AB928" s="91"/>
      <c r="AC928" s="57"/>
    </row>
    <row r="929" ht="15.75" customHeight="1">
      <c r="A929" s="91"/>
      <c r="B929" s="236"/>
      <c r="C929" s="91"/>
      <c r="D929" s="91"/>
      <c r="E929" s="952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51"/>
      <c r="X929" s="91"/>
      <c r="Y929" s="91"/>
      <c r="Z929" s="91"/>
      <c r="AA929" s="91"/>
      <c r="AB929" s="91"/>
      <c r="AC929" s="57"/>
    </row>
    <row r="930" ht="15.75" customHeight="1">
      <c r="A930" s="91"/>
      <c r="B930" s="236"/>
      <c r="C930" s="91"/>
      <c r="D930" s="91"/>
      <c r="E930" s="952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51"/>
      <c r="X930" s="91"/>
      <c r="Y930" s="91"/>
      <c r="Z930" s="91"/>
      <c r="AA930" s="91"/>
      <c r="AB930" s="91"/>
      <c r="AC930" s="57"/>
    </row>
    <row r="931" ht="15.75" customHeight="1">
      <c r="A931" s="91"/>
      <c r="B931" s="236"/>
      <c r="C931" s="91"/>
      <c r="D931" s="91"/>
      <c r="E931" s="952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51"/>
      <c r="X931" s="91"/>
      <c r="Y931" s="91"/>
      <c r="Z931" s="91"/>
      <c r="AA931" s="91"/>
      <c r="AB931" s="91"/>
      <c r="AC931" s="57"/>
    </row>
    <row r="932" ht="15.75" customHeight="1">
      <c r="A932" s="91"/>
      <c r="B932" s="236"/>
      <c r="C932" s="91"/>
      <c r="D932" s="91"/>
      <c r="E932" s="952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51"/>
      <c r="X932" s="91"/>
      <c r="Y932" s="91"/>
      <c r="Z932" s="91"/>
      <c r="AA932" s="91"/>
      <c r="AB932" s="91"/>
      <c r="AC932" s="57"/>
    </row>
    <row r="933" ht="15.75" customHeight="1">
      <c r="A933" s="91"/>
      <c r="B933" s="236"/>
      <c r="C933" s="91"/>
      <c r="D933" s="91"/>
      <c r="E933" s="952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51"/>
      <c r="X933" s="91"/>
      <c r="Y933" s="91"/>
      <c r="Z933" s="91"/>
      <c r="AA933" s="91"/>
      <c r="AB933" s="91"/>
      <c r="AC933" s="57"/>
    </row>
    <row r="934" ht="15.75" customHeight="1">
      <c r="A934" s="91"/>
      <c r="B934" s="236"/>
      <c r="C934" s="91"/>
      <c r="D934" s="91"/>
      <c r="E934" s="952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51"/>
      <c r="X934" s="91"/>
      <c r="Y934" s="91"/>
      <c r="Z934" s="91"/>
      <c r="AA934" s="91"/>
      <c r="AB934" s="91"/>
      <c r="AC934" s="57"/>
    </row>
    <row r="935" ht="15.75" customHeight="1">
      <c r="A935" s="91"/>
      <c r="B935" s="236"/>
      <c r="C935" s="91"/>
      <c r="D935" s="91"/>
      <c r="E935" s="952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51"/>
      <c r="X935" s="91"/>
      <c r="Y935" s="91"/>
      <c r="Z935" s="91"/>
      <c r="AA935" s="91"/>
      <c r="AB935" s="91"/>
      <c r="AC935" s="57"/>
    </row>
    <row r="936" ht="15.75" customHeight="1">
      <c r="A936" s="91"/>
      <c r="B936" s="236"/>
      <c r="C936" s="91"/>
      <c r="D936" s="91"/>
      <c r="E936" s="952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51"/>
      <c r="X936" s="91"/>
      <c r="Y936" s="91"/>
      <c r="Z936" s="91"/>
      <c r="AA936" s="91"/>
      <c r="AB936" s="91"/>
      <c r="AC936" s="57"/>
    </row>
    <row r="937" ht="15.75" customHeight="1">
      <c r="A937" s="91"/>
      <c r="B937" s="236"/>
      <c r="C937" s="91"/>
      <c r="D937" s="91"/>
      <c r="E937" s="952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51"/>
      <c r="X937" s="91"/>
      <c r="Y937" s="91"/>
      <c r="Z937" s="91"/>
      <c r="AA937" s="91"/>
      <c r="AB937" s="91"/>
      <c r="AC937" s="57"/>
    </row>
    <row r="938" ht="15.75" customHeight="1">
      <c r="A938" s="91"/>
      <c r="B938" s="236"/>
      <c r="C938" s="91"/>
      <c r="D938" s="91"/>
      <c r="E938" s="952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51"/>
      <c r="X938" s="91"/>
      <c r="Y938" s="91"/>
      <c r="Z938" s="91"/>
      <c r="AA938" s="91"/>
      <c r="AB938" s="91"/>
      <c r="AC938" s="57"/>
    </row>
    <row r="939" ht="15.75" customHeight="1">
      <c r="A939" s="91"/>
      <c r="B939" s="236"/>
      <c r="C939" s="91"/>
      <c r="D939" s="91"/>
      <c r="E939" s="952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51"/>
      <c r="X939" s="91"/>
      <c r="Y939" s="91"/>
      <c r="Z939" s="91"/>
      <c r="AA939" s="91"/>
      <c r="AB939" s="91"/>
      <c r="AC939" s="57"/>
    </row>
    <row r="940" ht="15.75" customHeight="1">
      <c r="A940" s="91"/>
      <c r="B940" s="236"/>
      <c r="C940" s="91"/>
      <c r="D940" s="91"/>
      <c r="E940" s="952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51"/>
      <c r="X940" s="91"/>
      <c r="Y940" s="91"/>
      <c r="Z940" s="91"/>
      <c r="AA940" s="91"/>
      <c r="AB940" s="91"/>
      <c r="AC940" s="57"/>
    </row>
    <row r="941" ht="15.75" customHeight="1">
      <c r="A941" s="91"/>
      <c r="B941" s="236"/>
      <c r="C941" s="91"/>
      <c r="D941" s="91"/>
      <c r="E941" s="952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51"/>
      <c r="X941" s="91"/>
      <c r="Y941" s="91"/>
      <c r="Z941" s="91"/>
      <c r="AA941" s="91"/>
      <c r="AB941" s="91"/>
      <c r="AC941" s="57"/>
    </row>
    <row r="942" ht="15.75" customHeight="1">
      <c r="A942" s="91"/>
      <c r="B942" s="236"/>
      <c r="C942" s="91"/>
      <c r="D942" s="91"/>
      <c r="E942" s="952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51"/>
      <c r="X942" s="91"/>
      <c r="Y942" s="91"/>
      <c r="Z942" s="91"/>
      <c r="AA942" s="91"/>
      <c r="AB942" s="91"/>
      <c r="AC942" s="57"/>
    </row>
    <row r="943" ht="15.75" customHeight="1">
      <c r="A943" s="91"/>
      <c r="B943" s="236"/>
      <c r="C943" s="91"/>
      <c r="D943" s="91"/>
      <c r="E943" s="952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51"/>
      <c r="X943" s="91"/>
      <c r="Y943" s="91"/>
      <c r="Z943" s="91"/>
      <c r="AA943" s="91"/>
      <c r="AB943" s="91"/>
      <c r="AC943" s="57"/>
    </row>
    <row r="944" ht="15.75" customHeight="1">
      <c r="A944" s="91"/>
      <c r="B944" s="236"/>
      <c r="C944" s="91"/>
      <c r="D944" s="91"/>
      <c r="E944" s="952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51"/>
      <c r="X944" s="91"/>
      <c r="Y944" s="91"/>
      <c r="Z944" s="91"/>
      <c r="AA944" s="91"/>
      <c r="AB944" s="91"/>
      <c r="AC944" s="57"/>
    </row>
    <row r="945" ht="15.75" customHeight="1">
      <c r="A945" s="91"/>
      <c r="B945" s="236"/>
      <c r="C945" s="91"/>
      <c r="D945" s="91"/>
      <c r="E945" s="952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51"/>
      <c r="X945" s="91"/>
      <c r="Y945" s="91"/>
      <c r="Z945" s="91"/>
      <c r="AA945" s="91"/>
      <c r="AB945" s="91"/>
      <c r="AC945" s="57"/>
    </row>
    <row r="946" ht="15.75" customHeight="1">
      <c r="A946" s="91"/>
      <c r="B946" s="236"/>
      <c r="C946" s="91"/>
      <c r="D946" s="91"/>
      <c r="E946" s="952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51"/>
      <c r="X946" s="91"/>
      <c r="Y946" s="91"/>
      <c r="Z946" s="91"/>
      <c r="AA946" s="91"/>
      <c r="AB946" s="91"/>
      <c r="AC946" s="57"/>
    </row>
    <row r="947" ht="15.75" customHeight="1">
      <c r="A947" s="91"/>
      <c r="B947" s="236"/>
      <c r="C947" s="91"/>
      <c r="D947" s="91"/>
      <c r="E947" s="952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51"/>
      <c r="X947" s="91"/>
      <c r="Y947" s="91"/>
      <c r="Z947" s="91"/>
      <c r="AA947" s="91"/>
      <c r="AB947" s="91"/>
      <c r="AC947" s="57"/>
    </row>
    <row r="948" ht="15.75" customHeight="1">
      <c r="A948" s="91"/>
      <c r="B948" s="236"/>
      <c r="C948" s="91"/>
      <c r="D948" s="91"/>
      <c r="E948" s="952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51"/>
      <c r="X948" s="91"/>
      <c r="Y948" s="91"/>
      <c r="Z948" s="91"/>
      <c r="AA948" s="91"/>
      <c r="AB948" s="91"/>
      <c r="AC948" s="57"/>
    </row>
    <row r="949" ht="15.75" customHeight="1">
      <c r="A949" s="91"/>
      <c r="B949" s="236"/>
      <c r="C949" s="91"/>
      <c r="D949" s="91"/>
      <c r="E949" s="952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51"/>
      <c r="X949" s="91"/>
      <c r="Y949" s="91"/>
      <c r="Z949" s="91"/>
      <c r="AA949" s="91"/>
      <c r="AB949" s="91"/>
      <c r="AC949" s="57"/>
    </row>
    <row r="950" ht="15.75" customHeight="1">
      <c r="A950" s="91"/>
      <c r="B950" s="236"/>
      <c r="C950" s="91"/>
      <c r="D950" s="91"/>
      <c r="E950" s="952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51"/>
      <c r="X950" s="91"/>
      <c r="Y950" s="91"/>
      <c r="Z950" s="91"/>
      <c r="AA950" s="91"/>
      <c r="AB950" s="91"/>
      <c r="AC950" s="57"/>
    </row>
    <row r="951" ht="15.75" customHeight="1">
      <c r="A951" s="91"/>
      <c r="B951" s="236"/>
      <c r="C951" s="91"/>
      <c r="D951" s="91"/>
      <c r="E951" s="952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51"/>
      <c r="X951" s="91"/>
      <c r="Y951" s="91"/>
      <c r="Z951" s="91"/>
      <c r="AA951" s="91"/>
      <c r="AB951" s="91"/>
      <c r="AC951" s="57"/>
    </row>
    <row r="952" ht="15.75" customHeight="1">
      <c r="A952" s="91"/>
      <c r="B952" s="236"/>
      <c r="C952" s="91"/>
      <c r="D952" s="91"/>
      <c r="E952" s="952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51"/>
      <c r="X952" s="91"/>
      <c r="Y952" s="91"/>
      <c r="Z952" s="91"/>
      <c r="AA952" s="91"/>
      <c r="AB952" s="91"/>
      <c r="AC952" s="57"/>
    </row>
    <row r="953" ht="15.75" customHeight="1">
      <c r="A953" s="91"/>
      <c r="B953" s="236"/>
      <c r="C953" s="91"/>
      <c r="D953" s="91"/>
      <c r="E953" s="952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51"/>
      <c r="X953" s="91"/>
      <c r="Y953" s="91"/>
      <c r="Z953" s="91"/>
      <c r="AA953" s="91"/>
      <c r="AB953" s="91"/>
      <c r="AC953" s="57"/>
    </row>
    <row r="954" ht="15.75" customHeight="1">
      <c r="A954" s="91"/>
      <c r="B954" s="236"/>
      <c r="C954" s="91"/>
      <c r="D954" s="91"/>
      <c r="E954" s="952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51"/>
      <c r="X954" s="91"/>
      <c r="Y954" s="91"/>
      <c r="Z954" s="91"/>
      <c r="AA954" s="91"/>
      <c r="AB954" s="91"/>
      <c r="AC954" s="57"/>
    </row>
    <row r="955" ht="15.75" customHeight="1">
      <c r="A955" s="91"/>
      <c r="B955" s="236"/>
      <c r="C955" s="91"/>
      <c r="D955" s="91"/>
      <c r="E955" s="952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51"/>
      <c r="X955" s="91"/>
      <c r="Y955" s="91"/>
      <c r="Z955" s="91"/>
      <c r="AA955" s="91"/>
      <c r="AB955" s="91"/>
      <c r="AC955" s="57"/>
    </row>
    <row r="956" ht="15.75" customHeight="1">
      <c r="A956" s="91"/>
      <c r="B956" s="236"/>
      <c r="C956" s="91"/>
      <c r="D956" s="91"/>
      <c r="E956" s="952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51"/>
      <c r="X956" s="91"/>
      <c r="Y956" s="91"/>
      <c r="Z956" s="91"/>
      <c r="AA956" s="91"/>
      <c r="AB956" s="91"/>
      <c r="AC956" s="57"/>
    </row>
    <row r="957" ht="15.75" customHeight="1">
      <c r="A957" s="91"/>
      <c r="B957" s="236"/>
      <c r="C957" s="91"/>
      <c r="D957" s="91"/>
      <c r="E957" s="952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51"/>
      <c r="X957" s="91"/>
      <c r="Y957" s="91"/>
      <c r="Z957" s="91"/>
      <c r="AA957" s="91"/>
      <c r="AB957" s="91"/>
      <c r="AC957" s="57"/>
    </row>
    <row r="958" ht="15.75" customHeight="1">
      <c r="A958" s="91"/>
      <c r="B958" s="236"/>
      <c r="C958" s="91"/>
      <c r="D958" s="91"/>
      <c r="E958" s="952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51"/>
      <c r="X958" s="91"/>
      <c r="Y958" s="91"/>
      <c r="Z958" s="91"/>
      <c r="AA958" s="91"/>
      <c r="AB958" s="91"/>
      <c r="AC958" s="57"/>
    </row>
    <row r="959" ht="15.75" customHeight="1">
      <c r="A959" s="91"/>
      <c r="B959" s="236"/>
      <c r="C959" s="91"/>
      <c r="D959" s="91"/>
      <c r="E959" s="952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51"/>
      <c r="X959" s="91"/>
      <c r="Y959" s="91"/>
      <c r="Z959" s="91"/>
      <c r="AA959" s="91"/>
      <c r="AB959" s="91"/>
      <c r="AC959" s="57"/>
    </row>
    <row r="960" ht="15.75" customHeight="1">
      <c r="A960" s="91"/>
      <c r="B960" s="236"/>
      <c r="C960" s="91"/>
      <c r="D960" s="91"/>
      <c r="E960" s="952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51"/>
      <c r="X960" s="91"/>
      <c r="Y960" s="91"/>
      <c r="Z960" s="91"/>
      <c r="AA960" s="91"/>
      <c r="AB960" s="91"/>
      <c r="AC960" s="57"/>
    </row>
    <row r="961" ht="15.75" customHeight="1">
      <c r="A961" s="91"/>
      <c r="B961" s="236"/>
      <c r="C961" s="91"/>
      <c r="D961" s="91"/>
      <c r="E961" s="952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51"/>
      <c r="X961" s="91"/>
      <c r="Y961" s="91"/>
      <c r="Z961" s="91"/>
      <c r="AA961" s="91"/>
      <c r="AB961" s="91"/>
      <c r="AC961" s="57"/>
    </row>
    <row r="962" ht="15.75" customHeight="1">
      <c r="A962" s="91"/>
      <c r="B962" s="236"/>
      <c r="C962" s="91"/>
      <c r="D962" s="91"/>
      <c r="E962" s="952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51"/>
      <c r="X962" s="91"/>
      <c r="Y962" s="91"/>
      <c r="Z962" s="91"/>
      <c r="AA962" s="91"/>
      <c r="AB962" s="91"/>
      <c r="AC962" s="57"/>
    </row>
    <row r="963" ht="15.75" customHeight="1">
      <c r="A963" s="91"/>
      <c r="B963" s="236"/>
      <c r="C963" s="91"/>
      <c r="D963" s="91"/>
      <c r="E963" s="952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51"/>
      <c r="X963" s="91"/>
      <c r="Y963" s="91"/>
      <c r="Z963" s="91"/>
      <c r="AA963" s="91"/>
      <c r="AB963" s="91"/>
      <c r="AC963" s="57"/>
    </row>
    <row r="964" ht="15.75" customHeight="1">
      <c r="A964" s="91"/>
      <c r="B964" s="236"/>
      <c r="C964" s="91"/>
      <c r="D964" s="91"/>
      <c r="E964" s="952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51"/>
      <c r="X964" s="91"/>
      <c r="Y964" s="91"/>
      <c r="Z964" s="91"/>
      <c r="AA964" s="91"/>
      <c r="AB964" s="91"/>
      <c r="AC964" s="57"/>
    </row>
    <row r="965" ht="15.75" customHeight="1">
      <c r="A965" s="91"/>
      <c r="B965" s="236"/>
      <c r="C965" s="91"/>
      <c r="D965" s="91"/>
      <c r="E965" s="952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51"/>
      <c r="X965" s="91"/>
      <c r="Y965" s="91"/>
      <c r="Z965" s="91"/>
      <c r="AA965" s="91"/>
      <c r="AB965" s="91"/>
      <c r="AC965" s="57"/>
    </row>
    <row r="966" ht="15.75" customHeight="1">
      <c r="A966" s="91"/>
      <c r="B966" s="236"/>
      <c r="C966" s="91"/>
      <c r="D966" s="91"/>
      <c r="E966" s="952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51"/>
      <c r="X966" s="91"/>
      <c r="Y966" s="91"/>
      <c r="Z966" s="91"/>
      <c r="AA966" s="91"/>
      <c r="AB966" s="91"/>
      <c r="AC966" s="57"/>
    </row>
    <row r="967" ht="15.75" customHeight="1">
      <c r="A967" s="91"/>
      <c r="B967" s="236"/>
      <c r="C967" s="91"/>
      <c r="D967" s="91"/>
      <c r="E967" s="952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51"/>
      <c r="X967" s="91"/>
      <c r="Y967" s="91"/>
      <c r="Z967" s="91"/>
      <c r="AA967" s="91"/>
      <c r="AB967" s="91"/>
      <c r="AC967" s="57"/>
    </row>
    <row r="968" ht="15.75" customHeight="1">
      <c r="A968" s="91"/>
      <c r="B968" s="236"/>
      <c r="C968" s="91"/>
      <c r="D968" s="91"/>
      <c r="E968" s="952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51"/>
      <c r="X968" s="91"/>
      <c r="Y968" s="91"/>
      <c r="Z968" s="91"/>
      <c r="AA968" s="91"/>
      <c r="AB968" s="91"/>
      <c r="AC968" s="57"/>
    </row>
    <row r="969" ht="15.75" customHeight="1">
      <c r="A969" s="91"/>
      <c r="B969" s="236"/>
      <c r="C969" s="91"/>
      <c r="D969" s="91"/>
      <c r="E969" s="952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51"/>
      <c r="X969" s="91"/>
      <c r="Y969" s="91"/>
      <c r="Z969" s="91"/>
      <c r="AA969" s="91"/>
      <c r="AB969" s="91"/>
      <c r="AC969" s="57"/>
    </row>
    <row r="970" ht="15.75" customHeight="1">
      <c r="A970" s="91"/>
      <c r="B970" s="236"/>
      <c r="C970" s="91"/>
      <c r="D970" s="91"/>
      <c r="E970" s="952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51"/>
      <c r="X970" s="91"/>
      <c r="Y970" s="91"/>
      <c r="Z970" s="91"/>
      <c r="AA970" s="91"/>
      <c r="AB970" s="91"/>
      <c r="AC970" s="57"/>
    </row>
    <row r="971" ht="15.75" customHeight="1">
      <c r="A971" s="91"/>
      <c r="B971" s="236"/>
      <c r="C971" s="91"/>
      <c r="D971" s="91"/>
      <c r="E971" s="952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51"/>
      <c r="X971" s="91"/>
      <c r="Y971" s="91"/>
      <c r="Z971" s="91"/>
      <c r="AA971" s="91"/>
      <c r="AB971" s="91"/>
      <c r="AC971" s="57"/>
    </row>
    <row r="972" ht="15.75" customHeight="1">
      <c r="A972" s="91"/>
      <c r="B972" s="236"/>
      <c r="C972" s="91"/>
      <c r="D972" s="91"/>
      <c r="E972" s="952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51"/>
      <c r="X972" s="91"/>
      <c r="Y972" s="91"/>
      <c r="Z972" s="91"/>
      <c r="AA972" s="91"/>
      <c r="AB972" s="91"/>
      <c r="AC972" s="57"/>
    </row>
    <row r="973" ht="15.75" customHeight="1">
      <c r="A973" s="91"/>
      <c r="B973" s="236"/>
      <c r="C973" s="91"/>
      <c r="D973" s="91"/>
      <c r="E973" s="952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51"/>
      <c r="X973" s="91"/>
      <c r="Y973" s="91"/>
      <c r="Z973" s="91"/>
      <c r="AA973" s="91"/>
      <c r="AB973" s="91"/>
      <c r="AC973" s="57"/>
    </row>
    <row r="974" ht="15.75" customHeight="1">
      <c r="A974" s="91"/>
      <c r="B974" s="236"/>
      <c r="C974" s="91"/>
      <c r="D974" s="91"/>
      <c r="E974" s="952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51"/>
      <c r="X974" s="91"/>
      <c r="Y974" s="91"/>
      <c r="Z974" s="91"/>
      <c r="AA974" s="91"/>
      <c r="AB974" s="91"/>
      <c r="AC974" s="57"/>
    </row>
    <row r="975" ht="15.75" customHeight="1">
      <c r="A975" s="91"/>
      <c r="B975" s="236"/>
      <c r="C975" s="91"/>
      <c r="D975" s="91"/>
      <c r="E975" s="952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51"/>
      <c r="X975" s="91"/>
      <c r="Y975" s="91"/>
      <c r="Z975" s="91"/>
      <c r="AA975" s="91"/>
      <c r="AB975" s="91"/>
      <c r="AC975" s="57"/>
    </row>
    <row r="976" ht="15.75" customHeight="1">
      <c r="A976" s="91"/>
      <c r="B976" s="236"/>
      <c r="C976" s="91"/>
      <c r="D976" s="91"/>
      <c r="E976" s="952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51"/>
      <c r="X976" s="91"/>
      <c r="Y976" s="91"/>
      <c r="Z976" s="91"/>
      <c r="AA976" s="91"/>
      <c r="AB976" s="91"/>
      <c r="AC976" s="57"/>
    </row>
    <row r="977" ht="15.75" customHeight="1">
      <c r="A977" s="91"/>
      <c r="B977" s="236"/>
      <c r="C977" s="91"/>
      <c r="D977" s="91"/>
      <c r="E977" s="952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51"/>
      <c r="X977" s="91"/>
      <c r="Y977" s="91"/>
      <c r="Z977" s="91"/>
      <c r="AA977" s="91"/>
      <c r="AB977" s="91"/>
      <c r="AC977" s="57"/>
    </row>
    <row r="978" ht="15.75" customHeight="1">
      <c r="A978" s="91"/>
      <c r="B978" s="236"/>
      <c r="C978" s="91"/>
      <c r="D978" s="91"/>
      <c r="E978" s="952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51"/>
      <c r="X978" s="91"/>
      <c r="Y978" s="91"/>
      <c r="Z978" s="91"/>
      <c r="AA978" s="91"/>
      <c r="AB978" s="91"/>
      <c r="AC978" s="57"/>
    </row>
    <row r="979" ht="15.75" customHeight="1">
      <c r="A979" s="91"/>
      <c r="B979" s="236"/>
      <c r="C979" s="91"/>
      <c r="D979" s="91"/>
      <c r="E979" s="952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51"/>
      <c r="X979" s="91"/>
      <c r="Y979" s="91"/>
      <c r="Z979" s="91"/>
      <c r="AA979" s="91"/>
      <c r="AB979" s="91"/>
      <c r="AC979" s="57"/>
    </row>
    <row r="980" ht="15.75" customHeight="1">
      <c r="A980" s="91"/>
      <c r="B980" s="236"/>
      <c r="C980" s="91"/>
      <c r="D980" s="91"/>
      <c r="E980" s="952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51"/>
      <c r="X980" s="91"/>
      <c r="Y980" s="91"/>
      <c r="Z980" s="91"/>
      <c r="AA980" s="91"/>
      <c r="AB980" s="91"/>
      <c r="AC980" s="57"/>
    </row>
    <row r="981" ht="15.75" customHeight="1">
      <c r="A981" s="91"/>
      <c r="B981" s="236"/>
      <c r="C981" s="91"/>
      <c r="D981" s="91"/>
      <c r="E981" s="952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51"/>
      <c r="X981" s="91"/>
      <c r="Y981" s="91"/>
      <c r="Z981" s="91"/>
      <c r="AA981" s="91"/>
      <c r="AB981" s="91"/>
      <c r="AC981" s="57"/>
    </row>
    <row r="982" ht="15.75" customHeight="1">
      <c r="A982" s="91"/>
      <c r="B982" s="236"/>
      <c r="C982" s="91"/>
      <c r="D982" s="91"/>
      <c r="E982" s="952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51"/>
      <c r="X982" s="91"/>
      <c r="Y982" s="91"/>
      <c r="Z982" s="91"/>
      <c r="AA982" s="91"/>
      <c r="AB982" s="91"/>
      <c r="AC982" s="57"/>
    </row>
    <row r="983" ht="15.75" customHeight="1">
      <c r="A983" s="91"/>
      <c r="B983" s="236"/>
      <c r="C983" s="91"/>
      <c r="D983" s="91"/>
      <c r="E983" s="952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51"/>
      <c r="X983" s="91"/>
      <c r="Y983" s="91"/>
      <c r="Z983" s="91"/>
      <c r="AA983" s="91"/>
      <c r="AB983" s="91"/>
      <c r="AC983" s="57"/>
    </row>
    <row r="984" ht="15.75" customHeight="1">
      <c r="A984" s="91"/>
      <c r="B984" s="236"/>
      <c r="C984" s="91"/>
      <c r="D984" s="91"/>
      <c r="E984" s="952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51"/>
      <c r="X984" s="91"/>
      <c r="Y984" s="91"/>
      <c r="Z984" s="91"/>
      <c r="AA984" s="91"/>
      <c r="AB984" s="91"/>
      <c r="AC984" s="57"/>
    </row>
    <row r="985" ht="15.75" customHeight="1">
      <c r="A985" s="91"/>
      <c r="B985" s="236"/>
      <c r="C985" s="91"/>
      <c r="D985" s="91"/>
      <c r="E985" s="952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51"/>
      <c r="X985" s="91"/>
      <c r="Y985" s="91"/>
      <c r="Z985" s="91"/>
      <c r="AA985" s="91"/>
      <c r="AB985" s="91"/>
      <c r="AC985" s="57"/>
    </row>
    <row r="986" ht="15.75" customHeight="1">
      <c r="A986" s="91"/>
      <c r="B986" s="236"/>
      <c r="C986" s="91"/>
      <c r="D986" s="91"/>
      <c r="E986" s="952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51"/>
      <c r="X986" s="91"/>
      <c r="Y986" s="91"/>
      <c r="Z986" s="91"/>
      <c r="AA986" s="91"/>
      <c r="AB986" s="91"/>
      <c r="AC986" s="57"/>
    </row>
    <row r="987" ht="15.75" customHeight="1">
      <c r="A987" s="91"/>
      <c r="B987" s="236"/>
      <c r="C987" s="91"/>
      <c r="D987" s="91"/>
      <c r="E987" s="952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51"/>
      <c r="X987" s="91"/>
      <c r="Y987" s="91"/>
      <c r="Z987" s="91"/>
      <c r="AA987" s="91"/>
      <c r="AB987" s="91"/>
      <c r="AC987" s="57"/>
    </row>
    <row r="988" ht="15.75" customHeight="1">
      <c r="A988" s="91"/>
      <c r="B988" s="236"/>
      <c r="C988" s="91"/>
      <c r="D988" s="91"/>
      <c r="E988" s="952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51"/>
      <c r="X988" s="91"/>
      <c r="Y988" s="91"/>
      <c r="Z988" s="91"/>
      <c r="AA988" s="91"/>
      <c r="AB988" s="91"/>
      <c r="AC988" s="57"/>
    </row>
    <row r="989" ht="15.75" customHeight="1">
      <c r="A989" s="91"/>
      <c r="B989" s="236"/>
      <c r="C989" s="91"/>
      <c r="D989" s="91"/>
      <c r="E989" s="952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51"/>
      <c r="X989" s="91"/>
      <c r="Y989" s="91"/>
      <c r="Z989" s="91"/>
      <c r="AA989" s="91"/>
      <c r="AB989" s="91"/>
      <c r="AC989" s="57"/>
    </row>
    <row r="990" ht="15.75" customHeight="1">
      <c r="A990" s="91"/>
      <c r="B990" s="236"/>
      <c r="C990" s="91"/>
      <c r="D990" s="91"/>
      <c r="E990" s="952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51"/>
      <c r="X990" s="91"/>
      <c r="Y990" s="91"/>
      <c r="Z990" s="91"/>
      <c r="AA990" s="91"/>
      <c r="AB990" s="91"/>
      <c r="AC990" s="57"/>
    </row>
    <row r="991" ht="15.75" customHeight="1">
      <c r="A991" s="91"/>
      <c r="B991" s="236"/>
      <c r="C991" s="91"/>
      <c r="D991" s="91"/>
      <c r="E991" s="952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51"/>
      <c r="X991" s="91"/>
      <c r="Y991" s="91"/>
      <c r="Z991" s="91"/>
      <c r="AA991" s="91"/>
      <c r="AB991" s="91"/>
      <c r="AC991" s="57"/>
    </row>
    <row r="992" ht="15.75" customHeight="1">
      <c r="A992" s="91"/>
      <c r="B992" s="236"/>
      <c r="C992" s="91"/>
      <c r="D992" s="91"/>
      <c r="E992" s="952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51"/>
      <c r="X992" s="91"/>
      <c r="Y992" s="91"/>
      <c r="Z992" s="91"/>
      <c r="AA992" s="91"/>
      <c r="AB992" s="91"/>
      <c r="AC992" s="57"/>
    </row>
    <row r="993" ht="15.75" customHeight="1">
      <c r="A993" s="91"/>
      <c r="B993" s="236"/>
      <c r="C993" s="91"/>
      <c r="D993" s="91"/>
      <c r="E993" s="952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51"/>
      <c r="X993" s="91"/>
      <c r="Y993" s="91"/>
      <c r="Z993" s="91"/>
      <c r="AA993" s="91"/>
      <c r="AB993" s="91"/>
      <c r="AC993" s="57"/>
    </row>
    <row r="994" ht="15.75" customHeight="1">
      <c r="A994" s="91"/>
      <c r="B994" s="236"/>
      <c r="C994" s="91"/>
      <c r="D994" s="91"/>
      <c r="E994" s="952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51"/>
      <c r="X994" s="91"/>
      <c r="Y994" s="91"/>
      <c r="Z994" s="91"/>
      <c r="AA994" s="91"/>
      <c r="AB994" s="91"/>
      <c r="AC994" s="57"/>
    </row>
    <row r="995" ht="15.75" customHeight="1">
      <c r="A995" s="91"/>
      <c r="B995" s="236"/>
      <c r="C995" s="91"/>
      <c r="D995" s="91"/>
      <c r="E995" s="952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51"/>
      <c r="X995" s="91"/>
      <c r="Y995" s="91"/>
      <c r="Z995" s="91"/>
      <c r="AA995" s="91"/>
      <c r="AB995" s="91"/>
      <c r="AC995" s="57"/>
    </row>
    <row r="996" ht="15.75" customHeight="1">
      <c r="A996" s="91"/>
      <c r="B996" s="236"/>
      <c r="C996" s="91"/>
      <c r="D996" s="91"/>
      <c r="E996" s="952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51"/>
      <c r="X996" s="91"/>
      <c r="Y996" s="91"/>
      <c r="Z996" s="91"/>
      <c r="AA996" s="91"/>
      <c r="AB996" s="91"/>
      <c r="AC996" s="57"/>
    </row>
    <row r="997" ht="15.75" customHeight="1">
      <c r="A997" s="91"/>
      <c r="B997" s="236"/>
      <c r="C997" s="91"/>
      <c r="D997" s="91"/>
      <c r="E997" s="952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51"/>
      <c r="X997" s="91"/>
      <c r="Y997" s="91"/>
      <c r="Z997" s="91"/>
      <c r="AA997" s="91"/>
      <c r="AB997" s="91"/>
      <c r="AC997" s="57"/>
    </row>
    <row r="998" ht="15.75" customHeight="1">
      <c r="A998" s="91"/>
      <c r="B998" s="236"/>
      <c r="C998" s="91"/>
      <c r="D998" s="91"/>
      <c r="E998" s="952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51"/>
      <c r="X998" s="91"/>
      <c r="Y998" s="91"/>
      <c r="Z998" s="91"/>
      <c r="AA998" s="91"/>
      <c r="AB998" s="91"/>
      <c r="AC998" s="57"/>
    </row>
    <row r="999" ht="15.75" customHeight="1">
      <c r="A999" s="91"/>
      <c r="B999" s="236"/>
      <c r="C999" s="91"/>
      <c r="D999" s="91"/>
      <c r="E999" s="952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51"/>
      <c r="X999" s="91"/>
      <c r="Y999" s="91"/>
      <c r="Z999" s="91"/>
      <c r="AA999" s="91"/>
      <c r="AB999" s="91"/>
      <c r="AC999" s="57"/>
    </row>
    <row r="1000" ht="15.75" customHeight="1">
      <c r="A1000" s="91"/>
      <c r="B1000" s="236"/>
      <c r="C1000" s="91"/>
      <c r="D1000" s="91"/>
      <c r="E1000" s="952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51"/>
      <c r="X1000" s="91"/>
      <c r="Y1000" s="91"/>
      <c r="Z1000" s="91"/>
      <c r="AA1000" s="91"/>
      <c r="AB1000" s="91"/>
      <c r="AC1000" s="57"/>
    </row>
    <row r="1001" ht="15.75" customHeight="1">
      <c r="A1001" s="91"/>
      <c r="B1001" s="236"/>
      <c r="C1001" s="91"/>
      <c r="D1001" s="91"/>
      <c r="E1001" s="952"/>
      <c r="F1001" s="91"/>
      <c r="G1001" s="91"/>
      <c r="H1001" s="91"/>
      <c r="I1001" s="91"/>
      <c r="J1001" s="91"/>
      <c r="K1001" s="91"/>
      <c r="L1001" s="91"/>
      <c r="M1001" s="91"/>
      <c r="N1001" s="91"/>
      <c r="O1001" s="91"/>
      <c r="P1001" s="91"/>
      <c r="Q1001" s="91"/>
      <c r="R1001" s="91"/>
      <c r="S1001" s="91"/>
      <c r="T1001" s="91"/>
      <c r="U1001" s="91"/>
      <c r="V1001" s="91"/>
      <c r="W1001" s="951"/>
      <c r="X1001" s="91"/>
      <c r="Y1001" s="91"/>
      <c r="Z1001" s="91"/>
      <c r="AA1001" s="91"/>
      <c r="AB1001" s="91"/>
      <c r="AC1001" s="57"/>
    </row>
    <row r="1002" ht="15.75" customHeight="1">
      <c r="A1002" s="91"/>
      <c r="B1002" s="236"/>
      <c r="C1002" s="91"/>
      <c r="D1002" s="91"/>
      <c r="E1002" s="952"/>
      <c r="F1002" s="91"/>
      <c r="G1002" s="91"/>
      <c r="H1002" s="91"/>
      <c r="I1002" s="91"/>
      <c r="J1002" s="91"/>
      <c r="K1002" s="91"/>
      <c r="L1002" s="91"/>
      <c r="M1002" s="91"/>
      <c r="N1002" s="91"/>
      <c r="O1002" s="91"/>
      <c r="P1002" s="91"/>
      <c r="Q1002" s="91"/>
      <c r="R1002" s="91"/>
      <c r="S1002" s="91"/>
      <c r="T1002" s="91"/>
      <c r="U1002" s="91"/>
      <c r="V1002" s="91"/>
      <c r="W1002" s="951"/>
      <c r="X1002" s="91"/>
      <c r="Y1002" s="91"/>
      <c r="Z1002" s="91"/>
      <c r="AA1002" s="91"/>
      <c r="AB1002" s="91"/>
      <c r="AC1002" s="57"/>
    </row>
    <row r="1003" ht="15.75" customHeight="1">
      <c r="A1003" s="91"/>
      <c r="B1003" s="236"/>
      <c r="C1003" s="91"/>
      <c r="D1003" s="91"/>
      <c r="E1003" s="952"/>
      <c r="F1003" s="91"/>
      <c r="G1003" s="91"/>
      <c r="H1003" s="91"/>
      <c r="I1003" s="91"/>
      <c r="J1003" s="91"/>
      <c r="K1003" s="91"/>
      <c r="L1003" s="91"/>
      <c r="M1003" s="91"/>
      <c r="N1003" s="91"/>
      <c r="O1003" s="91"/>
      <c r="P1003" s="91"/>
      <c r="Q1003" s="91"/>
      <c r="R1003" s="91"/>
      <c r="S1003" s="91"/>
      <c r="T1003" s="91"/>
      <c r="U1003" s="91"/>
      <c r="V1003" s="91"/>
      <c r="W1003" s="951"/>
      <c r="X1003" s="91"/>
      <c r="Y1003" s="91"/>
      <c r="Z1003" s="91"/>
      <c r="AA1003" s="91"/>
      <c r="AB1003" s="91"/>
      <c r="AC1003" s="57"/>
    </row>
    <row r="1004" ht="15.75" customHeight="1">
      <c r="A1004" s="91"/>
      <c r="B1004" s="236"/>
      <c r="C1004" s="91"/>
      <c r="D1004" s="91"/>
      <c r="E1004" s="952"/>
      <c r="F1004" s="91"/>
      <c r="G1004" s="91"/>
      <c r="H1004" s="91"/>
      <c r="I1004" s="91"/>
      <c r="J1004" s="91"/>
      <c r="K1004" s="91"/>
      <c r="L1004" s="91"/>
      <c r="M1004" s="91"/>
      <c r="N1004" s="91"/>
      <c r="O1004" s="91"/>
      <c r="P1004" s="91"/>
      <c r="Q1004" s="91"/>
      <c r="R1004" s="91"/>
      <c r="S1004" s="91"/>
      <c r="T1004" s="91"/>
      <c r="U1004" s="91"/>
      <c r="V1004" s="91"/>
      <c r="W1004" s="951"/>
      <c r="X1004" s="91"/>
      <c r="Y1004" s="91"/>
      <c r="Z1004" s="91"/>
      <c r="AA1004" s="91"/>
      <c r="AB1004" s="91"/>
      <c r="AC1004" s="57"/>
    </row>
    <row r="1005" ht="15.75" customHeight="1">
      <c r="A1005" s="91"/>
      <c r="B1005" s="236"/>
      <c r="C1005" s="91"/>
      <c r="D1005" s="91"/>
      <c r="E1005" s="952"/>
      <c r="F1005" s="91"/>
      <c r="G1005" s="91"/>
      <c r="H1005" s="91"/>
      <c r="I1005" s="91"/>
      <c r="J1005" s="91"/>
      <c r="K1005" s="91"/>
      <c r="L1005" s="91"/>
      <c r="M1005" s="91"/>
      <c r="N1005" s="91"/>
      <c r="O1005" s="91"/>
      <c r="P1005" s="91"/>
      <c r="Q1005" s="91"/>
      <c r="R1005" s="91"/>
      <c r="S1005" s="91"/>
      <c r="T1005" s="91"/>
      <c r="U1005" s="91"/>
      <c r="V1005" s="91"/>
      <c r="W1005" s="951"/>
      <c r="X1005" s="91"/>
      <c r="Y1005" s="91"/>
      <c r="Z1005" s="91"/>
      <c r="AA1005" s="91"/>
      <c r="AB1005" s="91"/>
      <c r="AC1005" s="57"/>
    </row>
    <row r="1006" ht="15.75" customHeight="1">
      <c r="A1006" s="91"/>
      <c r="B1006" s="236"/>
      <c r="C1006" s="91"/>
      <c r="D1006" s="91"/>
      <c r="E1006" s="952"/>
      <c r="F1006" s="91"/>
      <c r="G1006" s="91"/>
      <c r="H1006" s="91"/>
      <c r="I1006" s="91"/>
      <c r="J1006" s="91"/>
      <c r="K1006" s="91"/>
      <c r="L1006" s="91"/>
      <c r="M1006" s="91"/>
      <c r="N1006" s="91"/>
      <c r="O1006" s="91"/>
      <c r="P1006" s="91"/>
      <c r="Q1006" s="91"/>
      <c r="R1006" s="91"/>
      <c r="S1006" s="91"/>
      <c r="T1006" s="91"/>
      <c r="U1006" s="91"/>
      <c r="V1006" s="91"/>
      <c r="W1006" s="951"/>
      <c r="X1006" s="91"/>
      <c r="Y1006" s="91"/>
      <c r="Z1006" s="91"/>
      <c r="AA1006" s="91"/>
      <c r="AB1006" s="91"/>
      <c r="AC1006" s="57"/>
    </row>
    <row r="1007" ht="15.75" customHeight="1">
      <c r="A1007" s="91"/>
      <c r="B1007" s="236"/>
      <c r="C1007" s="91"/>
      <c r="D1007" s="91"/>
      <c r="E1007" s="952"/>
      <c r="F1007" s="91"/>
      <c r="G1007" s="91"/>
      <c r="H1007" s="91"/>
      <c r="I1007" s="91"/>
      <c r="J1007" s="91"/>
      <c r="K1007" s="91"/>
      <c r="L1007" s="91"/>
      <c r="M1007" s="91"/>
      <c r="N1007" s="91"/>
      <c r="O1007" s="91"/>
      <c r="P1007" s="91"/>
      <c r="Q1007" s="91"/>
      <c r="R1007" s="91"/>
      <c r="S1007" s="91"/>
      <c r="T1007" s="91"/>
      <c r="U1007" s="91"/>
      <c r="V1007" s="91"/>
      <c r="W1007" s="951"/>
      <c r="X1007" s="91"/>
      <c r="Y1007" s="91"/>
      <c r="Z1007" s="91"/>
      <c r="AA1007" s="91"/>
      <c r="AB1007" s="91"/>
      <c r="AC1007" s="57"/>
    </row>
    <row r="1008" ht="15.75" customHeight="1">
      <c r="A1008" s="91"/>
      <c r="B1008" s="236"/>
      <c r="C1008" s="91"/>
      <c r="D1008" s="91"/>
      <c r="E1008" s="952"/>
      <c r="F1008" s="91"/>
      <c r="G1008" s="91"/>
      <c r="H1008" s="91"/>
      <c r="I1008" s="91"/>
      <c r="J1008" s="91"/>
      <c r="K1008" s="91"/>
      <c r="L1008" s="91"/>
      <c r="M1008" s="91"/>
      <c r="N1008" s="91"/>
      <c r="O1008" s="91"/>
      <c r="P1008" s="91"/>
      <c r="Q1008" s="91"/>
      <c r="R1008" s="91"/>
      <c r="S1008" s="91"/>
      <c r="T1008" s="91"/>
      <c r="U1008" s="91"/>
      <c r="V1008" s="91"/>
      <c r="W1008" s="951"/>
      <c r="X1008" s="91"/>
      <c r="Y1008" s="91"/>
      <c r="Z1008" s="91"/>
      <c r="AA1008" s="91"/>
      <c r="AB1008" s="91"/>
      <c r="AC1008" s="57"/>
    </row>
    <row r="1009" ht="15.75" customHeight="1">
      <c r="A1009" s="91"/>
      <c r="B1009" s="236"/>
      <c r="C1009" s="91"/>
      <c r="D1009" s="91"/>
      <c r="E1009" s="952"/>
      <c r="F1009" s="91"/>
      <c r="G1009" s="91"/>
      <c r="H1009" s="91"/>
      <c r="I1009" s="91"/>
      <c r="J1009" s="91"/>
      <c r="K1009" s="91"/>
      <c r="L1009" s="91"/>
      <c r="M1009" s="91"/>
      <c r="N1009" s="91"/>
      <c r="O1009" s="91"/>
      <c r="P1009" s="91"/>
      <c r="Q1009" s="91"/>
      <c r="R1009" s="91"/>
      <c r="S1009" s="91"/>
      <c r="T1009" s="91"/>
      <c r="U1009" s="91"/>
      <c r="V1009" s="91"/>
      <c r="W1009" s="951"/>
      <c r="X1009" s="91"/>
      <c r="Y1009" s="91"/>
      <c r="Z1009" s="91"/>
      <c r="AA1009" s="91"/>
      <c r="AB1009" s="91"/>
      <c r="AC1009" s="57"/>
    </row>
    <row r="1010" ht="15.75" customHeight="1">
      <c r="A1010" s="91"/>
      <c r="B1010" s="236"/>
      <c r="C1010" s="91"/>
      <c r="D1010" s="91"/>
      <c r="E1010" s="952"/>
      <c r="F1010" s="91"/>
      <c r="G1010" s="91"/>
      <c r="H1010" s="91"/>
      <c r="I1010" s="91"/>
      <c r="J1010" s="91"/>
      <c r="K1010" s="91"/>
      <c r="L1010" s="91"/>
      <c r="M1010" s="91"/>
      <c r="N1010" s="91"/>
      <c r="O1010" s="91"/>
      <c r="P1010" s="91"/>
      <c r="Q1010" s="91"/>
      <c r="R1010" s="91"/>
      <c r="S1010" s="91"/>
      <c r="T1010" s="91"/>
      <c r="U1010" s="91"/>
      <c r="V1010" s="91"/>
      <c r="W1010" s="951"/>
      <c r="X1010" s="91"/>
      <c r="Y1010" s="91"/>
      <c r="Z1010" s="91"/>
      <c r="AA1010" s="91"/>
      <c r="AB1010" s="91"/>
      <c r="AC1010" s="57"/>
    </row>
    <row r="1011" ht="15.75" customHeight="1">
      <c r="A1011" s="91"/>
      <c r="B1011" s="236"/>
      <c r="C1011" s="91"/>
      <c r="D1011" s="91"/>
      <c r="E1011" s="952"/>
      <c r="F1011" s="91"/>
      <c r="G1011" s="91"/>
      <c r="H1011" s="91"/>
      <c r="I1011" s="91"/>
      <c r="J1011" s="91"/>
      <c r="K1011" s="91"/>
      <c r="L1011" s="91"/>
      <c r="M1011" s="91"/>
      <c r="N1011" s="91"/>
      <c r="O1011" s="91"/>
      <c r="P1011" s="91"/>
      <c r="Q1011" s="91"/>
      <c r="R1011" s="91"/>
      <c r="S1011" s="91"/>
      <c r="T1011" s="91"/>
      <c r="U1011" s="91"/>
      <c r="V1011" s="91"/>
      <c r="W1011" s="951"/>
      <c r="X1011" s="91"/>
      <c r="Y1011" s="91"/>
      <c r="Z1011" s="91"/>
      <c r="AA1011" s="91"/>
      <c r="AB1011" s="91"/>
      <c r="AC1011" s="57"/>
    </row>
    <row r="1012" ht="15.75" customHeight="1">
      <c r="A1012" s="91"/>
      <c r="B1012" s="236"/>
      <c r="C1012" s="91"/>
      <c r="D1012" s="91"/>
      <c r="E1012" s="952"/>
      <c r="F1012" s="91"/>
      <c r="G1012" s="91"/>
      <c r="H1012" s="91"/>
      <c r="I1012" s="91"/>
      <c r="J1012" s="91"/>
      <c r="K1012" s="91"/>
      <c r="L1012" s="91"/>
      <c r="M1012" s="91"/>
      <c r="N1012" s="91"/>
      <c r="O1012" s="91"/>
      <c r="P1012" s="91"/>
      <c r="Q1012" s="91"/>
      <c r="R1012" s="91"/>
      <c r="S1012" s="91"/>
      <c r="T1012" s="91"/>
      <c r="U1012" s="91"/>
      <c r="V1012" s="91"/>
      <c r="W1012" s="951"/>
      <c r="X1012" s="91"/>
      <c r="Y1012" s="91"/>
      <c r="Z1012" s="91"/>
      <c r="AA1012" s="91"/>
      <c r="AB1012" s="91"/>
      <c r="AC1012" s="57"/>
    </row>
    <row r="1013" ht="15.75" customHeight="1">
      <c r="A1013" s="91"/>
      <c r="B1013" s="236"/>
      <c r="C1013" s="91"/>
      <c r="D1013" s="91"/>
      <c r="E1013" s="952"/>
      <c r="F1013" s="91"/>
      <c r="G1013" s="91"/>
      <c r="H1013" s="91"/>
      <c r="I1013" s="91"/>
      <c r="J1013" s="91"/>
      <c r="K1013" s="91"/>
      <c r="L1013" s="91"/>
      <c r="M1013" s="91"/>
      <c r="N1013" s="91"/>
      <c r="O1013" s="91"/>
      <c r="P1013" s="91"/>
      <c r="Q1013" s="91"/>
      <c r="R1013" s="91"/>
      <c r="S1013" s="91"/>
      <c r="T1013" s="91"/>
      <c r="U1013" s="91"/>
      <c r="V1013" s="91"/>
      <c r="W1013" s="951"/>
      <c r="X1013" s="91"/>
      <c r="Y1013" s="91"/>
      <c r="Z1013" s="91"/>
      <c r="AA1013" s="91"/>
      <c r="AB1013" s="91"/>
      <c r="AC1013" s="57"/>
    </row>
    <row r="1014" ht="15.75" customHeight="1">
      <c r="A1014" s="91"/>
      <c r="B1014" s="236"/>
      <c r="C1014" s="91"/>
      <c r="D1014" s="91"/>
      <c r="E1014" s="952"/>
      <c r="F1014" s="91"/>
      <c r="G1014" s="91"/>
      <c r="H1014" s="91"/>
      <c r="I1014" s="91"/>
      <c r="J1014" s="91"/>
      <c r="K1014" s="91"/>
      <c r="L1014" s="91"/>
      <c r="M1014" s="91"/>
      <c r="N1014" s="91"/>
      <c r="O1014" s="91"/>
      <c r="P1014" s="91"/>
      <c r="Q1014" s="91"/>
      <c r="R1014" s="91"/>
      <c r="S1014" s="91"/>
      <c r="T1014" s="91"/>
      <c r="U1014" s="91"/>
      <c r="V1014" s="91"/>
      <c r="W1014" s="951"/>
      <c r="X1014" s="91"/>
      <c r="Y1014" s="91"/>
      <c r="Z1014" s="91"/>
      <c r="AA1014" s="91"/>
      <c r="AB1014" s="91"/>
      <c r="AC1014" s="57"/>
    </row>
    <row r="1015" ht="15.75" customHeight="1">
      <c r="A1015" s="91"/>
      <c r="B1015" s="236"/>
      <c r="C1015" s="91"/>
      <c r="D1015" s="91"/>
      <c r="E1015" s="952"/>
      <c r="F1015" s="91"/>
      <c r="G1015" s="91"/>
      <c r="H1015" s="91"/>
      <c r="I1015" s="91"/>
      <c r="J1015" s="91"/>
      <c r="K1015" s="91"/>
      <c r="L1015" s="91"/>
      <c r="M1015" s="91"/>
      <c r="N1015" s="91"/>
      <c r="O1015" s="91"/>
      <c r="P1015" s="91"/>
      <c r="Q1015" s="91"/>
      <c r="R1015" s="91"/>
      <c r="S1015" s="91"/>
      <c r="T1015" s="91"/>
      <c r="U1015" s="91"/>
      <c r="V1015" s="91"/>
      <c r="W1015" s="951"/>
      <c r="X1015" s="91"/>
      <c r="Y1015" s="91"/>
      <c r="Z1015" s="91"/>
      <c r="AA1015" s="91"/>
      <c r="AB1015" s="91"/>
      <c r="AC1015" s="57"/>
    </row>
    <row r="1016" ht="15.75" customHeight="1">
      <c r="A1016" s="91"/>
      <c r="B1016" s="236"/>
      <c r="C1016" s="91"/>
      <c r="D1016" s="91"/>
      <c r="E1016" s="952"/>
      <c r="F1016" s="91"/>
      <c r="G1016" s="91"/>
      <c r="H1016" s="91"/>
      <c r="I1016" s="91"/>
      <c r="J1016" s="91"/>
      <c r="K1016" s="91"/>
      <c r="L1016" s="91"/>
      <c r="M1016" s="91"/>
      <c r="N1016" s="91"/>
      <c r="O1016" s="91"/>
      <c r="P1016" s="91"/>
      <c r="Q1016" s="91"/>
      <c r="R1016" s="91"/>
      <c r="S1016" s="91"/>
      <c r="T1016" s="91"/>
      <c r="U1016" s="91"/>
      <c r="V1016" s="91"/>
      <c r="W1016" s="951"/>
      <c r="X1016" s="91"/>
      <c r="Y1016" s="91"/>
      <c r="Z1016" s="91"/>
      <c r="AA1016" s="91"/>
      <c r="AB1016" s="91"/>
      <c r="AC1016" s="57"/>
    </row>
    <row r="1017" ht="15.75" customHeight="1">
      <c r="A1017" s="91"/>
      <c r="B1017" s="236"/>
      <c r="C1017" s="91"/>
      <c r="D1017" s="91"/>
      <c r="E1017" s="952"/>
      <c r="F1017" s="91"/>
      <c r="G1017" s="91"/>
      <c r="H1017" s="91"/>
      <c r="I1017" s="91"/>
      <c r="J1017" s="91"/>
      <c r="K1017" s="91"/>
      <c r="L1017" s="91"/>
      <c r="M1017" s="91"/>
      <c r="N1017" s="91"/>
      <c r="O1017" s="91"/>
      <c r="P1017" s="91"/>
      <c r="Q1017" s="91"/>
      <c r="R1017" s="91"/>
      <c r="S1017" s="91"/>
      <c r="T1017" s="91"/>
      <c r="U1017" s="91"/>
      <c r="V1017" s="91"/>
      <c r="W1017" s="951"/>
      <c r="X1017" s="91"/>
      <c r="Y1017" s="91"/>
      <c r="Z1017" s="91"/>
      <c r="AA1017" s="91"/>
      <c r="AB1017" s="91"/>
      <c r="AC1017" s="57"/>
    </row>
    <row r="1018" ht="15.75" customHeight="1">
      <c r="A1018" s="91"/>
      <c r="B1018" s="236"/>
      <c r="C1018" s="91"/>
      <c r="D1018" s="91"/>
      <c r="E1018" s="952"/>
      <c r="F1018" s="91"/>
      <c r="G1018" s="91"/>
      <c r="H1018" s="91"/>
      <c r="I1018" s="91"/>
      <c r="J1018" s="91"/>
      <c r="K1018" s="91"/>
      <c r="L1018" s="91"/>
      <c r="M1018" s="91"/>
      <c r="N1018" s="91"/>
      <c r="O1018" s="91"/>
      <c r="P1018" s="91"/>
      <c r="Q1018" s="91"/>
      <c r="R1018" s="91"/>
      <c r="S1018" s="91"/>
      <c r="T1018" s="91"/>
      <c r="U1018" s="91"/>
      <c r="V1018" s="91"/>
      <c r="W1018" s="951"/>
      <c r="X1018" s="91"/>
      <c r="Y1018" s="91"/>
      <c r="Z1018" s="91"/>
      <c r="AA1018" s="91"/>
      <c r="AB1018" s="91"/>
      <c r="AC1018" s="57"/>
    </row>
    <row r="1019" ht="15.75" customHeight="1">
      <c r="A1019" s="91"/>
      <c r="B1019" s="236"/>
      <c r="C1019" s="91"/>
      <c r="D1019" s="91"/>
      <c r="E1019" s="952"/>
      <c r="F1019" s="91"/>
      <c r="G1019" s="91"/>
      <c r="H1019" s="91"/>
      <c r="I1019" s="91"/>
      <c r="J1019" s="91"/>
      <c r="K1019" s="91"/>
      <c r="L1019" s="91"/>
      <c r="M1019" s="91"/>
      <c r="N1019" s="91"/>
      <c r="O1019" s="91"/>
      <c r="P1019" s="91"/>
      <c r="Q1019" s="91"/>
      <c r="R1019" s="91"/>
      <c r="S1019" s="91"/>
      <c r="T1019" s="91"/>
      <c r="U1019" s="91"/>
      <c r="V1019" s="91"/>
      <c r="W1019" s="951"/>
      <c r="X1019" s="91"/>
      <c r="Y1019" s="91"/>
      <c r="Z1019" s="91"/>
      <c r="AA1019" s="91"/>
      <c r="AB1019" s="91"/>
      <c r="AC1019" s="57"/>
    </row>
    <row r="1020" ht="15.75" customHeight="1">
      <c r="A1020" s="91"/>
      <c r="B1020" s="236"/>
      <c r="C1020" s="91"/>
      <c r="D1020" s="91"/>
      <c r="E1020" s="952"/>
      <c r="F1020" s="91"/>
      <c r="G1020" s="91"/>
      <c r="H1020" s="91"/>
      <c r="I1020" s="91"/>
      <c r="J1020" s="91"/>
      <c r="K1020" s="91"/>
      <c r="L1020" s="91"/>
      <c r="M1020" s="91"/>
      <c r="N1020" s="91"/>
      <c r="O1020" s="91"/>
      <c r="P1020" s="91"/>
      <c r="Q1020" s="91"/>
      <c r="R1020" s="91"/>
      <c r="S1020" s="91"/>
      <c r="T1020" s="91"/>
      <c r="U1020" s="91"/>
      <c r="V1020" s="91"/>
      <c r="W1020" s="951"/>
      <c r="X1020" s="91"/>
      <c r="Y1020" s="91"/>
      <c r="Z1020" s="91"/>
      <c r="AA1020" s="91"/>
      <c r="AB1020" s="91"/>
      <c r="AC1020" s="57"/>
    </row>
    <row r="1021" ht="15.75" customHeight="1">
      <c r="A1021" s="91"/>
      <c r="B1021" s="236"/>
      <c r="C1021" s="91"/>
      <c r="D1021" s="91"/>
      <c r="E1021" s="952"/>
      <c r="F1021" s="91"/>
      <c r="G1021" s="91"/>
      <c r="H1021" s="91"/>
      <c r="I1021" s="91"/>
      <c r="J1021" s="91"/>
      <c r="K1021" s="91"/>
      <c r="L1021" s="91"/>
      <c r="M1021" s="91"/>
      <c r="N1021" s="91"/>
      <c r="O1021" s="91"/>
      <c r="P1021" s="91"/>
      <c r="Q1021" s="91"/>
      <c r="R1021" s="91"/>
      <c r="S1021" s="91"/>
      <c r="T1021" s="91"/>
      <c r="U1021" s="91"/>
      <c r="V1021" s="91"/>
      <c r="W1021" s="951"/>
      <c r="X1021" s="91"/>
      <c r="Y1021" s="91"/>
      <c r="Z1021" s="91"/>
      <c r="AA1021" s="91"/>
      <c r="AB1021" s="91"/>
      <c r="AC1021" s="57"/>
    </row>
    <row r="1022" ht="15.75" customHeight="1">
      <c r="A1022" s="91"/>
      <c r="B1022" s="236"/>
      <c r="C1022" s="91"/>
      <c r="D1022" s="91"/>
      <c r="E1022" s="952"/>
      <c r="F1022" s="91"/>
      <c r="G1022" s="91"/>
      <c r="H1022" s="91"/>
      <c r="I1022" s="91"/>
      <c r="J1022" s="91"/>
      <c r="K1022" s="91"/>
      <c r="L1022" s="91"/>
      <c r="M1022" s="91"/>
      <c r="N1022" s="91"/>
      <c r="O1022" s="91"/>
      <c r="P1022" s="91"/>
      <c r="Q1022" s="91"/>
      <c r="R1022" s="91"/>
      <c r="S1022" s="91"/>
      <c r="T1022" s="91"/>
      <c r="U1022" s="91"/>
      <c r="V1022" s="91"/>
      <c r="W1022" s="951"/>
      <c r="X1022" s="91"/>
      <c r="Y1022" s="91"/>
      <c r="Z1022" s="91"/>
      <c r="AA1022" s="91"/>
      <c r="AB1022" s="91"/>
      <c r="AC1022" s="57"/>
    </row>
    <row r="1023" ht="15.75" customHeight="1">
      <c r="A1023" s="91"/>
      <c r="B1023" s="236"/>
      <c r="C1023" s="91"/>
      <c r="D1023" s="91"/>
      <c r="E1023" s="952"/>
      <c r="F1023" s="91"/>
      <c r="G1023" s="91"/>
      <c r="H1023" s="91"/>
      <c r="I1023" s="91"/>
      <c r="J1023" s="91"/>
      <c r="K1023" s="91"/>
      <c r="L1023" s="91"/>
      <c r="M1023" s="91"/>
      <c r="N1023" s="91"/>
      <c r="O1023" s="91"/>
      <c r="P1023" s="91"/>
      <c r="Q1023" s="91"/>
      <c r="R1023" s="91"/>
      <c r="S1023" s="91"/>
      <c r="T1023" s="91"/>
      <c r="U1023" s="91"/>
      <c r="V1023" s="91"/>
      <c r="W1023" s="951"/>
      <c r="X1023" s="91"/>
      <c r="Y1023" s="91"/>
      <c r="Z1023" s="91"/>
      <c r="AA1023" s="91"/>
      <c r="AB1023" s="91"/>
      <c r="AC1023" s="57"/>
    </row>
    <row r="1024" ht="15.75" customHeight="1">
      <c r="A1024" s="91"/>
      <c r="B1024" s="236"/>
      <c r="C1024" s="91"/>
      <c r="D1024" s="91"/>
      <c r="E1024" s="952"/>
      <c r="F1024" s="91"/>
      <c r="G1024" s="91"/>
      <c r="H1024" s="91"/>
      <c r="I1024" s="91"/>
      <c r="J1024" s="91"/>
      <c r="K1024" s="91"/>
      <c r="L1024" s="91"/>
      <c r="M1024" s="91"/>
      <c r="N1024" s="91"/>
      <c r="O1024" s="91"/>
      <c r="P1024" s="91"/>
      <c r="Q1024" s="91"/>
      <c r="R1024" s="91"/>
      <c r="S1024" s="91"/>
      <c r="T1024" s="91"/>
      <c r="U1024" s="91"/>
      <c r="V1024" s="91"/>
      <c r="W1024" s="951"/>
      <c r="X1024" s="91"/>
      <c r="Y1024" s="91"/>
      <c r="Z1024" s="91"/>
      <c r="AA1024" s="91"/>
      <c r="AB1024" s="91"/>
      <c r="AC1024" s="57"/>
    </row>
    <row r="1025" ht="15.75" customHeight="1">
      <c r="A1025" s="91"/>
      <c r="B1025" s="236"/>
      <c r="C1025" s="91"/>
      <c r="D1025" s="91"/>
      <c r="E1025" s="952"/>
      <c r="F1025" s="91"/>
      <c r="G1025" s="91"/>
      <c r="H1025" s="91"/>
      <c r="I1025" s="91"/>
      <c r="J1025" s="91"/>
      <c r="K1025" s="91"/>
      <c r="L1025" s="91"/>
      <c r="M1025" s="91"/>
      <c r="N1025" s="91"/>
      <c r="O1025" s="91"/>
      <c r="P1025" s="91"/>
      <c r="Q1025" s="91"/>
      <c r="R1025" s="91"/>
      <c r="S1025" s="91"/>
      <c r="T1025" s="91"/>
      <c r="U1025" s="91"/>
      <c r="V1025" s="91"/>
      <c r="W1025" s="951"/>
      <c r="X1025" s="91"/>
      <c r="Y1025" s="91"/>
      <c r="Z1025" s="91"/>
      <c r="AA1025" s="91"/>
      <c r="AB1025" s="91"/>
      <c r="AC1025" s="57"/>
    </row>
    <row r="1026" ht="15.75" customHeight="1">
      <c r="A1026" s="91"/>
      <c r="B1026" s="236"/>
      <c r="C1026" s="91"/>
      <c r="D1026" s="91"/>
      <c r="E1026" s="952"/>
      <c r="F1026" s="91"/>
      <c r="G1026" s="91"/>
      <c r="H1026" s="91"/>
      <c r="I1026" s="91"/>
      <c r="J1026" s="91"/>
      <c r="K1026" s="91"/>
      <c r="L1026" s="91"/>
      <c r="M1026" s="91"/>
      <c r="N1026" s="91"/>
      <c r="O1026" s="91"/>
      <c r="P1026" s="91"/>
      <c r="Q1026" s="91"/>
      <c r="R1026" s="91"/>
      <c r="S1026" s="91"/>
      <c r="T1026" s="91"/>
      <c r="U1026" s="91"/>
      <c r="V1026" s="91"/>
      <c r="W1026" s="951"/>
      <c r="X1026" s="91"/>
      <c r="Y1026" s="91"/>
      <c r="Z1026" s="91"/>
      <c r="AA1026" s="91"/>
      <c r="AB1026" s="91"/>
      <c r="AC1026" s="57"/>
    </row>
    <row r="1027" ht="15.75" customHeight="1">
      <c r="A1027" s="91"/>
      <c r="B1027" s="236"/>
      <c r="C1027" s="91"/>
      <c r="D1027" s="91"/>
      <c r="E1027" s="952"/>
      <c r="F1027" s="91"/>
      <c r="G1027" s="91"/>
      <c r="H1027" s="91"/>
      <c r="I1027" s="91"/>
      <c r="J1027" s="91"/>
      <c r="K1027" s="91"/>
      <c r="L1027" s="91"/>
      <c r="M1027" s="91"/>
      <c r="N1027" s="91"/>
      <c r="O1027" s="91"/>
      <c r="P1027" s="91"/>
      <c r="Q1027" s="91"/>
      <c r="R1027" s="91"/>
      <c r="S1027" s="91"/>
      <c r="T1027" s="91"/>
      <c r="U1027" s="91"/>
      <c r="V1027" s="91"/>
      <c r="W1027" s="951"/>
      <c r="X1027" s="91"/>
      <c r="Y1027" s="91"/>
      <c r="Z1027" s="91"/>
      <c r="AA1027" s="91"/>
      <c r="AB1027" s="91"/>
      <c r="AC1027" s="57"/>
    </row>
    <row r="1028" ht="15.75" customHeight="1">
      <c r="A1028" s="91"/>
      <c r="B1028" s="236"/>
      <c r="C1028" s="91"/>
      <c r="D1028" s="91"/>
      <c r="E1028" s="952"/>
      <c r="F1028" s="91"/>
      <c r="G1028" s="91"/>
      <c r="H1028" s="91"/>
      <c r="I1028" s="91"/>
      <c r="J1028" s="91"/>
      <c r="K1028" s="91"/>
      <c r="L1028" s="91"/>
      <c r="M1028" s="91"/>
      <c r="N1028" s="91"/>
      <c r="O1028" s="91"/>
      <c r="P1028" s="91"/>
      <c r="Q1028" s="91"/>
      <c r="R1028" s="91"/>
      <c r="S1028" s="91"/>
      <c r="T1028" s="91"/>
      <c r="U1028" s="91"/>
      <c r="V1028" s="91"/>
      <c r="W1028" s="951"/>
      <c r="X1028" s="91"/>
      <c r="Y1028" s="91"/>
      <c r="Z1028" s="91"/>
      <c r="AA1028" s="91"/>
      <c r="AB1028" s="91"/>
      <c r="AC1028" s="57"/>
    </row>
    <row r="1029" ht="15.75" customHeight="1">
      <c r="A1029" s="91"/>
      <c r="B1029" s="236"/>
      <c r="C1029" s="91"/>
      <c r="D1029" s="91"/>
      <c r="E1029" s="952"/>
      <c r="F1029" s="91"/>
      <c r="G1029" s="91"/>
      <c r="H1029" s="91"/>
      <c r="I1029" s="91"/>
      <c r="J1029" s="91"/>
      <c r="K1029" s="91"/>
      <c r="L1029" s="91"/>
      <c r="M1029" s="91"/>
      <c r="N1029" s="91"/>
      <c r="O1029" s="91"/>
      <c r="P1029" s="91"/>
      <c r="Q1029" s="91"/>
      <c r="R1029" s="91"/>
      <c r="S1029" s="91"/>
      <c r="T1029" s="91"/>
      <c r="U1029" s="91"/>
      <c r="V1029" s="91"/>
      <c r="W1029" s="951"/>
      <c r="X1029" s="91"/>
      <c r="Y1029" s="91"/>
      <c r="Z1029" s="91"/>
      <c r="AA1029" s="91"/>
      <c r="AB1029" s="91"/>
      <c r="AC1029" s="57"/>
    </row>
    <row r="1030" ht="15.75" customHeight="1">
      <c r="A1030" s="91"/>
      <c r="B1030" s="236"/>
      <c r="C1030" s="91"/>
      <c r="D1030" s="91"/>
      <c r="E1030" s="952"/>
      <c r="F1030" s="91"/>
      <c r="G1030" s="91"/>
      <c r="H1030" s="91"/>
      <c r="I1030" s="91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U1030" s="91"/>
      <c r="V1030" s="91"/>
      <c r="W1030" s="951"/>
      <c r="X1030" s="91"/>
      <c r="Y1030" s="91"/>
      <c r="Z1030" s="91"/>
      <c r="AA1030" s="91"/>
      <c r="AB1030" s="91"/>
      <c r="AC1030" s="57"/>
    </row>
    <row r="1031" ht="15.75" customHeight="1">
      <c r="A1031" s="91"/>
      <c r="B1031" s="236"/>
      <c r="C1031" s="91"/>
      <c r="D1031" s="91"/>
      <c r="E1031" s="952"/>
      <c r="F1031" s="91"/>
      <c r="G1031" s="91"/>
      <c r="H1031" s="91"/>
      <c r="I1031" s="91"/>
      <c r="J1031" s="91"/>
      <c r="K1031" s="91"/>
      <c r="L1031" s="91"/>
      <c r="M1031" s="91"/>
      <c r="N1031" s="91"/>
      <c r="O1031" s="91"/>
      <c r="P1031" s="91"/>
      <c r="Q1031" s="91"/>
      <c r="R1031" s="91"/>
      <c r="S1031" s="91"/>
      <c r="T1031" s="91"/>
      <c r="U1031" s="91"/>
      <c r="V1031" s="91"/>
      <c r="W1031" s="951"/>
      <c r="X1031" s="91"/>
      <c r="Y1031" s="91"/>
      <c r="Z1031" s="91"/>
      <c r="AA1031" s="91"/>
      <c r="AB1031" s="91"/>
      <c r="AC1031" s="57"/>
    </row>
    <row r="1032" ht="15.75" customHeight="1">
      <c r="A1032" s="91"/>
      <c r="B1032" s="236"/>
      <c r="C1032" s="91"/>
      <c r="D1032" s="91"/>
      <c r="E1032" s="952"/>
      <c r="F1032" s="91"/>
      <c r="G1032" s="91"/>
      <c r="H1032" s="91"/>
      <c r="I1032" s="91"/>
      <c r="J1032" s="91"/>
      <c r="K1032" s="91"/>
      <c r="L1032" s="91"/>
      <c r="M1032" s="91"/>
      <c r="N1032" s="91"/>
      <c r="O1032" s="91"/>
      <c r="P1032" s="91"/>
      <c r="Q1032" s="91"/>
      <c r="R1032" s="91"/>
      <c r="S1032" s="91"/>
      <c r="T1032" s="91"/>
      <c r="U1032" s="91"/>
      <c r="V1032" s="91"/>
      <c r="W1032" s="951"/>
      <c r="X1032" s="91"/>
      <c r="Y1032" s="91"/>
      <c r="Z1032" s="91"/>
      <c r="AA1032" s="91"/>
      <c r="AB1032" s="91"/>
      <c r="AC1032" s="57"/>
    </row>
    <row r="1033" ht="15.75" customHeight="1">
      <c r="A1033" s="91"/>
      <c r="B1033" s="236"/>
      <c r="C1033" s="91"/>
      <c r="D1033" s="91"/>
      <c r="E1033" s="952"/>
      <c r="F1033" s="91"/>
      <c r="G1033" s="91"/>
      <c r="H1033" s="91"/>
      <c r="I1033" s="91"/>
      <c r="J1033" s="91"/>
      <c r="K1033" s="91"/>
      <c r="L1033" s="91"/>
      <c r="M1033" s="91"/>
      <c r="N1033" s="91"/>
      <c r="O1033" s="91"/>
      <c r="P1033" s="91"/>
      <c r="Q1033" s="91"/>
      <c r="R1033" s="91"/>
      <c r="S1033" s="91"/>
      <c r="T1033" s="91"/>
      <c r="U1033" s="91"/>
      <c r="V1033" s="91"/>
      <c r="W1033" s="951"/>
      <c r="X1033" s="91"/>
      <c r="Y1033" s="91"/>
      <c r="Z1033" s="91"/>
      <c r="AA1033" s="91"/>
      <c r="AB1033" s="91"/>
      <c r="AC1033" s="57"/>
    </row>
    <row r="1034" ht="15.75" customHeight="1">
      <c r="A1034" s="91"/>
      <c r="B1034" s="236"/>
      <c r="C1034" s="91"/>
      <c r="D1034" s="91"/>
      <c r="E1034" s="952"/>
      <c r="F1034" s="91"/>
      <c r="G1034" s="91"/>
      <c r="H1034" s="91"/>
      <c r="I1034" s="91"/>
      <c r="J1034" s="91"/>
      <c r="K1034" s="91"/>
      <c r="L1034" s="91"/>
      <c r="M1034" s="91"/>
      <c r="N1034" s="91"/>
      <c r="O1034" s="91"/>
      <c r="P1034" s="91"/>
      <c r="Q1034" s="91"/>
      <c r="R1034" s="91"/>
      <c r="S1034" s="91"/>
      <c r="T1034" s="91"/>
      <c r="U1034" s="91"/>
      <c r="V1034" s="91"/>
      <c r="W1034" s="951"/>
      <c r="X1034" s="91"/>
      <c r="Y1034" s="91"/>
      <c r="Z1034" s="91"/>
      <c r="AA1034" s="91"/>
      <c r="AB1034" s="91"/>
      <c r="AC1034" s="57"/>
    </row>
    <row r="1035" ht="15.75" customHeight="1">
      <c r="A1035" s="91"/>
      <c r="B1035" s="236"/>
      <c r="C1035" s="91"/>
      <c r="D1035" s="91"/>
      <c r="E1035" s="952"/>
      <c r="F1035" s="91"/>
      <c r="G1035" s="91"/>
      <c r="H1035" s="91"/>
      <c r="I1035" s="91"/>
      <c r="J1035" s="91"/>
      <c r="K1035" s="91"/>
      <c r="L1035" s="91"/>
      <c r="M1035" s="91"/>
      <c r="N1035" s="91"/>
      <c r="O1035" s="91"/>
      <c r="P1035" s="91"/>
      <c r="Q1035" s="91"/>
      <c r="R1035" s="91"/>
      <c r="S1035" s="91"/>
      <c r="T1035" s="91"/>
      <c r="U1035" s="91"/>
      <c r="V1035" s="91"/>
      <c r="W1035" s="951"/>
      <c r="X1035" s="91"/>
      <c r="Y1035" s="91"/>
      <c r="Z1035" s="91"/>
      <c r="AA1035" s="91"/>
      <c r="AB1035" s="91"/>
      <c r="AC1035" s="57"/>
    </row>
    <row r="1036" ht="15.75" customHeight="1">
      <c r="A1036" s="91"/>
      <c r="B1036" s="236"/>
      <c r="C1036" s="91"/>
      <c r="D1036" s="91"/>
      <c r="E1036" s="952"/>
      <c r="F1036" s="91"/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  <c r="Q1036" s="91"/>
      <c r="R1036" s="91"/>
      <c r="S1036" s="91"/>
      <c r="T1036" s="91"/>
      <c r="U1036" s="91"/>
      <c r="V1036" s="91"/>
      <c r="W1036" s="951"/>
      <c r="X1036" s="91"/>
      <c r="Y1036" s="91"/>
      <c r="Z1036" s="91"/>
      <c r="AA1036" s="91"/>
      <c r="AB1036" s="91"/>
      <c r="AC1036" s="57"/>
    </row>
    <row r="1037" ht="15.75" customHeight="1">
      <c r="A1037" s="91"/>
      <c r="B1037" s="236"/>
      <c r="C1037" s="91"/>
      <c r="D1037" s="91"/>
      <c r="E1037" s="952"/>
      <c r="F1037" s="91"/>
      <c r="G1037" s="91"/>
      <c r="H1037" s="91"/>
      <c r="I1037" s="91"/>
      <c r="J1037" s="91"/>
      <c r="K1037" s="91"/>
      <c r="L1037" s="91"/>
      <c r="M1037" s="91"/>
      <c r="N1037" s="91"/>
      <c r="O1037" s="91"/>
      <c r="P1037" s="91"/>
      <c r="Q1037" s="91"/>
      <c r="R1037" s="91"/>
      <c r="S1037" s="91"/>
      <c r="T1037" s="91"/>
      <c r="U1037" s="91"/>
      <c r="V1037" s="91"/>
      <c r="W1037" s="951"/>
      <c r="X1037" s="91"/>
      <c r="Y1037" s="91"/>
      <c r="Z1037" s="91"/>
      <c r="AA1037" s="91"/>
      <c r="AB1037" s="91"/>
      <c r="AC1037" s="57"/>
    </row>
    <row r="1038" ht="15.75" customHeight="1">
      <c r="A1038" s="91"/>
      <c r="B1038" s="236"/>
      <c r="C1038" s="91"/>
      <c r="D1038" s="91"/>
      <c r="E1038" s="952"/>
      <c r="F1038" s="91"/>
      <c r="G1038" s="91"/>
      <c r="H1038" s="91"/>
      <c r="I1038" s="91"/>
      <c r="J1038" s="91"/>
      <c r="K1038" s="91"/>
      <c r="L1038" s="91"/>
      <c r="M1038" s="91"/>
      <c r="N1038" s="91"/>
      <c r="O1038" s="91"/>
      <c r="P1038" s="91"/>
      <c r="Q1038" s="91"/>
      <c r="R1038" s="91"/>
      <c r="S1038" s="91"/>
      <c r="T1038" s="91"/>
      <c r="U1038" s="91"/>
      <c r="V1038" s="91"/>
      <c r="W1038" s="951"/>
      <c r="X1038" s="91"/>
      <c r="Y1038" s="91"/>
      <c r="Z1038" s="91"/>
      <c r="AA1038" s="91"/>
      <c r="AB1038" s="91"/>
      <c r="AC1038" s="57"/>
    </row>
    <row r="1039" ht="15.75" customHeight="1">
      <c r="A1039" s="91"/>
      <c r="B1039" s="236"/>
      <c r="C1039" s="91"/>
      <c r="D1039" s="91"/>
      <c r="E1039" s="952"/>
      <c r="F1039" s="91"/>
      <c r="G1039" s="91"/>
      <c r="H1039" s="91"/>
      <c r="I1039" s="91"/>
      <c r="J1039" s="91"/>
      <c r="K1039" s="91"/>
      <c r="L1039" s="91"/>
      <c r="M1039" s="91"/>
      <c r="N1039" s="91"/>
      <c r="O1039" s="91"/>
      <c r="P1039" s="91"/>
      <c r="Q1039" s="91"/>
      <c r="R1039" s="91"/>
      <c r="S1039" s="91"/>
      <c r="T1039" s="91"/>
      <c r="U1039" s="91"/>
      <c r="V1039" s="91"/>
      <c r="W1039" s="951"/>
      <c r="X1039" s="91"/>
      <c r="Y1039" s="91"/>
      <c r="Z1039" s="91"/>
      <c r="AA1039" s="91"/>
      <c r="AB1039" s="91"/>
      <c r="AC1039" s="57"/>
    </row>
    <row r="1040" ht="15.75" customHeight="1">
      <c r="A1040" s="91"/>
      <c r="B1040" s="236"/>
      <c r="C1040" s="91"/>
      <c r="D1040" s="91"/>
      <c r="E1040" s="952"/>
      <c r="F1040" s="91"/>
      <c r="G1040" s="91"/>
      <c r="H1040" s="91"/>
      <c r="I1040" s="91"/>
      <c r="J1040" s="91"/>
      <c r="K1040" s="91"/>
      <c r="L1040" s="91"/>
      <c r="M1040" s="91"/>
      <c r="N1040" s="91"/>
      <c r="O1040" s="91"/>
      <c r="P1040" s="91"/>
      <c r="Q1040" s="91"/>
      <c r="R1040" s="91"/>
      <c r="S1040" s="91"/>
      <c r="T1040" s="91"/>
      <c r="U1040" s="91"/>
      <c r="V1040" s="91"/>
      <c r="W1040" s="951"/>
      <c r="X1040" s="91"/>
      <c r="Y1040" s="91"/>
      <c r="Z1040" s="91"/>
      <c r="AA1040" s="91"/>
      <c r="AB1040" s="91"/>
      <c r="AC1040" s="57"/>
    </row>
    <row r="1041" ht="15.75" customHeight="1">
      <c r="A1041" s="91"/>
      <c r="B1041" s="236"/>
      <c r="C1041" s="91"/>
      <c r="D1041" s="91"/>
      <c r="E1041" s="952"/>
      <c r="F1041" s="91"/>
      <c r="G1041" s="91"/>
      <c r="H1041" s="91"/>
      <c r="I1041" s="91"/>
      <c r="J1041" s="91"/>
      <c r="K1041" s="91"/>
      <c r="L1041" s="91"/>
      <c r="M1041" s="91"/>
      <c r="N1041" s="91"/>
      <c r="O1041" s="91"/>
      <c r="P1041" s="91"/>
      <c r="Q1041" s="91"/>
      <c r="R1041" s="91"/>
      <c r="S1041" s="91"/>
      <c r="T1041" s="91"/>
      <c r="U1041" s="91"/>
      <c r="V1041" s="91"/>
      <c r="W1041" s="951"/>
      <c r="X1041" s="91"/>
      <c r="Y1041" s="91"/>
      <c r="Z1041" s="91"/>
      <c r="AA1041" s="91"/>
      <c r="AB1041" s="91"/>
      <c r="AC1041" s="57"/>
    </row>
    <row r="1042" ht="15.75" customHeight="1">
      <c r="A1042" s="91"/>
      <c r="B1042" s="236"/>
      <c r="C1042" s="91"/>
      <c r="D1042" s="91"/>
      <c r="E1042" s="952"/>
      <c r="F1042" s="91"/>
      <c r="G1042" s="91"/>
      <c r="H1042" s="91"/>
      <c r="I1042" s="91"/>
      <c r="J1042" s="91"/>
      <c r="K1042" s="91"/>
      <c r="L1042" s="91"/>
      <c r="M1042" s="91"/>
      <c r="N1042" s="91"/>
      <c r="O1042" s="91"/>
      <c r="P1042" s="91"/>
      <c r="Q1042" s="91"/>
      <c r="R1042" s="91"/>
      <c r="S1042" s="91"/>
      <c r="T1042" s="91"/>
      <c r="U1042" s="91"/>
      <c r="V1042" s="91"/>
      <c r="W1042" s="951"/>
      <c r="X1042" s="91"/>
      <c r="Y1042" s="91"/>
      <c r="Z1042" s="91"/>
      <c r="AA1042" s="91"/>
      <c r="AB1042" s="91"/>
      <c r="AC1042" s="57"/>
    </row>
    <row r="1043" ht="15.75" customHeight="1">
      <c r="A1043" s="91"/>
      <c r="B1043" s="236"/>
      <c r="C1043" s="91"/>
      <c r="D1043" s="91"/>
      <c r="E1043" s="952"/>
      <c r="F1043" s="91"/>
      <c r="G1043" s="91"/>
      <c r="H1043" s="91"/>
      <c r="I1043" s="91"/>
      <c r="J1043" s="91"/>
      <c r="K1043" s="91"/>
      <c r="L1043" s="91"/>
      <c r="M1043" s="91"/>
      <c r="N1043" s="91"/>
      <c r="O1043" s="91"/>
      <c r="P1043" s="91"/>
      <c r="Q1043" s="91"/>
      <c r="R1043" s="91"/>
      <c r="S1043" s="91"/>
      <c r="T1043" s="91"/>
      <c r="U1043" s="91"/>
      <c r="V1043" s="91"/>
      <c r="W1043" s="951"/>
      <c r="X1043" s="91"/>
      <c r="Y1043" s="91"/>
      <c r="Z1043" s="91"/>
      <c r="AA1043" s="91"/>
      <c r="AB1043" s="91"/>
      <c r="AC1043" s="57"/>
    </row>
    <row r="1044" ht="15.75" customHeight="1">
      <c r="A1044" s="91"/>
      <c r="B1044" s="236"/>
      <c r="C1044" s="91"/>
      <c r="D1044" s="91"/>
      <c r="E1044" s="952"/>
      <c r="F1044" s="91"/>
      <c r="G1044" s="91"/>
      <c r="H1044" s="91"/>
      <c r="I1044" s="91"/>
      <c r="J1044" s="91"/>
      <c r="K1044" s="91"/>
      <c r="L1044" s="91"/>
      <c r="M1044" s="91"/>
      <c r="N1044" s="91"/>
      <c r="O1044" s="91"/>
      <c r="P1044" s="91"/>
      <c r="Q1044" s="91"/>
      <c r="R1044" s="91"/>
      <c r="S1044" s="91"/>
      <c r="T1044" s="91"/>
      <c r="U1044" s="91"/>
      <c r="V1044" s="91"/>
      <c r="W1044" s="951"/>
      <c r="X1044" s="91"/>
      <c r="Y1044" s="91"/>
      <c r="Z1044" s="91"/>
      <c r="AA1044" s="91"/>
      <c r="AB1044" s="91"/>
      <c r="AC1044" s="57"/>
    </row>
    <row r="1045" ht="15.75" customHeight="1">
      <c r="A1045" s="91"/>
      <c r="B1045" s="236"/>
      <c r="C1045" s="91"/>
      <c r="D1045" s="91"/>
      <c r="E1045" s="952"/>
      <c r="F1045" s="91"/>
      <c r="G1045" s="91"/>
      <c r="H1045" s="91"/>
      <c r="I1045" s="91"/>
      <c r="J1045" s="91"/>
      <c r="K1045" s="91"/>
      <c r="L1045" s="91"/>
      <c r="M1045" s="91"/>
      <c r="N1045" s="91"/>
      <c r="O1045" s="91"/>
      <c r="P1045" s="91"/>
      <c r="Q1045" s="91"/>
      <c r="R1045" s="91"/>
      <c r="S1045" s="91"/>
      <c r="T1045" s="91"/>
      <c r="U1045" s="91"/>
      <c r="V1045" s="91"/>
      <c r="W1045" s="951"/>
      <c r="X1045" s="91"/>
      <c r="Y1045" s="91"/>
      <c r="Z1045" s="91"/>
      <c r="AA1045" s="91"/>
      <c r="AB1045" s="91"/>
      <c r="AC1045" s="57"/>
    </row>
    <row r="1046" ht="15.75" customHeight="1">
      <c r="A1046" s="91"/>
      <c r="B1046" s="236"/>
      <c r="C1046" s="91"/>
      <c r="D1046" s="91"/>
      <c r="E1046" s="952"/>
      <c r="F1046" s="91"/>
      <c r="G1046" s="91"/>
      <c r="H1046" s="91"/>
      <c r="I1046" s="91"/>
      <c r="J1046" s="91"/>
      <c r="K1046" s="91"/>
      <c r="L1046" s="91"/>
      <c r="M1046" s="91"/>
      <c r="N1046" s="91"/>
      <c r="O1046" s="91"/>
      <c r="P1046" s="91"/>
      <c r="Q1046" s="91"/>
      <c r="R1046" s="91"/>
      <c r="S1046" s="91"/>
      <c r="T1046" s="91"/>
      <c r="U1046" s="91"/>
      <c r="V1046" s="91"/>
      <c r="W1046" s="951"/>
      <c r="X1046" s="91"/>
      <c r="Y1046" s="91"/>
      <c r="Z1046" s="91"/>
      <c r="AA1046" s="91"/>
      <c r="AB1046" s="91"/>
      <c r="AC1046" s="57"/>
    </row>
    <row r="1047" ht="15.75" customHeight="1">
      <c r="A1047" s="91"/>
      <c r="B1047" s="236"/>
      <c r="C1047" s="91"/>
      <c r="D1047" s="91"/>
      <c r="E1047" s="952"/>
      <c r="F1047" s="91"/>
      <c r="G1047" s="91"/>
      <c r="H1047" s="91"/>
      <c r="I1047" s="91"/>
      <c r="J1047" s="91"/>
      <c r="K1047" s="91"/>
      <c r="L1047" s="91"/>
      <c r="M1047" s="91"/>
      <c r="N1047" s="91"/>
      <c r="O1047" s="91"/>
      <c r="P1047" s="91"/>
      <c r="Q1047" s="91"/>
      <c r="R1047" s="91"/>
      <c r="S1047" s="91"/>
      <c r="T1047" s="91"/>
      <c r="U1047" s="91"/>
      <c r="V1047" s="91"/>
      <c r="W1047" s="951"/>
      <c r="X1047" s="91"/>
      <c r="Y1047" s="91"/>
      <c r="Z1047" s="91"/>
      <c r="AA1047" s="91"/>
      <c r="AB1047" s="91"/>
      <c r="AC1047" s="57"/>
    </row>
    <row r="1048" ht="15.75" customHeight="1">
      <c r="A1048" s="91"/>
      <c r="B1048" s="236"/>
      <c r="C1048" s="91"/>
      <c r="D1048" s="91"/>
      <c r="E1048" s="952"/>
      <c r="F1048" s="91"/>
      <c r="G1048" s="91"/>
      <c r="H1048" s="91"/>
      <c r="I1048" s="91"/>
      <c r="J1048" s="91"/>
      <c r="K1048" s="91"/>
      <c r="L1048" s="91"/>
      <c r="M1048" s="91"/>
      <c r="N1048" s="91"/>
      <c r="O1048" s="91"/>
      <c r="P1048" s="91"/>
      <c r="Q1048" s="91"/>
      <c r="R1048" s="91"/>
      <c r="S1048" s="91"/>
      <c r="T1048" s="91"/>
      <c r="U1048" s="91"/>
      <c r="V1048" s="91"/>
      <c r="W1048" s="951"/>
      <c r="X1048" s="91"/>
      <c r="Y1048" s="91"/>
      <c r="Z1048" s="91"/>
      <c r="AA1048" s="91"/>
      <c r="AB1048" s="91"/>
      <c r="AC1048" s="57"/>
    </row>
    <row r="1049" ht="15.75" customHeight="1">
      <c r="A1049" s="91"/>
      <c r="B1049" s="236"/>
      <c r="C1049" s="91"/>
      <c r="D1049" s="91"/>
      <c r="E1049" s="952"/>
      <c r="F1049" s="91"/>
      <c r="G1049" s="91"/>
      <c r="H1049" s="91"/>
      <c r="I1049" s="91"/>
      <c r="J1049" s="91"/>
      <c r="K1049" s="91"/>
      <c r="L1049" s="91"/>
      <c r="M1049" s="91"/>
      <c r="N1049" s="91"/>
      <c r="O1049" s="91"/>
      <c r="P1049" s="91"/>
      <c r="Q1049" s="91"/>
      <c r="R1049" s="91"/>
      <c r="S1049" s="91"/>
      <c r="T1049" s="91"/>
      <c r="U1049" s="91"/>
      <c r="V1049" s="91"/>
      <c r="W1049" s="951"/>
      <c r="X1049" s="91"/>
      <c r="Y1049" s="91"/>
      <c r="Z1049" s="91"/>
      <c r="AA1049" s="91"/>
      <c r="AB1049" s="91"/>
      <c r="AC1049" s="57"/>
    </row>
    <row r="1050" ht="15.75" customHeight="1">
      <c r="A1050" s="91"/>
      <c r="B1050" s="236"/>
      <c r="C1050" s="91"/>
      <c r="D1050" s="91"/>
      <c r="E1050" s="952"/>
      <c r="F1050" s="91"/>
      <c r="G1050" s="91"/>
      <c r="H1050" s="91"/>
      <c r="I1050" s="91"/>
      <c r="J1050" s="91"/>
      <c r="K1050" s="91"/>
      <c r="L1050" s="91"/>
      <c r="M1050" s="91"/>
      <c r="N1050" s="91"/>
      <c r="O1050" s="91"/>
      <c r="P1050" s="91"/>
      <c r="Q1050" s="91"/>
      <c r="R1050" s="91"/>
      <c r="S1050" s="91"/>
      <c r="T1050" s="91"/>
      <c r="U1050" s="91"/>
      <c r="V1050" s="91"/>
      <c r="W1050" s="951"/>
      <c r="X1050" s="91"/>
      <c r="Y1050" s="91"/>
      <c r="Z1050" s="91"/>
      <c r="AA1050" s="91"/>
      <c r="AB1050" s="91"/>
      <c r="AC1050" s="57"/>
    </row>
    <row r="1051" ht="15.75" customHeight="1">
      <c r="A1051" s="91"/>
      <c r="B1051" s="236"/>
      <c r="C1051" s="91"/>
      <c r="D1051" s="91"/>
      <c r="E1051" s="952"/>
      <c r="F1051" s="91"/>
      <c r="G1051" s="91"/>
      <c r="H1051" s="91"/>
      <c r="I1051" s="91"/>
      <c r="J1051" s="91"/>
      <c r="K1051" s="91"/>
      <c r="L1051" s="91"/>
      <c r="M1051" s="91"/>
      <c r="N1051" s="91"/>
      <c r="O1051" s="91"/>
      <c r="P1051" s="91"/>
      <c r="Q1051" s="91"/>
      <c r="R1051" s="91"/>
      <c r="S1051" s="91"/>
      <c r="T1051" s="91"/>
      <c r="U1051" s="91"/>
      <c r="V1051" s="91"/>
      <c r="W1051" s="951"/>
      <c r="X1051" s="91"/>
      <c r="Y1051" s="91"/>
      <c r="Z1051" s="91"/>
      <c r="AA1051" s="91"/>
      <c r="AB1051" s="91"/>
      <c r="AC1051" s="57"/>
    </row>
    <row r="1052" ht="15.75" customHeight="1">
      <c r="A1052" s="91"/>
      <c r="B1052" s="236"/>
      <c r="C1052" s="91"/>
      <c r="D1052" s="91"/>
      <c r="E1052" s="952"/>
      <c r="F1052" s="91"/>
      <c r="G1052" s="91"/>
      <c r="H1052" s="91"/>
      <c r="I1052" s="91"/>
      <c r="J1052" s="91"/>
      <c r="K1052" s="91"/>
      <c r="L1052" s="91"/>
      <c r="M1052" s="91"/>
      <c r="N1052" s="91"/>
      <c r="O1052" s="91"/>
      <c r="P1052" s="91"/>
      <c r="Q1052" s="91"/>
      <c r="R1052" s="91"/>
      <c r="S1052" s="91"/>
      <c r="T1052" s="91"/>
      <c r="U1052" s="91"/>
      <c r="V1052" s="91"/>
      <c r="W1052" s="951"/>
      <c r="X1052" s="91"/>
      <c r="Y1052" s="91"/>
      <c r="Z1052" s="91"/>
      <c r="AA1052" s="91"/>
      <c r="AB1052" s="91"/>
      <c r="AC1052" s="57"/>
    </row>
    <row r="1053" ht="15.75" customHeight="1">
      <c r="A1053" s="91"/>
      <c r="B1053" s="236"/>
      <c r="C1053" s="91"/>
      <c r="D1053" s="91"/>
      <c r="E1053" s="952"/>
      <c r="F1053" s="91"/>
      <c r="G1053" s="91"/>
      <c r="H1053" s="91"/>
      <c r="I1053" s="91"/>
      <c r="J1053" s="91"/>
      <c r="K1053" s="91"/>
      <c r="L1053" s="91"/>
      <c r="M1053" s="91"/>
      <c r="N1053" s="91"/>
      <c r="O1053" s="91"/>
      <c r="P1053" s="91"/>
      <c r="Q1053" s="91"/>
      <c r="R1053" s="91"/>
      <c r="S1053" s="91"/>
      <c r="T1053" s="91"/>
      <c r="U1053" s="91"/>
      <c r="V1053" s="91"/>
      <c r="W1053" s="951"/>
      <c r="X1053" s="91"/>
      <c r="Y1053" s="91"/>
      <c r="Z1053" s="91"/>
      <c r="AA1053" s="91"/>
      <c r="AB1053" s="91"/>
      <c r="AC1053" s="57"/>
    </row>
    <row r="1054" ht="15.75" customHeight="1">
      <c r="A1054" s="91"/>
      <c r="B1054" s="236"/>
      <c r="C1054" s="91"/>
      <c r="D1054" s="91"/>
      <c r="E1054" s="952"/>
      <c r="F1054" s="91"/>
      <c r="G1054" s="91"/>
      <c r="H1054" s="91"/>
      <c r="I1054" s="91"/>
      <c r="J1054" s="91"/>
      <c r="K1054" s="91"/>
      <c r="L1054" s="91"/>
      <c r="M1054" s="91"/>
      <c r="N1054" s="91"/>
      <c r="O1054" s="91"/>
      <c r="P1054" s="91"/>
      <c r="Q1054" s="91"/>
      <c r="R1054" s="91"/>
      <c r="S1054" s="91"/>
      <c r="T1054" s="91"/>
      <c r="U1054" s="91"/>
      <c r="V1054" s="91"/>
      <c r="W1054" s="951"/>
      <c r="X1054" s="91"/>
      <c r="Y1054" s="91"/>
      <c r="Z1054" s="91"/>
      <c r="AA1054" s="91"/>
      <c r="AB1054" s="91"/>
      <c r="AC1054" s="57"/>
    </row>
    <row r="1055" ht="15.75" customHeight="1">
      <c r="A1055" s="91"/>
      <c r="B1055" s="236"/>
      <c r="C1055" s="91"/>
      <c r="D1055" s="91"/>
      <c r="E1055" s="952"/>
      <c r="F1055" s="91"/>
      <c r="G1055" s="91"/>
      <c r="H1055" s="91"/>
      <c r="I1055" s="91"/>
      <c r="J1055" s="91"/>
      <c r="K1055" s="91"/>
      <c r="L1055" s="91"/>
      <c r="M1055" s="91"/>
      <c r="N1055" s="91"/>
      <c r="O1055" s="91"/>
      <c r="P1055" s="91"/>
      <c r="Q1055" s="91"/>
      <c r="R1055" s="91"/>
      <c r="S1055" s="91"/>
      <c r="T1055" s="91"/>
      <c r="U1055" s="91"/>
      <c r="V1055" s="91"/>
      <c r="W1055" s="951"/>
      <c r="X1055" s="91"/>
      <c r="Y1055" s="91"/>
      <c r="Z1055" s="91"/>
      <c r="AA1055" s="91"/>
      <c r="AB1055" s="91"/>
      <c r="AC1055" s="57"/>
    </row>
    <row r="1056" ht="15.75" customHeight="1">
      <c r="A1056" s="91"/>
      <c r="B1056" s="236"/>
      <c r="C1056" s="91"/>
      <c r="D1056" s="91"/>
      <c r="E1056" s="952"/>
      <c r="F1056" s="91"/>
      <c r="G1056" s="91"/>
      <c r="H1056" s="91"/>
      <c r="I1056" s="91"/>
      <c r="J1056" s="91"/>
      <c r="K1056" s="91"/>
      <c r="L1056" s="91"/>
      <c r="M1056" s="91"/>
      <c r="N1056" s="91"/>
      <c r="O1056" s="91"/>
      <c r="P1056" s="91"/>
      <c r="Q1056" s="91"/>
      <c r="R1056" s="91"/>
      <c r="S1056" s="91"/>
      <c r="T1056" s="91"/>
      <c r="U1056" s="91"/>
      <c r="V1056" s="91"/>
      <c r="W1056" s="951"/>
      <c r="X1056" s="91"/>
      <c r="Y1056" s="91"/>
      <c r="Z1056" s="91"/>
      <c r="AA1056" s="91"/>
      <c r="AB1056" s="91"/>
      <c r="AC1056" s="57"/>
    </row>
    <row r="1057" ht="15.75" customHeight="1">
      <c r="A1057" s="91"/>
      <c r="B1057" s="236"/>
      <c r="C1057" s="91"/>
      <c r="D1057" s="91"/>
      <c r="E1057" s="952"/>
      <c r="F1057" s="91"/>
      <c r="G1057" s="91"/>
      <c r="H1057" s="91"/>
      <c r="I1057" s="91"/>
      <c r="J1057" s="91"/>
      <c r="K1057" s="91"/>
      <c r="L1057" s="91"/>
      <c r="M1057" s="91"/>
      <c r="N1057" s="91"/>
      <c r="O1057" s="91"/>
      <c r="P1057" s="91"/>
      <c r="Q1057" s="91"/>
      <c r="R1057" s="91"/>
      <c r="S1057" s="91"/>
      <c r="T1057" s="91"/>
      <c r="U1057" s="91"/>
      <c r="V1057" s="91"/>
      <c r="W1057" s="951"/>
      <c r="X1057" s="91"/>
      <c r="Y1057" s="91"/>
      <c r="Z1057" s="91"/>
      <c r="AA1057" s="91"/>
      <c r="AB1057" s="91"/>
      <c r="AC1057" s="57"/>
    </row>
    <row r="1058" ht="15.75" customHeight="1">
      <c r="A1058" s="91"/>
      <c r="B1058" s="236"/>
      <c r="C1058" s="91"/>
      <c r="D1058" s="91"/>
      <c r="E1058" s="952"/>
      <c r="F1058" s="91"/>
      <c r="G1058" s="91"/>
      <c r="H1058" s="91"/>
      <c r="I1058" s="91"/>
      <c r="J1058" s="91"/>
      <c r="K1058" s="91"/>
      <c r="L1058" s="91"/>
      <c r="M1058" s="91"/>
      <c r="N1058" s="91"/>
      <c r="O1058" s="91"/>
      <c r="P1058" s="91"/>
      <c r="Q1058" s="91"/>
      <c r="R1058" s="91"/>
      <c r="S1058" s="91"/>
      <c r="T1058" s="91"/>
      <c r="U1058" s="91"/>
      <c r="V1058" s="91"/>
      <c r="W1058" s="951"/>
      <c r="X1058" s="91"/>
      <c r="Y1058" s="91"/>
      <c r="Z1058" s="91"/>
      <c r="AA1058" s="91"/>
      <c r="AB1058" s="91"/>
      <c r="AC1058" s="57"/>
    </row>
    <row r="1059" ht="15.75" customHeight="1">
      <c r="A1059" s="91"/>
      <c r="B1059" s="236"/>
      <c r="C1059" s="91"/>
      <c r="D1059" s="91"/>
      <c r="E1059" s="952"/>
      <c r="F1059" s="91"/>
      <c r="G1059" s="91"/>
      <c r="H1059" s="91"/>
      <c r="I1059" s="91"/>
      <c r="J1059" s="91"/>
      <c r="K1059" s="91"/>
      <c r="L1059" s="91"/>
      <c r="M1059" s="91"/>
      <c r="N1059" s="91"/>
      <c r="O1059" s="91"/>
      <c r="P1059" s="91"/>
      <c r="Q1059" s="91"/>
      <c r="R1059" s="91"/>
      <c r="S1059" s="91"/>
      <c r="T1059" s="91"/>
      <c r="U1059" s="91"/>
      <c r="V1059" s="91"/>
      <c r="W1059" s="951"/>
      <c r="X1059" s="91"/>
      <c r="Y1059" s="91"/>
      <c r="Z1059" s="91"/>
      <c r="AA1059" s="91"/>
      <c r="AB1059" s="91"/>
      <c r="AC1059" s="57"/>
    </row>
    <row r="1060" ht="15.75" customHeight="1">
      <c r="A1060" s="91"/>
      <c r="B1060" s="236"/>
      <c r="C1060" s="91"/>
      <c r="D1060" s="91"/>
      <c r="E1060" s="952"/>
      <c r="F1060" s="91"/>
      <c r="G1060" s="91"/>
      <c r="H1060" s="91"/>
      <c r="I1060" s="91"/>
      <c r="J1060" s="91"/>
      <c r="K1060" s="91"/>
      <c r="L1060" s="91"/>
      <c r="M1060" s="91"/>
      <c r="N1060" s="91"/>
      <c r="O1060" s="91"/>
      <c r="P1060" s="91"/>
      <c r="Q1060" s="91"/>
      <c r="R1060" s="91"/>
      <c r="S1060" s="91"/>
      <c r="T1060" s="91"/>
      <c r="U1060" s="91"/>
      <c r="V1060" s="91"/>
      <c r="W1060" s="951"/>
      <c r="X1060" s="91"/>
      <c r="Y1060" s="91"/>
      <c r="Z1060" s="91"/>
      <c r="AA1060" s="91"/>
      <c r="AB1060" s="91"/>
      <c r="AC1060" s="57"/>
    </row>
    <row r="1061" ht="15.75" customHeight="1">
      <c r="A1061" s="91"/>
      <c r="B1061" s="236"/>
      <c r="C1061" s="91"/>
      <c r="D1061" s="91"/>
      <c r="E1061" s="952"/>
      <c r="F1061" s="91"/>
      <c r="G1061" s="91"/>
      <c r="H1061" s="91"/>
      <c r="I1061" s="91"/>
      <c r="J1061" s="91"/>
      <c r="K1061" s="91"/>
      <c r="L1061" s="91"/>
      <c r="M1061" s="91"/>
      <c r="N1061" s="91"/>
      <c r="O1061" s="91"/>
      <c r="P1061" s="91"/>
      <c r="Q1061" s="91"/>
      <c r="R1061" s="91"/>
      <c r="S1061" s="91"/>
      <c r="T1061" s="91"/>
      <c r="U1061" s="91"/>
      <c r="V1061" s="91"/>
      <c r="W1061" s="951"/>
      <c r="X1061" s="91"/>
      <c r="Y1061" s="91"/>
      <c r="Z1061" s="91"/>
      <c r="AA1061" s="91"/>
      <c r="AB1061" s="91"/>
      <c r="AC1061" s="57"/>
    </row>
    <row r="1062" ht="15.75" customHeight="1">
      <c r="A1062" s="91"/>
      <c r="B1062" s="236"/>
      <c r="C1062" s="91"/>
      <c r="D1062" s="91"/>
      <c r="E1062" s="952"/>
      <c r="F1062" s="91"/>
      <c r="G1062" s="91"/>
      <c r="H1062" s="91"/>
      <c r="I1062" s="91"/>
      <c r="J1062" s="91"/>
      <c r="K1062" s="91"/>
      <c r="L1062" s="91"/>
      <c r="M1062" s="91"/>
      <c r="N1062" s="91"/>
      <c r="O1062" s="91"/>
      <c r="P1062" s="91"/>
      <c r="Q1062" s="91"/>
      <c r="R1062" s="91"/>
      <c r="S1062" s="91"/>
      <c r="T1062" s="91"/>
      <c r="U1062" s="91"/>
      <c r="V1062" s="91"/>
      <c r="W1062" s="951"/>
      <c r="X1062" s="91"/>
      <c r="Y1062" s="91"/>
      <c r="Z1062" s="91"/>
      <c r="AA1062" s="91"/>
      <c r="AB1062" s="91"/>
      <c r="AC1062" s="57"/>
    </row>
    <row r="1063" ht="15.75" customHeight="1">
      <c r="A1063" s="91"/>
      <c r="B1063" s="236"/>
      <c r="C1063" s="91"/>
      <c r="D1063" s="91"/>
      <c r="E1063" s="952"/>
      <c r="F1063" s="91"/>
      <c r="G1063" s="91"/>
      <c r="H1063" s="91"/>
      <c r="I1063" s="91"/>
      <c r="J1063" s="91"/>
      <c r="K1063" s="91"/>
      <c r="L1063" s="91"/>
      <c r="M1063" s="91"/>
      <c r="N1063" s="91"/>
      <c r="O1063" s="91"/>
      <c r="P1063" s="91"/>
      <c r="Q1063" s="91"/>
      <c r="R1063" s="91"/>
      <c r="S1063" s="91"/>
      <c r="T1063" s="91"/>
      <c r="U1063" s="91"/>
      <c r="V1063" s="91"/>
      <c r="W1063" s="951"/>
      <c r="X1063" s="91"/>
      <c r="Y1063" s="91"/>
      <c r="Z1063" s="91"/>
      <c r="AA1063" s="91"/>
      <c r="AB1063" s="91"/>
      <c r="AC1063" s="57"/>
    </row>
    <row r="1064" ht="15.75" customHeight="1">
      <c r="A1064" s="91"/>
      <c r="B1064" s="236"/>
      <c r="C1064" s="91"/>
      <c r="D1064" s="91"/>
      <c r="E1064" s="952"/>
      <c r="F1064" s="91"/>
      <c r="G1064" s="91"/>
      <c r="H1064" s="91"/>
      <c r="I1064" s="91"/>
      <c r="J1064" s="91"/>
      <c r="K1064" s="91"/>
      <c r="L1064" s="91"/>
      <c r="M1064" s="91"/>
      <c r="N1064" s="91"/>
      <c r="O1064" s="91"/>
      <c r="P1064" s="91"/>
      <c r="Q1064" s="91"/>
      <c r="R1064" s="91"/>
      <c r="S1064" s="91"/>
      <c r="T1064" s="91"/>
      <c r="U1064" s="91"/>
      <c r="V1064" s="91"/>
      <c r="W1064" s="951"/>
      <c r="X1064" s="91"/>
      <c r="Y1064" s="91"/>
      <c r="Z1064" s="91"/>
      <c r="AA1064" s="91"/>
      <c r="AB1064" s="91"/>
      <c r="AC1064" s="57"/>
    </row>
    <row r="1065" ht="15.75" customHeight="1">
      <c r="A1065" s="91"/>
      <c r="B1065" s="236"/>
      <c r="C1065" s="91"/>
      <c r="D1065" s="91"/>
      <c r="E1065" s="952"/>
      <c r="F1065" s="91"/>
      <c r="G1065" s="91"/>
      <c r="H1065" s="91"/>
      <c r="I1065" s="91"/>
      <c r="J1065" s="91"/>
      <c r="K1065" s="91"/>
      <c r="L1065" s="91"/>
      <c r="M1065" s="91"/>
      <c r="N1065" s="91"/>
      <c r="O1065" s="91"/>
      <c r="P1065" s="91"/>
      <c r="Q1065" s="91"/>
      <c r="R1065" s="91"/>
      <c r="S1065" s="91"/>
      <c r="T1065" s="91"/>
      <c r="U1065" s="91"/>
      <c r="V1065" s="91"/>
      <c r="W1065" s="951"/>
      <c r="X1065" s="91"/>
      <c r="Y1065" s="91"/>
      <c r="Z1065" s="91"/>
      <c r="AA1065" s="91"/>
      <c r="AB1065" s="91"/>
      <c r="AC1065" s="57"/>
    </row>
    <row r="1066" ht="15.75" customHeight="1">
      <c r="A1066" s="91"/>
      <c r="B1066" s="236"/>
      <c r="C1066" s="91"/>
      <c r="D1066" s="91"/>
      <c r="E1066" s="952"/>
      <c r="F1066" s="91"/>
      <c r="G1066" s="91"/>
      <c r="H1066" s="91"/>
      <c r="I1066" s="91"/>
      <c r="J1066" s="91"/>
      <c r="K1066" s="91"/>
      <c r="L1066" s="91"/>
      <c r="M1066" s="91"/>
      <c r="N1066" s="91"/>
      <c r="O1066" s="91"/>
      <c r="P1066" s="91"/>
      <c r="Q1066" s="91"/>
      <c r="R1066" s="91"/>
      <c r="S1066" s="91"/>
      <c r="T1066" s="91"/>
      <c r="U1066" s="91"/>
      <c r="V1066" s="91"/>
      <c r="W1066" s="951"/>
      <c r="X1066" s="91"/>
      <c r="Y1066" s="91"/>
      <c r="Z1066" s="91"/>
      <c r="AA1066" s="91"/>
      <c r="AB1066" s="91"/>
      <c r="AC1066" s="57"/>
    </row>
    <row r="1067" ht="15.75" customHeight="1">
      <c r="A1067" s="91"/>
      <c r="B1067" s="236"/>
      <c r="C1067" s="91"/>
      <c r="D1067" s="91"/>
      <c r="E1067" s="952"/>
      <c r="F1067" s="91"/>
      <c r="G1067" s="91"/>
      <c r="H1067" s="91"/>
      <c r="I1067" s="91"/>
      <c r="J1067" s="91"/>
      <c r="K1067" s="91"/>
      <c r="L1067" s="91"/>
      <c r="M1067" s="91"/>
      <c r="N1067" s="91"/>
      <c r="O1067" s="91"/>
      <c r="P1067" s="91"/>
      <c r="Q1067" s="91"/>
      <c r="R1067" s="91"/>
      <c r="S1067" s="91"/>
      <c r="T1067" s="91"/>
      <c r="U1067" s="91"/>
      <c r="V1067" s="91"/>
      <c r="W1067" s="951"/>
      <c r="X1067" s="91"/>
      <c r="Y1067" s="91"/>
      <c r="Z1067" s="91"/>
      <c r="AA1067" s="91"/>
      <c r="AB1067" s="91"/>
      <c r="AC1067" s="57"/>
    </row>
    <row r="1068" ht="15.75" customHeight="1">
      <c r="A1068" s="91"/>
      <c r="B1068" s="236"/>
      <c r="C1068" s="91"/>
      <c r="D1068" s="91"/>
      <c r="E1068" s="952"/>
      <c r="F1068" s="91"/>
      <c r="G1068" s="91"/>
      <c r="H1068" s="91"/>
      <c r="I1068" s="91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U1068" s="91"/>
      <c r="V1068" s="91"/>
      <c r="W1068" s="951"/>
      <c r="X1068" s="91"/>
      <c r="Y1068" s="91"/>
      <c r="Z1068" s="91"/>
      <c r="AA1068" s="91"/>
      <c r="AB1068" s="91"/>
      <c r="AC1068" s="57"/>
    </row>
    <row r="1069" ht="15.75" customHeight="1">
      <c r="A1069" s="91"/>
      <c r="B1069" s="236"/>
      <c r="C1069" s="91"/>
      <c r="D1069" s="91"/>
      <c r="E1069" s="952"/>
      <c r="F1069" s="91"/>
      <c r="G1069" s="91"/>
      <c r="H1069" s="91"/>
      <c r="I1069" s="91"/>
      <c r="J1069" s="91"/>
      <c r="K1069" s="91"/>
      <c r="L1069" s="91"/>
      <c r="M1069" s="91"/>
      <c r="N1069" s="91"/>
      <c r="O1069" s="91"/>
      <c r="P1069" s="91"/>
      <c r="Q1069" s="91"/>
      <c r="R1069" s="91"/>
      <c r="S1069" s="91"/>
      <c r="T1069" s="91"/>
      <c r="U1069" s="91"/>
      <c r="V1069" s="91"/>
      <c r="W1069" s="951"/>
      <c r="X1069" s="91"/>
      <c r="Y1069" s="91"/>
      <c r="Z1069" s="91"/>
      <c r="AA1069" s="91"/>
      <c r="AB1069" s="91"/>
      <c r="AC1069" s="57"/>
    </row>
  </sheetData>
  <autoFilter ref="$A$1:$AC$836">
    <filterColumn colId="1">
      <filters>
        <filter val="Tpole"/>
        <filter val="RB tech"/>
      </filters>
    </filterColumn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 outlineLevelRow="1"/>
  <cols>
    <col customWidth="1" min="1" max="1" width="10.71"/>
    <col customWidth="1" min="3" max="3" width="12.43"/>
    <col customWidth="1" min="4" max="4" width="19.14"/>
    <col customWidth="1" min="5" max="5" width="46.43"/>
    <col customWidth="1" min="6" max="6" width="8.14"/>
    <col customWidth="1" min="7" max="7" width="14.86"/>
    <col customWidth="1" min="8" max="8" width="12.14"/>
    <col customWidth="1" min="9" max="9" width="10.43"/>
    <col customWidth="1" min="10" max="10" width="15.57"/>
    <col customWidth="1" min="11" max="11" width="11.0"/>
    <col customWidth="1" min="12" max="12" width="14.86"/>
    <col customWidth="1" min="13" max="13" width="15.43"/>
    <col customWidth="1" min="14" max="14" width="22.29"/>
    <col customWidth="1" min="15" max="15" width="18.43"/>
    <col customWidth="1" min="16" max="16" width="14.29"/>
    <col customWidth="1" min="17" max="17" width="20.71"/>
    <col customWidth="1" min="18" max="18" width="19.86"/>
    <col customWidth="1" min="19" max="19" width="16.86"/>
    <col customWidth="1" min="20" max="20" width="12.57"/>
    <col customWidth="1" min="21" max="21" width="15.43"/>
    <col customWidth="1" min="22" max="22" width="14.29"/>
    <col customWidth="1" min="23" max="23" width="15.86"/>
    <col customWidth="1" min="24" max="24" width="20.29"/>
    <col customWidth="1" min="25" max="25" width="15.14"/>
    <col customWidth="1" min="26" max="26" width="16.0"/>
    <col customWidth="1" min="27" max="27" width="17.57"/>
    <col customWidth="1" min="28" max="29" width="18.0"/>
  </cols>
  <sheetData>
    <row r="1" ht="15.75" customHeight="1" collapsed="1">
      <c r="A1" s="752" t="s">
        <v>3462</v>
      </c>
      <c r="B1" s="753" t="s">
        <v>3463</v>
      </c>
      <c r="C1" s="754" t="s">
        <v>2</v>
      </c>
      <c r="D1" s="1" t="s">
        <v>3</v>
      </c>
      <c r="E1" s="1" t="s">
        <v>4</v>
      </c>
      <c r="F1" s="954" t="s">
        <v>5</v>
      </c>
      <c r="G1" s="955" t="s">
        <v>5973</v>
      </c>
      <c r="H1" s="956" t="s">
        <v>5974</v>
      </c>
      <c r="I1" s="1" t="s">
        <v>8</v>
      </c>
      <c r="J1" s="755" t="s">
        <v>9</v>
      </c>
      <c r="K1" s="957" t="s">
        <v>10</v>
      </c>
      <c r="L1" s="958" t="s">
        <v>5975</v>
      </c>
      <c r="M1" s="760" t="s">
        <v>12</v>
      </c>
      <c r="N1" s="958" t="s">
        <v>5976</v>
      </c>
      <c r="O1" s="959" t="s">
        <v>5977</v>
      </c>
      <c r="P1" s="761" t="s">
        <v>5978</v>
      </c>
      <c r="Q1" s="958" t="s">
        <v>5979</v>
      </c>
      <c r="R1" s="960" t="s">
        <v>5980</v>
      </c>
      <c r="S1" s="961" t="s">
        <v>5981</v>
      </c>
      <c r="T1" s="962" t="s">
        <v>20</v>
      </c>
      <c r="U1" s="962" t="s">
        <v>21</v>
      </c>
      <c r="V1" s="962" t="s">
        <v>5982</v>
      </c>
      <c r="W1" s="962" t="s">
        <v>23</v>
      </c>
      <c r="X1" s="962" t="s">
        <v>5983</v>
      </c>
      <c r="Y1" s="962" t="s">
        <v>25</v>
      </c>
      <c r="Z1" s="962" t="s">
        <v>5984</v>
      </c>
      <c r="AA1" s="962" t="s">
        <v>27</v>
      </c>
      <c r="AB1" s="962" t="s">
        <v>3469</v>
      </c>
      <c r="AC1" s="962" t="s">
        <v>29</v>
      </c>
    </row>
    <row r="2" ht="15.75" hidden="1" customHeight="1" outlineLevel="1">
      <c r="A2" s="963">
        <v>42354.0</v>
      </c>
      <c r="B2" s="35" t="s">
        <v>5985</v>
      </c>
      <c r="C2" s="518"/>
      <c r="D2" s="964" t="s">
        <v>5986</v>
      </c>
      <c r="E2" s="964" t="s">
        <v>5987</v>
      </c>
      <c r="F2" s="965">
        <v>1000.0</v>
      </c>
      <c r="G2" s="47">
        <v>1.97</v>
      </c>
      <c r="H2" s="966">
        <f>F2*G2</f>
        <v>1970</v>
      </c>
      <c r="I2" s="27" t="s">
        <v>171</v>
      </c>
      <c r="J2" s="31" t="s">
        <v>71</v>
      </c>
      <c r="K2" s="118" t="s">
        <v>71</v>
      </c>
      <c r="L2" s="735">
        <v>42438.0</v>
      </c>
      <c r="M2" s="967" t="s">
        <v>5988</v>
      </c>
      <c r="N2" s="70" t="s">
        <v>5989</v>
      </c>
      <c r="O2" s="20">
        <v>2310.0</v>
      </c>
      <c r="P2" s="695">
        <f>2.2*1000*33.225*1.05</f>
        <v>76749.75</v>
      </c>
      <c r="Q2" s="20" t="s">
        <v>5990</v>
      </c>
      <c r="R2" s="521"/>
      <c r="S2" s="968">
        <v>42389.0</v>
      </c>
      <c r="T2" s="969">
        <v>42432.0</v>
      </c>
      <c r="U2" s="970" t="s">
        <v>5991</v>
      </c>
      <c r="V2" s="971">
        <v>76750.0</v>
      </c>
      <c r="W2" s="972">
        <v>42389.0</v>
      </c>
      <c r="X2" s="973"/>
      <c r="Y2" s="974"/>
      <c r="Z2" s="974"/>
      <c r="AA2" s="975"/>
      <c r="AB2" s="970"/>
      <c r="AC2" s="974" t="s">
        <v>5992</v>
      </c>
    </row>
    <row r="3" ht="15.75" hidden="1" customHeight="1" outlineLevel="1">
      <c r="A3" s="30">
        <v>42534.0</v>
      </c>
      <c r="B3" s="35" t="s">
        <v>5985</v>
      </c>
      <c r="C3" s="518"/>
      <c r="D3" s="22" t="s">
        <v>5993</v>
      </c>
      <c r="E3" s="22" t="s">
        <v>5994</v>
      </c>
      <c r="F3" s="965">
        <v>1.0</v>
      </c>
      <c r="G3" s="47">
        <v>1940.0</v>
      </c>
      <c r="H3" s="33">
        <f t="shared" ref="H3:H13" si="1">G3*F3</f>
        <v>1940</v>
      </c>
      <c r="I3" s="27" t="s">
        <v>171</v>
      </c>
      <c r="J3" s="58" t="s">
        <v>5995</v>
      </c>
      <c r="K3" s="30">
        <v>42578.0</v>
      </c>
      <c r="L3" s="82" t="s">
        <v>71</v>
      </c>
      <c r="M3" s="58" t="s">
        <v>5996</v>
      </c>
      <c r="N3" s="21" t="s">
        <v>5997</v>
      </c>
      <c r="O3" s="352"/>
      <c r="P3" s="22">
        <v>31500.0</v>
      </c>
      <c r="Q3" s="76" t="s">
        <v>5998</v>
      </c>
      <c r="R3" s="150"/>
      <c r="S3" s="976"/>
      <c r="T3" s="977">
        <v>42797.0</v>
      </c>
      <c r="U3" s="978" t="s">
        <v>5999</v>
      </c>
      <c r="V3" s="971">
        <v>31500.0</v>
      </c>
      <c r="W3" s="735">
        <v>42557.0</v>
      </c>
      <c r="X3" s="20" t="s">
        <v>6000</v>
      </c>
      <c r="Y3" s="974"/>
      <c r="Z3" s="974"/>
      <c r="AA3" s="974"/>
      <c r="AB3" s="979"/>
      <c r="AC3" s="973"/>
    </row>
    <row r="4" ht="15.75" hidden="1" customHeight="1" outlineLevel="1">
      <c r="A4" s="30">
        <v>42534.0</v>
      </c>
      <c r="B4" s="35" t="s">
        <v>5985</v>
      </c>
      <c r="C4" s="518"/>
      <c r="D4" s="980" t="s">
        <v>6001</v>
      </c>
      <c r="E4" s="980" t="s">
        <v>6002</v>
      </c>
      <c r="F4" s="965">
        <v>1.0</v>
      </c>
      <c r="G4" s="47">
        <v>465.0</v>
      </c>
      <c r="H4" s="47">
        <f t="shared" si="1"/>
        <v>465</v>
      </c>
      <c r="I4" s="27" t="s">
        <v>171</v>
      </c>
      <c r="J4" s="58" t="s">
        <v>5995</v>
      </c>
      <c r="K4" s="49" t="s">
        <v>71</v>
      </c>
      <c r="L4" s="82" t="s">
        <v>71</v>
      </c>
      <c r="M4" s="58" t="s">
        <v>6003</v>
      </c>
      <c r="N4" s="21" t="s">
        <v>6004</v>
      </c>
      <c r="O4" s="352"/>
      <c r="P4" s="22">
        <v>13650.0</v>
      </c>
      <c r="Q4" s="22" t="s">
        <v>6005</v>
      </c>
      <c r="R4" s="150"/>
      <c r="S4" s="976"/>
      <c r="T4" s="977"/>
      <c r="U4" s="978"/>
      <c r="V4" s="971"/>
      <c r="W4" s="972"/>
      <c r="X4" s="20" t="s">
        <v>6000</v>
      </c>
      <c r="Y4" s="974"/>
      <c r="Z4" s="974"/>
      <c r="AA4" s="974"/>
      <c r="AB4" s="979"/>
      <c r="AC4" s="973" t="s">
        <v>284</v>
      </c>
    </row>
    <row r="5" ht="15.75" hidden="1" customHeight="1" outlineLevel="1">
      <c r="A5" s="30">
        <v>42534.0</v>
      </c>
      <c r="B5" s="35" t="s">
        <v>5985</v>
      </c>
      <c r="C5" s="518"/>
      <c r="D5" s="980" t="s">
        <v>6001</v>
      </c>
      <c r="E5" s="980" t="s">
        <v>6006</v>
      </c>
      <c r="F5" s="965">
        <v>1.0</v>
      </c>
      <c r="G5" s="47">
        <v>501.0</v>
      </c>
      <c r="H5" s="47">
        <f t="shared" si="1"/>
        <v>501</v>
      </c>
      <c r="I5" s="27" t="s">
        <v>171</v>
      </c>
      <c r="J5" s="58" t="s">
        <v>5995</v>
      </c>
      <c r="K5" s="49" t="s">
        <v>71</v>
      </c>
      <c r="L5" s="82" t="s">
        <v>71</v>
      </c>
      <c r="M5" s="58" t="s">
        <v>6007</v>
      </c>
      <c r="N5" s="21" t="s">
        <v>6008</v>
      </c>
      <c r="O5" s="352"/>
      <c r="P5" s="22">
        <v>14737.0</v>
      </c>
      <c r="Q5" s="22" t="s">
        <v>6009</v>
      </c>
      <c r="R5" s="150"/>
      <c r="S5" s="976"/>
      <c r="T5" s="969"/>
      <c r="U5" s="970"/>
      <c r="V5" s="971"/>
      <c r="W5" s="972"/>
      <c r="X5" s="20" t="s">
        <v>6000</v>
      </c>
      <c r="Y5" s="974"/>
      <c r="Z5" s="974"/>
      <c r="AA5" s="974"/>
      <c r="AB5" s="979"/>
      <c r="AC5" s="973" t="s">
        <v>284</v>
      </c>
    </row>
    <row r="6" ht="15.75" hidden="1" customHeight="1" outlineLevel="1">
      <c r="A6" s="30">
        <v>42534.0</v>
      </c>
      <c r="B6" s="35" t="s">
        <v>5985</v>
      </c>
      <c r="C6" s="518"/>
      <c r="D6" s="22" t="s">
        <v>5993</v>
      </c>
      <c r="E6" s="22" t="s">
        <v>6010</v>
      </c>
      <c r="F6" s="965">
        <v>1.0</v>
      </c>
      <c r="G6" s="47">
        <v>486.0</v>
      </c>
      <c r="H6" s="33">
        <f t="shared" si="1"/>
        <v>486</v>
      </c>
      <c r="I6" s="27" t="s">
        <v>171</v>
      </c>
      <c r="J6" s="58" t="s">
        <v>5995</v>
      </c>
      <c r="K6" s="30">
        <v>42578.0</v>
      </c>
      <c r="L6" s="30">
        <v>42576.0</v>
      </c>
      <c r="M6" s="58" t="s">
        <v>6011</v>
      </c>
      <c r="N6" s="21" t="s">
        <v>6012</v>
      </c>
      <c r="O6" s="36"/>
      <c r="P6" s="22">
        <v>14280.0</v>
      </c>
      <c r="Q6" s="22" t="s">
        <v>6013</v>
      </c>
      <c r="R6" s="150"/>
      <c r="S6" s="976"/>
      <c r="T6" s="981">
        <v>42573.0</v>
      </c>
      <c r="U6" s="70" t="s">
        <v>6014</v>
      </c>
      <c r="V6" s="982">
        <v>28560.0</v>
      </c>
      <c r="W6" s="735">
        <v>42569.0</v>
      </c>
      <c r="X6" s="983" t="s">
        <v>6015</v>
      </c>
      <c r="Y6" s="974"/>
      <c r="Z6" s="974"/>
      <c r="AA6" s="974"/>
      <c r="AB6" s="979"/>
      <c r="AC6" s="973"/>
    </row>
    <row r="7" ht="15.75" hidden="1" customHeight="1" outlineLevel="1">
      <c r="A7" s="30">
        <v>42534.0</v>
      </c>
      <c r="B7" s="35" t="s">
        <v>5985</v>
      </c>
      <c r="C7" s="518"/>
      <c r="D7" s="22" t="s">
        <v>6001</v>
      </c>
      <c r="E7" s="22" t="s">
        <v>6010</v>
      </c>
      <c r="F7" s="965">
        <v>1.0</v>
      </c>
      <c r="G7" s="47">
        <v>486.0</v>
      </c>
      <c r="H7" s="33">
        <f t="shared" si="1"/>
        <v>486</v>
      </c>
      <c r="I7" s="27" t="s">
        <v>171</v>
      </c>
      <c r="J7" s="58" t="s">
        <v>5995</v>
      </c>
      <c r="K7" s="49" t="s">
        <v>71</v>
      </c>
      <c r="L7" s="30">
        <v>42573.0</v>
      </c>
      <c r="M7" s="58" t="s">
        <v>6011</v>
      </c>
      <c r="N7" s="21" t="s">
        <v>6012</v>
      </c>
      <c r="O7" s="36"/>
      <c r="P7" s="22">
        <v>14280.0</v>
      </c>
      <c r="Q7" s="22" t="s">
        <v>6013</v>
      </c>
      <c r="R7" s="150"/>
      <c r="S7" s="976"/>
      <c r="T7" s="984">
        <v>42573.0</v>
      </c>
      <c r="U7" s="21" t="s">
        <v>6014</v>
      </c>
      <c r="V7" s="982" t="s">
        <v>6016</v>
      </c>
      <c r="W7" s="735">
        <v>42569.0</v>
      </c>
      <c r="X7" s="20" t="s">
        <v>6000</v>
      </c>
      <c r="Y7" s="974"/>
      <c r="Z7" s="974"/>
      <c r="AA7" s="974"/>
      <c r="AB7" s="979"/>
      <c r="AC7" s="973"/>
    </row>
    <row r="8" ht="15.75" hidden="1" customHeight="1" outlineLevel="1">
      <c r="A8" s="963">
        <v>42552.0</v>
      </c>
      <c r="B8" s="51" t="s">
        <v>5985</v>
      </c>
      <c r="C8" s="649"/>
      <c r="D8" s="22" t="s">
        <v>6017</v>
      </c>
      <c r="E8" s="22" t="s">
        <v>6018</v>
      </c>
      <c r="F8" s="965">
        <v>1.0</v>
      </c>
      <c r="G8" s="47">
        <v>156.0</v>
      </c>
      <c r="H8" s="33">
        <f t="shared" si="1"/>
        <v>156</v>
      </c>
      <c r="I8" s="27" t="s">
        <v>171</v>
      </c>
      <c r="J8" s="58" t="s">
        <v>5995</v>
      </c>
      <c r="K8" s="30">
        <v>42555.0</v>
      </c>
      <c r="L8" s="30"/>
      <c r="M8" s="31" t="s">
        <v>2032</v>
      </c>
      <c r="N8" s="21"/>
      <c r="O8" s="352"/>
      <c r="P8" s="22">
        <v>4173.0</v>
      </c>
      <c r="Q8" s="20" t="s">
        <v>6019</v>
      </c>
      <c r="R8" s="150"/>
      <c r="S8" s="350">
        <v>42596.0</v>
      </c>
      <c r="T8" s="984">
        <v>42566.0</v>
      </c>
      <c r="U8" s="22" t="s">
        <v>6020</v>
      </c>
      <c r="V8" s="982">
        <v>4173.0</v>
      </c>
      <c r="W8" s="735">
        <v>42592.0</v>
      </c>
      <c r="X8" s="985" t="s">
        <v>6021</v>
      </c>
      <c r="Y8" s="974"/>
      <c r="Z8" s="974"/>
      <c r="AA8" s="974"/>
      <c r="AB8" s="979"/>
      <c r="AC8" s="973"/>
    </row>
    <row r="9" ht="15.75" hidden="1" customHeight="1" outlineLevel="1">
      <c r="A9" s="963">
        <v>42552.0</v>
      </c>
      <c r="B9" s="51" t="s">
        <v>5985</v>
      </c>
      <c r="C9" s="649"/>
      <c r="D9" s="22" t="s">
        <v>6017</v>
      </c>
      <c r="E9" s="22" t="s">
        <v>6022</v>
      </c>
      <c r="F9" s="965">
        <v>1.0</v>
      </c>
      <c r="G9" s="47">
        <v>61.0</v>
      </c>
      <c r="H9" s="33">
        <f t="shared" si="1"/>
        <v>61</v>
      </c>
      <c r="I9" s="27" t="s">
        <v>171</v>
      </c>
      <c r="J9" s="31" t="s">
        <v>5995</v>
      </c>
      <c r="K9" s="30">
        <v>42578.0</v>
      </c>
      <c r="L9" s="30"/>
      <c r="M9" s="58" t="s">
        <v>2032</v>
      </c>
      <c r="N9" s="21"/>
      <c r="O9" s="352"/>
      <c r="P9" s="22">
        <v>1241.0</v>
      </c>
      <c r="Q9" s="20" t="s">
        <v>6019</v>
      </c>
      <c r="R9" s="150"/>
      <c r="S9" s="350">
        <v>42624.0</v>
      </c>
      <c r="T9" s="984">
        <v>42594.0</v>
      </c>
      <c r="U9" s="22" t="s">
        <v>6023</v>
      </c>
      <c r="V9" s="82" t="s">
        <v>6024</v>
      </c>
      <c r="W9" s="735">
        <v>42619.0</v>
      </c>
      <c r="X9" s="973"/>
      <c r="Y9" s="974"/>
      <c r="Z9" s="974"/>
      <c r="AA9" s="974"/>
      <c r="AB9" s="979"/>
      <c r="AC9" s="973"/>
    </row>
    <row r="10" ht="15.75" hidden="1" customHeight="1" outlineLevel="1">
      <c r="A10" s="963">
        <v>42578.0</v>
      </c>
      <c r="B10" s="51" t="s">
        <v>5985</v>
      </c>
      <c r="C10" s="70"/>
      <c r="D10" s="20" t="s">
        <v>6025</v>
      </c>
      <c r="E10" s="20" t="s">
        <v>6026</v>
      </c>
      <c r="F10" s="986">
        <v>1.0</v>
      </c>
      <c r="G10" s="143">
        <v>330.0</v>
      </c>
      <c r="H10" s="987">
        <f t="shared" si="1"/>
        <v>330</v>
      </c>
      <c r="I10" s="49" t="s">
        <v>171</v>
      </c>
      <c r="J10" s="31" t="s">
        <v>6027</v>
      </c>
      <c r="K10" s="27" t="s">
        <v>71</v>
      </c>
      <c r="L10" s="735">
        <v>42618.0</v>
      </c>
      <c r="M10" s="31" t="s">
        <v>6028</v>
      </c>
      <c r="N10" s="70" t="s">
        <v>6029</v>
      </c>
      <c r="O10" s="693"/>
      <c r="P10" s="20">
        <v>9135.0</v>
      </c>
      <c r="Q10" s="20" t="s">
        <v>6030</v>
      </c>
      <c r="R10" s="521"/>
      <c r="S10" s="988">
        <v>42643.0</v>
      </c>
      <c r="T10" s="969">
        <v>42613.0</v>
      </c>
      <c r="U10" s="970" t="s">
        <v>6031</v>
      </c>
      <c r="V10" s="971">
        <v>29295.0</v>
      </c>
      <c r="W10" s="972">
        <v>42625.0</v>
      </c>
      <c r="X10" s="973"/>
      <c r="Y10" s="973"/>
      <c r="Z10" s="973"/>
      <c r="AA10" s="975"/>
      <c r="AB10" s="970"/>
      <c r="AC10" s="974"/>
    </row>
    <row r="11" ht="15.75" hidden="1" customHeight="1" outlineLevel="1">
      <c r="A11" s="963">
        <v>42578.0</v>
      </c>
      <c r="B11" s="51" t="s">
        <v>5985</v>
      </c>
      <c r="C11" s="70"/>
      <c r="D11" s="20" t="s">
        <v>6025</v>
      </c>
      <c r="E11" s="20" t="s">
        <v>6026</v>
      </c>
      <c r="F11" s="986">
        <v>1.0</v>
      </c>
      <c r="G11" s="143">
        <v>330.0</v>
      </c>
      <c r="H11" s="987">
        <f t="shared" si="1"/>
        <v>330</v>
      </c>
      <c r="I11" s="49" t="s">
        <v>171</v>
      </c>
      <c r="J11" s="133" t="s">
        <v>71</v>
      </c>
      <c r="K11" s="133" t="s">
        <v>71</v>
      </c>
      <c r="L11" s="735">
        <v>42618.0</v>
      </c>
      <c r="M11" s="31" t="s">
        <v>6028</v>
      </c>
      <c r="N11" s="70" t="s">
        <v>6029</v>
      </c>
      <c r="O11" s="693"/>
      <c r="P11" s="20">
        <v>9135.0</v>
      </c>
      <c r="Q11" s="20" t="s">
        <v>6030</v>
      </c>
      <c r="R11" s="521"/>
      <c r="S11" s="988">
        <v>42643.0</v>
      </c>
      <c r="T11" s="969">
        <v>42613.0</v>
      </c>
      <c r="U11" s="970" t="s">
        <v>6031</v>
      </c>
      <c r="V11" s="971">
        <v>29295.0</v>
      </c>
      <c r="W11" s="972">
        <v>42625.0</v>
      </c>
      <c r="X11" s="973"/>
      <c r="Y11" s="973"/>
      <c r="Z11" s="973"/>
      <c r="AA11" s="975"/>
      <c r="AB11" s="970"/>
      <c r="AC11" s="974"/>
    </row>
    <row r="12" ht="15.75" hidden="1" customHeight="1" outlineLevel="1">
      <c r="A12" s="963">
        <v>42578.0</v>
      </c>
      <c r="B12" s="51" t="s">
        <v>5985</v>
      </c>
      <c r="C12" s="70"/>
      <c r="D12" s="20" t="s">
        <v>6025</v>
      </c>
      <c r="E12" s="20" t="s">
        <v>6032</v>
      </c>
      <c r="F12" s="986">
        <v>1.0</v>
      </c>
      <c r="G12" s="143">
        <v>394.0</v>
      </c>
      <c r="H12" s="987">
        <f t="shared" si="1"/>
        <v>394</v>
      </c>
      <c r="I12" s="49" t="s">
        <v>171</v>
      </c>
      <c r="J12" s="133" t="s">
        <v>71</v>
      </c>
      <c r="K12" s="133" t="s">
        <v>71</v>
      </c>
      <c r="L12" s="735">
        <v>42618.0</v>
      </c>
      <c r="M12" s="31" t="s">
        <v>6028</v>
      </c>
      <c r="N12" s="70" t="s">
        <v>6029</v>
      </c>
      <c r="O12" s="693"/>
      <c r="P12" s="20">
        <v>11025.0</v>
      </c>
      <c r="Q12" s="51" t="s">
        <v>6030</v>
      </c>
      <c r="R12" s="521"/>
      <c r="S12" s="988">
        <v>42643.0</v>
      </c>
      <c r="T12" s="969">
        <v>42613.0</v>
      </c>
      <c r="U12" s="970" t="s">
        <v>6031</v>
      </c>
      <c r="V12" s="971">
        <v>29295.0</v>
      </c>
      <c r="W12" s="972">
        <v>42625.0</v>
      </c>
      <c r="X12" s="973"/>
      <c r="Y12" s="973"/>
      <c r="Z12" s="973"/>
      <c r="AA12" s="975"/>
      <c r="AB12" s="970"/>
      <c r="AC12" s="974"/>
    </row>
    <row r="13" ht="15.75" hidden="1" customHeight="1" outlineLevel="1">
      <c r="A13" s="963">
        <v>42578.0</v>
      </c>
      <c r="B13" s="51" t="s">
        <v>5985</v>
      </c>
      <c r="C13" s="70"/>
      <c r="D13" s="20" t="s">
        <v>6025</v>
      </c>
      <c r="E13" s="20" t="s">
        <v>6033</v>
      </c>
      <c r="F13" s="986">
        <v>1.0</v>
      </c>
      <c r="G13" s="143">
        <v>116.0</v>
      </c>
      <c r="H13" s="987">
        <f t="shared" si="1"/>
        <v>116</v>
      </c>
      <c r="I13" s="49" t="s">
        <v>171</v>
      </c>
      <c r="J13" s="31" t="s">
        <v>6027</v>
      </c>
      <c r="K13" s="27" t="s">
        <v>71</v>
      </c>
      <c r="L13" s="521"/>
      <c r="M13" s="31" t="s">
        <v>2032</v>
      </c>
      <c r="N13" s="70"/>
      <c r="O13" s="693"/>
      <c r="P13" s="989" t="s">
        <v>6034</v>
      </c>
      <c r="Q13" s="20"/>
      <c r="R13" s="521"/>
      <c r="S13" s="990"/>
      <c r="T13" s="969"/>
      <c r="U13" s="970"/>
      <c r="V13" s="971"/>
      <c r="W13" s="972"/>
      <c r="X13" s="973"/>
      <c r="Y13" s="973"/>
      <c r="Z13" s="973"/>
      <c r="AA13" s="975"/>
      <c r="AB13" s="970"/>
      <c r="AC13" s="974"/>
    </row>
    <row r="14" ht="15.75" customHeight="1">
      <c r="A14" s="991">
        <v>42704.0</v>
      </c>
      <c r="B14" s="878" t="s">
        <v>1204</v>
      </c>
      <c r="C14" s="878" t="s">
        <v>6035</v>
      </c>
      <c r="D14" s="878" t="s">
        <v>6036</v>
      </c>
      <c r="E14" s="878" t="s">
        <v>4488</v>
      </c>
      <c r="F14" s="992">
        <v>100.0</v>
      </c>
      <c r="G14" s="993">
        <v>7.1</v>
      </c>
      <c r="H14" s="993">
        <v>710.0</v>
      </c>
      <c r="I14" s="266" t="s">
        <v>43</v>
      </c>
      <c r="J14" s="994" t="s">
        <v>6037</v>
      </c>
      <c r="K14" s="995">
        <v>42754.0</v>
      </c>
      <c r="L14" s="995">
        <v>42747.0</v>
      </c>
      <c r="M14" s="996" t="s">
        <v>6038</v>
      </c>
      <c r="N14" s="996" t="s">
        <v>6039</v>
      </c>
      <c r="O14" s="878"/>
      <c r="P14" s="997">
        <v>20475.0</v>
      </c>
      <c r="Q14" s="994" t="s">
        <v>6040</v>
      </c>
      <c r="R14" s="878"/>
      <c r="S14" s="998">
        <v>42771.0</v>
      </c>
      <c r="T14" s="999">
        <v>42746.0</v>
      </c>
      <c r="U14" s="878" t="s">
        <v>6041</v>
      </c>
      <c r="V14" s="1000">
        <v>40950.0</v>
      </c>
      <c r="W14" s="999">
        <v>42769.0</v>
      </c>
      <c r="X14" s="878" t="s">
        <v>6042</v>
      </c>
      <c r="Y14" s="878" t="s">
        <v>6043</v>
      </c>
      <c r="Z14" s="878"/>
      <c r="AA14" s="1000"/>
      <c r="AB14" s="878"/>
      <c r="AC14" s="253" t="s">
        <v>284</v>
      </c>
    </row>
    <row r="15" ht="15.75" customHeight="1">
      <c r="A15" s="991">
        <v>42704.0</v>
      </c>
      <c r="B15" s="878" t="s">
        <v>1204</v>
      </c>
      <c r="C15" s="878" t="s">
        <v>6044</v>
      </c>
      <c r="D15" s="878" t="s">
        <v>6045</v>
      </c>
      <c r="E15" s="878" t="s">
        <v>4488</v>
      </c>
      <c r="F15" s="992">
        <v>100.0</v>
      </c>
      <c r="G15" s="993">
        <v>7.1</v>
      </c>
      <c r="H15" s="993">
        <v>710.0</v>
      </c>
      <c r="I15" s="266" t="s">
        <v>43</v>
      </c>
      <c r="J15" s="994" t="s">
        <v>6037</v>
      </c>
      <c r="K15" s="995">
        <v>42754.0</v>
      </c>
      <c r="L15" s="995">
        <v>42747.0</v>
      </c>
      <c r="M15" s="996" t="s">
        <v>6038</v>
      </c>
      <c r="N15" s="996" t="s">
        <v>6039</v>
      </c>
      <c r="O15" s="878"/>
      <c r="P15" s="997">
        <v>20475.0</v>
      </c>
      <c r="Q15" s="994" t="s">
        <v>6040</v>
      </c>
      <c r="R15" s="878"/>
      <c r="S15" s="998">
        <v>42771.0</v>
      </c>
      <c r="T15" s="999">
        <v>42746.0</v>
      </c>
      <c r="U15" s="878" t="s">
        <v>6041</v>
      </c>
      <c r="V15" s="1000">
        <v>40950.0</v>
      </c>
      <c r="W15" s="999">
        <v>42769.0</v>
      </c>
      <c r="X15" s="878" t="s">
        <v>6042</v>
      </c>
      <c r="Y15" s="878" t="s">
        <v>6043</v>
      </c>
      <c r="Z15" s="878"/>
      <c r="AA15" s="1000"/>
      <c r="AB15" s="878"/>
      <c r="AC15" s="253" t="s">
        <v>284</v>
      </c>
    </row>
    <row r="16" ht="15.75" customHeight="1">
      <c r="A16" s="999">
        <v>42703.0</v>
      </c>
      <c r="B16" s="878" t="s">
        <v>5073</v>
      </c>
      <c r="C16" s="878" t="s">
        <v>6046</v>
      </c>
      <c r="D16" s="878" t="s">
        <v>6047</v>
      </c>
      <c r="E16" s="878" t="s">
        <v>6048</v>
      </c>
      <c r="F16" s="992">
        <v>40.0</v>
      </c>
      <c r="G16" s="993">
        <v>95.0</v>
      </c>
      <c r="H16" s="993">
        <v>3800.0</v>
      </c>
      <c r="I16" s="266" t="s">
        <v>3474</v>
      </c>
      <c r="J16" s="878" t="s">
        <v>3749</v>
      </c>
      <c r="K16" s="999">
        <v>42740.0</v>
      </c>
      <c r="L16" s="999">
        <v>42738.0</v>
      </c>
      <c r="M16" s="266" t="s">
        <v>90</v>
      </c>
      <c r="N16" s="878" t="s">
        <v>6049</v>
      </c>
      <c r="O16" s="878">
        <v>3570.0</v>
      </c>
      <c r="P16" s="1000"/>
      <c r="Q16" s="878" t="s">
        <v>6050</v>
      </c>
      <c r="R16" s="878"/>
      <c r="S16" s="999">
        <v>42799.0</v>
      </c>
      <c r="T16" s="999">
        <v>42738.0</v>
      </c>
      <c r="U16" s="878" t="s">
        <v>6051</v>
      </c>
      <c r="V16" s="1000">
        <v>169873.0</v>
      </c>
      <c r="W16" s="999">
        <v>42801.0</v>
      </c>
      <c r="X16" s="878" t="s">
        <v>6052</v>
      </c>
      <c r="Y16" s="878"/>
      <c r="Z16" s="878"/>
      <c r="AA16" s="1000"/>
      <c r="AB16" s="878"/>
      <c r="AC16" s="253" t="s">
        <v>284</v>
      </c>
    </row>
    <row r="17" ht="15.75" customHeight="1">
      <c r="A17" s="999">
        <v>42703.0</v>
      </c>
      <c r="B17" s="878" t="s">
        <v>5073</v>
      </c>
      <c r="C17" s="878" t="s">
        <v>6046</v>
      </c>
      <c r="D17" s="878" t="s">
        <v>6047</v>
      </c>
      <c r="E17" s="878" t="s">
        <v>6053</v>
      </c>
      <c r="F17" s="992">
        <v>40.0</v>
      </c>
      <c r="G17" s="993">
        <v>49.0</v>
      </c>
      <c r="H17" s="993">
        <v>1960.0</v>
      </c>
      <c r="I17" s="266" t="s">
        <v>3474</v>
      </c>
      <c r="J17" s="878" t="s">
        <v>3749</v>
      </c>
      <c r="K17" s="999">
        <v>42740.0</v>
      </c>
      <c r="L17" s="999">
        <v>42738.0</v>
      </c>
      <c r="M17" s="266" t="s">
        <v>90</v>
      </c>
      <c r="N17" s="878" t="s">
        <v>6049</v>
      </c>
      <c r="O17" s="878">
        <v>1722.0</v>
      </c>
      <c r="P17" s="1000"/>
      <c r="Q17" s="878" t="s">
        <v>6050</v>
      </c>
      <c r="R17" s="878"/>
      <c r="S17" s="999">
        <v>42799.0</v>
      </c>
      <c r="T17" s="999">
        <v>42738.0</v>
      </c>
      <c r="U17" s="878" t="s">
        <v>6051</v>
      </c>
      <c r="V17" s="1000">
        <v>169873.0</v>
      </c>
      <c r="W17" s="999"/>
      <c r="X17" s="878" t="s">
        <v>6052</v>
      </c>
      <c r="Y17" s="878"/>
      <c r="Z17" s="878"/>
      <c r="AA17" s="1000"/>
      <c r="AB17" s="878"/>
      <c r="AC17" s="253" t="s">
        <v>284</v>
      </c>
    </row>
    <row r="18" ht="15.75" customHeight="1">
      <c r="A18" s="810">
        <v>42709.0</v>
      </c>
      <c r="B18" s="310" t="s">
        <v>6054</v>
      </c>
      <c r="C18" s="310" t="s">
        <v>6055</v>
      </c>
      <c r="D18" s="310" t="s">
        <v>6056</v>
      </c>
      <c r="E18" s="310" t="s">
        <v>6057</v>
      </c>
      <c r="F18" s="808">
        <v>50.0</v>
      </c>
      <c r="G18" s="268">
        <v>174.5</v>
      </c>
      <c r="H18" s="268">
        <v>8725.0</v>
      </c>
      <c r="I18" s="266" t="s">
        <v>171</v>
      </c>
      <c r="J18" s="310" t="s">
        <v>6058</v>
      </c>
      <c r="K18" s="768">
        <v>42751.0</v>
      </c>
      <c r="L18" s="768">
        <v>42744.0</v>
      </c>
      <c r="M18" s="403" t="s">
        <v>3510</v>
      </c>
      <c r="N18" s="310" t="s">
        <v>6059</v>
      </c>
      <c r="O18" s="310"/>
      <c r="P18" s="637">
        <v>262951.0</v>
      </c>
      <c r="Q18" s="310" t="s">
        <v>6060</v>
      </c>
      <c r="R18" s="310"/>
      <c r="S18" s="768">
        <v>42779.0</v>
      </c>
      <c r="T18" s="768">
        <v>42753.0</v>
      </c>
      <c r="U18" s="310" t="s">
        <v>6061</v>
      </c>
      <c r="V18" s="579">
        <v>262951.0</v>
      </c>
      <c r="W18" s="768">
        <v>42779.0</v>
      </c>
      <c r="X18" s="310" t="s">
        <v>6062</v>
      </c>
      <c r="Y18" s="310"/>
      <c r="Z18" s="310"/>
      <c r="AA18" s="579"/>
      <c r="AB18" s="310"/>
      <c r="AC18" s="253" t="s">
        <v>284</v>
      </c>
    </row>
    <row r="19" ht="15.75" customHeight="1">
      <c r="A19" s="999">
        <v>42700.0</v>
      </c>
      <c r="B19" s="878" t="s">
        <v>6063</v>
      </c>
      <c r="C19" s="878" t="s">
        <v>6064</v>
      </c>
      <c r="D19" s="310" t="s">
        <v>6065</v>
      </c>
      <c r="E19" s="310" t="s">
        <v>6066</v>
      </c>
      <c r="F19" s="992">
        <v>6.0</v>
      </c>
      <c r="G19" s="993">
        <v>3587.0</v>
      </c>
      <c r="H19" s="993">
        <v>21522.0</v>
      </c>
      <c r="I19" s="266" t="s">
        <v>171</v>
      </c>
      <c r="J19" s="996" t="s">
        <v>6067</v>
      </c>
      <c r="K19" s="995">
        <v>42738.0</v>
      </c>
      <c r="L19" s="999"/>
      <c r="M19" s="878"/>
      <c r="N19" s="310" t="s">
        <v>6068</v>
      </c>
      <c r="O19" s="878"/>
      <c r="P19" s="1000"/>
      <c r="Q19" s="878"/>
      <c r="R19" s="878" t="s">
        <v>6069</v>
      </c>
      <c r="S19" s="1001"/>
      <c r="T19" s="994" t="s">
        <v>6069</v>
      </c>
      <c r="U19" s="994" t="s">
        <v>6069</v>
      </c>
      <c r="V19" s="1002" t="s">
        <v>6069</v>
      </c>
      <c r="W19" s="994" t="s">
        <v>6069</v>
      </c>
      <c r="X19" s="994" t="s">
        <v>6070</v>
      </c>
      <c r="Y19" s="994"/>
      <c r="Z19" s="994"/>
      <c r="AA19" s="1002">
        <v>719145.0</v>
      </c>
      <c r="AB19" s="1001">
        <v>42745.0</v>
      </c>
      <c r="AC19" s="1003" t="s">
        <v>377</v>
      </c>
    </row>
    <row r="20" ht="15.75" customHeight="1">
      <c r="A20" s="999">
        <v>42700.0</v>
      </c>
      <c r="B20" s="878" t="s">
        <v>6063</v>
      </c>
      <c r="C20" s="878" t="s">
        <v>6064</v>
      </c>
      <c r="D20" s="310" t="s">
        <v>6065</v>
      </c>
      <c r="E20" s="310" t="s">
        <v>6071</v>
      </c>
      <c r="F20" s="992">
        <v>6.0</v>
      </c>
      <c r="G20" s="993">
        <v>100.5</v>
      </c>
      <c r="H20" s="993">
        <v>603.0</v>
      </c>
      <c r="I20" s="266" t="s">
        <v>171</v>
      </c>
      <c r="J20" s="996" t="s">
        <v>6067</v>
      </c>
      <c r="K20" s="995">
        <v>42738.0</v>
      </c>
      <c r="L20" s="999"/>
      <c r="M20" s="878"/>
      <c r="N20" s="310" t="s">
        <v>6068</v>
      </c>
      <c r="O20" s="878"/>
      <c r="P20" s="1000"/>
      <c r="Q20" s="878"/>
      <c r="R20" s="878" t="s">
        <v>6069</v>
      </c>
      <c r="S20" s="1001"/>
      <c r="T20" s="994" t="s">
        <v>6069</v>
      </c>
      <c r="U20" s="994" t="s">
        <v>6069</v>
      </c>
      <c r="V20" s="1002" t="s">
        <v>6069</v>
      </c>
      <c r="W20" s="994" t="s">
        <v>6069</v>
      </c>
      <c r="X20" s="994" t="s">
        <v>6070</v>
      </c>
      <c r="Y20" s="994"/>
      <c r="Z20" s="994"/>
      <c r="AA20" s="1002">
        <v>719145.0</v>
      </c>
      <c r="AB20" s="1001">
        <v>42745.0</v>
      </c>
      <c r="AC20" s="1003" t="s">
        <v>377</v>
      </c>
    </row>
    <row r="21" ht="15.75" customHeight="1">
      <c r="A21" s="999">
        <v>42700.0</v>
      </c>
      <c r="B21" s="878" t="s">
        <v>6063</v>
      </c>
      <c r="C21" s="878" t="s">
        <v>6064</v>
      </c>
      <c r="D21" s="310" t="s">
        <v>6065</v>
      </c>
      <c r="E21" s="310" t="s">
        <v>6072</v>
      </c>
      <c r="F21" s="992">
        <v>6.0</v>
      </c>
      <c r="G21" s="993">
        <v>74.2</v>
      </c>
      <c r="H21" s="993">
        <v>445.2</v>
      </c>
      <c r="I21" s="266" t="s">
        <v>171</v>
      </c>
      <c r="J21" s="996" t="s">
        <v>6067</v>
      </c>
      <c r="K21" s="995">
        <v>42738.0</v>
      </c>
      <c r="L21" s="999"/>
      <c r="M21" s="878"/>
      <c r="N21" s="310" t="s">
        <v>6068</v>
      </c>
      <c r="O21" s="878"/>
      <c r="P21" s="1000"/>
      <c r="Q21" s="878"/>
      <c r="R21" s="878" t="s">
        <v>6069</v>
      </c>
      <c r="S21" s="1001"/>
      <c r="T21" s="994" t="s">
        <v>6069</v>
      </c>
      <c r="U21" s="994" t="s">
        <v>6069</v>
      </c>
      <c r="V21" s="1002" t="s">
        <v>6069</v>
      </c>
      <c r="W21" s="994" t="s">
        <v>6069</v>
      </c>
      <c r="X21" s="994" t="s">
        <v>6070</v>
      </c>
      <c r="Y21" s="994"/>
      <c r="Z21" s="994"/>
      <c r="AA21" s="1002">
        <v>719145.0</v>
      </c>
      <c r="AB21" s="1001">
        <v>42745.0</v>
      </c>
      <c r="AC21" s="1003" t="s">
        <v>377</v>
      </c>
    </row>
    <row r="22" ht="15.75" customHeight="1">
      <c r="A22" s="999">
        <v>42700.0</v>
      </c>
      <c r="B22" s="878" t="s">
        <v>6063</v>
      </c>
      <c r="C22" s="878" t="s">
        <v>6064</v>
      </c>
      <c r="D22" s="310" t="s">
        <v>6073</v>
      </c>
      <c r="E22" s="310" t="s">
        <v>6074</v>
      </c>
      <c r="F22" s="992">
        <v>6.0</v>
      </c>
      <c r="G22" s="993">
        <v>1575.0</v>
      </c>
      <c r="H22" s="993">
        <v>9450.0</v>
      </c>
      <c r="I22" s="266" t="s">
        <v>171</v>
      </c>
      <c r="J22" s="996" t="s">
        <v>6067</v>
      </c>
      <c r="K22" s="995">
        <v>42751.0</v>
      </c>
      <c r="L22" s="999"/>
      <c r="M22" s="878"/>
      <c r="N22" s="310" t="s">
        <v>6068</v>
      </c>
      <c r="O22" s="878"/>
      <c r="P22" s="1000"/>
      <c r="Q22" s="878"/>
      <c r="R22" s="878" t="s">
        <v>6069</v>
      </c>
      <c r="S22" s="1001"/>
      <c r="T22" s="994" t="s">
        <v>6069</v>
      </c>
      <c r="U22" s="994" t="s">
        <v>6069</v>
      </c>
      <c r="V22" s="1002" t="s">
        <v>6069</v>
      </c>
      <c r="W22" s="994" t="s">
        <v>6069</v>
      </c>
      <c r="X22" s="994" t="s">
        <v>6075</v>
      </c>
      <c r="Y22" s="994" t="s">
        <v>6076</v>
      </c>
      <c r="Z22" s="994"/>
      <c r="AA22" s="1002">
        <v>428400.0</v>
      </c>
      <c r="AB22" s="1001">
        <v>42751.0</v>
      </c>
      <c r="AC22" s="1003" t="s">
        <v>377</v>
      </c>
    </row>
    <row r="23" ht="15.75" customHeight="1">
      <c r="A23" s="999">
        <v>42700.0</v>
      </c>
      <c r="B23" s="878" t="s">
        <v>6063</v>
      </c>
      <c r="C23" s="878" t="s">
        <v>6064</v>
      </c>
      <c r="D23" s="310" t="s">
        <v>6065</v>
      </c>
      <c r="E23" s="310" t="s">
        <v>6077</v>
      </c>
      <c r="F23" s="992">
        <v>6.0</v>
      </c>
      <c r="G23" s="993">
        <v>666.0</v>
      </c>
      <c r="H23" s="993">
        <v>3996.0</v>
      </c>
      <c r="I23" s="266" t="s">
        <v>171</v>
      </c>
      <c r="J23" s="996" t="s">
        <v>6067</v>
      </c>
      <c r="K23" s="995">
        <v>42751.0</v>
      </c>
      <c r="L23" s="999"/>
      <c r="M23" s="878"/>
      <c r="N23" s="310" t="s">
        <v>6068</v>
      </c>
      <c r="O23" s="878"/>
      <c r="P23" s="1000"/>
      <c r="Q23" s="878"/>
      <c r="R23" s="878" t="s">
        <v>6069</v>
      </c>
      <c r="S23" s="1001"/>
      <c r="T23" s="994" t="s">
        <v>6069</v>
      </c>
      <c r="U23" s="994" t="s">
        <v>6069</v>
      </c>
      <c r="V23" s="1002" t="s">
        <v>6069</v>
      </c>
      <c r="W23" s="994" t="s">
        <v>6069</v>
      </c>
      <c r="X23" s="994" t="s">
        <v>6075</v>
      </c>
      <c r="Y23" s="994" t="s">
        <v>6076</v>
      </c>
      <c r="Z23" s="994"/>
      <c r="AA23" s="1002">
        <v>428400.0</v>
      </c>
      <c r="AB23" s="1001">
        <v>42751.0</v>
      </c>
      <c r="AC23" s="1003" t="s">
        <v>377</v>
      </c>
    </row>
    <row r="24" ht="15.75" customHeight="1">
      <c r="A24" s="776">
        <v>42709.0</v>
      </c>
      <c r="B24" s="1004" t="s">
        <v>3506</v>
      </c>
      <c r="C24" s="1004" t="s">
        <v>6055</v>
      </c>
      <c r="D24" s="252" t="s">
        <v>6078</v>
      </c>
      <c r="E24" s="252" t="s">
        <v>6079</v>
      </c>
      <c r="F24" s="1005">
        <v>20.0</v>
      </c>
      <c r="G24" s="267">
        <v>350.0</v>
      </c>
      <c r="H24" s="267">
        <f t="shared" ref="H24:H39" si="2">G24*F24</f>
        <v>7000</v>
      </c>
      <c r="I24" s="266" t="s">
        <v>171</v>
      </c>
      <c r="J24" s="269" t="s">
        <v>3509</v>
      </c>
      <c r="K24" s="258">
        <v>42751.0</v>
      </c>
      <c r="L24" s="258">
        <v>42382.0</v>
      </c>
      <c r="M24" s="403" t="s">
        <v>90</v>
      </c>
      <c r="N24" s="252" t="s">
        <v>6080</v>
      </c>
      <c r="O24" s="773">
        <v>6447.0</v>
      </c>
      <c r="P24" s="1006"/>
      <c r="Q24" s="320" t="s">
        <v>6081</v>
      </c>
      <c r="R24" s="330"/>
      <c r="S24" s="810">
        <v>42799.0</v>
      </c>
      <c r="T24" s="771">
        <v>42748.0</v>
      </c>
      <c r="U24" s="252" t="s">
        <v>6082</v>
      </c>
      <c r="V24" s="774">
        <v>205434.0</v>
      </c>
      <c r="W24" s="258">
        <v>42801.0</v>
      </c>
      <c r="X24" s="252" t="s">
        <v>6062</v>
      </c>
      <c r="Y24" s="1007"/>
      <c r="Z24" s="1007"/>
      <c r="AA24" s="1008"/>
      <c r="AB24" s="839"/>
      <c r="AC24" s="253" t="s">
        <v>284</v>
      </c>
    </row>
    <row r="25" ht="15.75" customHeight="1">
      <c r="A25" s="776">
        <v>42712.0</v>
      </c>
      <c r="B25" s="844" t="s">
        <v>3640</v>
      </c>
      <c r="C25" s="265"/>
      <c r="D25" s="252" t="s">
        <v>6083</v>
      </c>
      <c r="E25" s="252" t="s">
        <v>3642</v>
      </c>
      <c r="F25" s="808">
        <v>9.0</v>
      </c>
      <c r="G25" s="267">
        <f>281</f>
        <v>281</v>
      </c>
      <c r="H25" s="267">
        <f t="shared" si="2"/>
        <v>2529</v>
      </c>
      <c r="I25" s="1009" t="s">
        <v>3474</v>
      </c>
      <c r="J25" s="333" t="s">
        <v>6084</v>
      </c>
      <c r="K25" s="258">
        <v>42752.0</v>
      </c>
      <c r="L25" s="258">
        <v>42746.0</v>
      </c>
      <c r="M25" s="333" t="s">
        <v>2034</v>
      </c>
      <c r="N25" s="252" t="s">
        <v>6085</v>
      </c>
      <c r="O25" s="581">
        <v>2485.35</v>
      </c>
      <c r="P25" s="1010">
        <v>79382.0</v>
      </c>
      <c r="Q25" s="310" t="s">
        <v>6086</v>
      </c>
      <c r="R25" s="330"/>
      <c r="S25" s="768">
        <v>42799.0</v>
      </c>
      <c r="T25" s="771">
        <v>42746.0</v>
      </c>
      <c r="U25" s="252" t="s">
        <v>6087</v>
      </c>
      <c r="V25" s="774">
        <v>108057.0</v>
      </c>
      <c r="W25" s="258">
        <v>42801.0</v>
      </c>
      <c r="X25" s="310" t="s">
        <v>6088</v>
      </c>
      <c r="Y25" s="266" t="s">
        <v>6089</v>
      </c>
      <c r="Z25" s="1007"/>
      <c r="AA25" s="1008"/>
      <c r="AB25" s="839"/>
      <c r="AC25" s="253" t="s">
        <v>284</v>
      </c>
    </row>
    <row r="26" ht="15.75" customHeight="1">
      <c r="A26" s="776">
        <v>42712.0</v>
      </c>
      <c r="B26" s="844" t="s">
        <v>3640</v>
      </c>
      <c r="C26" s="265"/>
      <c r="D26" s="252" t="s">
        <v>6083</v>
      </c>
      <c r="E26" s="252" t="s">
        <v>3648</v>
      </c>
      <c r="F26" s="808">
        <v>9.0</v>
      </c>
      <c r="G26" s="267">
        <v>102.0</v>
      </c>
      <c r="H26" s="267">
        <f t="shared" si="2"/>
        <v>918</v>
      </c>
      <c r="I26" s="1009" t="s">
        <v>3474</v>
      </c>
      <c r="J26" s="333" t="s">
        <v>6084</v>
      </c>
      <c r="K26" s="258">
        <v>42752.0</v>
      </c>
      <c r="L26" s="258">
        <v>42746.0</v>
      </c>
      <c r="M26" s="403" t="s">
        <v>2034</v>
      </c>
      <c r="N26" s="252" t="s">
        <v>6085</v>
      </c>
      <c r="O26" s="581">
        <v>897.75</v>
      </c>
      <c r="P26" s="1010">
        <v>28675.0</v>
      </c>
      <c r="Q26" s="320" t="s">
        <v>6086</v>
      </c>
      <c r="R26" s="330"/>
      <c r="S26" s="768">
        <v>42799.0</v>
      </c>
      <c r="T26" s="771">
        <v>42746.0</v>
      </c>
      <c r="U26" s="252" t="s">
        <v>6087</v>
      </c>
      <c r="V26" s="774">
        <v>108057.0</v>
      </c>
      <c r="W26" s="258">
        <v>42801.0</v>
      </c>
      <c r="X26" s="310" t="s">
        <v>6088</v>
      </c>
      <c r="Y26" s="266" t="s">
        <v>6089</v>
      </c>
      <c r="Z26" s="1007"/>
      <c r="AA26" s="1008"/>
      <c r="AB26" s="839"/>
      <c r="AC26" s="253" t="s">
        <v>284</v>
      </c>
    </row>
    <row r="27" ht="15.75" customHeight="1">
      <c r="A27" s="776">
        <v>42712.0</v>
      </c>
      <c r="B27" s="844" t="s">
        <v>3640</v>
      </c>
      <c r="C27" s="265"/>
      <c r="D27" s="252" t="s">
        <v>6083</v>
      </c>
      <c r="E27" s="252" t="s">
        <v>3642</v>
      </c>
      <c r="F27" s="808">
        <v>1.0</v>
      </c>
      <c r="G27" s="267">
        <f>281</f>
        <v>281</v>
      </c>
      <c r="H27" s="267">
        <f t="shared" si="2"/>
        <v>281</v>
      </c>
      <c r="I27" s="1009" t="s">
        <v>3474</v>
      </c>
      <c r="J27" s="333" t="s">
        <v>6084</v>
      </c>
      <c r="K27" s="258">
        <v>42752.0</v>
      </c>
      <c r="L27" s="258">
        <v>42744.0</v>
      </c>
      <c r="M27" s="403" t="s">
        <v>2034</v>
      </c>
      <c r="N27" s="252" t="s">
        <v>6090</v>
      </c>
      <c r="O27" s="581"/>
      <c r="P27" s="1010">
        <v>9818.0</v>
      </c>
      <c r="Q27" s="320" t="s">
        <v>6086</v>
      </c>
      <c r="R27" s="330"/>
      <c r="S27" s="768">
        <v>42799.0</v>
      </c>
      <c r="T27" s="771">
        <v>42741.0</v>
      </c>
      <c r="U27" s="252" t="s">
        <v>6091</v>
      </c>
      <c r="V27" s="774">
        <v>13388.0</v>
      </c>
      <c r="W27" s="258">
        <v>42801.0</v>
      </c>
      <c r="X27" s="310" t="s">
        <v>6088</v>
      </c>
      <c r="Y27" s="266" t="s">
        <v>6089</v>
      </c>
      <c r="Z27" s="1007"/>
      <c r="AA27" s="1008"/>
      <c r="AB27" s="839"/>
      <c r="AC27" s="253" t="s">
        <v>284</v>
      </c>
    </row>
    <row r="28" ht="15.75" customHeight="1">
      <c r="A28" s="776">
        <v>42712.0</v>
      </c>
      <c r="B28" s="844" t="s">
        <v>3640</v>
      </c>
      <c r="C28" s="265"/>
      <c r="D28" s="252" t="s">
        <v>6083</v>
      </c>
      <c r="E28" s="252" t="s">
        <v>3648</v>
      </c>
      <c r="F28" s="808">
        <v>1.0</v>
      </c>
      <c r="G28" s="267">
        <v>102.0</v>
      </c>
      <c r="H28" s="267">
        <f t="shared" si="2"/>
        <v>102</v>
      </c>
      <c r="I28" s="1009" t="s">
        <v>3474</v>
      </c>
      <c r="J28" s="333" t="s">
        <v>6084</v>
      </c>
      <c r="K28" s="258">
        <v>42752.0</v>
      </c>
      <c r="L28" s="1011">
        <v>42744.0</v>
      </c>
      <c r="M28" s="333" t="s">
        <v>2034</v>
      </c>
      <c r="N28" s="252" t="s">
        <v>6090</v>
      </c>
      <c r="O28" s="581"/>
      <c r="P28" s="1012">
        <v>3570.0</v>
      </c>
      <c r="Q28" s="320" t="s">
        <v>6086</v>
      </c>
      <c r="R28" s="330"/>
      <c r="S28" s="768">
        <v>42799.0</v>
      </c>
      <c r="T28" s="771">
        <v>42741.0</v>
      </c>
      <c r="U28" s="252" t="s">
        <v>6091</v>
      </c>
      <c r="V28" s="774">
        <v>13388.0</v>
      </c>
      <c r="W28" s="258">
        <v>42801.0</v>
      </c>
      <c r="X28" s="310" t="s">
        <v>6088</v>
      </c>
      <c r="Y28" s="266" t="s">
        <v>6089</v>
      </c>
      <c r="Z28" s="1007"/>
      <c r="AA28" s="1008"/>
      <c r="AB28" s="839"/>
      <c r="AC28" s="253" t="s">
        <v>284</v>
      </c>
    </row>
    <row r="29" ht="15.75" customHeight="1">
      <c r="A29" s="796">
        <v>42712.0</v>
      </c>
      <c r="B29" s="783" t="s">
        <v>4754</v>
      </c>
      <c r="C29" s="783">
        <v>63210.0</v>
      </c>
      <c r="D29" s="276" t="s">
        <v>6092</v>
      </c>
      <c r="E29" s="276" t="s">
        <v>6093</v>
      </c>
      <c r="F29" s="1013">
        <v>2.0</v>
      </c>
      <c r="G29" s="281"/>
      <c r="H29" s="281">
        <f t="shared" si="2"/>
        <v>0</v>
      </c>
      <c r="I29" s="797" t="s">
        <v>3474</v>
      </c>
      <c r="J29" s="283" t="s">
        <v>6027</v>
      </c>
      <c r="K29" s="1014">
        <v>42740.0</v>
      </c>
      <c r="L29" s="291">
        <v>42723.0</v>
      </c>
      <c r="M29" s="1015" t="s">
        <v>6094</v>
      </c>
      <c r="N29" s="422" t="s">
        <v>6095</v>
      </c>
      <c r="O29" s="858"/>
      <c r="P29" s="1016">
        <v>1817.0</v>
      </c>
      <c r="Q29" s="798" t="s">
        <v>2172</v>
      </c>
      <c r="R29" s="582"/>
      <c r="S29" s="1017">
        <v>42719.0</v>
      </c>
      <c r="T29" s="809">
        <v>42720.0</v>
      </c>
      <c r="U29" s="839" t="s">
        <v>6096</v>
      </c>
      <c r="V29" s="1018">
        <v>3961.0</v>
      </c>
      <c r="W29" s="1019">
        <v>42719.0</v>
      </c>
      <c r="X29" s="1020"/>
      <c r="Y29" s="1020"/>
      <c r="Z29" s="1020"/>
      <c r="AA29" s="1021"/>
      <c r="AB29" s="801"/>
      <c r="AC29" s="279" t="s">
        <v>3617</v>
      </c>
    </row>
    <row r="30" ht="15.75" customHeight="1">
      <c r="A30" s="796">
        <v>42712.0</v>
      </c>
      <c r="B30" s="276" t="s">
        <v>4754</v>
      </c>
      <c r="C30" s="783">
        <v>63210.0</v>
      </c>
      <c r="D30" s="276" t="s">
        <v>6092</v>
      </c>
      <c r="E30" s="276" t="s">
        <v>6097</v>
      </c>
      <c r="F30" s="1013">
        <v>2.0</v>
      </c>
      <c r="G30" s="281"/>
      <c r="H30" s="281">
        <f t="shared" si="2"/>
        <v>0</v>
      </c>
      <c r="I30" s="797" t="s">
        <v>3474</v>
      </c>
      <c r="J30" s="283" t="s">
        <v>6027</v>
      </c>
      <c r="K30" s="1014">
        <v>42740.0</v>
      </c>
      <c r="L30" s="291">
        <v>42723.0</v>
      </c>
      <c r="M30" s="1015" t="s">
        <v>6094</v>
      </c>
      <c r="N30" s="422" t="s">
        <v>6095</v>
      </c>
      <c r="O30" s="858"/>
      <c r="P30" s="1016">
        <v>2144.0</v>
      </c>
      <c r="Q30" s="800" t="s">
        <v>2172</v>
      </c>
      <c r="R30" s="582"/>
      <c r="S30" s="1017">
        <v>42719.0</v>
      </c>
      <c r="T30" s="809">
        <v>42720.0</v>
      </c>
      <c r="U30" s="839" t="s">
        <v>6096</v>
      </c>
      <c r="V30" s="1018">
        <v>3961.0</v>
      </c>
      <c r="W30" s="1019">
        <v>42719.0</v>
      </c>
      <c r="X30" s="1020"/>
      <c r="Y30" s="1020"/>
      <c r="Z30" s="1020"/>
      <c r="AA30" s="1021"/>
      <c r="AB30" s="801"/>
      <c r="AC30" s="279" t="s">
        <v>3617</v>
      </c>
    </row>
    <row r="31" ht="15.75" customHeight="1">
      <c r="A31" s="796">
        <v>42712.0</v>
      </c>
      <c r="B31" s="276" t="s">
        <v>4754</v>
      </c>
      <c r="C31" s="783">
        <v>63210.0</v>
      </c>
      <c r="D31" s="276" t="s">
        <v>6092</v>
      </c>
      <c r="E31" s="276" t="s">
        <v>6098</v>
      </c>
      <c r="F31" s="1013">
        <v>2.0</v>
      </c>
      <c r="G31" s="281"/>
      <c r="H31" s="281">
        <f t="shared" si="2"/>
        <v>0</v>
      </c>
      <c r="I31" s="797" t="s">
        <v>3474</v>
      </c>
      <c r="J31" s="283" t="s">
        <v>6027</v>
      </c>
      <c r="K31" s="1014">
        <v>42740.0</v>
      </c>
      <c r="L31" s="854"/>
      <c r="M31" s="1015" t="s">
        <v>3775</v>
      </c>
      <c r="N31" s="276" t="s">
        <v>6099</v>
      </c>
      <c r="O31" s="858">
        <v>581.7</v>
      </c>
      <c r="P31" s="1022"/>
      <c r="Q31" s="898" t="s">
        <v>2207</v>
      </c>
      <c r="R31" s="582"/>
      <c r="S31" s="1023" t="s">
        <v>6100</v>
      </c>
      <c r="T31" s="802"/>
      <c r="U31" s="801"/>
      <c r="V31" s="1024"/>
      <c r="W31" s="1025"/>
      <c r="X31" s="1020"/>
      <c r="Y31" s="1020"/>
      <c r="Z31" s="1020"/>
      <c r="AA31" s="1021"/>
      <c r="AB31" s="801"/>
      <c r="AC31" s="279" t="s">
        <v>3617</v>
      </c>
    </row>
    <row r="32" ht="15.75" customHeight="1">
      <c r="A32" s="796">
        <v>42712.0</v>
      </c>
      <c r="B32" s="276" t="s">
        <v>4754</v>
      </c>
      <c r="C32" s="276">
        <v>63210.0</v>
      </c>
      <c r="D32" s="276" t="s">
        <v>6092</v>
      </c>
      <c r="E32" s="276" t="s">
        <v>6101</v>
      </c>
      <c r="F32" s="1013">
        <v>1.0</v>
      </c>
      <c r="G32" s="281"/>
      <c r="H32" s="281">
        <f t="shared" si="2"/>
        <v>0</v>
      </c>
      <c r="I32" s="797" t="s">
        <v>3474</v>
      </c>
      <c r="J32" s="283" t="s">
        <v>6027</v>
      </c>
      <c r="K32" s="1014">
        <v>42740.0</v>
      </c>
      <c r="L32" s="1026"/>
      <c r="M32" s="1015" t="s">
        <v>2032</v>
      </c>
      <c r="N32" s="1027"/>
      <c r="O32" s="858"/>
      <c r="P32" s="1028" t="s">
        <v>6102</v>
      </c>
      <c r="Q32" s="800" t="s">
        <v>2033</v>
      </c>
      <c r="R32" s="582"/>
      <c r="S32" s="1029"/>
      <c r="T32" s="802"/>
      <c r="U32" s="801"/>
      <c r="V32" s="1024"/>
      <c r="W32" s="1025"/>
      <c r="X32" s="1020"/>
      <c r="Y32" s="1020"/>
      <c r="Z32" s="1020"/>
      <c r="AA32" s="1021"/>
      <c r="AB32" s="801"/>
      <c r="AC32" s="279" t="s">
        <v>3617</v>
      </c>
    </row>
    <row r="33" ht="15.75" customHeight="1">
      <c r="A33" s="796">
        <v>42712.0</v>
      </c>
      <c r="B33" s="276" t="s">
        <v>4754</v>
      </c>
      <c r="C33" s="276">
        <v>63210.0</v>
      </c>
      <c r="D33" s="276" t="s">
        <v>6092</v>
      </c>
      <c r="E33" s="276" t="s">
        <v>700</v>
      </c>
      <c r="F33" s="1013">
        <v>1.0</v>
      </c>
      <c r="G33" s="281"/>
      <c r="H33" s="281">
        <f t="shared" si="2"/>
        <v>0</v>
      </c>
      <c r="I33" s="291" t="s">
        <v>3474</v>
      </c>
      <c r="J33" s="283"/>
      <c r="K33" s="1014">
        <v>42740.0</v>
      </c>
      <c r="L33" s="1026"/>
      <c r="M33" s="1015"/>
      <c r="N33" s="276"/>
      <c r="O33" s="858"/>
      <c r="P33" s="1022"/>
      <c r="Q33" s="800"/>
      <c r="R33" s="582"/>
      <c r="S33" s="1029"/>
      <c r="T33" s="802"/>
      <c r="U33" s="801"/>
      <c r="V33" s="1024"/>
      <c r="W33" s="1025"/>
      <c r="X33" s="1020"/>
      <c r="Y33" s="1020"/>
      <c r="Z33" s="1020"/>
      <c r="AA33" s="1021"/>
      <c r="AB33" s="801"/>
      <c r="AC33" s="279" t="s">
        <v>3617</v>
      </c>
    </row>
    <row r="34" ht="15.75" customHeight="1">
      <c r="A34" s="776">
        <v>42719.0</v>
      </c>
      <c r="B34" s="265" t="s">
        <v>5073</v>
      </c>
      <c r="C34" s="252" t="s">
        <v>6103</v>
      </c>
      <c r="D34" s="252" t="s">
        <v>6104</v>
      </c>
      <c r="E34" s="252" t="s">
        <v>6105</v>
      </c>
      <c r="F34" s="307">
        <v>25.0</v>
      </c>
      <c r="G34" s="254">
        <v>372.0</v>
      </c>
      <c r="H34" s="267">
        <f t="shared" si="2"/>
        <v>9300</v>
      </c>
      <c r="I34" s="266" t="s">
        <v>3474</v>
      </c>
      <c r="J34" s="333" t="s">
        <v>3749</v>
      </c>
      <c r="K34" s="258">
        <v>42740.0</v>
      </c>
      <c r="L34" s="258">
        <v>42739.0</v>
      </c>
      <c r="M34" s="266" t="s">
        <v>3593</v>
      </c>
      <c r="N34" s="252" t="s">
        <v>6106</v>
      </c>
      <c r="O34" s="581"/>
      <c r="P34" s="1010">
        <v>288068.0</v>
      </c>
      <c r="Q34" s="320" t="s">
        <v>2080</v>
      </c>
      <c r="R34" s="330"/>
      <c r="S34" s="768">
        <v>42830.0</v>
      </c>
      <c r="T34" s="771">
        <v>42738.0</v>
      </c>
      <c r="U34" s="252" t="s">
        <v>6107</v>
      </c>
      <c r="V34" s="774">
        <v>288068.0</v>
      </c>
      <c r="W34" s="258">
        <v>42830.0</v>
      </c>
      <c r="X34" s="310" t="s">
        <v>6052</v>
      </c>
      <c r="Y34" s="1007"/>
      <c r="Z34" s="1007"/>
      <c r="AA34" s="1008"/>
      <c r="AB34" s="839"/>
      <c r="AC34" s="253" t="s">
        <v>284</v>
      </c>
    </row>
    <row r="35" ht="15.75" customHeight="1">
      <c r="A35" s="776">
        <v>42719.0</v>
      </c>
      <c r="B35" s="578" t="s">
        <v>631</v>
      </c>
      <c r="C35" s="252" t="s">
        <v>6108</v>
      </c>
      <c r="D35" s="252" t="s">
        <v>6109</v>
      </c>
      <c r="E35" s="252" t="s">
        <v>6110</v>
      </c>
      <c r="F35" s="307">
        <v>50.0</v>
      </c>
      <c r="G35" s="254">
        <v>109.2</v>
      </c>
      <c r="H35" s="267">
        <f t="shared" si="2"/>
        <v>5460</v>
      </c>
      <c r="I35" s="266" t="s">
        <v>171</v>
      </c>
      <c r="J35" s="333" t="s">
        <v>90</v>
      </c>
      <c r="K35" s="258">
        <v>42769.0</v>
      </c>
      <c r="L35" s="792"/>
      <c r="M35" s="403" t="s">
        <v>90</v>
      </c>
      <c r="N35" s="252" t="s">
        <v>6111</v>
      </c>
      <c r="O35" s="581">
        <v>4709.25</v>
      </c>
      <c r="P35" s="1006"/>
      <c r="Q35" s="310" t="s">
        <v>6081</v>
      </c>
      <c r="R35" s="330"/>
      <c r="S35" s="768">
        <v>42830.0</v>
      </c>
      <c r="T35" s="771">
        <v>42769.0</v>
      </c>
      <c r="U35" s="252" t="s">
        <v>6112</v>
      </c>
      <c r="V35" s="774">
        <v>147235.0</v>
      </c>
      <c r="W35" s="258">
        <v>42821.0</v>
      </c>
      <c r="X35" s="252" t="s">
        <v>6113</v>
      </c>
      <c r="Y35" s="1007"/>
      <c r="Z35" s="310" t="s">
        <v>6114</v>
      </c>
      <c r="AA35" s="1030">
        <v>169478.0</v>
      </c>
      <c r="AB35" s="252" t="s">
        <v>6115</v>
      </c>
      <c r="AC35" s="253" t="s">
        <v>377</v>
      </c>
    </row>
    <row r="36" ht="15.75" customHeight="1">
      <c r="A36" s="776">
        <v>42724.0</v>
      </c>
      <c r="B36" s="765" t="s">
        <v>6116</v>
      </c>
      <c r="C36" s="765">
        <v>804141.0</v>
      </c>
      <c r="D36" s="252" t="s">
        <v>6117</v>
      </c>
      <c r="E36" s="252" t="s">
        <v>6118</v>
      </c>
      <c r="F36" s="808">
        <v>18.0</v>
      </c>
      <c r="G36" s="267">
        <v>78.0</v>
      </c>
      <c r="H36" s="267">
        <f t="shared" si="2"/>
        <v>1404</v>
      </c>
      <c r="I36" s="1009" t="s">
        <v>3474</v>
      </c>
      <c r="J36" s="333" t="s">
        <v>6119</v>
      </c>
      <c r="K36" s="258">
        <v>42747.0</v>
      </c>
      <c r="L36" s="258">
        <v>42747.0</v>
      </c>
      <c r="M36" s="403" t="s">
        <v>6120</v>
      </c>
      <c r="N36" s="252" t="s">
        <v>6121</v>
      </c>
      <c r="O36" s="581"/>
      <c r="P36" s="1010">
        <v>43432.0</v>
      </c>
      <c r="Q36" s="310" t="s">
        <v>6122</v>
      </c>
      <c r="R36" s="330"/>
      <c r="S36" s="768">
        <v>42830.0</v>
      </c>
      <c r="T36" s="771">
        <v>42746.0</v>
      </c>
      <c r="U36" s="252" t="s">
        <v>6123</v>
      </c>
      <c r="V36" s="774">
        <v>43432.0</v>
      </c>
      <c r="W36" s="258">
        <v>42830.0</v>
      </c>
      <c r="X36" s="310" t="s">
        <v>6124</v>
      </c>
      <c r="Y36" s="1007"/>
      <c r="Z36" s="1007"/>
      <c r="AA36" s="1008"/>
      <c r="AB36" s="839"/>
      <c r="AC36" s="253" t="s">
        <v>284</v>
      </c>
    </row>
    <row r="37" ht="15.75" customHeight="1">
      <c r="A37" s="776">
        <v>42724.0</v>
      </c>
      <c r="B37" s="765" t="s">
        <v>6116</v>
      </c>
      <c r="C37" s="765">
        <v>804141.0</v>
      </c>
      <c r="D37" s="252" t="s">
        <v>6117</v>
      </c>
      <c r="E37" s="252" t="s">
        <v>700</v>
      </c>
      <c r="F37" s="808">
        <v>1.0</v>
      </c>
      <c r="G37" s="267">
        <v>25.0</v>
      </c>
      <c r="H37" s="267">
        <f t="shared" si="2"/>
        <v>25</v>
      </c>
      <c r="I37" s="1031" t="s">
        <v>3474</v>
      </c>
      <c r="J37" s="824"/>
      <c r="K37" s="258">
        <v>42747.0</v>
      </c>
      <c r="L37" s="630"/>
      <c r="M37" s="403"/>
      <c r="N37" s="252"/>
      <c r="O37" s="581"/>
      <c r="P37" s="1006"/>
      <c r="Q37" s="310"/>
      <c r="R37" s="330"/>
      <c r="S37" s="1032"/>
      <c r="T37" s="809"/>
      <c r="U37" s="839"/>
      <c r="V37" s="1033"/>
      <c r="W37" s="1019"/>
      <c r="X37" s="1007"/>
      <c r="Y37" s="1007"/>
      <c r="Z37" s="1007"/>
      <c r="AA37" s="1008"/>
      <c r="AB37" s="839"/>
      <c r="AC37" s="253" t="s">
        <v>284</v>
      </c>
    </row>
    <row r="38" ht="15.75" customHeight="1">
      <c r="A38" s="776">
        <v>42727.0</v>
      </c>
      <c r="B38" s="340" t="s">
        <v>6125</v>
      </c>
      <c r="C38" s="265" t="s">
        <v>6126</v>
      </c>
      <c r="D38" s="265" t="s">
        <v>6127</v>
      </c>
      <c r="E38" s="265" t="s">
        <v>6128</v>
      </c>
      <c r="F38" s="1005">
        <v>10.0</v>
      </c>
      <c r="G38" s="466">
        <v>148.0</v>
      </c>
      <c r="H38" s="466">
        <f t="shared" si="2"/>
        <v>1480</v>
      </c>
      <c r="I38" s="779" t="s">
        <v>3474</v>
      </c>
      <c r="J38" s="333" t="s">
        <v>3732</v>
      </c>
      <c r="K38" s="258">
        <v>42776.0</v>
      </c>
      <c r="L38" s="258">
        <v>42776.0</v>
      </c>
      <c r="M38" s="403" t="s">
        <v>2034</v>
      </c>
      <c r="N38" s="252" t="s">
        <v>6129</v>
      </c>
      <c r="O38" s="581"/>
      <c r="P38" s="1010">
        <v>45150.0</v>
      </c>
      <c r="Q38" s="320" t="s">
        <v>6086</v>
      </c>
      <c r="R38" s="330"/>
      <c r="S38" s="810">
        <v>42830.0</v>
      </c>
      <c r="T38" s="771">
        <v>42776.0</v>
      </c>
      <c r="U38" s="252" t="s">
        <v>6130</v>
      </c>
      <c r="V38" s="774">
        <v>90300.0</v>
      </c>
      <c r="W38" s="258">
        <v>42830.0</v>
      </c>
      <c r="X38" s="310" t="s">
        <v>6131</v>
      </c>
      <c r="Y38" s="1007"/>
      <c r="Z38" s="1007"/>
      <c r="AA38" s="1008"/>
      <c r="AB38" s="839"/>
      <c r="AC38" s="253" t="s">
        <v>284</v>
      </c>
    </row>
    <row r="39" ht="15.75" customHeight="1">
      <c r="A39" s="776">
        <v>42727.0</v>
      </c>
      <c r="B39" s="578" t="s">
        <v>6125</v>
      </c>
      <c r="C39" s="252" t="s">
        <v>6126</v>
      </c>
      <c r="D39" s="252" t="s">
        <v>6127</v>
      </c>
      <c r="E39" s="252" t="s">
        <v>6132</v>
      </c>
      <c r="F39" s="1005">
        <v>10.0</v>
      </c>
      <c r="G39" s="466">
        <v>148.0</v>
      </c>
      <c r="H39" s="267">
        <f t="shared" si="2"/>
        <v>1480</v>
      </c>
      <c r="I39" s="1031" t="s">
        <v>3474</v>
      </c>
      <c r="J39" s="333" t="s">
        <v>3732</v>
      </c>
      <c r="K39" s="258">
        <v>42776.0</v>
      </c>
      <c r="L39" s="258">
        <v>42776.0</v>
      </c>
      <c r="M39" s="403" t="s">
        <v>2034</v>
      </c>
      <c r="N39" s="252" t="s">
        <v>6129</v>
      </c>
      <c r="O39" s="581"/>
      <c r="P39" s="1010">
        <v>45150.0</v>
      </c>
      <c r="Q39" s="320" t="s">
        <v>6086</v>
      </c>
      <c r="R39" s="330"/>
      <c r="S39" s="810">
        <v>42830.0</v>
      </c>
      <c r="T39" s="771">
        <v>42776.0</v>
      </c>
      <c r="U39" s="252" t="s">
        <v>6130</v>
      </c>
      <c r="V39" s="774">
        <v>90300.0</v>
      </c>
      <c r="W39" s="258">
        <v>42830.0</v>
      </c>
      <c r="X39" s="310" t="s">
        <v>6131</v>
      </c>
      <c r="Y39" s="1007"/>
      <c r="Z39" s="1007"/>
      <c r="AA39" s="1008"/>
      <c r="AB39" s="839"/>
      <c r="AC39" s="253" t="s">
        <v>284</v>
      </c>
    </row>
    <row r="40" ht="15.75" customHeight="1">
      <c r="A40" s="796">
        <v>42727.0</v>
      </c>
      <c r="B40" s="276" t="s">
        <v>1204</v>
      </c>
      <c r="C40" s="276" t="s">
        <v>6133</v>
      </c>
      <c r="D40" s="798" t="s">
        <v>6134</v>
      </c>
      <c r="E40" s="798" t="s">
        <v>6135</v>
      </c>
      <c r="F40" s="1034">
        <v>50.0</v>
      </c>
      <c r="G40" s="834">
        <v>8.0</v>
      </c>
      <c r="H40" s="908"/>
      <c r="I40" s="797" t="s">
        <v>43</v>
      </c>
      <c r="J40" s="283" t="s">
        <v>71</v>
      </c>
      <c r="K40" s="797" t="s">
        <v>71</v>
      </c>
      <c r="L40" s="291">
        <v>42732.0</v>
      </c>
      <c r="M40" s="1015" t="s">
        <v>2508</v>
      </c>
      <c r="N40" s="276" t="s">
        <v>6136</v>
      </c>
      <c r="O40" s="581"/>
      <c r="P40" s="1010">
        <v>2394.0</v>
      </c>
      <c r="Q40" s="800" t="s">
        <v>4491</v>
      </c>
      <c r="R40" s="330"/>
      <c r="S40" s="768">
        <v>42771.0</v>
      </c>
      <c r="T40" s="771">
        <v>42751.0</v>
      </c>
      <c r="U40" s="252" t="s">
        <v>6137</v>
      </c>
      <c r="V40" s="1030">
        <v>2394.0</v>
      </c>
      <c r="W40" s="258">
        <v>42769.0</v>
      </c>
      <c r="X40" s="310" t="s">
        <v>6138</v>
      </c>
      <c r="Y40" s="1007"/>
      <c r="Z40" s="1007"/>
      <c r="AA40" s="1008"/>
      <c r="AB40" s="839"/>
      <c r="AC40" s="253" t="s">
        <v>3617</v>
      </c>
    </row>
    <row r="41" ht="15.75" customHeight="1">
      <c r="A41" s="776">
        <v>42730.0</v>
      </c>
      <c r="B41" s="252" t="s">
        <v>631</v>
      </c>
      <c r="C41" s="252" t="s">
        <v>6139</v>
      </c>
      <c r="D41" s="252" t="s">
        <v>6140</v>
      </c>
      <c r="E41" s="252" t="s">
        <v>4269</v>
      </c>
      <c r="F41" s="808">
        <v>10.0</v>
      </c>
      <c r="G41" s="466">
        <v>164.85</v>
      </c>
      <c r="H41" s="267">
        <f t="shared" ref="H41:H93" si="3">G41*F41</f>
        <v>1648.5</v>
      </c>
      <c r="I41" s="266" t="s">
        <v>171</v>
      </c>
      <c r="J41" s="333" t="s">
        <v>6141</v>
      </c>
      <c r="K41" s="258">
        <v>42758.0</v>
      </c>
      <c r="L41" s="258">
        <v>42754.0</v>
      </c>
      <c r="M41" s="266" t="s">
        <v>2263</v>
      </c>
      <c r="N41" s="252" t="s">
        <v>6142</v>
      </c>
      <c r="O41" s="581"/>
      <c r="P41" s="1010">
        <v>50925.0</v>
      </c>
      <c r="Q41" s="340" t="s">
        <v>2265</v>
      </c>
      <c r="R41" s="330"/>
      <c r="S41" s="810">
        <v>42758.0</v>
      </c>
      <c r="T41" s="771">
        <v>42753.0</v>
      </c>
      <c r="U41" s="252" t="s">
        <v>6143</v>
      </c>
      <c r="V41" s="774">
        <v>50925.0</v>
      </c>
      <c r="W41" s="258">
        <v>42754.0</v>
      </c>
      <c r="X41" s="310" t="s">
        <v>6144</v>
      </c>
      <c r="Y41" s="310" t="s">
        <v>6145</v>
      </c>
      <c r="Z41" s="252" t="s">
        <v>6146</v>
      </c>
      <c r="AA41" s="1030">
        <v>52101.0</v>
      </c>
      <c r="AB41" s="252" t="s">
        <v>6147</v>
      </c>
      <c r="AC41" s="253" t="s">
        <v>377</v>
      </c>
    </row>
    <row r="42" ht="15.75" customHeight="1">
      <c r="A42" s="776">
        <v>42731.0</v>
      </c>
      <c r="B42" s="1004" t="s">
        <v>3506</v>
      </c>
      <c r="C42" s="1004" t="s">
        <v>6148</v>
      </c>
      <c r="D42" s="422" t="s">
        <v>6149</v>
      </c>
      <c r="E42" s="422" t="s">
        <v>6150</v>
      </c>
      <c r="F42" s="808">
        <v>100.0</v>
      </c>
      <c r="G42" s="267">
        <v>174.5</v>
      </c>
      <c r="H42" s="267">
        <f t="shared" si="3"/>
        <v>17450</v>
      </c>
      <c r="I42" s="266" t="s">
        <v>171</v>
      </c>
      <c r="J42" s="269" t="s">
        <v>3509</v>
      </c>
      <c r="K42" s="850">
        <v>42789.0</v>
      </c>
      <c r="L42" s="258">
        <v>42782.0</v>
      </c>
      <c r="M42" s="403" t="s">
        <v>3510</v>
      </c>
      <c r="N42" s="252" t="s">
        <v>6151</v>
      </c>
      <c r="O42" s="581"/>
      <c r="P42" s="1010">
        <v>525903.0</v>
      </c>
      <c r="Q42" s="604" t="s">
        <v>6152</v>
      </c>
      <c r="R42" s="330"/>
      <c r="S42" s="810">
        <v>42779.0</v>
      </c>
      <c r="T42" s="771">
        <v>42782.0</v>
      </c>
      <c r="U42" s="252" t="s">
        <v>6153</v>
      </c>
      <c r="V42" s="774">
        <v>525903.0</v>
      </c>
      <c r="W42" s="258">
        <v>42779.0</v>
      </c>
      <c r="X42" s="252" t="s">
        <v>6154</v>
      </c>
      <c r="Y42" s="1007"/>
      <c r="Z42" s="1007"/>
      <c r="AA42" s="1008"/>
      <c r="AB42" s="839"/>
      <c r="AC42" s="253" t="s">
        <v>284</v>
      </c>
    </row>
    <row r="43" ht="15.75" customHeight="1">
      <c r="A43" s="776">
        <v>42732.0</v>
      </c>
      <c r="B43" s="1004" t="s">
        <v>77</v>
      </c>
      <c r="C43" s="765">
        <v>1133.0</v>
      </c>
      <c r="D43" s="252" t="s">
        <v>6155</v>
      </c>
      <c r="E43" s="252" t="s">
        <v>6156</v>
      </c>
      <c r="F43" s="307">
        <v>49.0</v>
      </c>
      <c r="G43" s="254">
        <v>131.0</v>
      </c>
      <c r="H43" s="267">
        <f t="shared" si="3"/>
        <v>6419</v>
      </c>
      <c r="I43" s="266" t="s">
        <v>43</v>
      </c>
      <c r="J43" s="1035" t="s">
        <v>6157</v>
      </c>
      <c r="K43" s="832">
        <v>42870.0</v>
      </c>
      <c r="L43" s="258">
        <v>42864.0</v>
      </c>
      <c r="M43" s="253" t="s">
        <v>6158</v>
      </c>
      <c r="N43" s="602" t="s">
        <v>6159</v>
      </c>
      <c r="O43" s="253"/>
      <c r="P43" s="253"/>
      <c r="Q43" s="765" t="s">
        <v>2148</v>
      </c>
      <c r="R43" s="330" t="s">
        <v>6160</v>
      </c>
      <c r="S43" s="1036"/>
      <c r="T43" s="766"/>
      <c r="U43" s="766"/>
      <c r="V43" s="766"/>
      <c r="W43" s="1037"/>
      <c r="X43" s="252" t="s">
        <v>6161</v>
      </c>
      <c r="Y43" s="1037"/>
      <c r="Z43" s="1037"/>
      <c r="AA43" s="1037"/>
      <c r="AB43" s="766"/>
      <c r="AC43" s="253" t="s">
        <v>284</v>
      </c>
    </row>
    <row r="44" ht="15.75" customHeight="1">
      <c r="A44" s="776">
        <v>42732.0</v>
      </c>
      <c r="B44" s="765" t="s">
        <v>77</v>
      </c>
      <c r="C44" s="765">
        <v>1133.0</v>
      </c>
      <c r="D44" s="252" t="s">
        <v>6155</v>
      </c>
      <c r="E44" s="252" t="s">
        <v>6162</v>
      </c>
      <c r="F44" s="307">
        <v>50.0</v>
      </c>
      <c r="G44" s="254">
        <v>15.0</v>
      </c>
      <c r="H44" s="267">
        <f t="shared" si="3"/>
        <v>750</v>
      </c>
      <c r="I44" s="266" t="s">
        <v>43</v>
      </c>
      <c r="J44" s="1035" t="s">
        <v>6157</v>
      </c>
      <c r="K44" s="258">
        <v>42870.0</v>
      </c>
      <c r="L44" s="258">
        <v>42864.0</v>
      </c>
      <c r="M44" s="253" t="s">
        <v>6158</v>
      </c>
      <c r="N44" s="602" t="s">
        <v>6159</v>
      </c>
      <c r="O44" s="253"/>
      <c r="P44" s="253"/>
      <c r="Q44" s="765" t="s">
        <v>2148</v>
      </c>
      <c r="R44" s="330" t="s">
        <v>6160</v>
      </c>
      <c r="S44" s="1036"/>
      <c r="T44" s="766"/>
      <c r="U44" s="766"/>
      <c r="V44" s="766"/>
      <c r="W44" s="1037"/>
      <c r="X44" s="252" t="s">
        <v>6161</v>
      </c>
      <c r="Y44" s="1037"/>
      <c r="Z44" s="1037"/>
      <c r="AA44" s="1037"/>
      <c r="AB44" s="766"/>
      <c r="AC44" s="253" t="s">
        <v>284</v>
      </c>
    </row>
    <row r="45" ht="15.75" customHeight="1">
      <c r="A45" s="776">
        <v>42732.0</v>
      </c>
      <c r="B45" s="765" t="s">
        <v>77</v>
      </c>
      <c r="C45" s="765">
        <v>1133.0</v>
      </c>
      <c r="D45" s="252" t="s">
        <v>6155</v>
      </c>
      <c r="E45" s="252" t="s">
        <v>6163</v>
      </c>
      <c r="F45" s="307">
        <v>50.0</v>
      </c>
      <c r="G45" s="254">
        <v>1.25</v>
      </c>
      <c r="H45" s="267">
        <f t="shared" si="3"/>
        <v>62.5</v>
      </c>
      <c r="I45" s="266" t="s">
        <v>43</v>
      </c>
      <c r="J45" s="1035" t="s">
        <v>6157</v>
      </c>
      <c r="K45" s="258">
        <v>42870.0</v>
      </c>
      <c r="L45" s="258">
        <v>42859.0</v>
      </c>
      <c r="M45" s="266" t="s">
        <v>6164</v>
      </c>
      <c r="N45" s="765" t="s">
        <v>6165</v>
      </c>
      <c r="O45" s="253"/>
      <c r="P45" s="637">
        <v>1050.0</v>
      </c>
      <c r="Q45" s="770" t="s">
        <v>2194</v>
      </c>
      <c r="R45" s="253"/>
      <c r="S45" s="810">
        <v>42863.0</v>
      </c>
      <c r="T45" s="769">
        <v>42853.0</v>
      </c>
      <c r="U45" s="765" t="s">
        <v>6166</v>
      </c>
      <c r="V45" s="770">
        <v>1932.0</v>
      </c>
      <c r="W45" s="601">
        <v>42865.0</v>
      </c>
      <c r="X45" s="252" t="s">
        <v>6161</v>
      </c>
      <c r="Y45" s="253">
        <v>8.90004795329E11</v>
      </c>
      <c r="Z45" s="1037"/>
      <c r="AA45" s="1037"/>
      <c r="AB45" s="766"/>
      <c r="AC45" s="253" t="s">
        <v>284</v>
      </c>
    </row>
    <row r="46" ht="15.75" customHeight="1">
      <c r="A46" s="776">
        <v>42732.0</v>
      </c>
      <c r="B46" s="422" t="s">
        <v>6167</v>
      </c>
      <c r="C46" s="252">
        <v>7.000126517E9</v>
      </c>
      <c r="D46" s="252" t="s">
        <v>6168</v>
      </c>
      <c r="E46" s="252" t="s">
        <v>6169</v>
      </c>
      <c r="F46" s="808">
        <v>2.0</v>
      </c>
      <c r="G46" s="267">
        <v>230.0</v>
      </c>
      <c r="H46" s="267">
        <f t="shared" si="3"/>
        <v>460</v>
      </c>
      <c r="I46" s="266" t="s">
        <v>43</v>
      </c>
      <c r="J46" s="777" t="s">
        <v>3623</v>
      </c>
      <c r="K46" s="886">
        <v>42804.0</v>
      </c>
      <c r="L46" s="258">
        <v>42804.0</v>
      </c>
      <c r="M46" s="266" t="s">
        <v>3593</v>
      </c>
      <c r="N46" s="765" t="s">
        <v>6170</v>
      </c>
      <c r="O46" s="253"/>
      <c r="P46" s="637">
        <v>13910.0</v>
      </c>
      <c r="Q46" s="310" t="s">
        <v>6122</v>
      </c>
      <c r="R46" s="253"/>
      <c r="S46" s="810">
        <v>42891.0</v>
      </c>
      <c r="T46" s="769">
        <v>42803.0</v>
      </c>
      <c r="U46" s="765" t="s">
        <v>6171</v>
      </c>
      <c r="V46" s="770">
        <v>13910.0</v>
      </c>
      <c r="W46" s="258">
        <v>42891.0</v>
      </c>
      <c r="X46" s="252" t="s">
        <v>6172</v>
      </c>
      <c r="Y46" s="1037"/>
      <c r="Z46" s="1037"/>
      <c r="AA46" s="1037"/>
      <c r="AB46" s="766"/>
      <c r="AC46" s="253" t="s">
        <v>284</v>
      </c>
    </row>
    <row r="47" ht="15.75" customHeight="1">
      <c r="A47" s="776">
        <v>42732.0</v>
      </c>
      <c r="B47" s="252" t="s">
        <v>77</v>
      </c>
      <c r="C47" s="765">
        <v>1128.0</v>
      </c>
      <c r="D47" s="252" t="s">
        <v>6173</v>
      </c>
      <c r="E47" s="252" t="s">
        <v>6163</v>
      </c>
      <c r="F47" s="307">
        <v>60.0</v>
      </c>
      <c r="G47" s="254">
        <v>1.25</v>
      </c>
      <c r="H47" s="267">
        <f t="shared" si="3"/>
        <v>75</v>
      </c>
      <c r="I47" s="266" t="s">
        <v>171</v>
      </c>
      <c r="J47" s="1035" t="s">
        <v>6174</v>
      </c>
      <c r="K47" s="258">
        <v>42754.0</v>
      </c>
      <c r="L47" s="258">
        <v>42753.0</v>
      </c>
      <c r="M47" s="266" t="s">
        <v>2039</v>
      </c>
      <c r="N47" s="602" t="s">
        <v>6175</v>
      </c>
      <c r="O47" s="253"/>
      <c r="P47" s="637">
        <v>1260.0</v>
      </c>
      <c r="Q47" s="765" t="s">
        <v>2194</v>
      </c>
      <c r="R47" s="253"/>
      <c r="S47" s="810">
        <v>42768.0</v>
      </c>
      <c r="T47" s="769">
        <v>42752.0</v>
      </c>
      <c r="U47" s="765" t="s">
        <v>6176</v>
      </c>
      <c r="V47" s="770">
        <v>2100.0</v>
      </c>
      <c r="W47" s="258">
        <v>42769.0</v>
      </c>
      <c r="X47" s="252" t="s">
        <v>6177</v>
      </c>
      <c r="Y47" s="253" t="s">
        <v>6178</v>
      </c>
      <c r="Z47" s="1037"/>
      <c r="AA47" s="1037"/>
      <c r="AB47" s="766"/>
      <c r="AC47" s="253" t="s">
        <v>284</v>
      </c>
    </row>
    <row r="48" ht="15.75" customHeight="1">
      <c r="A48" s="776">
        <v>42732.0</v>
      </c>
      <c r="B48" s="252" t="s">
        <v>77</v>
      </c>
      <c r="C48" s="765">
        <v>1128.0</v>
      </c>
      <c r="D48" s="252" t="s">
        <v>6179</v>
      </c>
      <c r="E48" s="252" t="s">
        <v>6180</v>
      </c>
      <c r="F48" s="307">
        <v>60.0</v>
      </c>
      <c r="G48" s="254">
        <v>2.0</v>
      </c>
      <c r="H48" s="267">
        <f t="shared" si="3"/>
        <v>120</v>
      </c>
      <c r="I48" s="266" t="s">
        <v>171</v>
      </c>
      <c r="J48" s="1035" t="s">
        <v>6174</v>
      </c>
      <c r="K48" s="258">
        <v>42754.0</v>
      </c>
      <c r="L48" s="258">
        <v>42753.0</v>
      </c>
      <c r="M48" s="266" t="s">
        <v>2039</v>
      </c>
      <c r="N48" s="765" t="s">
        <v>6181</v>
      </c>
      <c r="O48" s="253"/>
      <c r="P48" s="637">
        <v>1764.0</v>
      </c>
      <c r="Q48" s="765" t="s">
        <v>2194</v>
      </c>
      <c r="R48" s="253"/>
      <c r="S48" s="810">
        <v>42768.0</v>
      </c>
      <c r="T48" s="769">
        <v>42744.0</v>
      </c>
      <c r="U48" s="765" t="s">
        <v>6182</v>
      </c>
      <c r="V48" s="770">
        <v>7245.0</v>
      </c>
      <c r="W48" s="258">
        <v>42769.0</v>
      </c>
      <c r="X48" s="252" t="s">
        <v>6177</v>
      </c>
      <c r="Y48" s="253" t="s">
        <v>6178</v>
      </c>
      <c r="Z48" s="1037"/>
      <c r="AA48" s="1037"/>
      <c r="AB48" s="766"/>
      <c r="AC48" s="253" t="s">
        <v>284</v>
      </c>
    </row>
    <row r="49" ht="15.75" customHeight="1">
      <c r="A49" s="776">
        <v>42706.0</v>
      </c>
      <c r="B49" s="252" t="s">
        <v>77</v>
      </c>
      <c r="C49" s="765">
        <v>1128.0</v>
      </c>
      <c r="D49" s="252" t="s">
        <v>6179</v>
      </c>
      <c r="E49" s="252" t="s">
        <v>6183</v>
      </c>
      <c r="F49" s="307">
        <v>60.0</v>
      </c>
      <c r="G49" s="254">
        <v>6.0</v>
      </c>
      <c r="H49" s="267">
        <f t="shared" si="3"/>
        <v>360</v>
      </c>
      <c r="I49" s="266" t="s">
        <v>171</v>
      </c>
      <c r="J49" s="1035" t="s">
        <v>6174</v>
      </c>
      <c r="K49" s="258">
        <v>42754.0</v>
      </c>
      <c r="L49" s="258">
        <v>42753.0</v>
      </c>
      <c r="M49" s="266" t="s">
        <v>2039</v>
      </c>
      <c r="N49" s="765" t="s">
        <v>6181</v>
      </c>
      <c r="O49" s="253"/>
      <c r="P49" s="637">
        <v>5481.0</v>
      </c>
      <c r="Q49" s="765" t="s">
        <v>2194</v>
      </c>
      <c r="R49" s="253"/>
      <c r="S49" s="810">
        <v>42768.0</v>
      </c>
      <c r="T49" s="769">
        <v>42744.0</v>
      </c>
      <c r="U49" s="765" t="s">
        <v>6182</v>
      </c>
      <c r="V49" s="770">
        <v>7245.0</v>
      </c>
      <c r="W49" s="258">
        <v>42769.0</v>
      </c>
      <c r="X49" s="252" t="s">
        <v>6177</v>
      </c>
      <c r="Y49" s="253" t="s">
        <v>6178</v>
      </c>
      <c r="Z49" s="1037"/>
      <c r="AA49" s="1037"/>
      <c r="AB49" s="766"/>
      <c r="AC49" s="253" t="s">
        <v>284</v>
      </c>
    </row>
    <row r="50" ht="15.75" customHeight="1">
      <c r="A50" s="776">
        <v>42732.0</v>
      </c>
      <c r="B50" s="252" t="s">
        <v>77</v>
      </c>
      <c r="C50" s="765">
        <v>1132.0</v>
      </c>
      <c r="D50" s="252" t="s">
        <v>6184</v>
      </c>
      <c r="E50" s="252" t="s">
        <v>6163</v>
      </c>
      <c r="F50" s="307">
        <v>40.0</v>
      </c>
      <c r="G50" s="254">
        <v>1.25</v>
      </c>
      <c r="H50" s="267">
        <f t="shared" si="3"/>
        <v>50</v>
      </c>
      <c r="I50" s="266" t="s">
        <v>171</v>
      </c>
      <c r="J50" s="1035" t="s">
        <v>6174</v>
      </c>
      <c r="K50" s="258">
        <v>42760.0</v>
      </c>
      <c r="L50" s="258">
        <v>42753.0</v>
      </c>
      <c r="M50" s="266" t="s">
        <v>2039</v>
      </c>
      <c r="N50" s="602" t="s">
        <v>6175</v>
      </c>
      <c r="O50" s="253"/>
      <c r="P50" s="581">
        <v>840.0</v>
      </c>
      <c r="Q50" s="765" t="s">
        <v>2194</v>
      </c>
      <c r="R50" s="253"/>
      <c r="S50" s="810">
        <v>42768.0</v>
      </c>
      <c r="T50" s="769">
        <v>42752.0</v>
      </c>
      <c r="U50" s="765" t="s">
        <v>6176</v>
      </c>
      <c r="V50" s="770">
        <v>2100.0</v>
      </c>
      <c r="W50" s="258">
        <v>42769.0</v>
      </c>
      <c r="X50" s="252" t="s">
        <v>6185</v>
      </c>
      <c r="Y50" s="1037"/>
      <c r="Z50" s="1037"/>
      <c r="AA50" s="1037"/>
      <c r="AB50" s="766"/>
      <c r="AC50" s="253" t="s">
        <v>284</v>
      </c>
    </row>
    <row r="51" ht="15.75" customHeight="1">
      <c r="A51" s="776">
        <v>42732.0</v>
      </c>
      <c r="B51" s="252" t="s">
        <v>77</v>
      </c>
      <c r="C51" s="765">
        <v>1128.0</v>
      </c>
      <c r="D51" s="252" t="s">
        <v>6173</v>
      </c>
      <c r="E51" s="252" t="s">
        <v>6156</v>
      </c>
      <c r="F51" s="307">
        <v>60.0</v>
      </c>
      <c r="G51" s="254">
        <v>131.0</v>
      </c>
      <c r="H51" s="267">
        <f t="shared" si="3"/>
        <v>7860</v>
      </c>
      <c r="I51" s="266" t="s">
        <v>171</v>
      </c>
      <c r="J51" s="1035" t="s">
        <v>6174</v>
      </c>
      <c r="K51" s="258">
        <v>42754.0</v>
      </c>
      <c r="L51" s="258">
        <v>42752.0</v>
      </c>
      <c r="M51" s="253" t="s">
        <v>6158</v>
      </c>
      <c r="N51" s="602" t="s">
        <v>6186</v>
      </c>
      <c r="O51" s="253"/>
      <c r="P51" s="1038"/>
      <c r="Q51" s="765" t="s">
        <v>2148</v>
      </c>
      <c r="R51" s="330" t="s">
        <v>6187</v>
      </c>
      <c r="S51" s="331"/>
      <c r="T51" s="330" t="s">
        <v>6187</v>
      </c>
      <c r="U51" s="330" t="s">
        <v>6187</v>
      </c>
      <c r="V51" s="330" t="s">
        <v>6187</v>
      </c>
      <c r="W51" s="253"/>
      <c r="X51" s="252" t="s">
        <v>6177</v>
      </c>
      <c r="Y51" s="253" t="s">
        <v>6178</v>
      </c>
      <c r="Z51" s="1037"/>
      <c r="AA51" s="1037"/>
      <c r="AB51" s="766"/>
      <c r="AC51" s="253" t="s">
        <v>284</v>
      </c>
    </row>
    <row r="52" ht="15.75" customHeight="1">
      <c r="A52" s="776">
        <v>42732.0</v>
      </c>
      <c r="B52" s="252" t="s">
        <v>77</v>
      </c>
      <c r="C52" s="765">
        <v>1128.0</v>
      </c>
      <c r="D52" s="252" t="s">
        <v>6173</v>
      </c>
      <c r="E52" s="252" t="s">
        <v>6162</v>
      </c>
      <c r="F52" s="307">
        <v>60.0</v>
      </c>
      <c r="G52" s="254">
        <v>15.0</v>
      </c>
      <c r="H52" s="267">
        <f t="shared" si="3"/>
        <v>900</v>
      </c>
      <c r="I52" s="266" t="s">
        <v>171</v>
      </c>
      <c r="J52" s="1035" t="s">
        <v>6174</v>
      </c>
      <c r="K52" s="258">
        <v>42754.0</v>
      </c>
      <c r="L52" s="258">
        <v>42752.0</v>
      </c>
      <c r="M52" s="253" t="s">
        <v>6158</v>
      </c>
      <c r="N52" s="602" t="s">
        <v>6186</v>
      </c>
      <c r="O52" s="253"/>
      <c r="P52" s="253"/>
      <c r="Q52" s="765" t="s">
        <v>2148</v>
      </c>
      <c r="R52" s="330" t="s">
        <v>6187</v>
      </c>
      <c r="S52" s="331"/>
      <c r="T52" s="330" t="s">
        <v>6187</v>
      </c>
      <c r="U52" s="330" t="s">
        <v>6187</v>
      </c>
      <c r="V52" s="330" t="s">
        <v>6187</v>
      </c>
      <c r="W52" s="253"/>
      <c r="X52" s="252" t="s">
        <v>6177</v>
      </c>
      <c r="Y52" s="253" t="s">
        <v>6178</v>
      </c>
      <c r="Z52" s="1037"/>
      <c r="AA52" s="1037"/>
      <c r="AB52" s="766"/>
      <c r="AC52" s="253" t="s">
        <v>284</v>
      </c>
    </row>
    <row r="53" ht="15.75" customHeight="1">
      <c r="A53" s="776">
        <v>42732.0</v>
      </c>
      <c r="B53" s="252" t="s">
        <v>77</v>
      </c>
      <c r="C53" s="765">
        <v>1132.0</v>
      </c>
      <c r="D53" s="252" t="s">
        <v>6184</v>
      </c>
      <c r="E53" s="252" t="s">
        <v>6156</v>
      </c>
      <c r="F53" s="307">
        <v>40.0</v>
      </c>
      <c r="G53" s="254">
        <v>131.0</v>
      </c>
      <c r="H53" s="267">
        <f t="shared" si="3"/>
        <v>5240</v>
      </c>
      <c r="I53" s="266" t="s">
        <v>171</v>
      </c>
      <c r="J53" s="1035" t="s">
        <v>6174</v>
      </c>
      <c r="K53" s="258">
        <v>42760.0</v>
      </c>
      <c r="L53" s="258">
        <v>42752.0</v>
      </c>
      <c r="M53" s="253" t="s">
        <v>6158</v>
      </c>
      <c r="N53" s="602" t="s">
        <v>6188</v>
      </c>
      <c r="O53" s="253"/>
      <c r="P53" s="253"/>
      <c r="Q53" s="765" t="s">
        <v>2148</v>
      </c>
      <c r="R53" s="330" t="s">
        <v>6189</v>
      </c>
      <c r="S53" s="1039"/>
      <c r="T53" s="330" t="s">
        <v>6189</v>
      </c>
      <c r="U53" s="330" t="s">
        <v>6189</v>
      </c>
      <c r="V53" s="330" t="s">
        <v>6189</v>
      </c>
      <c r="W53" s="253"/>
      <c r="X53" s="252" t="s">
        <v>6185</v>
      </c>
      <c r="Y53" s="1037"/>
      <c r="Z53" s="1037"/>
      <c r="AA53" s="1037"/>
      <c r="AB53" s="766"/>
      <c r="AC53" s="253" t="s">
        <v>284</v>
      </c>
    </row>
    <row r="54" ht="15.75" customHeight="1">
      <c r="A54" s="776">
        <v>42732.0</v>
      </c>
      <c r="B54" s="252" t="s">
        <v>77</v>
      </c>
      <c r="C54" s="765">
        <v>1132.0</v>
      </c>
      <c r="D54" s="252" t="s">
        <v>6184</v>
      </c>
      <c r="E54" s="252" t="s">
        <v>6162</v>
      </c>
      <c r="F54" s="307">
        <v>40.0</v>
      </c>
      <c r="G54" s="254">
        <v>15.0</v>
      </c>
      <c r="H54" s="267">
        <f t="shared" si="3"/>
        <v>600</v>
      </c>
      <c r="I54" s="266" t="s">
        <v>171</v>
      </c>
      <c r="J54" s="1035" t="s">
        <v>6174</v>
      </c>
      <c r="K54" s="258">
        <v>42760.0</v>
      </c>
      <c r="L54" s="258">
        <v>42752.0</v>
      </c>
      <c r="M54" s="253" t="s">
        <v>6158</v>
      </c>
      <c r="N54" s="602" t="s">
        <v>6188</v>
      </c>
      <c r="O54" s="253"/>
      <c r="P54" s="253"/>
      <c r="Q54" s="765" t="s">
        <v>2148</v>
      </c>
      <c r="R54" s="330" t="s">
        <v>6189</v>
      </c>
      <c r="S54" s="1039"/>
      <c r="T54" s="330" t="s">
        <v>6189</v>
      </c>
      <c r="U54" s="330" t="s">
        <v>6189</v>
      </c>
      <c r="V54" s="330" t="s">
        <v>6189</v>
      </c>
      <c r="W54" s="253"/>
      <c r="X54" s="252" t="s">
        <v>6185</v>
      </c>
      <c r="Y54" s="1037"/>
      <c r="Z54" s="1037"/>
      <c r="AA54" s="1037"/>
      <c r="AB54" s="766"/>
      <c r="AC54" s="253" t="s">
        <v>284</v>
      </c>
    </row>
    <row r="55" ht="15.75" customHeight="1">
      <c r="A55" s="776">
        <v>42732.0</v>
      </c>
      <c r="B55" s="252" t="s">
        <v>6167</v>
      </c>
      <c r="C55" s="252">
        <v>7.000126517E9</v>
      </c>
      <c r="D55" s="252" t="s">
        <v>6168</v>
      </c>
      <c r="E55" s="252" t="s">
        <v>6190</v>
      </c>
      <c r="F55" s="808">
        <v>5.0</v>
      </c>
      <c r="G55" s="267">
        <v>144.0</v>
      </c>
      <c r="H55" s="267">
        <f t="shared" si="3"/>
        <v>720</v>
      </c>
      <c r="I55" s="266" t="s">
        <v>43</v>
      </c>
      <c r="J55" s="403" t="s">
        <v>3623</v>
      </c>
      <c r="K55" s="258">
        <v>42741.0</v>
      </c>
      <c r="L55" s="258">
        <v>42741.0</v>
      </c>
      <c r="M55" s="403" t="s">
        <v>6120</v>
      </c>
      <c r="N55" s="765" t="s">
        <v>6191</v>
      </c>
      <c r="O55" s="253"/>
      <c r="P55" s="1040">
        <v>21037.0</v>
      </c>
      <c r="Q55" s="310" t="s">
        <v>6122</v>
      </c>
      <c r="R55" s="253"/>
      <c r="S55" s="768">
        <v>42830.0</v>
      </c>
      <c r="T55" s="771">
        <v>42740.0</v>
      </c>
      <c r="U55" s="765" t="s">
        <v>6192</v>
      </c>
      <c r="V55" s="770">
        <v>81020.0</v>
      </c>
      <c r="W55" s="258">
        <v>42830.0</v>
      </c>
      <c r="X55" s="252" t="s">
        <v>6193</v>
      </c>
      <c r="Y55" s="1037"/>
      <c r="Z55" s="1037"/>
      <c r="AA55" s="1037"/>
      <c r="AB55" s="766"/>
      <c r="AC55" s="253" t="s">
        <v>284</v>
      </c>
    </row>
    <row r="56" ht="15.75" customHeight="1">
      <c r="A56" s="776">
        <v>42732.0</v>
      </c>
      <c r="B56" s="252" t="s">
        <v>6167</v>
      </c>
      <c r="C56" s="252">
        <v>7.000126517E9</v>
      </c>
      <c r="D56" s="252" t="s">
        <v>6168</v>
      </c>
      <c r="E56" s="252" t="s">
        <v>6194</v>
      </c>
      <c r="F56" s="808">
        <v>3.0</v>
      </c>
      <c r="G56" s="267">
        <v>86.0</v>
      </c>
      <c r="H56" s="267">
        <f t="shared" si="3"/>
        <v>258</v>
      </c>
      <c r="I56" s="266" t="s">
        <v>43</v>
      </c>
      <c r="J56" s="403" t="s">
        <v>3623</v>
      </c>
      <c r="K56" s="258">
        <v>42741.0</v>
      </c>
      <c r="L56" s="258">
        <v>42741.0</v>
      </c>
      <c r="M56" s="403" t="s">
        <v>6120</v>
      </c>
      <c r="N56" s="765" t="s">
        <v>6191</v>
      </c>
      <c r="O56" s="253"/>
      <c r="P56" s="637">
        <v>7519.0</v>
      </c>
      <c r="Q56" s="310" t="s">
        <v>6122</v>
      </c>
      <c r="R56" s="253"/>
      <c r="S56" s="768">
        <v>42830.0</v>
      </c>
      <c r="T56" s="771">
        <v>42740.0</v>
      </c>
      <c r="U56" s="765" t="s">
        <v>6192</v>
      </c>
      <c r="V56" s="770">
        <v>81020.0</v>
      </c>
      <c r="W56" s="258">
        <v>42830.0</v>
      </c>
      <c r="X56" s="252" t="s">
        <v>6193</v>
      </c>
      <c r="Y56" s="1037"/>
      <c r="Z56" s="1037"/>
      <c r="AA56" s="1037"/>
      <c r="AB56" s="766"/>
      <c r="AC56" s="253" t="s">
        <v>284</v>
      </c>
    </row>
    <row r="57" ht="15.75" customHeight="1">
      <c r="A57" s="776">
        <v>42732.0</v>
      </c>
      <c r="B57" s="252" t="s">
        <v>6167</v>
      </c>
      <c r="C57" s="252">
        <v>7.000126517E9</v>
      </c>
      <c r="D57" s="252" t="s">
        <v>6168</v>
      </c>
      <c r="E57" s="252" t="s">
        <v>3676</v>
      </c>
      <c r="F57" s="808">
        <v>2.0</v>
      </c>
      <c r="G57" s="267">
        <v>46.0</v>
      </c>
      <c r="H57" s="267">
        <f t="shared" si="3"/>
        <v>92</v>
      </c>
      <c r="I57" s="266" t="s">
        <v>43</v>
      </c>
      <c r="J57" s="403" t="s">
        <v>3623</v>
      </c>
      <c r="K57" s="258">
        <v>42741.0</v>
      </c>
      <c r="L57" s="258">
        <v>42741.0</v>
      </c>
      <c r="M57" s="403" t="s">
        <v>6120</v>
      </c>
      <c r="N57" s="765" t="s">
        <v>6191</v>
      </c>
      <c r="O57" s="253"/>
      <c r="P57" s="637">
        <v>2684.0</v>
      </c>
      <c r="Q57" s="310" t="s">
        <v>6122</v>
      </c>
      <c r="R57" s="253"/>
      <c r="S57" s="768">
        <v>42830.0</v>
      </c>
      <c r="T57" s="771">
        <v>42740.0</v>
      </c>
      <c r="U57" s="765" t="s">
        <v>6192</v>
      </c>
      <c r="V57" s="770">
        <v>81020.0</v>
      </c>
      <c r="W57" s="258">
        <v>42830.0</v>
      </c>
      <c r="X57" s="252" t="s">
        <v>6193</v>
      </c>
      <c r="Y57" s="1037"/>
      <c r="Z57" s="1037"/>
      <c r="AA57" s="1037"/>
      <c r="AB57" s="766"/>
      <c r="AC57" s="253" t="s">
        <v>284</v>
      </c>
    </row>
    <row r="58" ht="15.75" customHeight="1">
      <c r="A58" s="776">
        <v>42732.0</v>
      </c>
      <c r="B58" s="252" t="s">
        <v>6167</v>
      </c>
      <c r="C58" s="252">
        <v>7.000126517E9</v>
      </c>
      <c r="D58" s="252" t="s">
        <v>6168</v>
      </c>
      <c r="E58" s="252" t="s">
        <v>6195</v>
      </c>
      <c r="F58" s="808">
        <v>5.0</v>
      </c>
      <c r="G58" s="267">
        <v>233.0</v>
      </c>
      <c r="H58" s="267">
        <f t="shared" si="3"/>
        <v>1165</v>
      </c>
      <c r="I58" s="266" t="s">
        <v>43</v>
      </c>
      <c r="J58" s="403" t="s">
        <v>3623</v>
      </c>
      <c r="K58" s="258">
        <v>42741.0</v>
      </c>
      <c r="L58" s="258">
        <v>42741.0</v>
      </c>
      <c r="M58" s="403" t="s">
        <v>6120</v>
      </c>
      <c r="N58" s="765" t="s">
        <v>6191</v>
      </c>
      <c r="O58" s="253"/>
      <c r="P58" s="637">
        <v>33994.0</v>
      </c>
      <c r="Q58" s="310" t="s">
        <v>6122</v>
      </c>
      <c r="R58" s="253"/>
      <c r="S58" s="768">
        <v>42830.0</v>
      </c>
      <c r="T58" s="771">
        <v>42740.0</v>
      </c>
      <c r="U58" s="765" t="s">
        <v>6192</v>
      </c>
      <c r="V58" s="770">
        <v>81020.0</v>
      </c>
      <c r="W58" s="258">
        <v>42830.0</v>
      </c>
      <c r="X58" s="252" t="s">
        <v>6193</v>
      </c>
      <c r="Y58" s="1037"/>
      <c r="Z58" s="1037"/>
      <c r="AA58" s="1037"/>
      <c r="AB58" s="766"/>
      <c r="AC58" s="253" t="s">
        <v>284</v>
      </c>
    </row>
    <row r="59" ht="15.75" customHeight="1">
      <c r="A59" s="776">
        <v>42732.0</v>
      </c>
      <c r="B59" s="252" t="s">
        <v>6167</v>
      </c>
      <c r="C59" s="252">
        <v>7.000126517E9</v>
      </c>
      <c r="D59" s="252" t="s">
        <v>6168</v>
      </c>
      <c r="E59" s="252" t="s">
        <v>4089</v>
      </c>
      <c r="F59" s="808">
        <v>5.0</v>
      </c>
      <c r="G59" s="267">
        <v>50.0</v>
      </c>
      <c r="H59" s="267">
        <f t="shared" si="3"/>
        <v>250</v>
      </c>
      <c r="I59" s="266" t="s">
        <v>43</v>
      </c>
      <c r="J59" s="403" t="s">
        <v>3623</v>
      </c>
      <c r="K59" s="258">
        <v>42741.0</v>
      </c>
      <c r="L59" s="258">
        <v>42741.0</v>
      </c>
      <c r="M59" s="403" t="s">
        <v>6120</v>
      </c>
      <c r="N59" s="765" t="s">
        <v>6191</v>
      </c>
      <c r="O59" s="253"/>
      <c r="P59" s="637">
        <v>7292.0</v>
      </c>
      <c r="Q59" s="310" t="s">
        <v>6122</v>
      </c>
      <c r="R59" s="253"/>
      <c r="S59" s="768">
        <v>42830.0</v>
      </c>
      <c r="T59" s="771">
        <v>42740.0</v>
      </c>
      <c r="U59" s="765" t="s">
        <v>6192</v>
      </c>
      <c r="V59" s="770">
        <v>81020.0</v>
      </c>
      <c r="W59" s="258">
        <v>42830.0</v>
      </c>
      <c r="X59" s="252" t="s">
        <v>6193</v>
      </c>
      <c r="Y59" s="1037"/>
      <c r="Z59" s="1037"/>
      <c r="AA59" s="1037"/>
      <c r="AB59" s="766"/>
      <c r="AC59" s="253" t="s">
        <v>284</v>
      </c>
    </row>
    <row r="60" ht="15.75" customHeight="1">
      <c r="A60" s="776">
        <v>42732.0</v>
      </c>
      <c r="B60" s="252" t="s">
        <v>6167</v>
      </c>
      <c r="C60" s="252">
        <v>7.000126517E9</v>
      </c>
      <c r="D60" s="252" t="s">
        <v>6168</v>
      </c>
      <c r="E60" s="252" t="s">
        <v>6196</v>
      </c>
      <c r="F60" s="808">
        <v>5.0</v>
      </c>
      <c r="G60" s="267">
        <v>58.0</v>
      </c>
      <c r="H60" s="267">
        <f t="shared" si="3"/>
        <v>290</v>
      </c>
      <c r="I60" s="266" t="s">
        <v>43</v>
      </c>
      <c r="J60" s="403" t="s">
        <v>3623</v>
      </c>
      <c r="K60" s="258">
        <v>42741.0</v>
      </c>
      <c r="L60" s="258">
        <v>42741.0</v>
      </c>
      <c r="M60" s="403" t="s">
        <v>6120</v>
      </c>
      <c r="N60" s="765" t="s">
        <v>6191</v>
      </c>
      <c r="O60" s="253"/>
      <c r="P60" s="637">
        <v>8495.0</v>
      </c>
      <c r="Q60" s="310" t="s">
        <v>6122</v>
      </c>
      <c r="R60" s="253"/>
      <c r="S60" s="768">
        <v>42830.0</v>
      </c>
      <c r="T60" s="771">
        <v>42740.0</v>
      </c>
      <c r="U60" s="765" t="s">
        <v>6192</v>
      </c>
      <c r="V60" s="770">
        <v>81020.0</v>
      </c>
      <c r="W60" s="258">
        <v>42830.0</v>
      </c>
      <c r="X60" s="252" t="s">
        <v>6193</v>
      </c>
      <c r="Y60" s="1037"/>
      <c r="Z60" s="1037"/>
      <c r="AA60" s="1037"/>
      <c r="AB60" s="766"/>
      <c r="AC60" s="253" t="s">
        <v>284</v>
      </c>
    </row>
    <row r="61" ht="15.75" customHeight="1">
      <c r="A61" s="776">
        <v>42732.0</v>
      </c>
      <c r="B61" s="252" t="s">
        <v>6167</v>
      </c>
      <c r="C61" s="252">
        <v>7.000126517E9</v>
      </c>
      <c r="D61" s="252" t="s">
        <v>6168</v>
      </c>
      <c r="E61" s="252" t="s">
        <v>3720</v>
      </c>
      <c r="F61" s="808">
        <v>2.0</v>
      </c>
      <c r="G61" s="267">
        <v>4.5</v>
      </c>
      <c r="H61" s="267">
        <f t="shared" si="3"/>
        <v>9</v>
      </c>
      <c r="I61" s="266" t="s">
        <v>43</v>
      </c>
      <c r="J61" s="403" t="s">
        <v>3623</v>
      </c>
      <c r="K61" s="258">
        <v>42741.0</v>
      </c>
      <c r="L61" s="258">
        <v>42739.0</v>
      </c>
      <c r="M61" s="266" t="s">
        <v>3593</v>
      </c>
      <c r="N61" s="765" t="s">
        <v>6170</v>
      </c>
      <c r="O61" s="253"/>
      <c r="P61" s="637">
        <v>231.0</v>
      </c>
      <c r="Q61" s="310" t="s">
        <v>6122</v>
      </c>
      <c r="R61" s="253"/>
      <c r="S61" s="768">
        <v>42830.0</v>
      </c>
      <c r="T61" s="771">
        <v>42738.0</v>
      </c>
      <c r="U61" s="765" t="s">
        <v>6197</v>
      </c>
      <c r="V61" s="770">
        <v>20349.0</v>
      </c>
      <c r="W61" s="258">
        <v>42799.0</v>
      </c>
      <c r="X61" s="252" t="s">
        <v>6193</v>
      </c>
      <c r="Y61" s="1037"/>
      <c r="Z61" s="1037"/>
      <c r="AA61" s="1037"/>
      <c r="AB61" s="766"/>
      <c r="AC61" s="253" t="s">
        <v>284</v>
      </c>
    </row>
    <row r="62" ht="15.75" customHeight="1">
      <c r="A62" s="776">
        <v>42732.0</v>
      </c>
      <c r="B62" s="252" t="s">
        <v>6167</v>
      </c>
      <c r="C62" s="252">
        <v>7.000126517E9</v>
      </c>
      <c r="D62" s="252" t="s">
        <v>6168</v>
      </c>
      <c r="E62" s="252" t="s">
        <v>3728</v>
      </c>
      <c r="F62" s="808">
        <v>2.0</v>
      </c>
      <c r="G62" s="267">
        <v>37.0</v>
      </c>
      <c r="H62" s="267">
        <f t="shared" si="3"/>
        <v>74</v>
      </c>
      <c r="I62" s="266" t="s">
        <v>43</v>
      </c>
      <c r="J62" s="403" t="s">
        <v>3623</v>
      </c>
      <c r="K62" s="258">
        <v>42741.0</v>
      </c>
      <c r="L62" s="258">
        <v>42739.0</v>
      </c>
      <c r="M62" s="266" t="s">
        <v>3593</v>
      </c>
      <c r="N62" s="765" t="s">
        <v>6170</v>
      </c>
      <c r="O62" s="253"/>
      <c r="P62" s="637">
        <v>2188.0</v>
      </c>
      <c r="Q62" s="310" t="s">
        <v>6122</v>
      </c>
      <c r="R62" s="253"/>
      <c r="S62" s="768">
        <v>42830.0</v>
      </c>
      <c r="T62" s="771">
        <v>42738.0</v>
      </c>
      <c r="U62" s="765" t="s">
        <v>6197</v>
      </c>
      <c r="V62" s="770">
        <v>20349.0</v>
      </c>
      <c r="W62" s="258">
        <v>42799.0</v>
      </c>
      <c r="X62" s="252" t="s">
        <v>6193</v>
      </c>
      <c r="Y62" s="1037"/>
      <c r="Z62" s="1037"/>
      <c r="AA62" s="1037"/>
      <c r="AB62" s="766"/>
      <c r="AC62" s="253" t="s">
        <v>284</v>
      </c>
    </row>
    <row r="63" ht="15.75" customHeight="1">
      <c r="A63" s="776">
        <v>42732.0</v>
      </c>
      <c r="B63" s="252" t="s">
        <v>6167</v>
      </c>
      <c r="C63" s="252">
        <v>7.000126517E9</v>
      </c>
      <c r="D63" s="252" t="s">
        <v>6168</v>
      </c>
      <c r="E63" s="252" t="s">
        <v>3724</v>
      </c>
      <c r="F63" s="808">
        <v>2.0</v>
      </c>
      <c r="G63" s="267">
        <v>8.5</v>
      </c>
      <c r="H63" s="267">
        <f t="shared" si="3"/>
        <v>17</v>
      </c>
      <c r="I63" s="266" t="s">
        <v>43</v>
      </c>
      <c r="J63" s="403" t="s">
        <v>3623</v>
      </c>
      <c r="K63" s="258">
        <v>42741.0</v>
      </c>
      <c r="L63" s="258">
        <v>42739.0</v>
      </c>
      <c r="M63" s="266" t="s">
        <v>3593</v>
      </c>
      <c r="N63" s="765" t="s">
        <v>6170</v>
      </c>
      <c r="O63" s="253"/>
      <c r="P63" s="637">
        <v>407.0</v>
      </c>
      <c r="Q63" s="310" t="s">
        <v>6122</v>
      </c>
      <c r="R63" s="253"/>
      <c r="S63" s="768">
        <v>42830.0</v>
      </c>
      <c r="T63" s="771">
        <v>42738.0</v>
      </c>
      <c r="U63" s="765" t="s">
        <v>6197</v>
      </c>
      <c r="V63" s="770">
        <v>20349.0</v>
      </c>
      <c r="W63" s="258">
        <v>42799.0</v>
      </c>
      <c r="X63" s="252" t="s">
        <v>6193</v>
      </c>
      <c r="Y63" s="1037"/>
      <c r="Z63" s="1037"/>
      <c r="AA63" s="1037"/>
      <c r="AB63" s="766"/>
      <c r="AC63" s="253" t="s">
        <v>284</v>
      </c>
    </row>
    <row r="64" ht="15.75" customHeight="1">
      <c r="A64" s="776">
        <v>42732.0</v>
      </c>
      <c r="B64" s="252" t="s">
        <v>6167</v>
      </c>
      <c r="C64" s="252">
        <v>7.000126517E9</v>
      </c>
      <c r="D64" s="252" t="s">
        <v>6168</v>
      </c>
      <c r="E64" s="252" t="s">
        <v>3726</v>
      </c>
      <c r="F64" s="808">
        <v>2.0</v>
      </c>
      <c r="G64" s="267">
        <v>236.0</v>
      </c>
      <c r="H64" s="267">
        <f t="shared" si="3"/>
        <v>472</v>
      </c>
      <c r="I64" s="266" t="s">
        <v>43</v>
      </c>
      <c r="J64" s="403" t="s">
        <v>3623</v>
      </c>
      <c r="K64" s="258">
        <v>42741.0</v>
      </c>
      <c r="L64" s="258">
        <v>42739.0</v>
      </c>
      <c r="M64" s="266" t="s">
        <v>3593</v>
      </c>
      <c r="N64" s="765" t="s">
        <v>6170</v>
      </c>
      <c r="O64" s="253"/>
      <c r="P64" s="637">
        <v>14247.0</v>
      </c>
      <c r="Q64" s="310" t="s">
        <v>6122</v>
      </c>
      <c r="R64" s="253"/>
      <c r="S64" s="768">
        <v>42830.0</v>
      </c>
      <c r="T64" s="771">
        <v>42738.0</v>
      </c>
      <c r="U64" s="765" t="s">
        <v>6197</v>
      </c>
      <c r="V64" s="770">
        <v>20349.0</v>
      </c>
      <c r="W64" s="258">
        <v>42799.0</v>
      </c>
      <c r="X64" s="252" t="s">
        <v>6193</v>
      </c>
      <c r="Y64" s="1037"/>
      <c r="Z64" s="1037"/>
      <c r="AA64" s="1037"/>
      <c r="AB64" s="766"/>
      <c r="AC64" s="253" t="s">
        <v>284</v>
      </c>
    </row>
    <row r="65" ht="15.75" customHeight="1">
      <c r="A65" s="776">
        <v>42732.0</v>
      </c>
      <c r="B65" s="252" t="s">
        <v>6167</v>
      </c>
      <c r="C65" s="252">
        <v>7.000126517E9</v>
      </c>
      <c r="D65" s="252" t="s">
        <v>6168</v>
      </c>
      <c r="E65" s="252" t="s">
        <v>3727</v>
      </c>
      <c r="F65" s="808">
        <v>2.0</v>
      </c>
      <c r="G65" s="267">
        <v>55.0</v>
      </c>
      <c r="H65" s="267">
        <f t="shared" si="3"/>
        <v>110</v>
      </c>
      <c r="I65" s="266" t="s">
        <v>43</v>
      </c>
      <c r="J65" s="403" t="s">
        <v>3623</v>
      </c>
      <c r="K65" s="258">
        <v>42741.0</v>
      </c>
      <c r="L65" s="258">
        <v>42739.0</v>
      </c>
      <c r="M65" s="266" t="s">
        <v>3593</v>
      </c>
      <c r="N65" s="765" t="s">
        <v>6170</v>
      </c>
      <c r="O65" s="253"/>
      <c r="P65" s="637">
        <v>3276.0</v>
      </c>
      <c r="Q65" s="310" t="s">
        <v>6122</v>
      </c>
      <c r="R65" s="253"/>
      <c r="S65" s="768">
        <v>42830.0</v>
      </c>
      <c r="T65" s="771">
        <v>42738.0</v>
      </c>
      <c r="U65" s="765" t="s">
        <v>6197</v>
      </c>
      <c r="V65" s="770">
        <v>20349.0</v>
      </c>
      <c r="W65" s="258">
        <v>42799.0</v>
      </c>
      <c r="X65" s="252" t="s">
        <v>6193</v>
      </c>
      <c r="Y65" s="1037"/>
      <c r="Z65" s="1037"/>
      <c r="AA65" s="1037"/>
      <c r="AB65" s="766"/>
      <c r="AC65" s="253" t="s">
        <v>284</v>
      </c>
    </row>
    <row r="66" ht="15.75" customHeight="1">
      <c r="A66" s="776">
        <v>42734.0</v>
      </c>
      <c r="B66" s="252" t="s">
        <v>6167</v>
      </c>
      <c r="C66" s="252">
        <v>7.00012655E9</v>
      </c>
      <c r="D66" s="252" t="s">
        <v>6198</v>
      </c>
      <c r="E66" s="252" t="s">
        <v>6199</v>
      </c>
      <c r="F66" s="307">
        <v>4.0</v>
      </c>
      <c r="G66" s="254">
        <v>43.0</v>
      </c>
      <c r="H66" s="267">
        <f t="shared" si="3"/>
        <v>172</v>
      </c>
      <c r="I66" s="266" t="s">
        <v>43</v>
      </c>
      <c r="J66" s="403" t="s">
        <v>3623</v>
      </c>
      <c r="K66" s="258">
        <v>42741.0</v>
      </c>
      <c r="L66" s="258">
        <v>42741.0</v>
      </c>
      <c r="M66" s="266" t="s">
        <v>3593</v>
      </c>
      <c r="N66" s="765" t="s">
        <v>6200</v>
      </c>
      <c r="O66" s="253"/>
      <c r="P66" s="637">
        <v>5141.0</v>
      </c>
      <c r="Q66" s="310" t="s">
        <v>6122</v>
      </c>
      <c r="R66" s="253"/>
      <c r="S66" s="768">
        <v>42830.0</v>
      </c>
      <c r="T66" s="769">
        <v>42740.0</v>
      </c>
      <c r="U66" s="765" t="s">
        <v>6201</v>
      </c>
      <c r="V66" s="770">
        <v>37708.0</v>
      </c>
      <c r="W66" s="258">
        <v>42799.0</v>
      </c>
      <c r="X66" s="252" t="s">
        <v>6193</v>
      </c>
      <c r="Y66" s="1037"/>
      <c r="Z66" s="1037"/>
      <c r="AA66" s="1037"/>
      <c r="AB66" s="766"/>
      <c r="AC66" s="253" t="s">
        <v>284</v>
      </c>
    </row>
    <row r="67" ht="15.75" customHeight="1">
      <c r="A67" s="776">
        <v>42734.0</v>
      </c>
      <c r="B67" s="252" t="s">
        <v>6167</v>
      </c>
      <c r="C67" s="252">
        <v>7.00012655E9</v>
      </c>
      <c r="D67" s="252" t="s">
        <v>6198</v>
      </c>
      <c r="E67" s="252" t="s">
        <v>6202</v>
      </c>
      <c r="F67" s="307">
        <v>2.0</v>
      </c>
      <c r="G67" s="254">
        <v>270.0</v>
      </c>
      <c r="H67" s="267">
        <f t="shared" si="3"/>
        <v>540</v>
      </c>
      <c r="I67" s="266" t="s">
        <v>43</v>
      </c>
      <c r="J67" s="403" t="s">
        <v>3623</v>
      </c>
      <c r="K67" s="258">
        <v>42741.0</v>
      </c>
      <c r="L67" s="258">
        <v>42741.0</v>
      </c>
      <c r="M67" s="266" t="s">
        <v>3593</v>
      </c>
      <c r="N67" s="765" t="s">
        <v>6200</v>
      </c>
      <c r="O67" s="253"/>
      <c r="P67" s="811">
        <v>16283.5</v>
      </c>
      <c r="Q67" s="310" t="s">
        <v>6122</v>
      </c>
      <c r="R67" s="253"/>
      <c r="S67" s="768">
        <v>42830.0</v>
      </c>
      <c r="T67" s="769">
        <v>42740.0</v>
      </c>
      <c r="U67" s="765" t="s">
        <v>6201</v>
      </c>
      <c r="V67" s="770">
        <v>37708.0</v>
      </c>
      <c r="W67" s="258">
        <v>42799.0</v>
      </c>
      <c r="X67" s="252" t="s">
        <v>6193</v>
      </c>
      <c r="Y67" s="1037"/>
      <c r="Z67" s="1037"/>
      <c r="AA67" s="1037"/>
      <c r="AB67" s="766"/>
      <c r="AC67" s="253" t="s">
        <v>284</v>
      </c>
    </row>
    <row r="68" ht="15.75" customHeight="1">
      <c r="A68" s="776">
        <v>42734.0</v>
      </c>
      <c r="B68" s="252" t="s">
        <v>6167</v>
      </c>
      <c r="C68" s="252">
        <v>7.00012655E9</v>
      </c>
      <c r="D68" s="252" t="s">
        <v>6198</v>
      </c>
      <c r="E68" s="252" t="s">
        <v>6202</v>
      </c>
      <c r="F68" s="307">
        <v>2.0</v>
      </c>
      <c r="G68" s="254">
        <v>270.0</v>
      </c>
      <c r="H68" s="267">
        <f t="shared" si="3"/>
        <v>540</v>
      </c>
      <c r="I68" s="266" t="s">
        <v>43</v>
      </c>
      <c r="J68" s="403" t="s">
        <v>3623</v>
      </c>
      <c r="K68" s="258">
        <v>42741.0</v>
      </c>
      <c r="L68" s="258">
        <v>42741.0</v>
      </c>
      <c r="M68" s="266" t="s">
        <v>3593</v>
      </c>
      <c r="N68" s="765" t="s">
        <v>6200</v>
      </c>
      <c r="O68" s="253"/>
      <c r="P68" s="811">
        <v>16283.5</v>
      </c>
      <c r="Q68" s="310" t="s">
        <v>6122</v>
      </c>
      <c r="R68" s="253"/>
      <c r="S68" s="768">
        <v>42830.0</v>
      </c>
      <c r="T68" s="769">
        <v>42740.0</v>
      </c>
      <c r="U68" s="765" t="s">
        <v>6201</v>
      </c>
      <c r="V68" s="770">
        <v>37708.0</v>
      </c>
      <c r="W68" s="258">
        <v>42799.0</v>
      </c>
      <c r="X68" s="252" t="s">
        <v>6193</v>
      </c>
      <c r="Y68" s="1037"/>
      <c r="Z68" s="1037"/>
      <c r="AA68" s="1037"/>
      <c r="AB68" s="766"/>
      <c r="AC68" s="253" t="s">
        <v>284</v>
      </c>
    </row>
    <row r="69" ht="15.75" customHeight="1">
      <c r="A69" s="776">
        <v>42738.0</v>
      </c>
      <c r="B69" s="252" t="s">
        <v>3871</v>
      </c>
      <c r="C69" s="765" t="s">
        <v>6203</v>
      </c>
      <c r="D69" s="252" t="s">
        <v>6204</v>
      </c>
      <c r="E69" s="252" t="s">
        <v>6205</v>
      </c>
      <c r="F69" s="307">
        <v>8.0</v>
      </c>
      <c r="G69" s="254">
        <v>156.0</v>
      </c>
      <c r="H69" s="267">
        <f t="shared" si="3"/>
        <v>1248</v>
      </c>
      <c r="I69" s="266" t="s">
        <v>3874</v>
      </c>
      <c r="J69" s="369" t="s">
        <v>6206</v>
      </c>
      <c r="K69" s="258">
        <v>42747.0</v>
      </c>
      <c r="L69" s="258">
        <v>42746.0</v>
      </c>
      <c r="M69" s="253" t="s">
        <v>90</v>
      </c>
      <c r="N69" s="252" t="s">
        <v>6207</v>
      </c>
      <c r="O69" s="581">
        <v>1117.2</v>
      </c>
      <c r="P69" s="253"/>
      <c r="Q69" s="320" t="s">
        <v>6081</v>
      </c>
      <c r="R69" s="253"/>
      <c r="S69" s="810">
        <v>42799.0</v>
      </c>
      <c r="T69" s="769">
        <v>42745.0</v>
      </c>
      <c r="U69" s="765" t="s">
        <v>6208</v>
      </c>
      <c r="V69" s="770">
        <v>35862.0</v>
      </c>
      <c r="W69" s="258">
        <v>42801.0</v>
      </c>
      <c r="X69" s="252" t="s">
        <v>6209</v>
      </c>
      <c r="Y69" s="1037"/>
      <c r="Z69" s="1037"/>
      <c r="AA69" s="1037"/>
      <c r="AB69" s="766"/>
      <c r="AC69" s="253" t="s">
        <v>284</v>
      </c>
    </row>
    <row r="70" ht="15.75" customHeight="1">
      <c r="A70" s="776">
        <v>42739.0</v>
      </c>
      <c r="B70" s="252" t="s">
        <v>229</v>
      </c>
      <c r="C70" s="765"/>
      <c r="D70" s="252" t="s">
        <v>6210</v>
      </c>
      <c r="E70" s="252" t="s">
        <v>462</v>
      </c>
      <c r="F70" s="307">
        <v>24.0</v>
      </c>
      <c r="G70" s="267">
        <v>415.8</v>
      </c>
      <c r="H70" s="267">
        <f t="shared" si="3"/>
        <v>9979.2</v>
      </c>
      <c r="I70" s="266" t="s">
        <v>171</v>
      </c>
      <c r="J70" s="253" t="s">
        <v>90</v>
      </c>
      <c r="K70" s="258">
        <v>42755.0</v>
      </c>
      <c r="L70" s="253"/>
      <c r="M70" s="253" t="s">
        <v>90</v>
      </c>
      <c r="N70" s="252" t="s">
        <v>6211</v>
      </c>
      <c r="O70" s="581">
        <v>8946.0</v>
      </c>
      <c r="P70" s="253"/>
      <c r="Q70" s="320" t="s">
        <v>6081</v>
      </c>
      <c r="R70" s="253"/>
      <c r="S70" s="810">
        <v>42799.0</v>
      </c>
      <c r="T70" s="769">
        <v>42755.0</v>
      </c>
      <c r="U70" s="765" t="s">
        <v>6212</v>
      </c>
      <c r="V70" s="770">
        <v>304269.0</v>
      </c>
      <c r="W70" s="258">
        <v>42801.0</v>
      </c>
      <c r="X70" s="252" t="s">
        <v>6213</v>
      </c>
      <c r="Y70" s="253"/>
      <c r="Z70" s="266" t="s">
        <v>6214</v>
      </c>
      <c r="AA70" s="1030">
        <v>335939.0</v>
      </c>
      <c r="AB70" s="765" t="s">
        <v>6215</v>
      </c>
      <c r="AC70" s="253" t="s">
        <v>377</v>
      </c>
    </row>
    <row r="71" ht="15.75" customHeight="1">
      <c r="A71" s="776">
        <v>42739.0</v>
      </c>
      <c r="B71" s="765" t="s">
        <v>229</v>
      </c>
      <c r="C71" s="765"/>
      <c r="D71" s="252" t="s">
        <v>6210</v>
      </c>
      <c r="E71" s="252" t="s">
        <v>3765</v>
      </c>
      <c r="F71" s="307">
        <v>2.0</v>
      </c>
      <c r="G71" s="466">
        <v>336.0</v>
      </c>
      <c r="H71" s="267">
        <f t="shared" si="3"/>
        <v>672</v>
      </c>
      <c r="I71" s="266" t="s">
        <v>171</v>
      </c>
      <c r="J71" s="253" t="s">
        <v>90</v>
      </c>
      <c r="K71" s="258">
        <v>42755.0</v>
      </c>
      <c r="L71" s="253"/>
      <c r="M71" s="253" t="s">
        <v>90</v>
      </c>
      <c r="N71" s="252" t="s">
        <v>6211</v>
      </c>
      <c r="O71" s="581">
        <v>602.7</v>
      </c>
      <c r="P71" s="253"/>
      <c r="Q71" s="320" t="s">
        <v>6081</v>
      </c>
      <c r="R71" s="253"/>
      <c r="S71" s="810">
        <v>42799.0</v>
      </c>
      <c r="T71" s="769">
        <v>42755.0</v>
      </c>
      <c r="U71" s="765" t="s">
        <v>6212</v>
      </c>
      <c r="V71" s="765" t="s">
        <v>6216</v>
      </c>
      <c r="W71" s="258">
        <v>42801.0</v>
      </c>
      <c r="X71" s="252" t="s">
        <v>6213</v>
      </c>
      <c r="Y71" s="253"/>
      <c r="Z71" s="266" t="s">
        <v>6214</v>
      </c>
      <c r="AA71" s="266" t="s">
        <v>6217</v>
      </c>
      <c r="AB71" s="765" t="s">
        <v>6215</v>
      </c>
      <c r="AC71" s="253" t="s">
        <v>377</v>
      </c>
    </row>
    <row r="72" ht="15.75" customHeight="1">
      <c r="A72" s="764">
        <v>42741.0</v>
      </c>
      <c r="B72" s="765" t="s">
        <v>101</v>
      </c>
      <c r="C72" s="765" t="s">
        <v>6218</v>
      </c>
      <c r="D72" s="252" t="s">
        <v>6219</v>
      </c>
      <c r="E72" s="252" t="s">
        <v>6220</v>
      </c>
      <c r="F72" s="307">
        <v>3.0</v>
      </c>
      <c r="G72" s="254">
        <v>1118.0</v>
      </c>
      <c r="H72" s="267">
        <f t="shared" si="3"/>
        <v>3354</v>
      </c>
      <c r="I72" s="266" t="s">
        <v>3474</v>
      </c>
      <c r="J72" s="253" t="s">
        <v>534</v>
      </c>
      <c r="K72" s="258">
        <v>42754.0</v>
      </c>
      <c r="L72" s="601">
        <v>42752.0</v>
      </c>
      <c r="M72" s="333" t="s">
        <v>1439</v>
      </c>
      <c r="N72" s="765" t="s">
        <v>6221</v>
      </c>
      <c r="O72" s="339"/>
      <c r="P72" s="637">
        <v>100249.0</v>
      </c>
      <c r="Q72" s="320" t="s">
        <v>1976</v>
      </c>
      <c r="R72" s="253"/>
      <c r="S72" s="810">
        <v>42771.0</v>
      </c>
      <c r="T72" s="769">
        <v>42751.0</v>
      </c>
      <c r="U72" s="765" t="s">
        <v>6222</v>
      </c>
      <c r="V72" s="770">
        <v>100249.0</v>
      </c>
      <c r="W72" s="601">
        <v>42773.0</v>
      </c>
      <c r="X72" s="252" t="s">
        <v>6223</v>
      </c>
      <c r="Y72" s="1037"/>
      <c r="Z72" s="1037"/>
      <c r="AA72" s="1037"/>
      <c r="AB72" s="766"/>
      <c r="AC72" s="253" t="s">
        <v>284</v>
      </c>
    </row>
    <row r="73" ht="15.75" customHeight="1">
      <c r="A73" s="764">
        <v>42741.0</v>
      </c>
      <c r="B73" s="765" t="s">
        <v>101</v>
      </c>
      <c r="C73" s="765" t="s">
        <v>6218</v>
      </c>
      <c r="D73" s="252" t="s">
        <v>6219</v>
      </c>
      <c r="E73" s="252" t="s">
        <v>6224</v>
      </c>
      <c r="F73" s="307">
        <v>3.0</v>
      </c>
      <c r="G73" s="254">
        <v>70.0</v>
      </c>
      <c r="H73" s="267">
        <f t="shared" si="3"/>
        <v>210</v>
      </c>
      <c r="I73" s="266" t="s">
        <v>3474</v>
      </c>
      <c r="J73" s="253" t="s">
        <v>534</v>
      </c>
      <c r="K73" s="258">
        <v>42754.0</v>
      </c>
      <c r="L73" s="258">
        <v>42747.0</v>
      </c>
      <c r="M73" s="369" t="s">
        <v>6225</v>
      </c>
      <c r="N73" s="765" t="s">
        <v>6226</v>
      </c>
      <c r="O73" s="339"/>
      <c r="P73" s="581" t="s">
        <v>6227</v>
      </c>
      <c r="Q73" s="310" t="s">
        <v>6228</v>
      </c>
      <c r="R73" s="253"/>
      <c r="S73" s="810">
        <v>42744.0</v>
      </c>
      <c r="T73" s="771">
        <v>42746.0</v>
      </c>
      <c r="U73" s="252" t="s">
        <v>6229</v>
      </c>
      <c r="V73" s="774">
        <v>3259.0</v>
      </c>
      <c r="W73" s="601">
        <v>42744.0</v>
      </c>
      <c r="X73" s="252" t="s">
        <v>6223</v>
      </c>
      <c r="Y73" s="1037"/>
      <c r="Z73" s="1037"/>
      <c r="AA73" s="1037"/>
      <c r="AB73" s="766"/>
      <c r="AC73" s="253" t="s">
        <v>284</v>
      </c>
    </row>
    <row r="74" ht="15.75" customHeight="1">
      <c r="A74" s="764">
        <v>42746.0</v>
      </c>
      <c r="B74" s="765" t="s">
        <v>229</v>
      </c>
      <c r="C74" s="765"/>
      <c r="D74" s="252" t="s">
        <v>6230</v>
      </c>
      <c r="E74" s="252" t="s">
        <v>462</v>
      </c>
      <c r="F74" s="307">
        <v>28.0</v>
      </c>
      <c r="G74" s="267">
        <v>415.8</v>
      </c>
      <c r="H74" s="267">
        <f t="shared" si="3"/>
        <v>11642.4</v>
      </c>
      <c r="I74" s="266" t="s">
        <v>171</v>
      </c>
      <c r="J74" s="253" t="s">
        <v>90</v>
      </c>
      <c r="K74" s="258">
        <v>42772.0</v>
      </c>
      <c r="L74" s="253"/>
      <c r="M74" s="253" t="s">
        <v>90</v>
      </c>
      <c r="N74" s="252" t="s">
        <v>6231</v>
      </c>
      <c r="O74" s="581">
        <v>10437.0</v>
      </c>
      <c r="P74" s="253"/>
      <c r="Q74" s="320" t="s">
        <v>6081</v>
      </c>
      <c r="R74" s="253"/>
      <c r="S74" s="768">
        <v>42830.0</v>
      </c>
      <c r="T74" s="769">
        <v>42772.0</v>
      </c>
      <c r="U74" s="765" t="s">
        <v>6232</v>
      </c>
      <c r="V74" s="770">
        <v>354578.0</v>
      </c>
      <c r="W74" s="601">
        <v>42821.0</v>
      </c>
      <c r="X74" s="765" t="s">
        <v>6233</v>
      </c>
      <c r="Y74" s="1037"/>
      <c r="Z74" s="765" t="s">
        <v>6234</v>
      </c>
      <c r="AA74" s="262">
        <v>391024.0</v>
      </c>
      <c r="AB74" s="765" t="s">
        <v>6115</v>
      </c>
      <c r="AC74" s="253" t="s">
        <v>377</v>
      </c>
    </row>
    <row r="75" ht="15.75" customHeight="1">
      <c r="A75" s="764">
        <v>42746.0</v>
      </c>
      <c r="B75" s="765" t="s">
        <v>229</v>
      </c>
      <c r="C75" s="765"/>
      <c r="D75" s="252" t="s">
        <v>6230</v>
      </c>
      <c r="E75" s="252" t="s">
        <v>3765</v>
      </c>
      <c r="F75" s="307">
        <v>3.0</v>
      </c>
      <c r="G75" s="466">
        <v>336.0</v>
      </c>
      <c r="H75" s="267">
        <f t="shared" si="3"/>
        <v>1008</v>
      </c>
      <c r="I75" s="266" t="s">
        <v>171</v>
      </c>
      <c r="J75" s="253" t="s">
        <v>90</v>
      </c>
      <c r="K75" s="258">
        <v>42772.0</v>
      </c>
      <c r="L75" s="253"/>
      <c r="M75" s="253" t="s">
        <v>90</v>
      </c>
      <c r="N75" s="252" t="s">
        <v>6231</v>
      </c>
      <c r="O75" s="581">
        <v>904.05</v>
      </c>
      <c r="P75" s="253"/>
      <c r="Q75" s="320" t="s">
        <v>6081</v>
      </c>
      <c r="R75" s="253"/>
      <c r="S75" s="768">
        <v>42830.0</v>
      </c>
      <c r="T75" s="769">
        <v>42772.0</v>
      </c>
      <c r="U75" s="765" t="s">
        <v>6232</v>
      </c>
      <c r="V75" s="770">
        <v>354578.0</v>
      </c>
      <c r="W75" s="601">
        <v>42821.0</v>
      </c>
      <c r="X75" s="765" t="s">
        <v>6233</v>
      </c>
      <c r="Y75" s="1037"/>
      <c r="Z75" s="765" t="s">
        <v>6234</v>
      </c>
      <c r="AA75" s="253" t="s">
        <v>6235</v>
      </c>
      <c r="AB75" s="765" t="s">
        <v>6115</v>
      </c>
      <c r="AC75" s="253" t="s">
        <v>377</v>
      </c>
    </row>
    <row r="76" ht="15.75" customHeight="1">
      <c r="A76" s="764">
        <v>42747.0</v>
      </c>
      <c r="B76" s="765" t="s">
        <v>101</v>
      </c>
      <c r="C76" s="765" t="s">
        <v>6236</v>
      </c>
      <c r="D76" s="765" t="s">
        <v>6237</v>
      </c>
      <c r="E76" s="765" t="s">
        <v>6238</v>
      </c>
      <c r="F76" s="307">
        <v>7.0</v>
      </c>
      <c r="G76" s="254">
        <v>1118.0</v>
      </c>
      <c r="H76" s="267">
        <f t="shared" si="3"/>
        <v>7826</v>
      </c>
      <c r="I76" s="266" t="s">
        <v>3474</v>
      </c>
      <c r="J76" s="369" t="s">
        <v>6239</v>
      </c>
      <c r="K76" s="258">
        <v>42790.0</v>
      </c>
      <c r="L76" s="258">
        <v>42790.0</v>
      </c>
      <c r="M76" s="333" t="s">
        <v>1439</v>
      </c>
      <c r="N76" s="765" t="s">
        <v>6240</v>
      </c>
      <c r="O76" s="339"/>
      <c r="P76" s="637">
        <v>231834.0</v>
      </c>
      <c r="Q76" s="320" t="s">
        <v>1976</v>
      </c>
      <c r="R76" s="253"/>
      <c r="S76" s="768">
        <v>42825.0</v>
      </c>
      <c r="T76" s="771">
        <v>42789.0</v>
      </c>
      <c r="U76" s="252" t="s">
        <v>6241</v>
      </c>
      <c r="V76" s="774">
        <v>231834.0</v>
      </c>
      <c r="W76" s="601">
        <v>42831.0</v>
      </c>
      <c r="X76" s="252" t="s">
        <v>6242</v>
      </c>
      <c r="Y76" s="1037"/>
      <c r="Z76" s="1037"/>
      <c r="AA76" s="1037"/>
      <c r="AB76" s="766"/>
      <c r="AC76" s="253" t="s">
        <v>284</v>
      </c>
    </row>
    <row r="77" ht="15.75" customHeight="1">
      <c r="A77" s="764">
        <v>42747.0</v>
      </c>
      <c r="B77" s="765" t="s">
        <v>101</v>
      </c>
      <c r="C77" s="765" t="s">
        <v>6236</v>
      </c>
      <c r="D77" s="765" t="s">
        <v>6243</v>
      </c>
      <c r="E77" s="765" t="s">
        <v>6224</v>
      </c>
      <c r="F77" s="307">
        <v>7.0</v>
      </c>
      <c r="G77" s="254">
        <v>70.0</v>
      </c>
      <c r="H77" s="267">
        <f t="shared" si="3"/>
        <v>490</v>
      </c>
      <c r="I77" s="266" t="s">
        <v>3474</v>
      </c>
      <c r="J77" s="369" t="s">
        <v>6239</v>
      </c>
      <c r="K77" s="258">
        <v>42790.0</v>
      </c>
      <c r="L77" s="258">
        <v>42773.0</v>
      </c>
      <c r="M77" s="369" t="s">
        <v>6225</v>
      </c>
      <c r="N77" s="765" t="s">
        <v>6244</v>
      </c>
      <c r="O77" s="339"/>
      <c r="P77" s="637">
        <v>11848.0</v>
      </c>
      <c r="Q77" s="310" t="s">
        <v>6228</v>
      </c>
      <c r="R77" s="253"/>
      <c r="S77" s="810">
        <v>42769.0</v>
      </c>
      <c r="T77" s="769">
        <v>42769.0</v>
      </c>
      <c r="U77" s="765" t="s">
        <v>6245</v>
      </c>
      <c r="V77" s="770">
        <v>11848.0</v>
      </c>
      <c r="W77" s="258">
        <v>42769.0</v>
      </c>
      <c r="X77" s="252" t="s">
        <v>6242</v>
      </c>
      <c r="Y77" s="1037"/>
      <c r="Z77" s="1037"/>
      <c r="AA77" s="1037"/>
      <c r="AB77" s="766"/>
      <c r="AC77" s="253" t="s">
        <v>284</v>
      </c>
    </row>
    <row r="78" ht="15.75" customHeight="1">
      <c r="A78" s="776">
        <v>42747.0</v>
      </c>
      <c r="B78" s="765" t="s">
        <v>6246</v>
      </c>
      <c r="C78" s="765" t="s">
        <v>6247</v>
      </c>
      <c r="D78" s="310" t="s">
        <v>6248</v>
      </c>
      <c r="E78" s="310" t="s">
        <v>6249</v>
      </c>
      <c r="F78" s="808">
        <v>15.0</v>
      </c>
      <c r="G78" s="466">
        <v>58.0</v>
      </c>
      <c r="H78" s="581">
        <f t="shared" si="3"/>
        <v>870</v>
      </c>
      <c r="I78" s="266" t="s">
        <v>43</v>
      </c>
      <c r="J78" s="369" t="s">
        <v>3520</v>
      </c>
      <c r="K78" s="258">
        <v>42758.0</v>
      </c>
      <c r="L78" s="258">
        <v>42753.0</v>
      </c>
      <c r="M78" s="253" t="s">
        <v>90</v>
      </c>
      <c r="N78" s="252" t="s">
        <v>6250</v>
      </c>
      <c r="O78" s="581">
        <v>819.0</v>
      </c>
      <c r="P78" s="253"/>
      <c r="Q78" s="310" t="s">
        <v>6081</v>
      </c>
      <c r="R78" s="253"/>
      <c r="S78" s="810">
        <v>42799.0</v>
      </c>
      <c r="T78" s="769">
        <v>42753.0</v>
      </c>
      <c r="U78" s="765" t="s">
        <v>6251</v>
      </c>
      <c r="V78" s="770">
        <v>26097.0</v>
      </c>
      <c r="W78" s="258">
        <v>42801.0</v>
      </c>
      <c r="X78" s="252" t="s">
        <v>6252</v>
      </c>
      <c r="Y78" s="765" t="s">
        <v>6253</v>
      </c>
      <c r="Z78" s="1037"/>
      <c r="AA78" s="1037"/>
      <c r="AB78" s="766"/>
      <c r="AC78" s="253" t="s">
        <v>284</v>
      </c>
    </row>
    <row r="79" ht="15.75" customHeight="1">
      <c r="A79" s="764">
        <v>42747.0</v>
      </c>
      <c r="B79" s="765" t="s">
        <v>77</v>
      </c>
      <c r="C79" s="765"/>
      <c r="D79" s="765" t="s">
        <v>6254</v>
      </c>
      <c r="E79" s="765" t="s">
        <v>6255</v>
      </c>
      <c r="F79" s="1041">
        <v>1.0</v>
      </c>
      <c r="G79" s="325">
        <v>216.0</v>
      </c>
      <c r="H79" s="267">
        <f t="shared" si="3"/>
        <v>216</v>
      </c>
      <c r="I79" s="266" t="s">
        <v>171</v>
      </c>
      <c r="J79" s="253" t="s">
        <v>6256</v>
      </c>
      <c r="K79" s="258">
        <v>42751.0</v>
      </c>
      <c r="L79" s="253"/>
      <c r="M79" s="253" t="s">
        <v>6257</v>
      </c>
      <c r="N79" s="253"/>
      <c r="O79" s="339"/>
      <c r="P79" s="404">
        <v>4617.0</v>
      </c>
      <c r="Q79" s="1004" t="s">
        <v>3669</v>
      </c>
      <c r="R79" s="253"/>
      <c r="S79" s="1036"/>
      <c r="T79" s="252" t="s">
        <v>6258</v>
      </c>
      <c r="U79" s="252" t="s">
        <v>6259</v>
      </c>
      <c r="V79" s="252" t="s">
        <v>6260</v>
      </c>
      <c r="W79" s="1037"/>
      <c r="X79" s="252" t="s">
        <v>6261</v>
      </c>
      <c r="Y79" s="1037"/>
      <c r="Z79" s="1037"/>
      <c r="AA79" s="1037"/>
      <c r="AB79" s="766"/>
      <c r="AC79" s="253" t="s">
        <v>284</v>
      </c>
    </row>
    <row r="80" ht="15.75" customHeight="1">
      <c r="A80" s="764">
        <v>42748.0</v>
      </c>
      <c r="B80" s="765" t="s">
        <v>631</v>
      </c>
      <c r="C80" s="765" t="s">
        <v>6262</v>
      </c>
      <c r="D80" s="252" t="s">
        <v>6263</v>
      </c>
      <c r="E80" s="252" t="s">
        <v>6264</v>
      </c>
      <c r="F80" s="1041">
        <v>2.0</v>
      </c>
      <c r="G80" s="325">
        <v>236.25</v>
      </c>
      <c r="H80" s="581">
        <f t="shared" si="3"/>
        <v>472.5</v>
      </c>
      <c r="I80" s="266" t="s">
        <v>171</v>
      </c>
      <c r="J80" s="253" t="s">
        <v>6265</v>
      </c>
      <c r="K80" s="258">
        <v>42754.0</v>
      </c>
      <c r="L80" s="258">
        <v>42754.0</v>
      </c>
      <c r="M80" s="333" t="s">
        <v>2034</v>
      </c>
      <c r="N80" s="765" t="s">
        <v>6266</v>
      </c>
      <c r="O80" s="581">
        <v>424.2</v>
      </c>
      <c r="P80" s="637">
        <v>13452.0</v>
      </c>
      <c r="Q80" s="1004" t="s">
        <v>2036</v>
      </c>
      <c r="R80" s="253"/>
      <c r="S80" s="810">
        <v>42799.0</v>
      </c>
      <c r="T80" s="769">
        <v>42752.0</v>
      </c>
      <c r="U80" s="765" t="s">
        <v>6267</v>
      </c>
      <c r="V80" s="770">
        <v>13452.0</v>
      </c>
      <c r="W80" s="258">
        <v>42801.0</v>
      </c>
      <c r="X80" s="765" t="s">
        <v>6268</v>
      </c>
      <c r="Y80" s="765" t="s">
        <v>6269</v>
      </c>
      <c r="Z80" s="765" t="s">
        <v>6270</v>
      </c>
      <c r="AA80" s="262">
        <v>15120.0</v>
      </c>
      <c r="AB80" s="765" t="s">
        <v>6271</v>
      </c>
      <c r="AC80" s="253" t="s">
        <v>377</v>
      </c>
    </row>
    <row r="81" ht="15.75" customHeight="1">
      <c r="A81" s="764">
        <v>42751.0</v>
      </c>
      <c r="B81" s="765" t="s">
        <v>101</v>
      </c>
      <c r="C81" s="765" t="s">
        <v>6272</v>
      </c>
      <c r="D81" s="765" t="s">
        <v>6273</v>
      </c>
      <c r="E81" s="765" t="s">
        <v>6274</v>
      </c>
      <c r="F81" s="307">
        <v>2.0</v>
      </c>
      <c r="G81" s="325">
        <v>195.0</v>
      </c>
      <c r="H81" s="581">
        <f t="shared" si="3"/>
        <v>390</v>
      </c>
      <c r="I81" s="266" t="s">
        <v>3474</v>
      </c>
      <c r="J81" s="253" t="s">
        <v>534</v>
      </c>
      <c r="K81" s="258">
        <v>42754.0</v>
      </c>
      <c r="L81" s="258">
        <v>42753.0</v>
      </c>
      <c r="M81" s="256" t="s">
        <v>3593</v>
      </c>
      <c r="N81" s="765" t="s">
        <v>6275</v>
      </c>
      <c r="O81" s="339"/>
      <c r="P81" s="637">
        <v>11153.0</v>
      </c>
      <c r="Q81" s="310" t="s">
        <v>6122</v>
      </c>
      <c r="R81" s="253"/>
      <c r="S81" s="768">
        <v>42830.0</v>
      </c>
      <c r="T81" s="769">
        <v>42752.0</v>
      </c>
      <c r="U81" s="765" t="s">
        <v>6276</v>
      </c>
      <c r="V81" s="770">
        <v>11153.0</v>
      </c>
      <c r="W81" s="258">
        <v>42830.0</v>
      </c>
      <c r="X81" s="252" t="s">
        <v>6223</v>
      </c>
      <c r="Y81" s="1037"/>
      <c r="Z81" s="1037"/>
      <c r="AA81" s="1037"/>
      <c r="AB81" s="766"/>
      <c r="AC81" s="253" t="s">
        <v>284</v>
      </c>
    </row>
    <row r="82" ht="15.75" customHeight="1">
      <c r="A82" s="776">
        <v>42752.0</v>
      </c>
      <c r="B82" s="765" t="s">
        <v>6167</v>
      </c>
      <c r="C82" s="252">
        <v>7.000126985E9</v>
      </c>
      <c r="D82" s="252" t="s">
        <v>6277</v>
      </c>
      <c r="E82" s="252" t="s">
        <v>4093</v>
      </c>
      <c r="F82" s="808">
        <v>5.0</v>
      </c>
      <c r="G82" s="325">
        <v>73.0</v>
      </c>
      <c r="H82" s="581">
        <f t="shared" si="3"/>
        <v>365</v>
      </c>
      <c r="I82" s="266" t="s">
        <v>43</v>
      </c>
      <c r="J82" s="403" t="s">
        <v>6278</v>
      </c>
      <c r="K82" s="258">
        <v>42758.0</v>
      </c>
      <c r="L82" s="258">
        <v>42755.0</v>
      </c>
      <c r="M82" s="266" t="s">
        <v>3593</v>
      </c>
      <c r="N82" s="765" t="s">
        <v>6279</v>
      </c>
      <c r="O82" s="339"/>
      <c r="P82" s="637">
        <v>10621.0</v>
      </c>
      <c r="Q82" s="310" t="s">
        <v>6122</v>
      </c>
      <c r="R82" s="253"/>
      <c r="S82" s="768">
        <v>42830.0</v>
      </c>
      <c r="T82" s="769">
        <v>42752.0</v>
      </c>
      <c r="U82" s="765" t="s">
        <v>6280</v>
      </c>
      <c r="V82" s="770">
        <v>10621.0</v>
      </c>
      <c r="W82" s="258">
        <v>42830.0</v>
      </c>
      <c r="X82" s="252" t="s">
        <v>6281</v>
      </c>
      <c r="Y82" s="1037"/>
      <c r="Z82" s="1037"/>
      <c r="AA82" s="1037"/>
      <c r="AB82" s="766"/>
      <c r="AC82" s="253" t="s">
        <v>284</v>
      </c>
    </row>
    <row r="83" ht="15.75" customHeight="1">
      <c r="A83" s="776">
        <v>42752.0</v>
      </c>
      <c r="B83" s="765" t="s">
        <v>6246</v>
      </c>
      <c r="C83" s="765" t="s">
        <v>6282</v>
      </c>
      <c r="D83" s="765" t="s">
        <v>6248</v>
      </c>
      <c r="E83" s="765" t="s">
        <v>6283</v>
      </c>
      <c r="F83" s="808">
        <v>5.0</v>
      </c>
      <c r="G83" s="325">
        <v>50.0</v>
      </c>
      <c r="H83" s="581">
        <f t="shared" si="3"/>
        <v>250</v>
      </c>
      <c r="I83" s="266" t="s">
        <v>43</v>
      </c>
      <c r="J83" s="369" t="s">
        <v>3520</v>
      </c>
      <c r="K83" s="258">
        <v>42758.0</v>
      </c>
      <c r="L83" s="832">
        <v>42755.0</v>
      </c>
      <c r="M83" s="403" t="s">
        <v>90</v>
      </c>
      <c r="N83" s="252" t="s">
        <v>6284</v>
      </c>
      <c r="O83" s="581">
        <v>241.5</v>
      </c>
      <c r="P83" s="816"/>
      <c r="Q83" s="320" t="s">
        <v>6081</v>
      </c>
      <c r="R83" s="253"/>
      <c r="S83" s="810">
        <v>42799.0</v>
      </c>
      <c r="T83" s="769">
        <v>42755.0</v>
      </c>
      <c r="U83" s="765" t="s">
        <v>6285</v>
      </c>
      <c r="V83" s="770">
        <v>7695.0</v>
      </c>
      <c r="W83" s="258">
        <v>42801.0</v>
      </c>
      <c r="X83" s="252" t="s">
        <v>6252</v>
      </c>
      <c r="Y83" s="765" t="s">
        <v>6253</v>
      </c>
      <c r="Z83" s="1037"/>
      <c r="AA83" s="1037"/>
      <c r="AB83" s="766"/>
      <c r="AC83" s="253" t="s">
        <v>284</v>
      </c>
    </row>
    <row r="84" ht="15.75" customHeight="1">
      <c r="A84" s="764">
        <v>42752.0</v>
      </c>
      <c r="B84" s="765" t="s">
        <v>77</v>
      </c>
      <c r="C84" s="765">
        <v>15.0</v>
      </c>
      <c r="D84" s="252" t="s">
        <v>6286</v>
      </c>
      <c r="E84" s="252" t="s">
        <v>362</v>
      </c>
      <c r="F84" s="1005">
        <v>30.0</v>
      </c>
      <c r="G84" s="466">
        <v>20.0</v>
      </c>
      <c r="H84" s="581">
        <f t="shared" si="3"/>
        <v>600</v>
      </c>
      <c r="I84" s="266" t="s">
        <v>171</v>
      </c>
      <c r="J84" s="1042" t="s">
        <v>6174</v>
      </c>
      <c r="K84" s="258">
        <v>42760.0</v>
      </c>
      <c r="L84" s="886">
        <v>42753.0</v>
      </c>
      <c r="M84" s="369" t="s">
        <v>6287</v>
      </c>
      <c r="N84" s="765" t="s">
        <v>6288</v>
      </c>
      <c r="O84" s="581">
        <v>557.55</v>
      </c>
      <c r="P84" s="253"/>
      <c r="Q84" s="330" t="s">
        <v>2043</v>
      </c>
      <c r="R84" s="253"/>
      <c r="S84" s="768">
        <v>42772.0</v>
      </c>
      <c r="T84" s="769">
        <v>42753.0</v>
      </c>
      <c r="U84" s="765" t="s">
        <v>6289</v>
      </c>
      <c r="V84" s="770">
        <v>17619.0</v>
      </c>
      <c r="W84" s="258">
        <v>42769.0</v>
      </c>
      <c r="X84" s="252" t="s">
        <v>6185</v>
      </c>
      <c r="Y84" s="1037"/>
      <c r="Z84" s="1037"/>
      <c r="AA84" s="1037"/>
      <c r="AB84" s="766"/>
      <c r="AC84" s="253" t="s">
        <v>284</v>
      </c>
    </row>
    <row r="85" ht="15.75" customHeight="1">
      <c r="A85" s="776">
        <v>42753.0</v>
      </c>
      <c r="B85" s="765" t="s">
        <v>101</v>
      </c>
      <c r="C85" s="765" t="s">
        <v>6290</v>
      </c>
      <c r="D85" s="765" t="s">
        <v>6291</v>
      </c>
      <c r="E85" s="765" t="s">
        <v>6292</v>
      </c>
      <c r="F85" s="307">
        <v>2.0</v>
      </c>
      <c r="G85" s="325">
        <v>575.0</v>
      </c>
      <c r="H85" s="581">
        <f t="shared" si="3"/>
        <v>1150</v>
      </c>
      <c r="I85" s="266" t="s">
        <v>3474</v>
      </c>
      <c r="J85" s="369" t="s">
        <v>6239</v>
      </c>
      <c r="K85" s="258">
        <v>42790.0</v>
      </c>
      <c r="L85" s="258">
        <v>42790.0</v>
      </c>
      <c r="M85" s="333" t="s">
        <v>1439</v>
      </c>
      <c r="N85" s="765" t="s">
        <v>6293</v>
      </c>
      <c r="O85" s="339"/>
      <c r="P85" s="637">
        <v>33833.0</v>
      </c>
      <c r="Q85" s="1004" t="s">
        <v>1976</v>
      </c>
      <c r="R85" s="253"/>
      <c r="S85" s="768">
        <v>42825.0</v>
      </c>
      <c r="T85" s="771">
        <v>42789.0</v>
      </c>
      <c r="U85" s="252" t="s">
        <v>6294</v>
      </c>
      <c r="V85" s="774">
        <v>39806.0</v>
      </c>
      <c r="W85" s="601">
        <v>42831.0</v>
      </c>
      <c r="X85" s="252" t="s">
        <v>6242</v>
      </c>
      <c r="Y85" s="1037"/>
      <c r="Z85" s="1037"/>
      <c r="AA85" s="1037"/>
      <c r="AB85" s="766"/>
      <c r="AC85" s="253" t="s">
        <v>284</v>
      </c>
    </row>
    <row r="86" ht="15.75" customHeight="1">
      <c r="A86" s="776">
        <v>42753.0</v>
      </c>
      <c r="B86" s="1004" t="s">
        <v>101</v>
      </c>
      <c r="C86" s="765" t="s">
        <v>6290</v>
      </c>
      <c r="D86" s="765" t="s">
        <v>6291</v>
      </c>
      <c r="E86" s="765" t="s">
        <v>6295</v>
      </c>
      <c r="F86" s="307">
        <v>2.0</v>
      </c>
      <c r="G86" s="325">
        <v>38.0</v>
      </c>
      <c r="H86" s="581">
        <f t="shared" si="3"/>
        <v>76</v>
      </c>
      <c r="I86" s="266" t="s">
        <v>3474</v>
      </c>
      <c r="J86" s="369" t="s">
        <v>6239</v>
      </c>
      <c r="K86" s="258">
        <v>42790.0</v>
      </c>
      <c r="L86" s="258">
        <v>42790.0</v>
      </c>
      <c r="M86" s="333" t="s">
        <v>1439</v>
      </c>
      <c r="N86" s="765" t="s">
        <v>6293</v>
      </c>
      <c r="O86" s="339"/>
      <c r="P86" s="637">
        <v>2323.0</v>
      </c>
      <c r="Q86" s="765" t="s">
        <v>1976</v>
      </c>
      <c r="R86" s="253"/>
      <c r="S86" s="768">
        <v>42825.0</v>
      </c>
      <c r="T86" s="771">
        <v>42789.0</v>
      </c>
      <c r="U86" s="252" t="s">
        <v>6294</v>
      </c>
      <c r="V86" s="774">
        <v>39806.0</v>
      </c>
      <c r="W86" s="601">
        <v>42831.0</v>
      </c>
      <c r="X86" s="252" t="s">
        <v>6242</v>
      </c>
      <c r="Y86" s="1037"/>
      <c r="Z86" s="1037"/>
      <c r="AA86" s="1037"/>
      <c r="AB86" s="766"/>
      <c r="AC86" s="253" t="s">
        <v>284</v>
      </c>
    </row>
    <row r="87" ht="15.75" customHeight="1">
      <c r="A87" s="776">
        <v>42753.0</v>
      </c>
      <c r="B87" s="1004" t="s">
        <v>101</v>
      </c>
      <c r="C87" s="765" t="s">
        <v>6290</v>
      </c>
      <c r="D87" s="765" t="s">
        <v>6291</v>
      </c>
      <c r="E87" s="765" t="s">
        <v>6296</v>
      </c>
      <c r="F87" s="307">
        <v>2.0</v>
      </c>
      <c r="G87" s="325">
        <v>60.0</v>
      </c>
      <c r="H87" s="581">
        <f t="shared" si="3"/>
        <v>120</v>
      </c>
      <c r="I87" s="266" t="s">
        <v>3474</v>
      </c>
      <c r="J87" s="369" t="s">
        <v>6239</v>
      </c>
      <c r="K87" s="258">
        <v>42790.0</v>
      </c>
      <c r="L87" s="258">
        <v>42790.0</v>
      </c>
      <c r="M87" s="403" t="s">
        <v>1439</v>
      </c>
      <c r="N87" s="765" t="s">
        <v>6293</v>
      </c>
      <c r="O87" s="339"/>
      <c r="P87" s="637">
        <v>3650.0</v>
      </c>
      <c r="Q87" s="1004" t="s">
        <v>1976</v>
      </c>
      <c r="R87" s="253"/>
      <c r="S87" s="768">
        <v>42825.0</v>
      </c>
      <c r="T87" s="771">
        <v>42789.0</v>
      </c>
      <c r="U87" s="252" t="s">
        <v>6294</v>
      </c>
      <c r="V87" s="774">
        <v>39806.0</v>
      </c>
      <c r="W87" s="601">
        <v>42831.0</v>
      </c>
      <c r="X87" s="252" t="s">
        <v>6242</v>
      </c>
      <c r="Y87" s="1037"/>
      <c r="Z87" s="1037"/>
      <c r="AA87" s="1037"/>
      <c r="AB87" s="766"/>
      <c r="AC87" s="253" t="s">
        <v>284</v>
      </c>
    </row>
    <row r="88" ht="15.75" customHeight="1">
      <c r="A88" s="776">
        <v>42753.0</v>
      </c>
      <c r="B88" s="1004" t="s">
        <v>101</v>
      </c>
      <c r="C88" s="765" t="s">
        <v>6290</v>
      </c>
      <c r="D88" s="765" t="s">
        <v>6291</v>
      </c>
      <c r="E88" s="765" t="s">
        <v>6297</v>
      </c>
      <c r="F88" s="307">
        <v>2.0</v>
      </c>
      <c r="G88" s="325">
        <v>237.0</v>
      </c>
      <c r="H88" s="581">
        <f t="shared" si="3"/>
        <v>474</v>
      </c>
      <c r="I88" s="266" t="s">
        <v>3474</v>
      </c>
      <c r="J88" s="369" t="s">
        <v>6239</v>
      </c>
      <c r="K88" s="258">
        <v>42790.0</v>
      </c>
      <c r="L88" s="258">
        <v>42780.0</v>
      </c>
      <c r="M88" s="253" t="s">
        <v>6298</v>
      </c>
      <c r="N88" s="765" t="s">
        <v>6299</v>
      </c>
      <c r="O88" s="339"/>
      <c r="P88" s="637">
        <v>11941.0</v>
      </c>
      <c r="Q88" s="765" t="s">
        <v>2148</v>
      </c>
      <c r="R88" s="253"/>
      <c r="S88" s="1043">
        <v>42799.0</v>
      </c>
      <c r="T88" s="769">
        <v>42779.0</v>
      </c>
      <c r="U88" s="765" t="s">
        <v>6300</v>
      </c>
      <c r="V88" s="770">
        <v>11941.0</v>
      </c>
      <c r="W88" s="601">
        <v>42800.0</v>
      </c>
      <c r="X88" s="252" t="s">
        <v>6242</v>
      </c>
      <c r="Y88" s="1037"/>
      <c r="Z88" s="1037"/>
      <c r="AA88" s="1037"/>
      <c r="AB88" s="766"/>
      <c r="AC88" s="253" t="s">
        <v>284</v>
      </c>
    </row>
    <row r="89" ht="15.75" customHeight="1">
      <c r="A89" s="776">
        <v>42753.0</v>
      </c>
      <c r="B89" s="1004" t="s">
        <v>101</v>
      </c>
      <c r="C89" s="765" t="s">
        <v>6290</v>
      </c>
      <c r="D89" s="765" t="s">
        <v>6291</v>
      </c>
      <c r="E89" s="765" t="s">
        <v>6301</v>
      </c>
      <c r="F89" s="307">
        <v>2.0</v>
      </c>
      <c r="G89" s="325">
        <v>380.0</v>
      </c>
      <c r="H89" s="581">
        <f t="shared" si="3"/>
        <v>760</v>
      </c>
      <c r="I89" s="266" t="s">
        <v>3474</v>
      </c>
      <c r="J89" s="369" t="s">
        <v>6239</v>
      </c>
      <c r="K89" s="258">
        <v>42790.0</v>
      </c>
      <c r="L89" s="258">
        <v>42775.0</v>
      </c>
      <c r="M89" s="592" t="s">
        <v>6302</v>
      </c>
      <c r="N89" s="765" t="s">
        <v>6303</v>
      </c>
      <c r="O89" s="581">
        <v>690.9</v>
      </c>
      <c r="P89" s="816"/>
      <c r="Q89" s="310" t="s">
        <v>3916</v>
      </c>
      <c r="R89" s="253"/>
      <c r="S89" s="810">
        <v>42811.0</v>
      </c>
      <c r="T89" s="769">
        <v>42782.0</v>
      </c>
      <c r="U89" s="765" t="s">
        <v>6304</v>
      </c>
      <c r="V89" s="770">
        <v>21255.0</v>
      </c>
      <c r="W89" s="258">
        <v>42814.0</v>
      </c>
      <c r="X89" s="252" t="s">
        <v>6242</v>
      </c>
      <c r="Y89" s="1037"/>
      <c r="Z89" s="1037"/>
      <c r="AA89" s="1037"/>
      <c r="AB89" s="766"/>
      <c r="AC89" s="253" t="s">
        <v>284</v>
      </c>
    </row>
    <row r="90" ht="15.75" customHeight="1">
      <c r="A90" s="776">
        <v>42753.0</v>
      </c>
      <c r="B90" s="1004" t="s">
        <v>101</v>
      </c>
      <c r="C90" s="765" t="s">
        <v>6290</v>
      </c>
      <c r="D90" s="765" t="s">
        <v>6291</v>
      </c>
      <c r="E90" s="765" t="s">
        <v>6305</v>
      </c>
      <c r="F90" s="307">
        <v>2.0</v>
      </c>
      <c r="G90" s="325">
        <v>70.0</v>
      </c>
      <c r="H90" s="581">
        <f t="shared" si="3"/>
        <v>140</v>
      </c>
      <c r="I90" s="266" t="s">
        <v>3474</v>
      </c>
      <c r="J90" s="369" t="s">
        <v>6239</v>
      </c>
      <c r="K90" s="258">
        <v>42790.0</v>
      </c>
      <c r="L90" s="258">
        <v>42775.0</v>
      </c>
      <c r="M90" s="333" t="s">
        <v>6306</v>
      </c>
      <c r="N90" s="765"/>
      <c r="O90" s="339"/>
      <c r="P90" s="253"/>
      <c r="Q90" s="765"/>
      <c r="R90" s="765" t="s">
        <v>6307</v>
      </c>
      <c r="S90" s="1044"/>
      <c r="T90" s="765" t="s">
        <v>6308</v>
      </c>
      <c r="U90" s="765" t="s">
        <v>6308</v>
      </c>
      <c r="V90" s="765" t="s">
        <v>6308</v>
      </c>
      <c r="W90" s="1037"/>
      <c r="X90" s="252" t="s">
        <v>6242</v>
      </c>
      <c r="Y90" s="1037"/>
      <c r="Z90" s="1037"/>
      <c r="AA90" s="1037"/>
      <c r="AB90" s="766"/>
      <c r="AC90" s="253" t="s">
        <v>284</v>
      </c>
    </row>
    <row r="91" ht="15.75" customHeight="1">
      <c r="A91" s="776">
        <v>42753.0</v>
      </c>
      <c r="B91" s="265" t="s">
        <v>6167</v>
      </c>
      <c r="C91" s="252">
        <v>7.000127033E9</v>
      </c>
      <c r="D91" s="252" t="s">
        <v>6309</v>
      </c>
      <c r="E91" s="252" t="s">
        <v>4929</v>
      </c>
      <c r="F91" s="307">
        <v>8.0</v>
      </c>
      <c r="G91" s="325">
        <v>165.0</v>
      </c>
      <c r="H91" s="581">
        <f t="shared" si="3"/>
        <v>1320</v>
      </c>
      <c r="I91" s="266" t="s">
        <v>43</v>
      </c>
      <c r="J91" s="403" t="s">
        <v>6278</v>
      </c>
      <c r="K91" s="258">
        <v>42758.0</v>
      </c>
      <c r="L91" s="258">
        <v>42760.0</v>
      </c>
      <c r="M91" s="266" t="s">
        <v>3593</v>
      </c>
      <c r="N91" s="765" t="s">
        <v>6310</v>
      </c>
      <c r="O91" s="339"/>
      <c r="P91" s="637">
        <v>38707.0</v>
      </c>
      <c r="Q91" s="310" t="s">
        <v>2080</v>
      </c>
      <c r="R91" s="253"/>
      <c r="S91" s="768">
        <v>42830.0</v>
      </c>
      <c r="T91" s="769">
        <v>42755.0</v>
      </c>
      <c r="U91" s="765" t="s">
        <v>6311</v>
      </c>
      <c r="V91" s="770">
        <v>51811.0</v>
      </c>
      <c r="W91" s="258">
        <v>42830.0</v>
      </c>
      <c r="X91" s="252" t="s">
        <v>6281</v>
      </c>
      <c r="Y91" s="1037"/>
      <c r="Z91" s="1037"/>
      <c r="AA91" s="1037"/>
      <c r="AB91" s="766"/>
      <c r="AC91" s="253" t="s">
        <v>284</v>
      </c>
    </row>
    <row r="92" ht="15.75" customHeight="1">
      <c r="A92" s="776">
        <v>42753.0</v>
      </c>
      <c r="B92" s="252" t="s">
        <v>6167</v>
      </c>
      <c r="C92" s="252">
        <v>7.000127033E9</v>
      </c>
      <c r="D92" s="252" t="s">
        <v>6309</v>
      </c>
      <c r="E92" s="252" t="s">
        <v>3727</v>
      </c>
      <c r="F92" s="307">
        <v>8.0</v>
      </c>
      <c r="G92" s="325">
        <v>55.0</v>
      </c>
      <c r="H92" s="581">
        <f t="shared" si="3"/>
        <v>440</v>
      </c>
      <c r="I92" s="266" t="s">
        <v>43</v>
      </c>
      <c r="J92" s="403" t="s">
        <v>6278</v>
      </c>
      <c r="K92" s="258">
        <v>42758.0</v>
      </c>
      <c r="L92" s="258">
        <v>42760.0</v>
      </c>
      <c r="M92" s="266" t="s">
        <v>3593</v>
      </c>
      <c r="N92" s="765" t="s">
        <v>6310</v>
      </c>
      <c r="O92" s="339"/>
      <c r="P92" s="637">
        <v>13104.0</v>
      </c>
      <c r="Q92" s="310" t="s">
        <v>2080</v>
      </c>
      <c r="R92" s="253"/>
      <c r="S92" s="768">
        <v>42830.0</v>
      </c>
      <c r="T92" s="769">
        <v>42755.0</v>
      </c>
      <c r="U92" s="765" t="s">
        <v>6311</v>
      </c>
      <c r="V92" s="770">
        <v>51811.0</v>
      </c>
      <c r="W92" s="258">
        <v>42830.0</v>
      </c>
      <c r="X92" s="252" t="s">
        <v>6281</v>
      </c>
      <c r="Y92" s="1037"/>
      <c r="Z92" s="1037"/>
      <c r="AA92" s="1037"/>
      <c r="AB92" s="766"/>
      <c r="AC92" s="253" t="s">
        <v>284</v>
      </c>
    </row>
    <row r="93" ht="15.75" customHeight="1">
      <c r="A93" s="776">
        <v>42753.0</v>
      </c>
      <c r="B93" s="765" t="s">
        <v>101</v>
      </c>
      <c r="C93" s="252"/>
      <c r="D93" s="252" t="s">
        <v>6312</v>
      </c>
      <c r="E93" s="252" t="s">
        <v>6313</v>
      </c>
      <c r="F93" s="307">
        <v>1.0</v>
      </c>
      <c r="G93" s="325">
        <v>141.0</v>
      </c>
      <c r="H93" s="581">
        <f t="shared" si="3"/>
        <v>141</v>
      </c>
      <c r="I93" s="266" t="s">
        <v>3474</v>
      </c>
      <c r="J93" s="253" t="s">
        <v>534</v>
      </c>
      <c r="K93" s="258">
        <v>42754.0</v>
      </c>
      <c r="L93" s="253"/>
      <c r="M93" s="403" t="s">
        <v>2032</v>
      </c>
      <c r="N93" s="253"/>
      <c r="O93" s="339"/>
      <c r="P93" s="637">
        <v>4227.0</v>
      </c>
      <c r="Q93" s="310" t="s">
        <v>2033</v>
      </c>
      <c r="R93" s="253"/>
      <c r="S93" s="810">
        <v>42796.0</v>
      </c>
      <c r="T93" s="771">
        <v>42766.0</v>
      </c>
      <c r="U93" s="252" t="s">
        <v>6314</v>
      </c>
      <c r="V93" s="774">
        <v>4227.0</v>
      </c>
      <c r="W93" s="601">
        <v>42797.0</v>
      </c>
      <c r="X93" s="252" t="s">
        <v>6223</v>
      </c>
      <c r="Y93" s="1037"/>
      <c r="Z93" s="1037"/>
      <c r="AA93" s="1037"/>
      <c r="AB93" s="766"/>
      <c r="AC93" s="253" t="s">
        <v>284</v>
      </c>
    </row>
    <row r="94" ht="15.75" customHeight="1">
      <c r="A94" s="274">
        <v>42755.0</v>
      </c>
      <c r="B94" s="252" t="s">
        <v>101</v>
      </c>
      <c r="C94" s="789"/>
      <c r="D94" s="789" t="s">
        <v>6315</v>
      </c>
      <c r="E94" s="789" t="s">
        <v>6316</v>
      </c>
      <c r="F94" s="899">
        <v>1.0</v>
      </c>
      <c r="G94" s="900">
        <v>0.0</v>
      </c>
      <c r="H94" s="858">
        <v>0.0</v>
      </c>
      <c r="I94" s="797" t="s">
        <v>3474</v>
      </c>
      <c r="J94" s="797" t="s">
        <v>534</v>
      </c>
      <c r="K94" s="279" t="s">
        <v>6317</v>
      </c>
      <c r="L94" s="279"/>
      <c r="M94" s="279"/>
      <c r="N94" s="279"/>
      <c r="O94" s="1045"/>
      <c r="P94" s="279"/>
      <c r="Q94" s="279"/>
      <c r="R94" s="279"/>
      <c r="S94" s="1046"/>
      <c r="T94" s="787"/>
      <c r="U94" s="787"/>
      <c r="V94" s="787"/>
      <c r="W94" s="1047"/>
      <c r="X94" s="787"/>
      <c r="Y94" s="1047"/>
      <c r="Z94" s="1047"/>
      <c r="AA94" s="1047"/>
      <c r="AB94" s="787"/>
      <c r="AC94" s="279" t="s">
        <v>3617</v>
      </c>
    </row>
    <row r="95" ht="15.75" customHeight="1">
      <c r="A95" s="764">
        <v>42758.0</v>
      </c>
      <c r="B95" s="1004" t="s">
        <v>101</v>
      </c>
      <c r="C95" s="765" t="s">
        <v>6318</v>
      </c>
      <c r="D95" s="765" t="s">
        <v>6319</v>
      </c>
      <c r="E95" s="765" t="s">
        <v>6320</v>
      </c>
      <c r="F95" s="307">
        <v>5.0</v>
      </c>
      <c r="G95" s="254">
        <v>1118.0</v>
      </c>
      <c r="H95" s="267">
        <f t="shared" ref="H95:H165" si="4">G95*F95</f>
        <v>5590</v>
      </c>
      <c r="I95" s="266" t="s">
        <v>3474</v>
      </c>
      <c r="J95" s="369" t="s">
        <v>6239</v>
      </c>
      <c r="K95" s="258">
        <v>42790.0</v>
      </c>
      <c r="L95" s="258">
        <v>42790.0</v>
      </c>
      <c r="M95" s="333" t="s">
        <v>1439</v>
      </c>
      <c r="N95" s="765" t="s">
        <v>6321</v>
      </c>
      <c r="O95" s="339"/>
      <c r="P95" s="637">
        <v>164131.0</v>
      </c>
      <c r="Q95" s="320" t="s">
        <v>1976</v>
      </c>
      <c r="R95" s="253"/>
      <c r="S95" s="768">
        <v>42825.0</v>
      </c>
      <c r="T95" s="771">
        <v>42789.0</v>
      </c>
      <c r="U95" s="252" t="s">
        <v>6322</v>
      </c>
      <c r="V95" s="774">
        <v>164131.0</v>
      </c>
      <c r="W95" s="601">
        <v>42831.0</v>
      </c>
      <c r="X95" s="252" t="s">
        <v>6242</v>
      </c>
      <c r="Y95" s="1037"/>
      <c r="Z95" s="1037"/>
      <c r="AA95" s="1037"/>
      <c r="AB95" s="766"/>
      <c r="AC95" s="253" t="s">
        <v>284</v>
      </c>
    </row>
    <row r="96" ht="15.75" customHeight="1">
      <c r="A96" s="764">
        <v>42758.0</v>
      </c>
      <c r="B96" s="1004" t="s">
        <v>101</v>
      </c>
      <c r="C96" s="765" t="s">
        <v>6318</v>
      </c>
      <c r="D96" s="765" t="s">
        <v>6319</v>
      </c>
      <c r="E96" s="765" t="s">
        <v>6224</v>
      </c>
      <c r="F96" s="307">
        <v>5.0</v>
      </c>
      <c r="G96" s="254">
        <v>70.0</v>
      </c>
      <c r="H96" s="267">
        <f t="shared" si="4"/>
        <v>350</v>
      </c>
      <c r="I96" s="266" t="s">
        <v>3474</v>
      </c>
      <c r="J96" s="369" t="s">
        <v>6239</v>
      </c>
      <c r="K96" s="258">
        <v>42790.0</v>
      </c>
      <c r="L96" s="258">
        <v>42780.0</v>
      </c>
      <c r="M96" s="369" t="s">
        <v>6225</v>
      </c>
      <c r="N96" s="765" t="s">
        <v>6323</v>
      </c>
      <c r="O96" s="339"/>
      <c r="P96" s="637">
        <v>8741.0</v>
      </c>
      <c r="Q96" s="310" t="s">
        <v>6228</v>
      </c>
      <c r="R96" s="253"/>
      <c r="S96" s="810">
        <v>42769.0</v>
      </c>
      <c r="T96" s="769">
        <v>42775.0</v>
      </c>
      <c r="U96" s="765" t="s">
        <v>6324</v>
      </c>
      <c r="V96" s="770">
        <v>8741.0</v>
      </c>
      <c r="W96" s="258">
        <v>42769.0</v>
      </c>
      <c r="X96" s="252" t="s">
        <v>6242</v>
      </c>
      <c r="Y96" s="1037"/>
      <c r="Z96" s="1037"/>
      <c r="AA96" s="1037"/>
      <c r="AB96" s="766"/>
      <c r="AC96" s="253" t="s">
        <v>284</v>
      </c>
    </row>
    <row r="97" ht="15.75" customHeight="1">
      <c r="A97" s="776">
        <v>42768.0</v>
      </c>
      <c r="B97" s="422" t="s">
        <v>6167</v>
      </c>
      <c r="C97" s="252">
        <v>7.000127205E9</v>
      </c>
      <c r="D97" s="765" t="s">
        <v>6325</v>
      </c>
      <c r="E97" s="765" t="s">
        <v>4095</v>
      </c>
      <c r="F97" s="307">
        <v>1.0</v>
      </c>
      <c r="G97" s="325">
        <v>485.0</v>
      </c>
      <c r="H97" s="267">
        <f t="shared" si="4"/>
        <v>485</v>
      </c>
      <c r="I97" s="266" t="s">
        <v>43</v>
      </c>
      <c r="J97" s="777" t="s">
        <v>3623</v>
      </c>
      <c r="K97" s="258">
        <v>42789.0</v>
      </c>
      <c r="L97" s="258">
        <v>42783.0</v>
      </c>
      <c r="M97" s="266" t="s">
        <v>3593</v>
      </c>
      <c r="N97" s="765" t="s">
        <v>6326</v>
      </c>
      <c r="O97" s="339"/>
      <c r="P97" s="637">
        <v>14164.0</v>
      </c>
      <c r="Q97" s="310" t="s">
        <v>2080</v>
      </c>
      <c r="R97" s="253"/>
      <c r="S97" s="810">
        <v>42860.0</v>
      </c>
      <c r="T97" s="769">
        <v>42781.0</v>
      </c>
      <c r="U97" s="765" t="s">
        <v>6327</v>
      </c>
      <c r="V97" s="770">
        <v>14163.0</v>
      </c>
      <c r="W97" s="601">
        <v>42859.0</v>
      </c>
      <c r="X97" s="252" t="s">
        <v>6328</v>
      </c>
      <c r="Y97" s="1037"/>
      <c r="Z97" s="1037"/>
      <c r="AA97" s="1037"/>
      <c r="AB97" s="766"/>
      <c r="AC97" s="253" t="s">
        <v>284</v>
      </c>
    </row>
    <row r="98" ht="15.75" customHeight="1">
      <c r="A98" s="776">
        <v>42768.0</v>
      </c>
      <c r="B98" s="265" t="s">
        <v>6167</v>
      </c>
      <c r="C98" s="252">
        <v>7.000127205E9</v>
      </c>
      <c r="D98" s="765" t="s">
        <v>6325</v>
      </c>
      <c r="E98" s="765" t="s">
        <v>6329</v>
      </c>
      <c r="F98" s="307">
        <v>1.0</v>
      </c>
      <c r="G98" s="325">
        <v>127.0</v>
      </c>
      <c r="H98" s="267">
        <f t="shared" si="4"/>
        <v>127</v>
      </c>
      <c r="I98" s="266" t="s">
        <v>43</v>
      </c>
      <c r="J98" s="777" t="s">
        <v>3623</v>
      </c>
      <c r="K98" s="258">
        <v>42775.0</v>
      </c>
      <c r="L98" s="258">
        <v>42773.0</v>
      </c>
      <c r="M98" s="266" t="s">
        <v>3593</v>
      </c>
      <c r="N98" s="765" t="s">
        <v>6326</v>
      </c>
      <c r="O98" s="339"/>
      <c r="P98" s="637">
        <v>3699.0</v>
      </c>
      <c r="Q98" s="310" t="s">
        <v>2080</v>
      </c>
      <c r="R98" s="253"/>
      <c r="S98" s="810">
        <v>42860.0</v>
      </c>
      <c r="T98" s="769">
        <v>42773.0</v>
      </c>
      <c r="U98" s="765" t="s">
        <v>6330</v>
      </c>
      <c r="V98" s="770">
        <v>22278.0</v>
      </c>
      <c r="W98" s="601">
        <v>42859.0</v>
      </c>
      <c r="X98" s="252" t="s">
        <v>6331</v>
      </c>
      <c r="Y98" s="1037"/>
      <c r="Z98" s="1037"/>
      <c r="AA98" s="1037"/>
      <c r="AB98" s="766"/>
      <c r="AC98" s="253" t="s">
        <v>284</v>
      </c>
    </row>
    <row r="99" ht="15.75" customHeight="1">
      <c r="A99" s="776">
        <v>42768.0</v>
      </c>
      <c r="B99" s="252" t="s">
        <v>6167</v>
      </c>
      <c r="C99" s="252">
        <v>7.000127205E9</v>
      </c>
      <c r="D99" s="765" t="s">
        <v>6325</v>
      </c>
      <c r="E99" s="765" t="s">
        <v>4582</v>
      </c>
      <c r="F99" s="307">
        <v>1.0</v>
      </c>
      <c r="G99" s="325">
        <v>636.0</v>
      </c>
      <c r="H99" s="267">
        <f t="shared" si="4"/>
        <v>636</v>
      </c>
      <c r="I99" s="266" t="s">
        <v>43</v>
      </c>
      <c r="J99" s="777" t="s">
        <v>3623</v>
      </c>
      <c r="K99" s="258">
        <v>42775.0</v>
      </c>
      <c r="L99" s="258">
        <v>42773.0</v>
      </c>
      <c r="M99" s="266" t="s">
        <v>3593</v>
      </c>
      <c r="N99" s="765" t="s">
        <v>6326</v>
      </c>
      <c r="O99" s="339"/>
      <c r="P99" s="637">
        <v>18579.0</v>
      </c>
      <c r="Q99" s="310" t="s">
        <v>2080</v>
      </c>
      <c r="R99" s="253"/>
      <c r="S99" s="810">
        <v>42860.0</v>
      </c>
      <c r="T99" s="769">
        <v>42773.0</v>
      </c>
      <c r="U99" s="765" t="s">
        <v>6330</v>
      </c>
      <c r="V99" s="770">
        <v>22278.0</v>
      </c>
      <c r="W99" s="601">
        <v>42859.0</v>
      </c>
      <c r="X99" s="252" t="s">
        <v>6331</v>
      </c>
      <c r="Y99" s="1037"/>
      <c r="Z99" s="1037"/>
      <c r="AA99" s="1037"/>
      <c r="AB99" s="766"/>
      <c r="AC99" s="253" t="s">
        <v>284</v>
      </c>
    </row>
    <row r="100" ht="15.75" customHeight="1">
      <c r="A100" s="764">
        <v>42769.0</v>
      </c>
      <c r="B100" s="1004" t="s">
        <v>77</v>
      </c>
      <c r="C100" s="765">
        <v>77.0</v>
      </c>
      <c r="D100" s="252" t="s">
        <v>6332</v>
      </c>
      <c r="E100" s="252" t="s">
        <v>6333</v>
      </c>
      <c r="F100" s="307">
        <v>20.0</v>
      </c>
      <c r="G100" s="325">
        <v>25.0</v>
      </c>
      <c r="H100" s="267">
        <f t="shared" si="4"/>
        <v>500</v>
      </c>
      <c r="I100" s="266" t="s">
        <v>171</v>
      </c>
      <c r="J100" s="369" t="s">
        <v>316</v>
      </c>
      <c r="K100" s="258">
        <v>42803.0</v>
      </c>
      <c r="L100" s="258">
        <v>42801.0</v>
      </c>
      <c r="M100" s="253" t="s">
        <v>2508</v>
      </c>
      <c r="N100" s="765" t="s">
        <v>6334</v>
      </c>
      <c r="O100" s="339"/>
      <c r="P100" s="637">
        <v>13020.0</v>
      </c>
      <c r="Q100" s="320" t="s">
        <v>4491</v>
      </c>
      <c r="R100" s="253"/>
      <c r="S100" s="810">
        <v>42830.0</v>
      </c>
      <c r="T100" s="769">
        <v>42800.0</v>
      </c>
      <c r="U100" s="765" t="s">
        <v>6335</v>
      </c>
      <c r="V100" s="262">
        <v>13020.0</v>
      </c>
      <c r="W100" s="258">
        <v>42830.0</v>
      </c>
      <c r="X100" s="252" t="s">
        <v>6336</v>
      </c>
      <c r="Y100" s="765">
        <v>7.94738895E8</v>
      </c>
      <c r="Z100" s="1037"/>
      <c r="AA100" s="1037"/>
      <c r="AB100" s="766"/>
      <c r="AC100" s="253" t="s">
        <v>284</v>
      </c>
    </row>
    <row r="101" ht="15.75" customHeight="1">
      <c r="A101" s="764">
        <v>42769.0</v>
      </c>
      <c r="B101" s="765" t="s">
        <v>101</v>
      </c>
      <c r="C101" s="765" t="s">
        <v>6337</v>
      </c>
      <c r="D101" s="765" t="s">
        <v>6338</v>
      </c>
      <c r="E101" s="765" t="s">
        <v>6339</v>
      </c>
      <c r="F101" s="307">
        <v>2.0</v>
      </c>
      <c r="G101" s="325">
        <f>550</f>
        <v>550</v>
      </c>
      <c r="H101" s="267">
        <f t="shared" si="4"/>
        <v>1100</v>
      </c>
      <c r="I101" s="266" t="s">
        <v>3474</v>
      </c>
      <c r="J101" s="253" t="s">
        <v>534</v>
      </c>
      <c r="K101" s="258">
        <v>42775.0</v>
      </c>
      <c r="L101" s="258">
        <v>42774.0</v>
      </c>
      <c r="M101" s="333" t="s">
        <v>2028</v>
      </c>
      <c r="N101" s="765" t="s">
        <v>6340</v>
      </c>
      <c r="O101" s="339"/>
      <c r="P101" s="637">
        <v>32267.0</v>
      </c>
      <c r="Q101" s="340" t="s">
        <v>2030</v>
      </c>
      <c r="R101" s="253"/>
      <c r="S101" s="810">
        <v>42772.0</v>
      </c>
      <c r="T101" s="769">
        <v>42773.0</v>
      </c>
      <c r="U101" s="765" t="s">
        <v>6341</v>
      </c>
      <c r="V101" s="770">
        <v>36960.0</v>
      </c>
      <c r="W101" s="601">
        <v>42773.0</v>
      </c>
      <c r="X101" s="252" t="s">
        <v>6342</v>
      </c>
      <c r="Y101" s="1037"/>
      <c r="Z101" s="1037"/>
      <c r="AA101" s="1037"/>
      <c r="AB101" s="766"/>
      <c r="AC101" s="253" t="s">
        <v>284</v>
      </c>
    </row>
    <row r="102" ht="15.75" customHeight="1">
      <c r="A102" s="764">
        <v>42769.0</v>
      </c>
      <c r="B102" s="765" t="s">
        <v>101</v>
      </c>
      <c r="C102" s="765" t="s">
        <v>6337</v>
      </c>
      <c r="D102" s="765" t="s">
        <v>6338</v>
      </c>
      <c r="E102" s="765" t="s">
        <v>6343</v>
      </c>
      <c r="F102" s="307">
        <v>2.0</v>
      </c>
      <c r="G102" s="325">
        <v>80.0</v>
      </c>
      <c r="H102" s="267">
        <f t="shared" si="4"/>
        <v>160</v>
      </c>
      <c r="I102" s="266" t="s">
        <v>3474</v>
      </c>
      <c r="J102" s="253" t="s">
        <v>534</v>
      </c>
      <c r="K102" s="258">
        <v>42775.0</v>
      </c>
      <c r="L102" s="258">
        <v>42774.0</v>
      </c>
      <c r="M102" s="333" t="s">
        <v>2028</v>
      </c>
      <c r="N102" s="765" t="s">
        <v>6340</v>
      </c>
      <c r="O102" s="339"/>
      <c r="P102" s="637">
        <v>4694.0</v>
      </c>
      <c r="Q102" s="340" t="s">
        <v>2030</v>
      </c>
      <c r="R102" s="253"/>
      <c r="S102" s="810">
        <v>42772.0</v>
      </c>
      <c r="T102" s="769">
        <v>42773.0</v>
      </c>
      <c r="U102" s="765" t="s">
        <v>6341</v>
      </c>
      <c r="V102" s="770">
        <v>36960.0</v>
      </c>
      <c r="W102" s="601">
        <v>42773.0</v>
      </c>
      <c r="X102" s="252" t="s">
        <v>6342</v>
      </c>
      <c r="Y102" s="1037"/>
      <c r="Z102" s="1037"/>
      <c r="AA102" s="1037"/>
      <c r="AB102" s="766"/>
      <c r="AC102" s="253" t="s">
        <v>284</v>
      </c>
    </row>
    <row r="103" ht="15.75" customHeight="1">
      <c r="A103" s="764">
        <v>42769.0</v>
      </c>
      <c r="B103" s="765" t="s">
        <v>101</v>
      </c>
      <c r="C103" s="765" t="s">
        <v>6337</v>
      </c>
      <c r="D103" s="765" t="s">
        <v>6338</v>
      </c>
      <c r="E103" s="765" t="s">
        <v>6344</v>
      </c>
      <c r="F103" s="307">
        <v>2.0</v>
      </c>
      <c r="G103" s="325">
        <v>352.0</v>
      </c>
      <c r="H103" s="267">
        <f t="shared" si="4"/>
        <v>704</v>
      </c>
      <c r="I103" s="266" t="s">
        <v>3474</v>
      </c>
      <c r="J103" s="253" t="s">
        <v>534</v>
      </c>
      <c r="K103" s="258">
        <v>42775.0</v>
      </c>
      <c r="L103" s="258">
        <v>42774.0</v>
      </c>
      <c r="M103" s="253" t="s">
        <v>2129</v>
      </c>
      <c r="N103" s="765" t="s">
        <v>6345</v>
      </c>
      <c r="O103" s="811">
        <v>598.5</v>
      </c>
      <c r="P103" s="1048"/>
      <c r="Q103" s="320" t="s">
        <v>6346</v>
      </c>
      <c r="R103" s="253"/>
      <c r="S103" s="810">
        <v>42799.0</v>
      </c>
      <c r="T103" s="769">
        <v>42772.0</v>
      </c>
      <c r="U103" s="765" t="s">
        <v>6347</v>
      </c>
      <c r="V103" s="770">
        <v>18584.0</v>
      </c>
      <c r="W103" s="258">
        <v>42814.0</v>
      </c>
      <c r="X103" s="252" t="s">
        <v>6342</v>
      </c>
      <c r="Y103" s="1037"/>
      <c r="Z103" s="1037"/>
      <c r="AA103" s="1037"/>
      <c r="AB103" s="766"/>
      <c r="AC103" s="253" t="s">
        <v>284</v>
      </c>
    </row>
    <row r="104" ht="15.75" customHeight="1">
      <c r="A104" s="764">
        <v>42773.0</v>
      </c>
      <c r="B104" s="765" t="s">
        <v>5073</v>
      </c>
      <c r="C104" s="765" t="s">
        <v>6348</v>
      </c>
      <c r="D104" s="765" t="s">
        <v>6349</v>
      </c>
      <c r="E104" s="765" t="s">
        <v>6350</v>
      </c>
      <c r="F104" s="307">
        <v>2.0</v>
      </c>
      <c r="G104" s="325">
        <v>582.0</v>
      </c>
      <c r="H104" s="267">
        <f t="shared" si="4"/>
        <v>1164</v>
      </c>
      <c r="I104" s="266" t="s">
        <v>3474</v>
      </c>
      <c r="J104" s="369" t="s">
        <v>3749</v>
      </c>
      <c r="K104" s="258">
        <v>42807.0</v>
      </c>
      <c r="L104" s="258">
        <v>42803.0</v>
      </c>
      <c r="M104" s="256" t="s">
        <v>3593</v>
      </c>
      <c r="N104" s="765" t="s">
        <v>6351</v>
      </c>
      <c r="O104" s="339"/>
      <c r="P104" s="637">
        <v>36271.0</v>
      </c>
      <c r="Q104" s="310" t="s">
        <v>2080</v>
      </c>
      <c r="R104" s="253"/>
      <c r="S104" s="810">
        <v>42891.0</v>
      </c>
      <c r="T104" s="769">
        <v>42802.0</v>
      </c>
      <c r="U104" s="765" t="s">
        <v>6352</v>
      </c>
      <c r="V104" s="770">
        <v>36271.0</v>
      </c>
      <c r="W104" s="258">
        <v>42891.0</v>
      </c>
      <c r="X104" s="252" t="s">
        <v>6353</v>
      </c>
      <c r="Y104" s="1037"/>
      <c r="Z104" s="1037"/>
      <c r="AA104" s="1037"/>
      <c r="AB104" s="766"/>
      <c r="AC104" s="253" t="s">
        <v>284</v>
      </c>
    </row>
    <row r="105" ht="15.75" customHeight="1">
      <c r="A105" s="764">
        <v>42773.0</v>
      </c>
      <c r="B105" s="765" t="s">
        <v>1745</v>
      </c>
      <c r="C105" s="765"/>
      <c r="D105" s="765" t="s">
        <v>6354</v>
      </c>
      <c r="E105" s="765" t="s">
        <v>5431</v>
      </c>
      <c r="F105" s="307">
        <v>1.0</v>
      </c>
      <c r="G105" s="325">
        <v>13.0</v>
      </c>
      <c r="H105" s="267">
        <f t="shared" si="4"/>
        <v>13</v>
      </c>
      <c r="I105" s="1009" t="s">
        <v>3474</v>
      </c>
      <c r="J105" s="253" t="s">
        <v>6355</v>
      </c>
      <c r="K105" s="258">
        <v>42789.0</v>
      </c>
      <c r="L105" s="258">
        <v>42788.0</v>
      </c>
      <c r="M105" s="592" t="s">
        <v>6298</v>
      </c>
      <c r="N105" s="253"/>
      <c r="O105" s="339"/>
      <c r="P105" s="816"/>
      <c r="Q105" s="253"/>
      <c r="R105" s="330" t="s">
        <v>6356</v>
      </c>
      <c r="S105" s="1036"/>
      <c r="T105" s="766"/>
      <c r="U105" s="766"/>
      <c r="V105" s="766"/>
      <c r="W105" s="1037"/>
      <c r="X105" s="252" t="s">
        <v>6357</v>
      </c>
      <c r="Y105" s="1037"/>
      <c r="Z105" s="1037"/>
      <c r="AA105" s="1037"/>
      <c r="AB105" s="766"/>
      <c r="AC105" s="253" t="s">
        <v>284</v>
      </c>
    </row>
    <row r="106" ht="15.75" customHeight="1">
      <c r="A106" s="764">
        <v>42773.0</v>
      </c>
      <c r="B106" s="765" t="s">
        <v>1745</v>
      </c>
      <c r="C106" s="765"/>
      <c r="D106" s="765" t="s">
        <v>6354</v>
      </c>
      <c r="E106" s="765" t="s">
        <v>6358</v>
      </c>
      <c r="F106" s="307">
        <v>1.0</v>
      </c>
      <c r="G106" s="325">
        <v>2.0</v>
      </c>
      <c r="H106" s="267">
        <f t="shared" si="4"/>
        <v>2</v>
      </c>
      <c r="I106" s="1009" t="s">
        <v>3474</v>
      </c>
      <c r="J106" s="253" t="s">
        <v>6355</v>
      </c>
      <c r="K106" s="258">
        <v>42789.0</v>
      </c>
      <c r="L106" s="258">
        <v>42788.0</v>
      </c>
      <c r="M106" s="253" t="s">
        <v>6298</v>
      </c>
      <c r="N106" s="253"/>
      <c r="O106" s="339"/>
      <c r="P106" s="816"/>
      <c r="Q106" s="253"/>
      <c r="R106" s="330" t="s">
        <v>6356</v>
      </c>
      <c r="S106" s="1036"/>
      <c r="T106" s="766"/>
      <c r="U106" s="766"/>
      <c r="V106" s="766"/>
      <c r="W106" s="1037"/>
      <c r="X106" s="252" t="s">
        <v>6357</v>
      </c>
      <c r="Y106" s="1037"/>
      <c r="Z106" s="1037"/>
      <c r="AA106" s="1037"/>
      <c r="AB106" s="766"/>
      <c r="AC106" s="253" t="s">
        <v>284</v>
      </c>
    </row>
    <row r="107" ht="15.75" customHeight="1">
      <c r="A107" s="764">
        <v>42773.0</v>
      </c>
      <c r="B107" s="765" t="s">
        <v>1745</v>
      </c>
      <c r="C107" s="765"/>
      <c r="D107" s="765" t="s">
        <v>6354</v>
      </c>
      <c r="E107" s="765" t="s">
        <v>6359</v>
      </c>
      <c r="F107" s="307">
        <v>1.0</v>
      </c>
      <c r="G107" s="325">
        <v>2.0</v>
      </c>
      <c r="H107" s="267">
        <f t="shared" si="4"/>
        <v>2</v>
      </c>
      <c r="I107" s="1009" t="s">
        <v>3474</v>
      </c>
      <c r="J107" s="253" t="s">
        <v>6355</v>
      </c>
      <c r="K107" s="258">
        <v>42789.0</v>
      </c>
      <c r="L107" s="258">
        <v>42788.0</v>
      </c>
      <c r="M107" s="253" t="s">
        <v>6298</v>
      </c>
      <c r="N107" s="253"/>
      <c r="O107" s="339"/>
      <c r="P107" s="816"/>
      <c r="Q107" s="253"/>
      <c r="R107" s="330" t="s">
        <v>6356</v>
      </c>
      <c r="S107" s="1036"/>
      <c r="T107" s="766"/>
      <c r="U107" s="766"/>
      <c r="V107" s="766"/>
      <c r="W107" s="1037"/>
      <c r="X107" s="252" t="s">
        <v>6357</v>
      </c>
      <c r="Y107" s="1037"/>
      <c r="Z107" s="1037"/>
      <c r="AA107" s="1037"/>
      <c r="AB107" s="766"/>
      <c r="AC107" s="253" t="s">
        <v>284</v>
      </c>
    </row>
    <row r="108" ht="15.75" customHeight="1">
      <c r="A108" s="764">
        <v>42773.0</v>
      </c>
      <c r="B108" s="765" t="s">
        <v>1745</v>
      </c>
      <c r="C108" s="765"/>
      <c r="D108" s="765" t="s">
        <v>6354</v>
      </c>
      <c r="E108" s="765" t="s">
        <v>700</v>
      </c>
      <c r="F108" s="307">
        <v>1.0</v>
      </c>
      <c r="G108" s="325">
        <v>25.0</v>
      </c>
      <c r="H108" s="267">
        <f t="shared" si="4"/>
        <v>25</v>
      </c>
      <c r="I108" s="1009" t="s">
        <v>3474</v>
      </c>
      <c r="J108" s="253" t="s">
        <v>6355</v>
      </c>
      <c r="K108" s="258">
        <v>42789.0</v>
      </c>
      <c r="L108" s="258">
        <v>42788.0</v>
      </c>
      <c r="M108" s="253" t="s">
        <v>6298</v>
      </c>
      <c r="N108" s="253"/>
      <c r="O108" s="339"/>
      <c r="P108" s="816"/>
      <c r="Q108" s="253"/>
      <c r="R108" s="330" t="s">
        <v>6356</v>
      </c>
      <c r="S108" s="1036"/>
      <c r="T108" s="766"/>
      <c r="U108" s="766"/>
      <c r="V108" s="766"/>
      <c r="W108" s="1037"/>
      <c r="X108" s="252" t="s">
        <v>6357</v>
      </c>
      <c r="Y108" s="1037"/>
      <c r="Z108" s="1037"/>
      <c r="AA108" s="1037"/>
      <c r="AB108" s="766"/>
      <c r="AC108" s="253" t="s">
        <v>284</v>
      </c>
    </row>
    <row r="109" ht="15.75" customHeight="1">
      <c r="A109" s="764">
        <v>42773.0</v>
      </c>
      <c r="B109" s="602" t="s">
        <v>3640</v>
      </c>
      <c r="C109" s="765"/>
      <c r="D109" s="765" t="s">
        <v>6360</v>
      </c>
      <c r="E109" s="765" t="s">
        <v>3642</v>
      </c>
      <c r="F109" s="307">
        <v>10.0</v>
      </c>
      <c r="G109" s="325">
        <f>281</f>
        <v>281</v>
      </c>
      <c r="H109" s="267">
        <f t="shared" si="4"/>
        <v>2810</v>
      </c>
      <c r="I109" s="1031" t="s">
        <v>3474</v>
      </c>
      <c r="J109" s="369" t="s">
        <v>6361</v>
      </c>
      <c r="K109" s="258">
        <v>42789.0</v>
      </c>
      <c r="L109" s="258">
        <v>42787.0</v>
      </c>
      <c r="M109" s="403" t="s">
        <v>2034</v>
      </c>
      <c r="N109" s="765" t="s">
        <v>6362</v>
      </c>
      <c r="O109" s="811">
        <v>2761.5</v>
      </c>
      <c r="P109" s="1048"/>
      <c r="Q109" s="765" t="s">
        <v>2036</v>
      </c>
      <c r="R109" s="253"/>
      <c r="S109" s="810">
        <v>42830.0</v>
      </c>
      <c r="T109" s="769">
        <v>42786.0</v>
      </c>
      <c r="U109" s="765" t="s">
        <v>6363</v>
      </c>
      <c r="V109" s="770">
        <v>177165.0</v>
      </c>
      <c r="W109" s="258">
        <v>42830.0</v>
      </c>
      <c r="X109" s="252" t="s">
        <v>6364</v>
      </c>
      <c r="Y109" s="1037"/>
      <c r="Z109" s="1037"/>
      <c r="AA109" s="1037"/>
      <c r="AB109" s="766"/>
      <c r="AC109" s="253" t="s">
        <v>284</v>
      </c>
    </row>
    <row r="110" ht="15.75" customHeight="1">
      <c r="A110" s="764">
        <v>42773.0</v>
      </c>
      <c r="B110" s="602" t="s">
        <v>3640</v>
      </c>
      <c r="C110" s="765"/>
      <c r="D110" s="765" t="s">
        <v>6360</v>
      </c>
      <c r="E110" s="765" t="s">
        <v>3648</v>
      </c>
      <c r="F110" s="307">
        <v>30.0</v>
      </c>
      <c r="G110" s="325">
        <v>102.0</v>
      </c>
      <c r="H110" s="267">
        <f t="shared" si="4"/>
        <v>3060</v>
      </c>
      <c r="I110" s="1031" t="s">
        <v>3474</v>
      </c>
      <c r="J110" s="369" t="s">
        <v>6361</v>
      </c>
      <c r="K110" s="258">
        <v>42789.0</v>
      </c>
      <c r="L110" s="258">
        <v>42787.0</v>
      </c>
      <c r="M110" s="403" t="s">
        <v>2034</v>
      </c>
      <c r="N110" s="765" t="s">
        <v>6362</v>
      </c>
      <c r="O110" s="811">
        <v>2992.5</v>
      </c>
      <c r="P110" s="1048"/>
      <c r="Q110" s="765" t="s">
        <v>2036</v>
      </c>
      <c r="R110" s="253"/>
      <c r="S110" s="810">
        <v>42830.0</v>
      </c>
      <c r="T110" s="769">
        <v>42786.0</v>
      </c>
      <c r="U110" s="765" t="s">
        <v>6363</v>
      </c>
      <c r="V110" s="770">
        <v>177165.0</v>
      </c>
      <c r="W110" s="258">
        <v>42830.0</v>
      </c>
      <c r="X110" s="252" t="s">
        <v>6364</v>
      </c>
      <c r="Y110" s="1037"/>
      <c r="Z110" s="1037"/>
      <c r="AA110" s="1037"/>
      <c r="AB110" s="766"/>
      <c r="AC110" s="253" t="s">
        <v>284</v>
      </c>
    </row>
    <row r="111" ht="15.75" customHeight="1">
      <c r="A111" s="764">
        <v>42773.0</v>
      </c>
      <c r="B111" s="765" t="s">
        <v>1745</v>
      </c>
      <c r="C111" s="765"/>
      <c r="D111" s="765" t="s">
        <v>6354</v>
      </c>
      <c r="E111" s="765" t="s">
        <v>6365</v>
      </c>
      <c r="F111" s="307">
        <v>1.0</v>
      </c>
      <c r="G111" s="325">
        <v>75.0</v>
      </c>
      <c r="H111" s="267">
        <f t="shared" si="4"/>
        <v>75</v>
      </c>
      <c r="I111" s="1009" t="s">
        <v>3474</v>
      </c>
      <c r="J111" s="253" t="s">
        <v>6355</v>
      </c>
      <c r="K111" s="258">
        <v>42789.0</v>
      </c>
      <c r="L111" s="258">
        <v>42786.0</v>
      </c>
      <c r="M111" s="253" t="s">
        <v>2129</v>
      </c>
      <c r="N111" s="253"/>
      <c r="O111" s="339"/>
      <c r="P111" s="816"/>
      <c r="Q111" s="253"/>
      <c r="R111" s="602" t="s">
        <v>6366</v>
      </c>
      <c r="S111" s="1036"/>
      <c r="T111" s="766"/>
      <c r="U111" s="766"/>
      <c r="V111" s="766"/>
      <c r="W111" s="1037"/>
      <c r="X111" s="252" t="s">
        <v>6357</v>
      </c>
      <c r="Y111" s="1037"/>
      <c r="Z111" s="1037"/>
      <c r="AA111" s="1037"/>
      <c r="AB111" s="766"/>
      <c r="AC111" s="253" t="s">
        <v>284</v>
      </c>
    </row>
    <row r="112" ht="15.75" customHeight="1">
      <c r="A112" s="764">
        <v>42773.0</v>
      </c>
      <c r="B112" s="765" t="s">
        <v>1745</v>
      </c>
      <c r="C112" s="765"/>
      <c r="D112" s="765" t="s">
        <v>6354</v>
      </c>
      <c r="E112" s="765" t="s">
        <v>6367</v>
      </c>
      <c r="F112" s="307">
        <v>1.0</v>
      </c>
      <c r="G112" s="325">
        <f>75+29+5</f>
        <v>109</v>
      </c>
      <c r="H112" s="267">
        <f t="shared" si="4"/>
        <v>109</v>
      </c>
      <c r="I112" s="1009" t="s">
        <v>3474</v>
      </c>
      <c r="J112" s="253" t="s">
        <v>6355</v>
      </c>
      <c r="K112" s="258">
        <v>42789.0</v>
      </c>
      <c r="L112" s="258">
        <v>42784.0</v>
      </c>
      <c r="M112" s="269" t="s">
        <v>6368</v>
      </c>
      <c r="N112" s="253"/>
      <c r="O112" s="339"/>
      <c r="P112" s="816"/>
      <c r="Q112" s="253"/>
      <c r="R112" s="602" t="s">
        <v>6369</v>
      </c>
      <c r="S112" s="1036"/>
      <c r="T112" s="903"/>
      <c r="U112" s="903"/>
      <c r="V112" s="903"/>
      <c r="W112" s="1037"/>
      <c r="X112" s="252" t="s">
        <v>6357</v>
      </c>
      <c r="Y112" s="1037"/>
      <c r="Z112" s="1037"/>
      <c r="AA112" s="1037"/>
      <c r="AB112" s="766"/>
      <c r="AC112" s="253" t="s">
        <v>284</v>
      </c>
    </row>
    <row r="113" ht="15.75" customHeight="1">
      <c r="A113" s="764">
        <v>42773.0</v>
      </c>
      <c r="B113" s="765" t="s">
        <v>101</v>
      </c>
      <c r="C113" s="765"/>
      <c r="D113" s="765" t="s">
        <v>6370</v>
      </c>
      <c r="E113" s="765" t="s">
        <v>6371</v>
      </c>
      <c r="F113" s="307">
        <v>1.0</v>
      </c>
      <c r="G113" s="254">
        <v>241.0</v>
      </c>
      <c r="H113" s="267">
        <f t="shared" si="4"/>
        <v>241</v>
      </c>
      <c r="I113" s="266" t="s">
        <v>3474</v>
      </c>
      <c r="J113" s="253" t="s">
        <v>534</v>
      </c>
      <c r="K113" s="258">
        <v>42775.0</v>
      </c>
      <c r="L113" s="253"/>
      <c r="M113" s="403" t="s">
        <v>2032</v>
      </c>
      <c r="N113" s="253"/>
      <c r="O113" s="339"/>
      <c r="P113" s="637">
        <v>6564.0</v>
      </c>
      <c r="Q113" s="310" t="s">
        <v>2033</v>
      </c>
      <c r="R113" s="253"/>
      <c r="S113" s="810">
        <v>42813.0</v>
      </c>
      <c r="T113" s="769">
        <v>42783.0</v>
      </c>
      <c r="U113" s="765" t="s">
        <v>6372</v>
      </c>
      <c r="V113" s="770">
        <v>6564.0</v>
      </c>
      <c r="W113" s="601">
        <v>42825.0</v>
      </c>
      <c r="X113" s="252" t="s">
        <v>6342</v>
      </c>
      <c r="Y113" s="1037"/>
      <c r="Z113" s="1037"/>
      <c r="AA113" s="1037"/>
      <c r="AB113" s="766"/>
      <c r="AC113" s="253" t="s">
        <v>284</v>
      </c>
    </row>
    <row r="114" ht="15.75" customHeight="1">
      <c r="A114" s="764">
        <v>42774.0</v>
      </c>
      <c r="B114" s="765" t="s">
        <v>326</v>
      </c>
      <c r="C114" s="765">
        <v>1609069.0</v>
      </c>
      <c r="D114" s="765" t="s">
        <v>6373</v>
      </c>
      <c r="E114" s="765" t="s">
        <v>6374</v>
      </c>
      <c r="F114" s="307">
        <v>10.0</v>
      </c>
      <c r="G114" s="254">
        <v>438.0</v>
      </c>
      <c r="H114" s="267">
        <f t="shared" si="4"/>
        <v>4380</v>
      </c>
      <c r="I114" s="266" t="s">
        <v>3474</v>
      </c>
      <c r="J114" s="369" t="s">
        <v>3774</v>
      </c>
      <c r="K114" s="258">
        <v>42790.0</v>
      </c>
      <c r="L114" s="258">
        <v>42790.0</v>
      </c>
      <c r="M114" s="333" t="s">
        <v>3775</v>
      </c>
      <c r="N114" s="765" t="s">
        <v>6375</v>
      </c>
      <c r="O114" s="581">
        <v>4042.5</v>
      </c>
      <c r="P114" s="816"/>
      <c r="Q114" s="320" t="s">
        <v>6376</v>
      </c>
      <c r="R114" s="253"/>
      <c r="S114" s="810">
        <v>42825.0</v>
      </c>
      <c r="T114" s="771">
        <v>42789.0</v>
      </c>
      <c r="U114" s="252" t="s">
        <v>6377</v>
      </c>
      <c r="V114" s="774">
        <v>132180.0</v>
      </c>
      <c r="W114" s="601">
        <v>42825.0</v>
      </c>
      <c r="X114" s="252" t="s">
        <v>6378</v>
      </c>
      <c r="Y114" s="1037"/>
      <c r="Z114" s="1037"/>
      <c r="AA114" s="1037"/>
      <c r="AB114" s="766"/>
      <c r="AC114" s="253" t="s">
        <v>284</v>
      </c>
    </row>
    <row r="115" ht="15.75" customHeight="1">
      <c r="A115" s="764">
        <v>42774.0</v>
      </c>
      <c r="B115" s="765" t="s">
        <v>326</v>
      </c>
      <c r="C115" s="765">
        <v>1609069.0</v>
      </c>
      <c r="D115" s="765" t="s">
        <v>6373</v>
      </c>
      <c r="E115" s="765" t="s">
        <v>6379</v>
      </c>
      <c r="F115" s="307">
        <v>10.0</v>
      </c>
      <c r="G115" s="254">
        <v>34.0</v>
      </c>
      <c r="H115" s="267">
        <f t="shared" si="4"/>
        <v>340</v>
      </c>
      <c r="I115" s="266" t="s">
        <v>3474</v>
      </c>
      <c r="J115" s="369" t="s">
        <v>3774</v>
      </c>
      <c r="K115" s="258">
        <v>42790.0</v>
      </c>
      <c r="L115" s="258">
        <v>42790.0</v>
      </c>
      <c r="M115" s="333" t="s">
        <v>3775</v>
      </c>
      <c r="N115" s="765" t="s">
        <v>6375</v>
      </c>
      <c r="O115" s="581">
        <v>252.0</v>
      </c>
      <c r="P115" s="816"/>
      <c r="Q115" s="320" t="s">
        <v>6376</v>
      </c>
      <c r="R115" s="253"/>
      <c r="S115" s="810">
        <v>42825.0</v>
      </c>
      <c r="T115" s="771">
        <v>42789.0</v>
      </c>
      <c r="U115" s="252" t="s">
        <v>6377</v>
      </c>
      <c r="V115" s="774">
        <v>132180.0</v>
      </c>
      <c r="W115" s="601">
        <v>42825.0</v>
      </c>
      <c r="X115" s="252" t="s">
        <v>6378</v>
      </c>
      <c r="Y115" s="1037"/>
      <c r="Z115" s="1037"/>
      <c r="AA115" s="1037"/>
      <c r="AB115" s="766"/>
      <c r="AC115" s="253" t="s">
        <v>284</v>
      </c>
    </row>
    <row r="116" ht="15.75" customHeight="1">
      <c r="A116" s="764">
        <v>42774.0</v>
      </c>
      <c r="B116" s="765" t="s">
        <v>326</v>
      </c>
      <c r="C116" s="765">
        <v>1609069.0</v>
      </c>
      <c r="D116" s="765" t="s">
        <v>6373</v>
      </c>
      <c r="E116" s="765" t="s">
        <v>6380</v>
      </c>
      <c r="F116" s="307">
        <v>10.0</v>
      </c>
      <c r="G116" s="254">
        <v>31.0</v>
      </c>
      <c r="H116" s="267">
        <f t="shared" si="4"/>
        <v>310</v>
      </c>
      <c r="I116" s="266" t="s">
        <v>3474</v>
      </c>
      <c r="J116" s="369" t="s">
        <v>3774</v>
      </c>
      <c r="K116" s="258">
        <v>42790.0</v>
      </c>
      <c r="L116" s="258">
        <v>42783.0</v>
      </c>
      <c r="M116" s="253" t="s">
        <v>6381</v>
      </c>
      <c r="N116" s="765" t="s">
        <v>6382</v>
      </c>
      <c r="O116" s="581">
        <v>294.0</v>
      </c>
      <c r="P116" s="816"/>
      <c r="Q116" s="320" t="s">
        <v>3916</v>
      </c>
      <c r="R116" s="253"/>
      <c r="S116" s="810">
        <v>42811.0</v>
      </c>
      <c r="T116" s="771">
        <v>42781.0</v>
      </c>
      <c r="U116" s="252" t="s">
        <v>6383</v>
      </c>
      <c r="V116" s="774">
        <v>9075.0</v>
      </c>
      <c r="W116" s="258">
        <v>42814.0</v>
      </c>
      <c r="X116" s="252" t="s">
        <v>6378</v>
      </c>
      <c r="Y116" s="1037"/>
      <c r="Z116" s="1037"/>
      <c r="AA116" s="1037"/>
      <c r="AB116" s="766"/>
      <c r="AC116" s="253" t="s">
        <v>284</v>
      </c>
    </row>
    <row r="117" ht="15.75" customHeight="1">
      <c r="A117" s="764">
        <v>42775.0</v>
      </c>
      <c r="B117" s="765" t="s">
        <v>4754</v>
      </c>
      <c r="C117" s="765">
        <v>63294.0</v>
      </c>
      <c r="D117" s="765" t="s">
        <v>6384</v>
      </c>
      <c r="E117" s="765" t="s">
        <v>6385</v>
      </c>
      <c r="F117" s="307">
        <v>51.0</v>
      </c>
      <c r="G117" s="254">
        <v>60.0</v>
      </c>
      <c r="H117" s="267">
        <f t="shared" si="4"/>
        <v>3060</v>
      </c>
      <c r="I117" s="1009" t="s">
        <v>3474</v>
      </c>
      <c r="J117" s="253" t="s">
        <v>534</v>
      </c>
      <c r="K117" s="258">
        <v>42789.0</v>
      </c>
      <c r="L117" s="258">
        <v>42783.0</v>
      </c>
      <c r="M117" s="333" t="s">
        <v>6386</v>
      </c>
      <c r="N117" s="765" t="s">
        <v>6387</v>
      </c>
      <c r="O117" s="339"/>
      <c r="P117" s="637">
        <v>84952.0</v>
      </c>
      <c r="Q117" s="604" t="s">
        <v>6388</v>
      </c>
      <c r="R117" s="253"/>
      <c r="S117" s="1049"/>
      <c r="T117" s="769">
        <v>42782.0</v>
      </c>
      <c r="U117" s="765" t="s">
        <v>6389</v>
      </c>
      <c r="V117" s="770">
        <v>84952.0</v>
      </c>
      <c r="W117" s="601">
        <v>42776.0</v>
      </c>
      <c r="X117" s="252" t="s">
        <v>6390</v>
      </c>
      <c r="Y117" s="1037"/>
      <c r="Z117" s="1037"/>
      <c r="AA117" s="1037"/>
      <c r="AB117" s="766"/>
      <c r="AC117" s="253" t="s">
        <v>284</v>
      </c>
    </row>
    <row r="118" ht="15.75" customHeight="1">
      <c r="A118" s="764">
        <v>42775.0</v>
      </c>
      <c r="B118" s="765" t="s">
        <v>4754</v>
      </c>
      <c r="C118" s="765">
        <v>63294.0</v>
      </c>
      <c r="D118" s="765" t="s">
        <v>6384</v>
      </c>
      <c r="E118" s="765" t="s">
        <v>6391</v>
      </c>
      <c r="F118" s="307">
        <v>1.0</v>
      </c>
      <c r="G118" s="254">
        <v>183.0</v>
      </c>
      <c r="H118" s="267">
        <f t="shared" si="4"/>
        <v>183</v>
      </c>
      <c r="I118" s="1009" t="s">
        <v>3474</v>
      </c>
      <c r="J118" s="253" t="s">
        <v>534</v>
      </c>
      <c r="K118" s="258">
        <v>42789.0</v>
      </c>
      <c r="L118" s="630"/>
      <c r="M118" s="333" t="s">
        <v>2032</v>
      </c>
      <c r="N118" s="253"/>
      <c r="O118" s="339"/>
      <c r="P118" s="637">
        <v>5127.0</v>
      </c>
      <c r="Q118" s="310" t="s">
        <v>2033</v>
      </c>
      <c r="R118" s="253"/>
      <c r="S118" s="810">
        <v>42824.0</v>
      </c>
      <c r="T118" s="771">
        <v>42794.0</v>
      </c>
      <c r="U118" s="252" t="s">
        <v>6392</v>
      </c>
      <c r="V118" s="774">
        <v>5127.0</v>
      </c>
      <c r="W118" s="601">
        <v>42825.0</v>
      </c>
      <c r="X118" s="252" t="s">
        <v>6390</v>
      </c>
      <c r="Y118" s="1037"/>
      <c r="Z118" s="1037"/>
      <c r="AA118" s="1037"/>
      <c r="AB118" s="766"/>
      <c r="AC118" s="253" t="s">
        <v>284</v>
      </c>
    </row>
    <row r="119" ht="15.75" customHeight="1">
      <c r="A119" s="764">
        <v>42776.0</v>
      </c>
      <c r="B119" s="765" t="s">
        <v>101</v>
      </c>
      <c r="C119" s="765" t="s">
        <v>6393</v>
      </c>
      <c r="D119" s="765" t="s">
        <v>6394</v>
      </c>
      <c r="E119" s="765" t="s">
        <v>6296</v>
      </c>
      <c r="F119" s="307">
        <v>2.0</v>
      </c>
      <c r="G119" s="325">
        <v>60.0</v>
      </c>
      <c r="H119" s="581">
        <f t="shared" si="4"/>
        <v>120</v>
      </c>
      <c r="I119" s="266" t="s">
        <v>3474</v>
      </c>
      <c r="J119" s="369" t="s">
        <v>6239</v>
      </c>
      <c r="K119" s="258">
        <v>42810.0</v>
      </c>
      <c r="L119" s="258">
        <v>42810.0</v>
      </c>
      <c r="M119" s="333" t="s">
        <v>1439</v>
      </c>
      <c r="N119" s="765" t="s">
        <v>6395</v>
      </c>
      <c r="O119" s="339"/>
      <c r="P119" s="1050">
        <v>3586.0</v>
      </c>
      <c r="Q119" s="1004" t="s">
        <v>1976</v>
      </c>
      <c r="R119" s="253"/>
      <c r="S119" s="810">
        <v>42830.0</v>
      </c>
      <c r="T119" s="769">
        <v>42809.0</v>
      </c>
      <c r="U119" s="765" t="s">
        <v>6396</v>
      </c>
      <c r="V119" s="770">
        <v>3586.0</v>
      </c>
      <c r="W119" s="601">
        <v>42859.0</v>
      </c>
      <c r="X119" s="252" t="s">
        <v>6397</v>
      </c>
      <c r="Y119" s="1037"/>
      <c r="Z119" s="1037"/>
      <c r="AA119" s="1037"/>
      <c r="AB119" s="766"/>
      <c r="AC119" s="253" t="s">
        <v>284</v>
      </c>
    </row>
    <row r="120" ht="15.75" customHeight="1">
      <c r="A120" s="764">
        <v>42776.0</v>
      </c>
      <c r="B120" s="765" t="s">
        <v>101</v>
      </c>
      <c r="C120" s="765" t="s">
        <v>6393</v>
      </c>
      <c r="D120" s="765" t="s">
        <v>6394</v>
      </c>
      <c r="E120" s="765" t="s">
        <v>6398</v>
      </c>
      <c r="F120" s="307">
        <v>2.0</v>
      </c>
      <c r="G120" s="325">
        <v>575.0</v>
      </c>
      <c r="H120" s="581">
        <f t="shared" si="4"/>
        <v>1150</v>
      </c>
      <c r="I120" s="266" t="s">
        <v>3474</v>
      </c>
      <c r="J120" s="369" t="s">
        <v>6239</v>
      </c>
      <c r="K120" s="258">
        <v>42810.0</v>
      </c>
      <c r="L120" s="258">
        <v>42803.0</v>
      </c>
      <c r="M120" s="333" t="s">
        <v>1439</v>
      </c>
      <c r="N120" s="765" t="s">
        <v>6395</v>
      </c>
      <c r="O120" s="339"/>
      <c r="P120" s="1050">
        <v>33249.0</v>
      </c>
      <c r="Q120" s="765" t="s">
        <v>1976</v>
      </c>
      <c r="R120" s="253"/>
      <c r="S120" s="810">
        <v>42830.0</v>
      </c>
      <c r="T120" s="769">
        <v>42802.0</v>
      </c>
      <c r="U120" s="765" t="s">
        <v>6399</v>
      </c>
      <c r="V120" s="770">
        <v>35531.0</v>
      </c>
      <c r="W120" s="601">
        <v>42859.0</v>
      </c>
      <c r="X120" s="252" t="s">
        <v>6397</v>
      </c>
      <c r="Y120" s="1037"/>
      <c r="Z120" s="1037"/>
      <c r="AA120" s="1037"/>
      <c r="AB120" s="766"/>
      <c r="AC120" s="253" t="s">
        <v>284</v>
      </c>
    </row>
    <row r="121" ht="15.75" customHeight="1">
      <c r="A121" s="764">
        <v>42776.0</v>
      </c>
      <c r="B121" s="765" t="s">
        <v>101</v>
      </c>
      <c r="C121" s="765" t="s">
        <v>6393</v>
      </c>
      <c r="D121" s="765" t="s">
        <v>6394</v>
      </c>
      <c r="E121" s="765" t="s">
        <v>6295</v>
      </c>
      <c r="F121" s="307">
        <v>2.0</v>
      </c>
      <c r="G121" s="325">
        <v>38.0</v>
      </c>
      <c r="H121" s="581">
        <f t="shared" si="4"/>
        <v>76</v>
      </c>
      <c r="I121" s="266" t="s">
        <v>3474</v>
      </c>
      <c r="J121" s="369" t="s">
        <v>6239</v>
      </c>
      <c r="K121" s="258">
        <v>42810.0</v>
      </c>
      <c r="L121" s="258">
        <v>42803.0</v>
      </c>
      <c r="M121" s="403" t="s">
        <v>1439</v>
      </c>
      <c r="N121" s="765" t="s">
        <v>6395</v>
      </c>
      <c r="O121" s="339"/>
      <c r="P121" s="1050">
        <v>2282.0</v>
      </c>
      <c r="Q121" s="1004" t="s">
        <v>1976</v>
      </c>
      <c r="R121" s="253"/>
      <c r="S121" s="810">
        <v>42830.0</v>
      </c>
      <c r="T121" s="769">
        <v>42802.0</v>
      </c>
      <c r="U121" s="765" t="s">
        <v>6399</v>
      </c>
      <c r="V121" s="770">
        <v>35531.0</v>
      </c>
      <c r="W121" s="601">
        <v>42859.0</v>
      </c>
      <c r="X121" s="252" t="s">
        <v>6397</v>
      </c>
      <c r="Y121" s="1037"/>
      <c r="Z121" s="1037"/>
      <c r="AA121" s="1037"/>
      <c r="AB121" s="766"/>
      <c r="AC121" s="253" t="s">
        <v>284</v>
      </c>
    </row>
    <row r="122" ht="15.75" customHeight="1">
      <c r="A122" s="764">
        <v>42776.0</v>
      </c>
      <c r="B122" s="765" t="s">
        <v>101</v>
      </c>
      <c r="C122" s="765" t="s">
        <v>6393</v>
      </c>
      <c r="D122" s="252" t="s">
        <v>6400</v>
      </c>
      <c r="E122" s="252" t="s">
        <v>6297</v>
      </c>
      <c r="F122" s="307">
        <v>2.0</v>
      </c>
      <c r="G122" s="325">
        <v>237.0</v>
      </c>
      <c r="H122" s="581">
        <f t="shared" si="4"/>
        <v>474</v>
      </c>
      <c r="I122" s="266" t="s">
        <v>3474</v>
      </c>
      <c r="J122" s="369" t="s">
        <v>6239</v>
      </c>
      <c r="K122" s="258">
        <v>42810.0</v>
      </c>
      <c r="L122" s="258">
        <v>42801.0</v>
      </c>
      <c r="M122" s="253" t="s">
        <v>6298</v>
      </c>
      <c r="N122" s="765" t="s">
        <v>6401</v>
      </c>
      <c r="O122" s="339"/>
      <c r="P122" s="637">
        <v>11735.0</v>
      </c>
      <c r="Q122" s="765" t="s">
        <v>2148</v>
      </c>
      <c r="R122" s="253"/>
      <c r="S122" s="1043">
        <v>42830.0</v>
      </c>
      <c r="T122" s="771">
        <v>42801.0</v>
      </c>
      <c r="U122" s="765" t="s">
        <v>6402</v>
      </c>
      <c r="V122" s="770">
        <v>11735.0</v>
      </c>
      <c r="W122" s="601">
        <v>42832.0</v>
      </c>
      <c r="X122" s="252" t="s">
        <v>6397</v>
      </c>
      <c r="Y122" s="1037"/>
      <c r="Z122" s="1037"/>
      <c r="AA122" s="1037"/>
      <c r="AB122" s="766"/>
      <c r="AC122" s="253" t="s">
        <v>284</v>
      </c>
    </row>
    <row r="123" ht="15.75" customHeight="1">
      <c r="A123" s="764">
        <v>42776.0</v>
      </c>
      <c r="B123" s="765" t="s">
        <v>101</v>
      </c>
      <c r="C123" s="765" t="s">
        <v>6393</v>
      </c>
      <c r="D123" s="765" t="s">
        <v>6394</v>
      </c>
      <c r="E123" s="765" t="s">
        <v>6301</v>
      </c>
      <c r="F123" s="307">
        <v>2.0</v>
      </c>
      <c r="G123" s="325">
        <v>380.0</v>
      </c>
      <c r="H123" s="581">
        <f t="shared" si="4"/>
        <v>760</v>
      </c>
      <c r="I123" s="266" t="s">
        <v>3474</v>
      </c>
      <c r="J123" s="369" t="s">
        <v>6239</v>
      </c>
      <c r="K123" s="258">
        <v>42810.0</v>
      </c>
      <c r="L123" s="258">
        <v>42786.0</v>
      </c>
      <c r="M123" s="592" t="s">
        <v>6302</v>
      </c>
      <c r="N123" s="765" t="s">
        <v>6403</v>
      </c>
      <c r="O123" s="581">
        <v>690.9</v>
      </c>
      <c r="P123" s="816"/>
      <c r="Q123" s="310" t="s">
        <v>3916</v>
      </c>
      <c r="R123" s="253"/>
      <c r="S123" s="810">
        <v>42811.0</v>
      </c>
      <c r="T123" s="771">
        <v>42783.0</v>
      </c>
      <c r="U123" s="252" t="s">
        <v>6404</v>
      </c>
      <c r="V123" s="774">
        <v>21274.0</v>
      </c>
      <c r="W123" s="258">
        <v>42814.0</v>
      </c>
      <c r="X123" s="252" t="s">
        <v>6397</v>
      </c>
      <c r="Y123" s="1037"/>
      <c r="Z123" s="1037"/>
      <c r="AA123" s="1037"/>
      <c r="AB123" s="766"/>
      <c r="AC123" s="253" t="s">
        <v>284</v>
      </c>
    </row>
    <row r="124" ht="15.75" customHeight="1">
      <c r="A124" s="764">
        <v>42776.0</v>
      </c>
      <c r="B124" s="765" t="s">
        <v>101</v>
      </c>
      <c r="C124" s="765" t="s">
        <v>6393</v>
      </c>
      <c r="D124" s="765" t="s">
        <v>6394</v>
      </c>
      <c r="E124" s="765" t="s">
        <v>6305</v>
      </c>
      <c r="F124" s="307">
        <v>2.0</v>
      </c>
      <c r="G124" s="325">
        <v>70.0</v>
      </c>
      <c r="H124" s="581">
        <f t="shared" si="4"/>
        <v>140</v>
      </c>
      <c r="I124" s="266" t="s">
        <v>3474</v>
      </c>
      <c r="J124" s="369" t="s">
        <v>6239</v>
      </c>
      <c r="K124" s="258">
        <v>42810.0</v>
      </c>
      <c r="L124" s="258">
        <v>42782.0</v>
      </c>
      <c r="M124" s="333" t="s">
        <v>6306</v>
      </c>
      <c r="N124" s="253"/>
      <c r="O124" s="339"/>
      <c r="P124" s="816"/>
      <c r="Q124" s="253"/>
      <c r="R124" s="765" t="s">
        <v>6307</v>
      </c>
      <c r="S124" s="1044"/>
      <c r="T124" s="765" t="s">
        <v>6308</v>
      </c>
      <c r="U124" s="765" t="s">
        <v>6308</v>
      </c>
      <c r="V124" s="765" t="s">
        <v>6308</v>
      </c>
      <c r="W124" s="1037"/>
      <c r="X124" s="252" t="s">
        <v>6397</v>
      </c>
      <c r="Y124" s="1037"/>
      <c r="Z124" s="1037"/>
      <c r="AA124" s="1037"/>
      <c r="AB124" s="766"/>
      <c r="AC124" s="253" t="s">
        <v>284</v>
      </c>
    </row>
    <row r="125" ht="15.75" customHeight="1">
      <c r="A125" s="764">
        <v>42776.0</v>
      </c>
      <c r="B125" s="765" t="s">
        <v>3677</v>
      </c>
      <c r="C125" s="765">
        <v>300002.0</v>
      </c>
      <c r="D125" s="765" t="s">
        <v>6405</v>
      </c>
      <c r="E125" s="765" t="s">
        <v>6406</v>
      </c>
      <c r="F125" s="307">
        <v>50.0</v>
      </c>
      <c r="G125" s="325">
        <v>125.0</v>
      </c>
      <c r="H125" s="581">
        <f t="shared" si="4"/>
        <v>6250</v>
      </c>
      <c r="I125" s="1031" t="s">
        <v>3474</v>
      </c>
      <c r="J125" s="369" t="s">
        <v>6407</v>
      </c>
      <c r="K125" s="258">
        <v>42782.0</v>
      </c>
      <c r="L125" s="258">
        <v>42782.0</v>
      </c>
      <c r="M125" s="403" t="s">
        <v>2170</v>
      </c>
      <c r="N125" s="765" t="s">
        <v>6408</v>
      </c>
      <c r="O125" s="339"/>
      <c r="P125" s="637">
        <v>182543.0</v>
      </c>
      <c r="Q125" s="310" t="s">
        <v>2172</v>
      </c>
      <c r="R125" s="253"/>
      <c r="S125" s="810">
        <v>42779.0</v>
      </c>
      <c r="T125" s="769">
        <v>42782.0</v>
      </c>
      <c r="U125" s="765" t="s">
        <v>6409</v>
      </c>
      <c r="V125" s="770">
        <v>182543.0</v>
      </c>
      <c r="W125" s="601">
        <v>42781.0</v>
      </c>
      <c r="X125" s="252" t="s">
        <v>6410</v>
      </c>
      <c r="Y125" s="1037"/>
      <c r="Z125" s="1037"/>
      <c r="AA125" s="1037"/>
      <c r="AB125" s="766"/>
      <c r="AC125" s="253" t="s">
        <v>284</v>
      </c>
    </row>
    <row r="126" ht="15.75" customHeight="1">
      <c r="A126" s="274">
        <v>42779.0</v>
      </c>
      <c r="B126" s="789" t="s">
        <v>631</v>
      </c>
      <c r="C126" s="789"/>
      <c r="D126" s="276" t="s">
        <v>6411</v>
      </c>
      <c r="E126" s="276" t="s">
        <v>4269</v>
      </c>
      <c r="F126" s="899">
        <v>10.0</v>
      </c>
      <c r="G126" s="834"/>
      <c r="H126" s="858">
        <f t="shared" si="4"/>
        <v>0</v>
      </c>
      <c r="I126" s="797" t="s">
        <v>171</v>
      </c>
      <c r="J126" s="279" t="s">
        <v>1324</v>
      </c>
      <c r="K126" s="291">
        <v>42884.0</v>
      </c>
      <c r="L126" s="291">
        <v>42880.0</v>
      </c>
      <c r="M126" s="282" t="s">
        <v>2263</v>
      </c>
      <c r="N126" s="276" t="s">
        <v>6412</v>
      </c>
      <c r="O126" s="1045"/>
      <c r="P126" s="1051"/>
      <c r="Q126" s="786" t="s">
        <v>2265</v>
      </c>
      <c r="R126" s="279"/>
      <c r="S126" s="1049"/>
      <c r="T126" s="787"/>
      <c r="U126" s="787"/>
      <c r="V126" s="787"/>
      <c r="W126" s="1047"/>
      <c r="X126" s="1047"/>
      <c r="Y126" s="1047"/>
      <c r="Z126" s="1047"/>
      <c r="AA126" s="1047"/>
      <c r="AB126" s="787"/>
      <c r="AC126" s="279" t="s">
        <v>3617</v>
      </c>
    </row>
    <row r="127" ht="15.75" customHeight="1">
      <c r="A127" s="274">
        <v>42779.0</v>
      </c>
      <c r="B127" s="789" t="s">
        <v>631</v>
      </c>
      <c r="C127" s="789"/>
      <c r="D127" s="276" t="s">
        <v>6413</v>
      </c>
      <c r="E127" s="276" t="s">
        <v>4269</v>
      </c>
      <c r="F127" s="899">
        <v>10.0</v>
      </c>
      <c r="G127" s="834"/>
      <c r="H127" s="858">
        <f t="shared" si="4"/>
        <v>0</v>
      </c>
      <c r="I127" s="797" t="s">
        <v>171</v>
      </c>
      <c r="J127" s="279" t="s">
        <v>1324</v>
      </c>
      <c r="K127" s="291">
        <v>42852.0</v>
      </c>
      <c r="L127" s="291">
        <v>42849.0</v>
      </c>
      <c r="M127" s="797" t="s">
        <v>2263</v>
      </c>
      <c r="N127" s="276" t="s">
        <v>6414</v>
      </c>
      <c r="O127" s="1045"/>
      <c r="P127" s="1051"/>
      <c r="Q127" s="786" t="s">
        <v>2265</v>
      </c>
      <c r="R127" s="279"/>
      <c r="S127" s="1049"/>
      <c r="T127" s="787"/>
      <c r="U127" s="787"/>
      <c r="V127" s="787"/>
      <c r="W127" s="1047"/>
      <c r="X127" s="1047"/>
      <c r="Y127" s="1047"/>
      <c r="Z127" s="1047"/>
      <c r="AA127" s="1047"/>
      <c r="AB127" s="787"/>
      <c r="AC127" s="279" t="s">
        <v>3617</v>
      </c>
    </row>
    <row r="128" ht="15.75" customHeight="1">
      <c r="A128" s="274">
        <v>42779.0</v>
      </c>
      <c r="B128" s="789" t="s">
        <v>631</v>
      </c>
      <c r="C128" s="789"/>
      <c r="D128" s="276" t="s">
        <v>6415</v>
      </c>
      <c r="E128" s="276" t="s">
        <v>4269</v>
      </c>
      <c r="F128" s="899">
        <v>10.0</v>
      </c>
      <c r="G128" s="834"/>
      <c r="H128" s="858">
        <f t="shared" si="4"/>
        <v>0</v>
      </c>
      <c r="I128" s="797" t="s">
        <v>171</v>
      </c>
      <c r="J128" s="279" t="s">
        <v>1324</v>
      </c>
      <c r="K128" s="291">
        <v>42824.0</v>
      </c>
      <c r="L128" s="291">
        <v>42821.0</v>
      </c>
      <c r="M128" s="797" t="s">
        <v>2263</v>
      </c>
      <c r="N128" s="276" t="s">
        <v>6416</v>
      </c>
      <c r="O128" s="1045"/>
      <c r="P128" s="1051"/>
      <c r="Q128" s="786" t="s">
        <v>2265</v>
      </c>
      <c r="R128" s="279"/>
      <c r="S128" s="1049"/>
      <c r="T128" s="787"/>
      <c r="U128" s="787"/>
      <c r="V128" s="787"/>
      <c r="W128" s="1047"/>
      <c r="X128" s="1047"/>
      <c r="Y128" s="1047"/>
      <c r="Z128" s="1047"/>
      <c r="AA128" s="1047"/>
      <c r="AB128" s="787"/>
      <c r="AC128" s="279" t="s">
        <v>3617</v>
      </c>
    </row>
    <row r="129" ht="15.75" customHeight="1">
      <c r="A129" s="764">
        <v>42779.0</v>
      </c>
      <c r="B129" s="578" t="s">
        <v>229</v>
      </c>
      <c r="C129" s="765"/>
      <c r="D129" s="252" t="s">
        <v>6417</v>
      </c>
      <c r="E129" s="252" t="s">
        <v>462</v>
      </c>
      <c r="F129" s="307">
        <v>9.0</v>
      </c>
      <c r="G129" s="466">
        <v>415.8</v>
      </c>
      <c r="H129" s="267">
        <f t="shared" si="4"/>
        <v>3742.2</v>
      </c>
      <c r="I129" s="266" t="s">
        <v>171</v>
      </c>
      <c r="J129" s="253" t="s">
        <v>90</v>
      </c>
      <c r="K129" s="258">
        <v>42808.0</v>
      </c>
      <c r="L129" s="258">
        <v>42808.0</v>
      </c>
      <c r="M129" s="253" t="s">
        <v>90</v>
      </c>
      <c r="N129" s="252" t="s">
        <v>6418</v>
      </c>
      <c r="O129" s="581">
        <v>3354.75</v>
      </c>
      <c r="P129" s="816"/>
      <c r="Q129" s="320" t="s">
        <v>6081</v>
      </c>
      <c r="R129" s="253"/>
      <c r="S129" s="810">
        <v>42855.0</v>
      </c>
      <c r="T129" s="771">
        <v>42808.0</v>
      </c>
      <c r="U129" s="252" t="s">
        <v>6419</v>
      </c>
      <c r="V129" s="774">
        <v>103913.0</v>
      </c>
      <c r="W129" s="601">
        <v>42821.0</v>
      </c>
      <c r="X129" s="765" t="s">
        <v>6420</v>
      </c>
      <c r="Y129" s="1037"/>
      <c r="Z129" s="765" t="s">
        <v>6421</v>
      </c>
      <c r="AA129" s="262">
        <v>115896.0</v>
      </c>
      <c r="AB129" s="765" t="s">
        <v>6422</v>
      </c>
      <c r="AC129" s="253" t="s">
        <v>377</v>
      </c>
    </row>
    <row r="130" ht="15.75" customHeight="1">
      <c r="A130" s="764">
        <v>42780.0</v>
      </c>
      <c r="B130" s="340" t="s">
        <v>631</v>
      </c>
      <c r="C130" s="765" t="s">
        <v>6423</v>
      </c>
      <c r="D130" s="765" t="s">
        <v>6424</v>
      </c>
      <c r="E130" s="765" t="s">
        <v>6425</v>
      </c>
      <c r="F130" s="307">
        <v>2.0</v>
      </c>
      <c r="G130" s="254">
        <v>177.45</v>
      </c>
      <c r="H130" s="267">
        <f t="shared" si="4"/>
        <v>354.9</v>
      </c>
      <c r="I130" s="266" t="s">
        <v>171</v>
      </c>
      <c r="J130" s="253" t="s">
        <v>90</v>
      </c>
      <c r="K130" s="258">
        <v>42789.0</v>
      </c>
      <c r="L130" s="253"/>
      <c r="M130" s="253" t="s">
        <v>90</v>
      </c>
      <c r="N130" s="765" t="s">
        <v>6426</v>
      </c>
      <c r="O130" s="581">
        <v>310.8</v>
      </c>
      <c r="P130" s="816"/>
      <c r="Q130" s="320" t="s">
        <v>6081</v>
      </c>
      <c r="R130" s="253"/>
      <c r="S130" s="768">
        <v>42830.0</v>
      </c>
      <c r="T130" s="771">
        <v>42789.0</v>
      </c>
      <c r="U130" s="252" t="s">
        <v>6427</v>
      </c>
      <c r="V130" s="774">
        <v>9545.0</v>
      </c>
      <c r="W130" s="601">
        <v>42821.0</v>
      </c>
      <c r="X130" s="765" t="s">
        <v>6428</v>
      </c>
      <c r="Y130" s="1037"/>
      <c r="Z130" s="765" t="s">
        <v>6429</v>
      </c>
      <c r="AA130" s="262">
        <v>10924.0</v>
      </c>
      <c r="AB130" s="765" t="s">
        <v>6430</v>
      </c>
      <c r="AC130" s="253" t="s">
        <v>377</v>
      </c>
    </row>
    <row r="131" ht="15.75" customHeight="1">
      <c r="A131" s="776">
        <v>42781.0</v>
      </c>
      <c r="B131" s="340" t="s">
        <v>229</v>
      </c>
      <c r="C131" s="765"/>
      <c r="D131" s="252" t="s">
        <v>6431</v>
      </c>
      <c r="E131" s="252" t="s">
        <v>462</v>
      </c>
      <c r="F131" s="307">
        <v>51.0</v>
      </c>
      <c r="G131" s="466">
        <v>415.8</v>
      </c>
      <c r="H131" s="267">
        <f t="shared" si="4"/>
        <v>21205.8</v>
      </c>
      <c r="I131" s="266" t="s">
        <v>171</v>
      </c>
      <c r="J131" s="253" t="s">
        <v>90</v>
      </c>
      <c r="K131" s="258">
        <v>42814.0</v>
      </c>
      <c r="L131" s="258">
        <v>42814.0</v>
      </c>
      <c r="M131" s="253" t="s">
        <v>90</v>
      </c>
      <c r="N131" s="252" t="s">
        <v>6432</v>
      </c>
      <c r="O131" s="581">
        <v>19010.25</v>
      </c>
      <c r="P131" s="816"/>
      <c r="Q131" s="320" t="s">
        <v>6081</v>
      </c>
      <c r="R131" s="253"/>
      <c r="S131" s="810">
        <v>42860.0</v>
      </c>
      <c r="T131" s="771">
        <v>42814.0</v>
      </c>
      <c r="U131" s="252" t="s">
        <v>6433</v>
      </c>
      <c r="V131" s="774">
        <v>616845.0</v>
      </c>
      <c r="W131" s="601">
        <v>42860.0</v>
      </c>
      <c r="X131" s="765" t="s">
        <v>6434</v>
      </c>
      <c r="Y131" s="253"/>
      <c r="Z131" s="765" t="s">
        <v>6435</v>
      </c>
      <c r="AA131" s="262">
        <v>677965.0</v>
      </c>
      <c r="AB131" s="765" t="s">
        <v>6422</v>
      </c>
      <c r="AC131" s="253" t="s">
        <v>377</v>
      </c>
    </row>
    <row r="132" ht="15.75" customHeight="1">
      <c r="A132" s="776">
        <v>42781.0</v>
      </c>
      <c r="B132" s="578" t="s">
        <v>229</v>
      </c>
      <c r="C132" s="765"/>
      <c r="D132" s="252" t="s">
        <v>6431</v>
      </c>
      <c r="E132" s="252" t="s">
        <v>3765</v>
      </c>
      <c r="F132" s="307">
        <v>3.0</v>
      </c>
      <c r="G132" s="466">
        <v>336.0</v>
      </c>
      <c r="H132" s="267">
        <f t="shared" si="4"/>
        <v>1008</v>
      </c>
      <c r="I132" s="266" t="s">
        <v>171</v>
      </c>
      <c r="J132" s="253" t="s">
        <v>90</v>
      </c>
      <c r="K132" s="258">
        <v>42814.0</v>
      </c>
      <c r="L132" s="258">
        <v>42814.0</v>
      </c>
      <c r="M132" s="253" t="s">
        <v>90</v>
      </c>
      <c r="N132" s="252" t="s">
        <v>6432</v>
      </c>
      <c r="O132" s="581">
        <v>904.05</v>
      </c>
      <c r="P132" s="816"/>
      <c r="Q132" s="310" t="s">
        <v>6081</v>
      </c>
      <c r="R132" s="253"/>
      <c r="S132" s="810">
        <v>42860.0</v>
      </c>
      <c r="T132" s="771">
        <v>42814.0</v>
      </c>
      <c r="U132" s="252" t="s">
        <v>6433</v>
      </c>
      <c r="V132" s="774" t="s">
        <v>6436</v>
      </c>
      <c r="W132" s="601">
        <v>42860.0</v>
      </c>
      <c r="X132" s="765" t="s">
        <v>6434</v>
      </c>
      <c r="Y132" s="253"/>
      <c r="Z132" s="765" t="s">
        <v>6435</v>
      </c>
      <c r="AA132" s="253" t="s">
        <v>6437</v>
      </c>
      <c r="AB132" s="765" t="s">
        <v>6422</v>
      </c>
      <c r="AC132" s="253" t="s">
        <v>377</v>
      </c>
    </row>
    <row r="133" ht="15.75" customHeight="1">
      <c r="A133" s="764">
        <v>42781.0</v>
      </c>
      <c r="B133" s="765" t="s">
        <v>4441</v>
      </c>
      <c r="C133" s="765"/>
      <c r="D133" s="765" t="s">
        <v>6438</v>
      </c>
      <c r="E133" s="765" t="s">
        <v>6439</v>
      </c>
      <c r="F133" s="307">
        <v>1.0</v>
      </c>
      <c r="G133" s="325">
        <v>19.0</v>
      </c>
      <c r="H133" s="267">
        <f t="shared" si="4"/>
        <v>19</v>
      </c>
      <c r="I133" s="1009" t="s">
        <v>3474</v>
      </c>
      <c r="J133" s="369" t="s">
        <v>6440</v>
      </c>
      <c r="K133" s="258">
        <v>42803.0</v>
      </c>
      <c r="L133" s="258">
        <v>42797.0</v>
      </c>
      <c r="M133" s="403" t="s">
        <v>6441</v>
      </c>
      <c r="N133" s="765" t="s">
        <v>3717</v>
      </c>
      <c r="O133" s="339"/>
      <c r="P133" s="816"/>
      <c r="Q133" s="253"/>
      <c r="R133" s="765" t="s">
        <v>6442</v>
      </c>
      <c r="S133" s="1036"/>
      <c r="T133" s="765" t="s">
        <v>6442</v>
      </c>
      <c r="U133" s="766"/>
      <c r="V133" s="766"/>
      <c r="W133" s="1037"/>
      <c r="X133" s="765" t="s">
        <v>6443</v>
      </c>
      <c r="Y133" s="253" t="s">
        <v>6444</v>
      </c>
      <c r="Z133" s="1037"/>
      <c r="AA133" s="1037"/>
      <c r="AB133" s="766"/>
      <c r="AC133" s="253" t="s">
        <v>284</v>
      </c>
    </row>
    <row r="134" ht="15.75" customHeight="1">
      <c r="A134" s="764">
        <v>42781.0</v>
      </c>
      <c r="B134" s="765" t="s">
        <v>4441</v>
      </c>
      <c r="C134" s="765"/>
      <c r="D134" s="765" t="s">
        <v>6438</v>
      </c>
      <c r="E134" s="765" t="s">
        <v>6445</v>
      </c>
      <c r="F134" s="307">
        <v>1.0</v>
      </c>
      <c r="G134" s="325">
        <v>27.0</v>
      </c>
      <c r="H134" s="267">
        <f t="shared" si="4"/>
        <v>27</v>
      </c>
      <c r="I134" s="1009" t="s">
        <v>3474</v>
      </c>
      <c r="J134" s="369" t="s">
        <v>6440</v>
      </c>
      <c r="K134" s="258">
        <v>42803.0</v>
      </c>
      <c r="L134" s="258">
        <v>42797.0</v>
      </c>
      <c r="M134" s="403" t="s">
        <v>6441</v>
      </c>
      <c r="N134" s="765" t="s">
        <v>3717</v>
      </c>
      <c r="O134" s="339"/>
      <c r="P134" s="816"/>
      <c r="Q134" s="253"/>
      <c r="R134" s="765" t="s">
        <v>6446</v>
      </c>
      <c r="S134" s="1036"/>
      <c r="T134" s="765" t="s">
        <v>6446</v>
      </c>
      <c r="U134" s="766"/>
      <c r="V134" s="766"/>
      <c r="W134" s="1037"/>
      <c r="X134" s="765" t="s">
        <v>6443</v>
      </c>
      <c r="Y134" s="253" t="s">
        <v>6444</v>
      </c>
      <c r="Z134" s="1037"/>
      <c r="AA134" s="1037"/>
      <c r="AB134" s="766"/>
      <c r="AC134" s="253" t="s">
        <v>284</v>
      </c>
    </row>
    <row r="135" ht="15.75" customHeight="1">
      <c r="A135" s="776">
        <v>42781.0</v>
      </c>
      <c r="B135" s="597" t="s">
        <v>6167</v>
      </c>
      <c r="C135" s="252">
        <v>7.000127632E9</v>
      </c>
      <c r="D135" s="252" t="s">
        <v>6447</v>
      </c>
      <c r="E135" s="252" t="s">
        <v>4095</v>
      </c>
      <c r="F135" s="307">
        <v>1.0</v>
      </c>
      <c r="G135" s="325">
        <v>485.0</v>
      </c>
      <c r="H135" s="581">
        <f t="shared" si="4"/>
        <v>485</v>
      </c>
      <c r="I135" s="266" t="s">
        <v>43</v>
      </c>
      <c r="J135" s="777" t="s">
        <v>3623</v>
      </c>
      <c r="K135" s="258">
        <v>42789.0</v>
      </c>
      <c r="L135" s="258">
        <v>42783.0</v>
      </c>
      <c r="M135" s="266" t="s">
        <v>3593</v>
      </c>
      <c r="N135" s="765" t="s">
        <v>6448</v>
      </c>
      <c r="O135" s="339"/>
      <c r="P135" s="637">
        <v>14162.0</v>
      </c>
      <c r="Q135" s="310" t="s">
        <v>2080</v>
      </c>
      <c r="R135" s="253"/>
      <c r="S135" s="810">
        <v>42860.0</v>
      </c>
      <c r="T135" s="769">
        <v>42782.0</v>
      </c>
      <c r="U135" s="765" t="s">
        <v>6449</v>
      </c>
      <c r="V135" s="770">
        <v>75027.0</v>
      </c>
      <c r="W135" s="601">
        <v>42859.0</v>
      </c>
      <c r="X135" s="252" t="s">
        <v>6328</v>
      </c>
      <c r="Y135" s="1037"/>
      <c r="Z135" s="1037"/>
      <c r="AA135" s="1037"/>
      <c r="AB135" s="766"/>
      <c r="AC135" s="253" t="s">
        <v>284</v>
      </c>
    </row>
    <row r="136" ht="15.75" customHeight="1">
      <c r="A136" s="776">
        <v>42781.0</v>
      </c>
      <c r="B136" s="597" t="s">
        <v>6167</v>
      </c>
      <c r="C136" s="252">
        <v>7.000127632E9</v>
      </c>
      <c r="D136" s="252" t="s">
        <v>6447</v>
      </c>
      <c r="E136" s="252" t="s">
        <v>6450</v>
      </c>
      <c r="F136" s="307">
        <v>1.0</v>
      </c>
      <c r="G136" s="325">
        <v>1704.0</v>
      </c>
      <c r="H136" s="581">
        <f t="shared" si="4"/>
        <v>1704</v>
      </c>
      <c r="I136" s="266" t="s">
        <v>43</v>
      </c>
      <c r="J136" s="777" t="s">
        <v>3623</v>
      </c>
      <c r="K136" s="258">
        <v>42789.0</v>
      </c>
      <c r="L136" s="258">
        <v>42783.0</v>
      </c>
      <c r="M136" s="266" t="s">
        <v>3593</v>
      </c>
      <c r="N136" s="765" t="s">
        <v>6448</v>
      </c>
      <c r="O136" s="339"/>
      <c r="P136" s="637">
        <v>49802.0</v>
      </c>
      <c r="Q136" s="310" t="s">
        <v>2080</v>
      </c>
      <c r="R136" s="253"/>
      <c r="S136" s="810">
        <v>42860.0</v>
      </c>
      <c r="T136" s="769">
        <v>42782.0</v>
      </c>
      <c r="U136" s="765" t="s">
        <v>6449</v>
      </c>
      <c r="V136" s="770">
        <v>75027.0</v>
      </c>
      <c r="W136" s="601">
        <v>42859.0</v>
      </c>
      <c r="X136" s="252" t="s">
        <v>6328</v>
      </c>
      <c r="Y136" s="1037"/>
      <c r="Z136" s="1037"/>
      <c r="AA136" s="1037"/>
      <c r="AB136" s="766"/>
      <c r="AC136" s="253" t="s">
        <v>284</v>
      </c>
    </row>
    <row r="137" ht="15.75" customHeight="1">
      <c r="A137" s="776">
        <v>42781.0</v>
      </c>
      <c r="B137" s="597" t="s">
        <v>6167</v>
      </c>
      <c r="C137" s="252">
        <v>7.000127632E9</v>
      </c>
      <c r="D137" s="252" t="s">
        <v>6447</v>
      </c>
      <c r="E137" s="252" t="s">
        <v>6451</v>
      </c>
      <c r="F137" s="307">
        <v>3.0</v>
      </c>
      <c r="G137" s="325">
        <v>126.0</v>
      </c>
      <c r="H137" s="581">
        <f t="shared" si="4"/>
        <v>378</v>
      </c>
      <c r="I137" s="266" t="s">
        <v>43</v>
      </c>
      <c r="J137" s="777" t="s">
        <v>3623</v>
      </c>
      <c r="K137" s="258">
        <v>42789.0</v>
      </c>
      <c r="L137" s="258">
        <v>42783.0</v>
      </c>
      <c r="M137" s="266" t="s">
        <v>3593</v>
      </c>
      <c r="N137" s="765" t="s">
        <v>6448</v>
      </c>
      <c r="O137" s="339"/>
      <c r="P137" s="637">
        <v>11063.0</v>
      </c>
      <c r="Q137" s="310" t="s">
        <v>2080</v>
      </c>
      <c r="R137" s="253"/>
      <c r="S137" s="810">
        <v>42860.0</v>
      </c>
      <c r="T137" s="769">
        <v>42782.0</v>
      </c>
      <c r="U137" s="765" t="s">
        <v>6449</v>
      </c>
      <c r="V137" s="770">
        <v>75027.0</v>
      </c>
      <c r="W137" s="601">
        <v>42859.0</v>
      </c>
      <c r="X137" s="252" t="s">
        <v>6328</v>
      </c>
      <c r="Y137" s="1037"/>
      <c r="Z137" s="1037"/>
      <c r="AA137" s="1037"/>
      <c r="AB137" s="766"/>
      <c r="AC137" s="253" t="s">
        <v>284</v>
      </c>
    </row>
    <row r="138" ht="15.75" customHeight="1">
      <c r="A138" s="764">
        <v>42781.0</v>
      </c>
      <c r="B138" s="1004" t="s">
        <v>4441</v>
      </c>
      <c r="C138" s="765"/>
      <c r="D138" s="765" t="s">
        <v>6438</v>
      </c>
      <c r="E138" s="765" t="s">
        <v>700</v>
      </c>
      <c r="F138" s="307">
        <v>1.0</v>
      </c>
      <c r="G138" s="254">
        <v>25.0</v>
      </c>
      <c r="H138" s="267">
        <f t="shared" si="4"/>
        <v>25</v>
      </c>
      <c r="I138" s="1009" t="s">
        <v>3474</v>
      </c>
      <c r="J138" s="369" t="s">
        <v>6440</v>
      </c>
      <c r="K138" s="630"/>
      <c r="L138" s="253"/>
      <c r="M138" s="253"/>
      <c r="N138" s="253"/>
      <c r="O138" s="339"/>
      <c r="P138" s="816"/>
      <c r="Q138" s="592"/>
      <c r="R138" s="253"/>
      <c r="S138" s="1036"/>
      <c r="T138" s="766"/>
      <c r="U138" s="766"/>
      <c r="V138" s="766"/>
      <c r="W138" s="1037"/>
      <c r="X138" s="1037"/>
      <c r="Y138" s="1037"/>
      <c r="Z138" s="1037"/>
      <c r="AA138" s="1037"/>
      <c r="AB138" s="766"/>
      <c r="AC138" s="253" t="s">
        <v>284</v>
      </c>
    </row>
    <row r="139" ht="15.75" customHeight="1">
      <c r="A139" s="764">
        <v>42782.0</v>
      </c>
      <c r="B139" s="1004" t="s">
        <v>4754</v>
      </c>
      <c r="C139" s="765">
        <v>63294.0</v>
      </c>
      <c r="D139" s="765" t="s">
        <v>6452</v>
      </c>
      <c r="E139" s="765" t="s">
        <v>6453</v>
      </c>
      <c r="F139" s="307">
        <v>1.0</v>
      </c>
      <c r="G139" s="325">
        <v>664.0</v>
      </c>
      <c r="H139" s="267">
        <f t="shared" si="4"/>
        <v>664</v>
      </c>
      <c r="I139" s="1009" t="s">
        <v>3474</v>
      </c>
      <c r="J139" s="253" t="s">
        <v>534</v>
      </c>
      <c r="K139" s="258">
        <v>42789.0</v>
      </c>
      <c r="L139" s="258">
        <v>42788.0</v>
      </c>
      <c r="M139" s="403" t="s">
        <v>90</v>
      </c>
      <c r="N139" s="252" t="s">
        <v>6454</v>
      </c>
      <c r="O139" s="581">
        <v>627.9</v>
      </c>
      <c r="P139" s="816"/>
      <c r="Q139" s="320" t="s">
        <v>6081</v>
      </c>
      <c r="R139" s="253"/>
      <c r="S139" s="818"/>
      <c r="T139" s="771">
        <v>42788.0</v>
      </c>
      <c r="U139" s="252" t="s">
        <v>6455</v>
      </c>
      <c r="V139" s="774">
        <v>19283.0</v>
      </c>
      <c r="W139" s="601">
        <v>42821.0</v>
      </c>
      <c r="X139" s="252" t="s">
        <v>6390</v>
      </c>
      <c r="Y139" s="1037"/>
      <c r="Z139" s="1037"/>
      <c r="AA139" s="1037"/>
      <c r="AB139" s="766"/>
      <c r="AC139" s="253" t="s">
        <v>284</v>
      </c>
    </row>
    <row r="140" ht="15.75" customHeight="1">
      <c r="A140" s="764">
        <v>42783.0</v>
      </c>
      <c r="B140" s="340" t="s">
        <v>631</v>
      </c>
      <c r="C140" s="765"/>
      <c r="D140" s="765" t="s">
        <v>6456</v>
      </c>
      <c r="E140" s="765" t="s">
        <v>6457</v>
      </c>
      <c r="F140" s="307">
        <v>1.0</v>
      </c>
      <c r="G140" s="325">
        <v>210.0</v>
      </c>
      <c r="H140" s="267">
        <f t="shared" si="4"/>
        <v>210</v>
      </c>
      <c r="I140" s="266" t="s">
        <v>171</v>
      </c>
      <c r="J140" s="253" t="s">
        <v>1324</v>
      </c>
      <c r="K140" s="258">
        <v>42786.0</v>
      </c>
      <c r="L140" s="258">
        <v>42786.0</v>
      </c>
      <c r="M140" s="333" t="s">
        <v>2034</v>
      </c>
      <c r="N140" s="780" t="s">
        <v>6458</v>
      </c>
      <c r="O140" s="581">
        <v>208.95</v>
      </c>
      <c r="P140" s="637">
        <v>6427.0</v>
      </c>
      <c r="Q140" s="765" t="s">
        <v>2036</v>
      </c>
      <c r="R140" s="253"/>
      <c r="S140" s="810">
        <v>42830.0</v>
      </c>
      <c r="T140" s="769">
        <v>42783.0</v>
      </c>
      <c r="U140" s="765" t="s">
        <v>6459</v>
      </c>
      <c r="V140" s="770">
        <v>6427.0</v>
      </c>
      <c r="W140" s="258">
        <v>42830.0</v>
      </c>
      <c r="X140" s="765" t="s">
        <v>6460</v>
      </c>
      <c r="Y140" s="1037"/>
      <c r="Z140" s="765" t="s">
        <v>6461</v>
      </c>
      <c r="AA140" s="262">
        <v>6469.0</v>
      </c>
      <c r="AB140" s="765" t="s">
        <v>6462</v>
      </c>
      <c r="AC140" s="253" t="s">
        <v>377</v>
      </c>
    </row>
    <row r="141" ht="15.75" customHeight="1">
      <c r="A141" s="764">
        <v>42786.0</v>
      </c>
      <c r="B141" s="340" t="s">
        <v>3506</v>
      </c>
      <c r="C141" s="1004" t="s">
        <v>6463</v>
      </c>
      <c r="D141" s="252" t="s">
        <v>6464</v>
      </c>
      <c r="E141" s="252" t="s">
        <v>6079</v>
      </c>
      <c r="F141" s="307">
        <v>20.0</v>
      </c>
      <c r="G141" s="325">
        <v>350.0</v>
      </c>
      <c r="H141" s="267">
        <f t="shared" si="4"/>
        <v>7000</v>
      </c>
      <c r="I141" s="266" t="s">
        <v>171</v>
      </c>
      <c r="J141" s="269" t="s">
        <v>3509</v>
      </c>
      <c r="K141" s="258">
        <v>42940.0</v>
      </c>
      <c r="L141" s="258">
        <v>42926.0</v>
      </c>
      <c r="M141" s="253" t="s">
        <v>90</v>
      </c>
      <c r="N141" s="252" t="s">
        <v>6465</v>
      </c>
      <c r="O141" s="773">
        <v>6447.0</v>
      </c>
      <c r="P141" s="1052"/>
      <c r="Q141" s="320" t="s">
        <v>6081</v>
      </c>
      <c r="R141" s="253"/>
      <c r="S141" s="1036"/>
      <c r="T141" s="769">
        <v>42926.0</v>
      </c>
      <c r="U141" s="765" t="s">
        <v>6466</v>
      </c>
      <c r="V141" s="770">
        <v>195505.0</v>
      </c>
      <c r="W141" s="601">
        <v>42955.0</v>
      </c>
      <c r="X141" s="252" t="s">
        <v>6467</v>
      </c>
      <c r="Y141" s="1037"/>
      <c r="Z141" s="1037"/>
      <c r="AA141" s="1037"/>
      <c r="AB141" s="766"/>
      <c r="AC141" s="253" t="s">
        <v>284</v>
      </c>
    </row>
    <row r="142" ht="15.75" customHeight="1">
      <c r="A142" s="764">
        <v>42786.0</v>
      </c>
      <c r="B142" s="340" t="s">
        <v>3506</v>
      </c>
      <c r="C142" s="765" t="s">
        <v>6468</v>
      </c>
      <c r="D142" s="252" t="s">
        <v>6469</v>
      </c>
      <c r="E142" s="252" t="s">
        <v>6079</v>
      </c>
      <c r="F142" s="307">
        <v>20.0</v>
      </c>
      <c r="G142" s="325">
        <v>350.0</v>
      </c>
      <c r="H142" s="267">
        <f t="shared" si="4"/>
        <v>7000</v>
      </c>
      <c r="I142" s="266" t="s">
        <v>171</v>
      </c>
      <c r="J142" s="269" t="s">
        <v>3509</v>
      </c>
      <c r="K142" s="258">
        <v>42901.0</v>
      </c>
      <c r="L142" s="258">
        <v>42894.0</v>
      </c>
      <c r="M142" s="253" t="s">
        <v>90</v>
      </c>
      <c r="N142" s="252" t="s">
        <v>6470</v>
      </c>
      <c r="O142" s="773">
        <v>6447.0</v>
      </c>
      <c r="P142" s="1052"/>
      <c r="Q142" s="320" t="s">
        <v>6081</v>
      </c>
      <c r="R142" s="253"/>
      <c r="S142" s="1036"/>
      <c r="T142" s="769">
        <v>42894.0</v>
      </c>
      <c r="U142" s="765" t="s">
        <v>6471</v>
      </c>
      <c r="V142" s="770">
        <v>193507.0</v>
      </c>
      <c r="W142" s="601">
        <v>42893.0</v>
      </c>
      <c r="X142" s="252" t="s">
        <v>6472</v>
      </c>
      <c r="Y142" s="1037"/>
      <c r="Z142" s="1037"/>
      <c r="AA142" s="1037"/>
      <c r="AB142" s="766"/>
      <c r="AC142" s="253" t="s">
        <v>284</v>
      </c>
    </row>
    <row r="143" ht="15.75" customHeight="1">
      <c r="A143" s="764">
        <v>42786.0</v>
      </c>
      <c r="B143" s="340" t="s">
        <v>3506</v>
      </c>
      <c r="C143" s="765" t="s">
        <v>6473</v>
      </c>
      <c r="D143" s="252" t="s">
        <v>6474</v>
      </c>
      <c r="E143" s="252" t="s">
        <v>6079</v>
      </c>
      <c r="F143" s="307">
        <v>20.0</v>
      </c>
      <c r="G143" s="325">
        <v>350.0</v>
      </c>
      <c r="H143" s="267">
        <f t="shared" si="4"/>
        <v>7000</v>
      </c>
      <c r="I143" s="266" t="s">
        <v>171</v>
      </c>
      <c r="J143" s="269" t="s">
        <v>3509</v>
      </c>
      <c r="K143" s="258">
        <v>42850.0</v>
      </c>
      <c r="L143" s="258">
        <v>42849.0</v>
      </c>
      <c r="M143" s="253" t="s">
        <v>90</v>
      </c>
      <c r="N143" s="252" t="s">
        <v>6475</v>
      </c>
      <c r="O143" s="773">
        <v>6447.0</v>
      </c>
      <c r="P143" s="1052"/>
      <c r="Q143" s="320" t="s">
        <v>6081</v>
      </c>
      <c r="R143" s="253"/>
      <c r="S143" s="810">
        <v>42860.0</v>
      </c>
      <c r="T143" s="769">
        <v>42849.0</v>
      </c>
      <c r="U143" s="765" t="s">
        <v>6476</v>
      </c>
      <c r="V143" s="770">
        <v>195538.0</v>
      </c>
      <c r="W143" s="601">
        <v>42860.0</v>
      </c>
      <c r="X143" s="252" t="s">
        <v>6477</v>
      </c>
      <c r="Y143" s="1037"/>
      <c r="Z143" s="1037"/>
      <c r="AA143" s="1037"/>
      <c r="AB143" s="766"/>
      <c r="AC143" s="253" t="s">
        <v>284</v>
      </c>
    </row>
    <row r="144" ht="15.75" customHeight="1">
      <c r="A144" s="764">
        <v>42786.0</v>
      </c>
      <c r="B144" s="765" t="s">
        <v>4754</v>
      </c>
      <c r="C144" s="765">
        <v>63303.0</v>
      </c>
      <c r="D144" s="765" t="s">
        <v>6478</v>
      </c>
      <c r="E144" s="765" t="s">
        <v>6385</v>
      </c>
      <c r="F144" s="307">
        <v>35.0</v>
      </c>
      <c r="G144" s="254">
        <v>60.0</v>
      </c>
      <c r="H144" s="267">
        <f t="shared" si="4"/>
        <v>2100</v>
      </c>
      <c r="I144" s="1009" t="s">
        <v>3474</v>
      </c>
      <c r="J144" s="253" t="s">
        <v>534</v>
      </c>
      <c r="K144" s="258">
        <v>42803.0</v>
      </c>
      <c r="L144" s="258">
        <v>42796.0</v>
      </c>
      <c r="M144" s="333" t="s">
        <v>6386</v>
      </c>
      <c r="N144" s="765" t="s">
        <v>6479</v>
      </c>
      <c r="O144" s="339"/>
      <c r="P144" s="637">
        <v>57777.0</v>
      </c>
      <c r="Q144" s="604" t="s">
        <v>6388</v>
      </c>
      <c r="R144" s="253"/>
      <c r="S144" s="810">
        <v>42788.0</v>
      </c>
      <c r="T144" s="769">
        <v>42795.0</v>
      </c>
      <c r="U144" s="765" t="s">
        <v>6480</v>
      </c>
      <c r="V144" s="770">
        <v>57777.0</v>
      </c>
      <c r="W144" s="601">
        <v>42787.0</v>
      </c>
      <c r="X144" s="252" t="s">
        <v>6481</v>
      </c>
      <c r="Y144" s="253">
        <v>5.438178012E9</v>
      </c>
      <c r="Z144" s="1037"/>
      <c r="AA144" s="1037"/>
      <c r="AB144" s="766"/>
      <c r="AC144" s="253" t="s">
        <v>284</v>
      </c>
    </row>
    <row r="145" ht="15.75" customHeight="1">
      <c r="A145" s="764">
        <v>42786.0</v>
      </c>
      <c r="B145" s="765" t="s">
        <v>4754</v>
      </c>
      <c r="C145" s="765">
        <v>63303.0</v>
      </c>
      <c r="D145" s="765" t="s">
        <v>6478</v>
      </c>
      <c r="E145" s="765" t="s">
        <v>6482</v>
      </c>
      <c r="F145" s="307">
        <v>1.0</v>
      </c>
      <c r="G145" s="325">
        <v>197.0</v>
      </c>
      <c r="H145" s="267">
        <f t="shared" si="4"/>
        <v>197</v>
      </c>
      <c r="I145" s="1009" t="s">
        <v>3474</v>
      </c>
      <c r="J145" s="253" t="s">
        <v>534</v>
      </c>
      <c r="K145" s="258">
        <v>42803.0</v>
      </c>
      <c r="L145" s="630"/>
      <c r="M145" s="333" t="s">
        <v>2032</v>
      </c>
      <c r="N145" s="253"/>
      <c r="O145" s="339"/>
      <c r="P145" s="637">
        <v>4650.0</v>
      </c>
      <c r="Q145" s="310" t="s">
        <v>2033</v>
      </c>
      <c r="R145" s="253"/>
      <c r="S145" s="810">
        <v>42841.0</v>
      </c>
      <c r="T145" s="771">
        <v>42811.0</v>
      </c>
      <c r="U145" s="252" t="s">
        <v>6483</v>
      </c>
      <c r="V145" s="774">
        <v>4650.0</v>
      </c>
      <c r="W145" s="601">
        <v>42838.0</v>
      </c>
      <c r="X145" s="252" t="s">
        <v>6481</v>
      </c>
      <c r="Y145" s="253">
        <v>5.438178012E9</v>
      </c>
      <c r="Z145" s="1037"/>
      <c r="AA145" s="1037"/>
      <c r="AB145" s="766"/>
      <c r="AC145" s="253" t="s">
        <v>284</v>
      </c>
    </row>
    <row r="146" ht="15.75" customHeight="1">
      <c r="A146" s="764">
        <v>42788.0</v>
      </c>
      <c r="B146" s="765" t="s">
        <v>1745</v>
      </c>
      <c r="C146" s="765" t="s">
        <v>6484</v>
      </c>
      <c r="D146" s="765" t="s">
        <v>6485</v>
      </c>
      <c r="E146" s="765" t="s">
        <v>6486</v>
      </c>
      <c r="F146" s="307">
        <v>45.0</v>
      </c>
      <c r="G146" s="325">
        <v>90.0</v>
      </c>
      <c r="H146" s="267">
        <f t="shared" si="4"/>
        <v>4050</v>
      </c>
      <c r="I146" s="1009" t="s">
        <v>3474</v>
      </c>
      <c r="J146" s="253" t="s">
        <v>6487</v>
      </c>
      <c r="K146" s="258">
        <v>42803.0</v>
      </c>
      <c r="L146" s="258">
        <v>42797.0</v>
      </c>
      <c r="M146" s="369" t="s">
        <v>6488</v>
      </c>
      <c r="N146" s="765" t="s">
        <v>6489</v>
      </c>
      <c r="O146" s="581">
        <v>4110.75</v>
      </c>
      <c r="P146" s="1053">
        <v>126385.0</v>
      </c>
      <c r="Q146" s="252" t="s">
        <v>6490</v>
      </c>
      <c r="R146" s="253"/>
      <c r="S146" s="580">
        <v>42790.0</v>
      </c>
      <c r="T146" s="769">
        <v>42797.0</v>
      </c>
      <c r="U146" s="765" t="s">
        <v>6491</v>
      </c>
      <c r="V146" s="770">
        <v>126385.0</v>
      </c>
      <c r="W146" s="601">
        <v>42790.0</v>
      </c>
      <c r="X146" s="252" t="s">
        <v>6492</v>
      </c>
      <c r="Y146" s="253">
        <v>3.74332405E8</v>
      </c>
      <c r="Z146" s="1037"/>
      <c r="AA146" s="1037"/>
      <c r="AB146" s="766"/>
      <c r="AC146" s="253" t="s">
        <v>284</v>
      </c>
    </row>
    <row r="147" ht="15.75" customHeight="1">
      <c r="A147" s="764">
        <v>42790.0</v>
      </c>
      <c r="B147" s="340" t="s">
        <v>631</v>
      </c>
      <c r="C147" s="252" t="s">
        <v>6493</v>
      </c>
      <c r="D147" s="252" t="s">
        <v>6494</v>
      </c>
      <c r="E147" s="252" t="s">
        <v>4269</v>
      </c>
      <c r="F147" s="307">
        <v>15.0</v>
      </c>
      <c r="G147" s="325">
        <v>168.0</v>
      </c>
      <c r="H147" s="267">
        <f t="shared" si="4"/>
        <v>2520</v>
      </c>
      <c r="I147" s="266" t="s">
        <v>171</v>
      </c>
      <c r="J147" s="253" t="s">
        <v>6141</v>
      </c>
      <c r="K147" s="258">
        <v>42877.0</v>
      </c>
      <c r="L147" s="258">
        <v>42873.0</v>
      </c>
      <c r="M147" s="266" t="s">
        <v>2263</v>
      </c>
      <c r="N147" s="765" t="s">
        <v>6495</v>
      </c>
      <c r="O147" s="339"/>
      <c r="P147" s="1053">
        <v>76388.0</v>
      </c>
      <c r="Q147" s="340" t="s">
        <v>2265</v>
      </c>
      <c r="R147" s="253"/>
      <c r="S147" s="810">
        <v>42871.0</v>
      </c>
      <c r="T147" s="771">
        <v>42874.0</v>
      </c>
      <c r="U147" s="765" t="s">
        <v>6496</v>
      </c>
      <c r="V147" s="774">
        <v>76388.0</v>
      </c>
      <c r="W147" s="601">
        <v>42865.0</v>
      </c>
      <c r="X147" s="765" t="s">
        <v>6497</v>
      </c>
      <c r="Y147" s="253"/>
      <c r="Z147" s="765" t="s">
        <v>6498</v>
      </c>
      <c r="AA147" s="262">
        <v>76104.0</v>
      </c>
      <c r="AB147" s="765" t="s">
        <v>6499</v>
      </c>
      <c r="AC147" s="253" t="s">
        <v>377</v>
      </c>
    </row>
    <row r="148" ht="15.75" customHeight="1">
      <c r="A148" s="764">
        <v>42790.0</v>
      </c>
      <c r="B148" s="340" t="s">
        <v>631</v>
      </c>
      <c r="C148" s="252" t="s">
        <v>6500</v>
      </c>
      <c r="D148" s="252" t="s">
        <v>6501</v>
      </c>
      <c r="E148" s="252" t="s">
        <v>4269</v>
      </c>
      <c r="F148" s="307">
        <v>20.0</v>
      </c>
      <c r="G148" s="325">
        <v>168.0</v>
      </c>
      <c r="H148" s="267">
        <f t="shared" si="4"/>
        <v>3360</v>
      </c>
      <c r="I148" s="266" t="s">
        <v>171</v>
      </c>
      <c r="J148" s="253" t="s">
        <v>6141</v>
      </c>
      <c r="K148" s="258">
        <v>42851.0</v>
      </c>
      <c r="L148" s="258">
        <v>42851.0</v>
      </c>
      <c r="M148" s="266" t="s">
        <v>2263</v>
      </c>
      <c r="N148" s="765" t="s">
        <v>6502</v>
      </c>
      <c r="O148" s="339"/>
      <c r="P148" s="1053">
        <v>101850.0</v>
      </c>
      <c r="Q148" s="340" t="s">
        <v>2265</v>
      </c>
      <c r="R148" s="253"/>
      <c r="S148" s="1049"/>
      <c r="T148" s="769">
        <v>42851.0</v>
      </c>
      <c r="U148" s="765" t="s">
        <v>6503</v>
      </c>
      <c r="V148" s="770">
        <v>101850.0</v>
      </c>
      <c r="W148" s="601">
        <v>42850.0</v>
      </c>
      <c r="X148" s="765" t="s">
        <v>6504</v>
      </c>
      <c r="Y148" s="253" t="s">
        <v>6505</v>
      </c>
      <c r="Z148" s="765" t="s">
        <v>6506</v>
      </c>
      <c r="AA148" s="262">
        <v>101270.0</v>
      </c>
      <c r="AB148" s="765" t="s">
        <v>6507</v>
      </c>
      <c r="AC148" s="253" t="s">
        <v>377</v>
      </c>
    </row>
    <row r="149" ht="15.75" customHeight="1">
      <c r="A149" s="764">
        <v>42790.0</v>
      </c>
      <c r="B149" s="340" t="s">
        <v>631</v>
      </c>
      <c r="C149" s="252" t="s">
        <v>6493</v>
      </c>
      <c r="D149" s="252" t="s">
        <v>6508</v>
      </c>
      <c r="E149" s="252" t="s">
        <v>4269</v>
      </c>
      <c r="F149" s="307">
        <v>15.0</v>
      </c>
      <c r="G149" s="325">
        <v>168.0</v>
      </c>
      <c r="H149" s="267">
        <f t="shared" si="4"/>
        <v>2520</v>
      </c>
      <c r="I149" s="266" t="s">
        <v>171</v>
      </c>
      <c r="J149" s="253" t="s">
        <v>1324</v>
      </c>
      <c r="K149" s="258">
        <v>42842.0</v>
      </c>
      <c r="L149" s="258">
        <v>42842.0</v>
      </c>
      <c r="M149" s="266" t="s">
        <v>6509</v>
      </c>
      <c r="N149" s="765" t="s">
        <v>6510</v>
      </c>
      <c r="O149" s="339"/>
      <c r="P149" s="1053">
        <v>80325.0</v>
      </c>
      <c r="Q149" s="320" t="s">
        <v>6511</v>
      </c>
      <c r="R149" s="253"/>
      <c r="S149" s="810">
        <v>42838.0</v>
      </c>
      <c r="T149" s="769">
        <v>42838.0</v>
      </c>
      <c r="U149" s="765" t="s">
        <v>6512</v>
      </c>
      <c r="V149" s="770">
        <v>80325.0</v>
      </c>
      <c r="W149" s="601">
        <v>42838.0</v>
      </c>
      <c r="X149" s="765" t="s">
        <v>6513</v>
      </c>
      <c r="Y149" s="1037"/>
      <c r="Z149" s="765" t="s">
        <v>6514</v>
      </c>
      <c r="AA149" s="262">
        <v>117711.0</v>
      </c>
      <c r="AB149" s="765" t="s">
        <v>6515</v>
      </c>
      <c r="AC149" s="253" t="s">
        <v>377</v>
      </c>
    </row>
    <row r="150" ht="15.75" customHeight="1">
      <c r="A150" s="764">
        <v>42790.0</v>
      </c>
      <c r="B150" s="340" t="s">
        <v>631</v>
      </c>
      <c r="C150" s="252" t="s">
        <v>6500</v>
      </c>
      <c r="D150" s="252" t="s">
        <v>6516</v>
      </c>
      <c r="E150" s="252" t="s">
        <v>4269</v>
      </c>
      <c r="F150" s="307">
        <v>15.0</v>
      </c>
      <c r="G150" s="325">
        <v>168.0</v>
      </c>
      <c r="H150" s="267">
        <f t="shared" si="4"/>
        <v>2520</v>
      </c>
      <c r="I150" s="266" t="s">
        <v>171</v>
      </c>
      <c r="J150" s="253" t="s">
        <v>1324</v>
      </c>
      <c r="K150" s="258">
        <v>42825.0</v>
      </c>
      <c r="L150" s="258">
        <v>42824.0</v>
      </c>
      <c r="M150" s="266" t="s">
        <v>2263</v>
      </c>
      <c r="N150" s="765" t="s">
        <v>6517</v>
      </c>
      <c r="O150" s="339"/>
      <c r="P150" s="1053">
        <v>76388.0</v>
      </c>
      <c r="Q150" s="340" t="s">
        <v>2265</v>
      </c>
      <c r="R150" s="253"/>
      <c r="S150" s="810">
        <v>42821.0</v>
      </c>
      <c r="T150" s="771">
        <v>42823.0</v>
      </c>
      <c r="U150" s="252" t="s">
        <v>6518</v>
      </c>
      <c r="V150" s="1054">
        <v>76388.0</v>
      </c>
      <c r="W150" s="258">
        <v>42821.0</v>
      </c>
      <c r="X150" s="765" t="s">
        <v>6519</v>
      </c>
      <c r="Y150" s="253"/>
      <c r="Z150" s="765" t="s">
        <v>6520</v>
      </c>
      <c r="AA150" s="262">
        <v>76280.0</v>
      </c>
      <c r="AB150" s="765" t="s">
        <v>6521</v>
      </c>
      <c r="AC150" s="253" t="s">
        <v>377</v>
      </c>
    </row>
    <row r="151" ht="15.75" customHeight="1">
      <c r="A151" s="764">
        <v>42790.0</v>
      </c>
      <c r="B151" s="340" t="s">
        <v>3506</v>
      </c>
      <c r="C151" s="765" t="s">
        <v>6473</v>
      </c>
      <c r="D151" s="422" t="s">
        <v>6522</v>
      </c>
      <c r="E151" s="422" t="s">
        <v>6523</v>
      </c>
      <c r="F151" s="808">
        <v>100.0</v>
      </c>
      <c r="G151" s="466">
        <v>174.5</v>
      </c>
      <c r="H151" s="267">
        <f t="shared" si="4"/>
        <v>17450</v>
      </c>
      <c r="I151" s="266" t="s">
        <v>171</v>
      </c>
      <c r="J151" s="369" t="s">
        <v>3509</v>
      </c>
      <c r="K151" s="258">
        <v>42850.0</v>
      </c>
      <c r="L151" s="258">
        <v>42818.0</v>
      </c>
      <c r="M151" s="403" t="s">
        <v>3510</v>
      </c>
      <c r="N151" s="252" t="s">
        <v>6524</v>
      </c>
      <c r="O151" s="339"/>
      <c r="P151" s="637">
        <v>525903.0</v>
      </c>
      <c r="Q151" s="599" t="s">
        <v>6152</v>
      </c>
      <c r="R151" s="253"/>
      <c r="S151" s="1036"/>
      <c r="T151" s="771">
        <v>42821.0</v>
      </c>
      <c r="U151" s="252" t="s">
        <v>6525</v>
      </c>
      <c r="V151" s="774">
        <v>525903.0</v>
      </c>
      <c r="W151" s="601">
        <v>42815.0</v>
      </c>
      <c r="X151" s="252" t="s">
        <v>6477</v>
      </c>
      <c r="Y151" s="1037"/>
      <c r="Z151" s="1037"/>
      <c r="AA151" s="1037"/>
      <c r="AB151" s="766"/>
      <c r="AC151" s="253" t="s">
        <v>284</v>
      </c>
    </row>
    <row r="152" ht="15.75" customHeight="1">
      <c r="A152" s="764">
        <v>42790.0</v>
      </c>
      <c r="B152" s="340" t="s">
        <v>631</v>
      </c>
      <c r="C152" s="265" t="s">
        <v>6500</v>
      </c>
      <c r="D152" s="252" t="s">
        <v>6526</v>
      </c>
      <c r="E152" s="252" t="s">
        <v>4269</v>
      </c>
      <c r="F152" s="808">
        <v>15.0</v>
      </c>
      <c r="G152" s="254">
        <v>168.0</v>
      </c>
      <c r="H152" s="267">
        <f t="shared" si="4"/>
        <v>2520</v>
      </c>
      <c r="I152" s="266" t="s">
        <v>171</v>
      </c>
      <c r="J152" s="592" t="s">
        <v>6141</v>
      </c>
      <c r="K152" s="258">
        <v>42800.0</v>
      </c>
      <c r="L152" s="258">
        <v>42800.0</v>
      </c>
      <c r="M152" s="256" t="s">
        <v>2263</v>
      </c>
      <c r="N152" s="765" t="s">
        <v>6527</v>
      </c>
      <c r="O152" s="339"/>
      <c r="P152" s="1053">
        <v>76388.0</v>
      </c>
      <c r="Q152" s="578" t="s">
        <v>2265</v>
      </c>
      <c r="R152" s="253"/>
      <c r="S152" s="768">
        <v>42797.0</v>
      </c>
      <c r="T152" s="769">
        <v>42800.0</v>
      </c>
      <c r="U152" s="765" t="s">
        <v>6528</v>
      </c>
      <c r="V152" s="770">
        <v>76388.0</v>
      </c>
      <c r="W152" s="258">
        <v>42797.0</v>
      </c>
      <c r="X152" s="765" t="s">
        <v>6529</v>
      </c>
      <c r="Y152" s="253" t="s">
        <v>6530</v>
      </c>
      <c r="Z152" s="765" t="s">
        <v>6531</v>
      </c>
      <c r="AA152" s="262">
        <v>78183.0</v>
      </c>
      <c r="AB152" s="765" t="s">
        <v>6532</v>
      </c>
      <c r="AC152" s="253" t="s">
        <v>377</v>
      </c>
    </row>
    <row r="153" ht="15.75" customHeight="1">
      <c r="A153" s="764">
        <v>42795.0</v>
      </c>
      <c r="B153" s="1004" t="s">
        <v>101</v>
      </c>
      <c r="C153" s="765" t="s">
        <v>6533</v>
      </c>
      <c r="D153" s="765" t="s">
        <v>6534</v>
      </c>
      <c r="E153" s="765" t="s">
        <v>6535</v>
      </c>
      <c r="F153" s="307">
        <v>0.0</v>
      </c>
      <c r="G153" s="325">
        <v>141.0</v>
      </c>
      <c r="H153" s="267">
        <f t="shared" si="4"/>
        <v>0</v>
      </c>
      <c r="I153" s="266" t="s">
        <v>3474</v>
      </c>
      <c r="J153" s="369" t="s">
        <v>6239</v>
      </c>
      <c r="K153" s="258">
        <v>42810.0</v>
      </c>
      <c r="L153" s="258">
        <v>42801.0</v>
      </c>
      <c r="M153" s="253" t="s">
        <v>2129</v>
      </c>
      <c r="N153" s="765" t="s">
        <v>6536</v>
      </c>
      <c r="O153" s="581">
        <v>812.7</v>
      </c>
      <c r="P153" s="816"/>
      <c r="Q153" s="320" t="s">
        <v>3916</v>
      </c>
      <c r="R153" s="253"/>
      <c r="S153" s="810">
        <v>42831.0</v>
      </c>
      <c r="T153" s="769">
        <v>42801.0</v>
      </c>
      <c r="U153" s="765" t="s">
        <v>6537</v>
      </c>
      <c r="V153" s="770">
        <v>25179.0</v>
      </c>
      <c r="W153" s="258">
        <v>42831.0</v>
      </c>
      <c r="X153" s="252" t="s">
        <v>6397</v>
      </c>
      <c r="Y153" s="1037"/>
      <c r="Z153" s="1037"/>
      <c r="AA153" s="1037"/>
      <c r="AB153" s="766"/>
      <c r="AC153" s="253" t="s">
        <v>284</v>
      </c>
    </row>
    <row r="154" ht="15.75" customHeight="1">
      <c r="A154" s="764">
        <v>42796.0</v>
      </c>
      <c r="B154" s="1004" t="s">
        <v>5073</v>
      </c>
      <c r="C154" s="765" t="s">
        <v>6538</v>
      </c>
      <c r="D154" s="765" t="s">
        <v>6539</v>
      </c>
      <c r="E154" s="765" t="s">
        <v>4424</v>
      </c>
      <c r="F154" s="307">
        <v>1.0</v>
      </c>
      <c r="G154" s="325">
        <v>130.0</v>
      </c>
      <c r="H154" s="267">
        <f t="shared" si="4"/>
        <v>130</v>
      </c>
      <c r="I154" s="266" t="s">
        <v>3474</v>
      </c>
      <c r="J154" s="369" t="s">
        <v>3749</v>
      </c>
      <c r="K154" s="601">
        <v>42846.0</v>
      </c>
      <c r="L154" s="258">
        <v>42845.0</v>
      </c>
      <c r="M154" s="253" t="s">
        <v>6540</v>
      </c>
      <c r="N154" s="765" t="s">
        <v>6541</v>
      </c>
      <c r="O154" s="339"/>
      <c r="P154" s="637">
        <v>3763.0</v>
      </c>
      <c r="Q154" s="604" t="s">
        <v>6542</v>
      </c>
      <c r="R154" s="253"/>
      <c r="S154" s="810">
        <v>42844.0</v>
      </c>
      <c r="T154" s="769">
        <v>42844.0</v>
      </c>
      <c r="U154" s="765" t="s">
        <v>6543</v>
      </c>
      <c r="V154" s="770">
        <v>3763.0</v>
      </c>
      <c r="W154" s="601">
        <v>42842.0</v>
      </c>
      <c r="X154" s="252" t="s">
        <v>6544</v>
      </c>
      <c r="Y154" s="1037"/>
      <c r="Z154" s="1037"/>
      <c r="AA154" s="1037"/>
      <c r="AB154" s="766"/>
      <c r="AC154" s="253" t="s">
        <v>284</v>
      </c>
    </row>
    <row r="155" ht="15.75" customHeight="1">
      <c r="A155" s="764">
        <v>42796.0</v>
      </c>
      <c r="B155" s="1004" t="s">
        <v>77</v>
      </c>
      <c r="C155" s="765">
        <v>180.0</v>
      </c>
      <c r="D155" s="252" t="s">
        <v>6545</v>
      </c>
      <c r="E155" s="252" t="s">
        <v>6546</v>
      </c>
      <c r="F155" s="307">
        <v>1.0</v>
      </c>
      <c r="G155" s="325">
        <v>10.0</v>
      </c>
      <c r="H155" s="267">
        <f t="shared" si="4"/>
        <v>10</v>
      </c>
      <c r="I155" s="266" t="s">
        <v>171</v>
      </c>
      <c r="J155" s="369" t="s">
        <v>316</v>
      </c>
      <c r="K155" s="258">
        <v>42817.0</v>
      </c>
      <c r="L155" s="258">
        <v>42816.0</v>
      </c>
      <c r="M155" s="253" t="s">
        <v>2039</v>
      </c>
      <c r="N155" s="253"/>
      <c r="O155" s="339"/>
      <c r="P155" s="637" t="s">
        <v>4955</v>
      </c>
      <c r="Q155" s="253"/>
      <c r="R155" s="253"/>
      <c r="S155" s="1036"/>
      <c r="T155" s="765" t="s">
        <v>5701</v>
      </c>
      <c r="U155" s="765" t="s">
        <v>5701</v>
      </c>
      <c r="V155" s="765" t="s">
        <v>5701</v>
      </c>
      <c r="W155" s="253"/>
      <c r="X155" s="765" t="s">
        <v>6547</v>
      </c>
      <c r="Y155" s="253">
        <v>9.41953762E8</v>
      </c>
      <c r="Z155" s="1037"/>
      <c r="AA155" s="1037"/>
      <c r="AB155" s="766"/>
      <c r="AC155" s="253" t="s">
        <v>284</v>
      </c>
    </row>
    <row r="156" ht="15.75" customHeight="1">
      <c r="A156" s="764">
        <v>42800.0</v>
      </c>
      <c r="B156" s="1004" t="s">
        <v>6548</v>
      </c>
      <c r="C156" s="765"/>
      <c r="D156" s="765" t="s">
        <v>6549</v>
      </c>
      <c r="E156" s="765" t="s">
        <v>6550</v>
      </c>
      <c r="F156" s="307">
        <v>2.0</v>
      </c>
      <c r="G156" s="325">
        <v>3800.0</v>
      </c>
      <c r="H156" s="267">
        <f t="shared" si="4"/>
        <v>7600</v>
      </c>
      <c r="I156" s="266" t="s">
        <v>3474</v>
      </c>
      <c r="J156" s="266" t="s">
        <v>6551</v>
      </c>
      <c r="K156" s="258">
        <v>42842.0</v>
      </c>
      <c r="L156" s="258">
        <v>42832.0</v>
      </c>
      <c r="M156" s="253" t="s">
        <v>6552</v>
      </c>
      <c r="N156" s="780" t="s">
        <v>3717</v>
      </c>
      <c r="O156" s="339"/>
      <c r="P156" s="816"/>
      <c r="Q156" s="599" t="s">
        <v>6553</v>
      </c>
      <c r="R156" s="765" t="s">
        <v>6554</v>
      </c>
      <c r="S156" s="1036"/>
      <c r="T156" s="765" t="s">
        <v>6555</v>
      </c>
      <c r="U156" s="765" t="s">
        <v>6555</v>
      </c>
      <c r="V156" s="765" t="s">
        <v>6555</v>
      </c>
      <c r="W156" s="1037"/>
      <c r="X156" s="765" t="s">
        <v>6443</v>
      </c>
      <c r="Y156" s="253" t="s">
        <v>6556</v>
      </c>
      <c r="Z156" s="1037"/>
      <c r="AA156" s="1037"/>
      <c r="AB156" s="766"/>
      <c r="AC156" s="253" t="s">
        <v>6443</v>
      </c>
    </row>
    <row r="157" ht="15.75" customHeight="1">
      <c r="A157" s="764">
        <v>42800.0</v>
      </c>
      <c r="B157" s="602" t="s">
        <v>3640</v>
      </c>
      <c r="C157" s="765"/>
      <c r="D157" s="765" t="s">
        <v>6557</v>
      </c>
      <c r="E157" s="765" t="s">
        <v>6558</v>
      </c>
      <c r="F157" s="307">
        <v>4.0</v>
      </c>
      <c r="G157" s="325">
        <v>355.0</v>
      </c>
      <c r="H157" s="267">
        <f t="shared" si="4"/>
        <v>1420</v>
      </c>
      <c r="I157" s="1055" t="s">
        <v>3474</v>
      </c>
      <c r="J157" s="369" t="s">
        <v>6559</v>
      </c>
      <c r="K157" s="258">
        <v>42814.0</v>
      </c>
      <c r="L157" s="258">
        <v>42809.0</v>
      </c>
      <c r="M157" s="253" t="s">
        <v>90</v>
      </c>
      <c r="N157" s="252" t="s">
        <v>4044</v>
      </c>
      <c r="O157" s="581">
        <v>1310.4</v>
      </c>
      <c r="P157" s="816"/>
      <c r="Q157" s="320" t="s">
        <v>6081</v>
      </c>
      <c r="R157" s="253"/>
      <c r="S157" s="810">
        <v>42855.0</v>
      </c>
      <c r="T157" s="769">
        <v>42809.0</v>
      </c>
      <c r="U157" s="765" t="s">
        <v>6560</v>
      </c>
      <c r="V157" s="770">
        <v>44492.0</v>
      </c>
      <c r="W157" s="601">
        <v>42821.0</v>
      </c>
      <c r="X157" s="252" t="s">
        <v>6561</v>
      </c>
      <c r="Y157" s="1037"/>
      <c r="Z157" s="1037"/>
      <c r="AA157" s="1037"/>
      <c r="AB157" s="766"/>
      <c r="AC157" s="253" t="s">
        <v>284</v>
      </c>
    </row>
    <row r="158" ht="15.75" customHeight="1">
      <c r="A158" s="764">
        <v>42800.0</v>
      </c>
      <c r="B158" s="602" t="s">
        <v>3640</v>
      </c>
      <c r="C158" s="765"/>
      <c r="D158" s="765" t="s">
        <v>6557</v>
      </c>
      <c r="E158" s="765" t="s">
        <v>6562</v>
      </c>
      <c r="F158" s="307">
        <v>4.0</v>
      </c>
      <c r="G158" s="325">
        <v>35.0</v>
      </c>
      <c r="H158" s="267">
        <f t="shared" si="4"/>
        <v>140</v>
      </c>
      <c r="I158" s="1055" t="s">
        <v>3474</v>
      </c>
      <c r="J158" s="369" t="s">
        <v>6559</v>
      </c>
      <c r="K158" s="258">
        <v>42814.0</v>
      </c>
      <c r="L158" s="258">
        <v>42809.0</v>
      </c>
      <c r="M158" s="253" t="s">
        <v>90</v>
      </c>
      <c r="N158" s="252" t="s">
        <v>4044</v>
      </c>
      <c r="O158" s="581">
        <v>126.0</v>
      </c>
      <c r="P158" s="816"/>
      <c r="Q158" s="320" t="s">
        <v>6081</v>
      </c>
      <c r="R158" s="253"/>
      <c r="S158" s="810">
        <v>42855.0</v>
      </c>
      <c r="T158" s="769">
        <v>42809.0</v>
      </c>
      <c r="U158" s="765" t="s">
        <v>6560</v>
      </c>
      <c r="V158" s="770">
        <v>44492.0</v>
      </c>
      <c r="W158" s="601">
        <v>42821.0</v>
      </c>
      <c r="X158" s="252" t="s">
        <v>6561</v>
      </c>
      <c r="Y158" s="1037"/>
      <c r="Z158" s="1037"/>
      <c r="AA158" s="1037"/>
      <c r="AB158" s="766"/>
      <c r="AC158" s="253" t="s">
        <v>284</v>
      </c>
    </row>
    <row r="159" ht="15.75" customHeight="1">
      <c r="A159" s="764">
        <v>42800.0</v>
      </c>
      <c r="B159" s="602" t="s">
        <v>3640</v>
      </c>
      <c r="C159" s="765"/>
      <c r="D159" s="765" t="s">
        <v>6557</v>
      </c>
      <c r="E159" s="765" t="s">
        <v>6563</v>
      </c>
      <c r="F159" s="307">
        <v>1.0</v>
      </c>
      <c r="G159" s="325">
        <v>102.0</v>
      </c>
      <c r="H159" s="267">
        <f t="shared" si="4"/>
        <v>102</v>
      </c>
      <c r="I159" s="1009" t="s">
        <v>3474</v>
      </c>
      <c r="J159" s="369" t="s">
        <v>6559</v>
      </c>
      <c r="K159" s="258">
        <v>42814.0</v>
      </c>
      <c r="L159" s="258">
        <v>42809.0</v>
      </c>
      <c r="M159" s="333" t="s">
        <v>2034</v>
      </c>
      <c r="N159" s="765" t="s">
        <v>6564</v>
      </c>
      <c r="O159" s="267">
        <v>99.75</v>
      </c>
      <c r="P159" s="851"/>
      <c r="Q159" s="765" t="s">
        <v>2036</v>
      </c>
      <c r="R159" s="253"/>
      <c r="S159" s="810">
        <v>42860.0</v>
      </c>
      <c r="T159" s="769">
        <v>42808.0</v>
      </c>
      <c r="U159" s="765" t="s">
        <v>6565</v>
      </c>
      <c r="V159" s="770">
        <v>3085.0</v>
      </c>
      <c r="W159" s="601">
        <v>42859.0</v>
      </c>
      <c r="X159" s="252" t="s">
        <v>6561</v>
      </c>
      <c r="Y159" s="1037"/>
      <c r="Z159" s="1037"/>
      <c r="AA159" s="1037"/>
      <c r="AB159" s="766"/>
      <c r="AC159" s="253" t="s">
        <v>284</v>
      </c>
    </row>
    <row r="160" ht="15.75" customHeight="1">
      <c r="A160" s="764">
        <v>42802.0</v>
      </c>
      <c r="B160" s="1004" t="s">
        <v>631</v>
      </c>
      <c r="C160" s="265" t="s">
        <v>6566</v>
      </c>
      <c r="D160" s="252" t="s">
        <v>6567</v>
      </c>
      <c r="E160" s="252" t="s">
        <v>4269</v>
      </c>
      <c r="F160" s="307">
        <v>10.0</v>
      </c>
      <c r="G160" s="325">
        <v>168.0</v>
      </c>
      <c r="H160" s="267">
        <f t="shared" si="4"/>
        <v>1680</v>
      </c>
      <c r="I160" s="266" t="s">
        <v>171</v>
      </c>
      <c r="J160" s="266" t="s">
        <v>6141</v>
      </c>
      <c r="K160" s="258">
        <v>42898.0</v>
      </c>
      <c r="L160" s="258">
        <v>42895.0</v>
      </c>
      <c r="M160" s="256" t="s">
        <v>2263</v>
      </c>
      <c r="N160" s="765" t="s">
        <v>6568</v>
      </c>
      <c r="O160" s="339"/>
      <c r="P160" s="637">
        <v>50925.0</v>
      </c>
      <c r="Q160" s="578" t="s">
        <v>2265</v>
      </c>
      <c r="R160" s="253"/>
      <c r="S160" s="1036"/>
      <c r="T160" s="769">
        <v>42894.0</v>
      </c>
      <c r="U160" s="765" t="s">
        <v>6569</v>
      </c>
      <c r="V160" s="770">
        <v>50925.0</v>
      </c>
      <c r="W160" s="601">
        <v>42892.0</v>
      </c>
      <c r="X160" s="765" t="s">
        <v>6570</v>
      </c>
      <c r="Y160" s="253" t="s">
        <v>6571</v>
      </c>
      <c r="Z160" s="765" t="s">
        <v>6572</v>
      </c>
      <c r="AA160" s="262">
        <v>50543.0</v>
      </c>
      <c r="AB160" s="765" t="s">
        <v>6573</v>
      </c>
      <c r="AC160" s="253" t="s">
        <v>377</v>
      </c>
    </row>
    <row r="161" ht="15.75" customHeight="1">
      <c r="A161" s="764">
        <v>42802.0</v>
      </c>
      <c r="B161" s="1004" t="s">
        <v>631</v>
      </c>
      <c r="C161" s="265" t="s">
        <v>6566</v>
      </c>
      <c r="D161" s="252" t="s">
        <v>6574</v>
      </c>
      <c r="E161" s="252" t="s">
        <v>4269</v>
      </c>
      <c r="F161" s="307">
        <v>10.0</v>
      </c>
      <c r="G161" s="325">
        <v>168.0</v>
      </c>
      <c r="H161" s="267">
        <f t="shared" si="4"/>
        <v>1680</v>
      </c>
      <c r="I161" s="266" t="s">
        <v>171</v>
      </c>
      <c r="J161" s="253" t="s">
        <v>1324</v>
      </c>
      <c r="K161" s="258">
        <v>42886.0</v>
      </c>
      <c r="L161" s="258">
        <v>42881.0</v>
      </c>
      <c r="M161" s="256" t="s">
        <v>2263</v>
      </c>
      <c r="N161" s="765" t="s">
        <v>6575</v>
      </c>
      <c r="O161" s="339"/>
      <c r="P161" s="637">
        <v>50925.0</v>
      </c>
      <c r="Q161" s="578" t="s">
        <v>2265</v>
      </c>
      <c r="R161" s="253"/>
      <c r="S161" s="810">
        <v>42878.0</v>
      </c>
      <c r="T161" s="769">
        <v>42886.0</v>
      </c>
      <c r="U161" s="765" t="s">
        <v>6576</v>
      </c>
      <c r="V161" s="770">
        <v>50925.0</v>
      </c>
      <c r="W161" s="601">
        <v>42878.0</v>
      </c>
      <c r="X161" s="765" t="s">
        <v>6577</v>
      </c>
      <c r="Y161" s="253"/>
      <c r="Z161" s="765" t="s">
        <v>6578</v>
      </c>
      <c r="AA161" s="262">
        <v>50551.0</v>
      </c>
      <c r="AB161" s="765" t="s">
        <v>6499</v>
      </c>
      <c r="AC161" s="253" t="s">
        <v>377</v>
      </c>
    </row>
    <row r="162" ht="15.75" customHeight="1">
      <c r="A162" s="764">
        <v>42802.0</v>
      </c>
      <c r="B162" s="1004" t="s">
        <v>229</v>
      </c>
      <c r="C162" s="1004"/>
      <c r="D162" s="265" t="s">
        <v>6579</v>
      </c>
      <c r="E162" s="265" t="s">
        <v>462</v>
      </c>
      <c r="F162" s="307">
        <v>73.0</v>
      </c>
      <c r="G162" s="466">
        <v>415.8</v>
      </c>
      <c r="H162" s="466">
        <f t="shared" si="4"/>
        <v>30353.4</v>
      </c>
      <c r="I162" s="266" t="s">
        <v>171</v>
      </c>
      <c r="J162" s="592" t="s">
        <v>90</v>
      </c>
      <c r="K162" s="258">
        <v>42824.0</v>
      </c>
      <c r="L162" s="258">
        <v>42824.0</v>
      </c>
      <c r="M162" s="253" t="s">
        <v>90</v>
      </c>
      <c r="N162" s="765" t="s">
        <v>6580</v>
      </c>
      <c r="O162" s="581">
        <v>27210.75</v>
      </c>
      <c r="P162" s="816"/>
      <c r="Q162" s="320" t="s">
        <v>6081</v>
      </c>
      <c r="R162" s="253"/>
      <c r="S162" s="810">
        <v>42860.0</v>
      </c>
      <c r="T162" s="771">
        <v>42824.0</v>
      </c>
      <c r="U162" s="765" t="s">
        <v>6581</v>
      </c>
      <c r="V162" s="774">
        <v>912048.0</v>
      </c>
      <c r="W162" s="601">
        <v>42860.0</v>
      </c>
      <c r="X162" s="765" t="s">
        <v>6582</v>
      </c>
      <c r="Y162" s="1037"/>
      <c r="Z162" s="765" t="s">
        <v>6583</v>
      </c>
      <c r="AA162" s="262">
        <v>1001815.0</v>
      </c>
      <c r="AB162" s="765" t="s">
        <v>6584</v>
      </c>
      <c r="AC162" s="253" t="s">
        <v>377</v>
      </c>
    </row>
    <row r="163" ht="15.75" customHeight="1">
      <c r="A163" s="764">
        <v>42802.0</v>
      </c>
      <c r="B163" s="1004" t="s">
        <v>229</v>
      </c>
      <c r="C163" s="765"/>
      <c r="D163" s="252" t="s">
        <v>6579</v>
      </c>
      <c r="E163" s="252" t="s">
        <v>3765</v>
      </c>
      <c r="F163" s="307">
        <v>8.0</v>
      </c>
      <c r="G163" s="466">
        <v>336.0</v>
      </c>
      <c r="H163" s="466">
        <f t="shared" si="4"/>
        <v>2688</v>
      </c>
      <c r="I163" s="266" t="s">
        <v>171</v>
      </c>
      <c r="J163" s="1056" t="s">
        <v>90</v>
      </c>
      <c r="K163" s="258">
        <v>42824.0</v>
      </c>
      <c r="L163" s="258">
        <v>42824.0</v>
      </c>
      <c r="M163" s="253" t="s">
        <v>90</v>
      </c>
      <c r="N163" s="765" t="s">
        <v>6580</v>
      </c>
      <c r="O163" s="581">
        <v>2410.8</v>
      </c>
      <c r="P163" s="816"/>
      <c r="Q163" s="310" t="s">
        <v>6081</v>
      </c>
      <c r="R163" s="253"/>
      <c r="S163" s="810">
        <v>42860.0</v>
      </c>
      <c r="T163" s="771">
        <v>42824.0</v>
      </c>
      <c r="U163" s="765" t="s">
        <v>6581</v>
      </c>
      <c r="V163" s="765" t="s">
        <v>6585</v>
      </c>
      <c r="W163" s="601">
        <v>42860.0</v>
      </c>
      <c r="X163" s="765" t="s">
        <v>6582</v>
      </c>
      <c r="Y163" s="1037"/>
      <c r="Z163" s="765" t="s">
        <v>6583</v>
      </c>
      <c r="AA163" s="253" t="s">
        <v>6586</v>
      </c>
      <c r="AB163" s="765" t="s">
        <v>6584</v>
      </c>
      <c r="AC163" s="253" t="s">
        <v>377</v>
      </c>
    </row>
    <row r="164" ht="15.75" customHeight="1">
      <c r="A164" s="764">
        <v>42802.0</v>
      </c>
      <c r="B164" s="599" t="s">
        <v>6587</v>
      </c>
      <c r="C164" s="602" t="s">
        <v>6588</v>
      </c>
      <c r="D164" s="330" t="s">
        <v>6589</v>
      </c>
      <c r="E164" s="330" t="s">
        <v>6590</v>
      </c>
      <c r="F164" s="307">
        <v>3.0</v>
      </c>
      <c r="G164" s="254">
        <v>321.0</v>
      </c>
      <c r="H164" s="267">
        <f t="shared" si="4"/>
        <v>963</v>
      </c>
      <c r="I164" s="266" t="s">
        <v>43</v>
      </c>
      <c r="J164" s="369" t="s">
        <v>6591</v>
      </c>
      <c r="K164" s="258">
        <v>42821.0</v>
      </c>
      <c r="L164" s="258">
        <v>42814.0</v>
      </c>
      <c r="M164" s="253" t="s">
        <v>90</v>
      </c>
      <c r="N164" s="765" t="s">
        <v>6592</v>
      </c>
      <c r="O164" s="581">
        <v>715.806</v>
      </c>
      <c r="P164" s="816"/>
      <c r="Q164" s="320" t="s">
        <v>6081</v>
      </c>
      <c r="R164" s="253"/>
      <c r="S164" s="810">
        <v>42860.0</v>
      </c>
      <c r="T164" s="769">
        <v>42814.0</v>
      </c>
      <c r="U164" s="765" t="s">
        <v>6593</v>
      </c>
      <c r="V164" s="770">
        <v>22172.0</v>
      </c>
      <c r="W164" s="601">
        <v>42860.0</v>
      </c>
      <c r="X164" s="252" t="s">
        <v>6594</v>
      </c>
      <c r="Y164" s="253">
        <v>9.4436741E8</v>
      </c>
      <c r="Z164" s="1037"/>
      <c r="AA164" s="1037"/>
      <c r="AB164" s="766"/>
      <c r="AC164" s="253" t="s">
        <v>284</v>
      </c>
    </row>
    <row r="165" ht="15.75" customHeight="1">
      <c r="A165" s="776">
        <v>42802.0</v>
      </c>
      <c r="B165" s="597" t="s">
        <v>6167</v>
      </c>
      <c r="C165" s="252">
        <v>7.000128159E9</v>
      </c>
      <c r="D165" s="252" t="s">
        <v>6595</v>
      </c>
      <c r="E165" s="252" t="s">
        <v>6596</v>
      </c>
      <c r="F165" s="307">
        <v>5.0</v>
      </c>
      <c r="G165" s="325">
        <v>116.0</v>
      </c>
      <c r="H165" s="267">
        <f t="shared" si="4"/>
        <v>580</v>
      </c>
      <c r="I165" s="266" t="s">
        <v>43</v>
      </c>
      <c r="J165" s="403" t="s">
        <v>3623</v>
      </c>
      <c r="K165" s="258">
        <v>42804.0</v>
      </c>
      <c r="L165" s="258">
        <v>42804.0</v>
      </c>
      <c r="M165" s="266" t="s">
        <v>3593</v>
      </c>
      <c r="N165" s="765" t="s">
        <v>6592</v>
      </c>
      <c r="O165" s="339"/>
      <c r="P165" s="637">
        <v>17005.0</v>
      </c>
      <c r="Q165" s="320" t="s">
        <v>2080</v>
      </c>
      <c r="R165" s="253"/>
      <c r="S165" s="810">
        <v>42891.0</v>
      </c>
      <c r="T165" s="769">
        <v>42803.0</v>
      </c>
      <c r="U165" s="765" t="s">
        <v>6597</v>
      </c>
      <c r="V165" s="770">
        <v>17005.0</v>
      </c>
      <c r="W165" s="258">
        <v>42891.0</v>
      </c>
      <c r="X165" s="252" t="s">
        <v>6172</v>
      </c>
      <c r="Y165" s="1037"/>
      <c r="Z165" s="1037"/>
      <c r="AA165" s="1037"/>
      <c r="AB165" s="766"/>
      <c r="AC165" s="253" t="s">
        <v>284</v>
      </c>
    </row>
    <row r="166" ht="15.75" customHeight="1">
      <c r="A166" s="274">
        <v>42804.0</v>
      </c>
      <c r="B166" s="898" t="s">
        <v>3640</v>
      </c>
      <c r="C166" s="789"/>
      <c r="D166" s="789" t="s">
        <v>6598</v>
      </c>
      <c r="E166" s="789" t="s">
        <v>6563</v>
      </c>
      <c r="F166" s="899">
        <v>1.0</v>
      </c>
      <c r="G166" s="900">
        <v>102.0</v>
      </c>
      <c r="H166" s="281">
        <v>0.0</v>
      </c>
      <c r="I166" s="1057" t="s">
        <v>3474</v>
      </c>
      <c r="J166" s="279" t="s">
        <v>71</v>
      </c>
      <c r="K166" s="630"/>
      <c r="L166" s="291">
        <v>42809.0</v>
      </c>
      <c r="M166" s="403" t="s">
        <v>2034</v>
      </c>
      <c r="N166" s="789" t="s">
        <v>6599</v>
      </c>
      <c r="O166" s="281">
        <v>99.75</v>
      </c>
      <c r="P166" s="851"/>
      <c r="Q166" s="1058" t="s">
        <v>2036</v>
      </c>
      <c r="R166" s="253"/>
      <c r="S166" s="1036"/>
      <c r="T166" s="766"/>
      <c r="U166" s="766"/>
      <c r="V166" s="1059"/>
      <c r="W166" s="1037"/>
      <c r="X166" s="1037"/>
      <c r="Y166" s="1037"/>
      <c r="Z166" s="1037"/>
      <c r="AA166" s="1037"/>
      <c r="AB166" s="766"/>
      <c r="AC166" s="253" t="s">
        <v>3617</v>
      </c>
    </row>
    <row r="167" ht="15.75" customHeight="1">
      <c r="A167" s="274">
        <v>42804.0</v>
      </c>
      <c r="B167" s="898" t="s">
        <v>3640</v>
      </c>
      <c r="C167" s="789"/>
      <c r="D167" s="789" t="s">
        <v>6598</v>
      </c>
      <c r="E167" s="789" t="s">
        <v>6600</v>
      </c>
      <c r="F167" s="899">
        <v>1.0</v>
      </c>
      <c r="G167" s="900">
        <f>281</f>
        <v>281</v>
      </c>
      <c r="H167" s="281">
        <v>0.0</v>
      </c>
      <c r="I167" s="1057" t="s">
        <v>3474</v>
      </c>
      <c r="J167" s="279" t="s">
        <v>71</v>
      </c>
      <c r="K167" s="630"/>
      <c r="L167" s="291">
        <v>42809.0</v>
      </c>
      <c r="M167" s="403" t="s">
        <v>2034</v>
      </c>
      <c r="N167" s="789" t="s">
        <v>6599</v>
      </c>
      <c r="O167" s="281">
        <v>276.15</v>
      </c>
      <c r="P167" s="851"/>
      <c r="Q167" s="1058" t="s">
        <v>2036</v>
      </c>
      <c r="R167" s="253"/>
      <c r="S167" s="1036"/>
      <c r="T167" s="766"/>
      <c r="U167" s="766"/>
      <c r="V167" s="766"/>
      <c r="W167" s="1037"/>
      <c r="X167" s="1037"/>
      <c r="Y167" s="1037"/>
      <c r="Z167" s="1037"/>
      <c r="AA167" s="1037"/>
      <c r="AB167" s="766"/>
      <c r="AC167" s="253" t="s">
        <v>3617</v>
      </c>
    </row>
    <row r="168" ht="15.75" customHeight="1">
      <c r="A168" s="776">
        <v>42810.0</v>
      </c>
      <c r="B168" s="597" t="s">
        <v>6167</v>
      </c>
      <c r="C168" s="252">
        <v>7.000128378E9</v>
      </c>
      <c r="D168" s="252" t="s">
        <v>6601</v>
      </c>
      <c r="E168" s="252" t="s">
        <v>4095</v>
      </c>
      <c r="F168" s="307">
        <v>1.0</v>
      </c>
      <c r="G168" s="325">
        <v>485.0</v>
      </c>
      <c r="H168" s="581">
        <f t="shared" ref="H168:H280" si="5">G168*F168</f>
        <v>485</v>
      </c>
      <c r="I168" s="266" t="s">
        <v>43</v>
      </c>
      <c r="J168" s="777" t="s">
        <v>3623</v>
      </c>
      <c r="K168" s="258">
        <v>42824.0</v>
      </c>
      <c r="L168" s="258">
        <v>42822.0</v>
      </c>
      <c r="M168" s="266" t="s">
        <v>3593</v>
      </c>
      <c r="N168" s="765" t="s">
        <v>6602</v>
      </c>
      <c r="O168" s="339"/>
      <c r="P168" s="637">
        <v>14163.0</v>
      </c>
      <c r="Q168" s="310" t="s">
        <v>2080</v>
      </c>
      <c r="R168" s="253"/>
      <c r="S168" s="810">
        <v>42891.0</v>
      </c>
      <c r="T168" s="769">
        <v>42821.0</v>
      </c>
      <c r="U168" s="765" t="s">
        <v>6603</v>
      </c>
      <c r="V168" s="770">
        <v>20778.0</v>
      </c>
      <c r="W168" s="258">
        <v>42891.0</v>
      </c>
      <c r="X168" s="252" t="s">
        <v>6604</v>
      </c>
      <c r="Y168" s="1037"/>
      <c r="Z168" s="1037"/>
      <c r="AA168" s="1037"/>
      <c r="AB168" s="766"/>
      <c r="AC168" s="253" t="s">
        <v>284</v>
      </c>
    </row>
    <row r="169" ht="15.75" customHeight="1">
      <c r="A169" s="776">
        <v>42810.0</v>
      </c>
      <c r="B169" s="597" t="s">
        <v>6167</v>
      </c>
      <c r="C169" s="252">
        <v>7.000128378E9</v>
      </c>
      <c r="D169" s="252" t="s">
        <v>6601</v>
      </c>
      <c r="E169" s="252" t="s">
        <v>6605</v>
      </c>
      <c r="F169" s="307">
        <v>3.0</v>
      </c>
      <c r="G169" s="325">
        <v>75.0</v>
      </c>
      <c r="H169" s="581">
        <f t="shared" si="5"/>
        <v>225</v>
      </c>
      <c r="I169" s="266" t="s">
        <v>43</v>
      </c>
      <c r="J169" s="403" t="s">
        <v>3623</v>
      </c>
      <c r="K169" s="258">
        <v>42824.0</v>
      </c>
      <c r="L169" s="258">
        <v>42822.0</v>
      </c>
      <c r="M169" s="266" t="s">
        <v>3593</v>
      </c>
      <c r="N169" s="765" t="s">
        <v>6602</v>
      </c>
      <c r="O169" s="339"/>
      <c r="P169" s="637">
        <v>6615.0</v>
      </c>
      <c r="Q169" s="320" t="s">
        <v>2080</v>
      </c>
      <c r="R169" s="253"/>
      <c r="S169" s="810">
        <v>42891.0</v>
      </c>
      <c r="T169" s="769">
        <v>42821.0</v>
      </c>
      <c r="U169" s="765" t="s">
        <v>6603</v>
      </c>
      <c r="V169" s="770">
        <v>20778.0</v>
      </c>
      <c r="W169" s="258">
        <v>42891.0</v>
      </c>
      <c r="X169" s="252" t="s">
        <v>6604</v>
      </c>
      <c r="Y169" s="1037"/>
      <c r="Z169" s="1037"/>
      <c r="AA169" s="1037"/>
      <c r="AB169" s="766"/>
      <c r="AC169" s="253" t="s">
        <v>284</v>
      </c>
    </row>
    <row r="170" ht="15.75" customHeight="1">
      <c r="A170" s="764">
        <v>42810.0</v>
      </c>
      <c r="B170" s="1004" t="s">
        <v>101</v>
      </c>
      <c r="C170" s="765" t="s">
        <v>6606</v>
      </c>
      <c r="D170" s="252" t="s">
        <v>6607</v>
      </c>
      <c r="E170" s="252" t="s">
        <v>6608</v>
      </c>
      <c r="F170" s="307">
        <v>4.0</v>
      </c>
      <c r="G170" s="325">
        <v>339.0</v>
      </c>
      <c r="H170" s="267">
        <f t="shared" si="5"/>
        <v>1356</v>
      </c>
      <c r="I170" s="266" t="s">
        <v>3474</v>
      </c>
      <c r="J170" s="369" t="s">
        <v>3739</v>
      </c>
      <c r="K170" s="258">
        <v>42824.0</v>
      </c>
      <c r="L170" s="258">
        <v>42817.0</v>
      </c>
      <c r="M170" s="253" t="s">
        <v>2028</v>
      </c>
      <c r="N170" s="765" t="s">
        <v>6609</v>
      </c>
      <c r="O170" s="339"/>
      <c r="P170" s="637">
        <v>39505.0</v>
      </c>
      <c r="Q170" s="340" t="s">
        <v>2030</v>
      </c>
      <c r="R170" s="253"/>
      <c r="S170" s="810">
        <v>42814.0</v>
      </c>
      <c r="T170" s="771">
        <v>42817.0</v>
      </c>
      <c r="U170" s="252" t="s">
        <v>6610</v>
      </c>
      <c r="V170" s="774">
        <v>39505.0</v>
      </c>
      <c r="W170" s="258">
        <v>42814.0</v>
      </c>
      <c r="X170" s="252" t="s">
        <v>6611</v>
      </c>
      <c r="Y170" s="1037"/>
      <c r="Z170" s="1037"/>
      <c r="AA170" s="1037"/>
      <c r="AB170" s="766"/>
      <c r="AC170" s="253" t="s">
        <v>284</v>
      </c>
    </row>
    <row r="171" ht="15.75" customHeight="1">
      <c r="A171" s="764">
        <v>42810.0</v>
      </c>
      <c r="B171" s="1004" t="s">
        <v>101</v>
      </c>
      <c r="C171" s="765" t="s">
        <v>6606</v>
      </c>
      <c r="D171" s="252" t="s">
        <v>6607</v>
      </c>
      <c r="E171" s="252" t="s">
        <v>6612</v>
      </c>
      <c r="F171" s="307">
        <v>4.0</v>
      </c>
      <c r="G171" s="325">
        <v>39.0</v>
      </c>
      <c r="H171" s="267">
        <f t="shared" si="5"/>
        <v>156</v>
      </c>
      <c r="I171" s="266" t="s">
        <v>3474</v>
      </c>
      <c r="J171" s="363" t="s">
        <v>3739</v>
      </c>
      <c r="K171" s="258">
        <v>42824.0</v>
      </c>
      <c r="L171" s="258">
        <v>42816.0</v>
      </c>
      <c r="M171" s="253" t="s">
        <v>2170</v>
      </c>
      <c r="N171" s="765" t="s">
        <v>6613</v>
      </c>
      <c r="O171" s="339"/>
      <c r="P171" s="637" t="s">
        <v>6614</v>
      </c>
      <c r="Q171" s="310" t="s">
        <v>2172</v>
      </c>
      <c r="R171" s="253"/>
      <c r="S171" s="810">
        <v>42814.0</v>
      </c>
      <c r="T171" s="771">
        <v>42815.0</v>
      </c>
      <c r="U171" s="252" t="s">
        <v>6615</v>
      </c>
      <c r="V171" s="774">
        <v>3037.0</v>
      </c>
      <c r="W171" s="258">
        <v>42814.0</v>
      </c>
      <c r="X171" s="252" t="s">
        <v>6611</v>
      </c>
      <c r="Y171" s="1037"/>
      <c r="Z171" s="1037"/>
      <c r="AA171" s="1037"/>
      <c r="AB171" s="766"/>
      <c r="AC171" s="253" t="s">
        <v>284</v>
      </c>
    </row>
    <row r="172" ht="15.75" customHeight="1">
      <c r="A172" s="776">
        <v>42810.0</v>
      </c>
      <c r="B172" s="597" t="s">
        <v>6167</v>
      </c>
      <c r="C172" s="252">
        <v>7.000128299E9</v>
      </c>
      <c r="D172" s="252" t="s">
        <v>6616</v>
      </c>
      <c r="E172" s="252" t="s">
        <v>6617</v>
      </c>
      <c r="F172" s="307">
        <v>1.0</v>
      </c>
      <c r="G172" s="325">
        <v>108.0</v>
      </c>
      <c r="H172" s="267">
        <f t="shared" si="5"/>
        <v>108</v>
      </c>
      <c r="I172" s="266" t="s">
        <v>6618</v>
      </c>
      <c r="J172" s="777" t="s">
        <v>3623</v>
      </c>
      <c r="K172" s="258">
        <v>42814.0</v>
      </c>
      <c r="L172" s="258">
        <v>42811.0</v>
      </c>
      <c r="M172" s="266" t="s">
        <v>3593</v>
      </c>
      <c r="N172" s="765" t="s">
        <v>6619</v>
      </c>
      <c r="O172" s="339"/>
      <c r="P172" s="637">
        <v>3096.0</v>
      </c>
      <c r="Q172" s="310" t="s">
        <v>2080</v>
      </c>
      <c r="R172" s="253"/>
      <c r="S172" s="810">
        <v>42891.0</v>
      </c>
      <c r="T172" s="769">
        <v>42810.0</v>
      </c>
      <c r="U172" s="765" t="s">
        <v>6620</v>
      </c>
      <c r="V172" s="770">
        <v>3096.0</v>
      </c>
      <c r="W172" s="258">
        <v>42891.0</v>
      </c>
      <c r="X172" s="252" t="s">
        <v>6621</v>
      </c>
      <c r="Y172" s="1037"/>
      <c r="Z172" s="1037"/>
      <c r="AA172" s="1037"/>
      <c r="AB172" s="766"/>
      <c r="AC172" s="253" t="s">
        <v>284</v>
      </c>
    </row>
    <row r="173" ht="15.75" customHeight="1">
      <c r="A173" s="776">
        <v>42811.0</v>
      </c>
      <c r="B173" s="599" t="s">
        <v>6246</v>
      </c>
      <c r="C173" s="765" t="s">
        <v>6622</v>
      </c>
      <c r="D173" s="765" t="s">
        <v>6623</v>
      </c>
      <c r="E173" s="765" t="s">
        <v>6624</v>
      </c>
      <c r="F173" s="307">
        <v>4.0</v>
      </c>
      <c r="G173" s="325">
        <v>58.0</v>
      </c>
      <c r="H173" s="581">
        <f t="shared" si="5"/>
        <v>232</v>
      </c>
      <c r="I173" s="266" t="s">
        <v>43</v>
      </c>
      <c r="J173" s="403" t="s">
        <v>6625</v>
      </c>
      <c r="K173" s="258">
        <v>42832.0</v>
      </c>
      <c r="L173" s="258">
        <v>42831.0</v>
      </c>
      <c r="M173" s="253" t="s">
        <v>90</v>
      </c>
      <c r="N173" s="252" t="s">
        <v>6626</v>
      </c>
      <c r="O173" s="581">
        <v>218.4</v>
      </c>
      <c r="P173" s="816"/>
      <c r="Q173" s="320" t="s">
        <v>6081</v>
      </c>
      <c r="R173" s="253"/>
      <c r="S173" s="810">
        <v>42886.0</v>
      </c>
      <c r="T173" s="771">
        <v>42831.0</v>
      </c>
      <c r="U173" s="252" t="s">
        <v>6627</v>
      </c>
      <c r="V173" s="774">
        <v>29208.0</v>
      </c>
      <c r="W173" s="601">
        <v>42849.0</v>
      </c>
      <c r="X173" s="252" t="s">
        <v>6628</v>
      </c>
      <c r="Y173" s="1037"/>
      <c r="Z173" s="1037"/>
      <c r="AA173" s="1037"/>
      <c r="AB173" s="766"/>
      <c r="AC173" s="253" t="s">
        <v>284</v>
      </c>
    </row>
    <row r="174" ht="15.75" customHeight="1">
      <c r="A174" s="776">
        <v>42811.0</v>
      </c>
      <c r="B174" s="599" t="s">
        <v>6246</v>
      </c>
      <c r="C174" s="765" t="s">
        <v>6622</v>
      </c>
      <c r="D174" s="765" t="s">
        <v>6623</v>
      </c>
      <c r="E174" s="765" t="s">
        <v>6629</v>
      </c>
      <c r="F174" s="307">
        <v>2.0</v>
      </c>
      <c r="G174" s="325">
        <v>257.0</v>
      </c>
      <c r="H174" s="581">
        <f t="shared" si="5"/>
        <v>514</v>
      </c>
      <c r="I174" s="266" t="s">
        <v>43</v>
      </c>
      <c r="J174" s="403" t="s">
        <v>6625</v>
      </c>
      <c r="K174" s="258">
        <v>42832.0</v>
      </c>
      <c r="L174" s="258">
        <v>42831.0</v>
      </c>
      <c r="M174" s="253" t="s">
        <v>90</v>
      </c>
      <c r="N174" s="252" t="s">
        <v>6626</v>
      </c>
      <c r="O174" s="581">
        <v>501.9</v>
      </c>
      <c r="P174" s="816"/>
      <c r="Q174" s="320" t="s">
        <v>6081</v>
      </c>
      <c r="R174" s="253"/>
      <c r="S174" s="810">
        <v>42886.0</v>
      </c>
      <c r="T174" s="771">
        <v>42831.0</v>
      </c>
      <c r="U174" s="252" t="s">
        <v>6627</v>
      </c>
      <c r="V174" s="774">
        <v>29208.0</v>
      </c>
      <c r="W174" s="601">
        <v>42849.0</v>
      </c>
      <c r="X174" s="252" t="s">
        <v>6628</v>
      </c>
      <c r="Y174" s="1037"/>
      <c r="Z174" s="1037"/>
      <c r="AA174" s="1037"/>
      <c r="AB174" s="766"/>
      <c r="AC174" s="253" t="s">
        <v>284</v>
      </c>
    </row>
    <row r="175" ht="15.75" customHeight="1">
      <c r="A175" s="776">
        <v>42811.0</v>
      </c>
      <c r="B175" s="599" t="s">
        <v>6246</v>
      </c>
      <c r="C175" s="765" t="s">
        <v>6622</v>
      </c>
      <c r="D175" s="765" t="s">
        <v>6623</v>
      </c>
      <c r="E175" s="765" t="s">
        <v>3519</v>
      </c>
      <c r="F175" s="307">
        <v>1.0</v>
      </c>
      <c r="G175" s="325">
        <v>244.0</v>
      </c>
      <c r="H175" s="581">
        <f t="shared" si="5"/>
        <v>244</v>
      </c>
      <c r="I175" s="266" t="s">
        <v>43</v>
      </c>
      <c r="J175" s="403" t="s">
        <v>6625</v>
      </c>
      <c r="K175" s="258">
        <v>42832.0</v>
      </c>
      <c r="L175" s="258">
        <v>42831.0</v>
      </c>
      <c r="M175" s="253" t="s">
        <v>90</v>
      </c>
      <c r="N175" s="252" t="s">
        <v>6626</v>
      </c>
      <c r="O175" s="581">
        <v>239.4</v>
      </c>
      <c r="P175" s="816"/>
      <c r="Q175" s="320" t="s">
        <v>6081</v>
      </c>
      <c r="R175" s="253"/>
      <c r="S175" s="810">
        <v>42886.0</v>
      </c>
      <c r="T175" s="771">
        <v>42831.0</v>
      </c>
      <c r="U175" s="252" t="s">
        <v>6627</v>
      </c>
      <c r="V175" s="774">
        <v>29208.0</v>
      </c>
      <c r="W175" s="601">
        <v>42849.0</v>
      </c>
      <c r="X175" s="252" t="s">
        <v>6628</v>
      </c>
      <c r="Y175" s="1037"/>
      <c r="Z175" s="1037"/>
      <c r="AA175" s="1037"/>
      <c r="AB175" s="766"/>
      <c r="AC175" s="253" t="s">
        <v>284</v>
      </c>
    </row>
    <row r="176" ht="15.75" customHeight="1">
      <c r="A176" s="764">
        <v>42813.0</v>
      </c>
      <c r="B176" s="1004" t="s">
        <v>77</v>
      </c>
      <c r="C176" s="765" t="s">
        <v>6630</v>
      </c>
      <c r="D176" s="765" t="s">
        <v>6631</v>
      </c>
      <c r="E176" s="765" t="s">
        <v>6180</v>
      </c>
      <c r="F176" s="307">
        <v>90.0</v>
      </c>
      <c r="G176" s="254">
        <v>2.0</v>
      </c>
      <c r="H176" s="267">
        <f t="shared" si="5"/>
        <v>180</v>
      </c>
      <c r="I176" s="266" t="s">
        <v>171</v>
      </c>
      <c r="J176" s="369" t="s">
        <v>6632</v>
      </c>
      <c r="K176" s="258">
        <v>42842.0</v>
      </c>
      <c r="L176" s="258">
        <v>42838.0</v>
      </c>
      <c r="M176" s="256" t="s">
        <v>2039</v>
      </c>
      <c r="N176" s="252" t="s">
        <v>6633</v>
      </c>
      <c r="O176" s="339"/>
      <c r="P176" s="637">
        <v>2646.0</v>
      </c>
      <c r="Q176" s="765" t="s">
        <v>2194</v>
      </c>
      <c r="R176" s="253"/>
      <c r="S176" s="810">
        <v>42848.0</v>
      </c>
      <c r="T176" s="769">
        <v>42836.0</v>
      </c>
      <c r="U176" s="765" t="s">
        <v>6634</v>
      </c>
      <c r="V176" s="770">
        <v>10868.0</v>
      </c>
      <c r="W176" s="258">
        <v>42849.0</v>
      </c>
      <c r="X176" s="252" t="s">
        <v>6635</v>
      </c>
      <c r="Y176" s="1037"/>
      <c r="Z176" s="1037"/>
      <c r="AA176" s="1037"/>
      <c r="AB176" s="766"/>
      <c r="AC176" s="253" t="s">
        <v>284</v>
      </c>
    </row>
    <row r="177" ht="15.75" customHeight="1">
      <c r="A177" s="764">
        <v>42813.0</v>
      </c>
      <c r="B177" s="1004" t="s">
        <v>77</v>
      </c>
      <c r="C177" s="765" t="s">
        <v>6630</v>
      </c>
      <c r="D177" s="765" t="s">
        <v>6631</v>
      </c>
      <c r="E177" s="765" t="s">
        <v>6183</v>
      </c>
      <c r="F177" s="1041">
        <v>90.0</v>
      </c>
      <c r="G177" s="325">
        <v>6.0</v>
      </c>
      <c r="H177" s="267">
        <f t="shared" si="5"/>
        <v>540</v>
      </c>
      <c r="I177" s="266" t="s">
        <v>171</v>
      </c>
      <c r="J177" s="369" t="s">
        <v>6632</v>
      </c>
      <c r="K177" s="258">
        <v>42842.0</v>
      </c>
      <c r="L177" s="258">
        <v>42838.0</v>
      </c>
      <c r="M177" s="256" t="s">
        <v>2039</v>
      </c>
      <c r="N177" s="252" t="s">
        <v>6633</v>
      </c>
      <c r="O177" s="339"/>
      <c r="P177" s="637">
        <v>8222.0</v>
      </c>
      <c r="Q177" s="1004" t="s">
        <v>2194</v>
      </c>
      <c r="R177" s="253"/>
      <c r="S177" s="810">
        <v>42848.0</v>
      </c>
      <c r="T177" s="769">
        <v>42836.0</v>
      </c>
      <c r="U177" s="765" t="s">
        <v>6634</v>
      </c>
      <c r="V177" s="765" t="s">
        <v>6636</v>
      </c>
      <c r="W177" s="258">
        <v>42849.0</v>
      </c>
      <c r="X177" s="252" t="s">
        <v>6635</v>
      </c>
      <c r="Y177" s="1037"/>
      <c r="Z177" s="1037"/>
      <c r="AA177" s="1037"/>
      <c r="AB177" s="766"/>
      <c r="AC177" s="253" t="s">
        <v>284</v>
      </c>
    </row>
    <row r="178" ht="15.75" customHeight="1">
      <c r="A178" s="764">
        <v>42813.0</v>
      </c>
      <c r="B178" s="1004" t="s">
        <v>77</v>
      </c>
      <c r="C178" s="765" t="s">
        <v>6630</v>
      </c>
      <c r="D178" s="765" t="s">
        <v>6631</v>
      </c>
      <c r="E178" s="765" t="s">
        <v>6637</v>
      </c>
      <c r="F178" s="266">
        <v>30.0</v>
      </c>
      <c r="G178" s="267">
        <v>90.0</v>
      </c>
      <c r="H178" s="267">
        <f t="shared" si="5"/>
        <v>2700</v>
      </c>
      <c r="I178" s="266" t="s">
        <v>171</v>
      </c>
      <c r="J178" s="369" t="s">
        <v>6632</v>
      </c>
      <c r="K178" s="258">
        <v>42842.0</v>
      </c>
      <c r="L178" s="258">
        <v>42836.0</v>
      </c>
      <c r="M178" s="403" t="s">
        <v>3489</v>
      </c>
      <c r="N178" s="252" t="s">
        <v>6638</v>
      </c>
      <c r="O178" s="581"/>
      <c r="P178" s="579">
        <v>77188.0</v>
      </c>
      <c r="Q178" s="604" t="s">
        <v>6639</v>
      </c>
      <c r="R178" s="253"/>
      <c r="S178" s="810">
        <v>42866.0</v>
      </c>
      <c r="T178" s="769">
        <v>42836.0</v>
      </c>
      <c r="U178" s="765" t="s">
        <v>6640</v>
      </c>
      <c r="V178" s="770">
        <v>77188.0</v>
      </c>
      <c r="W178" s="601">
        <v>42849.0</v>
      </c>
      <c r="X178" s="252" t="s">
        <v>6635</v>
      </c>
      <c r="Y178" s="1037"/>
      <c r="Z178" s="1037"/>
      <c r="AA178" s="1037"/>
      <c r="AB178" s="766"/>
      <c r="AC178" s="253" t="s">
        <v>284</v>
      </c>
    </row>
    <row r="179" ht="15.75" customHeight="1">
      <c r="A179" s="764">
        <v>42813.0</v>
      </c>
      <c r="B179" s="1004" t="s">
        <v>77</v>
      </c>
      <c r="C179" s="765" t="s">
        <v>6630</v>
      </c>
      <c r="D179" s="765" t="s">
        <v>6631</v>
      </c>
      <c r="E179" s="765" t="s">
        <v>6641</v>
      </c>
      <c r="F179" s="253">
        <v>50.0</v>
      </c>
      <c r="G179" s="793">
        <v>2.25</v>
      </c>
      <c r="H179" s="267">
        <f t="shared" si="5"/>
        <v>112.5</v>
      </c>
      <c r="I179" s="266" t="s">
        <v>171</v>
      </c>
      <c r="J179" s="369" t="s">
        <v>6632</v>
      </c>
      <c r="K179" s="258">
        <v>42842.0</v>
      </c>
      <c r="L179" s="258">
        <v>42836.0</v>
      </c>
      <c r="M179" s="256" t="s">
        <v>3769</v>
      </c>
      <c r="N179" s="252" t="s">
        <v>6642</v>
      </c>
      <c r="O179" s="339"/>
      <c r="P179" s="816"/>
      <c r="Q179" s="388" t="s">
        <v>2131</v>
      </c>
      <c r="R179" s="252"/>
      <c r="S179" s="581" t="s">
        <v>6643</v>
      </c>
      <c r="T179" s="769"/>
      <c r="U179" s="765"/>
      <c r="V179" s="765"/>
      <c r="W179" s="253"/>
      <c r="X179" s="252" t="s">
        <v>6635</v>
      </c>
      <c r="Y179" s="1037"/>
      <c r="Z179" s="1037"/>
      <c r="AA179" s="1037"/>
      <c r="AB179" s="766"/>
      <c r="AC179" s="253" t="s">
        <v>284</v>
      </c>
    </row>
    <row r="180" ht="15.75" customHeight="1">
      <c r="A180" s="764">
        <v>42813.0</v>
      </c>
      <c r="B180" s="1004" t="s">
        <v>77</v>
      </c>
      <c r="C180" s="765" t="s">
        <v>6630</v>
      </c>
      <c r="D180" s="765" t="s">
        <v>6631</v>
      </c>
      <c r="E180" s="765" t="s">
        <v>6644</v>
      </c>
      <c r="F180" s="307">
        <v>50.0</v>
      </c>
      <c r="G180" s="325">
        <v>3.0</v>
      </c>
      <c r="H180" s="267">
        <f t="shared" si="5"/>
        <v>150</v>
      </c>
      <c r="I180" s="266" t="s">
        <v>171</v>
      </c>
      <c r="J180" s="369" t="s">
        <v>6632</v>
      </c>
      <c r="K180" s="258">
        <v>42842.0</v>
      </c>
      <c r="L180" s="258">
        <v>42836.0</v>
      </c>
      <c r="M180" s="266" t="s">
        <v>3769</v>
      </c>
      <c r="N180" s="252" t="s">
        <v>6645</v>
      </c>
      <c r="O180" s="339"/>
      <c r="P180" s="816"/>
      <c r="Q180" s="330" t="s">
        <v>2131</v>
      </c>
      <c r="R180" s="252"/>
      <c r="S180" s="581" t="s">
        <v>6643</v>
      </c>
      <c r="T180" s="765"/>
      <c r="U180" s="765"/>
      <c r="V180" s="765"/>
      <c r="W180" s="253"/>
      <c r="X180" s="252" t="s">
        <v>6635</v>
      </c>
      <c r="Y180" s="1037"/>
      <c r="Z180" s="1037"/>
      <c r="AA180" s="1037"/>
      <c r="AB180" s="766"/>
      <c r="AC180" s="253" t="s">
        <v>284</v>
      </c>
    </row>
    <row r="181" ht="15.75" customHeight="1">
      <c r="A181" s="764">
        <v>42813.0</v>
      </c>
      <c r="B181" s="1004" t="s">
        <v>77</v>
      </c>
      <c r="C181" s="765" t="s">
        <v>6630</v>
      </c>
      <c r="D181" s="765" t="s">
        <v>6631</v>
      </c>
      <c r="E181" s="765" t="s">
        <v>362</v>
      </c>
      <c r="F181" s="307">
        <v>100.0</v>
      </c>
      <c r="G181" s="325">
        <v>20.0</v>
      </c>
      <c r="H181" s="267">
        <f t="shared" si="5"/>
        <v>2000</v>
      </c>
      <c r="I181" s="266" t="s">
        <v>171</v>
      </c>
      <c r="J181" s="369" t="s">
        <v>6632</v>
      </c>
      <c r="K181" s="258">
        <v>42842.0</v>
      </c>
      <c r="L181" s="258">
        <v>42836.0</v>
      </c>
      <c r="M181" s="403" t="s">
        <v>6287</v>
      </c>
      <c r="N181" s="252" t="s">
        <v>6646</v>
      </c>
      <c r="O181" s="267">
        <v>1827.0</v>
      </c>
      <c r="P181" s="816"/>
      <c r="Q181" s="388" t="s">
        <v>2043</v>
      </c>
      <c r="R181" s="253"/>
      <c r="S181" s="810">
        <v>42849.0</v>
      </c>
      <c r="T181" s="769">
        <v>42835.0</v>
      </c>
      <c r="U181" s="765" t="s">
        <v>6647</v>
      </c>
      <c r="V181" s="770">
        <v>55924.0</v>
      </c>
      <c r="W181" s="601">
        <v>42850.0</v>
      </c>
      <c r="X181" s="252" t="s">
        <v>6635</v>
      </c>
      <c r="Y181" s="1037"/>
      <c r="Z181" s="1037"/>
      <c r="AA181" s="1037"/>
      <c r="AB181" s="766"/>
      <c r="AC181" s="253" t="s">
        <v>284</v>
      </c>
    </row>
    <row r="182" ht="15.75" customHeight="1">
      <c r="A182" s="764">
        <v>42814.0</v>
      </c>
      <c r="B182" s="1004" t="s">
        <v>101</v>
      </c>
      <c r="C182" s="765" t="s">
        <v>6648</v>
      </c>
      <c r="D182" s="765" t="s">
        <v>6649</v>
      </c>
      <c r="E182" s="765" t="s">
        <v>6650</v>
      </c>
      <c r="F182" s="307">
        <v>10.0</v>
      </c>
      <c r="G182" s="325">
        <v>417.0</v>
      </c>
      <c r="H182" s="267">
        <f t="shared" si="5"/>
        <v>4170</v>
      </c>
      <c r="I182" s="266" t="s">
        <v>3474</v>
      </c>
      <c r="J182" s="369" t="s">
        <v>3739</v>
      </c>
      <c r="K182" s="258">
        <v>42824.0</v>
      </c>
      <c r="L182" s="258">
        <v>42823.0</v>
      </c>
      <c r="M182" s="333" t="s">
        <v>2034</v>
      </c>
      <c r="N182" s="252" t="s">
        <v>6651</v>
      </c>
      <c r="O182" s="267">
        <v>3948.0</v>
      </c>
      <c r="P182" s="816"/>
      <c r="Q182" s="765" t="s">
        <v>2036</v>
      </c>
      <c r="R182" s="253"/>
      <c r="S182" s="810">
        <v>42891.0</v>
      </c>
      <c r="T182" s="769">
        <v>42822.0</v>
      </c>
      <c r="U182" s="765" t="s">
        <v>6652</v>
      </c>
      <c r="V182" s="770">
        <v>119111.0</v>
      </c>
      <c r="W182" s="258">
        <v>42891.0</v>
      </c>
      <c r="X182" s="252" t="s">
        <v>6611</v>
      </c>
      <c r="Y182" s="1037"/>
      <c r="Z182" s="1037"/>
      <c r="AA182" s="1037"/>
      <c r="AB182" s="766"/>
      <c r="AC182" s="253" t="s">
        <v>284</v>
      </c>
    </row>
    <row r="183" ht="15.75" customHeight="1">
      <c r="A183" s="764">
        <v>42814.0</v>
      </c>
      <c r="B183" s="1004" t="s">
        <v>101</v>
      </c>
      <c r="C183" s="765" t="s">
        <v>6648</v>
      </c>
      <c r="D183" s="765" t="s">
        <v>6649</v>
      </c>
      <c r="E183" s="765" t="s">
        <v>6653</v>
      </c>
      <c r="F183" s="307">
        <v>7.0</v>
      </c>
      <c r="G183" s="325">
        <v>155.0</v>
      </c>
      <c r="H183" s="267">
        <f t="shared" si="5"/>
        <v>1085</v>
      </c>
      <c r="I183" s="266" t="s">
        <v>3474</v>
      </c>
      <c r="J183" s="369" t="s">
        <v>3739</v>
      </c>
      <c r="K183" s="258">
        <v>42824.0</v>
      </c>
      <c r="L183" s="258">
        <v>42823.0</v>
      </c>
      <c r="M183" s="333" t="s">
        <v>3775</v>
      </c>
      <c r="N183" s="252" t="s">
        <v>6654</v>
      </c>
      <c r="O183" s="339"/>
      <c r="P183" s="637">
        <v>30870.0</v>
      </c>
      <c r="Q183" s="320" t="s">
        <v>6376</v>
      </c>
      <c r="R183" s="253"/>
      <c r="S183" s="810">
        <v>42860.0</v>
      </c>
      <c r="T183" s="769">
        <v>42817.0</v>
      </c>
      <c r="U183" s="765" t="s">
        <v>6655</v>
      </c>
      <c r="V183" s="770">
        <v>30870.0</v>
      </c>
      <c r="W183" s="601">
        <v>42853.0</v>
      </c>
      <c r="X183" s="252" t="s">
        <v>6611</v>
      </c>
      <c r="Y183" s="1037"/>
      <c r="Z183" s="1037"/>
      <c r="AA183" s="1037"/>
      <c r="AB183" s="766"/>
      <c r="AC183" s="253" t="s">
        <v>284</v>
      </c>
    </row>
    <row r="184" ht="15.75" customHeight="1">
      <c r="A184" s="764">
        <v>42815.0</v>
      </c>
      <c r="B184" s="1004" t="s">
        <v>631</v>
      </c>
      <c r="C184" s="765" t="s">
        <v>6656</v>
      </c>
      <c r="D184" s="765" t="s">
        <v>6657</v>
      </c>
      <c r="E184" s="765" t="s">
        <v>6658</v>
      </c>
      <c r="F184" s="307">
        <v>5.0</v>
      </c>
      <c r="G184" s="325">
        <v>185.85</v>
      </c>
      <c r="H184" s="267">
        <f t="shared" si="5"/>
        <v>929.25</v>
      </c>
      <c r="I184" s="266" t="s">
        <v>171</v>
      </c>
      <c r="J184" s="253" t="s">
        <v>90</v>
      </c>
      <c r="K184" s="258">
        <v>42842.0</v>
      </c>
      <c r="L184" s="258">
        <v>42842.0</v>
      </c>
      <c r="M184" s="592" t="s">
        <v>90</v>
      </c>
      <c r="N184" s="252" t="s">
        <v>6659</v>
      </c>
      <c r="O184" s="581">
        <v>750.75</v>
      </c>
      <c r="P184" s="816"/>
      <c r="Q184" s="320" t="s">
        <v>6081</v>
      </c>
      <c r="R184" s="765"/>
      <c r="S184" s="810">
        <v>42860.0</v>
      </c>
      <c r="T184" s="771">
        <v>42842.0</v>
      </c>
      <c r="U184" s="252" t="s">
        <v>6660</v>
      </c>
      <c r="V184" s="774">
        <v>34241.0</v>
      </c>
      <c r="W184" s="601">
        <v>42860.0</v>
      </c>
      <c r="X184" s="765" t="s">
        <v>6513</v>
      </c>
      <c r="Y184" s="1037"/>
      <c r="Z184" s="765" t="s">
        <v>6514</v>
      </c>
      <c r="AA184" s="253" t="s">
        <v>6661</v>
      </c>
      <c r="AB184" s="765" t="s">
        <v>6515</v>
      </c>
      <c r="AC184" s="253" t="s">
        <v>377</v>
      </c>
    </row>
    <row r="185" ht="15.75" customHeight="1">
      <c r="A185" s="764">
        <v>42815.0</v>
      </c>
      <c r="B185" s="1004" t="s">
        <v>631</v>
      </c>
      <c r="C185" s="765" t="s">
        <v>6656</v>
      </c>
      <c r="D185" s="765" t="s">
        <v>6657</v>
      </c>
      <c r="E185" s="765" t="s">
        <v>6662</v>
      </c>
      <c r="F185" s="307">
        <v>5.0</v>
      </c>
      <c r="G185" s="325">
        <v>86.1</v>
      </c>
      <c r="H185" s="267">
        <f t="shared" si="5"/>
        <v>430.5</v>
      </c>
      <c r="I185" s="266" t="s">
        <v>171</v>
      </c>
      <c r="J185" s="253" t="s">
        <v>90</v>
      </c>
      <c r="K185" s="258">
        <v>42842.0</v>
      </c>
      <c r="L185" s="258">
        <v>42842.0</v>
      </c>
      <c r="M185" s="253" t="s">
        <v>90</v>
      </c>
      <c r="N185" s="252" t="s">
        <v>6659</v>
      </c>
      <c r="O185" s="581">
        <v>378.0</v>
      </c>
      <c r="P185" s="816"/>
      <c r="Q185" s="320" t="s">
        <v>6081</v>
      </c>
      <c r="R185" s="765"/>
      <c r="S185" s="810">
        <v>42860.0</v>
      </c>
      <c r="T185" s="771">
        <v>42842.0</v>
      </c>
      <c r="U185" s="252" t="s">
        <v>6660</v>
      </c>
      <c r="V185" s="252" t="s">
        <v>6663</v>
      </c>
      <c r="W185" s="601">
        <v>42860.0</v>
      </c>
      <c r="X185" s="765" t="s">
        <v>6513</v>
      </c>
      <c r="Y185" s="1037"/>
      <c r="Z185" s="765" t="s">
        <v>6514</v>
      </c>
      <c r="AA185" s="253" t="s">
        <v>6661</v>
      </c>
      <c r="AB185" s="765" t="s">
        <v>6515</v>
      </c>
      <c r="AC185" s="253" t="s">
        <v>377</v>
      </c>
    </row>
    <row r="186" ht="15.75" customHeight="1">
      <c r="A186" s="764">
        <v>42815.0</v>
      </c>
      <c r="B186" s="1004" t="s">
        <v>101</v>
      </c>
      <c r="C186" s="765" t="s">
        <v>6664</v>
      </c>
      <c r="D186" s="765" t="s">
        <v>6665</v>
      </c>
      <c r="E186" s="765" t="s">
        <v>6666</v>
      </c>
      <c r="F186" s="307">
        <v>3.0</v>
      </c>
      <c r="G186" s="325">
        <v>550.0</v>
      </c>
      <c r="H186" s="267">
        <f t="shared" si="5"/>
        <v>1650</v>
      </c>
      <c r="I186" s="266" t="s">
        <v>3474</v>
      </c>
      <c r="J186" s="369" t="s">
        <v>3739</v>
      </c>
      <c r="K186" s="258">
        <v>42832.0</v>
      </c>
      <c r="L186" s="258">
        <v>42831.0</v>
      </c>
      <c r="M186" s="403" t="s">
        <v>2028</v>
      </c>
      <c r="N186" s="252" t="s">
        <v>6667</v>
      </c>
      <c r="O186" s="339"/>
      <c r="P186" s="637">
        <v>47559.0</v>
      </c>
      <c r="Q186" s="340" t="s">
        <v>2030</v>
      </c>
      <c r="R186" s="253"/>
      <c r="S186" s="810">
        <v>42821.0</v>
      </c>
      <c r="T186" s="769">
        <v>42831.0</v>
      </c>
      <c r="U186" s="765" t="s">
        <v>6668</v>
      </c>
      <c r="V186" s="770">
        <v>59664.0</v>
      </c>
      <c r="W186" s="258">
        <v>42821.0</v>
      </c>
      <c r="X186" s="252" t="s">
        <v>6669</v>
      </c>
      <c r="Y186" s="1037"/>
      <c r="Z186" s="1037"/>
      <c r="AA186" s="1037"/>
      <c r="AB186" s="766"/>
      <c r="AC186" s="253" t="s">
        <v>284</v>
      </c>
    </row>
    <row r="187" ht="15.75" customHeight="1">
      <c r="A187" s="764">
        <v>42815.0</v>
      </c>
      <c r="B187" s="1004" t="s">
        <v>101</v>
      </c>
      <c r="C187" s="765" t="s">
        <v>6664</v>
      </c>
      <c r="D187" s="765" t="s">
        <v>6665</v>
      </c>
      <c r="E187" s="765" t="s">
        <v>6670</v>
      </c>
      <c r="F187" s="307">
        <v>3.0</v>
      </c>
      <c r="G187" s="254">
        <v>78.0</v>
      </c>
      <c r="H187" s="267">
        <f t="shared" si="5"/>
        <v>234</v>
      </c>
      <c r="I187" s="266" t="s">
        <v>3474</v>
      </c>
      <c r="J187" s="369" t="s">
        <v>3739</v>
      </c>
      <c r="K187" s="258">
        <v>42832.0</v>
      </c>
      <c r="L187" s="258">
        <v>42831.0</v>
      </c>
      <c r="M187" s="333" t="s">
        <v>2028</v>
      </c>
      <c r="N187" s="252" t="s">
        <v>6667</v>
      </c>
      <c r="O187" s="339"/>
      <c r="P187" s="637">
        <v>6725.0</v>
      </c>
      <c r="Q187" s="340" t="s">
        <v>2030</v>
      </c>
      <c r="R187" s="253"/>
      <c r="S187" s="810">
        <v>42821.0</v>
      </c>
      <c r="T187" s="769">
        <v>42831.0</v>
      </c>
      <c r="U187" s="765" t="s">
        <v>6668</v>
      </c>
      <c r="V187" s="770">
        <v>59664.0</v>
      </c>
      <c r="W187" s="258">
        <v>42821.0</v>
      </c>
      <c r="X187" s="252" t="s">
        <v>6669</v>
      </c>
      <c r="Y187" s="1037"/>
      <c r="Z187" s="1037"/>
      <c r="AA187" s="1037"/>
      <c r="AB187" s="766"/>
      <c r="AC187" s="253" t="s">
        <v>284</v>
      </c>
    </row>
    <row r="188" ht="15.75" customHeight="1">
      <c r="A188" s="764">
        <v>42815.0</v>
      </c>
      <c r="B188" s="1004" t="s">
        <v>101</v>
      </c>
      <c r="C188" s="765" t="s">
        <v>6664</v>
      </c>
      <c r="D188" s="765" t="s">
        <v>6671</v>
      </c>
      <c r="E188" s="765" t="s">
        <v>6672</v>
      </c>
      <c r="F188" s="307">
        <v>3.0</v>
      </c>
      <c r="G188" s="254">
        <v>31.0</v>
      </c>
      <c r="H188" s="267">
        <f t="shared" si="5"/>
        <v>93</v>
      </c>
      <c r="I188" s="266" t="s">
        <v>3474</v>
      </c>
      <c r="J188" s="369" t="s">
        <v>3739</v>
      </c>
      <c r="K188" s="258">
        <v>42832.0</v>
      </c>
      <c r="L188" s="258">
        <v>42831.0</v>
      </c>
      <c r="M188" s="333" t="s">
        <v>2028</v>
      </c>
      <c r="N188" s="252" t="s">
        <v>6667</v>
      </c>
      <c r="O188" s="339"/>
      <c r="P188" s="637">
        <v>2690.0</v>
      </c>
      <c r="Q188" s="340" t="s">
        <v>2030</v>
      </c>
      <c r="R188" s="253"/>
      <c r="S188" s="810">
        <v>42821.0</v>
      </c>
      <c r="T188" s="769">
        <v>42831.0</v>
      </c>
      <c r="U188" s="765" t="s">
        <v>6668</v>
      </c>
      <c r="V188" s="770">
        <v>59664.0</v>
      </c>
      <c r="W188" s="258">
        <v>42821.0</v>
      </c>
      <c r="X188" s="252" t="s">
        <v>6669</v>
      </c>
      <c r="Y188" s="1037"/>
      <c r="Z188" s="1037"/>
      <c r="AA188" s="1037"/>
      <c r="AB188" s="766"/>
      <c r="AC188" s="253" t="s">
        <v>284</v>
      </c>
    </row>
    <row r="189" ht="15.75" customHeight="1">
      <c r="A189" s="764">
        <v>42815.0</v>
      </c>
      <c r="B189" s="1004" t="s">
        <v>101</v>
      </c>
      <c r="C189" s="765" t="s">
        <v>6664</v>
      </c>
      <c r="D189" s="765" t="s">
        <v>6671</v>
      </c>
      <c r="E189" s="765" t="s">
        <v>6673</v>
      </c>
      <c r="F189" s="307">
        <v>3.0</v>
      </c>
      <c r="G189" s="254">
        <v>31.0</v>
      </c>
      <c r="H189" s="267">
        <f t="shared" si="5"/>
        <v>93</v>
      </c>
      <c r="I189" s="266" t="s">
        <v>3474</v>
      </c>
      <c r="J189" s="369" t="s">
        <v>3739</v>
      </c>
      <c r="K189" s="258">
        <v>42832.0</v>
      </c>
      <c r="L189" s="258">
        <v>42831.0</v>
      </c>
      <c r="M189" s="333" t="s">
        <v>2028</v>
      </c>
      <c r="N189" s="252" t="s">
        <v>6667</v>
      </c>
      <c r="O189" s="339"/>
      <c r="P189" s="637">
        <v>2690.0</v>
      </c>
      <c r="Q189" s="340" t="s">
        <v>2030</v>
      </c>
      <c r="R189" s="765"/>
      <c r="S189" s="810">
        <v>42821.0</v>
      </c>
      <c r="T189" s="769">
        <v>42831.0</v>
      </c>
      <c r="U189" s="765" t="s">
        <v>6668</v>
      </c>
      <c r="V189" s="770">
        <v>59664.0</v>
      </c>
      <c r="W189" s="258">
        <v>42821.0</v>
      </c>
      <c r="X189" s="252" t="s">
        <v>6669</v>
      </c>
      <c r="Y189" s="1037"/>
      <c r="Z189" s="1037"/>
      <c r="AA189" s="1037"/>
      <c r="AB189" s="766"/>
      <c r="AC189" s="253" t="s">
        <v>284</v>
      </c>
    </row>
    <row r="190" ht="15.75" customHeight="1">
      <c r="A190" s="764">
        <v>42815.0</v>
      </c>
      <c r="B190" s="1004" t="s">
        <v>101</v>
      </c>
      <c r="C190" s="765" t="s">
        <v>6664</v>
      </c>
      <c r="D190" s="765" t="s">
        <v>6665</v>
      </c>
      <c r="E190" s="765" t="s">
        <v>6674</v>
      </c>
      <c r="F190" s="307">
        <v>3.0</v>
      </c>
      <c r="G190" s="254">
        <v>352.0</v>
      </c>
      <c r="H190" s="267">
        <f t="shared" si="5"/>
        <v>1056</v>
      </c>
      <c r="I190" s="266" t="s">
        <v>3474</v>
      </c>
      <c r="J190" s="369" t="s">
        <v>3739</v>
      </c>
      <c r="K190" s="258">
        <v>42832.0</v>
      </c>
      <c r="L190" s="258">
        <v>42822.0</v>
      </c>
      <c r="M190" s="256" t="s">
        <v>2129</v>
      </c>
      <c r="N190" s="252" t="s">
        <v>6675</v>
      </c>
      <c r="O190" s="581">
        <v>897.75</v>
      </c>
      <c r="P190" s="816"/>
      <c r="Q190" s="320" t="s">
        <v>3916</v>
      </c>
      <c r="R190" s="253"/>
      <c r="S190" s="810">
        <v>42848.0</v>
      </c>
      <c r="T190" s="769">
        <v>42818.0</v>
      </c>
      <c r="U190" s="765" t="s">
        <v>6676</v>
      </c>
      <c r="V190" s="770">
        <v>27370.0</v>
      </c>
      <c r="W190" s="258">
        <v>42842.0</v>
      </c>
      <c r="X190" s="252" t="s">
        <v>6669</v>
      </c>
      <c r="Y190" s="1037"/>
      <c r="Z190" s="1037"/>
      <c r="AA190" s="1037"/>
      <c r="AB190" s="766"/>
      <c r="AC190" s="253" t="s">
        <v>284</v>
      </c>
    </row>
    <row r="191" ht="15.75" customHeight="1">
      <c r="A191" s="764">
        <v>42815.0</v>
      </c>
      <c r="B191" s="1004" t="s">
        <v>101</v>
      </c>
      <c r="C191" s="765" t="s">
        <v>6664</v>
      </c>
      <c r="D191" s="765" t="s">
        <v>6665</v>
      </c>
      <c r="E191" s="765" t="s">
        <v>6677</v>
      </c>
      <c r="F191" s="307">
        <v>3.0</v>
      </c>
      <c r="G191" s="254">
        <v>42.0</v>
      </c>
      <c r="H191" s="267">
        <f t="shared" si="5"/>
        <v>126</v>
      </c>
      <c r="I191" s="266" t="s">
        <v>3474</v>
      </c>
      <c r="J191" s="369" t="s">
        <v>3739</v>
      </c>
      <c r="K191" s="258">
        <v>42832.0</v>
      </c>
      <c r="L191" s="258">
        <v>42822.0</v>
      </c>
      <c r="M191" s="256" t="s">
        <v>2170</v>
      </c>
      <c r="N191" s="252" t="s">
        <v>6678</v>
      </c>
      <c r="O191" s="339"/>
      <c r="P191" s="637">
        <v>3204.0</v>
      </c>
      <c r="Q191" s="320" t="s">
        <v>2172</v>
      </c>
      <c r="R191" s="253"/>
      <c r="S191" s="810">
        <v>42817.0</v>
      </c>
      <c r="T191" s="769">
        <v>42818.0</v>
      </c>
      <c r="U191" s="765" t="s">
        <v>6679</v>
      </c>
      <c r="V191" s="770">
        <v>3204.0</v>
      </c>
      <c r="W191" s="258">
        <v>42817.0</v>
      </c>
      <c r="X191" s="252" t="s">
        <v>6669</v>
      </c>
      <c r="Y191" s="1037"/>
      <c r="Z191" s="1037"/>
      <c r="AA191" s="1037"/>
      <c r="AB191" s="766"/>
      <c r="AC191" s="253" t="s">
        <v>284</v>
      </c>
    </row>
    <row r="192" ht="15.75" customHeight="1">
      <c r="A192" s="764">
        <v>42816.0</v>
      </c>
      <c r="B192" s="1004" t="s">
        <v>378</v>
      </c>
      <c r="C192" s="765">
        <v>7978.0</v>
      </c>
      <c r="D192" s="765" t="s">
        <v>6680</v>
      </c>
      <c r="E192" s="765" t="s">
        <v>380</v>
      </c>
      <c r="F192" s="307">
        <v>2.0</v>
      </c>
      <c r="G192" s="254">
        <v>83.0</v>
      </c>
      <c r="H192" s="267">
        <f t="shared" si="5"/>
        <v>166</v>
      </c>
      <c r="I192" s="266" t="s">
        <v>3474</v>
      </c>
      <c r="J192" s="369" t="s">
        <v>6681</v>
      </c>
      <c r="K192" s="258">
        <v>42866.0</v>
      </c>
      <c r="L192" s="258">
        <v>42844.0</v>
      </c>
      <c r="M192" s="256" t="s">
        <v>2054</v>
      </c>
      <c r="N192" s="765" t="s">
        <v>6682</v>
      </c>
      <c r="O192" s="581">
        <v>147.0</v>
      </c>
      <c r="P192" s="637">
        <v>4492.0</v>
      </c>
      <c r="Q192" s="265" t="s">
        <v>2056</v>
      </c>
      <c r="R192" s="765"/>
      <c r="S192" s="581" t="s">
        <v>422</v>
      </c>
      <c r="T192" s="769">
        <v>42843.0</v>
      </c>
      <c r="U192" s="765" t="s">
        <v>6683</v>
      </c>
      <c r="V192" s="770">
        <v>4492.0</v>
      </c>
      <c r="W192" s="601">
        <v>42839.0</v>
      </c>
      <c r="X192" s="252" t="s">
        <v>6684</v>
      </c>
      <c r="Y192" s="253" t="s">
        <v>6685</v>
      </c>
      <c r="Z192" s="1037"/>
      <c r="AA192" s="1037"/>
      <c r="AB192" s="766"/>
      <c r="AC192" s="253" t="s">
        <v>284</v>
      </c>
    </row>
    <row r="193" ht="15.75" customHeight="1">
      <c r="A193" s="764">
        <v>42816.0</v>
      </c>
      <c r="B193" s="1004" t="s">
        <v>378</v>
      </c>
      <c r="C193" s="765">
        <v>7978.0</v>
      </c>
      <c r="D193" s="765" t="s">
        <v>6680</v>
      </c>
      <c r="E193" s="765" t="s">
        <v>700</v>
      </c>
      <c r="F193" s="307">
        <v>1.0</v>
      </c>
      <c r="G193" s="325">
        <v>25.0</v>
      </c>
      <c r="H193" s="267">
        <f t="shared" si="5"/>
        <v>25</v>
      </c>
      <c r="I193" s="266" t="s">
        <v>3474</v>
      </c>
      <c r="J193" s="369" t="s">
        <v>6681</v>
      </c>
      <c r="K193" s="258">
        <v>42866.0</v>
      </c>
      <c r="L193" s="258">
        <v>42844.0</v>
      </c>
      <c r="M193" s="592"/>
      <c r="N193" s="253"/>
      <c r="O193" s="339"/>
      <c r="P193" s="816"/>
      <c r="Q193" s="592"/>
      <c r="R193" s="765"/>
      <c r="S193" s="331"/>
      <c r="T193" s="765"/>
      <c r="U193" s="765"/>
      <c r="V193" s="765"/>
      <c r="W193" s="253"/>
      <c r="X193" s="252" t="s">
        <v>6684</v>
      </c>
      <c r="Y193" s="253"/>
      <c r="Z193" s="1037"/>
      <c r="AA193" s="1037"/>
      <c r="AB193" s="766"/>
      <c r="AC193" s="253" t="s">
        <v>284</v>
      </c>
    </row>
    <row r="194" ht="15.75" customHeight="1">
      <c r="A194" s="764">
        <v>42817.0</v>
      </c>
      <c r="B194" s="1004" t="s">
        <v>77</v>
      </c>
      <c r="C194" s="765" t="s">
        <v>6686</v>
      </c>
      <c r="D194" s="765" t="s">
        <v>6687</v>
      </c>
      <c r="E194" s="765" t="s">
        <v>6688</v>
      </c>
      <c r="F194" s="307">
        <v>2.0</v>
      </c>
      <c r="G194" s="325">
        <v>270.0</v>
      </c>
      <c r="H194" s="581">
        <f t="shared" si="5"/>
        <v>540</v>
      </c>
      <c r="I194" s="266" t="s">
        <v>43</v>
      </c>
      <c r="J194" s="369" t="s">
        <v>6632</v>
      </c>
      <c r="K194" s="258">
        <v>42842.0</v>
      </c>
      <c r="L194" s="258">
        <v>42839.0</v>
      </c>
      <c r="M194" s="333" t="s">
        <v>1998</v>
      </c>
      <c r="N194" s="765" t="s">
        <v>6689</v>
      </c>
      <c r="O194" s="581">
        <v>462.0</v>
      </c>
      <c r="P194" s="816"/>
      <c r="Q194" s="320" t="s">
        <v>2000</v>
      </c>
      <c r="R194" s="765"/>
      <c r="S194" s="810">
        <v>42891.0</v>
      </c>
      <c r="T194" s="769">
        <v>42839.0</v>
      </c>
      <c r="U194" s="765" t="s">
        <v>6690</v>
      </c>
      <c r="V194" s="770">
        <v>14049.0</v>
      </c>
      <c r="W194" s="258">
        <v>42923.0</v>
      </c>
      <c r="X194" s="252" t="s">
        <v>6635</v>
      </c>
      <c r="Y194" s="1037"/>
      <c r="Z194" s="1037"/>
      <c r="AA194" s="1037"/>
      <c r="AB194" s="766"/>
      <c r="AC194" s="253" t="s">
        <v>284</v>
      </c>
    </row>
    <row r="195" ht="15.75" customHeight="1">
      <c r="A195" s="764">
        <v>42817.0</v>
      </c>
      <c r="B195" s="1004" t="s">
        <v>77</v>
      </c>
      <c r="C195" s="765" t="s">
        <v>6691</v>
      </c>
      <c r="D195" s="765" t="s">
        <v>6692</v>
      </c>
      <c r="E195" s="765" t="s">
        <v>6693</v>
      </c>
      <c r="F195" s="307">
        <v>3.0</v>
      </c>
      <c r="G195" s="325">
        <v>282.0</v>
      </c>
      <c r="H195" s="581">
        <f t="shared" si="5"/>
        <v>846</v>
      </c>
      <c r="I195" s="266" t="s">
        <v>43</v>
      </c>
      <c r="J195" s="369" t="s">
        <v>6632</v>
      </c>
      <c r="K195" s="258">
        <v>42842.0</v>
      </c>
      <c r="L195" s="258">
        <v>42831.0</v>
      </c>
      <c r="M195" s="333" t="s">
        <v>1998</v>
      </c>
      <c r="N195" s="765" t="s">
        <v>6689</v>
      </c>
      <c r="O195" s="581">
        <v>756.0</v>
      </c>
      <c r="P195" s="816"/>
      <c r="Q195" s="320" t="s">
        <v>2000</v>
      </c>
      <c r="R195" s="765"/>
      <c r="S195" s="810">
        <v>42891.0</v>
      </c>
      <c r="T195" s="769">
        <v>42831.0</v>
      </c>
      <c r="U195" s="765" t="s">
        <v>6694</v>
      </c>
      <c r="V195" s="770">
        <v>23028.0</v>
      </c>
      <c r="W195" s="258">
        <v>42923.0</v>
      </c>
      <c r="X195" s="252" t="s">
        <v>6635</v>
      </c>
      <c r="Y195" s="1037"/>
      <c r="Z195" s="1037"/>
      <c r="AA195" s="1037"/>
      <c r="AB195" s="766"/>
      <c r="AC195" s="253" t="s">
        <v>284</v>
      </c>
    </row>
    <row r="196" ht="15.75" customHeight="1">
      <c r="A196" s="764">
        <v>42817.0</v>
      </c>
      <c r="B196" s="1004" t="s">
        <v>77</v>
      </c>
      <c r="C196" s="765" t="s">
        <v>6695</v>
      </c>
      <c r="D196" s="765" t="s">
        <v>6696</v>
      </c>
      <c r="E196" s="765" t="s">
        <v>6697</v>
      </c>
      <c r="F196" s="307">
        <v>10.0</v>
      </c>
      <c r="G196" s="254">
        <v>23.7</v>
      </c>
      <c r="H196" s="581">
        <f t="shared" si="5"/>
        <v>237</v>
      </c>
      <c r="I196" s="266" t="s">
        <v>43</v>
      </c>
      <c r="J196" s="369" t="s">
        <v>6698</v>
      </c>
      <c r="K196" s="258">
        <v>42832.0</v>
      </c>
      <c r="L196" s="258">
        <v>42831.0</v>
      </c>
      <c r="M196" s="266" t="s">
        <v>2170</v>
      </c>
      <c r="N196" s="765" t="s">
        <v>6699</v>
      </c>
      <c r="O196" s="339"/>
      <c r="P196" s="637">
        <v>6048.0</v>
      </c>
      <c r="Q196" s="310" t="s">
        <v>2172</v>
      </c>
      <c r="R196" s="765"/>
      <c r="S196" s="810">
        <v>42825.0</v>
      </c>
      <c r="T196" s="771">
        <v>42830.0</v>
      </c>
      <c r="U196" s="252" t="s">
        <v>6700</v>
      </c>
      <c r="V196" s="774">
        <v>6048.0</v>
      </c>
      <c r="W196" s="601">
        <v>42825.0</v>
      </c>
      <c r="X196" s="252" t="s">
        <v>6701</v>
      </c>
      <c r="Y196" s="1037"/>
      <c r="Z196" s="1037"/>
      <c r="AA196" s="1037"/>
      <c r="AB196" s="766"/>
      <c r="AC196" s="253" t="s">
        <v>284</v>
      </c>
    </row>
    <row r="197" ht="15.75" customHeight="1">
      <c r="A197" s="764">
        <v>42817.0</v>
      </c>
      <c r="B197" s="1004" t="s">
        <v>5073</v>
      </c>
      <c r="C197" s="765" t="s">
        <v>6702</v>
      </c>
      <c r="D197" s="765" t="s">
        <v>6703</v>
      </c>
      <c r="E197" s="765" t="s">
        <v>6704</v>
      </c>
      <c r="F197" s="307">
        <v>1.0</v>
      </c>
      <c r="G197" s="254">
        <v>2102.0</v>
      </c>
      <c r="H197" s="267">
        <f t="shared" si="5"/>
        <v>2102</v>
      </c>
      <c r="I197" s="266" t="s">
        <v>3474</v>
      </c>
      <c r="J197" s="369" t="s">
        <v>3749</v>
      </c>
      <c r="K197" s="258">
        <v>42824.0</v>
      </c>
      <c r="L197" s="258">
        <v>42821.0</v>
      </c>
      <c r="M197" s="266" t="s">
        <v>3593</v>
      </c>
      <c r="N197" s="765" t="s">
        <v>6705</v>
      </c>
      <c r="O197" s="339"/>
      <c r="P197" s="637">
        <v>64219.0</v>
      </c>
      <c r="Q197" s="310" t="s">
        <v>2080</v>
      </c>
      <c r="R197" s="765"/>
      <c r="S197" s="810">
        <v>42891.0</v>
      </c>
      <c r="T197" s="769">
        <v>42821.0</v>
      </c>
      <c r="U197" s="765" t="s">
        <v>6706</v>
      </c>
      <c r="V197" s="770">
        <v>64219.0</v>
      </c>
      <c r="W197" s="258">
        <v>42891.0</v>
      </c>
      <c r="X197" s="252" t="s">
        <v>6707</v>
      </c>
      <c r="Y197" s="1037"/>
      <c r="Z197" s="1037"/>
      <c r="AA197" s="1037"/>
      <c r="AB197" s="766"/>
      <c r="AC197" s="253" t="s">
        <v>284</v>
      </c>
    </row>
    <row r="198" ht="15.75" customHeight="1">
      <c r="A198" s="764">
        <v>42818.0</v>
      </c>
      <c r="B198" s="1004" t="s">
        <v>373</v>
      </c>
      <c r="C198" s="765">
        <v>2.01703230028E11</v>
      </c>
      <c r="D198" s="765" t="s">
        <v>6708</v>
      </c>
      <c r="E198" s="765" t="s">
        <v>375</v>
      </c>
      <c r="F198" s="307">
        <v>100.0</v>
      </c>
      <c r="G198" s="254">
        <v>63.0</v>
      </c>
      <c r="H198" s="267">
        <f t="shared" si="5"/>
        <v>6300</v>
      </c>
      <c r="I198" s="266" t="s">
        <v>43</v>
      </c>
      <c r="J198" s="253" t="s">
        <v>90</v>
      </c>
      <c r="K198" s="258">
        <v>42824.0</v>
      </c>
      <c r="L198" s="258">
        <v>42824.0</v>
      </c>
      <c r="M198" s="253" t="s">
        <v>90</v>
      </c>
      <c r="N198" s="252" t="s">
        <v>6709</v>
      </c>
      <c r="O198" s="637">
        <v>5880.0</v>
      </c>
      <c r="P198" s="816"/>
      <c r="Q198" s="310" t="s">
        <v>6081</v>
      </c>
      <c r="R198" s="765"/>
      <c r="S198" s="810">
        <v>42891.0</v>
      </c>
      <c r="T198" s="771">
        <v>42824.0</v>
      </c>
      <c r="U198" s="765" t="s">
        <v>6710</v>
      </c>
      <c r="V198" s="774">
        <v>181045.0</v>
      </c>
      <c r="W198" s="601">
        <v>42849.0</v>
      </c>
      <c r="X198" s="765" t="s">
        <v>6711</v>
      </c>
      <c r="Y198" s="253"/>
      <c r="Z198" s="602" t="s">
        <v>6712</v>
      </c>
      <c r="AA198" s="262">
        <v>190701.0</v>
      </c>
      <c r="AB198" s="765" t="s">
        <v>6584</v>
      </c>
      <c r="AC198" s="253" t="s">
        <v>284</v>
      </c>
    </row>
    <row r="199" ht="15.75" customHeight="1">
      <c r="A199" s="764">
        <v>42818.0</v>
      </c>
      <c r="B199" s="1004" t="s">
        <v>101</v>
      </c>
      <c r="C199" s="765" t="s">
        <v>6713</v>
      </c>
      <c r="D199" s="252" t="s">
        <v>6714</v>
      </c>
      <c r="E199" s="252" t="s">
        <v>3567</v>
      </c>
      <c r="F199" s="307">
        <v>10.0</v>
      </c>
      <c r="G199" s="254">
        <v>93.0</v>
      </c>
      <c r="H199" s="267">
        <f t="shared" si="5"/>
        <v>930</v>
      </c>
      <c r="I199" s="266" t="s">
        <v>3474</v>
      </c>
      <c r="J199" s="369" t="s">
        <v>3739</v>
      </c>
      <c r="K199" s="258">
        <v>42842.0</v>
      </c>
      <c r="L199" s="258">
        <v>42823.0</v>
      </c>
      <c r="M199" s="403" t="s">
        <v>2034</v>
      </c>
      <c r="N199" s="765" t="s">
        <v>6715</v>
      </c>
      <c r="O199" s="581">
        <v>924.0</v>
      </c>
      <c r="P199" s="816"/>
      <c r="Q199" s="320" t="s">
        <v>2036</v>
      </c>
      <c r="R199" s="765"/>
      <c r="S199" s="810">
        <v>42891.0</v>
      </c>
      <c r="T199" s="769">
        <v>42822.0</v>
      </c>
      <c r="U199" s="765" t="s">
        <v>6716</v>
      </c>
      <c r="V199" s="774">
        <v>92818.0</v>
      </c>
      <c r="W199" s="258">
        <v>42891.0</v>
      </c>
      <c r="X199" s="252" t="s">
        <v>6717</v>
      </c>
      <c r="Y199" s="1037"/>
      <c r="Z199" s="1037"/>
      <c r="AA199" s="1037"/>
      <c r="AB199" s="766"/>
      <c r="AC199" s="253" t="s">
        <v>284</v>
      </c>
    </row>
    <row r="200" ht="15.75" customHeight="1">
      <c r="A200" s="764">
        <v>42818.0</v>
      </c>
      <c r="B200" s="1004" t="s">
        <v>101</v>
      </c>
      <c r="C200" s="765" t="s">
        <v>6713</v>
      </c>
      <c r="D200" s="252" t="s">
        <v>6718</v>
      </c>
      <c r="E200" s="252" t="s">
        <v>3573</v>
      </c>
      <c r="F200" s="307">
        <v>10.0</v>
      </c>
      <c r="G200" s="254">
        <v>73.0</v>
      </c>
      <c r="H200" s="267">
        <f t="shared" si="5"/>
        <v>730</v>
      </c>
      <c r="I200" s="266" t="s">
        <v>3474</v>
      </c>
      <c r="J200" s="369" t="s">
        <v>3739</v>
      </c>
      <c r="K200" s="258">
        <v>42842.0</v>
      </c>
      <c r="L200" s="258">
        <v>42823.0</v>
      </c>
      <c r="M200" s="333" t="s">
        <v>2034</v>
      </c>
      <c r="N200" s="765" t="s">
        <v>6715</v>
      </c>
      <c r="O200" s="581">
        <v>724.5</v>
      </c>
      <c r="P200" s="816"/>
      <c r="Q200" s="320" t="s">
        <v>2036</v>
      </c>
      <c r="R200" s="765"/>
      <c r="S200" s="810">
        <v>42891.0</v>
      </c>
      <c r="T200" s="769">
        <v>42822.0</v>
      </c>
      <c r="U200" s="765" t="s">
        <v>6716</v>
      </c>
      <c r="V200" s="774">
        <v>92818.0</v>
      </c>
      <c r="W200" s="258">
        <v>42891.0</v>
      </c>
      <c r="X200" s="252" t="s">
        <v>6717</v>
      </c>
      <c r="Y200" s="1037"/>
      <c r="Z200" s="1037"/>
      <c r="AA200" s="1037"/>
      <c r="AB200" s="766"/>
      <c r="AC200" s="253" t="s">
        <v>284</v>
      </c>
    </row>
    <row r="201" ht="15.75" customHeight="1">
      <c r="A201" s="764">
        <v>42818.0</v>
      </c>
      <c r="B201" s="1004" t="s">
        <v>101</v>
      </c>
      <c r="C201" s="765" t="s">
        <v>6713</v>
      </c>
      <c r="D201" s="252" t="s">
        <v>6719</v>
      </c>
      <c r="E201" s="252" t="s">
        <v>3575</v>
      </c>
      <c r="F201" s="307">
        <v>10.0</v>
      </c>
      <c r="G201" s="254">
        <v>140.0</v>
      </c>
      <c r="H201" s="267">
        <f t="shared" si="5"/>
        <v>1400</v>
      </c>
      <c r="I201" s="266" t="s">
        <v>3474</v>
      </c>
      <c r="J201" s="369" t="s">
        <v>3739</v>
      </c>
      <c r="K201" s="258">
        <v>42842.0</v>
      </c>
      <c r="L201" s="258">
        <v>42823.0</v>
      </c>
      <c r="M201" s="333" t="s">
        <v>2034</v>
      </c>
      <c r="N201" s="765" t="s">
        <v>6715</v>
      </c>
      <c r="O201" s="581">
        <v>1396.5</v>
      </c>
      <c r="P201" s="816"/>
      <c r="Q201" s="320" t="s">
        <v>2036</v>
      </c>
      <c r="R201" s="765"/>
      <c r="S201" s="810">
        <v>42891.0</v>
      </c>
      <c r="T201" s="769">
        <v>42822.0</v>
      </c>
      <c r="U201" s="765" t="s">
        <v>6716</v>
      </c>
      <c r="V201" s="774">
        <v>92818.0</v>
      </c>
      <c r="W201" s="258">
        <v>42891.0</v>
      </c>
      <c r="X201" s="252" t="s">
        <v>6717</v>
      </c>
      <c r="Y201" s="1037"/>
      <c r="Z201" s="1037"/>
      <c r="AA201" s="1037"/>
      <c r="AB201" s="766"/>
      <c r="AC201" s="253" t="s">
        <v>284</v>
      </c>
    </row>
    <row r="202" ht="15.75" customHeight="1">
      <c r="A202" s="764">
        <v>42818.0</v>
      </c>
      <c r="B202" s="1004" t="s">
        <v>101</v>
      </c>
      <c r="C202" s="765" t="s">
        <v>6713</v>
      </c>
      <c r="D202" s="252" t="s">
        <v>6720</v>
      </c>
      <c r="E202" s="252" t="s">
        <v>3580</v>
      </c>
      <c r="F202" s="307">
        <v>10.0</v>
      </c>
      <c r="G202" s="254">
        <v>4.0</v>
      </c>
      <c r="H202" s="267">
        <f t="shared" si="5"/>
        <v>40</v>
      </c>
      <c r="I202" s="266" t="s">
        <v>3474</v>
      </c>
      <c r="J202" s="369" t="s">
        <v>3739</v>
      </c>
      <c r="K202" s="258">
        <v>42842.0</v>
      </c>
      <c r="L202" s="258">
        <v>42823.0</v>
      </c>
      <c r="M202" s="333" t="s">
        <v>2034</v>
      </c>
      <c r="N202" s="765" t="s">
        <v>6715</v>
      </c>
      <c r="O202" s="581">
        <v>31.5</v>
      </c>
      <c r="P202" s="816"/>
      <c r="Q202" s="320" t="s">
        <v>2036</v>
      </c>
      <c r="R202" s="765"/>
      <c r="S202" s="810">
        <v>42891.0</v>
      </c>
      <c r="T202" s="769">
        <v>42822.0</v>
      </c>
      <c r="U202" s="765" t="s">
        <v>6716</v>
      </c>
      <c r="V202" s="774">
        <v>92818.0</v>
      </c>
      <c r="W202" s="258">
        <v>42891.0</v>
      </c>
      <c r="X202" s="252" t="s">
        <v>6717</v>
      </c>
      <c r="Y202" s="1037"/>
      <c r="Z202" s="1037"/>
      <c r="AA202" s="1037"/>
      <c r="AB202" s="766"/>
      <c r="AC202" s="253" t="s">
        <v>284</v>
      </c>
    </row>
    <row r="203" ht="15.75" customHeight="1">
      <c r="A203" s="764">
        <v>42818.0</v>
      </c>
      <c r="B203" s="1004" t="s">
        <v>101</v>
      </c>
      <c r="C203" s="765" t="s">
        <v>6713</v>
      </c>
      <c r="D203" s="252" t="s">
        <v>6721</v>
      </c>
      <c r="E203" s="252" t="s">
        <v>3576</v>
      </c>
      <c r="F203" s="307">
        <v>10.0</v>
      </c>
      <c r="G203" s="254">
        <v>2.0</v>
      </c>
      <c r="H203" s="267">
        <f t="shared" si="5"/>
        <v>20</v>
      </c>
      <c r="I203" s="266" t="s">
        <v>3474</v>
      </c>
      <c r="J203" s="369" t="s">
        <v>3739</v>
      </c>
      <c r="K203" s="258">
        <v>42842.0</v>
      </c>
      <c r="L203" s="253"/>
      <c r="M203" s="333" t="s">
        <v>6722</v>
      </c>
      <c r="N203" s="765" t="s">
        <v>6723</v>
      </c>
      <c r="O203" s="339"/>
      <c r="P203" s="816"/>
      <c r="Q203" s="320" t="s">
        <v>2036</v>
      </c>
      <c r="R203" s="765" t="s">
        <v>6724</v>
      </c>
      <c r="S203" s="1036"/>
      <c r="T203" s="765"/>
      <c r="U203" s="765"/>
      <c r="V203" s="765"/>
      <c r="W203" s="253"/>
      <c r="X203" s="252" t="s">
        <v>6717</v>
      </c>
      <c r="Y203" s="1037"/>
      <c r="Z203" s="1037"/>
      <c r="AA203" s="1037"/>
      <c r="AB203" s="766"/>
      <c r="AC203" s="253" t="s">
        <v>284</v>
      </c>
    </row>
    <row r="204" ht="15.75" customHeight="1">
      <c r="A204" s="764">
        <v>42818.0</v>
      </c>
      <c r="B204" s="1004" t="s">
        <v>101</v>
      </c>
      <c r="C204" s="765" t="s">
        <v>6713</v>
      </c>
      <c r="D204" s="252" t="s">
        <v>6725</v>
      </c>
      <c r="E204" s="252" t="s">
        <v>3578</v>
      </c>
      <c r="F204" s="307">
        <v>10.0</v>
      </c>
      <c r="G204" s="254">
        <v>2.5</v>
      </c>
      <c r="H204" s="267">
        <f t="shared" si="5"/>
        <v>25</v>
      </c>
      <c r="I204" s="266" t="s">
        <v>3474</v>
      </c>
      <c r="J204" s="369" t="s">
        <v>3739</v>
      </c>
      <c r="K204" s="258">
        <v>42842.0</v>
      </c>
      <c r="L204" s="253"/>
      <c r="M204" s="333" t="s">
        <v>6722</v>
      </c>
      <c r="N204" s="765" t="s">
        <v>6726</v>
      </c>
      <c r="O204" s="339"/>
      <c r="P204" s="816"/>
      <c r="Q204" s="320" t="s">
        <v>2036</v>
      </c>
      <c r="R204" s="765" t="s">
        <v>6727</v>
      </c>
      <c r="S204" s="1036"/>
      <c r="T204" s="765"/>
      <c r="U204" s="765"/>
      <c r="V204" s="765"/>
      <c r="W204" s="253"/>
      <c r="X204" s="252" t="s">
        <v>6717</v>
      </c>
      <c r="Y204" s="1037"/>
      <c r="Z204" s="1037"/>
      <c r="AA204" s="1037"/>
      <c r="AB204" s="766"/>
      <c r="AC204" s="253" t="s">
        <v>284</v>
      </c>
    </row>
    <row r="205" ht="15.75" customHeight="1">
      <c r="A205" s="764">
        <v>42818.0</v>
      </c>
      <c r="B205" s="1004" t="s">
        <v>101</v>
      </c>
      <c r="C205" s="765" t="s">
        <v>6713</v>
      </c>
      <c r="D205" s="765" t="s">
        <v>6728</v>
      </c>
      <c r="E205" s="765" t="s">
        <v>3581</v>
      </c>
      <c r="F205" s="307">
        <v>10.0</v>
      </c>
      <c r="G205" s="254">
        <v>8.0</v>
      </c>
      <c r="H205" s="267">
        <f t="shared" si="5"/>
        <v>80</v>
      </c>
      <c r="I205" s="266" t="s">
        <v>3474</v>
      </c>
      <c r="J205" s="369" t="s">
        <v>3739</v>
      </c>
      <c r="K205" s="258">
        <v>42842.0</v>
      </c>
      <c r="L205" s="253"/>
      <c r="M205" s="333" t="s">
        <v>6729</v>
      </c>
      <c r="N205" s="253"/>
      <c r="O205" s="339"/>
      <c r="P205" s="331" t="s">
        <v>6730</v>
      </c>
      <c r="Q205" s="592"/>
      <c r="R205" s="765"/>
      <c r="S205" s="1036"/>
      <c r="T205" s="765" t="s">
        <v>6731</v>
      </c>
      <c r="U205" s="765" t="s">
        <v>6731</v>
      </c>
      <c r="V205" s="765" t="s">
        <v>6731</v>
      </c>
      <c r="W205" s="253"/>
      <c r="X205" s="252" t="s">
        <v>6717</v>
      </c>
      <c r="Y205" s="1037"/>
      <c r="Z205" s="1037"/>
      <c r="AA205" s="1037"/>
      <c r="AB205" s="766"/>
      <c r="AC205" s="253" t="s">
        <v>284</v>
      </c>
    </row>
    <row r="206" ht="15.75" customHeight="1">
      <c r="A206" s="764">
        <v>42821.0</v>
      </c>
      <c r="B206" s="1004" t="s">
        <v>326</v>
      </c>
      <c r="C206" s="765">
        <v>1610244.0</v>
      </c>
      <c r="D206" s="765" t="s">
        <v>6732</v>
      </c>
      <c r="E206" s="765" t="s">
        <v>6733</v>
      </c>
      <c r="F206" s="307">
        <v>30.0</v>
      </c>
      <c r="G206" s="254">
        <v>245.0</v>
      </c>
      <c r="H206" s="581">
        <f t="shared" si="5"/>
        <v>7350</v>
      </c>
      <c r="I206" s="266" t="s">
        <v>3474</v>
      </c>
      <c r="J206" s="369" t="s">
        <v>3774</v>
      </c>
      <c r="K206" s="258">
        <v>42849.0</v>
      </c>
      <c r="L206" s="601">
        <v>42844.0</v>
      </c>
      <c r="M206" s="333" t="s">
        <v>3775</v>
      </c>
      <c r="N206" s="252" t="s">
        <v>6734</v>
      </c>
      <c r="O206" s="637">
        <v>6804.0</v>
      </c>
      <c r="P206" s="816"/>
      <c r="Q206" s="320" t="s">
        <v>6376</v>
      </c>
      <c r="R206" s="765"/>
      <c r="S206" s="810">
        <v>42888.0</v>
      </c>
      <c r="T206" s="771">
        <v>42843.0</v>
      </c>
      <c r="U206" s="252" t="s">
        <v>6735</v>
      </c>
      <c r="V206" s="774">
        <v>206501.0</v>
      </c>
      <c r="W206" s="258">
        <v>42891.0</v>
      </c>
      <c r="X206" s="252" t="s">
        <v>6736</v>
      </c>
      <c r="Y206" s="253">
        <v>8.98466913813E11</v>
      </c>
      <c r="Z206" s="1037"/>
      <c r="AA206" s="1037"/>
      <c r="AB206" s="766"/>
      <c r="AC206" s="253" t="s">
        <v>284</v>
      </c>
    </row>
    <row r="207" ht="15.75" customHeight="1">
      <c r="A207" s="764">
        <v>42821.0</v>
      </c>
      <c r="B207" s="1004" t="s">
        <v>326</v>
      </c>
      <c r="C207" s="765">
        <v>1610244.0</v>
      </c>
      <c r="D207" s="765" t="s">
        <v>6732</v>
      </c>
      <c r="E207" s="765" t="s">
        <v>6737</v>
      </c>
      <c r="F207" s="307">
        <v>30.0</v>
      </c>
      <c r="G207" s="254">
        <v>29.0</v>
      </c>
      <c r="H207" s="581">
        <f t="shared" si="5"/>
        <v>870</v>
      </c>
      <c r="I207" s="266" t="s">
        <v>3474</v>
      </c>
      <c r="J207" s="369" t="s">
        <v>3774</v>
      </c>
      <c r="K207" s="258">
        <v>42849.0</v>
      </c>
      <c r="L207" s="258">
        <v>42842.0</v>
      </c>
      <c r="M207" s="269" t="s">
        <v>6738</v>
      </c>
      <c r="N207" s="252" t="s">
        <v>6739</v>
      </c>
      <c r="O207" s="339"/>
      <c r="P207" s="637">
        <v>23940.0</v>
      </c>
      <c r="Q207" s="320" t="s">
        <v>2172</v>
      </c>
      <c r="R207" s="253"/>
      <c r="S207" s="1036"/>
      <c r="T207" s="769">
        <v>42839.0</v>
      </c>
      <c r="U207" s="765" t="s">
        <v>6740</v>
      </c>
      <c r="V207" s="770">
        <v>23940.0</v>
      </c>
      <c r="W207" s="601">
        <v>42837.0</v>
      </c>
      <c r="X207" s="252" t="s">
        <v>6736</v>
      </c>
      <c r="Y207" s="253">
        <v>8.98466913813E11</v>
      </c>
      <c r="Z207" s="1037"/>
      <c r="AA207" s="1037"/>
      <c r="AB207" s="766"/>
      <c r="AC207" s="253" t="s">
        <v>284</v>
      </c>
    </row>
    <row r="208" ht="15.75" customHeight="1">
      <c r="A208" s="776">
        <v>42822.0</v>
      </c>
      <c r="B208" s="1004" t="s">
        <v>77</v>
      </c>
      <c r="C208" s="765">
        <v>264.0</v>
      </c>
      <c r="D208" s="252" t="s">
        <v>6741</v>
      </c>
      <c r="E208" s="252" t="s">
        <v>6742</v>
      </c>
      <c r="F208" s="307">
        <v>1.0</v>
      </c>
      <c r="G208" s="254">
        <v>162.0</v>
      </c>
      <c r="H208" s="581">
        <f t="shared" si="5"/>
        <v>162</v>
      </c>
      <c r="I208" s="266" t="s">
        <v>43</v>
      </c>
      <c r="J208" s="369" t="s">
        <v>6632</v>
      </c>
      <c r="K208" s="258">
        <v>42842.0</v>
      </c>
      <c r="L208" s="258">
        <v>42839.0</v>
      </c>
      <c r="M208" s="256" t="s">
        <v>3593</v>
      </c>
      <c r="N208" s="252" t="s">
        <v>6743</v>
      </c>
      <c r="O208" s="339"/>
      <c r="P208" s="637">
        <v>4622.0</v>
      </c>
      <c r="Q208" s="320" t="s">
        <v>2080</v>
      </c>
      <c r="R208" s="253"/>
      <c r="S208" s="810">
        <v>42891.0</v>
      </c>
      <c r="T208" s="769">
        <v>42838.0</v>
      </c>
      <c r="U208" s="765" t="s">
        <v>6744</v>
      </c>
      <c r="V208" s="770">
        <v>4622.0</v>
      </c>
      <c r="W208" s="258">
        <v>42891.0</v>
      </c>
      <c r="X208" s="252" t="s">
        <v>6635</v>
      </c>
      <c r="Y208" s="1037"/>
      <c r="Z208" s="1037"/>
      <c r="AA208" s="1037"/>
      <c r="AB208" s="766"/>
      <c r="AC208" s="253" t="s">
        <v>284</v>
      </c>
    </row>
    <row r="209" ht="15.75" customHeight="1">
      <c r="A209" s="776">
        <v>42822.0</v>
      </c>
      <c r="B209" s="340" t="s">
        <v>1204</v>
      </c>
      <c r="C209" s="252" t="s">
        <v>6745</v>
      </c>
      <c r="D209" s="310" t="s">
        <v>6746</v>
      </c>
      <c r="E209" s="310" t="s">
        <v>6135</v>
      </c>
      <c r="F209" s="808">
        <v>100.0</v>
      </c>
      <c r="G209" s="267">
        <v>8.0</v>
      </c>
      <c r="H209" s="581">
        <f t="shared" si="5"/>
        <v>800</v>
      </c>
      <c r="I209" s="266" t="s">
        <v>43</v>
      </c>
      <c r="J209" s="403" t="s">
        <v>6037</v>
      </c>
      <c r="K209" s="258">
        <v>42838.0</v>
      </c>
      <c r="L209" s="258">
        <v>42836.0</v>
      </c>
      <c r="M209" s="403" t="s">
        <v>2508</v>
      </c>
      <c r="N209" s="252" t="s">
        <v>6747</v>
      </c>
      <c r="O209" s="339"/>
      <c r="P209" s="637">
        <v>23100.0</v>
      </c>
      <c r="Q209" s="320" t="s">
        <v>4491</v>
      </c>
      <c r="R209" s="253"/>
      <c r="S209" s="1060">
        <v>42860.0</v>
      </c>
      <c r="T209" s="769">
        <v>42835.0</v>
      </c>
      <c r="U209" s="765" t="s">
        <v>6748</v>
      </c>
      <c r="V209" s="770">
        <v>23100.0</v>
      </c>
      <c r="W209" s="258">
        <v>42863.0</v>
      </c>
      <c r="X209" s="252" t="s">
        <v>6749</v>
      </c>
      <c r="Y209" s="253">
        <v>9.58372855E8</v>
      </c>
      <c r="Z209" s="1037"/>
      <c r="AA209" s="1037"/>
      <c r="AB209" s="766"/>
      <c r="AC209" s="253" t="s">
        <v>284</v>
      </c>
    </row>
    <row r="210" ht="15.75" customHeight="1">
      <c r="A210" s="776">
        <v>42822.0</v>
      </c>
      <c r="B210" s="1004" t="s">
        <v>77</v>
      </c>
      <c r="C210" s="1004">
        <v>264.0</v>
      </c>
      <c r="D210" s="265" t="s">
        <v>6741</v>
      </c>
      <c r="E210" s="265" t="s">
        <v>6750</v>
      </c>
      <c r="F210" s="1041">
        <v>1.0</v>
      </c>
      <c r="G210" s="325">
        <v>138.0</v>
      </c>
      <c r="H210" s="581">
        <f t="shared" si="5"/>
        <v>138</v>
      </c>
      <c r="I210" s="266" t="s">
        <v>43</v>
      </c>
      <c r="J210" s="269" t="s">
        <v>6632</v>
      </c>
      <c r="K210" s="258">
        <v>42842.0</v>
      </c>
      <c r="L210" s="258">
        <v>42831.0</v>
      </c>
      <c r="M210" s="403" t="s">
        <v>3840</v>
      </c>
      <c r="N210" s="252" t="s">
        <v>6751</v>
      </c>
      <c r="O210" s="339"/>
      <c r="P210" s="637">
        <v>3948.0</v>
      </c>
      <c r="Q210" s="388" t="s">
        <v>3842</v>
      </c>
      <c r="R210" s="253"/>
      <c r="S210" s="810">
        <v>42860.0</v>
      </c>
      <c r="T210" s="769">
        <v>42830.0</v>
      </c>
      <c r="U210" s="765" t="s">
        <v>6752</v>
      </c>
      <c r="V210" s="770">
        <v>3948.0</v>
      </c>
      <c r="W210" s="601">
        <v>42859.0</v>
      </c>
      <c r="X210" s="252" t="s">
        <v>6635</v>
      </c>
      <c r="Y210" s="1037"/>
      <c r="Z210" s="1037"/>
      <c r="AA210" s="1037"/>
      <c r="AB210" s="766"/>
      <c r="AC210" s="253" t="s">
        <v>284</v>
      </c>
    </row>
    <row r="211" ht="15.75" customHeight="1">
      <c r="A211" s="776">
        <v>42822.0</v>
      </c>
      <c r="B211" s="597" t="s">
        <v>6167</v>
      </c>
      <c r="C211" s="252">
        <v>7.00012869E9</v>
      </c>
      <c r="D211" s="252" t="s">
        <v>6753</v>
      </c>
      <c r="E211" s="252" t="s">
        <v>6451</v>
      </c>
      <c r="F211" s="307">
        <v>1.0</v>
      </c>
      <c r="G211" s="254">
        <v>126.0</v>
      </c>
      <c r="H211" s="581">
        <f t="shared" si="5"/>
        <v>126</v>
      </c>
      <c r="I211" s="266" t="s">
        <v>43</v>
      </c>
      <c r="J211" s="777" t="s">
        <v>3623</v>
      </c>
      <c r="K211" s="258">
        <v>42824.0</v>
      </c>
      <c r="L211" s="258">
        <v>42824.0</v>
      </c>
      <c r="M211" s="266" t="s">
        <v>3593</v>
      </c>
      <c r="N211" s="765" t="s">
        <v>6754</v>
      </c>
      <c r="O211" s="339"/>
      <c r="P211" s="637">
        <v>3688.0</v>
      </c>
      <c r="Q211" s="310" t="s">
        <v>2080</v>
      </c>
      <c r="R211" s="253"/>
      <c r="S211" s="810">
        <v>42891.0</v>
      </c>
      <c r="T211" s="769">
        <v>42823.0</v>
      </c>
      <c r="U211" s="765" t="s">
        <v>6755</v>
      </c>
      <c r="V211" s="770">
        <v>3688.0</v>
      </c>
      <c r="W211" s="258">
        <v>42891.0</v>
      </c>
      <c r="X211" s="252" t="s">
        <v>6604</v>
      </c>
      <c r="Y211" s="1037"/>
      <c r="Z211" s="1037"/>
      <c r="AA211" s="1037"/>
      <c r="AB211" s="766"/>
      <c r="AC211" s="253" t="s">
        <v>284</v>
      </c>
    </row>
    <row r="212" ht="15.75" customHeight="1">
      <c r="A212" s="776">
        <v>42825.0</v>
      </c>
      <c r="B212" s="1004" t="s">
        <v>77</v>
      </c>
      <c r="C212" s="765">
        <v>272.0</v>
      </c>
      <c r="D212" s="252" t="s">
        <v>6756</v>
      </c>
      <c r="E212" s="252" t="s">
        <v>6757</v>
      </c>
      <c r="F212" s="307">
        <v>1.0</v>
      </c>
      <c r="G212" s="254">
        <v>50.0</v>
      </c>
      <c r="H212" s="581">
        <f t="shared" si="5"/>
        <v>50</v>
      </c>
      <c r="I212" s="266" t="s">
        <v>43</v>
      </c>
      <c r="J212" s="369" t="s">
        <v>316</v>
      </c>
      <c r="K212" s="258">
        <v>42852.0</v>
      </c>
      <c r="L212" s="258">
        <v>42846.0</v>
      </c>
      <c r="M212" s="269" t="s">
        <v>6287</v>
      </c>
      <c r="N212" s="252" t="s">
        <v>6758</v>
      </c>
      <c r="O212" s="581">
        <v>48.3</v>
      </c>
      <c r="P212" s="816"/>
      <c r="Q212" s="388" t="s">
        <v>2043</v>
      </c>
      <c r="R212" s="253"/>
      <c r="S212" s="810">
        <v>42860.0</v>
      </c>
      <c r="T212" s="769">
        <v>42845.0</v>
      </c>
      <c r="U212" s="765" t="s">
        <v>6759</v>
      </c>
      <c r="V212" s="770">
        <v>1469.0</v>
      </c>
      <c r="W212" s="258">
        <v>42859.0</v>
      </c>
      <c r="X212" s="252" t="s">
        <v>6760</v>
      </c>
      <c r="Y212" s="253">
        <v>9.67713714E8</v>
      </c>
      <c r="Z212" s="1037"/>
      <c r="AA212" s="1037"/>
      <c r="AB212" s="766"/>
      <c r="AC212" s="253" t="s">
        <v>284</v>
      </c>
    </row>
    <row r="213" ht="15.75" customHeight="1">
      <c r="A213" s="764">
        <v>42830.0</v>
      </c>
      <c r="B213" s="388" t="s">
        <v>6761</v>
      </c>
      <c r="C213" s="765">
        <v>47827.0</v>
      </c>
      <c r="D213" s="330" t="s">
        <v>6762</v>
      </c>
      <c r="E213" s="330" t="s">
        <v>4780</v>
      </c>
      <c r="F213" s="307">
        <v>12.0</v>
      </c>
      <c r="G213" s="254">
        <v>90.0</v>
      </c>
      <c r="H213" s="581">
        <f t="shared" si="5"/>
        <v>1080</v>
      </c>
      <c r="I213" s="266" t="s">
        <v>3474</v>
      </c>
      <c r="J213" s="403" t="s">
        <v>6763</v>
      </c>
      <c r="K213" s="258">
        <v>42842.0</v>
      </c>
      <c r="L213" s="258">
        <v>42838.0</v>
      </c>
      <c r="M213" s="253" t="s">
        <v>90</v>
      </c>
      <c r="N213" s="252" t="s">
        <v>6764</v>
      </c>
      <c r="O213" s="581">
        <v>995.4</v>
      </c>
      <c r="P213" s="816"/>
      <c r="Q213" s="310" t="s">
        <v>6081</v>
      </c>
      <c r="R213" s="253"/>
      <c r="S213" s="810">
        <v>42891.0</v>
      </c>
      <c r="T213" s="769">
        <v>42838.0</v>
      </c>
      <c r="U213" s="765" t="s">
        <v>6765</v>
      </c>
      <c r="V213" s="770">
        <v>30195.0</v>
      </c>
      <c r="W213" s="601">
        <v>42849.0</v>
      </c>
      <c r="X213" s="252" t="s">
        <v>6766</v>
      </c>
      <c r="Y213" s="1037"/>
      <c r="Z213" s="1037"/>
      <c r="AA213" s="1037"/>
      <c r="AB213" s="766"/>
      <c r="AC213" s="253" t="s">
        <v>284</v>
      </c>
    </row>
    <row r="214" ht="15.75" customHeight="1">
      <c r="A214" s="764">
        <v>42830.0</v>
      </c>
      <c r="B214" s="388" t="s">
        <v>6761</v>
      </c>
      <c r="C214" s="765">
        <v>47827.0</v>
      </c>
      <c r="D214" s="330" t="s">
        <v>6762</v>
      </c>
      <c r="E214" s="330" t="s">
        <v>700</v>
      </c>
      <c r="F214" s="307">
        <v>1.0</v>
      </c>
      <c r="G214" s="254">
        <v>25.0</v>
      </c>
      <c r="H214" s="581">
        <f t="shared" si="5"/>
        <v>25</v>
      </c>
      <c r="I214" s="266" t="s">
        <v>3474</v>
      </c>
      <c r="J214" s="403" t="s">
        <v>6763</v>
      </c>
      <c r="K214" s="258">
        <v>42842.0</v>
      </c>
      <c r="L214" s="593"/>
      <c r="M214" s="253"/>
      <c r="N214" s="253"/>
      <c r="O214" s="339"/>
      <c r="P214" s="816"/>
      <c r="Q214" s="592"/>
      <c r="R214" s="253"/>
      <c r="S214" s="1036"/>
      <c r="T214" s="766"/>
      <c r="U214" s="766"/>
      <c r="V214" s="766"/>
      <c r="W214" s="1037"/>
      <c r="X214" s="252" t="s">
        <v>6766</v>
      </c>
      <c r="Y214" s="1037"/>
      <c r="Z214" s="1037"/>
      <c r="AA214" s="1037"/>
      <c r="AB214" s="766"/>
      <c r="AC214" s="253" t="s">
        <v>284</v>
      </c>
    </row>
    <row r="215" ht="15.75" customHeight="1">
      <c r="A215" s="776">
        <v>42831.0</v>
      </c>
      <c r="B215" s="1004" t="s">
        <v>3677</v>
      </c>
      <c r="C215" s="1004">
        <v>300030.0</v>
      </c>
      <c r="D215" s="1004" t="s">
        <v>6767</v>
      </c>
      <c r="E215" s="1004" t="s">
        <v>6768</v>
      </c>
      <c r="F215" s="307">
        <v>17.0</v>
      </c>
      <c r="G215" s="254">
        <v>105.0</v>
      </c>
      <c r="H215" s="581">
        <f t="shared" si="5"/>
        <v>1785</v>
      </c>
      <c r="I215" s="1009" t="s">
        <v>3474</v>
      </c>
      <c r="J215" s="592" t="s">
        <v>6407</v>
      </c>
      <c r="K215" s="258">
        <v>42838.0</v>
      </c>
      <c r="L215" s="258">
        <v>42838.0</v>
      </c>
      <c r="M215" s="256" t="s">
        <v>2170</v>
      </c>
      <c r="N215" s="765" t="s">
        <v>6769</v>
      </c>
      <c r="O215" s="339"/>
      <c r="P215" s="637">
        <v>48820.0</v>
      </c>
      <c r="Q215" s="320" t="s">
        <v>2172</v>
      </c>
      <c r="R215" s="253"/>
      <c r="S215" s="810">
        <v>42835.0</v>
      </c>
      <c r="T215" s="769">
        <v>42837.0</v>
      </c>
      <c r="U215" s="765" t="s">
        <v>6770</v>
      </c>
      <c r="V215" s="770">
        <v>48820.0</v>
      </c>
      <c r="W215" s="601">
        <v>42837.0</v>
      </c>
      <c r="X215" s="252" t="s">
        <v>6771</v>
      </c>
      <c r="Y215" s="1037"/>
      <c r="Z215" s="1037"/>
      <c r="AA215" s="1037"/>
      <c r="AB215" s="766"/>
      <c r="AC215" s="253" t="s">
        <v>284</v>
      </c>
    </row>
    <row r="216" ht="15.75" customHeight="1">
      <c r="A216" s="776">
        <v>42831.0</v>
      </c>
      <c r="B216" s="597" t="s">
        <v>6167</v>
      </c>
      <c r="C216" s="265">
        <v>7.000128893E9</v>
      </c>
      <c r="D216" s="265" t="s">
        <v>6772</v>
      </c>
      <c r="E216" s="265" t="s">
        <v>6773</v>
      </c>
      <c r="F216" s="307">
        <v>1.0</v>
      </c>
      <c r="G216" s="325">
        <v>191.0</v>
      </c>
      <c r="H216" s="581">
        <f t="shared" si="5"/>
        <v>191</v>
      </c>
      <c r="I216" s="266" t="s">
        <v>43</v>
      </c>
      <c r="J216" s="333" t="s">
        <v>3623</v>
      </c>
      <c r="K216" s="258">
        <v>42838.0</v>
      </c>
      <c r="L216" s="258">
        <v>42836.0</v>
      </c>
      <c r="M216" s="256" t="s">
        <v>3593</v>
      </c>
      <c r="N216" s="252" t="s">
        <v>6774</v>
      </c>
      <c r="O216" s="339"/>
      <c r="P216" s="637">
        <v>5577.0</v>
      </c>
      <c r="Q216" s="320" t="s">
        <v>2080</v>
      </c>
      <c r="R216" s="253"/>
      <c r="S216" s="810">
        <v>42891.0</v>
      </c>
      <c r="T216" s="769">
        <v>42832.0</v>
      </c>
      <c r="U216" s="765" t="s">
        <v>6775</v>
      </c>
      <c r="V216" s="770">
        <v>11414.0</v>
      </c>
      <c r="W216" s="258">
        <v>42891.0</v>
      </c>
      <c r="X216" s="252" t="s">
        <v>6776</v>
      </c>
      <c r="Y216" s="253">
        <v>3.756656912E9</v>
      </c>
      <c r="Z216" s="1037"/>
      <c r="AA216" s="1037"/>
      <c r="AB216" s="766"/>
      <c r="AC216" s="253" t="s">
        <v>284</v>
      </c>
    </row>
    <row r="217" ht="15.75" customHeight="1">
      <c r="A217" s="776">
        <v>42831.0</v>
      </c>
      <c r="B217" s="597" t="s">
        <v>6167</v>
      </c>
      <c r="C217" s="252">
        <v>7.000128893E9</v>
      </c>
      <c r="D217" s="252" t="s">
        <v>6772</v>
      </c>
      <c r="E217" s="252" t="s">
        <v>6451</v>
      </c>
      <c r="F217" s="307">
        <v>1.0</v>
      </c>
      <c r="G217" s="254">
        <v>126.0</v>
      </c>
      <c r="H217" s="581">
        <f t="shared" si="5"/>
        <v>126</v>
      </c>
      <c r="I217" s="266" t="s">
        <v>43</v>
      </c>
      <c r="J217" s="777" t="s">
        <v>3623</v>
      </c>
      <c r="K217" s="258">
        <v>42838.0</v>
      </c>
      <c r="L217" s="258">
        <v>42836.0</v>
      </c>
      <c r="M217" s="266" t="s">
        <v>3593</v>
      </c>
      <c r="N217" s="252" t="s">
        <v>6774</v>
      </c>
      <c r="O217" s="339"/>
      <c r="P217" s="637">
        <v>3688.0</v>
      </c>
      <c r="Q217" s="310" t="s">
        <v>2080</v>
      </c>
      <c r="R217" s="253"/>
      <c r="S217" s="810">
        <v>42891.0</v>
      </c>
      <c r="T217" s="769">
        <v>42832.0</v>
      </c>
      <c r="U217" s="765" t="s">
        <v>6775</v>
      </c>
      <c r="V217" s="765" t="s">
        <v>6777</v>
      </c>
      <c r="W217" s="258">
        <v>42891.0</v>
      </c>
      <c r="X217" s="252" t="s">
        <v>6776</v>
      </c>
      <c r="Y217" s="253">
        <v>3.756656912E9</v>
      </c>
      <c r="Z217" s="1037"/>
      <c r="AA217" s="1037"/>
      <c r="AB217" s="766"/>
      <c r="AC217" s="253" t="s">
        <v>284</v>
      </c>
    </row>
    <row r="218" ht="15.75" customHeight="1">
      <c r="A218" s="776">
        <v>42831.0</v>
      </c>
      <c r="B218" s="597" t="s">
        <v>6167</v>
      </c>
      <c r="C218" s="252">
        <v>7.000128893E9</v>
      </c>
      <c r="D218" s="252" t="s">
        <v>6772</v>
      </c>
      <c r="E218" s="252" t="s">
        <v>4196</v>
      </c>
      <c r="F218" s="307">
        <v>1.0</v>
      </c>
      <c r="G218" s="254">
        <v>74.0</v>
      </c>
      <c r="H218" s="581">
        <f t="shared" si="5"/>
        <v>74</v>
      </c>
      <c r="I218" s="266" t="s">
        <v>43</v>
      </c>
      <c r="J218" s="777" t="s">
        <v>3623</v>
      </c>
      <c r="K218" s="258">
        <v>42838.0</v>
      </c>
      <c r="L218" s="258">
        <v>42836.0</v>
      </c>
      <c r="M218" s="266" t="s">
        <v>3593</v>
      </c>
      <c r="N218" s="252" t="s">
        <v>6774</v>
      </c>
      <c r="O218" s="339"/>
      <c r="P218" s="637">
        <v>2149.0</v>
      </c>
      <c r="Q218" s="310" t="s">
        <v>2080</v>
      </c>
      <c r="R218" s="253"/>
      <c r="S218" s="810">
        <v>42891.0</v>
      </c>
      <c r="T218" s="769">
        <v>42832.0</v>
      </c>
      <c r="U218" s="765" t="s">
        <v>6775</v>
      </c>
      <c r="V218" s="765" t="s">
        <v>6777</v>
      </c>
      <c r="W218" s="258">
        <v>42891.0</v>
      </c>
      <c r="X218" s="252" t="s">
        <v>6776</v>
      </c>
      <c r="Y218" s="253">
        <v>3.756656912E9</v>
      </c>
      <c r="Z218" s="1037"/>
      <c r="AA218" s="1037"/>
      <c r="AB218" s="766"/>
      <c r="AC218" s="253" t="s">
        <v>284</v>
      </c>
    </row>
    <row r="219" ht="15.75" customHeight="1">
      <c r="A219" s="764">
        <v>42832.0</v>
      </c>
      <c r="B219" s="844" t="s">
        <v>6778</v>
      </c>
      <c r="C219" s="765" t="s">
        <v>6779</v>
      </c>
      <c r="D219" s="252" t="s">
        <v>6780</v>
      </c>
      <c r="E219" s="252" t="s">
        <v>6781</v>
      </c>
      <c r="F219" s="307">
        <v>10.0</v>
      </c>
      <c r="G219" s="254">
        <v>90.0</v>
      </c>
      <c r="H219" s="581">
        <f t="shared" si="5"/>
        <v>900</v>
      </c>
      <c r="I219" s="266" t="s">
        <v>171</v>
      </c>
      <c r="J219" s="777" t="s">
        <v>6782</v>
      </c>
      <c r="K219" s="258">
        <v>42873.0</v>
      </c>
      <c r="L219" s="253" t="s">
        <v>179</v>
      </c>
      <c r="M219" s="369" t="s">
        <v>6783</v>
      </c>
      <c r="N219" s="602" t="s">
        <v>6784</v>
      </c>
      <c r="O219" s="339"/>
      <c r="P219" s="816"/>
      <c r="Q219" s="330" t="s">
        <v>4766</v>
      </c>
      <c r="R219" s="602" t="s">
        <v>6785</v>
      </c>
      <c r="S219" s="330"/>
      <c r="T219" s="765"/>
      <c r="U219" s="765"/>
      <c r="V219" s="765"/>
      <c r="W219" s="253"/>
      <c r="X219" s="252" t="s">
        <v>6786</v>
      </c>
      <c r="Y219" s="1037"/>
      <c r="Z219" s="1037"/>
      <c r="AA219" s="1037"/>
      <c r="AB219" s="766"/>
      <c r="AC219" s="253" t="s">
        <v>284</v>
      </c>
    </row>
    <row r="220" ht="15.75" customHeight="1">
      <c r="A220" s="764">
        <v>42832.0</v>
      </c>
      <c r="B220" s="1004" t="s">
        <v>378</v>
      </c>
      <c r="C220" s="765">
        <v>7978.0</v>
      </c>
      <c r="D220" s="765" t="s">
        <v>6787</v>
      </c>
      <c r="E220" s="765" t="s">
        <v>380</v>
      </c>
      <c r="F220" s="307">
        <v>3.0</v>
      </c>
      <c r="G220" s="254">
        <v>83.0</v>
      </c>
      <c r="H220" s="267">
        <f t="shared" si="5"/>
        <v>249</v>
      </c>
      <c r="I220" s="266" t="s">
        <v>3474</v>
      </c>
      <c r="J220" s="369" t="s">
        <v>6681</v>
      </c>
      <c r="K220" s="258">
        <v>42866.0</v>
      </c>
      <c r="L220" s="258">
        <v>42865.0</v>
      </c>
      <c r="M220" s="266" t="s">
        <v>2054</v>
      </c>
      <c r="N220" s="765" t="s">
        <v>6788</v>
      </c>
      <c r="O220" s="581">
        <v>220.5</v>
      </c>
      <c r="P220" s="637">
        <v>6747.0</v>
      </c>
      <c r="Q220" s="265" t="s">
        <v>2056</v>
      </c>
      <c r="R220" s="765"/>
      <c r="S220" s="581" t="s">
        <v>422</v>
      </c>
      <c r="T220" s="769">
        <v>42863.0</v>
      </c>
      <c r="U220" s="765" t="s">
        <v>6789</v>
      </c>
      <c r="V220" s="770">
        <v>6747.0</v>
      </c>
      <c r="W220" s="601">
        <v>42863.0</v>
      </c>
      <c r="X220" s="252" t="s">
        <v>6684</v>
      </c>
      <c r="Y220" s="253"/>
      <c r="Z220" s="1037"/>
      <c r="AA220" s="1037"/>
      <c r="AB220" s="766"/>
      <c r="AC220" s="253" t="s">
        <v>284</v>
      </c>
    </row>
    <row r="221" ht="15.75" customHeight="1">
      <c r="A221" s="601">
        <v>42832.0</v>
      </c>
      <c r="B221" s="765" t="s">
        <v>378</v>
      </c>
      <c r="C221" s="765">
        <v>7978.0</v>
      </c>
      <c r="D221" s="765" t="s">
        <v>6787</v>
      </c>
      <c r="E221" s="765" t="s">
        <v>700</v>
      </c>
      <c r="F221" s="307">
        <v>1.0</v>
      </c>
      <c r="G221" s="254">
        <v>25.0</v>
      </c>
      <c r="H221" s="267">
        <f t="shared" si="5"/>
        <v>25</v>
      </c>
      <c r="I221" s="1031" t="s">
        <v>3474</v>
      </c>
      <c r="J221" s="369" t="s">
        <v>6681</v>
      </c>
      <c r="K221" s="258">
        <v>42866.0</v>
      </c>
      <c r="L221" s="258">
        <v>42865.0</v>
      </c>
      <c r="M221" s="266"/>
      <c r="N221" s="765"/>
      <c r="O221" s="339"/>
      <c r="P221" s="816"/>
      <c r="Q221" s="320"/>
      <c r="R221" s="765"/>
      <c r="S221" s="1044"/>
      <c r="T221" s="769"/>
      <c r="U221" s="765"/>
      <c r="V221" s="770"/>
      <c r="W221" s="253"/>
      <c r="X221" s="252" t="s">
        <v>6684</v>
      </c>
      <c r="Y221" s="253"/>
      <c r="Z221" s="1037"/>
      <c r="AA221" s="1037"/>
      <c r="AB221" s="766"/>
      <c r="AC221" s="253" t="s">
        <v>284</v>
      </c>
    </row>
    <row r="222" ht="15.75" customHeight="1">
      <c r="A222" s="601">
        <v>42832.0</v>
      </c>
      <c r="B222" s="602" t="s">
        <v>6778</v>
      </c>
      <c r="C222" s="765" t="s">
        <v>6779</v>
      </c>
      <c r="D222" s="252" t="s">
        <v>6780</v>
      </c>
      <c r="E222" s="252" t="s">
        <v>6790</v>
      </c>
      <c r="F222" s="307">
        <v>4.0</v>
      </c>
      <c r="G222" s="254">
        <v>980.0</v>
      </c>
      <c r="H222" s="581">
        <f t="shared" si="5"/>
        <v>3920</v>
      </c>
      <c r="I222" s="266" t="s">
        <v>171</v>
      </c>
      <c r="J222" s="403" t="s">
        <v>6782</v>
      </c>
      <c r="K222" s="258">
        <v>42873.0</v>
      </c>
      <c r="L222" s="258">
        <v>42863.0</v>
      </c>
      <c r="M222" s="253" t="s">
        <v>90</v>
      </c>
      <c r="N222" s="252" t="s">
        <v>6791</v>
      </c>
      <c r="O222" s="267">
        <v>3402.0</v>
      </c>
      <c r="P222" s="816"/>
      <c r="Q222" s="320" t="s">
        <v>6081</v>
      </c>
      <c r="R222" s="253"/>
      <c r="S222" s="810">
        <v>42921.0</v>
      </c>
      <c r="T222" s="771">
        <v>42863.0</v>
      </c>
      <c r="U222" s="252" t="s">
        <v>6792</v>
      </c>
      <c r="V222" s="774">
        <v>471580.0</v>
      </c>
      <c r="W222" s="601">
        <v>42881.0</v>
      </c>
      <c r="X222" s="252" t="s">
        <v>6786</v>
      </c>
      <c r="Y222" s="1037"/>
      <c r="Z222" s="1037"/>
      <c r="AA222" s="1037"/>
      <c r="AB222" s="766"/>
      <c r="AC222" s="253" t="s">
        <v>284</v>
      </c>
    </row>
    <row r="223" ht="15.75" customHeight="1">
      <c r="A223" s="601">
        <v>42832.0</v>
      </c>
      <c r="B223" s="602" t="s">
        <v>6778</v>
      </c>
      <c r="C223" s="765" t="s">
        <v>6779</v>
      </c>
      <c r="D223" s="252" t="s">
        <v>6780</v>
      </c>
      <c r="E223" s="252" t="s">
        <v>6793</v>
      </c>
      <c r="F223" s="307">
        <v>12.0</v>
      </c>
      <c r="G223" s="254">
        <v>730.0</v>
      </c>
      <c r="H223" s="581">
        <f t="shared" si="5"/>
        <v>8760</v>
      </c>
      <c r="I223" s="266" t="s">
        <v>171</v>
      </c>
      <c r="J223" s="403" t="s">
        <v>6782</v>
      </c>
      <c r="K223" s="258">
        <v>42873.0</v>
      </c>
      <c r="L223" s="258">
        <v>42863.0</v>
      </c>
      <c r="M223" s="253" t="s">
        <v>90</v>
      </c>
      <c r="N223" s="252" t="s">
        <v>6791</v>
      </c>
      <c r="O223" s="267">
        <v>7912.8</v>
      </c>
      <c r="P223" s="816"/>
      <c r="Q223" s="320" t="s">
        <v>6081</v>
      </c>
      <c r="R223" s="253"/>
      <c r="S223" s="810">
        <v>42921.0</v>
      </c>
      <c r="T223" s="771">
        <v>42863.0</v>
      </c>
      <c r="U223" s="252" t="s">
        <v>6792</v>
      </c>
      <c r="V223" s="774">
        <v>471580.0</v>
      </c>
      <c r="W223" s="601">
        <v>42881.0</v>
      </c>
      <c r="X223" s="252" t="s">
        <v>6786</v>
      </c>
      <c r="Y223" s="1037"/>
      <c r="Z223" s="1037"/>
      <c r="AA223" s="1037"/>
      <c r="AB223" s="766"/>
      <c r="AC223" s="253" t="s">
        <v>284</v>
      </c>
    </row>
    <row r="224" ht="15.75" customHeight="1">
      <c r="A224" s="601">
        <v>42832.0</v>
      </c>
      <c r="B224" s="602" t="s">
        <v>6778</v>
      </c>
      <c r="C224" s="765" t="s">
        <v>6779</v>
      </c>
      <c r="D224" s="252" t="s">
        <v>6780</v>
      </c>
      <c r="E224" s="252" t="s">
        <v>6794</v>
      </c>
      <c r="F224" s="307">
        <v>2.0</v>
      </c>
      <c r="G224" s="254">
        <v>2376.0</v>
      </c>
      <c r="H224" s="581">
        <f t="shared" si="5"/>
        <v>4752</v>
      </c>
      <c r="I224" s="266" t="s">
        <v>171</v>
      </c>
      <c r="J224" s="403" t="s">
        <v>6782</v>
      </c>
      <c r="K224" s="258">
        <v>42873.0</v>
      </c>
      <c r="L224" s="258">
        <v>42863.0</v>
      </c>
      <c r="M224" s="592" t="s">
        <v>90</v>
      </c>
      <c r="N224" s="252" t="s">
        <v>6791</v>
      </c>
      <c r="O224" s="267">
        <v>4357.5</v>
      </c>
      <c r="P224" s="816"/>
      <c r="Q224" s="320" t="s">
        <v>6081</v>
      </c>
      <c r="R224" s="253"/>
      <c r="S224" s="810">
        <v>42921.0</v>
      </c>
      <c r="T224" s="771">
        <v>42863.0</v>
      </c>
      <c r="U224" s="252" t="s">
        <v>6792</v>
      </c>
      <c r="V224" s="774">
        <v>471580.0</v>
      </c>
      <c r="W224" s="601">
        <v>42881.0</v>
      </c>
      <c r="X224" s="252" t="s">
        <v>6786</v>
      </c>
      <c r="Y224" s="1037"/>
      <c r="Z224" s="1037"/>
      <c r="AA224" s="1037"/>
      <c r="AB224" s="766"/>
      <c r="AC224" s="253" t="s">
        <v>284</v>
      </c>
    </row>
    <row r="225" ht="15.75" customHeight="1">
      <c r="A225" s="601">
        <v>42832.0</v>
      </c>
      <c r="B225" s="602" t="s">
        <v>6778</v>
      </c>
      <c r="C225" s="765" t="s">
        <v>6779</v>
      </c>
      <c r="D225" s="252" t="s">
        <v>6780</v>
      </c>
      <c r="E225" s="252" t="s">
        <v>6781</v>
      </c>
      <c r="F225" s="307">
        <v>8.0</v>
      </c>
      <c r="G225" s="254">
        <v>90.0</v>
      </c>
      <c r="H225" s="581">
        <f t="shared" si="5"/>
        <v>720</v>
      </c>
      <c r="I225" s="266" t="s">
        <v>171</v>
      </c>
      <c r="J225" s="403" t="s">
        <v>6782</v>
      </c>
      <c r="K225" s="258">
        <v>42873.0</v>
      </c>
      <c r="L225" s="258">
        <v>42853.0</v>
      </c>
      <c r="M225" s="333" t="s">
        <v>6795</v>
      </c>
      <c r="N225" s="252" t="s">
        <v>6796</v>
      </c>
      <c r="O225" s="339"/>
      <c r="P225" s="637">
        <v>5796.0</v>
      </c>
      <c r="Q225" s="388" t="s">
        <v>4766</v>
      </c>
      <c r="R225" s="253"/>
      <c r="S225" s="581" t="s">
        <v>422</v>
      </c>
      <c r="T225" s="769">
        <v>42853.0</v>
      </c>
      <c r="U225" s="765" t="s">
        <v>6797</v>
      </c>
      <c r="V225" s="770">
        <v>23940.0</v>
      </c>
      <c r="W225" s="601">
        <v>42850.0</v>
      </c>
      <c r="X225" s="252" t="s">
        <v>6786</v>
      </c>
      <c r="Y225" s="1037"/>
      <c r="Z225" s="1037"/>
      <c r="AA225" s="1037"/>
      <c r="AB225" s="766"/>
      <c r="AC225" s="253" t="s">
        <v>284</v>
      </c>
    </row>
    <row r="226" ht="15.75" customHeight="1">
      <c r="A226" s="601">
        <v>42832.0</v>
      </c>
      <c r="B226" s="602" t="s">
        <v>6778</v>
      </c>
      <c r="C226" s="765" t="s">
        <v>6779</v>
      </c>
      <c r="D226" s="252" t="s">
        <v>6780</v>
      </c>
      <c r="E226" s="252" t="s">
        <v>6798</v>
      </c>
      <c r="F226" s="307">
        <v>6.0</v>
      </c>
      <c r="G226" s="254">
        <v>323.0</v>
      </c>
      <c r="H226" s="581">
        <f t="shared" si="5"/>
        <v>1938</v>
      </c>
      <c r="I226" s="266" t="s">
        <v>171</v>
      </c>
      <c r="J226" s="403" t="s">
        <v>6782</v>
      </c>
      <c r="K226" s="258">
        <v>42873.0</v>
      </c>
      <c r="L226" s="258">
        <v>42853.0</v>
      </c>
      <c r="M226" s="333" t="s">
        <v>6799</v>
      </c>
      <c r="N226" s="252" t="s">
        <v>6796</v>
      </c>
      <c r="O226" s="339"/>
      <c r="P226" s="637">
        <v>18144.0</v>
      </c>
      <c r="Q226" s="388" t="s">
        <v>4766</v>
      </c>
      <c r="R226" s="253"/>
      <c r="S226" s="581" t="s">
        <v>422</v>
      </c>
      <c r="T226" s="769">
        <v>42853.0</v>
      </c>
      <c r="U226" s="765" t="s">
        <v>6797</v>
      </c>
      <c r="V226" s="765" t="s">
        <v>6800</v>
      </c>
      <c r="W226" s="601">
        <v>42850.0</v>
      </c>
      <c r="X226" s="252" t="s">
        <v>6786</v>
      </c>
      <c r="Y226" s="1037"/>
      <c r="Z226" s="1037"/>
      <c r="AA226" s="1037"/>
      <c r="AB226" s="766"/>
      <c r="AC226" s="253" t="s">
        <v>284</v>
      </c>
    </row>
    <row r="227" ht="15.75" customHeight="1">
      <c r="A227" s="601">
        <v>42832.0</v>
      </c>
      <c r="B227" s="1004" t="s">
        <v>6548</v>
      </c>
      <c r="C227" s="765"/>
      <c r="D227" s="252" t="s">
        <v>6801</v>
      </c>
      <c r="E227" s="252" t="s">
        <v>6802</v>
      </c>
      <c r="F227" s="307">
        <v>1.0</v>
      </c>
      <c r="G227" s="254">
        <v>380.0</v>
      </c>
      <c r="H227" s="581">
        <f t="shared" si="5"/>
        <v>380</v>
      </c>
      <c r="I227" s="266" t="s">
        <v>3474</v>
      </c>
      <c r="J227" s="369" t="s">
        <v>3663</v>
      </c>
      <c r="K227" s="258">
        <v>42842.0</v>
      </c>
      <c r="L227" s="630"/>
      <c r="M227" s="333"/>
      <c r="N227" s="252"/>
      <c r="O227" s="339"/>
      <c r="P227" s="816"/>
      <c r="Q227" s="340"/>
      <c r="R227" s="253"/>
      <c r="S227" s="330"/>
      <c r="T227" s="766"/>
      <c r="U227" s="766"/>
      <c r="V227" s="766"/>
      <c r="W227" s="1037"/>
      <c r="X227" s="1037"/>
      <c r="Y227" s="1037"/>
      <c r="Z227" s="1037"/>
      <c r="AA227" s="1037"/>
      <c r="AB227" s="766"/>
      <c r="AC227" s="253" t="s">
        <v>6443</v>
      </c>
    </row>
    <row r="228" ht="15.75" customHeight="1">
      <c r="A228" s="601">
        <v>42832.0</v>
      </c>
      <c r="B228" s="1004" t="s">
        <v>6548</v>
      </c>
      <c r="C228" s="765"/>
      <c r="D228" s="252" t="s">
        <v>6801</v>
      </c>
      <c r="E228" s="252" t="s">
        <v>6803</v>
      </c>
      <c r="F228" s="307">
        <v>1.0</v>
      </c>
      <c r="G228" s="254">
        <v>35.0</v>
      </c>
      <c r="H228" s="581">
        <f t="shared" si="5"/>
        <v>35</v>
      </c>
      <c r="I228" s="266" t="s">
        <v>3474</v>
      </c>
      <c r="J228" s="369" t="s">
        <v>3663</v>
      </c>
      <c r="K228" s="258">
        <v>42842.0</v>
      </c>
      <c r="L228" s="630"/>
      <c r="M228" s="333"/>
      <c r="N228" s="252"/>
      <c r="O228" s="339"/>
      <c r="P228" s="637">
        <v>840.0</v>
      </c>
      <c r="Q228" s="340" t="s">
        <v>3669</v>
      </c>
      <c r="R228" s="253"/>
      <c r="S228" s="330"/>
      <c r="T228" s="766"/>
      <c r="U228" s="766"/>
      <c r="V228" s="766"/>
      <c r="W228" s="1037"/>
      <c r="X228" s="1037"/>
      <c r="Y228" s="1037"/>
      <c r="Z228" s="1037"/>
      <c r="AA228" s="1037"/>
      <c r="AB228" s="766"/>
      <c r="AC228" s="253" t="s">
        <v>6443</v>
      </c>
    </row>
    <row r="229" ht="15.75" customHeight="1">
      <c r="A229" s="601">
        <v>42835.0</v>
      </c>
      <c r="B229" s="1004" t="s">
        <v>77</v>
      </c>
      <c r="C229" s="765">
        <v>308.0</v>
      </c>
      <c r="D229" s="252" t="s">
        <v>6804</v>
      </c>
      <c r="E229" s="252" t="s">
        <v>4145</v>
      </c>
      <c r="F229" s="307">
        <v>80.0</v>
      </c>
      <c r="G229" s="254">
        <v>5.0</v>
      </c>
      <c r="H229" s="581">
        <f t="shared" si="5"/>
        <v>400</v>
      </c>
      <c r="I229" s="266" t="s">
        <v>43</v>
      </c>
      <c r="J229" s="369" t="s">
        <v>316</v>
      </c>
      <c r="K229" s="258">
        <v>42881.0</v>
      </c>
      <c r="L229" s="258">
        <v>42880.0</v>
      </c>
      <c r="M229" s="592" t="s">
        <v>2039</v>
      </c>
      <c r="N229" s="252" t="s">
        <v>6805</v>
      </c>
      <c r="O229" s="339"/>
      <c r="P229" s="637">
        <v>4872.0</v>
      </c>
      <c r="Q229" s="1004" t="s">
        <v>2194</v>
      </c>
      <c r="R229" s="253"/>
      <c r="S229" s="810">
        <v>42891.0</v>
      </c>
      <c r="T229" s="769">
        <v>42878.0</v>
      </c>
      <c r="U229" s="765" t="s">
        <v>6806</v>
      </c>
      <c r="V229" s="770">
        <v>6998.0</v>
      </c>
      <c r="W229" s="258">
        <v>42892.0</v>
      </c>
      <c r="X229" s="252" t="s">
        <v>6807</v>
      </c>
      <c r="Y229" s="1037"/>
      <c r="Z229" s="1037"/>
      <c r="AA229" s="1037"/>
      <c r="AB229" s="766"/>
      <c r="AC229" s="253" t="s">
        <v>284</v>
      </c>
    </row>
    <row r="230" ht="15.75" customHeight="1">
      <c r="A230" s="601">
        <v>42835.0</v>
      </c>
      <c r="B230" s="1004" t="s">
        <v>229</v>
      </c>
      <c r="C230" s="765"/>
      <c r="D230" s="252" t="s">
        <v>6808</v>
      </c>
      <c r="E230" s="252" t="s">
        <v>462</v>
      </c>
      <c r="F230" s="307">
        <v>25.0</v>
      </c>
      <c r="G230" s="267">
        <v>415.8</v>
      </c>
      <c r="H230" s="267">
        <f t="shared" si="5"/>
        <v>10395</v>
      </c>
      <c r="I230" s="266" t="s">
        <v>171</v>
      </c>
      <c r="J230" s="253" t="s">
        <v>90</v>
      </c>
      <c r="K230" s="258">
        <v>42849.0</v>
      </c>
      <c r="L230" s="258">
        <v>42849.0</v>
      </c>
      <c r="M230" s="253" t="s">
        <v>90</v>
      </c>
      <c r="N230" s="252" t="s">
        <v>6809</v>
      </c>
      <c r="O230" s="581">
        <v>9318.75</v>
      </c>
      <c r="P230" s="816"/>
      <c r="Q230" s="320" t="s">
        <v>6081</v>
      </c>
      <c r="R230" s="253"/>
      <c r="S230" s="810">
        <v>42891.0</v>
      </c>
      <c r="T230" s="769">
        <v>42850.0</v>
      </c>
      <c r="U230" s="252" t="s">
        <v>6810</v>
      </c>
      <c r="V230" s="774">
        <v>282638.0</v>
      </c>
      <c r="W230" s="601">
        <v>42881.0</v>
      </c>
      <c r="X230" s="765" t="s">
        <v>6811</v>
      </c>
      <c r="Y230" s="1037"/>
      <c r="Z230" s="765" t="s">
        <v>6812</v>
      </c>
      <c r="AA230" s="262">
        <v>314969.0</v>
      </c>
      <c r="AB230" s="765" t="s">
        <v>6813</v>
      </c>
      <c r="AC230" s="253" t="s">
        <v>377</v>
      </c>
    </row>
    <row r="231" ht="15.75" customHeight="1">
      <c r="A231" s="601">
        <v>42835.0</v>
      </c>
      <c r="B231" s="1004" t="s">
        <v>101</v>
      </c>
      <c r="C231" s="765" t="s">
        <v>6814</v>
      </c>
      <c r="D231" s="252" t="s">
        <v>6815</v>
      </c>
      <c r="E231" s="252" t="s">
        <v>6816</v>
      </c>
      <c r="F231" s="307">
        <v>2.0</v>
      </c>
      <c r="G231" s="254">
        <v>322.0</v>
      </c>
      <c r="H231" s="581">
        <f t="shared" si="5"/>
        <v>644</v>
      </c>
      <c r="I231" s="266" t="s">
        <v>3474</v>
      </c>
      <c r="J231" s="369" t="s">
        <v>3739</v>
      </c>
      <c r="K231" s="258">
        <v>42849.0</v>
      </c>
      <c r="L231" s="258">
        <v>42845.0</v>
      </c>
      <c r="M231" s="333" t="s">
        <v>2028</v>
      </c>
      <c r="N231" s="252" t="s">
        <v>6817</v>
      </c>
      <c r="O231" s="339"/>
      <c r="P231" s="637">
        <v>18633.0</v>
      </c>
      <c r="Q231" s="340" t="s">
        <v>2030</v>
      </c>
      <c r="R231" s="253"/>
      <c r="S231" s="330"/>
      <c r="T231" s="769">
        <v>42844.0</v>
      </c>
      <c r="U231" s="765" t="s">
        <v>6818</v>
      </c>
      <c r="V231" s="770">
        <v>19148.0</v>
      </c>
      <c r="W231" s="601">
        <v>42842.0</v>
      </c>
      <c r="X231" s="252" t="s">
        <v>6819</v>
      </c>
      <c r="Y231" s="1037"/>
      <c r="Z231" s="1037"/>
      <c r="AA231" s="1037"/>
      <c r="AB231" s="766"/>
      <c r="AC231" s="253" t="s">
        <v>284</v>
      </c>
    </row>
    <row r="232" ht="15.75" customHeight="1">
      <c r="A232" s="764">
        <v>42835.0</v>
      </c>
      <c r="B232" s="1004" t="s">
        <v>101</v>
      </c>
      <c r="C232" s="765" t="s">
        <v>6814</v>
      </c>
      <c r="D232" s="252" t="s">
        <v>6820</v>
      </c>
      <c r="E232" s="252" t="s">
        <v>3862</v>
      </c>
      <c r="F232" s="307">
        <v>2.0</v>
      </c>
      <c r="G232" s="254">
        <v>9.0</v>
      </c>
      <c r="H232" s="581">
        <f t="shared" si="5"/>
        <v>18</v>
      </c>
      <c r="I232" s="266" t="s">
        <v>3474</v>
      </c>
      <c r="J232" s="369" t="s">
        <v>3739</v>
      </c>
      <c r="K232" s="258">
        <v>42849.0</v>
      </c>
      <c r="L232" s="258">
        <v>42845.0</v>
      </c>
      <c r="M232" s="403" t="s">
        <v>2028</v>
      </c>
      <c r="N232" s="780" t="s">
        <v>6817</v>
      </c>
      <c r="O232" s="339"/>
      <c r="P232" s="637">
        <v>515.0</v>
      </c>
      <c r="Q232" s="578" t="s">
        <v>2030</v>
      </c>
      <c r="R232" s="253"/>
      <c r="S232" s="330"/>
      <c r="T232" s="769">
        <v>42844.0</v>
      </c>
      <c r="U232" s="765" t="s">
        <v>6818</v>
      </c>
      <c r="V232" s="765" t="s">
        <v>6821</v>
      </c>
      <c r="W232" s="601">
        <v>42842.0</v>
      </c>
      <c r="X232" s="252" t="s">
        <v>6819</v>
      </c>
      <c r="Y232" s="1037"/>
      <c r="Z232" s="1037"/>
      <c r="AA232" s="1037"/>
      <c r="AB232" s="766"/>
      <c r="AC232" s="253" t="s">
        <v>284</v>
      </c>
    </row>
    <row r="233" ht="15.75" customHeight="1">
      <c r="A233" s="601">
        <v>42835.0</v>
      </c>
      <c r="B233" s="1004" t="s">
        <v>101</v>
      </c>
      <c r="C233" s="765" t="s">
        <v>6814</v>
      </c>
      <c r="D233" s="252" t="s">
        <v>6822</v>
      </c>
      <c r="E233" s="252" t="s">
        <v>6612</v>
      </c>
      <c r="F233" s="307">
        <v>2.0</v>
      </c>
      <c r="G233" s="254">
        <v>39.0</v>
      </c>
      <c r="H233" s="581">
        <f t="shared" si="5"/>
        <v>78</v>
      </c>
      <c r="I233" s="266" t="s">
        <v>3474</v>
      </c>
      <c r="J233" s="369" t="s">
        <v>3739</v>
      </c>
      <c r="K233" s="258">
        <v>42849.0</v>
      </c>
      <c r="L233" s="258">
        <v>42843.0</v>
      </c>
      <c r="M233" s="266" t="s">
        <v>2170</v>
      </c>
      <c r="N233" s="252" t="s">
        <v>6823</v>
      </c>
      <c r="O233" s="339"/>
      <c r="P233" s="637">
        <v>2020.0</v>
      </c>
      <c r="Q233" s="320" t="s">
        <v>2172</v>
      </c>
      <c r="R233" s="253"/>
      <c r="S233" s="330"/>
      <c r="T233" s="769">
        <v>42839.0</v>
      </c>
      <c r="U233" s="765" t="s">
        <v>6824</v>
      </c>
      <c r="V233" s="770">
        <v>2020.0</v>
      </c>
      <c r="W233" s="601">
        <v>42837.0</v>
      </c>
      <c r="X233" s="252" t="s">
        <v>6819</v>
      </c>
      <c r="Y233" s="1037"/>
      <c r="Z233" s="1037"/>
      <c r="AA233" s="1037"/>
      <c r="AB233" s="766"/>
      <c r="AC233" s="253" t="s">
        <v>284</v>
      </c>
    </row>
    <row r="234" ht="15.75" customHeight="1">
      <c r="A234" s="601">
        <v>42835.0</v>
      </c>
      <c r="B234" s="1004" t="s">
        <v>6825</v>
      </c>
      <c r="C234" s="765">
        <v>1052017.0</v>
      </c>
      <c r="D234" s="765" t="s">
        <v>6826</v>
      </c>
      <c r="E234" s="765" t="s">
        <v>6827</v>
      </c>
      <c r="F234" s="307">
        <v>2.0</v>
      </c>
      <c r="G234" s="254">
        <v>62.0</v>
      </c>
      <c r="H234" s="267">
        <f t="shared" si="5"/>
        <v>124</v>
      </c>
      <c r="I234" s="266" t="s">
        <v>3474</v>
      </c>
      <c r="J234" s="369" t="s">
        <v>5360</v>
      </c>
      <c r="K234" s="258">
        <v>42843.0</v>
      </c>
      <c r="L234" s="258">
        <v>42842.0</v>
      </c>
      <c r="M234" s="253" t="s">
        <v>90</v>
      </c>
      <c r="N234" s="252" t="s">
        <v>6828</v>
      </c>
      <c r="O234" s="581">
        <v>109.2</v>
      </c>
      <c r="P234" s="816"/>
      <c r="Q234" s="320" t="s">
        <v>6081</v>
      </c>
      <c r="R234" s="253"/>
      <c r="S234" s="810">
        <v>42860.0</v>
      </c>
      <c r="T234" s="769">
        <v>42842.0</v>
      </c>
      <c r="U234" s="765" t="s">
        <v>6829</v>
      </c>
      <c r="V234" s="770">
        <v>3313.0</v>
      </c>
      <c r="W234" s="601">
        <v>42860.0</v>
      </c>
      <c r="X234" s="252" t="s">
        <v>6830</v>
      </c>
      <c r="Y234" s="253">
        <v>7.78924600185E11</v>
      </c>
      <c r="Z234" s="1037"/>
      <c r="AA234" s="1037"/>
      <c r="AB234" s="766"/>
      <c r="AC234" s="253" t="s">
        <v>284</v>
      </c>
    </row>
    <row r="235" ht="15.75" customHeight="1">
      <c r="A235" s="601">
        <v>42835.0</v>
      </c>
      <c r="B235" s="1004" t="s">
        <v>6825</v>
      </c>
      <c r="C235" s="765">
        <v>1052017.0</v>
      </c>
      <c r="D235" s="765" t="s">
        <v>6826</v>
      </c>
      <c r="E235" s="765" t="s">
        <v>700</v>
      </c>
      <c r="F235" s="307">
        <v>1.0</v>
      </c>
      <c r="G235" s="254">
        <v>25.0</v>
      </c>
      <c r="H235" s="267">
        <f t="shared" si="5"/>
        <v>25</v>
      </c>
      <c r="I235" s="266" t="s">
        <v>3474</v>
      </c>
      <c r="J235" s="369" t="s">
        <v>5360</v>
      </c>
      <c r="K235" s="258">
        <v>42843.0</v>
      </c>
      <c r="L235" s="253"/>
      <c r="M235" s="253"/>
      <c r="N235" s="266"/>
      <c r="O235" s="339"/>
      <c r="P235" s="816"/>
      <c r="Q235" s="253"/>
      <c r="R235" s="253"/>
      <c r="S235" s="1036"/>
      <c r="T235" s="767"/>
      <c r="U235" s="766"/>
      <c r="V235" s="766"/>
      <c r="W235" s="1037"/>
      <c r="X235" s="1037"/>
      <c r="Y235" s="1037"/>
      <c r="Z235" s="1037"/>
      <c r="AA235" s="1037"/>
      <c r="AB235" s="766"/>
      <c r="AC235" s="253" t="s">
        <v>284</v>
      </c>
    </row>
    <row r="236" ht="15.75" customHeight="1">
      <c r="A236" s="601">
        <v>42837.0</v>
      </c>
      <c r="B236" s="1004" t="s">
        <v>77</v>
      </c>
      <c r="C236" s="765">
        <v>315.0</v>
      </c>
      <c r="D236" s="780" t="s">
        <v>6831</v>
      </c>
      <c r="E236" s="780" t="s">
        <v>362</v>
      </c>
      <c r="F236" s="307">
        <v>100.0</v>
      </c>
      <c r="G236" s="254">
        <v>20.0</v>
      </c>
      <c r="H236" s="581">
        <f t="shared" si="5"/>
        <v>2000</v>
      </c>
      <c r="I236" s="266" t="s">
        <v>43</v>
      </c>
      <c r="J236" s="369" t="s">
        <v>316</v>
      </c>
      <c r="K236" s="258">
        <v>42873.0</v>
      </c>
      <c r="L236" s="258">
        <v>42873.0</v>
      </c>
      <c r="M236" s="403" t="s">
        <v>6287</v>
      </c>
      <c r="N236" s="252" t="s">
        <v>6832</v>
      </c>
      <c r="O236" s="637">
        <v>1827.0</v>
      </c>
      <c r="P236" s="816"/>
      <c r="Q236" s="330" t="s">
        <v>2043</v>
      </c>
      <c r="R236" s="253"/>
      <c r="S236" s="810">
        <v>42891.0</v>
      </c>
      <c r="T236" s="769">
        <v>42871.0</v>
      </c>
      <c r="U236" s="765" t="s">
        <v>6833</v>
      </c>
      <c r="V236" s="770">
        <v>55084.0</v>
      </c>
      <c r="W236" s="258">
        <v>42891.0</v>
      </c>
      <c r="X236" s="252" t="s">
        <v>6834</v>
      </c>
      <c r="Y236" s="253">
        <v>9.83435983E8</v>
      </c>
      <c r="Z236" s="1037"/>
      <c r="AA236" s="1037"/>
      <c r="AB236" s="766"/>
      <c r="AC236" s="253" t="s">
        <v>284</v>
      </c>
    </row>
    <row r="237" ht="15.75" customHeight="1">
      <c r="A237" s="601">
        <v>42837.0</v>
      </c>
      <c r="B237" s="1004" t="s">
        <v>77</v>
      </c>
      <c r="C237" s="765">
        <v>315.0</v>
      </c>
      <c r="D237" s="252" t="s">
        <v>6831</v>
      </c>
      <c r="E237" s="252" t="s">
        <v>6835</v>
      </c>
      <c r="F237" s="307">
        <v>1.0</v>
      </c>
      <c r="G237" s="254">
        <v>125.0</v>
      </c>
      <c r="H237" s="581">
        <f t="shared" si="5"/>
        <v>125</v>
      </c>
      <c r="I237" s="266" t="s">
        <v>43</v>
      </c>
      <c r="J237" s="369" t="s">
        <v>316</v>
      </c>
      <c r="K237" s="258">
        <v>42873.0</v>
      </c>
      <c r="L237" s="258">
        <v>42867.0</v>
      </c>
      <c r="M237" s="333" t="s">
        <v>3489</v>
      </c>
      <c r="N237" s="252" t="s">
        <v>6836</v>
      </c>
      <c r="O237" s="1045"/>
      <c r="P237" s="637">
        <v>3484.0</v>
      </c>
      <c r="Q237" s="883" t="s">
        <v>6639</v>
      </c>
      <c r="R237" s="253"/>
      <c r="S237" s="810">
        <v>42898.0</v>
      </c>
      <c r="T237" s="769">
        <v>42867.0</v>
      </c>
      <c r="U237" s="765" t="s">
        <v>6837</v>
      </c>
      <c r="V237" s="770">
        <v>3484.0</v>
      </c>
      <c r="W237" s="601">
        <v>42888.0</v>
      </c>
      <c r="X237" s="252" t="s">
        <v>6834</v>
      </c>
      <c r="Y237" s="253">
        <v>9.83435983E8</v>
      </c>
      <c r="Z237" s="1037"/>
      <c r="AA237" s="1037"/>
      <c r="AB237" s="766"/>
      <c r="AC237" s="253" t="s">
        <v>284</v>
      </c>
    </row>
    <row r="238" ht="15.75" customHeight="1">
      <c r="A238" s="764">
        <v>42837.0</v>
      </c>
      <c r="B238" s="1004" t="s">
        <v>101</v>
      </c>
      <c r="C238" s="765" t="s">
        <v>6838</v>
      </c>
      <c r="D238" s="765" t="s">
        <v>6839</v>
      </c>
      <c r="E238" s="765" t="s">
        <v>6840</v>
      </c>
      <c r="F238" s="307">
        <v>1.0</v>
      </c>
      <c r="G238" s="254">
        <v>994.0</v>
      </c>
      <c r="H238" s="267">
        <f t="shared" si="5"/>
        <v>994</v>
      </c>
      <c r="I238" s="266" t="s">
        <v>3474</v>
      </c>
      <c r="J238" s="369" t="s">
        <v>3739</v>
      </c>
      <c r="K238" s="258">
        <v>42859.0</v>
      </c>
      <c r="L238" s="258">
        <v>42858.0</v>
      </c>
      <c r="M238" s="403" t="s">
        <v>6841</v>
      </c>
      <c r="N238" s="765" t="s">
        <v>6842</v>
      </c>
      <c r="O238" s="581">
        <v>918.75</v>
      </c>
      <c r="P238" s="816"/>
      <c r="Q238" s="791" t="s">
        <v>2346</v>
      </c>
      <c r="R238" s="253"/>
      <c r="S238" s="1036"/>
      <c r="T238" s="771">
        <v>42852.0</v>
      </c>
      <c r="U238" s="252" t="s">
        <v>6843</v>
      </c>
      <c r="V238" s="774">
        <v>27769.0</v>
      </c>
      <c r="W238" s="601">
        <v>42922.0</v>
      </c>
      <c r="X238" s="252" t="s">
        <v>6844</v>
      </c>
      <c r="Y238" s="1037"/>
      <c r="Z238" s="1037"/>
      <c r="AA238" s="1037"/>
      <c r="AB238" s="766"/>
      <c r="AC238" s="253" t="s">
        <v>284</v>
      </c>
    </row>
    <row r="239" ht="15.75" customHeight="1">
      <c r="A239" s="764">
        <v>42837.0</v>
      </c>
      <c r="B239" s="1004" t="s">
        <v>77</v>
      </c>
      <c r="C239" s="765">
        <v>315.0</v>
      </c>
      <c r="D239" s="252" t="s">
        <v>6831</v>
      </c>
      <c r="E239" s="252" t="s">
        <v>3541</v>
      </c>
      <c r="F239" s="307">
        <v>25.0</v>
      </c>
      <c r="G239" s="254">
        <v>285.0</v>
      </c>
      <c r="H239" s="581">
        <f t="shared" si="5"/>
        <v>7125</v>
      </c>
      <c r="I239" s="266" t="s">
        <v>43</v>
      </c>
      <c r="J239" s="369" t="s">
        <v>316</v>
      </c>
      <c r="K239" s="258">
        <v>42852.0</v>
      </c>
      <c r="L239" s="258">
        <v>42850.0</v>
      </c>
      <c r="M239" s="333" t="s">
        <v>1998</v>
      </c>
      <c r="N239" s="252" t="s">
        <v>6845</v>
      </c>
      <c r="O239" s="581">
        <v>6562.5</v>
      </c>
      <c r="P239" s="816"/>
      <c r="Q239" s="310" t="s">
        <v>2000</v>
      </c>
      <c r="R239" s="253"/>
      <c r="S239" s="810">
        <v>42891.0</v>
      </c>
      <c r="T239" s="769">
        <v>42849.0</v>
      </c>
      <c r="U239" s="765" t="s">
        <v>6846</v>
      </c>
      <c r="V239" s="770">
        <v>198910.0</v>
      </c>
      <c r="W239" s="258">
        <v>42923.0</v>
      </c>
      <c r="X239" s="252" t="s">
        <v>6760</v>
      </c>
      <c r="Y239" s="253">
        <v>9.67713714E8</v>
      </c>
      <c r="Z239" s="1037"/>
      <c r="AA239" s="1037"/>
      <c r="AB239" s="766"/>
      <c r="AC239" s="253" t="s">
        <v>284</v>
      </c>
    </row>
    <row r="240" ht="15.75" customHeight="1">
      <c r="A240" s="764">
        <v>42837.0</v>
      </c>
      <c r="B240" s="1004" t="s">
        <v>101</v>
      </c>
      <c r="C240" s="765" t="s">
        <v>6847</v>
      </c>
      <c r="D240" s="330" t="s">
        <v>6848</v>
      </c>
      <c r="E240" s="330" t="s">
        <v>6849</v>
      </c>
      <c r="F240" s="307">
        <v>7.0</v>
      </c>
      <c r="G240" s="254">
        <v>399.0</v>
      </c>
      <c r="H240" s="267">
        <f t="shared" si="5"/>
        <v>2793</v>
      </c>
      <c r="I240" s="266" t="s">
        <v>3474</v>
      </c>
      <c r="J240" s="369" t="s">
        <v>3739</v>
      </c>
      <c r="K240" s="258">
        <v>42849.0</v>
      </c>
      <c r="L240" s="258">
        <v>42844.0</v>
      </c>
      <c r="M240" s="253" t="s">
        <v>6850</v>
      </c>
      <c r="N240" s="765" t="s">
        <v>6851</v>
      </c>
      <c r="O240" s="339"/>
      <c r="P240" s="637">
        <v>79380.0</v>
      </c>
      <c r="Q240" s="320" t="s">
        <v>6852</v>
      </c>
      <c r="R240" s="253"/>
      <c r="S240" s="1036"/>
      <c r="T240" s="769">
        <v>42843.0</v>
      </c>
      <c r="U240" s="765" t="s">
        <v>6853</v>
      </c>
      <c r="V240" s="770">
        <v>79380.0</v>
      </c>
      <c r="W240" s="601">
        <v>42842.0</v>
      </c>
      <c r="X240" s="252" t="s">
        <v>6819</v>
      </c>
      <c r="Y240" s="1037"/>
      <c r="Z240" s="1037"/>
      <c r="AA240" s="1037"/>
      <c r="AB240" s="766"/>
      <c r="AC240" s="253" t="s">
        <v>284</v>
      </c>
    </row>
    <row r="241" ht="15.75" customHeight="1">
      <c r="A241" s="601">
        <v>42838.0</v>
      </c>
      <c r="B241" s="578" t="s">
        <v>6125</v>
      </c>
      <c r="C241" s="765" t="s">
        <v>6854</v>
      </c>
      <c r="D241" s="310" t="s">
        <v>6855</v>
      </c>
      <c r="E241" s="310" t="s">
        <v>6128</v>
      </c>
      <c r="F241" s="307">
        <v>4.0</v>
      </c>
      <c r="G241" s="267">
        <v>148.0</v>
      </c>
      <c r="H241" s="1061">
        <f t="shared" si="5"/>
        <v>592</v>
      </c>
      <c r="I241" s="779" t="s">
        <v>3474</v>
      </c>
      <c r="J241" s="403" t="s">
        <v>3732</v>
      </c>
      <c r="K241" s="258">
        <v>42852.0</v>
      </c>
      <c r="L241" s="258">
        <v>42845.0</v>
      </c>
      <c r="M241" s="403" t="s">
        <v>2034</v>
      </c>
      <c r="N241" s="765" t="s">
        <v>6856</v>
      </c>
      <c r="O241" s="581">
        <v>579.6</v>
      </c>
      <c r="P241" s="816"/>
      <c r="Q241" s="320" t="s">
        <v>2036</v>
      </c>
      <c r="R241" s="253"/>
      <c r="S241" s="810">
        <v>42891.0</v>
      </c>
      <c r="T241" s="769">
        <v>42844.0</v>
      </c>
      <c r="U241" s="765" t="s">
        <v>6857</v>
      </c>
      <c r="V241" s="770">
        <v>181434.0</v>
      </c>
      <c r="W241" s="258">
        <v>42891.0</v>
      </c>
      <c r="X241" s="252" t="s">
        <v>6858</v>
      </c>
      <c r="Y241" s="1037"/>
      <c r="Z241" s="1037"/>
      <c r="AA241" s="1037"/>
      <c r="AB241" s="766"/>
      <c r="AC241" s="253" t="s">
        <v>284</v>
      </c>
    </row>
    <row r="242" ht="15.75" customHeight="1">
      <c r="A242" s="601">
        <v>42838.0</v>
      </c>
      <c r="B242" s="578" t="s">
        <v>6125</v>
      </c>
      <c r="C242" s="765" t="s">
        <v>6854</v>
      </c>
      <c r="D242" s="310" t="s">
        <v>6855</v>
      </c>
      <c r="E242" s="310" t="s">
        <v>6132</v>
      </c>
      <c r="F242" s="307">
        <v>4.0</v>
      </c>
      <c r="G242" s="267">
        <v>148.0</v>
      </c>
      <c r="H242" s="1061">
        <f t="shared" si="5"/>
        <v>592</v>
      </c>
      <c r="I242" s="779" t="s">
        <v>3474</v>
      </c>
      <c r="J242" s="403" t="s">
        <v>3732</v>
      </c>
      <c r="K242" s="258">
        <v>42852.0</v>
      </c>
      <c r="L242" s="258">
        <v>42845.0</v>
      </c>
      <c r="M242" s="403" t="s">
        <v>2034</v>
      </c>
      <c r="N242" s="765" t="s">
        <v>6856</v>
      </c>
      <c r="O242" s="581">
        <v>579.6</v>
      </c>
      <c r="P242" s="816"/>
      <c r="Q242" s="320" t="s">
        <v>2036</v>
      </c>
      <c r="R242" s="253"/>
      <c r="S242" s="810">
        <v>42891.0</v>
      </c>
      <c r="T242" s="769">
        <v>42844.0</v>
      </c>
      <c r="U242" s="765" t="s">
        <v>6857</v>
      </c>
      <c r="V242" s="765" t="s">
        <v>6859</v>
      </c>
      <c r="W242" s="258">
        <v>42891.0</v>
      </c>
      <c r="X242" s="252" t="s">
        <v>6858</v>
      </c>
      <c r="Y242" s="1037"/>
      <c r="Z242" s="1037"/>
      <c r="AA242" s="1037"/>
      <c r="AB242" s="766"/>
      <c r="AC242" s="253" t="s">
        <v>284</v>
      </c>
    </row>
    <row r="243" ht="15.75" customHeight="1">
      <c r="A243" s="601">
        <v>42838.0</v>
      </c>
      <c r="B243" s="578" t="s">
        <v>6125</v>
      </c>
      <c r="C243" s="765" t="s">
        <v>6854</v>
      </c>
      <c r="D243" s="310" t="s">
        <v>6855</v>
      </c>
      <c r="E243" s="310" t="s">
        <v>6860</v>
      </c>
      <c r="F243" s="307">
        <v>4.0</v>
      </c>
      <c r="G243" s="267">
        <v>1239.0</v>
      </c>
      <c r="H243" s="1061">
        <f t="shared" si="5"/>
        <v>4956</v>
      </c>
      <c r="I243" s="779" t="s">
        <v>3474</v>
      </c>
      <c r="J243" s="403" t="s">
        <v>3732</v>
      </c>
      <c r="K243" s="258">
        <v>42852.0</v>
      </c>
      <c r="L243" s="258">
        <v>42845.0</v>
      </c>
      <c r="M243" s="403" t="s">
        <v>2034</v>
      </c>
      <c r="N243" s="765" t="s">
        <v>6856</v>
      </c>
      <c r="O243" s="637">
        <v>4809.0</v>
      </c>
      <c r="P243" s="816"/>
      <c r="Q243" s="320" t="s">
        <v>2036</v>
      </c>
      <c r="R243" s="253"/>
      <c r="S243" s="810">
        <v>42891.0</v>
      </c>
      <c r="T243" s="769">
        <v>42844.0</v>
      </c>
      <c r="U243" s="765" t="s">
        <v>6857</v>
      </c>
      <c r="V243" s="765" t="s">
        <v>6859</v>
      </c>
      <c r="W243" s="258">
        <v>42891.0</v>
      </c>
      <c r="X243" s="252" t="s">
        <v>6858</v>
      </c>
      <c r="Y243" s="1037"/>
      <c r="Z243" s="1037"/>
      <c r="AA243" s="1037"/>
      <c r="AB243" s="766"/>
      <c r="AC243" s="253" t="s">
        <v>284</v>
      </c>
    </row>
    <row r="244" ht="15.75" customHeight="1">
      <c r="A244" s="601">
        <v>42839.0</v>
      </c>
      <c r="B244" s="597" t="s">
        <v>6167</v>
      </c>
      <c r="C244" s="765">
        <v>7.000129193E9</v>
      </c>
      <c r="D244" s="765" t="s">
        <v>6861</v>
      </c>
      <c r="E244" s="765" t="s">
        <v>3676</v>
      </c>
      <c r="F244" s="307">
        <v>2.0</v>
      </c>
      <c r="G244" s="254">
        <v>46.0</v>
      </c>
      <c r="H244" s="1061">
        <f t="shared" si="5"/>
        <v>92</v>
      </c>
      <c r="I244" s="256" t="s">
        <v>43</v>
      </c>
      <c r="J244" s="777" t="s">
        <v>3623</v>
      </c>
      <c r="K244" s="258">
        <v>42852.0</v>
      </c>
      <c r="L244" s="258">
        <v>42850.0</v>
      </c>
      <c r="M244" s="266" t="s">
        <v>3593</v>
      </c>
      <c r="N244" s="252" t="s">
        <v>6862</v>
      </c>
      <c r="O244" s="339"/>
      <c r="P244" s="637">
        <v>2684.0</v>
      </c>
      <c r="Q244" s="310" t="s">
        <v>2080</v>
      </c>
      <c r="R244" s="253"/>
      <c r="S244" s="810">
        <v>42891.0</v>
      </c>
      <c r="T244" s="769">
        <v>42845.0</v>
      </c>
      <c r="U244" s="765" t="s">
        <v>6863</v>
      </c>
      <c r="V244" s="770">
        <v>2684.0</v>
      </c>
      <c r="W244" s="258">
        <v>42891.0</v>
      </c>
      <c r="X244" s="252" t="s">
        <v>6864</v>
      </c>
      <c r="Y244" s="1037"/>
      <c r="Z244" s="1037"/>
      <c r="AA244" s="1037"/>
      <c r="AB244" s="766"/>
      <c r="AC244" s="253" t="s">
        <v>284</v>
      </c>
    </row>
    <row r="245" ht="15.75" customHeight="1">
      <c r="A245" s="601">
        <v>42839.0</v>
      </c>
      <c r="B245" s="597" t="s">
        <v>6167</v>
      </c>
      <c r="C245" s="765">
        <v>7.000129193E9</v>
      </c>
      <c r="D245" s="765" t="s">
        <v>6865</v>
      </c>
      <c r="E245" s="765" t="s">
        <v>6866</v>
      </c>
      <c r="F245" s="307">
        <v>2.0</v>
      </c>
      <c r="G245" s="325">
        <v>260.8</v>
      </c>
      <c r="H245" s="581">
        <f t="shared" si="5"/>
        <v>521.6</v>
      </c>
      <c r="I245" s="256" t="s">
        <v>43</v>
      </c>
      <c r="J245" s="403" t="s">
        <v>3623</v>
      </c>
      <c r="K245" s="258">
        <v>42845.0</v>
      </c>
      <c r="L245" s="258">
        <v>42844.0</v>
      </c>
      <c r="M245" s="256" t="s">
        <v>3593</v>
      </c>
      <c r="N245" s="765" t="s">
        <v>6867</v>
      </c>
      <c r="O245" s="816"/>
      <c r="P245" s="637">
        <v>15859.0</v>
      </c>
      <c r="Q245" s="320" t="s">
        <v>2080</v>
      </c>
      <c r="R245" s="253"/>
      <c r="S245" s="810">
        <v>42891.0</v>
      </c>
      <c r="T245" s="769">
        <v>42842.0</v>
      </c>
      <c r="U245" s="765" t="s">
        <v>6868</v>
      </c>
      <c r="V245" s="770">
        <v>15859.0</v>
      </c>
      <c r="W245" s="258">
        <v>42891.0</v>
      </c>
      <c r="X245" s="252" t="s">
        <v>6869</v>
      </c>
      <c r="Y245" s="253">
        <v>1.54966504E9</v>
      </c>
      <c r="Z245" s="1037"/>
      <c r="AA245" s="1037"/>
      <c r="AB245" s="766"/>
      <c r="AC245" s="253" t="s">
        <v>284</v>
      </c>
    </row>
    <row r="246" ht="15.75" customHeight="1">
      <c r="A246" s="601">
        <v>42843.0</v>
      </c>
      <c r="B246" s="597" t="s">
        <v>101</v>
      </c>
      <c r="C246" s="765" t="s">
        <v>6870</v>
      </c>
      <c r="D246" s="252" t="s">
        <v>6871</v>
      </c>
      <c r="E246" s="252" t="s">
        <v>6872</v>
      </c>
      <c r="F246" s="307">
        <v>1.0</v>
      </c>
      <c r="G246" s="325">
        <v>407.0</v>
      </c>
      <c r="H246" s="1061">
        <f t="shared" si="5"/>
        <v>407</v>
      </c>
      <c r="I246" s="256" t="s">
        <v>3474</v>
      </c>
      <c r="J246" s="369" t="s">
        <v>3739</v>
      </c>
      <c r="K246" s="258">
        <v>42888.0</v>
      </c>
      <c r="L246" s="258">
        <v>42881.0</v>
      </c>
      <c r="M246" s="403" t="s">
        <v>2028</v>
      </c>
      <c r="N246" s="765" t="s">
        <v>6873</v>
      </c>
      <c r="O246" s="339"/>
      <c r="P246" s="637">
        <v>11687.0</v>
      </c>
      <c r="Q246" s="340" t="s">
        <v>2030</v>
      </c>
      <c r="R246" s="253"/>
      <c r="S246" s="1049"/>
      <c r="T246" s="769">
        <v>42881.0</v>
      </c>
      <c r="U246" s="765" t="s">
        <v>6874</v>
      </c>
      <c r="V246" s="765" t="s">
        <v>6875</v>
      </c>
      <c r="W246" s="601">
        <v>42853.0</v>
      </c>
      <c r="X246" s="252" t="s">
        <v>6876</v>
      </c>
      <c r="Y246" s="253"/>
      <c r="Z246" s="1037"/>
      <c r="AA246" s="1037"/>
      <c r="AB246" s="766"/>
      <c r="AC246" s="253" t="s">
        <v>284</v>
      </c>
    </row>
    <row r="247" ht="15.75" customHeight="1">
      <c r="A247" s="601">
        <v>42843.0</v>
      </c>
      <c r="B247" s="597" t="s">
        <v>101</v>
      </c>
      <c r="C247" s="765" t="s">
        <v>6877</v>
      </c>
      <c r="D247" s="765" t="s">
        <v>6878</v>
      </c>
      <c r="E247" s="765" t="s">
        <v>6879</v>
      </c>
      <c r="F247" s="307">
        <v>3.0</v>
      </c>
      <c r="G247" s="325">
        <v>550.0</v>
      </c>
      <c r="H247" s="1061">
        <f t="shared" si="5"/>
        <v>1650</v>
      </c>
      <c r="I247" s="256" t="s">
        <v>3474</v>
      </c>
      <c r="J247" s="369" t="s">
        <v>3739</v>
      </c>
      <c r="K247" s="258">
        <v>42859.0</v>
      </c>
      <c r="L247" s="258">
        <v>42858.0</v>
      </c>
      <c r="M247" s="403" t="s">
        <v>2028</v>
      </c>
      <c r="N247" s="765" t="s">
        <v>6873</v>
      </c>
      <c r="O247" s="339"/>
      <c r="P247" s="637">
        <v>47417.0</v>
      </c>
      <c r="Q247" s="340" t="s">
        <v>2030</v>
      </c>
      <c r="R247" s="253"/>
      <c r="S247" s="1036"/>
      <c r="T247" s="769">
        <v>42858.0</v>
      </c>
      <c r="U247" s="765" t="s">
        <v>6880</v>
      </c>
      <c r="V247" s="770">
        <v>51440.0</v>
      </c>
      <c r="W247" s="601">
        <v>42853.0</v>
      </c>
      <c r="X247" s="252" t="s">
        <v>6844</v>
      </c>
      <c r="Y247" s="1037"/>
      <c r="Z247" s="1037"/>
      <c r="AA247" s="1037"/>
      <c r="AB247" s="766"/>
      <c r="AC247" s="253" t="s">
        <v>284</v>
      </c>
    </row>
    <row r="248" ht="15.75" customHeight="1">
      <c r="A248" s="601">
        <v>42843.0</v>
      </c>
      <c r="B248" s="597" t="s">
        <v>101</v>
      </c>
      <c r="C248" s="765" t="s">
        <v>6877</v>
      </c>
      <c r="D248" s="765" t="s">
        <v>6878</v>
      </c>
      <c r="E248" s="765" t="s">
        <v>6881</v>
      </c>
      <c r="F248" s="307">
        <v>1.0</v>
      </c>
      <c r="G248" s="254">
        <v>78.0</v>
      </c>
      <c r="H248" s="1061">
        <f t="shared" si="5"/>
        <v>78</v>
      </c>
      <c r="I248" s="256" t="s">
        <v>3474</v>
      </c>
      <c r="J248" s="369" t="s">
        <v>3739</v>
      </c>
      <c r="K248" s="258">
        <v>42859.0</v>
      </c>
      <c r="L248" s="258">
        <v>42858.0</v>
      </c>
      <c r="M248" s="333" t="s">
        <v>2028</v>
      </c>
      <c r="N248" s="765" t="s">
        <v>6873</v>
      </c>
      <c r="O248" s="339"/>
      <c r="P248" s="637">
        <v>2236.0</v>
      </c>
      <c r="Q248" s="340" t="s">
        <v>2030</v>
      </c>
      <c r="R248" s="253"/>
      <c r="S248" s="1036"/>
      <c r="T248" s="769">
        <v>42858.0</v>
      </c>
      <c r="U248" s="765" t="s">
        <v>6880</v>
      </c>
      <c r="V248" s="765" t="s">
        <v>6882</v>
      </c>
      <c r="W248" s="601">
        <v>42853.0</v>
      </c>
      <c r="X248" s="252" t="s">
        <v>6844</v>
      </c>
      <c r="Y248" s="1037"/>
      <c r="Z248" s="1037"/>
      <c r="AA248" s="1037"/>
      <c r="AB248" s="766"/>
      <c r="AC248" s="253" t="s">
        <v>284</v>
      </c>
    </row>
    <row r="249" ht="15.75" customHeight="1">
      <c r="A249" s="601">
        <v>42843.0</v>
      </c>
      <c r="B249" s="597" t="s">
        <v>101</v>
      </c>
      <c r="C249" s="765" t="s">
        <v>6877</v>
      </c>
      <c r="D249" s="765" t="s">
        <v>6878</v>
      </c>
      <c r="E249" s="765" t="s">
        <v>6672</v>
      </c>
      <c r="F249" s="307">
        <v>1.0</v>
      </c>
      <c r="G249" s="254">
        <v>31.0</v>
      </c>
      <c r="H249" s="1061">
        <f t="shared" si="5"/>
        <v>31</v>
      </c>
      <c r="I249" s="256" t="s">
        <v>3474</v>
      </c>
      <c r="J249" s="369" t="s">
        <v>3739</v>
      </c>
      <c r="K249" s="258">
        <v>42859.0</v>
      </c>
      <c r="L249" s="258">
        <v>42858.0</v>
      </c>
      <c r="M249" s="333" t="s">
        <v>2028</v>
      </c>
      <c r="N249" s="765" t="s">
        <v>6873</v>
      </c>
      <c r="O249" s="339"/>
      <c r="P249" s="637">
        <v>894.0</v>
      </c>
      <c r="Q249" s="340" t="s">
        <v>2030</v>
      </c>
      <c r="R249" s="253"/>
      <c r="S249" s="1036"/>
      <c r="T249" s="769">
        <v>42858.0</v>
      </c>
      <c r="U249" s="765" t="s">
        <v>6880</v>
      </c>
      <c r="V249" s="765" t="s">
        <v>6882</v>
      </c>
      <c r="W249" s="601">
        <v>42853.0</v>
      </c>
      <c r="X249" s="252" t="s">
        <v>6844</v>
      </c>
      <c r="Y249" s="1037"/>
      <c r="Z249" s="1037"/>
      <c r="AA249" s="1037"/>
      <c r="AB249" s="766"/>
      <c r="AC249" s="253" t="s">
        <v>284</v>
      </c>
    </row>
    <row r="250" ht="15.75" customHeight="1">
      <c r="A250" s="601">
        <v>42843.0</v>
      </c>
      <c r="B250" s="597" t="s">
        <v>101</v>
      </c>
      <c r="C250" s="765" t="s">
        <v>6877</v>
      </c>
      <c r="D250" s="765" t="s">
        <v>6878</v>
      </c>
      <c r="E250" s="765" t="s">
        <v>6673</v>
      </c>
      <c r="F250" s="307">
        <v>1.0</v>
      </c>
      <c r="G250" s="254">
        <v>31.0</v>
      </c>
      <c r="H250" s="1061">
        <f t="shared" si="5"/>
        <v>31</v>
      </c>
      <c r="I250" s="256" t="s">
        <v>3474</v>
      </c>
      <c r="J250" s="369" t="s">
        <v>3739</v>
      </c>
      <c r="K250" s="258">
        <v>42859.0</v>
      </c>
      <c r="L250" s="258">
        <v>42858.0</v>
      </c>
      <c r="M250" s="333" t="s">
        <v>2028</v>
      </c>
      <c r="N250" s="765" t="s">
        <v>6873</v>
      </c>
      <c r="O250" s="339"/>
      <c r="P250" s="637">
        <v>894.0</v>
      </c>
      <c r="Q250" s="340" t="s">
        <v>2030</v>
      </c>
      <c r="R250" s="253"/>
      <c r="S250" s="1036"/>
      <c r="T250" s="769">
        <v>42858.0</v>
      </c>
      <c r="U250" s="765" t="s">
        <v>6880</v>
      </c>
      <c r="V250" s="765" t="s">
        <v>6882</v>
      </c>
      <c r="W250" s="601">
        <v>42853.0</v>
      </c>
      <c r="X250" s="252" t="s">
        <v>6844</v>
      </c>
      <c r="Y250" s="1037"/>
      <c r="Z250" s="1037"/>
      <c r="AA250" s="1037"/>
      <c r="AB250" s="766"/>
      <c r="AC250" s="253" t="s">
        <v>284</v>
      </c>
    </row>
    <row r="251" ht="15.75" customHeight="1">
      <c r="A251" s="601">
        <v>42843.0</v>
      </c>
      <c r="B251" s="597" t="s">
        <v>101</v>
      </c>
      <c r="C251" s="765" t="s">
        <v>6870</v>
      </c>
      <c r="D251" s="252" t="s">
        <v>6883</v>
      </c>
      <c r="E251" s="252" t="s">
        <v>6884</v>
      </c>
      <c r="F251" s="307">
        <v>1.0</v>
      </c>
      <c r="G251" s="254">
        <v>76.0</v>
      </c>
      <c r="H251" s="1061">
        <f t="shared" si="5"/>
        <v>76</v>
      </c>
      <c r="I251" s="256" t="s">
        <v>3474</v>
      </c>
      <c r="J251" s="369" t="s">
        <v>3739</v>
      </c>
      <c r="K251" s="258">
        <v>42888.0</v>
      </c>
      <c r="L251" s="258">
        <v>42852.0</v>
      </c>
      <c r="M251" s="333" t="s">
        <v>6722</v>
      </c>
      <c r="N251" s="765" t="s">
        <v>6885</v>
      </c>
      <c r="O251" s="339"/>
      <c r="P251" s="765" t="s">
        <v>6886</v>
      </c>
      <c r="Q251" s="320" t="s">
        <v>2172</v>
      </c>
      <c r="R251" s="765" t="s">
        <v>6307</v>
      </c>
      <c r="S251" s="1036"/>
      <c r="T251" s="765"/>
      <c r="U251" s="765"/>
      <c r="V251" s="765"/>
      <c r="W251" s="253"/>
      <c r="X251" s="252" t="s">
        <v>6876</v>
      </c>
      <c r="Y251" s="253"/>
      <c r="Z251" s="1037"/>
      <c r="AA251" s="1037"/>
      <c r="AB251" s="766"/>
      <c r="AC251" s="253" t="s">
        <v>284</v>
      </c>
    </row>
    <row r="252" ht="15.75" customHeight="1">
      <c r="A252" s="601">
        <v>42843.0</v>
      </c>
      <c r="B252" s="597" t="s">
        <v>101</v>
      </c>
      <c r="C252" s="765" t="s">
        <v>6877</v>
      </c>
      <c r="D252" s="765" t="s">
        <v>6878</v>
      </c>
      <c r="E252" s="765" t="s">
        <v>6674</v>
      </c>
      <c r="F252" s="307">
        <v>3.0</v>
      </c>
      <c r="G252" s="254">
        <v>352.0</v>
      </c>
      <c r="H252" s="1061">
        <f t="shared" si="5"/>
        <v>1056</v>
      </c>
      <c r="I252" s="256" t="s">
        <v>3474</v>
      </c>
      <c r="J252" s="369" t="s">
        <v>3739</v>
      </c>
      <c r="K252" s="258">
        <v>42859.0</v>
      </c>
      <c r="L252" s="258">
        <v>42851.0</v>
      </c>
      <c r="M252" s="592" t="s">
        <v>2026</v>
      </c>
      <c r="N252" s="252" t="s">
        <v>6887</v>
      </c>
      <c r="O252" s="581">
        <v>897.75</v>
      </c>
      <c r="P252" s="816"/>
      <c r="Q252" s="320" t="s">
        <v>3916</v>
      </c>
      <c r="R252" s="253"/>
      <c r="S252" s="810">
        <v>42881.0</v>
      </c>
      <c r="T252" s="769">
        <v>42851.0</v>
      </c>
      <c r="U252" s="765" t="s">
        <v>6888</v>
      </c>
      <c r="V252" s="770">
        <v>27069.0</v>
      </c>
      <c r="W252" s="258">
        <v>42891.0</v>
      </c>
      <c r="X252" s="252" t="s">
        <v>6844</v>
      </c>
      <c r="Y252" s="1037"/>
      <c r="Z252" s="1037"/>
      <c r="AA252" s="1037"/>
      <c r="AB252" s="766"/>
      <c r="AC252" s="253" t="s">
        <v>284</v>
      </c>
    </row>
    <row r="253" ht="15.75" customHeight="1">
      <c r="A253" s="601">
        <v>42843.0</v>
      </c>
      <c r="B253" s="597" t="s">
        <v>101</v>
      </c>
      <c r="C253" s="765" t="s">
        <v>6877</v>
      </c>
      <c r="D253" s="765" t="s">
        <v>6878</v>
      </c>
      <c r="E253" s="765" t="s">
        <v>6677</v>
      </c>
      <c r="F253" s="307">
        <v>3.0</v>
      </c>
      <c r="G253" s="325">
        <v>42.0</v>
      </c>
      <c r="H253" s="1061">
        <f t="shared" si="5"/>
        <v>126</v>
      </c>
      <c r="I253" s="256" t="s">
        <v>3474</v>
      </c>
      <c r="J253" s="363" t="s">
        <v>3739</v>
      </c>
      <c r="K253" s="258">
        <v>42859.0</v>
      </c>
      <c r="L253" s="258">
        <v>42851.0</v>
      </c>
      <c r="M253" s="266" t="s">
        <v>6889</v>
      </c>
      <c r="N253" s="252" t="s">
        <v>6890</v>
      </c>
      <c r="O253" s="339"/>
      <c r="P253" s="637">
        <v>3200.0</v>
      </c>
      <c r="Q253" s="310" t="s">
        <v>2172</v>
      </c>
      <c r="R253" s="253"/>
      <c r="S253" s="1062"/>
      <c r="T253" s="769">
        <v>42850.0</v>
      </c>
      <c r="U253" s="765" t="s">
        <v>6891</v>
      </c>
      <c r="V253" s="774">
        <v>3200.0</v>
      </c>
      <c r="W253" s="601">
        <v>42849.0</v>
      </c>
      <c r="X253" s="252" t="s">
        <v>6844</v>
      </c>
      <c r="Y253" s="1037"/>
      <c r="Z253" s="1037"/>
      <c r="AA253" s="1037"/>
      <c r="AB253" s="766"/>
      <c r="AC253" s="253" t="s">
        <v>284</v>
      </c>
    </row>
    <row r="254" ht="15.75" customHeight="1">
      <c r="A254" s="601">
        <v>42844.0</v>
      </c>
      <c r="B254" s="597" t="s">
        <v>1745</v>
      </c>
      <c r="C254" s="765" t="s">
        <v>6892</v>
      </c>
      <c r="D254" s="765" t="s">
        <v>6893</v>
      </c>
      <c r="E254" s="765" t="s">
        <v>6894</v>
      </c>
      <c r="F254" s="307">
        <v>10.0</v>
      </c>
      <c r="G254" s="254">
        <v>29.0</v>
      </c>
      <c r="H254" s="1061">
        <f t="shared" si="5"/>
        <v>290</v>
      </c>
      <c r="I254" s="1063" t="s">
        <v>3474</v>
      </c>
      <c r="J254" s="777" t="s">
        <v>6895</v>
      </c>
      <c r="K254" s="258">
        <v>42866.0</v>
      </c>
      <c r="L254" s="258">
        <v>42859.0</v>
      </c>
      <c r="M254" s="253" t="s">
        <v>6896</v>
      </c>
      <c r="N254" s="252" t="s">
        <v>6897</v>
      </c>
      <c r="O254" s="339"/>
      <c r="P254" s="637">
        <v>8936.0</v>
      </c>
      <c r="Q254" s="330" t="s">
        <v>2148</v>
      </c>
      <c r="R254" s="253"/>
      <c r="S254" s="810">
        <v>42891.0</v>
      </c>
      <c r="T254" s="769">
        <v>42858.0</v>
      </c>
      <c r="U254" s="765" t="s">
        <v>6898</v>
      </c>
      <c r="V254" s="770">
        <v>12768.0</v>
      </c>
      <c r="W254" s="258">
        <v>42891.0</v>
      </c>
      <c r="X254" s="252" t="s">
        <v>6899</v>
      </c>
      <c r="Y254" s="253">
        <v>9.77699354E8</v>
      </c>
      <c r="Z254" s="1037"/>
      <c r="AA254" s="1037"/>
      <c r="AB254" s="766"/>
      <c r="AC254" s="253" t="s">
        <v>284</v>
      </c>
    </row>
    <row r="255" ht="15.75" customHeight="1">
      <c r="A255" s="601">
        <v>42844.0</v>
      </c>
      <c r="B255" s="597" t="s">
        <v>1745</v>
      </c>
      <c r="C255" s="765" t="s">
        <v>6892</v>
      </c>
      <c r="D255" s="765" t="s">
        <v>6893</v>
      </c>
      <c r="E255" s="765" t="s">
        <v>5431</v>
      </c>
      <c r="F255" s="307">
        <v>10.0</v>
      </c>
      <c r="G255" s="254">
        <v>13.0</v>
      </c>
      <c r="H255" s="1061">
        <f t="shared" si="5"/>
        <v>130</v>
      </c>
      <c r="I255" s="1063" t="s">
        <v>3474</v>
      </c>
      <c r="J255" s="777" t="s">
        <v>6895</v>
      </c>
      <c r="K255" s="258">
        <v>42866.0</v>
      </c>
      <c r="L255" s="258">
        <v>42859.0</v>
      </c>
      <c r="M255" s="253" t="s">
        <v>6896</v>
      </c>
      <c r="N255" s="252" t="s">
        <v>6897</v>
      </c>
      <c r="O255" s="339"/>
      <c r="P255" s="637">
        <v>3832.0</v>
      </c>
      <c r="Q255" s="330" t="s">
        <v>2148</v>
      </c>
      <c r="R255" s="253"/>
      <c r="S255" s="810">
        <v>42891.0</v>
      </c>
      <c r="T255" s="769">
        <v>42858.0</v>
      </c>
      <c r="U255" s="765" t="s">
        <v>6898</v>
      </c>
      <c r="V255" s="770">
        <v>12768.0</v>
      </c>
      <c r="W255" s="258">
        <v>42891.0</v>
      </c>
      <c r="X255" s="252" t="s">
        <v>6899</v>
      </c>
      <c r="Y255" s="253">
        <v>9.77699354E8</v>
      </c>
      <c r="Z255" s="1037"/>
      <c r="AA255" s="1037"/>
      <c r="AB255" s="766"/>
      <c r="AC255" s="253" t="s">
        <v>284</v>
      </c>
    </row>
    <row r="256" ht="15.75" customHeight="1">
      <c r="A256" s="601">
        <v>42844.0</v>
      </c>
      <c r="B256" s="597" t="s">
        <v>1745</v>
      </c>
      <c r="C256" s="765" t="s">
        <v>6892</v>
      </c>
      <c r="D256" s="765" t="s">
        <v>6893</v>
      </c>
      <c r="E256" s="765" t="s">
        <v>700</v>
      </c>
      <c r="F256" s="307">
        <v>1.0</v>
      </c>
      <c r="G256" s="254">
        <v>25.0</v>
      </c>
      <c r="H256" s="1061">
        <f t="shared" si="5"/>
        <v>25</v>
      </c>
      <c r="I256" s="1063" t="s">
        <v>3474</v>
      </c>
      <c r="J256" s="777" t="s">
        <v>6895</v>
      </c>
      <c r="K256" s="258">
        <v>42866.0</v>
      </c>
      <c r="L256" s="258">
        <v>42859.0</v>
      </c>
      <c r="M256" s="253"/>
      <c r="N256" s="253"/>
      <c r="O256" s="339"/>
      <c r="P256" s="637">
        <v>0.0</v>
      </c>
      <c r="Q256" s="253"/>
      <c r="R256" s="253"/>
      <c r="S256" s="330"/>
      <c r="T256" s="765"/>
      <c r="U256" s="765"/>
      <c r="V256" s="765"/>
      <c r="W256" s="253"/>
      <c r="X256" s="252" t="s">
        <v>6899</v>
      </c>
      <c r="Y256" s="253"/>
      <c r="Z256" s="1037"/>
      <c r="AA256" s="1037"/>
      <c r="AB256" s="766"/>
      <c r="AC256" s="253" t="s">
        <v>284</v>
      </c>
    </row>
    <row r="257" ht="15.75" customHeight="1">
      <c r="A257" s="764">
        <v>42845.0</v>
      </c>
      <c r="B257" s="597" t="s">
        <v>229</v>
      </c>
      <c r="C257" s="765"/>
      <c r="D257" s="252" t="s">
        <v>6900</v>
      </c>
      <c r="E257" s="252" t="s">
        <v>462</v>
      </c>
      <c r="F257" s="307">
        <v>115.0</v>
      </c>
      <c r="G257" s="267">
        <v>415.8</v>
      </c>
      <c r="H257" s="267">
        <f t="shared" si="5"/>
        <v>47817</v>
      </c>
      <c r="I257" s="266" t="s">
        <v>171</v>
      </c>
      <c r="J257" s="253" t="s">
        <v>90</v>
      </c>
      <c r="K257" s="258">
        <v>42866.0</v>
      </c>
      <c r="L257" s="258">
        <v>42866.0</v>
      </c>
      <c r="M257" s="253" t="s">
        <v>90</v>
      </c>
      <c r="N257" s="252" t="s">
        <v>6901</v>
      </c>
      <c r="O257" s="581">
        <v>42866.25</v>
      </c>
      <c r="P257" s="816"/>
      <c r="Q257" s="320" t="s">
        <v>6081</v>
      </c>
      <c r="R257" s="253"/>
      <c r="S257" s="1062"/>
      <c r="T257" s="771">
        <v>42866.0</v>
      </c>
      <c r="U257" s="252" t="s">
        <v>6902</v>
      </c>
      <c r="V257" s="774">
        <v>1436835.0</v>
      </c>
      <c r="W257" s="601">
        <v>42906.0</v>
      </c>
      <c r="X257" s="765" t="s">
        <v>6903</v>
      </c>
      <c r="Y257" s="253"/>
      <c r="Z257" s="765" t="s">
        <v>6904</v>
      </c>
      <c r="AA257" s="262">
        <v>1607492.0</v>
      </c>
      <c r="AB257" s="765" t="s">
        <v>6905</v>
      </c>
      <c r="AC257" s="253" t="s">
        <v>377</v>
      </c>
    </row>
    <row r="258" ht="15.75" customHeight="1">
      <c r="A258" s="764">
        <v>42845.0</v>
      </c>
      <c r="B258" s="597" t="s">
        <v>229</v>
      </c>
      <c r="C258" s="765"/>
      <c r="D258" s="252" t="s">
        <v>6900</v>
      </c>
      <c r="E258" s="252" t="s">
        <v>3765</v>
      </c>
      <c r="F258" s="307">
        <v>16.0</v>
      </c>
      <c r="G258" s="466">
        <v>336.0</v>
      </c>
      <c r="H258" s="267">
        <f t="shared" si="5"/>
        <v>5376</v>
      </c>
      <c r="I258" s="266" t="s">
        <v>171</v>
      </c>
      <c r="J258" s="253" t="s">
        <v>90</v>
      </c>
      <c r="K258" s="258">
        <v>42866.0</v>
      </c>
      <c r="L258" s="258">
        <v>42866.0</v>
      </c>
      <c r="M258" s="253" t="s">
        <v>90</v>
      </c>
      <c r="N258" s="252" t="s">
        <v>6901</v>
      </c>
      <c r="O258" s="581">
        <v>4821.6</v>
      </c>
      <c r="P258" s="816"/>
      <c r="Q258" s="320" t="s">
        <v>6081</v>
      </c>
      <c r="R258" s="253"/>
      <c r="S258" s="1036"/>
      <c r="T258" s="771">
        <v>42866.0</v>
      </c>
      <c r="U258" s="252" t="s">
        <v>6902</v>
      </c>
      <c r="V258" s="252" t="s">
        <v>6906</v>
      </c>
      <c r="W258" s="601">
        <v>42906.0</v>
      </c>
      <c r="X258" s="765" t="s">
        <v>6903</v>
      </c>
      <c r="Y258" s="253"/>
      <c r="Z258" s="765" t="s">
        <v>6904</v>
      </c>
      <c r="AA258" s="253" t="s">
        <v>6907</v>
      </c>
      <c r="AB258" s="765" t="s">
        <v>6905</v>
      </c>
      <c r="AC258" s="253" t="s">
        <v>377</v>
      </c>
    </row>
    <row r="259" ht="15.75" customHeight="1">
      <c r="A259" s="601">
        <v>42846.0</v>
      </c>
      <c r="B259" s="1004" t="s">
        <v>77</v>
      </c>
      <c r="C259" s="765">
        <v>347.0</v>
      </c>
      <c r="D259" s="252" t="s">
        <v>6908</v>
      </c>
      <c r="E259" s="252" t="s">
        <v>3541</v>
      </c>
      <c r="F259" s="307">
        <v>30.0</v>
      </c>
      <c r="G259" s="254">
        <v>285.0</v>
      </c>
      <c r="H259" s="581">
        <f t="shared" si="5"/>
        <v>8550</v>
      </c>
      <c r="I259" s="256" t="s">
        <v>43</v>
      </c>
      <c r="J259" s="369" t="s">
        <v>316</v>
      </c>
      <c r="K259" s="258">
        <v>42898.0</v>
      </c>
      <c r="L259" s="258">
        <v>42895.0</v>
      </c>
      <c r="M259" s="403" t="s">
        <v>1998</v>
      </c>
      <c r="N259" s="765" t="s">
        <v>6842</v>
      </c>
      <c r="O259" s="637">
        <v>7875.0</v>
      </c>
      <c r="P259" s="816"/>
      <c r="Q259" s="320" t="s">
        <v>2000</v>
      </c>
      <c r="R259" s="253"/>
      <c r="S259" s="810">
        <v>42952.0</v>
      </c>
      <c r="T259" s="769">
        <v>42895.0</v>
      </c>
      <c r="U259" s="765" t="s">
        <v>6909</v>
      </c>
      <c r="V259" s="770">
        <v>237116.0</v>
      </c>
      <c r="W259" s="601">
        <v>42958.0</v>
      </c>
      <c r="X259" s="252" t="s">
        <v>6910</v>
      </c>
      <c r="Y259" s="253">
        <v>4.10367366E8</v>
      </c>
      <c r="Z259" s="1037"/>
      <c r="AA259" s="1037"/>
      <c r="AB259" s="766"/>
      <c r="AC259" s="253" t="s">
        <v>284</v>
      </c>
    </row>
    <row r="260" ht="15.75" customHeight="1">
      <c r="A260" s="776">
        <v>42846.0</v>
      </c>
      <c r="B260" s="340" t="s">
        <v>77</v>
      </c>
      <c r="C260" s="765">
        <v>345.0</v>
      </c>
      <c r="D260" s="310" t="s">
        <v>6911</v>
      </c>
      <c r="E260" s="310" t="s">
        <v>1244</v>
      </c>
      <c r="F260" s="307">
        <v>100.0</v>
      </c>
      <c r="G260" s="267">
        <v>2.3</v>
      </c>
      <c r="H260" s="581">
        <f t="shared" si="5"/>
        <v>230</v>
      </c>
      <c r="I260" s="256" t="s">
        <v>43</v>
      </c>
      <c r="J260" s="369" t="s">
        <v>316</v>
      </c>
      <c r="K260" s="258">
        <v>42873.0</v>
      </c>
      <c r="L260" s="258">
        <v>42871.0</v>
      </c>
      <c r="M260" s="403" t="s">
        <v>2039</v>
      </c>
      <c r="N260" s="252" t="s">
        <v>6912</v>
      </c>
      <c r="O260" s="339"/>
      <c r="P260" s="637">
        <v>5775.0</v>
      </c>
      <c r="Q260" s="310" t="s">
        <v>2194</v>
      </c>
      <c r="R260" s="253"/>
      <c r="S260" s="810">
        <v>42877.0</v>
      </c>
      <c r="T260" s="769">
        <v>42867.0</v>
      </c>
      <c r="U260" s="765" t="s">
        <v>6913</v>
      </c>
      <c r="V260" s="770">
        <v>8736.0</v>
      </c>
      <c r="W260" s="601">
        <v>42878.0</v>
      </c>
      <c r="X260" s="252" t="s">
        <v>6834</v>
      </c>
      <c r="Y260" s="253">
        <v>9.83435983E8</v>
      </c>
      <c r="Z260" s="1037"/>
      <c r="AA260" s="1037"/>
      <c r="AB260" s="766"/>
      <c r="AC260" s="253" t="s">
        <v>284</v>
      </c>
    </row>
    <row r="261" ht="15.75" customHeight="1">
      <c r="A261" s="764">
        <v>42849.0</v>
      </c>
      <c r="B261" s="1004" t="s">
        <v>101</v>
      </c>
      <c r="C261" s="765" t="s">
        <v>6914</v>
      </c>
      <c r="D261" s="765" t="s">
        <v>6915</v>
      </c>
      <c r="E261" s="765" t="s">
        <v>6916</v>
      </c>
      <c r="F261" s="307">
        <v>5.0</v>
      </c>
      <c r="G261" s="325">
        <v>417.0</v>
      </c>
      <c r="H261" s="581">
        <f t="shared" si="5"/>
        <v>2085</v>
      </c>
      <c r="I261" s="256" t="s">
        <v>3474</v>
      </c>
      <c r="J261" s="369" t="s">
        <v>3739</v>
      </c>
      <c r="K261" s="258">
        <v>42859.0</v>
      </c>
      <c r="L261" s="258">
        <v>42857.0</v>
      </c>
      <c r="M261" s="403" t="s">
        <v>2034</v>
      </c>
      <c r="N261" s="252" t="s">
        <v>6917</v>
      </c>
      <c r="O261" s="637">
        <v>1974.0</v>
      </c>
      <c r="P261" s="816"/>
      <c r="Q261" s="320" t="s">
        <v>2036</v>
      </c>
      <c r="R261" s="253"/>
      <c r="S261" s="810">
        <v>42921.0</v>
      </c>
      <c r="T261" s="769">
        <v>42857.0</v>
      </c>
      <c r="U261" s="765" t="s">
        <v>6918</v>
      </c>
      <c r="V261" s="770">
        <v>59319.0</v>
      </c>
      <c r="W261" s="601">
        <v>42922.0</v>
      </c>
      <c r="X261" s="252" t="s">
        <v>6844</v>
      </c>
      <c r="Y261" s="1037"/>
      <c r="Z261" s="1037"/>
      <c r="AA261" s="1037"/>
      <c r="AB261" s="766"/>
      <c r="AC261" s="253" t="s">
        <v>284</v>
      </c>
    </row>
    <row r="262" ht="15.75" customHeight="1">
      <c r="A262" s="764">
        <v>42849.0</v>
      </c>
      <c r="B262" s="765" t="s">
        <v>6919</v>
      </c>
      <c r="C262" s="765" t="s">
        <v>6920</v>
      </c>
      <c r="D262" s="310" t="s">
        <v>6921</v>
      </c>
      <c r="E262" s="310" t="s">
        <v>6066</v>
      </c>
      <c r="F262" s="307">
        <v>8.0</v>
      </c>
      <c r="G262" s="267">
        <v>3587.0</v>
      </c>
      <c r="H262" s="267">
        <f t="shared" si="5"/>
        <v>28696</v>
      </c>
      <c r="I262" s="256" t="s">
        <v>171</v>
      </c>
      <c r="J262" s="1056" t="s">
        <v>1324</v>
      </c>
      <c r="K262" s="258">
        <v>42902.0</v>
      </c>
      <c r="L262" s="1064"/>
      <c r="M262" s="253"/>
      <c r="N262" s="252" t="s">
        <v>6922</v>
      </c>
      <c r="O262" s="339"/>
      <c r="P262" s="816"/>
      <c r="Q262" s="253"/>
      <c r="R262" s="253"/>
      <c r="S262" s="1036"/>
      <c r="T262" s="766"/>
      <c r="U262" s="766"/>
      <c r="V262" s="766"/>
      <c r="W262" s="1037"/>
      <c r="X262" s="765" t="s">
        <v>6923</v>
      </c>
      <c r="Y262" s="1037"/>
      <c r="Z262" s="1037"/>
      <c r="AA262" s="404">
        <v>1960560.0</v>
      </c>
      <c r="AB262" s="765" t="s">
        <v>6924</v>
      </c>
      <c r="AC262" s="253" t="s">
        <v>377</v>
      </c>
    </row>
    <row r="263" ht="15.75" customHeight="1">
      <c r="A263" s="764">
        <v>42849.0</v>
      </c>
      <c r="B263" s="765" t="s">
        <v>6919</v>
      </c>
      <c r="C263" s="765" t="s">
        <v>6920</v>
      </c>
      <c r="D263" s="310" t="s">
        <v>6921</v>
      </c>
      <c r="E263" s="310" t="s">
        <v>6071</v>
      </c>
      <c r="F263" s="307">
        <v>8.0</v>
      </c>
      <c r="G263" s="267">
        <v>100.5</v>
      </c>
      <c r="H263" s="267">
        <f t="shared" si="5"/>
        <v>804</v>
      </c>
      <c r="I263" s="256" t="s">
        <v>171</v>
      </c>
      <c r="J263" s="1056" t="s">
        <v>1324</v>
      </c>
      <c r="K263" s="258">
        <v>42902.0</v>
      </c>
      <c r="L263" s="253"/>
      <c r="M263" s="253"/>
      <c r="N263" s="252" t="s">
        <v>6922</v>
      </c>
      <c r="O263" s="339"/>
      <c r="P263" s="816"/>
      <c r="Q263" s="253"/>
      <c r="R263" s="253"/>
      <c r="S263" s="1036"/>
      <c r="T263" s="766"/>
      <c r="U263" s="766"/>
      <c r="V263" s="766"/>
      <c r="W263" s="1037"/>
      <c r="X263" s="765" t="s">
        <v>6923</v>
      </c>
      <c r="Y263" s="1037"/>
      <c r="Z263" s="1037"/>
      <c r="AA263" s="404">
        <v>1960560.0</v>
      </c>
      <c r="AB263" s="765" t="s">
        <v>6924</v>
      </c>
      <c r="AC263" s="253" t="s">
        <v>377</v>
      </c>
    </row>
    <row r="264" ht="15.75" customHeight="1">
      <c r="A264" s="764">
        <v>42849.0</v>
      </c>
      <c r="B264" s="765" t="s">
        <v>6919</v>
      </c>
      <c r="C264" s="765" t="s">
        <v>6920</v>
      </c>
      <c r="D264" s="310" t="s">
        <v>6921</v>
      </c>
      <c r="E264" s="310" t="s">
        <v>6072</v>
      </c>
      <c r="F264" s="307">
        <v>8.0</v>
      </c>
      <c r="G264" s="267">
        <v>74.2</v>
      </c>
      <c r="H264" s="267">
        <f t="shared" si="5"/>
        <v>593.6</v>
      </c>
      <c r="I264" s="256" t="s">
        <v>171</v>
      </c>
      <c r="J264" s="1056" t="s">
        <v>1324</v>
      </c>
      <c r="K264" s="258">
        <v>42902.0</v>
      </c>
      <c r="L264" s="253"/>
      <c r="M264" s="253"/>
      <c r="N264" s="252" t="s">
        <v>6922</v>
      </c>
      <c r="O264" s="339"/>
      <c r="P264" s="816"/>
      <c r="Q264" s="253"/>
      <c r="R264" s="253"/>
      <c r="S264" s="1036"/>
      <c r="T264" s="766"/>
      <c r="U264" s="766"/>
      <c r="V264" s="766"/>
      <c r="W264" s="1037"/>
      <c r="X264" s="765" t="s">
        <v>6923</v>
      </c>
      <c r="Y264" s="1037"/>
      <c r="Z264" s="1037"/>
      <c r="AA264" s="404">
        <v>1960560.0</v>
      </c>
      <c r="AB264" s="765" t="s">
        <v>6924</v>
      </c>
      <c r="AC264" s="253" t="s">
        <v>377</v>
      </c>
    </row>
    <row r="265" ht="15.75" customHeight="1">
      <c r="A265" s="764">
        <v>42849.0</v>
      </c>
      <c r="B265" s="765" t="s">
        <v>6919</v>
      </c>
      <c r="C265" s="765" t="s">
        <v>6920</v>
      </c>
      <c r="D265" s="310" t="s">
        <v>6921</v>
      </c>
      <c r="E265" s="310" t="s">
        <v>6074</v>
      </c>
      <c r="F265" s="307">
        <v>8.0</v>
      </c>
      <c r="G265" s="267">
        <v>1575.0</v>
      </c>
      <c r="H265" s="267">
        <f t="shared" si="5"/>
        <v>12600</v>
      </c>
      <c r="I265" s="256" t="s">
        <v>171</v>
      </c>
      <c r="J265" s="1056" t="s">
        <v>1324</v>
      </c>
      <c r="K265" s="258">
        <v>42919.0</v>
      </c>
      <c r="L265" s="253"/>
      <c r="M265" s="253"/>
      <c r="N265" s="252" t="s">
        <v>6922</v>
      </c>
      <c r="O265" s="339"/>
      <c r="P265" s="816"/>
      <c r="Q265" s="253"/>
      <c r="R265" s="253"/>
      <c r="S265" s="1036"/>
      <c r="T265" s="766"/>
      <c r="U265" s="766"/>
      <c r="V265" s="766"/>
      <c r="W265" s="1037"/>
      <c r="X265" s="765" t="s">
        <v>6923</v>
      </c>
      <c r="Y265" s="1037"/>
      <c r="Z265" s="1037"/>
      <c r="AA265" s="404">
        <v>1960560.0</v>
      </c>
      <c r="AB265" s="765" t="s">
        <v>6924</v>
      </c>
      <c r="AC265" s="253" t="s">
        <v>377</v>
      </c>
    </row>
    <row r="266" ht="15.75" customHeight="1">
      <c r="A266" s="764">
        <v>42849.0</v>
      </c>
      <c r="B266" s="765" t="s">
        <v>6919</v>
      </c>
      <c r="C266" s="765" t="s">
        <v>6920</v>
      </c>
      <c r="D266" s="310" t="s">
        <v>6921</v>
      </c>
      <c r="E266" s="310" t="s">
        <v>6077</v>
      </c>
      <c r="F266" s="307">
        <v>8.0</v>
      </c>
      <c r="G266" s="267">
        <v>666.0</v>
      </c>
      <c r="H266" s="267">
        <f t="shared" si="5"/>
        <v>5328</v>
      </c>
      <c r="I266" s="256" t="s">
        <v>171</v>
      </c>
      <c r="J266" s="1056" t="s">
        <v>1324</v>
      </c>
      <c r="K266" s="258">
        <v>42902.0</v>
      </c>
      <c r="L266" s="253"/>
      <c r="M266" s="253"/>
      <c r="N266" s="252" t="s">
        <v>6922</v>
      </c>
      <c r="O266" s="339"/>
      <c r="P266" s="816"/>
      <c r="Q266" s="253"/>
      <c r="R266" s="253"/>
      <c r="S266" s="1036"/>
      <c r="T266" s="766"/>
      <c r="U266" s="766"/>
      <c r="V266" s="766"/>
      <c r="W266" s="1037"/>
      <c r="X266" s="765" t="s">
        <v>6923</v>
      </c>
      <c r="Y266" s="1037"/>
      <c r="Z266" s="1037"/>
      <c r="AA266" s="404">
        <v>1960560.0</v>
      </c>
      <c r="AB266" s="765" t="s">
        <v>6924</v>
      </c>
      <c r="AC266" s="253" t="s">
        <v>377</v>
      </c>
    </row>
    <row r="267" ht="15.75" customHeight="1">
      <c r="A267" s="764">
        <v>42849.0</v>
      </c>
      <c r="B267" s="765" t="s">
        <v>6919</v>
      </c>
      <c r="C267" s="765" t="s">
        <v>6920</v>
      </c>
      <c r="D267" s="310" t="s">
        <v>6921</v>
      </c>
      <c r="E267" s="310" t="s">
        <v>6925</v>
      </c>
      <c r="F267" s="307">
        <v>2.0</v>
      </c>
      <c r="G267" s="254">
        <v>7057.0</v>
      </c>
      <c r="H267" s="267">
        <f t="shared" si="5"/>
        <v>14114</v>
      </c>
      <c r="I267" s="256" t="s">
        <v>171</v>
      </c>
      <c r="J267" s="1056" t="s">
        <v>1324</v>
      </c>
      <c r="K267" s="258">
        <v>42902.0</v>
      </c>
      <c r="L267" s="253"/>
      <c r="M267" s="253"/>
      <c r="N267" s="252" t="s">
        <v>6922</v>
      </c>
      <c r="O267" s="339"/>
      <c r="P267" s="816"/>
      <c r="Q267" s="253"/>
      <c r="R267" s="253"/>
      <c r="S267" s="1036"/>
      <c r="T267" s="766"/>
      <c r="U267" s="766"/>
      <c r="V267" s="766"/>
      <c r="W267" s="1037"/>
      <c r="X267" s="765" t="s">
        <v>6923</v>
      </c>
      <c r="Y267" s="1037"/>
      <c r="Z267" s="1037"/>
      <c r="AA267" s="404">
        <v>1960560.0</v>
      </c>
      <c r="AB267" s="765" t="s">
        <v>6924</v>
      </c>
      <c r="AC267" s="253" t="s">
        <v>377</v>
      </c>
    </row>
    <row r="268" ht="15.75" customHeight="1">
      <c r="A268" s="764">
        <v>42850.0</v>
      </c>
      <c r="B268" s="597" t="s">
        <v>101</v>
      </c>
      <c r="C268" s="765" t="s">
        <v>6926</v>
      </c>
      <c r="D268" s="765" t="s">
        <v>6927</v>
      </c>
      <c r="E268" s="765" t="s">
        <v>6928</v>
      </c>
      <c r="F268" s="307">
        <v>1.0</v>
      </c>
      <c r="G268" s="254">
        <v>847.0</v>
      </c>
      <c r="H268" s="267">
        <f t="shared" si="5"/>
        <v>847</v>
      </c>
      <c r="I268" s="256" t="s">
        <v>3474</v>
      </c>
      <c r="J268" s="369" t="s">
        <v>3739</v>
      </c>
      <c r="K268" s="258">
        <v>42866.0</v>
      </c>
      <c r="L268" s="258">
        <v>42866.0</v>
      </c>
      <c r="M268" s="333" t="s">
        <v>1439</v>
      </c>
      <c r="N268" s="252" t="s">
        <v>6929</v>
      </c>
      <c r="O268" s="339"/>
      <c r="P268" s="637">
        <v>23576.0</v>
      </c>
      <c r="Q268" s="765" t="s">
        <v>1976</v>
      </c>
      <c r="R268" s="253"/>
      <c r="S268" s="1065">
        <v>42916.0</v>
      </c>
      <c r="T268" s="769">
        <v>42864.0</v>
      </c>
      <c r="U268" s="765" t="s">
        <v>6930</v>
      </c>
      <c r="V268" s="770">
        <v>24684.0</v>
      </c>
      <c r="W268" s="601">
        <v>42922.0</v>
      </c>
      <c r="X268" s="252" t="s">
        <v>6931</v>
      </c>
      <c r="Y268" s="1037"/>
      <c r="Z268" s="1037"/>
      <c r="AA268" s="1037"/>
      <c r="AB268" s="766"/>
      <c r="AC268" s="253" t="s">
        <v>284</v>
      </c>
    </row>
    <row r="269" ht="15.75" customHeight="1">
      <c r="A269" s="764">
        <v>42850.0</v>
      </c>
      <c r="B269" s="597" t="s">
        <v>101</v>
      </c>
      <c r="C269" s="765" t="s">
        <v>6926</v>
      </c>
      <c r="D269" s="765" t="s">
        <v>6927</v>
      </c>
      <c r="E269" s="765" t="s">
        <v>6932</v>
      </c>
      <c r="F269" s="307">
        <v>1.0</v>
      </c>
      <c r="G269" s="254">
        <v>41.0</v>
      </c>
      <c r="H269" s="267">
        <f t="shared" si="5"/>
        <v>41</v>
      </c>
      <c r="I269" s="256" t="s">
        <v>3474</v>
      </c>
      <c r="J269" s="369" t="s">
        <v>3739</v>
      </c>
      <c r="K269" s="258">
        <v>42866.0</v>
      </c>
      <c r="L269" s="258">
        <v>42866.0</v>
      </c>
      <c r="M269" s="403" t="s">
        <v>1439</v>
      </c>
      <c r="N269" s="252" t="s">
        <v>6929</v>
      </c>
      <c r="O269" s="339"/>
      <c r="P269" s="637">
        <v>1108.0</v>
      </c>
      <c r="Q269" s="1004" t="s">
        <v>1976</v>
      </c>
      <c r="R269" s="253"/>
      <c r="S269" s="1065">
        <v>42916.0</v>
      </c>
      <c r="T269" s="769">
        <v>42864.0</v>
      </c>
      <c r="U269" s="765" t="s">
        <v>6930</v>
      </c>
      <c r="V269" s="765" t="s">
        <v>6933</v>
      </c>
      <c r="W269" s="601">
        <v>42922.0</v>
      </c>
      <c r="X269" s="252" t="s">
        <v>6931</v>
      </c>
      <c r="Y269" s="1037"/>
      <c r="Z269" s="1037"/>
      <c r="AA269" s="1037"/>
      <c r="AB269" s="766"/>
      <c r="AC269" s="253" t="s">
        <v>284</v>
      </c>
    </row>
    <row r="270" ht="15.75" customHeight="1">
      <c r="A270" s="764">
        <v>42850.0</v>
      </c>
      <c r="B270" s="597" t="s">
        <v>101</v>
      </c>
      <c r="C270" s="765" t="s">
        <v>6926</v>
      </c>
      <c r="D270" s="765" t="s">
        <v>6927</v>
      </c>
      <c r="E270" s="765" t="s">
        <v>6934</v>
      </c>
      <c r="F270" s="307">
        <v>1.0</v>
      </c>
      <c r="G270" s="254">
        <v>81.0</v>
      </c>
      <c r="H270" s="267">
        <f t="shared" si="5"/>
        <v>81</v>
      </c>
      <c r="I270" s="256" t="s">
        <v>3474</v>
      </c>
      <c r="J270" s="369" t="s">
        <v>3739</v>
      </c>
      <c r="K270" s="258">
        <v>42866.0</v>
      </c>
      <c r="L270" s="258">
        <v>42859.0</v>
      </c>
      <c r="M270" s="333" t="s">
        <v>6935</v>
      </c>
      <c r="N270" s="252" t="s">
        <v>6936</v>
      </c>
      <c r="O270" s="339"/>
      <c r="P270" s="637">
        <v>2042.0</v>
      </c>
      <c r="Q270" s="310" t="s">
        <v>2172</v>
      </c>
      <c r="R270" s="253"/>
      <c r="S270" s="1049"/>
      <c r="T270" s="771">
        <v>42858.0</v>
      </c>
      <c r="U270" s="252" t="s">
        <v>6937</v>
      </c>
      <c r="V270" s="774">
        <v>2042.0</v>
      </c>
      <c r="W270" s="601">
        <v>42853.0</v>
      </c>
      <c r="X270" s="252" t="s">
        <v>6931</v>
      </c>
      <c r="Y270" s="1037"/>
      <c r="Z270" s="1037"/>
      <c r="AA270" s="1037"/>
      <c r="AB270" s="766"/>
      <c r="AC270" s="253" t="s">
        <v>284</v>
      </c>
    </row>
    <row r="271" ht="15.75" customHeight="1">
      <c r="A271" s="764">
        <v>42850.0</v>
      </c>
      <c r="B271" s="597" t="s">
        <v>101</v>
      </c>
      <c r="C271" s="765" t="s">
        <v>6926</v>
      </c>
      <c r="D271" s="765" t="s">
        <v>6927</v>
      </c>
      <c r="E271" s="765" t="s">
        <v>6938</v>
      </c>
      <c r="F271" s="307">
        <v>1.0</v>
      </c>
      <c r="G271" s="254">
        <v>44.0</v>
      </c>
      <c r="H271" s="267">
        <f t="shared" si="5"/>
        <v>44</v>
      </c>
      <c r="I271" s="256" t="s">
        <v>3474</v>
      </c>
      <c r="J271" s="369" t="s">
        <v>3739</v>
      </c>
      <c r="K271" s="258">
        <v>42866.0</v>
      </c>
      <c r="L271" s="258">
        <v>42852.0</v>
      </c>
      <c r="M271" s="403" t="s">
        <v>2508</v>
      </c>
      <c r="N271" s="252" t="s">
        <v>6939</v>
      </c>
      <c r="O271" s="339"/>
      <c r="P271" s="637">
        <v>1145.0</v>
      </c>
      <c r="Q271" s="320" t="s">
        <v>4491</v>
      </c>
      <c r="R271" s="253"/>
      <c r="S271" s="810">
        <v>42891.0</v>
      </c>
      <c r="T271" s="769">
        <v>42857.0</v>
      </c>
      <c r="U271" s="765" t="s">
        <v>6940</v>
      </c>
      <c r="V271" s="770">
        <v>1145.0</v>
      </c>
      <c r="W271" s="258">
        <v>42891.0</v>
      </c>
      <c r="X271" s="252" t="s">
        <v>6931</v>
      </c>
      <c r="Y271" s="1037"/>
      <c r="Z271" s="1037"/>
      <c r="AA271" s="1037"/>
      <c r="AB271" s="766"/>
      <c r="AC271" s="253" t="s">
        <v>284</v>
      </c>
    </row>
    <row r="272" ht="15.75" customHeight="1">
      <c r="A272" s="764">
        <v>42853.0</v>
      </c>
      <c r="B272" s="340" t="s">
        <v>3640</v>
      </c>
      <c r="C272" s="765"/>
      <c r="D272" s="310" t="s">
        <v>6941</v>
      </c>
      <c r="E272" s="310" t="s">
        <v>3648</v>
      </c>
      <c r="F272" s="266">
        <v>20.0</v>
      </c>
      <c r="G272" s="254">
        <v>102.0</v>
      </c>
      <c r="H272" s="581">
        <f t="shared" si="5"/>
        <v>2040</v>
      </c>
      <c r="I272" s="1063" t="s">
        <v>3474</v>
      </c>
      <c r="J272" s="269" t="s">
        <v>6942</v>
      </c>
      <c r="K272" s="266" t="s">
        <v>6943</v>
      </c>
      <c r="L272" s="266" t="s">
        <v>6944</v>
      </c>
      <c r="M272" s="403" t="s">
        <v>2034</v>
      </c>
      <c r="N272" s="252" t="s">
        <v>6945</v>
      </c>
      <c r="O272" s="811">
        <v>1995.0</v>
      </c>
      <c r="P272" s="816"/>
      <c r="Q272" s="320" t="s">
        <v>2036</v>
      </c>
      <c r="R272" s="253"/>
      <c r="S272" s="581" t="s">
        <v>6946</v>
      </c>
      <c r="T272" s="765" t="s">
        <v>6947</v>
      </c>
      <c r="U272" s="765" t="s">
        <v>6948</v>
      </c>
      <c r="V272" s="765" t="s">
        <v>6949</v>
      </c>
      <c r="W272" s="253" t="s">
        <v>6950</v>
      </c>
      <c r="X272" s="252" t="s">
        <v>6951</v>
      </c>
      <c r="Y272" s="1037"/>
      <c r="Z272" s="1037"/>
      <c r="AA272" s="1037"/>
      <c r="AB272" s="766"/>
      <c r="AC272" s="253" t="s">
        <v>284</v>
      </c>
    </row>
    <row r="273" ht="15.75" customHeight="1">
      <c r="A273" s="764">
        <v>42853.0</v>
      </c>
      <c r="B273" s="597" t="s">
        <v>77</v>
      </c>
      <c r="C273" s="765">
        <v>354.0</v>
      </c>
      <c r="D273" s="765" t="s">
        <v>6952</v>
      </c>
      <c r="E273" s="765" t="s">
        <v>3541</v>
      </c>
      <c r="F273" s="307">
        <v>30.0</v>
      </c>
      <c r="G273" s="254">
        <v>285.0</v>
      </c>
      <c r="H273" s="581">
        <f t="shared" si="5"/>
        <v>8550</v>
      </c>
      <c r="I273" s="256" t="s">
        <v>43</v>
      </c>
      <c r="J273" s="269" t="s">
        <v>316</v>
      </c>
      <c r="K273" s="258">
        <v>42898.0</v>
      </c>
      <c r="L273" s="258">
        <v>42895.0</v>
      </c>
      <c r="M273" s="403" t="s">
        <v>1998</v>
      </c>
      <c r="N273" s="252" t="s">
        <v>6953</v>
      </c>
      <c r="O273" s="637">
        <v>7875.0</v>
      </c>
      <c r="P273" s="816"/>
      <c r="Q273" s="320" t="s">
        <v>2000</v>
      </c>
      <c r="R273" s="253"/>
      <c r="S273" s="810">
        <v>42952.0</v>
      </c>
      <c r="T273" s="769">
        <v>42895.0</v>
      </c>
      <c r="U273" s="765" t="s">
        <v>6954</v>
      </c>
      <c r="V273" s="770">
        <v>237116.0</v>
      </c>
      <c r="W273" s="601">
        <v>42958.0</v>
      </c>
      <c r="X273" s="252" t="s">
        <v>6910</v>
      </c>
      <c r="Y273" s="253">
        <v>4.10367366E8</v>
      </c>
      <c r="Z273" s="1037"/>
      <c r="AA273" s="1037"/>
      <c r="AB273" s="766"/>
      <c r="AC273" s="253" t="s">
        <v>284</v>
      </c>
    </row>
    <row r="274" ht="15.75" customHeight="1">
      <c r="A274" s="764">
        <v>42853.0</v>
      </c>
      <c r="B274" s="340" t="s">
        <v>3640</v>
      </c>
      <c r="C274" s="765"/>
      <c r="D274" s="310" t="s">
        <v>6941</v>
      </c>
      <c r="E274" s="310" t="s">
        <v>3642</v>
      </c>
      <c r="F274" s="266">
        <v>10.0</v>
      </c>
      <c r="G274" s="254">
        <f>281</f>
        <v>281</v>
      </c>
      <c r="H274" s="581">
        <f t="shared" si="5"/>
        <v>2810</v>
      </c>
      <c r="I274" s="1063" t="s">
        <v>3474</v>
      </c>
      <c r="J274" s="369" t="s">
        <v>6942</v>
      </c>
      <c r="K274" s="601">
        <v>42877.0</v>
      </c>
      <c r="L274" s="258">
        <v>42871.0</v>
      </c>
      <c r="M274" s="403" t="s">
        <v>2034</v>
      </c>
      <c r="N274" s="252" t="s">
        <v>6945</v>
      </c>
      <c r="O274" s="811">
        <v>2761.5</v>
      </c>
      <c r="P274" s="816"/>
      <c r="Q274" s="310" t="s">
        <v>2036</v>
      </c>
      <c r="R274" s="253"/>
      <c r="S274" s="810">
        <v>42921.0</v>
      </c>
      <c r="T274" s="769">
        <v>42870.0</v>
      </c>
      <c r="U274" s="765" t="s">
        <v>6955</v>
      </c>
      <c r="V274" s="770">
        <v>119349.0</v>
      </c>
      <c r="W274" s="601">
        <v>42922.0</v>
      </c>
      <c r="X274" s="252" t="s">
        <v>6956</v>
      </c>
      <c r="Y274" s="1037"/>
      <c r="Z274" s="1037"/>
      <c r="AA274" s="1037"/>
      <c r="AB274" s="766"/>
      <c r="AC274" s="253" t="s">
        <v>284</v>
      </c>
    </row>
    <row r="275" ht="15.75" customHeight="1">
      <c r="A275" s="601">
        <v>42853.0</v>
      </c>
      <c r="B275" s="340" t="s">
        <v>3640</v>
      </c>
      <c r="C275" s="765"/>
      <c r="D275" s="310" t="s">
        <v>6941</v>
      </c>
      <c r="E275" s="310" t="s">
        <v>6957</v>
      </c>
      <c r="F275" s="266">
        <v>1.0</v>
      </c>
      <c r="G275" s="254">
        <v>170.0</v>
      </c>
      <c r="H275" s="581">
        <f t="shared" si="5"/>
        <v>170</v>
      </c>
      <c r="I275" s="256" t="s">
        <v>3474</v>
      </c>
      <c r="J275" s="363" t="s">
        <v>6942</v>
      </c>
      <c r="K275" s="601">
        <v>42877.0</v>
      </c>
      <c r="L275" s="258">
        <v>42867.0</v>
      </c>
      <c r="M275" s="403" t="s">
        <v>90</v>
      </c>
      <c r="N275" s="252" t="s">
        <v>6958</v>
      </c>
      <c r="O275" s="581">
        <v>158.34</v>
      </c>
      <c r="P275" s="816"/>
      <c r="Q275" s="310" t="s">
        <v>6081</v>
      </c>
      <c r="R275" s="253"/>
      <c r="S275" s="1044"/>
      <c r="T275" s="771">
        <v>42867.0</v>
      </c>
      <c r="U275" s="252" t="s">
        <v>6959</v>
      </c>
      <c r="V275" s="774">
        <v>4771.0</v>
      </c>
      <c r="W275" s="601">
        <v>42906.0</v>
      </c>
      <c r="X275" s="252" t="s">
        <v>6956</v>
      </c>
      <c r="Y275" s="1037"/>
      <c r="Z275" s="1037"/>
      <c r="AA275" s="1037"/>
      <c r="AB275" s="766"/>
      <c r="AC275" s="253" t="s">
        <v>284</v>
      </c>
    </row>
    <row r="276" ht="15.75" customHeight="1">
      <c r="A276" s="258">
        <v>42853.0</v>
      </c>
      <c r="B276" s="340" t="s">
        <v>54</v>
      </c>
      <c r="C276" s="252" t="s">
        <v>6960</v>
      </c>
      <c r="D276" s="310" t="s">
        <v>6961</v>
      </c>
      <c r="E276" s="310" t="s">
        <v>3793</v>
      </c>
      <c r="F276" s="266">
        <v>5.0</v>
      </c>
      <c r="G276" s="254">
        <v>150.15</v>
      </c>
      <c r="H276" s="581">
        <f t="shared" si="5"/>
        <v>750.75</v>
      </c>
      <c r="I276" s="256" t="s">
        <v>43</v>
      </c>
      <c r="J276" s="1056" t="s">
        <v>90</v>
      </c>
      <c r="K276" s="258">
        <v>42863.0</v>
      </c>
      <c r="L276" s="258">
        <v>42863.0</v>
      </c>
      <c r="M276" s="253" t="s">
        <v>90</v>
      </c>
      <c r="N276" s="252" t="s">
        <v>6962</v>
      </c>
      <c r="O276" s="581">
        <v>672.0</v>
      </c>
      <c r="P276" s="816"/>
      <c r="Q276" s="310" t="s">
        <v>6081</v>
      </c>
      <c r="R276" s="253"/>
      <c r="S276" s="810">
        <v>42921.0</v>
      </c>
      <c r="T276" s="771">
        <v>42863.0</v>
      </c>
      <c r="U276" s="252" t="s">
        <v>6963</v>
      </c>
      <c r="V276" s="774">
        <v>20220.0</v>
      </c>
      <c r="W276" s="601">
        <v>42906.0</v>
      </c>
      <c r="X276" s="765" t="s">
        <v>6964</v>
      </c>
      <c r="Y276" s="253">
        <v>9.9542233401E11</v>
      </c>
      <c r="Z276" s="765" t="s">
        <v>6965</v>
      </c>
      <c r="AA276" s="262">
        <v>22659.0</v>
      </c>
      <c r="AB276" s="765" t="s">
        <v>6966</v>
      </c>
      <c r="AC276" s="253" t="s">
        <v>377</v>
      </c>
    </row>
    <row r="277" ht="15.75" customHeight="1">
      <c r="A277" s="601">
        <v>42853.0</v>
      </c>
      <c r="B277" s="597" t="s">
        <v>6167</v>
      </c>
      <c r="C277" s="765">
        <v>7.000129391E9</v>
      </c>
      <c r="D277" s="765" t="s">
        <v>6967</v>
      </c>
      <c r="E277" s="765" t="s">
        <v>6968</v>
      </c>
      <c r="F277" s="307">
        <v>2.0</v>
      </c>
      <c r="G277" s="254">
        <v>110.0</v>
      </c>
      <c r="H277" s="581">
        <f t="shared" si="5"/>
        <v>220</v>
      </c>
      <c r="I277" s="256" t="s">
        <v>43</v>
      </c>
      <c r="J277" s="777" t="s">
        <v>3623</v>
      </c>
      <c r="K277" s="258">
        <v>42863.0</v>
      </c>
      <c r="L277" s="258">
        <v>42859.0</v>
      </c>
      <c r="M277" s="266" t="s">
        <v>3593</v>
      </c>
      <c r="N277" s="252" t="s">
        <v>6969</v>
      </c>
      <c r="O277" s="339"/>
      <c r="P277" s="637">
        <v>6430.0</v>
      </c>
      <c r="Q277" s="310" t="s">
        <v>2080</v>
      </c>
      <c r="R277" s="253"/>
      <c r="S277" s="810">
        <v>42947.0</v>
      </c>
      <c r="T277" s="769">
        <v>42857.0</v>
      </c>
      <c r="U277" s="765" t="s">
        <v>6970</v>
      </c>
      <c r="V277" s="770">
        <v>42228.0</v>
      </c>
      <c r="W277" s="601">
        <v>42948.0</v>
      </c>
      <c r="X277" s="252" t="s">
        <v>6971</v>
      </c>
      <c r="Y277" s="253">
        <v>2.161795716E9</v>
      </c>
      <c r="Z277" s="1037"/>
      <c r="AA277" s="1037"/>
      <c r="AB277" s="766"/>
      <c r="AC277" s="253" t="s">
        <v>284</v>
      </c>
    </row>
    <row r="278" ht="15.75" customHeight="1">
      <c r="A278" s="601">
        <v>42853.0</v>
      </c>
      <c r="B278" s="597" t="s">
        <v>6167</v>
      </c>
      <c r="C278" s="765">
        <v>7.000129391E9</v>
      </c>
      <c r="D278" s="765" t="s">
        <v>6967</v>
      </c>
      <c r="E278" s="765" t="s">
        <v>6596</v>
      </c>
      <c r="F278" s="307">
        <v>7.0</v>
      </c>
      <c r="G278" s="254">
        <v>116.0</v>
      </c>
      <c r="H278" s="581">
        <f t="shared" si="5"/>
        <v>812</v>
      </c>
      <c r="I278" s="256" t="s">
        <v>43</v>
      </c>
      <c r="J278" s="777" t="s">
        <v>3623</v>
      </c>
      <c r="K278" s="258">
        <v>42863.0</v>
      </c>
      <c r="L278" s="258">
        <v>42859.0</v>
      </c>
      <c r="M278" s="266" t="s">
        <v>3593</v>
      </c>
      <c r="N278" s="252" t="s">
        <v>6969</v>
      </c>
      <c r="O278" s="339"/>
      <c r="P278" s="637">
        <v>23807.0</v>
      </c>
      <c r="Q278" s="310" t="s">
        <v>2080</v>
      </c>
      <c r="R278" s="253"/>
      <c r="S278" s="810">
        <v>42947.0</v>
      </c>
      <c r="T278" s="769">
        <v>42857.0</v>
      </c>
      <c r="U278" s="765" t="s">
        <v>6970</v>
      </c>
      <c r="V278" s="765" t="s">
        <v>6972</v>
      </c>
      <c r="W278" s="601">
        <v>42948.0</v>
      </c>
      <c r="X278" s="252" t="s">
        <v>6971</v>
      </c>
      <c r="Y278" s="253">
        <v>2.161795716E9</v>
      </c>
      <c r="Z278" s="1037"/>
      <c r="AA278" s="1037"/>
      <c r="AB278" s="766"/>
      <c r="AC278" s="253" t="s">
        <v>284</v>
      </c>
    </row>
    <row r="279" ht="15.75" customHeight="1">
      <c r="A279" s="764">
        <v>42853.0</v>
      </c>
      <c r="B279" s="597" t="s">
        <v>6167</v>
      </c>
      <c r="C279" s="1004">
        <v>7.000129391E9</v>
      </c>
      <c r="D279" s="765" t="s">
        <v>6967</v>
      </c>
      <c r="E279" s="765" t="s">
        <v>6329</v>
      </c>
      <c r="F279" s="1041">
        <v>2.0</v>
      </c>
      <c r="G279" s="254">
        <v>127.0</v>
      </c>
      <c r="H279" s="581">
        <f t="shared" si="5"/>
        <v>254</v>
      </c>
      <c r="I279" s="256" t="s">
        <v>43</v>
      </c>
      <c r="J279" s="403" t="s">
        <v>3623</v>
      </c>
      <c r="K279" s="258">
        <v>42863.0</v>
      </c>
      <c r="L279" s="258">
        <v>42859.0</v>
      </c>
      <c r="M279" s="266" t="s">
        <v>3593</v>
      </c>
      <c r="N279" s="252" t="s">
        <v>6969</v>
      </c>
      <c r="O279" s="339"/>
      <c r="P279" s="637">
        <v>7398.0</v>
      </c>
      <c r="Q279" s="320" t="s">
        <v>2080</v>
      </c>
      <c r="R279" s="253"/>
      <c r="S279" s="810">
        <v>42947.0</v>
      </c>
      <c r="T279" s="769">
        <v>42857.0</v>
      </c>
      <c r="U279" s="765" t="s">
        <v>6970</v>
      </c>
      <c r="V279" s="765" t="s">
        <v>6972</v>
      </c>
      <c r="W279" s="601">
        <v>42948.0</v>
      </c>
      <c r="X279" s="252" t="s">
        <v>6971</v>
      </c>
      <c r="Y279" s="253">
        <v>2.161795716E9</v>
      </c>
      <c r="Z279" s="1037"/>
      <c r="AA279" s="1037"/>
      <c r="AB279" s="766"/>
      <c r="AC279" s="253" t="s">
        <v>284</v>
      </c>
    </row>
    <row r="280" ht="15.75" customHeight="1">
      <c r="A280" s="764">
        <v>42853.0</v>
      </c>
      <c r="B280" s="597" t="s">
        <v>6167</v>
      </c>
      <c r="C280" s="765">
        <v>7.000129391E9</v>
      </c>
      <c r="D280" s="765" t="s">
        <v>6967</v>
      </c>
      <c r="E280" s="765" t="s">
        <v>6973</v>
      </c>
      <c r="F280" s="1041">
        <v>2.0</v>
      </c>
      <c r="G280" s="254">
        <v>79.0</v>
      </c>
      <c r="H280" s="581">
        <f t="shared" si="5"/>
        <v>158</v>
      </c>
      <c r="I280" s="266" t="s">
        <v>43</v>
      </c>
      <c r="J280" s="403" t="s">
        <v>3623</v>
      </c>
      <c r="K280" s="258">
        <v>42863.0</v>
      </c>
      <c r="L280" s="258">
        <v>42859.0</v>
      </c>
      <c r="M280" s="266" t="s">
        <v>3593</v>
      </c>
      <c r="N280" s="252" t="s">
        <v>6969</v>
      </c>
      <c r="O280" s="339"/>
      <c r="P280" s="637">
        <v>4593.0</v>
      </c>
      <c r="Q280" s="320" t="s">
        <v>2080</v>
      </c>
      <c r="R280" s="253"/>
      <c r="S280" s="810">
        <v>42947.0</v>
      </c>
      <c r="T280" s="769">
        <v>42857.0</v>
      </c>
      <c r="U280" s="765" t="s">
        <v>6970</v>
      </c>
      <c r="V280" s="765" t="s">
        <v>6972</v>
      </c>
      <c r="W280" s="601">
        <v>42948.0</v>
      </c>
      <c r="X280" s="252" t="s">
        <v>6971</v>
      </c>
      <c r="Y280" s="253">
        <v>2.161795716E9</v>
      </c>
      <c r="Z280" s="1037"/>
      <c r="AA280" s="1037"/>
      <c r="AB280" s="766"/>
      <c r="AC280" s="253" t="s">
        <v>284</v>
      </c>
    </row>
    <row r="281" ht="15.75" customHeight="1">
      <c r="A281" s="274">
        <v>42853.0</v>
      </c>
      <c r="B281" s="804" t="s">
        <v>1204</v>
      </c>
      <c r="C281" s="789" t="s">
        <v>6974</v>
      </c>
      <c r="D281" s="789" t="s">
        <v>6975</v>
      </c>
      <c r="E281" s="789" t="s">
        <v>6976</v>
      </c>
      <c r="F281" s="1066">
        <v>10.0</v>
      </c>
      <c r="G281" s="280">
        <v>17.5</v>
      </c>
      <c r="H281" s="1045"/>
      <c r="I281" s="797" t="s">
        <v>43</v>
      </c>
      <c r="J281" s="1015" t="s">
        <v>6037</v>
      </c>
      <c r="K281" s="797" t="s">
        <v>71</v>
      </c>
      <c r="L281" s="279"/>
      <c r="M281" s="1015" t="s">
        <v>2508</v>
      </c>
      <c r="N281" s="276" t="s">
        <v>6977</v>
      </c>
      <c r="O281" s="1045"/>
      <c r="P281" s="1067"/>
      <c r="Q281" s="800" t="s">
        <v>4491</v>
      </c>
      <c r="R281" s="279"/>
      <c r="S281" s="1046"/>
      <c r="T281" s="787"/>
      <c r="U281" s="787"/>
      <c r="V281" s="787"/>
      <c r="W281" s="1047"/>
      <c r="X281" s="1047"/>
      <c r="Y281" s="1047"/>
      <c r="Z281" s="1047"/>
      <c r="AA281" s="1047"/>
      <c r="AB281" s="787"/>
      <c r="AC281" s="253" t="s">
        <v>3617</v>
      </c>
    </row>
    <row r="282" ht="15.75" customHeight="1">
      <c r="A282" s="274">
        <v>42853.0</v>
      </c>
      <c r="B282" s="804" t="s">
        <v>1204</v>
      </c>
      <c r="C282" s="789" t="s">
        <v>6974</v>
      </c>
      <c r="D282" s="789" t="s">
        <v>6975</v>
      </c>
      <c r="E282" s="789" t="s">
        <v>6978</v>
      </c>
      <c r="F282" s="1066">
        <v>20.0</v>
      </c>
      <c r="G282" s="280">
        <v>17.5</v>
      </c>
      <c r="H282" s="1045"/>
      <c r="I282" s="797" t="s">
        <v>43</v>
      </c>
      <c r="J282" s="1015" t="s">
        <v>6037</v>
      </c>
      <c r="K282" s="797" t="s">
        <v>71</v>
      </c>
      <c r="L282" s="279"/>
      <c r="M282" s="283" t="s">
        <v>2508</v>
      </c>
      <c r="N282" s="1027" t="s">
        <v>6977</v>
      </c>
      <c r="O282" s="1045"/>
      <c r="P282" s="1067"/>
      <c r="Q282" s="800" t="s">
        <v>4491</v>
      </c>
      <c r="R282" s="279"/>
      <c r="S282" s="1046"/>
      <c r="T282" s="787"/>
      <c r="U282" s="787"/>
      <c r="V282" s="787"/>
      <c r="W282" s="1047"/>
      <c r="X282" s="1047"/>
      <c r="Y282" s="1047"/>
      <c r="Z282" s="1047"/>
      <c r="AA282" s="1047"/>
      <c r="AB282" s="787"/>
      <c r="AC282" s="253" t="s">
        <v>3617</v>
      </c>
    </row>
    <row r="283" ht="15.75" customHeight="1">
      <c r="A283" s="776">
        <v>42858.0</v>
      </c>
      <c r="B283" s="340" t="s">
        <v>4754</v>
      </c>
      <c r="C283" s="765">
        <v>63386.0</v>
      </c>
      <c r="D283" s="310" t="s">
        <v>6979</v>
      </c>
      <c r="E283" s="310" t="s">
        <v>6385</v>
      </c>
      <c r="F283" s="256">
        <v>10.0</v>
      </c>
      <c r="G283" s="254">
        <v>66.0</v>
      </c>
      <c r="H283" s="581">
        <f t="shared" ref="H283:H305" si="6">G283*F283</f>
        <v>660</v>
      </c>
      <c r="I283" s="1009" t="s">
        <v>3474</v>
      </c>
      <c r="J283" s="1056" t="s">
        <v>534</v>
      </c>
      <c r="K283" s="258">
        <v>42881.0</v>
      </c>
      <c r="L283" s="258">
        <v>42881.0</v>
      </c>
      <c r="M283" s="333" t="s">
        <v>6386</v>
      </c>
      <c r="N283" s="252" t="s">
        <v>6980</v>
      </c>
      <c r="O283" s="581">
        <v>556.5</v>
      </c>
      <c r="P283" s="637">
        <v>16762.0</v>
      </c>
      <c r="Q283" s="604" t="s">
        <v>6388</v>
      </c>
      <c r="R283" s="253"/>
      <c r="S283" s="1044"/>
      <c r="T283" s="769">
        <v>42881.0</v>
      </c>
      <c r="U283" s="765" t="s">
        <v>6981</v>
      </c>
      <c r="V283" s="770">
        <v>16762.0</v>
      </c>
      <c r="W283" s="601">
        <v>42878.0</v>
      </c>
      <c r="X283" s="252" t="s">
        <v>6982</v>
      </c>
      <c r="Y283" s="1037"/>
      <c r="Z283" s="1037"/>
      <c r="AA283" s="1037"/>
      <c r="AB283" s="766"/>
      <c r="AC283" s="253" t="s">
        <v>284</v>
      </c>
    </row>
    <row r="284" ht="15.75" customHeight="1">
      <c r="A284" s="776">
        <v>42858.0</v>
      </c>
      <c r="B284" s="340" t="s">
        <v>4754</v>
      </c>
      <c r="C284" s="765">
        <v>63386.0</v>
      </c>
      <c r="D284" s="310" t="s">
        <v>6979</v>
      </c>
      <c r="E284" s="310" t="s">
        <v>6983</v>
      </c>
      <c r="F284" s="256">
        <v>1.0</v>
      </c>
      <c r="G284" s="254">
        <v>58.0</v>
      </c>
      <c r="H284" s="581">
        <f t="shared" si="6"/>
        <v>58</v>
      </c>
      <c r="I284" s="1009" t="s">
        <v>3474</v>
      </c>
      <c r="J284" s="1056" t="s">
        <v>534</v>
      </c>
      <c r="K284" s="258">
        <v>42881.0</v>
      </c>
      <c r="L284" s="630"/>
      <c r="M284" s="266" t="s">
        <v>2032</v>
      </c>
      <c r="N284" s="765"/>
      <c r="O284" s="339"/>
      <c r="P284" s="637">
        <v>2149.0</v>
      </c>
      <c r="Q284" s="310" t="s">
        <v>2033</v>
      </c>
      <c r="R284" s="253"/>
      <c r="S284" s="810">
        <v>42916.0</v>
      </c>
      <c r="T284" s="769">
        <v>42886.0</v>
      </c>
      <c r="U284" s="765" t="s">
        <v>6984</v>
      </c>
      <c r="V284" s="770">
        <v>2149.0</v>
      </c>
      <c r="W284" s="601">
        <v>42921.0</v>
      </c>
      <c r="X284" s="252" t="s">
        <v>6982</v>
      </c>
      <c r="Y284" s="1037"/>
      <c r="Z284" s="1037"/>
      <c r="AA284" s="1037"/>
      <c r="AB284" s="766"/>
      <c r="AC284" s="253" t="s">
        <v>284</v>
      </c>
    </row>
    <row r="285" ht="15.75" customHeight="1">
      <c r="A285" s="776">
        <v>42858.0</v>
      </c>
      <c r="B285" s="340" t="s">
        <v>4754</v>
      </c>
      <c r="C285" s="765">
        <v>63386.0</v>
      </c>
      <c r="D285" s="310" t="s">
        <v>6979</v>
      </c>
      <c r="E285" s="310" t="s">
        <v>700</v>
      </c>
      <c r="F285" s="307">
        <v>1.0</v>
      </c>
      <c r="G285" s="254">
        <v>25.0</v>
      </c>
      <c r="H285" s="581">
        <f t="shared" si="6"/>
        <v>25</v>
      </c>
      <c r="I285" s="1009" t="s">
        <v>3474</v>
      </c>
      <c r="J285" s="1056" t="s">
        <v>534</v>
      </c>
      <c r="K285" s="258">
        <v>42881.0</v>
      </c>
      <c r="L285" s="630"/>
      <c r="M285" s="266"/>
      <c r="N285" s="765"/>
      <c r="O285" s="339"/>
      <c r="P285" s="637">
        <v>0.0</v>
      </c>
      <c r="Q285" s="320"/>
      <c r="R285" s="253"/>
      <c r="S285" s="1044"/>
      <c r="T285" s="766"/>
      <c r="U285" s="766"/>
      <c r="V285" s="766"/>
      <c r="W285" s="1037"/>
      <c r="X285" s="1037"/>
      <c r="Y285" s="1037"/>
      <c r="Z285" s="1037"/>
      <c r="AA285" s="1037"/>
      <c r="AB285" s="766"/>
      <c r="AC285" s="253" t="s">
        <v>284</v>
      </c>
    </row>
    <row r="286" ht="15.75" customHeight="1">
      <c r="A286" s="258">
        <v>42863.0</v>
      </c>
      <c r="B286" s="1004" t="s">
        <v>101</v>
      </c>
      <c r="C286" s="765" t="s">
        <v>6985</v>
      </c>
      <c r="D286" s="252" t="s">
        <v>6986</v>
      </c>
      <c r="E286" s="252" t="s">
        <v>6987</v>
      </c>
      <c r="F286" s="1041">
        <v>6.0</v>
      </c>
      <c r="G286" s="254">
        <v>339.0</v>
      </c>
      <c r="H286" s="581">
        <f t="shared" si="6"/>
        <v>2034</v>
      </c>
      <c r="I286" s="256" t="s">
        <v>3474</v>
      </c>
      <c r="J286" s="363" t="s">
        <v>3739</v>
      </c>
      <c r="K286" s="258">
        <v>42880.0</v>
      </c>
      <c r="L286" s="258">
        <v>42872.0</v>
      </c>
      <c r="M286" s="403" t="s">
        <v>2028</v>
      </c>
      <c r="N286" s="252" t="s">
        <v>6988</v>
      </c>
      <c r="O286" s="339"/>
      <c r="P286" s="637">
        <v>58106.0</v>
      </c>
      <c r="Q286" s="578" t="s">
        <v>2030</v>
      </c>
      <c r="R286" s="253"/>
      <c r="S286" s="810">
        <v>42921.0</v>
      </c>
      <c r="T286" s="769">
        <v>42872.0</v>
      </c>
      <c r="U286" s="765" t="s">
        <v>6989</v>
      </c>
      <c r="V286" s="770">
        <v>59631.0</v>
      </c>
      <c r="W286" s="601">
        <v>42923.0</v>
      </c>
      <c r="X286" s="252" t="s">
        <v>6990</v>
      </c>
      <c r="Y286" s="1037"/>
      <c r="Z286" s="1037"/>
      <c r="AA286" s="1037"/>
      <c r="AB286" s="766"/>
      <c r="AC286" s="253" t="s">
        <v>284</v>
      </c>
    </row>
    <row r="287" ht="15.75" customHeight="1">
      <c r="A287" s="258">
        <v>42863.0</v>
      </c>
      <c r="B287" s="1004" t="s">
        <v>101</v>
      </c>
      <c r="C287" s="765" t="s">
        <v>6985</v>
      </c>
      <c r="D287" s="252" t="s">
        <v>6991</v>
      </c>
      <c r="E287" s="252" t="s">
        <v>3862</v>
      </c>
      <c r="F287" s="1041">
        <v>6.0</v>
      </c>
      <c r="G287" s="254">
        <v>9.0</v>
      </c>
      <c r="H287" s="581">
        <f t="shared" si="6"/>
        <v>54</v>
      </c>
      <c r="I287" s="256" t="s">
        <v>3474</v>
      </c>
      <c r="J287" s="363" t="s">
        <v>3739</v>
      </c>
      <c r="K287" s="258">
        <v>42880.0</v>
      </c>
      <c r="L287" s="258">
        <v>42872.0</v>
      </c>
      <c r="M287" s="403" t="s">
        <v>2028</v>
      </c>
      <c r="N287" s="252" t="s">
        <v>6988</v>
      </c>
      <c r="O287" s="339"/>
      <c r="P287" s="637">
        <v>1525.0</v>
      </c>
      <c r="Q287" s="578" t="s">
        <v>2030</v>
      </c>
      <c r="R287" s="253"/>
      <c r="S287" s="810">
        <v>42921.0</v>
      </c>
      <c r="T287" s="769">
        <v>42872.0</v>
      </c>
      <c r="U287" s="765" t="s">
        <v>6989</v>
      </c>
      <c r="V287" s="765" t="s">
        <v>6992</v>
      </c>
      <c r="W287" s="601">
        <v>42923.0</v>
      </c>
      <c r="X287" s="252" t="s">
        <v>6990</v>
      </c>
      <c r="Y287" s="1037"/>
      <c r="Z287" s="1037"/>
      <c r="AA287" s="1037"/>
      <c r="AB287" s="766"/>
      <c r="AC287" s="253" t="s">
        <v>284</v>
      </c>
    </row>
    <row r="288" ht="15.75" customHeight="1">
      <c r="A288" s="776">
        <v>42863.0</v>
      </c>
      <c r="B288" s="1004" t="s">
        <v>101</v>
      </c>
      <c r="C288" s="765" t="s">
        <v>6985</v>
      </c>
      <c r="D288" s="252" t="s">
        <v>6993</v>
      </c>
      <c r="E288" s="252" t="s">
        <v>6612</v>
      </c>
      <c r="F288" s="307">
        <v>6.0</v>
      </c>
      <c r="G288" s="325">
        <v>39.0</v>
      </c>
      <c r="H288" s="581">
        <f t="shared" si="6"/>
        <v>234</v>
      </c>
      <c r="I288" s="266" t="s">
        <v>3474</v>
      </c>
      <c r="J288" s="369" t="s">
        <v>3739</v>
      </c>
      <c r="K288" s="258">
        <v>42880.0</v>
      </c>
      <c r="L288" s="258">
        <v>42871.0</v>
      </c>
      <c r="M288" s="256" t="s">
        <v>2170</v>
      </c>
      <c r="N288" s="252" t="s">
        <v>6994</v>
      </c>
      <c r="O288" s="339"/>
      <c r="P288" s="637">
        <v>5982.0</v>
      </c>
      <c r="Q288" s="320" t="s">
        <v>2172</v>
      </c>
      <c r="R288" s="253"/>
      <c r="S288" s="1068"/>
      <c r="T288" s="769">
        <v>42870.0</v>
      </c>
      <c r="U288" s="765" t="s">
        <v>6995</v>
      </c>
      <c r="V288" s="770">
        <v>5982.0</v>
      </c>
      <c r="W288" s="601">
        <v>42865.0</v>
      </c>
      <c r="X288" s="252" t="s">
        <v>6990</v>
      </c>
      <c r="Y288" s="1037"/>
      <c r="Z288" s="1037"/>
      <c r="AA288" s="1037"/>
      <c r="AB288" s="766"/>
      <c r="AC288" s="253" t="s">
        <v>284</v>
      </c>
    </row>
    <row r="289" ht="15.75" customHeight="1">
      <c r="A289" s="764">
        <v>42863.0</v>
      </c>
      <c r="B289" s="597" t="s">
        <v>6167</v>
      </c>
      <c r="C289" s="765">
        <v>7.000129562E9</v>
      </c>
      <c r="D289" s="765" t="s">
        <v>6996</v>
      </c>
      <c r="E289" s="765" t="s">
        <v>6451</v>
      </c>
      <c r="F289" s="307">
        <v>2.0</v>
      </c>
      <c r="G289" s="325">
        <v>126.0</v>
      </c>
      <c r="H289" s="581">
        <f t="shared" si="6"/>
        <v>252</v>
      </c>
      <c r="I289" s="266" t="s">
        <v>43</v>
      </c>
      <c r="J289" s="403" t="s">
        <v>3623</v>
      </c>
      <c r="K289" s="258">
        <v>42870.0</v>
      </c>
      <c r="L289" s="258">
        <v>42867.0</v>
      </c>
      <c r="M289" s="266" t="s">
        <v>3593</v>
      </c>
      <c r="N289" s="252" t="s">
        <v>6997</v>
      </c>
      <c r="O289" s="339"/>
      <c r="P289" s="637">
        <v>7377.0</v>
      </c>
      <c r="Q289" s="320" t="s">
        <v>2080</v>
      </c>
      <c r="R289" s="253"/>
      <c r="S289" s="810">
        <v>42947.0</v>
      </c>
      <c r="T289" s="769">
        <v>42865.0</v>
      </c>
      <c r="U289" s="765" t="s">
        <v>6998</v>
      </c>
      <c r="V289" s="770">
        <v>25532.0</v>
      </c>
      <c r="W289" s="601">
        <v>42948.0</v>
      </c>
      <c r="X289" s="252" t="s">
        <v>6999</v>
      </c>
      <c r="Y289" s="1037"/>
      <c r="Z289" s="1037"/>
      <c r="AA289" s="1037"/>
      <c r="AB289" s="766"/>
      <c r="AC289" s="253" t="s">
        <v>284</v>
      </c>
    </row>
    <row r="290" ht="15.75" customHeight="1">
      <c r="A290" s="764">
        <v>42863.0</v>
      </c>
      <c r="B290" s="597" t="s">
        <v>6167</v>
      </c>
      <c r="C290" s="765">
        <v>7.000129562E9</v>
      </c>
      <c r="D290" s="765" t="s">
        <v>6996</v>
      </c>
      <c r="E290" s="765" t="s">
        <v>7000</v>
      </c>
      <c r="F290" s="307">
        <v>5.0</v>
      </c>
      <c r="G290" s="254">
        <v>124.0</v>
      </c>
      <c r="H290" s="581">
        <f t="shared" si="6"/>
        <v>620</v>
      </c>
      <c r="I290" s="266" t="s">
        <v>43</v>
      </c>
      <c r="J290" s="403" t="s">
        <v>3623</v>
      </c>
      <c r="K290" s="258">
        <v>42870.0</v>
      </c>
      <c r="L290" s="258">
        <v>42867.0</v>
      </c>
      <c r="M290" s="256" t="s">
        <v>3593</v>
      </c>
      <c r="N290" s="252" t="s">
        <v>6997</v>
      </c>
      <c r="O290" s="339"/>
      <c r="P290" s="637">
        <v>18155.0</v>
      </c>
      <c r="Q290" s="320" t="s">
        <v>2080</v>
      </c>
      <c r="R290" s="253"/>
      <c r="S290" s="810">
        <v>42947.0</v>
      </c>
      <c r="T290" s="769">
        <v>42865.0</v>
      </c>
      <c r="U290" s="765" t="s">
        <v>6998</v>
      </c>
      <c r="V290" s="765" t="s">
        <v>7001</v>
      </c>
      <c r="W290" s="601">
        <v>42948.0</v>
      </c>
      <c r="X290" s="252" t="s">
        <v>6999</v>
      </c>
      <c r="Y290" s="1037"/>
      <c r="Z290" s="1037"/>
      <c r="AA290" s="1037"/>
      <c r="AB290" s="766"/>
      <c r="AC290" s="253" t="s">
        <v>284</v>
      </c>
    </row>
    <row r="291" ht="15.75" customHeight="1">
      <c r="A291" s="601">
        <v>42864.0</v>
      </c>
      <c r="B291" s="597" t="s">
        <v>6167</v>
      </c>
      <c r="C291" s="765">
        <v>7.000129598E9</v>
      </c>
      <c r="D291" s="252" t="s">
        <v>7002</v>
      </c>
      <c r="E291" s="252" t="s">
        <v>7003</v>
      </c>
      <c r="F291" s="1041">
        <v>2.0</v>
      </c>
      <c r="G291" s="325">
        <v>124.0</v>
      </c>
      <c r="H291" s="581">
        <f t="shared" si="6"/>
        <v>248</v>
      </c>
      <c r="I291" s="256" t="s">
        <v>43</v>
      </c>
      <c r="J291" s="777" t="s">
        <v>6278</v>
      </c>
      <c r="K291" s="258">
        <v>42901.0</v>
      </c>
      <c r="L291" s="258">
        <v>42899.0</v>
      </c>
      <c r="M291" s="266" t="s">
        <v>3593</v>
      </c>
      <c r="N291" s="765" t="s">
        <v>7004</v>
      </c>
      <c r="O291" s="339"/>
      <c r="P291" s="637">
        <v>7262.0</v>
      </c>
      <c r="Q291" s="310" t="s">
        <v>2080</v>
      </c>
      <c r="R291" s="253"/>
      <c r="S291" s="810">
        <v>42978.0</v>
      </c>
      <c r="T291" s="769">
        <v>42895.0</v>
      </c>
      <c r="U291" s="765" t="s">
        <v>7005</v>
      </c>
      <c r="V291" s="770">
        <v>7262.0</v>
      </c>
      <c r="W291" s="258">
        <v>42979.0</v>
      </c>
      <c r="X291" s="252" t="s">
        <v>7006</v>
      </c>
      <c r="Y291" s="1037"/>
      <c r="Z291" s="1037"/>
      <c r="AA291" s="1037"/>
      <c r="AB291" s="766"/>
      <c r="AC291" s="253" t="s">
        <v>284</v>
      </c>
    </row>
    <row r="292" ht="15.75" customHeight="1">
      <c r="A292" s="258">
        <v>42864.0</v>
      </c>
      <c r="B292" s="597" t="s">
        <v>3871</v>
      </c>
      <c r="C292" s="765" t="s">
        <v>7007</v>
      </c>
      <c r="D292" s="252" t="s">
        <v>7008</v>
      </c>
      <c r="E292" s="252" t="s">
        <v>3877</v>
      </c>
      <c r="F292" s="1041">
        <v>10.0</v>
      </c>
      <c r="G292" s="325">
        <v>140.0</v>
      </c>
      <c r="H292" s="267">
        <f t="shared" si="6"/>
        <v>1400</v>
      </c>
      <c r="I292" s="256" t="s">
        <v>3874</v>
      </c>
      <c r="J292" s="369" t="s">
        <v>6206</v>
      </c>
      <c r="K292" s="258">
        <v>42873.0</v>
      </c>
      <c r="L292" s="258">
        <v>42871.0</v>
      </c>
      <c r="M292" s="266" t="s">
        <v>90</v>
      </c>
      <c r="N292" s="765" t="s">
        <v>7009</v>
      </c>
      <c r="O292" s="581">
        <v>1081.5</v>
      </c>
      <c r="P292" s="816"/>
      <c r="Q292" s="310" t="s">
        <v>6081</v>
      </c>
      <c r="R292" s="253"/>
      <c r="S292" s="1044"/>
      <c r="T292" s="769">
        <v>42871.0</v>
      </c>
      <c r="U292" s="765" t="s">
        <v>7010</v>
      </c>
      <c r="V292" s="770">
        <v>40685.0</v>
      </c>
      <c r="W292" s="601">
        <v>42906.0</v>
      </c>
      <c r="X292" s="252" t="s">
        <v>7011</v>
      </c>
      <c r="Y292" s="253">
        <v>9.83409733E8</v>
      </c>
      <c r="Z292" s="1037"/>
      <c r="AA292" s="1037"/>
      <c r="AB292" s="766"/>
      <c r="AC292" s="253" t="s">
        <v>284</v>
      </c>
    </row>
    <row r="293" ht="15.75" customHeight="1">
      <c r="A293" s="776">
        <v>42864.0</v>
      </c>
      <c r="B293" s="597" t="s">
        <v>3871</v>
      </c>
      <c r="C293" s="765" t="s">
        <v>7007</v>
      </c>
      <c r="D293" s="252" t="s">
        <v>7008</v>
      </c>
      <c r="E293" s="252" t="s">
        <v>7012</v>
      </c>
      <c r="F293" s="1041">
        <v>2.0</v>
      </c>
      <c r="G293" s="254">
        <v>170.0</v>
      </c>
      <c r="H293" s="267">
        <f t="shared" si="6"/>
        <v>340</v>
      </c>
      <c r="I293" s="266" t="s">
        <v>3874</v>
      </c>
      <c r="J293" s="363" t="s">
        <v>6206</v>
      </c>
      <c r="K293" s="258">
        <v>42873.0</v>
      </c>
      <c r="L293" s="258">
        <v>42871.0</v>
      </c>
      <c r="M293" s="266" t="s">
        <v>90</v>
      </c>
      <c r="N293" s="765" t="s">
        <v>7009</v>
      </c>
      <c r="O293" s="581">
        <v>268.8</v>
      </c>
      <c r="P293" s="816"/>
      <c r="Q293" s="320" t="s">
        <v>6081</v>
      </c>
      <c r="R293" s="253"/>
      <c r="S293" s="1044"/>
      <c r="T293" s="769">
        <v>42871.0</v>
      </c>
      <c r="U293" s="765" t="s">
        <v>7010</v>
      </c>
      <c r="V293" s="765" t="s">
        <v>7013</v>
      </c>
      <c r="W293" s="601">
        <v>42906.0</v>
      </c>
      <c r="X293" s="252" t="s">
        <v>7011</v>
      </c>
      <c r="Y293" s="253">
        <v>9.83409733E8</v>
      </c>
      <c r="Z293" s="1037"/>
      <c r="AA293" s="1037"/>
      <c r="AB293" s="766"/>
      <c r="AC293" s="253" t="s">
        <v>284</v>
      </c>
    </row>
    <row r="294" ht="15.75" customHeight="1">
      <c r="A294" s="764">
        <v>42864.0</v>
      </c>
      <c r="B294" s="597" t="s">
        <v>6167</v>
      </c>
      <c r="C294" s="765">
        <v>7.000129598E9</v>
      </c>
      <c r="D294" s="252" t="s">
        <v>7002</v>
      </c>
      <c r="E294" s="252" t="s">
        <v>7014</v>
      </c>
      <c r="F294" s="1041">
        <v>1.0</v>
      </c>
      <c r="G294" s="254">
        <v>55.0</v>
      </c>
      <c r="H294" s="581">
        <f t="shared" si="6"/>
        <v>55</v>
      </c>
      <c r="I294" s="266" t="s">
        <v>43</v>
      </c>
      <c r="J294" s="777" t="s">
        <v>3623</v>
      </c>
      <c r="K294" s="258">
        <v>42870.0</v>
      </c>
      <c r="L294" s="258">
        <v>42867.0</v>
      </c>
      <c r="M294" s="266" t="s">
        <v>3593</v>
      </c>
      <c r="N294" s="765" t="s">
        <v>7004</v>
      </c>
      <c r="O294" s="339"/>
      <c r="P294" s="637">
        <v>1611.0</v>
      </c>
      <c r="Q294" s="320" t="s">
        <v>2080</v>
      </c>
      <c r="R294" s="253"/>
      <c r="S294" s="810">
        <v>42947.0</v>
      </c>
      <c r="T294" s="769">
        <v>42865.0</v>
      </c>
      <c r="U294" s="765" t="s">
        <v>7015</v>
      </c>
      <c r="V294" s="770">
        <v>1611.0</v>
      </c>
      <c r="W294" s="601">
        <v>42948.0</v>
      </c>
      <c r="X294" s="252" t="s">
        <v>6999</v>
      </c>
      <c r="Y294" s="1037"/>
      <c r="Z294" s="1037"/>
      <c r="AA294" s="1037"/>
      <c r="AB294" s="766"/>
      <c r="AC294" s="253" t="s">
        <v>284</v>
      </c>
    </row>
    <row r="295" ht="15.75" customHeight="1">
      <c r="A295" s="776">
        <v>42867.0</v>
      </c>
      <c r="B295" s="597" t="s">
        <v>378</v>
      </c>
      <c r="C295" s="765">
        <v>8026.0</v>
      </c>
      <c r="D295" s="765" t="s">
        <v>7016</v>
      </c>
      <c r="E295" s="765" t="s">
        <v>7017</v>
      </c>
      <c r="F295" s="1041">
        <v>2.0</v>
      </c>
      <c r="G295" s="254">
        <v>413.0</v>
      </c>
      <c r="H295" s="581">
        <f t="shared" si="6"/>
        <v>826</v>
      </c>
      <c r="I295" s="1009" t="s">
        <v>3474</v>
      </c>
      <c r="J295" s="363" t="s">
        <v>7018</v>
      </c>
      <c r="K295" s="258">
        <v>42901.0</v>
      </c>
      <c r="L295" s="630"/>
      <c r="M295" s="266"/>
      <c r="N295" s="765" t="s">
        <v>7019</v>
      </c>
      <c r="O295" s="339"/>
      <c r="P295" s="816"/>
      <c r="Q295" s="320"/>
      <c r="R295" s="253"/>
      <c r="S295" s="1044"/>
      <c r="T295" s="765" t="s">
        <v>7019</v>
      </c>
      <c r="U295" s="766"/>
      <c r="V295" s="766"/>
      <c r="W295" s="1037"/>
      <c r="X295" s="252" t="s">
        <v>7020</v>
      </c>
      <c r="Y295" s="369" t="s">
        <v>7021</v>
      </c>
      <c r="Z295" s="1037"/>
      <c r="AA295" s="1037"/>
      <c r="AB295" s="766"/>
      <c r="AC295" s="253" t="s">
        <v>284</v>
      </c>
    </row>
    <row r="296" ht="15.75" customHeight="1">
      <c r="A296" s="776">
        <v>42867.0</v>
      </c>
      <c r="B296" s="597" t="s">
        <v>378</v>
      </c>
      <c r="C296" s="765">
        <v>8026.0</v>
      </c>
      <c r="D296" s="765" t="s">
        <v>7016</v>
      </c>
      <c r="E296" s="765" t="s">
        <v>700</v>
      </c>
      <c r="F296" s="1041">
        <v>1.0</v>
      </c>
      <c r="G296" s="254">
        <v>25.0</v>
      </c>
      <c r="H296" s="581">
        <f t="shared" si="6"/>
        <v>25</v>
      </c>
      <c r="I296" s="1009" t="s">
        <v>3474</v>
      </c>
      <c r="J296" s="363" t="s">
        <v>7018</v>
      </c>
      <c r="K296" s="258">
        <v>42901.0</v>
      </c>
      <c r="L296" s="630"/>
      <c r="M296" s="266"/>
      <c r="N296" s="765"/>
      <c r="O296" s="339"/>
      <c r="P296" s="637">
        <v>0.0</v>
      </c>
      <c r="Q296" s="320"/>
      <c r="R296" s="253"/>
      <c r="S296" s="1044"/>
      <c r="T296" s="765" t="s">
        <v>7019</v>
      </c>
      <c r="U296" s="766"/>
      <c r="V296" s="766"/>
      <c r="W296" s="1037"/>
      <c r="X296" s="252" t="s">
        <v>7020</v>
      </c>
      <c r="Y296" s="369" t="s">
        <v>7021</v>
      </c>
      <c r="Z296" s="1037"/>
      <c r="AA296" s="1037"/>
      <c r="AB296" s="766"/>
      <c r="AC296" s="253" t="s">
        <v>284</v>
      </c>
    </row>
    <row r="297" ht="15.75" customHeight="1">
      <c r="A297" s="776">
        <v>42870.0</v>
      </c>
      <c r="B297" s="597" t="s">
        <v>101</v>
      </c>
      <c r="C297" s="765" t="s">
        <v>7022</v>
      </c>
      <c r="D297" s="765" t="s">
        <v>7023</v>
      </c>
      <c r="E297" s="765" t="s">
        <v>7024</v>
      </c>
      <c r="F297" s="1041">
        <v>6.0</v>
      </c>
      <c r="G297" s="254">
        <v>6.0</v>
      </c>
      <c r="H297" s="581">
        <f t="shared" si="6"/>
        <v>36</v>
      </c>
      <c r="I297" s="266" t="s">
        <v>3474</v>
      </c>
      <c r="J297" s="369" t="s">
        <v>3739</v>
      </c>
      <c r="K297" s="258">
        <v>42888.0</v>
      </c>
      <c r="L297" s="266" t="s">
        <v>7025</v>
      </c>
      <c r="M297" s="333" t="s">
        <v>1439</v>
      </c>
      <c r="N297" s="252" t="s">
        <v>7026</v>
      </c>
      <c r="O297" s="339"/>
      <c r="P297" s="637">
        <v>951.0</v>
      </c>
      <c r="Q297" s="765" t="s">
        <v>1976</v>
      </c>
      <c r="R297" s="253"/>
      <c r="S297" s="1060">
        <v>42916.0</v>
      </c>
      <c r="T297" s="769">
        <v>42886.0</v>
      </c>
      <c r="U297" s="765" t="s">
        <v>7027</v>
      </c>
      <c r="V297" s="770">
        <v>136263.0</v>
      </c>
      <c r="W297" s="601">
        <v>42922.0</v>
      </c>
      <c r="X297" s="252" t="s">
        <v>6876</v>
      </c>
      <c r="Y297" s="253"/>
      <c r="Z297" s="1037"/>
      <c r="AA297" s="1037"/>
      <c r="AB297" s="766"/>
      <c r="AC297" s="253" t="s">
        <v>284</v>
      </c>
    </row>
    <row r="298" ht="15.75" customHeight="1">
      <c r="A298" s="776">
        <v>42870.0</v>
      </c>
      <c r="B298" s="597" t="s">
        <v>101</v>
      </c>
      <c r="C298" s="765" t="s">
        <v>7022</v>
      </c>
      <c r="D298" s="765" t="s">
        <v>7023</v>
      </c>
      <c r="E298" s="765" t="s">
        <v>7028</v>
      </c>
      <c r="F298" s="1041">
        <v>5.0</v>
      </c>
      <c r="G298" s="254">
        <v>847.0</v>
      </c>
      <c r="H298" s="581">
        <f t="shared" si="6"/>
        <v>4235</v>
      </c>
      <c r="I298" s="266" t="s">
        <v>3474</v>
      </c>
      <c r="J298" s="369" t="s">
        <v>3739</v>
      </c>
      <c r="K298" s="258">
        <v>42888.0</v>
      </c>
      <c r="L298" s="266" t="s">
        <v>7025</v>
      </c>
      <c r="M298" s="333" t="s">
        <v>1439</v>
      </c>
      <c r="N298" s="252" t="s">
        <v>7026</v>
      </c>
      <c r="O298" s="339"/>
      <c r="P298" s="637">
        <v>129775.0</v>
      </c>
      <c r="Q298" s="765" t="s">
        <v>1976</v>
      </c>
      <c r="R298" s="253"/>
      <c r="S298" s="1060">
        <v>42916.0</v>
      </c>
      <c r="T298" s="769">
        <v>42886.0</v>
      </c>
      <c r="U298" s="765" t="s">
        <v>7027</v>
      </c>
      <c r="V298" s="765" t="s">
        <v>7029</v>
      </c>
      <c r="W298" s="601">
        <v>42922.0</v>
      </c>
      <c r="X298" s="252" t="s">
        <v>6876</v>
      </c>
      <c r="Y298" s="253"/>
      <c r="Z298" s="1037"/>
      <c r="AA298" s="1037"/>
      <c r="AB298" s="766"/>
      <c r="AC298" s="253" t="s">
        <v>284</v>
      </c>
    </row>
    <row r="299" ht="15.75" customHeight="1">
      <c r="A299" s="776">
        <v>42870.0</v>
      </c>
      <c r="B299" s="597" t="s">
        <v>101</v>
      </c>
      <c r="C299" s="765" t="s">
        <v>7022</v>
      </c>
      <c r="D299" s="765" t="s">
        <v>7023</v>
      </c>
      <c r="E299" s="765" t="s">
        <v>7030</v>
      </c>
      <c r="F299" s="1041">
        <v>5.0</v>
      </c>
      <c r="G299" s="254">
        <f>G298*10%</f>
        <v>84.7</v>
      </c>
      <c r="H299" s="581">
        <f t="shared" si="6"/>
        <v>423.5</v>
      </c>
      <c r="I299" s="266" t="s">
        <v>3474</v>
      </c>
      <c r="J299" s="369" t="s">
        <v>3739</v>
      </c>
      <c r="K299" s="258">
        <v>42888.0</v>
      </c>
      <c r="L299" s="266" t="s">
        <v>7025</v>
      </c>
      <c r="M299" s="333" t="s">
        <v>1439</v>
      </c>
      <c r="N299" s="252" t="s">
        <v>7026</v>
      </c>
      <c r="O299" s="339"/>
      <c r="P299" s="637" t="s">
        <v>7031</v>
      </c>
      <c r="Q299" s="765" t="s">
        <v>1976</v>
      </c>
      <c r="R299" s="253"/>
      <c r="S299" s="1060">
        <v>42916.0</v>
      </c>
      <c r="T299" s="769">
        <v>42886.0</v>
      </c>
      <c r="U299" s="765" t="s">
        <v>7027</v>
      </c>
      <c r="V299" s="765" t="s">
        <v>7029</v>
      </c>
      <c r="W299" s="601">
        <v>42922.0</v>
      </c>
      <c r="X299" s="252" t="s">
        <v>6876</v>
      </c>
      <c r="Y299" s="253"/>
      <c r="Z299" s="1037"/>
      <c r="AA299" s="1037"/>
      <c r="AB299" s="766"/>
      <c r="AC299" s="253" t="s">
        <v>284</v>
      </c>
    </row>
    <row r="300" ht="15.75" customHeight="1">
      <c r="A300" s="776">
        <v>42870.0</v>
      </c>
      <c r="B300" s="597" t="s">
        <v>101</v>
      </c>
      <c r="C300" s="765" t="s">
        <v>7022</v>
      </c>
      <c r="D300" s="765" t="s">
        <v>7023</v>
      </c>
      <c r="E300" s="765" t="s">
        <v>6932</v>
      </c>
      <c r="F300" s="1041">
        <v>5.0</v>
      </c>
      <c r="G300" s="254">
        <v>41.0</v>
      </c>
      <c r="H300" s="581">
        <f t="shared" si="6"/>
        <v>205</v>
      </c>
      <c r="I300" s="266" t="s">
        <v>3474</v>
      </c>
      <c r="J300" s="369" t="s">
        <v>3739</v>
      </c>
      <c r="K300" s="258">
        <v>42888.0</v>
      </c>
      <c r="L300" s="266" t="s">
        <v>7025</v>
      </c>
      <c r="M300" s="333" t="s">
        <v>1439</v>
      </c>
      <c r="N300" s="252" t="s">
        <v>7026</v>
      </c>
      <c r="O300" s="339"/>
      <c r="P300" s="637">
        <v>5539.0</v>
      </c>
      <c r="Q300" s="765" t="s">
        <v>1976</v>
      </c>
      <c r="R300" s="253"/>
      <c r="S300" s="1060">
        <v>42916.0</v>
      </c>
      <c r="T300" s="769">
        <v>42886.0</v>
      </c>
      <c r="U300" s="765" t="s">
        <v>7027</v>
      </c>
      <c r="V300" s="765" t="s">
        <v>7029</v>
      </c>
      <c r="W300" s="601">
        <v>42922.0</v>
      </c>
      <c r="X300" s="252" t="s">
        <v>6876</v>
      </c>
      <c r="Y300" s="253"/>
      <c r="Z300" s="1037"/>
      <c r="AA300" s="1037"/>
      <c r="AB300" s="766"/>
      <c r="AC300" s="253" t="s">
        <v>284</v>
      </c>
    </row>
    <row r="301" ht="15.75" customHeight="1">
      <c r="A301" s="258">
        <v>42870.0</v>
      </c>
      <c r="B301" s="422" t="s">
        <v>3506</v>
      </c>
      <c r="C301" s="765" t="s">
        <v>6468</v>
      </c>
      <c r="D301" s="252" t="s">
        <v>7032</v>
      </c>
      <c r="E301" s="252" t="s">
        <v>7033</v>
      </c>
      <c r="F301" s="1041">
        <v>100.0</v>
      </c>
      <c r="G301" s="267">
        <v>174.5</v>
      </c>
      <c r="H301" s="267">
        <f t="shared" si="6"/>
        <v>17450</v>
      </c>
      <c r="I301" s="266" t="s">
        <v>171</v>
      </c>
      <c r="J301" s="363" t="s">
        <v>3509</v>
      </c>
      <c r="K301" s="258">
        <v>42901.0</v>
      </c>
      <c r="L301" s="258">
        <v>42894.0</v>
      </c>
      <c r="M301" s="403" t="s">
        <v>3510</v>
      </c>
      <c r="N301" s="252" t="s">
        <v>7034</v>
      </c>
      <c r="O301" s="339"/>
      <c r="P301" s="637">
        <v>525903.0</v>
      </c>
      <c r="Q301" s="604" t="s">
        <v>6152</v>
      </c>
      <c r="R301" s="253"/>
      <c r="S301" s="1044"/>
      <c r="T301" s="771">
        <v>42898.0</v>
      </c>
      <c r="U301" s="252" t="s">
        <v>7035</v>
      </c>
      <c r="V301" s="774">
        <v>525903.0</v>
      </c>
      <c r="W301" s="601">
        <v>42891.0</v>
      </c>
      <c r="X301" s="252" t="s">
        <v>6472</v>
      </c>
      <c r="Y301" s="1037"/>
      <c r="Z301" s="1037"/>
      <c r="AA301" s="1037"/>
      <c r="AB301" s="766"/>
      <c r="AC301" s="253" t="s">
        <v>284</v>
      </c>
    </row>
    <row r="302" ht="15.75" customHeight="1">
      <c r="A302" s="776">
        <v>42870.0</v>
      </c>
      <c r="B302" s="340" t="s">
        <v>7036</v>
      </c>
      <c r="C302" s="765"/>
      <c r="D302" s="310" t="s">
        <v>7037</v>
      </c>
      <c r="E302" s="310" t="s">
        <v>7038</v>
      </c>
      <c r="F302" s="1041">
        <v>1.0</v>
      </c>
      <c r="G302" s="254">
        <v>1008.0</v>
      </c>
      <c r="H302" s="581">
        <f t="shared" si="6"/>
        <v>1008</v>
      </c>
      <c r="I302" s="266" t="s">
        <v>43</v>
      </c>
      <c r="J302" s="592" t="s">
        <v>1324</v>
      </c>
      <c r="K302" s="258">
        <v>42886.0</v>
      </c>
      <c r="L302" s="258">
        <v>42881.0</v>
      </c>
      <c r="M302" s="256" t="s">
        <v>3593</v>
      </c>
      <c r="N302" s="765" t="s">
        <v>7039</v>
      </c>
      <c r="O302" s="339"/>
      <c r="P302" s="637">
        <v>26544.0</v>
      </c>
      <c r="Q302" s="310" t="s">
        <v>2080</v>
      </c>
      <c r="R302" s="253"/>
      <c r="S302" s="810">
        <v>42978.0</v>
      </c>
      <c r="T302" s="769">
        <v>42881.0</v>
      </c>
      <c r="U302" s="765" t="s">
        <v>7040</v>
      </c>
      <c r="V302" s="770">
        <v>26544.0</v>
      </c>
      <c r="W302" s="258">
        <v>42979.0</v>
      </c>
      <c r="X302" s="765" t="s">
        <v>7041</v>
      </c>
      <c r="Y302" s="253"/>
      <c r="Z302" s="765" t="s">
        <v>7042</v>
      </c>
      <c r="AA302" s="262">
        <v>30240.0</v>
      </c>
      <c r="AB302" s="765" t="s">
        <v>7043</v>
      </c>
      <c r="AC302" s="253" t="s">
        <v>377</v>
      </c>
    </row>
    <row r="303" ht="15.75" customHeight="1">
      <c r="A303" s="776">
        <v>42871.0</v>
      </c>
      <c r="B303" s="597" t="s">
        <v>101</v>
      </c>
      <c r="C303" s="765" t="s">
        <v>7044</v>
      </c>
      <c r="D303" s="765" t="s">
        <v>7045</v>
      </c>
      <c r="E303" s="765" t="s">
        <v>7046</v>
      </c>
      <c r="F303" s="1041">
        <v>2.0</v>
      </c>
      <c r="G303" s="254">
        <v>1118.0</v>
      </c>
      <c r="H303" s="1061">
        <f t="shared" si="6"/>
        <v>2236</v>
      </c>
      <c r="I303" s="266" t="s">
        <v>3474</v>
      </c>
      <c r="J303" s="363" t="s">
        <v>3739</v>
      </c>
      <c r="K303" s="258">
        <v>42915.0</v>
      </c>
      <c r="L303" s="258">
        <v>42909.0</v>
      </c>
      <c r="M303" s="403" t="s">
        <v>1439</v>
      </c>
      <c r="N303" s="252" t="s">
        <v>7047</v>
      </c>
      <c r="O303" s="339"/>
      <c r="P303" s="637">
        <v>63103.0</v>
      </c>
      <c r="Q303" s="320" t="s">
        <v>1976</v>
      </c>
      <c r="R303" s="253"/>
      <c r="S303" s="810">
        <v>42947.0</v>
      </c>
      <c r="T303" s="771">
        <v>42908.0</v>
      </c>
      <c r="U303" s="310" t="s">
        <v>7048</v>
      </c>
      <c r="V303" s="774">
        <v>63103.0</v>
      </c>
      <c r="W303" s="258">
        <v>42951.0</v>
      </c>
      <c r="X303" s="252" t="s">
        <v>7049</v>
      </c>
      <c r="Y303" s="253">
        <v>5.510824815E9</v>
      </c>
      <c r="Z303" s="1037"/>
      <c r="AA303" s="1037"/>
      <c r="AB303" s="766"/>
      <c r="AC303" s="253" t="s">
        <v>284</v>
      </c>
    </row>
    <row r="304" ht="15.75" customHeight="1">
      <c r="A304" s="776">
        <v>42871.0</v>
      </c>
      <c r="B304" s="597" t="s">
        <v>1745</v>
      </c>
      <c r="C304" s="765" t="s">
        <v>7050</v>
      </c>
      <c r="D304" s="765" t="s">
        <v>7051</v>
      </c>
      <c r="E304" s="765" t="s">
        <v>7052</v>
      </c>
      <c r="F304" s="1041">
        <v>1.0</v>
      </c>
      <c r="G304" s="254">
        <v>72.0</v>
      </c>
      <c r="H304" s="581">
        <f t="shared" si="6"/>
        <v>72</v>
      </c>
      <c r="I304" s="1031" t="s">
        <v>3474</v>
      </c>
      <c r="J304" s="363" t="s">
        <v>7053</v>
      </c>
      <c r="K304" s="258">
        <v>42901.0</v>
      </c>
      <c r="L304" s="258">
        <v>42894.0</v>
      </c>
      <c r="M304" s="266"/>
      <c r="N304" s="765" t="s">
        <v>7054</v>
      </c>
      <c r="O304" s="339"/>
      <c r="P304" s="816"/>
      <c r="Q304" s="320"/>
      <c r="R304" s="253"/>
      <c r="S304" s="1044"/>
      <c r="T304" s="765" t="s">
        <v>7054</v>
      </c>
      <c r="U304" s="765"/>
      <c r="V304" s="765"/>
      <c r="W304" s="253"/>
      <c r="X304" s="252" t="s">
        <v>7055</v>
      </c>
      <c r="Y304" s="253">
        <v>4.13682964E8</v>
      </c>
      <c r="Z304" s="1037"/>
      <c r="AA304" s="1037"/>
      <c r="AB304" s="766"/>
      <c r="AC304" s="253" t="s">
        <v>284</v>
      </c>
    </row>
    <row r="305" ht="15.75" customHeight="1">
      <c r="A305" s="776">
        <v>42871.0</v>
      </c>
      <c r="B305" s="597" t="s">
        <v>101</v>
      </c>
      <c r="C305" s="765" t="s">
        <v>7044</v>
      </c>
      <c r="D305" s="765" t="s">
        <v>7045</v>
      </c>
      <c r="E305" s="765" t="s">
        <v>7056</v>
      </c>
      <c r="F305" s="1041">
        <v>2.0</v>
      </c>
      <c r="G305" s="254">
        <v>70.0</v>
      </c>
      <c r="H305" s="1061">
        <f t="shared" si="6"/>
        <v>140</v>
      </c>
      <c r="I305" s="266" t="s">
        <v>3474</v>
      </c>
      <c r="J305" s="363" t="s">
        <v>3739</v>
      </c>
      <c r="K305" s="258">
        <v>42915.0</v>
      </c>
      <c r="L305" s="258">
        <v>42892.0</v>
      </c>
      <c r="M305" s="369" t="s">
        <v>6225</v>
      </c>
      <c r="N305" s="252" t="s">
        <v>7057</v>
      </c>
      <c r="O305" s="339"/>
      <c r="P305" s="637">
        <v>3742.0</v>
      </c>
      <c r="Q305" s="320" t="s">
        <v>6228</v>
      </c>
      <c r="R305" s="253"/>
      <c r="S305" s="1044"/>
      <c r="T305" s="769">
        <v>42888.0</v>
      </c>
      <c r="U305" s="765" t="s">
        <v>7058</v>
      </c>
      <c r="V305" s="770">
        <v>3742.0</v>
      </c>
      <c r="W305" s="601">
        <v>42887.0</v>
      </c>
      <c r="X305" s="252" t="s">
        <v>7049</v>
      </c>
      <c r="Y305" s="253">
        <v>5.510824815E9</v>
      </c>
      <c r="Z305" s="1037"/>
      <c r="AA305" s="1037"/>
      <c r="AB305" s="766"/>
      <c r="AC305" s="253" t="s">
        <v>284</v>
      </c>
    </row>
    <row r="306" ht="15.75" customHeight="1">
      <c r="A306" s="796">
        <v>42871.0</v>
      </c>
      <c r="B306" s="804" t="s">
        <v>1745</v>
      </c>
      <c r="C306" s="789" t="s">
        <v>7050</v>
      </c>
      <c r="D306" s="789" t="s">
        <v>7051</v>
      </c>
      <c r="E306" s="789" t="s">
        <v>7059</v>
      </c>
      <c r="F306" s="1066">
        <v>1.0</v>
      </c>
      <c r="G306" s="280">
        <v>72.0</v>
      </c>
      <c r="H306" s="858">
        <v>0.0</v>
      </c>
      <c r="I306" s="797" t="s">
        <v>3474</v>
      </c>
      <c r="J306" s="1069" t="s">
        <v>71</v>
      </c>
      <c r="K306" s="291">
        <v>42901.0</v>
      </c>
      <c r="L306" s="854"/>
      <c r="M306" s="797"/>
      <c r="N306" s="789" t="s">
        <v>7060</v>
      </c>
      <c r="O306" s="1045"/>
      <c r="P306" s="1067"/>
      <c r="Q306" s="800"/>
      <c r="R306" s="279"/>
      <c r="S306" s="1070"/>
      <c r="T306" s="787"/>
      <c r="U306" s="787"/>
      <c r="V306" s="787"/>
      <c r="W306" s="1047"/>
      <c r="X306" s="1047"/>
      <c r="Y306" s="1047"/>
      <c r="Z306" s="1047"/>
      <c r="AA306" s="1047"/>
      <c r="AB306" s="787"/>
      <c r="AC306" s="253" t="s">
        <v>3617</v>
      </c>
    </row>
    <row r="307" ht="15.75" customHeight="1">
      <c r="A307" s="796">
        <v>42871.0</v>
      </c>
      <c r="B307" s="804" t="s">
        <v>1745</v>
      </c>
      <c r="C307" s="789" t="s">
        <v>7050</v>
      </c>
      <c r="D307" s="789" t="s">
        <v>7051</v>
      </c>
      <c r="E307" s="789" t="s">
        <v>7061</v>
      </c>
      <c r="F307" s="899">
        <v>1.0</v>
      </c>
      <c r="G307" s="280">
        <v>25.0</v>
      </c>
      <c r="H307" s="858">
        <v>0.0</v>
      </c>
      <c r="I307" s="282" t="s">
        <v>3474</v>
      </c>
      <c r="J307" s="1069" t="s">
        <v>71</v>
      </c>
      <c r="K307" s="291">
        <v>42901.0</v>
      </c>
      <c r="L307" s="854"/>
      <c r="M307" s="797"/>
      <c r="N307" s="789" t="s">
        <v>7060</v>
      </c>
      <c r="O307" s="1045"/>
      <c r="P307" s="1067"/>
      <c r="Q307" s="800"/>
      <c r="R307" s="279"/>
      <c r="S307" s="1070"/>
      <c r="T307" s="787"/>
      <c r="U307" s="787"/>
      <c r="V307" s="787"/>
      <c r="W307" s="1047"/>
      <c r="X307" s="1047"/>
      <c r="Y307" s="1047"/>
      <c r="Z307" s="1047"/>
      <c r="AA307" s="1047"/>
      <c r="AB307" s="787"/>
      <c r="AC307" s="253" t="s">
        <v>3617</v>
      </c>
    </row>
    <row r="308" ht="15.75" customHeight="1">
      <c r="A308" s="796">
        <v>42871.0</v>
      </c>
      <c r="B308" s="804" t="s">
        <v>1745</v>
      </c>
      <c r="C308" s="789" t="s">
        <v>7050</v>
      </c>
      <c r="D308" s="789" t="s">
        <v>7051</v>
      </c>
      <c r="E308" s="789" t="s">
        <v>7062</v>
      </c>
      <c r="F308" s="1066">
        <v>1.0</v>
      </c>
      <c r="G308" s="280">
        <v>22.0</v>
      </c>
      <c r="H308" s="858">
        <v>0.0</v>
      </c>
      <c r="I308" s="797" t="s">
        <v>3474</v>
      </c>
      <c r="J308" s="279" t="s">
        <v>71</v>
      </c>
      <c r="K308" s="291">
        <v>42901.0</v>
      </c>
      <c r="L308" s="854"/>
      <c r="M308" s="282"/>
      <c r="N308" s="789" t="s">
        <v>7060</v>
      </c>
      <c r="O308" s="1045"/>
      <c r="P308" s="1067"/>
      <c r="Q308" s="800"/>
      <c r="R308" s="279"/>
      <c r="S308" s="1070"/>
      <c r="T308" s="787"/>
      <c r="U308" s="787"/>
      <c r="V308" s="787"/>
      <c r="W308" s="1047"/>
      <c r="X308" s="1047"/>
      <c r="Y308" s="1047"/>
      <c r="Z308" s="1047"/>
      <c r="AA308" s="1047"/>
      <c r="AB308" s="787"/>
      <c r="AC308" s="253" t="s">
        <v>3617</v>
      </c>
    </row>
    <row r="309" ht="15.75" customHeight="1">
      <c r="A309" s="776">
        <v>42871.0</v>
      </c>
      <c r="B309" s="597" t="s">
        <v>1745</v>
      </c>
      <c r="C309" s="765" t="s">
        <v>7050</v>
      </c>
      <c r="D309" s="765" t="s">
        <v>7051</v>
      </c>
      <c r="E309" s="765" t="s">
        <v>700</v>
      </c>
      <c r="F309" s="1041">
        <v>1.0</v>
      </c>
      <c r="G309" s="254">
        <v>25.0</v>
      </c>
      <c r="H309" s="1061">
        <f t="shared" ref="H309:H344" si="7">G309*F309</f>
        <v>25</v>
      </c>
      <c r="I309" s="266" t="s">
        <v>3474</v>
      </c>
      <c r="J309" s="253" t="s">
        <v>71</v>
      </c>
      <c r="K309" s="258">
        <v>42901.0</v>
      </c>
      <c r="L309" s="630"/>
      <c r="M309" s="266"/>
      <c r="N309" s="765"/>
      <c r="O309" s="339"/>
      <c r="P309" s="637">
        <v>0.0</v>
      </c>
      <c r="Q309" s="310"/>
      <c r="R309" s="253"/>
      <c r="S309" s="1044"/>
      <c r="T309" s="766"/>
      <c r="U309" s="766"/>
      <c r="V309" s="766"/>
      <c r="W309" s="1037"/>
      <c r="X309" s="1037"/>
      <c r="Y309" s="1037"/>
      <c r="Z309" s="1037"/>
      <c r="AA309" s="1037"/>
      <c r="AB309" s="766"/>
      <c r="AC309" s="253" t="s">
        <v>284</v>
      </c>
    </row>
    <row r="310" ht="15.75" customHeight="1">
      <c r="A310" s="776">
        <v>42872.0</v>
      </c>
      <c r="B310" s="597" t="s">
        <v>631</v>
      </c>
      <c r="C310" s="765" t="s">
        <v>7063</v>
      </c>
      <c r="D310" s="765" t="s">
        <v>7064</v>
      </c>
      <c r="E310" s="765" t="s">
        <v>7065</v>
      </c>
      <c r="F310" s="1041">
        <v>1.0</v>
      </c>
      <c r="G310" s="254">
        <v>155.4</v>
      </c>
      <c r="H310" s="1061">
        <f t="shared" si="7"/>
        <v>155.4</v>
      </c>
      <c r="I310" s="266" t="s">
        <v>171</v>
      </c>
      <c r="J310" s="1056" t="s">
        <v>90</v>
      </c>
      <c r="K310" s="258">
        <v>42879.0</v>
      </c>
      <c r="L310" s="258">
        <v>42879.0</v>
      </c>
      <c r="M310" s="266" t="s">
        <v>90</v>
      </c>
      <c r="N310" s="252" t="s">
        <v>7066</v>
      </c>
      <c r="O310" s="581">
        <v>134.4</v>
      </c>
      <c r="P310" s="816"/>
      <c r="Q310" s="320" t="s">
        <v>6081</v>
      </c>
      <c r="R310" s="253"/>
      <c r="S310" s="1044"/>
      <c r="T310" s="771">
        <v>42879.0</v>
      </c>
      <c r="U310" s="252" t="s">
        <v>7067</v>
      </c>
      <c r="V310" s="774">
        <v>14093.0</v>
      </c>
      <c r="W310" s="601">
        <v>42906.0</v>
      </c>
      <c r="X310" s="765" t="s">
        <v>7068</v>
      </c>
      <c r="Y310" s="253"/>
      <c r="Z310" s="602" t="s">
        <v>7069</v>
      </c>
      <c r="AA310" s="262">
        <v>15576.0</v>
      </c>
      <c r="AB310" s="765" t="s">
        <v>7070</v>
      </c>
      <c r="AC310" s="253" t="s">
        <v>377</v>
      </c>
    </row>
    <row r="311" ht="15.75" customHeight="1">
      <c r="A311" s="776">
        <v>42872.0</v>
      </c>
      <c r="B311" s="597" t="s">
        <v>631</v>
      </c>
      <c r="C311" s="765" t="s">
        <v>7063</v>
      </c>
      <c r="D311" s="765" t="s">
        <v>7064</v>
      </c>
      <c r="E311" s="765" t="s">
        <v>7071</v>
      </c>
      <c r="F311" s="1041">
        <v>2.0</v>
      </c>
      <c r="G311" s="254">
        <v>180.6</v>
      </c>
      <c r="H311" s="1061">
        <f t="shared" si="7"/>
        <v>361.2</v>
      </c>
      <c r="I311" s="266" t="s">
        <v>171</v>
      </c>
      <c r="J311" s="1056" t="s">
        <v>90</v>
      </c>
      <c r="K311" s="258">
        <v>42879.0</v>
      </c>
      <c r="L311" s="258">
        <v>42879.0</v>
      </c>
      <c r="M311" s="266" t="s">
        <v>90</v>
      </c>
      <c r="N311" s="252" t="s">
        <v>7066</v>
      </c>
      <c r="O311" s="581">
        <v>333.9</v>
      </c>
      <c r="P311" s="816"/>
      <c r="Q311" s="320" t="s">
        <v>6081</v>
      </c>
      <c r="R311" s="253"/>
      <c r="S311" s="1044"/>
      <c r="T311" s="771">
        <v>42879.0</v>
      </c>
      <c r="U311" s="252" t="s">
        <v>7067</v>
      </c>
      <c r="V311" s="765" t="s">
        <v>7072</v>
      </c>
      <c r="W311" s="601">
        <v>42906.0</v>
      </c>
      <c r="X311" s="765" t="s">
        <v>7068</v>
      </c>
      <c r="Y311" s="253"/>
      <c r="Z311" s="602" t="s">
        <v>7069</v>
      </c>
      <c r="AA311" s="253" t="s">
        <v>7073</v>
      </c>
      <c r="AB311" s="765" t="s">
        <v>7070</v>
      </c>
      <c r="AC311" s="253" t="s">
        <v>377</v>
      </c>
    </row>
    <row r="312" ht="15.75" customHeight="1">
      <c r="A312" s="764">
        <v>42873.0</v>
      </c>
      <c r="B312" s="1004" t="s">
        <v>77</v>
      </c>
      <c r="C312" s="765">
        <v>430.0</v>
      </c>
      <c r="D312" s="252" t="s">
        <v>7074</v>
      </c>
      <c r="E312" s="252" t="s">
        <v>7075</v>
      </c>
      <c r="F312" s="307">
        <v>50.0</v>
      </c>
      <c r="G312" s="254">
        <v>5.0</v>
      </c>
      <c r="H312" s="581">
        <f t="shared" si="7"/>
        <v>250</v>
      </c>
      <c r="I312" s="266" t="s">
        <v>43</v>
      </c>
      <c r="J312" s="269" t="s">
        <v>1924</v>
      </c>
      <c r="K312" s="258">
        <v>42929.0</v>
      </c>
      <c r="L312" s="886">
        <v>42930.0</v>
      </c>
      <c r="M312" s="253" t="s">
        <v>2039</v>
      </c>
      <c r="N312" s="252" t="s">
        <v>7076</v>
      </c>
      <c r="O312" s="339"/>
      <c r="P312" s="637">
        <v>3045.0</v>
      </c>
      <c r="Q312" s="1004" t="s">
        <v>2194</v>
      </c>
      <c r="R312" s="253"/>
      <c r="S312" s="810">
        <v>42932.0</v>
      </c>
      <c r="T312" s="769">
        <v>42922.0</v>
      </c>
      <c r="U312" s="765" t="s">
        <v>7077</v>
      </c>
      <c r="V312" s="770">
        <v>3045.0</v>
      </c>
      <c r="W312" s="258">
        <v>42937.0</v>
      </c>
      <c r="X312" s="310" t="s">
        <v>7078</v>
      </c>
      <c r="Y312" s="1037"/>
      <c r="Z312" s="1037"/>
      <c r="AA312" s="1037"/>
      <c r="AB312" s="766"/>
      <c r="AC312" s="253" t="s">
        <v>284</v>
      </c>
    </row>
    <row r="313" ht="15.75" customHeight="1">
      <c r="A313" s="764">
        <v>42873.0</v>
      </c>
      <c r="B313" s="597" t="s">
        <v>6167</v>
      </c>
      <c r="C313" s="765">
        <v>7.000129798E9</v>
      </c>
      <c r="D313" s="765" t="s">
        <v>7079</v>
      </c>
      <c r="E313" s="765" t="s">
        <v>4095</v>
      </c>
      <c r="F313" s="1041">
        <v>1.0</v>
      </c>
      <c r="G313" s="254">
        <v>485.0</v>
      </c>
      <c r="H313" s="581">
        <f t="shared" si="7"/>
        <v>485</v>
      </c>
      <c r="I313" s="266" t="s">
        <v>43</v>
      </c>
      <c r="J313" s="333" t="s">
        <v>3623</v>
      </c>
      <c r="K313" s="258">
        <v>42887.0</v>
      </c>
      <c r="L313" s="258">
        <v>42886.0</v>
      </c>
      <c r="M313" s="266" t="s">
        <v>3593</v>
      </c>
      <c r="N313" s="252" t="s">
        <v>7080</v>
      </c>
      <c r="O313" s="339"/>
      <c r="P313" s="637">
        <v>14163.0</v>
      </c>
      <c r="Q313" s="320" t="s">
        <v>2080</v>
      </c>
      <c r="R313" s="253"/>
      <c r="S313" s="810">
        <v>42978.0</v>
      </c>
      <c r="T313" s="769">
        <v>42881.0</v>
      </c>
      <c r="U313" s="765" t="s">
        <v>7081</v>
      </c>
      <c r="V313" s="770">
        <v>14163.0</v>
      </c>
      <c r="W313" s="258">
        <v>42979.0</v>
      </c>
      <c r="X313" s="252" t="s">
        <v>7082</v>
      </c>
      <c r="Y313" s="253" t="s">
        <v>7083</v>
      </c>
      <c r="Z313" s="1037"/>
      <c r="AA313" s="1037"/>
      <c r="AB313" s="766"/>
      <c r="AC313" s="253" t="s">
        <v>284</v>
      </c>
    </row>
    <row r="314" ht="15.75" customHeight="1">
      <c r="A314" s="601">
        <v>42873.0</v>
      </c>
      <c r="B314" s="597" t="s">
        <v>6167</v>
      </c>
      <c r="C314" s="765">
        <v>7.000129798E9</v>
      </c>
      <c r="D314" s="765" t="s">
        <v>7079</v>
      </c>
      <c r="E314" s="765" t="s">
        <v>4657</v>
      </c>
      <c r="F314" s="1041">
        <v>3.0</v>
      </c>
      <c r="G314" s="254">
        <v>110.0</v>
      </c>
      <c r="H314" s="581">
        <f t="shared" si="7"/>
        <v>330</v>
      </c>
      <c r="I314" s="266" t="s">
        <v>43</v>
      </c>
      <c r="J314" s="777" t="s">
        <v>3623</v>
      </c>
      <c r="K314" s="258">
        <v>42887.0</v>
      </c>
      <c r="L314" s="258">
        <v>42886.0</v>
      </c>
      <c r="M314" s="266" t="s">
        <v>3593</v>
      </c>
      <c r="N314" s="252" t="s">
        <v>7080</v>
      </c>
      <c r="O314" s="339"/>
      <c r="P314" s="637">
        <v>9645.0</v>
      </c>
      <c r="Q314" s="310" t="s">
        <v>2080</v>
      </c>
      <c r="R314" s="253"/>
      <c r="S314" s="810">
        <v>42978.0</v>
      </c>
      <c r="T314" s="769">
        <v>42881.0</v>
      </c>
      <c r="U314" s="765" t="s">
        <v>7084</v>
      </c>
      <c r="V314" s="770">
        <v>9645.0</v>
      </c>
      <c r="W314" s="258">
        <v>42979.0</v>
      </c>
      <c r="X314" s="252" t="s">
        <v>7082</v>
      </c>
      <c r="Y314" s="253" t="s">
        <v>7083</v>
      </c>
      <c r="Z314" s="1037"/>
      <c r="AA314" s="1037"/>
      <c r="AB314" s="766"/>
      <c r="AC314" s="253" t="s">
        <v>284</v>
      </c>
    </row>
    <row r="315" ht="15.75" customHeight="1">
      <c r="A315" s="258">
        <v>42873.0</v>
      </c>
      <c r="B315" s="597" t="s">
        <v>1204</v>
      </c>
      <c r="C315" s="765" t="s">
        <v>6974</v>
      </c>
      <c r="D315" s="765" t="s">
        <v>7085</v>
      </c>
      <c r="E315" s="765" t="s">
        <v>6976</v>
      </c>
      <c r="F315" s="1041">
        <v>10.0</v>
      </c>
      <c r="G315" s="254">
        <v>17.5</v>
      </c>
      <c r="H315" s="581">
        <f t="shared" si="7"/>
        <v>175</v>
      </c>
      <c r="I315" s="266" t="s">
        <v>43</v>
      </c>
      <c r="J315" s="777" t="s">
        <v>6037</v>
      </c>
      <c r="K315" s="258">
        <v>42880.0</v>
      </c>
      <c r="L315" s="258">
        <v>42878.0</v>
      </c>
      <c r="M315" s="403" t="s">
        <v>2508</v>
      </c>
      <c r="N315" s="252" t="s">
        <v>7086</v>
      </c>
      <c r="O315" s="339"/>
      <c r="P315" s="637">
        <v>4452.0</v>
      </c>
      <c r="Q315" s="310" t="s">
        <v>4491</v>
      </c>
      <c r="R315" s="253"/>
      <c r="S315" s="810">
        <v>42891.0</v>
      </c>
      <c r="T315" s="769">
        <v>42877.0</v>
      </c>
      <c r="U315" s="765" t="s">
        <v>7087</v>
      </c>
      <c r="V315" s="770">
        <v>6342.0</v>
      </c>
      <c r="W315" s="258">
        <v>42891.0</v>
      </c>
      <c r="X315" s="252" t="s">
        <v>7088</v>
      </c>
      <c r="Y315" s="1037"/>
      <c r="Z315" s="1037"/>
      <c r="AA315" s="1037"/>
      <c r="AB315" s="766"/>
      <c r="AC315" s="253" t="s">
        <v>284</v>
      </c>
    </row>
    <row r="316" ht="15.75" customHeight="1">
      <c r="A316" s="776">
        <v>42873.0</v>
      </c>
      <c r="B316" s="597" t="s">
        <v>1204</v>
      </c>
      <c r="C316" s="765" t="s">
        <v>7089</v>
      </c>
      <c r="D316" s="765" t="s">
        <v>7090</v>
      </c>
      <c r="E316" s="765" t="s">
        <v>7091</v>
      </c>
      <c r="F316" s="307">
        <v>10.0</v>
      </c>
      <c r="G316" s="254">
        <v>11.5</v>
      </c>
      <c r="H316" s="581">
        <f t="shared" si="7"/>
        <v>115</v>
      </c>
      <c r="I316" s="266" t="s">
        <v>43</v>
      </c>
      <c r="J316" s="403" t="s">
        <v>6037</v>
      </c>
      <c r="K316" s="258">
        <v>42880.0</v>
      </c>
      <c r="L316" s="258">
        <v>42878.0</v>
      </c>
      <c r="M316" s="403" t="s">
        <v>2508</v>
      </c>
      <c r="N316" s="252" t="s">
        <v>7086</v>
      </c>
      <c r="O316" s="339"/>
      <c r="P316" s="637">
        <v>1890.0</v>
      </c>
      <c r="Q316" s="310" t="s">
        <v>4491</v>
      </c>
      <c r="R316" s="253"/>
      <c r="S316" s="810">
        <v>42891.0</v>
      </c>
      <c r="T316" s="769">
        <v>42877.0</v>
      </c>
      <c r="U316" s="765" t="s">
        <v>7087</v>
      </c>
      <c r="V316" s="765" t="s">
        <v>7092</v>
      </c>
      <c r="W316" s="258">
        <v>42891.0</v>
      </c>
      <c r="X316" s="252" t="s">
        <v>7088</v>
      </c>
      <c r="Y316" s="1037"/>
      <c r="Z316" s="1037"/>
      <c r="AA316" s="1037"/>
      <c r="AB316" s="766"/>
      <c r="AC316" s="253" t="s">
        <v>284</v>
      </c>
    </row>
    <row r="317" ht="15.75" customHeight="1">
      <c r="A317" s="776">
        <v>42874.0</v>
      </c>
      <c r="B317" s="597" t="s">
        <v>101</v>
      </c>
      <c r="C317" s="765"/>
      <c r="D317" s="765" t="s">
        <v>7093</v>
      </c>
      <c r="E317" s="765" t="s">
        <v>7094</v>
      </c>
      <c r="F317" s="1041">
        <v>1.0</v>
      </c>
      <c r="G317" s="254">
        <v>509.0</v>
      </c>
      <c r="H317" s="581">
        <f t="shared" si="7"/>
        <v>509</v>
      </c>
      <c r="I317" s="266" t="s">
        <v>3474</v>
      </c>
      <c r="J317" s="369" t="s">
        <v>3739</v>
      </c>
      <c r="K317" s="258">
        <v>42915.0</v>
      </c>
      <c r="L317" s="258">
        <v>42901.0</v>
      </c>
      <c r="M317" s="333" t="s">
        <v>2028</v>
      </c>
      <c r="N317" s="252" t="s">
        <v>7095</v>
      </c>
      <c r="O317" s="267">
        <v>480.9</v>
      </c>
      <c r="P317" s="637">
        <v>14524.0</v>
      </c>
      <c r="Q317" s="340" t="s">
        <v>2030</v>
      </c>
      <c r="R317" s="253"/>
      <c r="S317" s="810">
        <v>42952.0</v>
      </c>
      <c r="T317" s="769">
        <v>42901.0</v>
      </c>
      <c r="U317" s="765" t="s">
        <v>7096</v>
      </c>
      <c r="V317" s="770">
        <v>14524.0</v>
      </c>
      <c r="W317" s="258">
        <v>42955.0</v>
      </c>
      <c r="X317" s="252" t="s">
        <v>7049</v>
      </c>
      <c r="Y317" s="253">
        <v>5.510824815E9</v>
      </c>
      <c r="Z317" s="1037"/>
      <c r="AA317" s="1037"/>
      <c r="AB317" s="766"/>
      <c r="AC317" s="253" t="s">
        <v>284</v>
      </c>
    </row>
    <row r="318" ht="15.75" customHeight="1">
      <c r="A318" s="776">
        <v>42874.0</v>
      </c>
      <c r="B318" s="1004" t="s">
        <v>6246</v>
      </c>
      <c r="C318" s="765" t="s">
        <v>7097</v>
      </c>
      <c r="D318" s="310" t="s">
        <v>7098</v>
      </c>
      <c r="E318" s="310" t="s">
        <v>6249</v>
      </c>
      <c r="F318" s="808">
        <v>13.0</v>
      </c>
      <c r="G318" s="254">
        <v>58.0</v>
      </c>
      <c r="H318" s="581">
        <f t="shared" si="7"/>
        <v>754</v>
      </c>
      <c r="I318" s="266" t="s">
        <v>43</v>
      </c>
      <c r="J318" s="403" t="s">
        <v>6625</v>
      </c>
      <c r="K318" s="258">
        <v>42887.0</v>
      </c>
      <c r="L318" s="258">
        <v>42886.0</v>
      </c>
      <c r="M318" s="256" t="s">
        <v>90</v>
      </c>
      <c r="N318" s="252" t="s">
        <v>7099</v>
      </c>
      <c r="O318" s="267">
        <v>709.8</v>
      </c>
      <c r="P318" s="816"/>
      <c r="Q318" s="320" t="s">
        <v>6081</v>
      </c>
      <c r="R318" s="253"/>
      <c r="S318" s="810">
        <v>42947.0</v>
      </c>
      <c r="T318" s="769">
        <v>42886.0</v>
      </c>
      <c r="U318" s="765" t="s">
        <v>7100</v>
      </c>
      <c r="V318" s="770">
        <v>43165.0</v>
      </c>
      <c r="W318" s="601">
        <v>42930.0</v>
      </c>
      <c r="X318" s="252" t="s">
        <v>7101</v>
      </c>
      <c r="Y318" s="253" t="s">
        <v>7102</v>
      </c>
      <c r="Z318" s="1037"/>
      <c r="AA318" s="1037"/>
      <c r="AB318" s="766"/>
      <c r="AC318" s="253" t="s">
        <v>284</v>
      </c>
    </row>
    <row r="319" ht="15.75" customHeight="1">
      <c r="A319" s="776">
        <v>42874.0</v>
      </c>
      <c r="B319" s="1004" t="s">
        <v>6246</v>
      </c>
      <c r="C319" s="765" t="s">
        <v>7097</v>
      </c>
      <c r="D319" s="765" t="s">
        <v>7098</v>
      </c>
      <c r="E319" s="765" t="s">
        <v>6283</v>
      </c>
      <c r="F319" s="808">
        <v>15.0</v>
      </c>
      <c r="G319" s="254">
        <v>50.0</v>
      </c>
      <c r="H319" s="581">
        <f t="shared" si="7"/>
        <v>750</v>
      </c>
      <c r="I319" s="266" t="s">
        <v>43</v>
      </c>
      <c r="J319" s="403" t="s">
        <v>6625</v>
      </c>
      <c r="K319" s="258">
        <v>42887.0</v>
      </c>
      <c r="L319" s="258">
        <v>42886.0</v>
      </c>
      <c r="M319" s="266" t="s">
        <v>90</v>
      </c>
      <c r="N319" s="252" t="s">
        <v>7099</v>
      </c>
      <c r="O319" s="267">
        <v>724.5</v>
      </c>
      <c r="P319" s="816"/>
      <c r="Q319" s="320" t="s">
        <v>6081</v>
      </c>
      <c r="R319" s="253"/>
      <c r="S319" s="810">
        <v>42947.0</v>
      </c>
      <c r="T319" s="769">
        <v>42886.0</v>
      </c>
      <c r="U319" s="765" t="s">
        <v>7100</v>
      </c>
      <c r="V319" s="765" t="s">
        <v>7103</v>
      </c>
      <c r="W319" s="601">
        <v>42930.0</v>
      </c>
      <c r="X319" s="252" t="s">
        <v>7101</v>
      </c>
      <c r="Y319" s="253" t="s">
        <v>7102</v>
      </c>
      <c r="Z319" s="1037"/>
      <c r="AA319" s="1037"/>
      <c r="AB319" s="766"/>
      <c r="AC319" s="253" t="s">
        <v>284</v>
      </c>
    </row>
    <row r="320" ht="15.75" customHeight="1">
      <c r="A320" s="776">
        <v>42874.0</v>
      </c>
      <c r="B320" s="597" t="s">
        <v>101</v>
      </c>
      <c r="C320" s="765" t="s">
        <v>7104</v>
      </c>
      <c r="D320" s="252" t="s">
        <v>7105</v>
      </c>
      <c r="E320" s="252" t="s">
        <v>7106</v>
      </c>
      <c r="F320" s="307">
        <v>2.0</v>
      </c>
      <c r="G320" s="254">
        <v>322.0</v>
      </c>
      <c r="H320" s="581">
        <f t="shared" si="7"/>
        <v>644</v>
      </c>
      <c r="I320" s="266" t="s">
        <v>3474</v>
      </c>
      <c r="J320" s="369" t="s">
        <v>3739</v>
      </c>
      <c r="K320" s="258">
        <v>42888.0</v>
      </c>
      <c r="L320" s="258">
        <v>42881.0</v>
      </c>
      <c r="M320" s="333" t="s">
        <v>2028</v>
      </c>
      <c r="N320" s="252" t="s">
        <v>7107</v>
      </c>
      <c r="O320" s="267">
        <v>609.0</v>
      </c>
      <c r="P320" s="637">
        <v>18392.0</v>
      </c>
      <c r="Q320" s="340" t="s">
        <v>2030</v>
      </c>
      <c r="R320" s="253"/>
      <c r="S320" s="810">
        <v>42921.0</v>
      </c>
      <c r="T320" s="769">
        <v>42881.0</v>
      </c>
      <c r="U320" s="765" t="s">
        <v>6874</v>
      </c>
      <c r="V320" s="770">
        <v>30587.0</v>
      </c>
      <c r="W320" s="601">
        <v>42923.0</v>
      </c>
      <c r="X320" s="252" t="s">
        <v>6876</v>
      </c>
      <c r="Y320" s="253"/>
      <c r="Z320" s="1037"/>
      <c r="AA320" s="1037"/>
      <c r="AB320" s="766"/>
      <c r="AC320" s="253" t="s">
        <v>284</v>
      </c>
    </row>
    <row r="321" ht="15.75" customHeight="1">
      <c r="A321" s="776">
        <v>42874.0</v>
      </c>
      <c r="B321" s="422" t="s">
        <v>101</v>
      </c>
      <c r="C321" s="765" t="s">
        <v>7104</v>
      </c>
      <c r="D321" s="252" t="s">
        <v>7108</v>
      </c>
      <c r="E321" s="252" t="s">
        <v>3862</v>
      </c>
      <c r="F321" s="1041">
        <v>2.0</v>
      </c>
      <c r="G321" s="254">
        <v>9.0</v>
      </c>
      <c r="H321" s="581">
        <f t="shared" si="7"/>
        <v>18</v>
      </c>
      <c r="I321" s="266" t="s">
        <v>3474</v>
      </c>
      <c r="J321" s="369" t="s">
        <v>3739</v>
      </c>
      <c r="K321" s="258">
        <v>42888.0</v>
      </c>
      <c r="L321" s="258">
        <v>42881.0</v>
      </c>
      <c r="M321" s="403" t="s">
        <v>2028</v>
      </c>
      <c r="N321" s="252" t="s">
        <v>7107</v>
      </c>
      <c r="O321" s="267">
        <v>16.8</v>
      </c>
      <c r="P321" s="637">
        <v>508.0</v>
      </c>
      <c r="Q321" s="340" t="s">
        <v>2030</v>
      </c>
      <c r="R321" s="253"/>
      <c r="S321" s="810">
        <v>42921.0</v>
      </c>
      <c r="T321" s="769">
        <v>42881.0</v>
      </c>
      <c r="U321" s="765" t="s">
        <v>6874</v>
      </c>
      <c r="V321" s="765" t="s">
        <v>6875</v>
      </c>
      <c r="W321" s="601">
        <v>42923.0</v>
      </c>
      <c r="X321" s="252" t="s">
        <v>6876</v>
      </c>
      <c r="Y321" s="253"/>
      <c r="Z321" s="1037"/>
      <c r="AA321" s="1037"/>
      <c r="AB321" s="766"/>
      <c r="AC321" s="253" t="s">
        <v>284</v>
      </c>
    </row>
    <row r="322" ht="15.75" customHeight="1">
      <c r="A322" s="776">
        <v>42874.0</v>
      </c>
      <c r="B322" s="422" t="s">
        <v>101</v>
      </c>
      <c r="C322" s="765" t="s">
        <v>7104</v>
      </c>
      <c r="D322" s="252" t="s">
        <v>7109</v>
      </c>
      <c r="E322" s="252" t="s">
        <v>6612</v>
      </c>
      <c r="F322" s="1041">
        <v>2.0</v>
      </c>
      <c r="G322" s="325">
        <v>39.0</v>
      </c>
      <c r="H322" s="581">
        <f t="shared" si="7"/>
        <v>78</v>
      </c>
      <c r="I322" s="266" t="s">
        <v>3474</v>
      </c>
      <c r="J322" s="369" t="s">
        <v>3739</v>
      </c>
      <c r="K322" s="258">
        <v>42888.0</v>
      </c>
      <c r="L322" s="258">
        <v>42880.0</v>
      </c>
      <c r="M322" s="266" t="s">
        <v>2170</v>
      </c>
      <c r="N322" s="252" t="s">
        <v>7110</v>
      </c>
      <c r="O322" s="851"/>
      <c r="P322" s="637">
        <v>1991.0</v>
      </c>
      <c r="Q322" s="320" t="s">
        <v>2172</v>
      </c>
      <c r="R322" s="253"/>
      <c r="S322" s="581" t="s">
        <v>422</v>
      </c>
      <c r="T322" s="769">
        <v>42879.0</v>
      </c>
      <c r="U322" s="765" t="s">
        <v>7111</v>
      </c>
      <c r="V322" s="770">
        <v>1991.0</v>
      </c>
      <c r="W322" s="601">
        <v>42878.0</v>
      </c>
      <c r="X322" s="252" t="s">
        <v>6876</v>
      </c>
      <c r="Y322" s="253"/>
      <c r="Z322" s="1037"/>
      <c r="AA322" s="1037"/>
      <c r="AB322" s="766"/>
      <c r="AC322" s="253" t="s">
        <v>284</v>
      </c>
    </row>
    <row r="323" ht="15.75" customHeight="1">
      <c r="A323" s="776">
        <v>42877.0</v>
      </c>
      <c r="B323" s="597" t="s">
        <v>7112</v>
      </c>
      <c r="C323" s="765" t="s">
        <v>7113</v>
      </c>
      <c r="D323" s="765" t="s">
        <v>7114</v>
      </c>
      <c r="E323" s="765" t="s">
        <v>7115</v>
      </c>
      <c r="F323" s="1041">
        <v>23.0</v>
      </c>
      <c r="G323" s="325">
        <v>885.0</v>
      </c>
      <c r="H323" s="581">
        <f t="shared" si="7"/>
        <v>20355</v>
      </c>
      <c r="I323" s="266" t="s">
        <v>3874</v>
      </c>
      <c r="J323" s="363" t="s">
        <v>7116</v>
      </c>
      <c r="K323" s="258">
        <v>42922.0</v>
      </c>
      <c r="L323" s="258">
        <v>42916.0</v>
      </c>
      <c r="M323" s="266" t="s">
        <v>90</v>
      </c>
      <c r="N323" s="252" t="s">
        <v>7117</v>
      </c>
      <c r="O323" s="267">
        <v>18643.8</v>
      </c>
      <c r="P323" s="816"/>
      <c r="Q323" s="320" t="s">
        <v>6081</v>
      </c>
      <c r="R323" s="253"/>
      <c r="S323" s="1068"/>
      <c r="T323" s="769">
        <v>42916.0</v>
      </c>
      <c r="U323" s="765" t="s">
        <v>7118</v>
      </c>
      <c r="V323" s="770">
        <v>728930.0</v>
      </c>
      <c r="W323" s="601">
        <v>42955.0</v>
      </c>
      <c r="X323" s="252" t="s">
        <v>7119</v>
      </c>
      <c r="Y323" s="1037"/>
      <c r="Z323" s="1037"/>
      <c r="AA323" s="1037"/>
      <c r="AB323" s="766"/>
      <c r="AC323" s="253" t="s">
        <v>7120</v>
      </c>
    </row>
    <row r="324" ht="15.75" customHeight="1">
      <c r="A324" s="776">
        <v>42877.0</v>
      </c>
      <c r="B324" s="597" t="s">
        <v>7112</v>
      </c>
      <c r="C324" s="765" t="s">
        <v>7113</v>
      </c>
      <c r="D324" s="765" t="s">
        <v>7114</v>
      </c>
      <c r="E324" s="765" t="s">
        <v>7121</v>
      </c>
      <c r="F324" s="1041">
        <v>3.0</v>
      </c>
      <c r="G324" s="325">
        <v>1200.0</v>
      </c>
      <c r="H324" s="581">
        <f t="shared" si="7"/>
        <v>3600</v>
      </c>
      <c r="I324" s="266" t="s">
        <v>3874</v>
      </c>
      <c r="J324" s="363" t="s">
        <v>7116</v>
      </c>
      <c r="K324" s="258">
        <v>42922.0</v>
      </c>
      <c r="L324" s="258">
        <v>42916.0</v>
      </c>
      <c r="M324" s="266" t="s">
        <v>90</v>
      </c>
      <c r="N324" s="252" t="s">
        <v>7117</v>
      </c>
      <c r="O324" s="267">
        <v>3398.85</v>
      </c>
      <c r="P324" s="816"/>
      <c r="Q324" s="320" t="s">
        <v>6081</v>
      </c>
      <c r="R324" s="253"/>
      <c r="S324" s="1068"/>
      <c r="T324" s="769">
        <v>42916.0</v>
      </c>
      <c r="U324" s="765" t="s">
        <v>7118</v>
      </c>
      <c r="V324" s="765" t="s">
        <v>7122</v>
      </c>
      <c r="W324" s="601">
        <v>42955.0</v>
      </c>
      <c r="X324" s="252" t="s">
        <v>7119</v>
      </c>
      <c r="Y324" s="1037"/>
      <c r="Z324" s="1037"/>
      <c r="AA324" s="1037"/>
      <c r="AB324" s="766"/>
      <c r="AC324" s="253" t="s">
        <v>7120</v>
      </c>
    </row>
    <row r="325" ht="15.75" customHeight="1">
      <c r="A325" s="776">
        <v>42877.0</v>
      </c>
      <c r="B325" s="597" t="s">
        <v>7112</v>
      </c>
      <c r="C325" s="765" t="s">
        <v>7113</v>
      </c>
      <c r="D325" s="765" t="s">
        <v>7114</v>
      </c>
      <c r="E325" s="765" t="s">
        <v>3873</v>
      </c>
      <c r="F325" s="1041">
        <v>2.0</v>
      </c>
      <c r="G325" s="325">
        <v>420.0</v>
      </c>
      <c r="H325" s="581">
        <f t="shared" si="7"/>
        <v>840</v>
      </c>
      <c r="I325" s="266" t="s">
        <v>3874</v>
      </c>
      <c r="J325" s="363" t="s">
        <v>7116</v>
      </c>
      <c r="K325" s="258">
        <v>42922.0</v>
      </c>
      <c r="L325" s="258">
        <v>42916.0</v>
      </c>
      <c r="M325" s="266" t="s">
        <v>90</v>
      </c>
      <c r="N325" s="252" t="s">
        <v>7117</v>
      </c>
      <c r="O325" s="267">
        <v>791.7</v>
      </c>
      <c r="P325" s="816"/>
      <c r="Q325" s="320" t="s">
        <v>6081</v>
      </c>
      <c r="R325" s="253"/>
      <c r="S325" s="1068"/>
      <c r="T325" s="769">
        <v>42916.0</v>
      </c>
      <c r="U325" s="765" t="s">
        <v>7118</v>
      </c>
      <c r="V325" s="765" t="s">
        <v>7122</v>
      </c>
      <c r="W325" s="601">
        <v>42955.0</v>
      </c>
      <c r="X325" s="252" t="s">
        <v>7119</v>
      </c>
      <c r="Y325" s="1037"/>
      <c r="Z325" s="1037"/>
      <c r="AA325" s="1037"/>
      <c r="AB325" s="766"/>
      <c r="AC325" s="253" t="s">
        <v>7120</v>
      </c>
    </row>
    <row r="326" ht="15.75" customHeight="1">
      <c r="A326" s="776">
        <v>42877.0</v>
      </c>
      <c r="B326" s="597" t="s">
        <v>7112</v>
      </c>
      <c r="C326" s="765" t="s">
        <v>7113</v>
      </c>
      <c r="D326" s="765" t="s">
        <v>7114</v>
      </c>
      <c r="E326" s="765" t="s">
        <v>7123</v>
      </c>
      <c r="F326" s="1041">
        <v>240.0</v>
      </c>
      <c r="G326" s="325">
        <v>6.5</v>
      </c>
      <c r="H326" s="581">
        <f t="shared" si="7"/>
        <v>1560</v>
      </c>
      <c r="I326" s="266" t="s">
        <v>3874</v>
      </c>
      <c r="J326" s="363" t="s">
        <v>7116</v>
      </c>
      <c r="K326" s="258">
        <v>42922.0</v>
      </c>
      <c r="L326" s="258">
        <v>42916.0</v>
      </c>
      <c r="M326" s="266" t="s">
        <v>90</v>
      </c>
      <c r="N326" s="252" t="s">
        <v>7117</v>
      </c>
      <c r="O326" s="267">
        <v>1310.4</v>
      </c>
      <c r="P326" s="816"/>
      <c r="Q326" s="320" t="s">
        <v>6081</v>
      </c>
      <c r="R326" s="253"/>
      <c r="S326" s="1068"/>
      <c r="T326" s="769">
        <v>42916.0</v>
      </c>
      <c r="U326" s="765" t="s">
        <v>7118</v>
      </c>
      <c r="V326" s="765" t="s">
        <v>7122</v>
      </c>
      <c r="W326" s="601">
        <v>42955.0</v>
      </c>
      <c r="X326" s="252" t="s">
        <v>7119</v>
      </c>
      <c r="Y326" s="1037"/>
      <c r="Z326" s="1037"/>
      <c r="AA326" s="1037"/>
      <c r="AB326" s="766"/>
      <c r="AC326" s="253" t="s">
        <v>7120</v>
      </c>
    </row>
    <row r="327" ht="15.75" customHeight="1">
      <c r="A327" s="776">
        <v>42878.0</v>
      </c>
      <c r="B327" s="597" t="s">
        <v>101</v>
      </c>
      <c r="C327" s="765" t="s">
        <v>7124</v>
      </c>
      <c r="D327" s="765" t="s">
        <v>7125</v>
      </c>
      <c r="E327" s="765" t="s">
        <v>7126</v>
      </c>
      <c r="F327" s="1041">
        <v>20.0</v>
      </c>
      <c r="G327" s="254">
        <v>322.0</v>
      </c>
      <c r="H327" s="1071">
        <f t="shared" si="7"/>
        <v>6440</v>
      </c>
      <c r="I327" s="266" t="s">
        <v>3474</v>
      </c>
      <c r="J327" s="369" t="s">
        <v>3739</v>
      </c>
      <c r="K327" s="258">
        <v>42908.0</v>
      </c>
      <c r="L327" s="258">
        <v>42905.0</v>
      </c>
      <c r="M327" s="333" t="s">
        <v>2028</v>
      </c>
      <c r="N327" s="252" t="s">
        <v>7127</v>
      </c>
      <c r="O327" s="267">
        <v>6090.0</v>
      </c>
      <c r="P327" s="637">
        <v>183435.0</v>
      </c>
      <c r="Q327" s="340" t="s">
        <v>2030</v>
      </c>
      <c r="R327" s="253"/>
      <c r="S327" s="810">
        <v>42952.0</v>
      </c>
      <c r="T327" s="771">
        <v>42905.0</v>
      </c>
      <c r="U327" s="765" t="s">
        <v>7128</v>
      </c>
      <c r="V327" s="770">
        <v>183435.0</v>
      </c>
      <c r="W327" s="258">
        <v>42955.0</v>
      </c>
      <c r="X327" s="310" t="s">
        <v>7129</v>
      </c>
      <c r="Y327" s="253"/>
      <c r="Z327" s="1037"/>
      <c r="AA327" s="1037"/>
      <c r="AB327" s="766"/>
      <c r="AC327" s="253" t="s">
        <v>284</v>
      </c>
    </row>
    <row r="328" ht="15.75" customHeight="1">
      <c r="A328" s="776">
        <v>42878.0</v>
      </c>
      <c r="B328" s="597" t="s">
        <v>101</v>
      </c>
      <c r="C328" s="765" t="s">
        <v>7124</v>
      </c>
      <c r="D328" s="765" t="s">
        <v>7125</v>
      </c>
      <c r="E328" s="765" t="s">
        <v>7130</v>
      </c>
      <c r="F328" s="1041">
        <v>20.0</v>
      </c>
      <c r="G328" s="254">
        <v>61.0</v>
      </c>
      <c r="H328" s="1061">
        <f t="shared" si="7"/>
        <v>1220</v>
      </c>
      <c r="I328" s="266" t="s">
        <v>3474</v>
      </c>
      <c r="J328" s="369" t="s">
        <v>3739</v>
      </c>
      <c r="K328" s="258">
        <v>42908.0</v>
      </c>
      <c r="L328" s="258">
        <v>42905.0</v>
      </c>
      <c r="M328" s="266" t="s">
        <v>2170</v>
      </c>
      <c r="N328" s="252" t="s">
        <v>7131</v>
      </c>
      <c r="O328" s="851"/>
      <c r="P328" s="637">
        <v>30744.0</v>
      </c>
      <c r="Q328" s="320" t="s">
        <v>2172</v>
      </c>
      <c r="R328" s="253"/>
      <c r="S328" s="810">
        <v>42899.0</v>
      </c>
      <c r="T328" s="769">
        <v>42900.0</v>
      </c>
      <c r="U328" s="765" t="s">
        <v>7132</v>
      </c>
      <c r="V328" s="770">
        <v>91350.0</v>
      </c>
      <c r="W328" s="601">
        <v>42899.0</v>
      </c>
      <c r="X328" s="310" t="s">
        <v>7129</v>
      </c>
      <c r="Y328" s="253"/>
      <c r="Z328" s="1037"/>
      <c r="AA328" s="1037"/>
      <c r="AB328" s="766"/>
      <c r="AC328" s="253" t="s">
        <v>284</v>
      </c>
    </row>
    <row r="329" ht="15.75" customHeight="1">
      <c r="A329" s="776">
        <v>42878.0</v>
      </c>
      <c r="B329" s="597" t="s">
        <v>101</v>
      </c>
      <c r="C329" s="765" t="s">
        <v>7124</v>
      </c>
      <c r="D329" s="765" t="s">
        <v>7125</v>
      </c>
      <c r="E329" s="765" t="s">
        <v>7133</v>
      </c>
      <c r="F329" s="1041">
        <v>20.0</v>
      </c>
      <c r="G329" s="254">
        <v>105.0</v>
      </c>
      <c r="H329" s="1061">
        <f t="shared" si="7"/>
        <v>2100</v>
      </c>
      <c r="I329" s="266" t="s">
        <v>3474</v>
      </c>
      <c r="J329" s="369" t="s">
        <v>3739</v>
      </c>
      <c r="K329" s="258">
        <v>42908.0</v>
      </c>
      <c r="L329" s="258">
        <v>42905.0</v>
      </c>
      <c r="M329" s="266" t="s">
        <v>2170</v>
      </c>
      <c r="N329" s="252" t="s">
        <v>7131</v>
      </c>
      <c r="O329" s="851"/>
      <c r="P329" s="637">
        <v>60606.0</v>
      </c>
      <c r="Q329" s="320" t="s">
        <v>2172</v>
      </c>
      <c r="R329" s="253"/>
      <c r="S329" s="810">
        <v>42899.0</v>
      </c>
      <c r="T329" s="769">
        <v>42900.0</v>
      </c>
      <c r="U329" s="765" t="s">
        <v>7132</v>
      </c>
      <c r="V329" s="765" t="s">
        <v>7134</v>
      </c>
      <c r="W329" s="601">
        <v>42899.0</v>
      </c>
      <c r="X329" s="310" t="s">
        <v>7129</v>
      </c>
      <c r="Y329" s="253"/>
      <c r="Z329" s="1037"/>
      <c r="AA329" s="1037"/>
      <c r="AB329" s="766"/>
      <c r="AC329" s="253" t="s">
        <v>284</v>
      </c>
    </row>
    <row r="330" ht="15.75" customHeight="1">
      <c r="A330" s="764">
        <v>42879.0</v>
      </c>
      <c r="B330" s="597" t="s">
        <v>6167</v>
      </c>
      <c r="C330" s="765">
        <v>7.000129928E9</v>
      </c>
      <c r="D330" s="252" t="s">
        <v>7135</v>
      </c>
      <c r="E330" s="252" t="s">
        <v>3728</v>
      </c>
      <c r="F330" s="307">
        <v>7.0</v>
      </c>
      <c r="G330" s="254">
        <v>39.0</v>
      </c>
      <c r="H330" s="581">
        <f t="shared" si="7"/>
        <v>273</v>
      </c>
      <c r="I330" s="266" t="s">
        <v>43</v>
      </c>
      <c r="J330" s="403" t="s">
        <v>6278</v>
      </c>
      <c r="K330" s="258">
        <v>42901.0</v>
      </c>
      <c r="L330" s="258">
        <v>42898.0</v>
      </c>
      <c r="M330" s="266" t="s">
        <v>3593</v>
      </c>
      <c r="N330" s="765" t="s">
        <v>7136</v>
      </c>
      <c r="O330" s="339"/>
      <c r="P330" s="637">
        <v>7659.0</v>
      </c>
      <c r="Q330" s="310" t="s">
        <v>2080</v>
      </c>
      <c r="R330" s="253"/>
      <c r="S330" s="810">
        <v>42978.0</v>
      </c>
      <c r="T330" s="769">
        <v>42894.0</v>
      </c>
      <c r="U330" s="330" t="s">
        <v>7137</v>
      </c>
      <c r="V330" s="770">
        <v>130139.0</v>
      </c>
      <c r="W330" s="258">
        <v>42979.0</v>
      </c>
      <c r="X330" s="252" t="s">
        <v>7006</v>
      </c>
      <c r="Y330" s="1037"/>
      <c r="Z330" s="1037"/>
      <c r="AA330" s="1037"/>
      <c r="AB330" s="766"/>
      <c r="AC330" s="253" t="s">
        <v>284</v>
      </c>
    </row>
    <row r="331" ht="15.75" customHeight="1">
      <c r="A331" s="764">
        <v>42879.0</v>
      </c>
      <c r="B331" s="597" t="s">
        <v>6167</v>
      </c>
      <c r="C331" s="765">
        <v>7.000129928E9</v>
      </c>
      <c r="D331" s="252" t="s">
        <v>7135</v>
      </c>
      <c r="E331" s="252" t="s">
        <v>4649</v>
      </c>
      <c r="F331" s="1041">
        <v>7.0</v>
      </c>
      <c r="G331" s="254">
        <v>249.0</v>
      </c>
      <c r="H331" s="581">
        <f t="shared" si="7"/>
        <v>1743</v>
      </c>
      <c r="I331" s="266" t="s">
        <v>43</v>
      </c>
      <c r="J331" s="777" t="s">
        <v>6278</v>
      </c>
      <c r="K331" s="258">
        <v>42901.0</v>
      </c>
      <c r="L331" s="258">
        <v>42898.0</v>
      </c>
      <c r="M331" s="256" t="s">
        <v>3593</v>
      </c>
      <c r="N331" s="765" t="s">
        <v>7136</v>
      </c>
      <c r="O331" s="339"/>
      <c r="P331" s="637">
        <v>49392.0</v>
      </c>
      <c r="Q331" s="310" t="s">
        <v>2080</v>
      </c>
      <c r="R331" s="253"/>
      <c r="S331" s="810">
        <v>42978.0</v>
      </c>
      <c r="T331" s="769">
        <v>42894.0</v>
      </c>
      <c r="U331" s="330" t="s">
        <v>7137</v>
      </c>
      <c r="V331" s="765" t="s">
        <v>7138</v>
      </c>
      <c r="W331" s="258">
        <v>42979.0</v>
      </c>
      <c r="X331" s="252" t="s">
        <v>7006</v>
      </c>
      <c r="Y331" s="1037"/>
      <c r="Z331" s="1037"/>
      <c r="AA331" s="1037"/>
      <c r="AB331" s="766"/>
      <c r="AC331" s="253" t="s">
        <v>284</v>
      </c>
    </row>
    <row r="332" ht="15.75" customHeight="1">
      <c r="A332" s="764">
        <v>42879.0</v>
      </c>
      <c r="B332" s="597" t="s">
        <v>6167</v>
      </c>
      <c r="C332" s="765">
        <v>7.000129928E9</v>
      </c>
      <c r="D332" s="252" t="s">
        <v>7135</v>
      </c>
      <c r="E332" s="252" t="s">
        <v>4652</v>
      </c>
      <c r="F332" s="1041">
        <v>7.0</v>
      </c>
      <c r="G332" s="254">
        <v>285.0</v>
      </c>
      <c r="H332" s="581">
        <f t="shared" si="7"/>
        <v>1995</v>
      </c>
      <c r="I332" s="266" t="s">
        <v>43</v>
      </c>
      <c r="J332" s="777" t="s">
        <v>6278</v>
      </c>
      <c r="K332" s="258">
        <v>42901.0</v>
      </c>
      <c r="L332" s="258">
        <v>42898.0</v>
      </c>
      <c r="M332" s="266" t="s">
        <v>3593</v>
      </c>
      <c r="N332" s="765" t="s">
        <v>7136</v>
      </c>
      <c r="O332" s="339"/>
      <c r="P332" s="637">
        <v>56448.0</v>
      </c>
      <c r="Q332" s="310" t="s">
        <v>2080</v>
      </c>
      <c r="R332" s="253"/>
      <c r="S332" s="810">
        <v>42978.0</v>
      </c>
      <c r="T332" s="769">
        <v>42894.0</v>
      </c>
      <c r="U332" s="330" t="s">
        <v>7137</v>
      </c>
      <c r="V332" s="765" t="s">
        <v>7138</v>
      </c>
      <c r="W332" s="258">
        <v>42979.0</v>
      </c>
      <c r="X332" s="252" t="s">
        <v>7006</v>
      </c>
      <c r="Y332" s="1037"/>
      <c r="Z332" s="1037"/>
      <c r="AA332" s="1037"/>
      <c r="AB332" s="766"/>
      <c r="AC332" s="253" t="s">
        <v>284</v>
      </c>
    </row>
    <row r="333" ht="15.75" customHeight="1">
      <c r="A333" s="601">
        <v>42879.0</v>
      </c>
      <c r="B333" s="597" t="s">
        <v>6167</v>
      </c>
      <c r="C333" s="765">
        <v>7.000129928E9</v>
      </c>
      <c r="D333" s="252" t="s">
        <v>7135</v>
      </c>
      <c r="E333" s="252" t="s">
        <v>7139</v>
      </c>
      <c r="F333" s="307">
        <v>7.0</v>
      </c>
      <c r="G333" s="254">
        <v>85.0</v>
      </c>
      <c r="H333" s="581">
        <f t="shared" si="7"/>
        <v>595</v>
      </c>
      <c r="I333" s="266" t="s">
        <v>43</v>
      </c>
      <c r="J333" s="777" t="s">
        <v>6278</v>
      </c>
      <c r="K333" s="258">
        <v>42901.0</v>
      </c>
      <c r="L333" s="258">
        <v>42898.0</v>
      </c>
      <c r="M333" s="266" t="s">
        <v>3593</v>
      </c>
      <c r="N333" s="765" t="s">
        <v>7136</v>
      </c>
      <c r="O333" s="339"/>
      <c r="P333" s="637">
        <v>16640.0</v>
      </c>
      <c r="Q333" s="310" t="s">
        <v>2080</v>
      </c>
      <c r="R333" s="253"/>
      <c r="S333" s="810">
        <v>42978.0</v>
      </c>
      <c r="T333" s="769">
        <v>42894.0</v>
      </c>
      <c r="U333" s="330" t="s">
        <v>7137</v>
      </c>
      <c r="V333" s="765" t="s">
        <v>7138</v>
      </c>
      <c r="W333" s="258">
        <v>42979.0</v>
      </c>
      <c r="X333" s="252" t="s">
        <v>7006</v>
      </c>
      <c r="Y333" s="1037"/>
      <c r="Z333" s="1037"/>
      <c r="AA333" s="1037"/>
      <c r="AB333" s="766"/>
      <c r="AC333" s="253" t="s">
        <v>284</v>
      </c>
    </row>
    <row r="334" ht="15.75" customHeight="1">
      <c r="A334" s="776">
        <v>42879.0</v>
      </c>
      <c r="B334" s="340" t="s">
        <v>4754</v>
      </c>
      <c r="C334" s="765">
        <v>63409.0</v>
      </c>
      <c r="D334" s="765" t="s">
        <v>7140</v>
      </c>
      <c r="E334" s="765" t="s">
        <v>6385</v>
      </c>
      <c r="F334" s="256">
        <v>26.0</v>
      </c>
      <c r="G334" s="254">
        <v>66.0</v>
      </c>
      <c r="H334" s="581">
        <f t="shared" si="7"/>
        <v>1716</v>
      </c>
      <c r="I334" s="1009" t="s">
        <v>3474</v>
      </c>
      <c r="J334" s="253" t="s">
        <v>534</v>
      </c>
      <c r="K334" s="258">
        <v>42898.0</v>
      </c>
      <c r="L334" s="258">
        <v>42895.0</v>
      </c>
      <c r="M334" s="403" t="s">
        <v>6386</v>
      </c>
      <c r="N334" s="252" t="s">
        <v>7141</v>
      </c>
      <c r="O334" s="339"/>
      <c r="P334" s="637">
        <v>43571.0</v>
      </c>
      <c r="Q334" s="599" t="s">
        <v>6388</v>
      </c>
      <c r="R334" s="253"/>
      <c r="S334" s="1044"/>
      <c r="T334" s="769">
        <v>42893.0</v>
      </c>
      <c r="U334" s="765" t="s">
        <v>7142</v>
      </c>
      <c r="V334" s="770">
        <v>43571.0</v>
      </c>
      <c r="W334" s="601">
        <v>42881.0</v>
      </c>
      <c r="X334" s="765" t="s">
        <v>7143</v>
      </c>
      <c r="Y334" s="1037"/>
      <c r="Z334" s="1037"/>
      <c r="AA334" s="1037"/>
      <c r="AB334" s="766"/>
      <c r="AC334" s="253" t="s">
        <v>284</v>
      </c>
    </row>
    <row r="335" ht="15.75" customHeight="1">
      <c r="A335" s="776">
        <v>42879.0</v>
      </c>
      <c r="B335" s="597" t="s">
        <v>229</v>
      </c>
      <c r="C335" s="765"/>
      <c r="D335" s="765" t="s">
        <v>7144</v>
      </c>
      <c r="E335" s="765" t="s">
        <v>462</v>
      </c>
      <c r="F335" s="1041">
        <v>91.0</v>
      </c>
      <c r="G335" s="325">
        <v>407.4</v>
      </c>
      <c r="H335" s="267">
        <f t="shared" si="7"/>
        <v>37073.4</v>
      </c>
      <c r="I335" s="266" t="s">
        <v>171</v>
      </c>
      <c r="J335" s="253" t="s">
        <v>90</v>
      </c>
      <c r="K335" s="258">
        <v>42894.0</v>
      </c>
      <c r="L335" s="258">
        <v>42894.0</v>
      </c>
      <c r="M335" s="253" t="s">
        <v>90</v>
      </c>
      <c r="N335" s="252" t="s">
        <v>7145</v>
      </c>
      <c r="O335" s="581">
        <v>33920.25</v>
      </c>
      <c r="P335" s="816"/>
      <c r="Q335" s="320" t="s">
        <v>6081</v>
      </c>
      <c r="R335" s="253"/>
      <c r="S335" s="810">
        <v>42947.0</v>
      </c>
      <c r="T335" s="771">
        <v>42894.0</v>
      </c>
      <c r="U335" s="252" t="s">
        <v>7146</v>
      </c>
      <c r="V335" s="774">
        <v>1045251.0</v>
      </c>
      <c r="W335" s="601">
        <v>42930.0</v>
      </c>
      <c r="X335" s="765" t="s">
        <v>7147</v>
      </c>
      <c r="Y335" s="1037"/>
      <c r="Z335" s="765" t="s">
        <v>7148</v>
      </c>
      <c r="AA335" s="262">
        <v>1146250.0</v>
      </c>
      <c r="AB335" s="765" t="s">
        <v>7149</v>
      </c>
      <c r="AC335" s="253" t="s">
        <v>377</v>
      </c>
    </row>
    <row r="336" ht="15.75" customHeight="1">
      <c r="A336" s="258">
        <v>42879.0</v>
      </c>
      <c r="B336" s="597" t="s">
        <v>229</v>
      </c>
      <c r="C336" s="765"/>
      <c r="D336" s="765" t="s">
        <v>7144</v>
      </c>
      <c r="E336" s="765" t="s">
        <v>3765</v>
      </c>
      <c r="F336" s="1041">
        <v>3.0</v>
      </c>
      <c r="G336" s="267">
        <v>336.0</v>
      </c>
      <c r="H336" s="267">
        <f t="shared" si="7"/>
        <v>1008</v>
      </c>
      <c r="I336" s="266" t="s">
        <v>171</v>
      </c>
      <c r="J336" s="253" t="s">
        <v>90</v>
      </c>
      <c r="K336" s="258">
        <v>42894.0</v>
      </c>
      <c r="L336" s="258">
        <v>42894.0</v>
      </c>
      <c r="M336" s="253" t="s">
        <v>90</v>
      </c>
      <c r="N336" s="252" t="s">
        <v>7145</v>
      </c>
      <c r="O336" s="581">
        <v>904.05</v>
      </c>
      <c r="P336" s="816"/>
      <c r="Q336" s="310" t="s">
        <v>6081</v>
      </c>
      <c r="R336" s="253"/>
      <c r="S336" s="810">
        <v>42947.0</v>
      </c>
      <c r="T336" s="771">
        <v>42894.0</v>
      </c>
      <c r="U336" s="252" t="s">
        <v>7146</v>
      </c>
      <c r="V336" s="252" t="s">
        <v>7150</v>
      </c>
      <c r="W336" s="601">
        <v>42930.0</v>
      </c>
      <c r="X336" s="765" t="s">
        <v>7147</v>
      </c>
      <c r="Y336" s="1037"/>
      <c r="Z336" s="765" t="s">
        <v>7148</v>
      </c>
      <c r="AA336" s="253" t="s">
        <v>7151</v>
      </c>
      <c r="AB336" s="765" t="s">
        <v>7149</v>
      </c>
      <c r="AC336" s="253" t="s">
        <v>377</v>
      </c>
    </row>
    <row r="337" ht="15.75" customHeight="1">
      <c r="A337" s="258">
        <v>42879.0</v>
      </c>
      <c r="B337" s="1004" t="s">
        <v>77</v>
      </c>
      <c r="C337" s="765">
        <v>447.0</v>
      </c>
      <c r="D337" s="765" t="s">
        <v>7152</v>
      </c>
      <c r="E337" s="765" t="s">
        <v>318</v>
      </c>
      <c r="F337" s="1041">
        <v>10.0</v>
      </c>
      <c r="G337" s="254">
        <v>270.0</v>
      </c>
      <c r="H337" s="581">
        <f t="shared" si="7"/>
        <v>2700</v>
      </c>
      <c r="I337" s="266" t="s">
        <v>43</v>
      </c>
      <c r="J337" s="369" t="s">
        <v>316</v>
      </c>
      <c r="K337" s="258">
        <v>42891.0</v>
      </c>
      <c r="L337" s="258">
        <v>42887.0</v>
      </c>
      <c r="M337" s="403" t="s">
        <v>1998</v>
      </c>
      <c r="N337" s="765" t="s">
        <v>7153</v>
      </c>
      <c r="O337" s="267">
        <v>2310.0</v>
      </c>
      <c r="P337" s="816"/>
      <c r="Q337" s="310" t="s">
        <v>2000</v>
      </c>
      <c r="R337" s="253"/>
      <c r="S337" s="810">
        <v>42952.0</v>
      </c>
      <c r="T337" s="769">
        <v>42887.0</v>
      </c>
      <c r="U337" s="765" t="s">
        <v>7154</v>
      </c>
      <c r="V337" s="770">
        <v>69485.0</v>
      </c>
      <c r="W337" s="601">
        <v>42958.0</v>
      </c>
      <c r="X337" s="252" t="s">
        <v>7155</v>
      </c>
      <c r="Y337" s="1037"/>
      <c r="Z337" s="1037"/>
      <c r="AA337" s="1037"/>
      <c r="AB337" s="766"/>
      <c r="AC337" s="253" t="s">
        <v>284</v>
      </c>
    </row>
    <row r="338" ht="15.75" customHeight="1">
      <c r="A338" s="601">
        <v>42879.0</v>
      </c>
      <c r="B338" s="597" t="s">
        <v>6167</v>
      </c>
      <c r="C338" s="765">
        <v>7.000129913E9</v>
      </c>
      <c r="D338" s="252" t="s">
        <v>7156</v>
      </c>
      <c r="E338" s="252" t="s">
        <v>6451</v>
      </c>
      <c r="F338" s="1041">
        <v>5.0</v>
      </c>
      <c r="G338" s="254">
        <v>126.0</v>
      </c>
      <c r="H338" s="581">
        <f t="shared" si="7"/>
        <v>630</v>
      </c>
      <c r="I338" s="266" t="s">
        <v>43</v>
      </c>
      <c r="J338" s="403" t="s">
        <v>3623</v>
      </c>
      <c r="K338" s="258">
        <v>42887.0</v>
      </c>
      <c r="L338" s="258">
        <v>42886.0</v>
      </c>
      <c r="M338" s="266" t="s">
        <v>3593</v>
      </c>
      <c r="N338" s="252" t="s">
        <v>7157</v>
      </c>
      <c r="O338" s="339"/>
      <c r="P338" s="637">
        <v>18443.0</v>
      </c>
      <c r="Q338" s="310" t="s">
        <v>2080</v>
      </c>
      <c r="R338" s="253"/>
      <c r="S338" s="810">
        <v>42978.0</v>
      </c>
      <c r="T338" s="769">
        <v>42881.0</v>
      </c>
      <c r="U338" s="765" t="s">
        <v>7158</v>
      </c>
      <c r="V338" s="770">
        <v>18443.0</v>
      </c>
      <c r="W338" s="258">
        <v>42979.0</v>
      </c>
      <c r="X338" s="252" t="s">
        <v>7082</v>
      </c>
      <c r="Y338" s="253" t="s">
        <v>7083</v>
      </c>
      <c r="Z338" s="1037"/>
      <c r="AA338" s="1037"/>
      <c r="AB338" s="766"/>
      <c r="AC338" s="253" t="s">
        <v>284</v>
      </c>
    </row>
    <row r="339" ht="15.75" customHeight="1">
      <c r="A339" s="258">
        <v>42879.0</v>
      </c>
      <c r="B339" s="340" t="s">
        <v>4754</v>
      </c>
      <c r="C339" s="765">
        <v>63409.0</v>
      </c>
      <c r="D339" s="765" t="s">
        <v>7140</v>
      </c>
      <c r="E339" s="765" t="s">
        <v>7159</v>
      </c>
      <c r="F339" s="256">
        <v>1.0</v>
      </c>
      <c r="G339" s="254">
        <v>116.0</v>
      </c>
      <c r="H339" s="581">
        <f t="shared" si="7"/>
        <v>116</v>
      </c>
      <c r="I339" s="1009" t="s">
        <v>3474</v>
      </c>
      <c r="J339" s="253" t="s">
        <v>534</v>
      </c>
      <c r="K339" s="258">
        <v>42898.0</v>
      </c>
      <c r="L339" s="630"/>
      <c r="M339" s="266" t="s">
        <v>2032</v>
      </c>
      <c r="N339" s="765"/>
      <c r="O339" s="339"/>
      <c r="P339" s="637">
        <v>4835.0</v>
      </c>
      <c r="Q339" s="310" t="s">
        <v>2033</v>
      </c>
      <c r="R339" s="253"/>
      <c r="S339" s="810">
        <v>42916.0</v>
      </c>
      <c r="T339" s="771">
        <v>42904.0</v>
      </c>
      <c r="U339" s="252" t="s">
        <v>7160</v>
      </c>
      <c r="V339" s="774">
        <v>4835.0</v>
      </c>
      <c r="W339" s="601">
        <v>42921.0</v>
      </c>
      <c r="X339" s="765" t="s">
        <v>7143</v>
      </c>
      <c r="Y339" s="1037"/>
      <c r="Z339" s="1037"/>
      <c r="AA339" s="1037"/>
      <c r="AB339" s="766"/>
      <c r="AC339" s="253" t="s">
        <v>284</v>
      </c>
    </row>
    <row r="340" ht="15.75" customHeight="1">
      <c r="A340" s="776">
        <v>42881.0</v>
      </c>
      <c r="B340" s="340" t="s">
        <v>54</v>
      </c>
      <c r="C340" s="265" t="s">
        <v>7161</v>
      </c>
      <c r="D340" s="320" t="s">
        <v>7162</v>
      </c>
      <c r="E340" s="320" t="s">
        <v>3793</v>
      </c>
      <c r="F340" s="256">
        <v>4.0</v>
      </c>
      <c r="G340" s="325">
        <v>150.15</v>
      </c>
      <c r="H340" s="581">
        <f t="shared" si="7"/>
        <v>600.6</v>
      </c>
      <c r="I340" s="266" t="s">
        <v>43</v>
      </c>
      <c r="J340" s="592" t="s">
        <v>90</v>
      </c>
      <c r="K340" s="258">
        <v>42901.0</v>
      </c>
      <c r="L340" s="258">
        <v>42901.0</v>
      </c>
      <c r="M340" s="266" t="s">
        <v>90</v>
      </c>
      <c r="N340" s="252" t="s">
        <v>7163</v>
      </c>
      <c r="O340" s="581">
        <v>537.6</v>
      </c>
      <c r="P340" s="816"/>
      <c r="Q340" s="320" t="s">
        <v>6081</v>
      </c>
      <c r="R340" s="253"/>
      <c r="S340" s="810">
        <v>42952.0</v>
      </c>
      <c r="T340" s="771">
        <v>42901.0</v>
      </c>
      <c r="U340" s="252" t="s">
        <v>7164</v>
      </c>
      <c r="V340" s="774">
        <v>16144.0</v>
      </c>
      <c r="W340" s="601">
        <v>42899.0</v>
      </c>
      <c r="X340" s="765" t="s">
        <v>7165</v>
      </c>
      <c r="Y340" s="1037"/>
      <c r="Z340" s="765" t="s">
        <v>7166</v>
      </c>
      <c r="AA340" s="262">
        <v>18166.0</v>
      </c>
      <c r="AB340" s="765" t="s">
        <v>7167</v>
      </c>
      <c r="AC340" s="253" t="s">
        <v>377</v>
      </c>
    </row>
    <row r="341" ht="15.75" customHeight="1">
      <c r="A341" s="776">
        <v>42881.0</v>
      </c>
      <c r="B341" s="340" t="s">
        <v>416</v>
      </c>
      <c r="C341" s="265" t="s">
        <v>7168</v>
      </c>
      <c r="D341" s="320" t="s">
        <v>7169</v>
      </c>
      <c r="E341" s="320" t="s">
        <v>7170</v>
      </c>
      <c r="F341" s="1041">
        <v>21.0</v>
      </c>
      <c r="G341" s="267">
        <v>147.0</v>
      </c>
      <c r="H341" s="267">
        <f t="shared" si="7"/>
        <v>3087</v>
      </c>
      <c r="I341" s="266" t="s">
        <v>43</v>
      </c>
      <c r="J341" s="333" t="s">
        <v>7171</v>
      </c>
      <c r="K341" s="258">
        <v>42895.0</v>
      </c>
      <c r="L341" s="258">
        <v>42894.0</v>
      </c>
      <c r="M341" s="266" t="s">
        <v>90</v>
      </c>
      <c r="N341" s="252" t="s">
        <v>7172</v>
      </c>
      <c r="O341" s="581">
        <v>2822.4</v>
      </c>
      <c r="P341" s="816"/>
      <c r="Q341" s="320" t="s">
        <v>6081</v>
      </c>
      <c r="R341" s="253"/>
      <c r="S341" s="1044"/>
      <c r="T341" s="769">
        <v>42894.0</v>
      </c>
      <c r="U341" s="765" t="s">
        <v>7173</v>
      </c>
      <c r="V341" s="770">
        <v>86700.0</v>
      </c>
      <c r="W341" s="601">
        <v>42893.0</v>
      </c>
      <c r="X341" s="252" t="s">
        <v>7174</v>
      </c>
      <c r="Y341" s="1037"/>
      <c r="Z341" s="1037"/>
      <c r="AA341" s="1037"/>
      <c r="AB341" s="766"/>
      <c r="AC341" s="253" t="s">
        <v>284</v>
      </c>
    </row>
    <row r="342" ht="15.75" customHeight="1">
      <c r="A342" s="776">
        <v>42881.0</v>
      </c>
      <c r="B342" s="340" t="s">
        <v>416</v>
      </c>
      <c r="C342" s="265" t="s">
        <v>7168</v>
      </c>
      <c r="D342" s="310" t="s">
        <v>7169</v>
      </c>
      <c r="E342" s="310" t="s">
        <v>4808</v>
      </c>
      <c r="F342" s="1041">
        <v>21.0</v>
      </c>
      <c r="G342" s="254">
        <v>4.0</v>
      </c>
      <c r="H342" s="581">
        <f t="shared" si="7"/>
        <v>84</v>
      </c>
      <c r="I342" s="266" t="s">
        <v>43</v>
      </c>
      <c r="J342" s="777" t="s">
        <v>7171</v>
      </c>
      <c r="K342" s="258">
        <v>42895.0</v>
      </c>
      <c r="L342" s="258">
        <v>42894.0</v>
      </c>
      <c r="M342" s="266" t="s">
        <v>90</v>
      </c>
      <c r="N342" s="252" t="s">
        <v>7172</v>
      </c>
      <c r="O342" s="581">
        <v>66.15</v>
      </c>
      <c r="P342" s="816"/>
      <c r="Q342" s="320" t="s">
        <v>6081</v>
      </c>
      <c r="R342" s="253"/>
      <c r="S342" s="1044"/>
      <c r="T342" s="769">
        <v>42894.0</v>
      </c>
      <c r="U342" s="765" t="s">
        <v>7173</v>
      </c>
      <c r="V342" s="770">
        <v>86700.0</v>
      </c>
      <c r="W342" s="601">
        <v>42893.0</v>
      </c>
      <c r="X342" s="252" t="s">
        <v>7174</v>
      </c>
      <c r="Y342" s="1037"/>
      <c r="Z342" s="1037"/>
      <c r="AA342" s="1037"/>
      <c r="AB342" s="766"/>
      <c r="AC342" s="253" t="s">
        <v>284</v>
      </c>
    </row>
    <row r="343" ht="15.75" customHeight="1">
      <c r="A343" s="776">
        <v>42881.0</v>
      </c>
      <c r="B343" s="340" t="s">
        <v>77</v>
      </c>
      <c r="C343" s="265">
        <v>464.0</v>
      </c>
      <c r="D343" s="320" t="s">
        <v>7175</v>
      </c>
      <c r="E343" s="320" t="s">
        <v>827</v>
      </c>
      <c r="F343" s="256">
        <v>10.0</v>
      </c>
      <c r="G343" s="466">
        <v>14.0</v>
      </c>
      <c r="H343" s="581">
        <f t="shared" si="7"/>
        <v>140</v>
      </c>
      <c r="I343" s="266" t="s">
        <v>43</v>
      </c>
      <c r="J343" s="369" t="s">
        <v>316</v>
      </c>
      <c r="K343" s="258">
        <v>42891.0</v>
      </c>
      <c r="L343" s="258">
        <v>42887.0</v>
      </c>
      <c r="M343" s="333" t="s">
        <v>6287</v>
      </c>
      <c r="N343" s="765" t="s">
        <v>7176</v>
      </c>
      <c r="O343" s="581">
        <v>129.15</v>
      </c>
      <c r="P343" s="816"/>
      <c r="Q343" s="388" t="s">
        <v>2043</v>
      </c>
      <c r="R343" s="253"/>
      <c r="S343" s="810">
        <v>42900.0</v>
      </c>
      <c r="T343" s="769">
        <v>42886.0</v>
      </c>
      <c r="U343" s="765" t="s">
        <v>7177</v>
      </c>
      <c r="V343" s="770">
        <v>3889.0</v>
      </c>
      <c r="W343" s="258">
        <v>42900.0</v>
      </c>
      <c r="X343" s="252" t="s">
        <v>7155</v>
      </c>
      <c r="Y343" s="1037"/>
      <c r="Z343" s="1037"/>
      <c r="AA343" s="1037"/>
      <c r="AB343" s="766"/>
      <c r="AC343" s="253" t="s">
        <v>284</v>
      </c>
    </row>
    <row r="344" ht="15.75" customHeight="1">
      <c r="A344" s="776">
        <v>42885.0</v>
      </c>
      <c r="B344" s="340" t="s">
        <v>77</v>
      </c>
      <c r="C344" s="252">
        <v>471.0</v>
      </c>
      <c r="D344" s="310" t="s">
        <v>7178</v>
      </c>
      <c r="E344" s="310" t="s">
        <v>7179</v>
      </c>
      <c r="F344" s="256">
        <v>1.0</v>
      </c>
      <c r="G344" s="267">
        <v>120.0</v>
      </c>
      <c r="H344" s="581">
        <f t="shared" si="7"/>
        <v>120</v>
      </c>
      <c r="I344" s="266" t="s">
        <v>43</v>
      </c>
      <c r="J344" s="363" t="s">
        <v>316</v>
      </c>
      <c r="K344" s="258">
        <v>42919.0</v>
      </c>
      <c r="L344" s="258">
        <v>42914.0</v>
      </c>
      <c r="M344" s="403" t="s">
        <v>3489</v>
      </c>
      <c r="N344" s="310" t="s">
        <v>7180</v>
      </c>
      <c r="O344" s="330"/>
      <c r="P344" s="579">
        <v>3445.0</v>
      </c>
      <c r="Q344" s="599" t="s">
        <v>6639</v>
      </c>
      <c r="R344" s="330"/>
      <c r="S344" s="810">
        <v>42921.0</v>
      </c>
      <c r="T344" s="769">
        <v>42914.0</v>
      </c>
      <c r="U344" s="330" t="s">
        <v>7181</v>
      </c>
      <c r="V344" s="770">
        <v>105505.0</v>
      </c>
      <c r="W344" s="258">
        <v>42922.0</v>
      </c>
      <c r="X344" s="310" t="s">
        <v>7182</v>
      </c>
      <c r="Y344" s="369" t="s">
        <v>7183</v>
      </c>
      <c r="Z344" s="330"/>
      <c r="AA344" s="330"/>
      <c r="AB344" s="330"/>
      <c r="AC344" s="253" t="s">
        <v>284</v>
      </c>
    </row>
    <row r="345" ht="15.75" customHeight="1">
      <c r="A345" s="796">
        <v>42885.0</v>
      </c>
      <c r="B345" s="804" t="s">
        <v>6548</v>
      </c>
      <c r="C345" s="789"/>
      <c r="D345" s="789" t="s">
        <v>7184</v>
      </c>
      <c r="E345" s="789" t="s">
        <v>7185</v>
      </c>
      <c r="F345" s="1066">
        <v>1.0</v>
      </c>
      <c r="G345" s="280">
        <v>1400.0</v>
      </c>
      <c r="H345" s="858">
        <v>0.0</v>
      </c>
      <c r="I345" s="797" t="s">
        <v>3474</v>
      </c>
      <c r="J345" s="1069" t="s">
        <v>3663</v>
      </c>
      <c r="K345" s="291"/>
      <c r="L345" s="854"/>
      <c r="M345" s="797"/>
      <c r="N345" s="789"/>
      <c r="O345" s="1045"/>
      <c r="P345" s="836" t="s">
        <v>7186</v>
      </c>
      <c r="Q345" s="800"/>
      <c r="R345" s="279"/>
      <c r="S345" s="1070"/>
      <c r="T345" s="787"/>
      <c r="U345" s="787"/>
      <c r="V345" s="787"/>
      <c r="W345" s="1047"/>
      <c r="X345" s="1047"/>
      <c r="Y345" s="1047"/>
      <c r="Z345" s="1047"/>
      <c r="AA345" s="1047"/>
      <c r="AB345" s="787"/>
      <c r="AC345" s="279" t="s">
        <v>3617</v>
      </c>
    </row>
    <row r="346" ht="15.75" customHeight="1">
      <c r="A346" s="796">
        <v>42885.0</v>
      </c>
      <c r="B346" s="804" t="s">
        <v>6548</v>
      </c>
      <c r="C346" s="789"/>
      <c r="D346" s="789" t="s">
        <v>7184</v>
      </c>
      <c r="E346" s="789" t="s">
        <v>6803</v>
      </c>
      <c r="F346" s="1066">
        <v>1.0</v>
      </c>
      <c r="G346" s="280">
        <v>40.0</v>
      </c>
      <c r="H346" s="858">
        <v>0.0</v>
      </c>
      <c r="I346" s="797" t="s">
        <v>3474</v>
      </c>
      <c r="J346" s="1069" t="s">
        <v>3663</v>
      </c>
      <c r="K346" s="291"/>
      <c r="L346" s="854"/>
      <c r="M346" s="797"/>
      <c r="N346" s="789"/>
      <c r="O346" s="1045"/>
      <c r="P346" s="836" t="s">
        <v>7186</v>
      </c>
      <c r="Q346" s="800"/>
      <c r="R346" s="279"/>
      <c r="S346" s="1070"/>
      <c r="T346" s="787"/>
      <c r="U346" s="787"/>
      <c r="V346" s="787"/>
      <c r="W346" s="1047"/>
      <c r="X346" s="1047"/>
      <c r="Y346" s="1047"/>
      <c r="Z346" s="1047"/>
      <c r="AA346" s="1047"/>
      <c r="AB346" s="787"/>
      <c r="AC346" s="279" t="s">
        <v>3617</v>
      </c>
    </row>
    <row r="347" ht="15.75" customHeight="1">
      <c r="A347" s="796">
        <v>42885.0</v>
      </c>
      <c r="B347" s="804" t="s">
        <v>6548</v>
      </c>
      <c r="C347" s="1058"/>
      <c r="D347" s="1058" t="s">
        <v>7184</v>
      </c>
      <c r="E347" s="1058" t="s">
        <v>6802</v>
      </c>
      <c r="F347" s="1066">
        <v>1.0</v>
      </c>
      <c r="G347" s="900">
        <v>70.0</v>
      </c>
      <c r="H347" s="858">
        <v>0.0</v>
      </c>
      <c r="I347" s="797" t="s">
        <v>3474</v>
      </c>
      <c r="J347" s="279" t="s">
        <v>3663</v>
      </c>
      <c r="K347" s="291"/>
      <c r="L347" s="854"/>
      <c r="M347" s="282"/>
      <c r="N347" s="789"/>
      <c r="O347" s="1045"/>
      <c r="P347" s="836" t="s">
        <v>7186</v>
      </c>
      <c r="Q347" s="798"/>
      <c r="R347" s="279"/>
      <c r="S347" s="1070"/>
      <c r="T347" s="787"/>
      <c r="U347" s="787"/>
      <c r="V347" s="787"/>
      <c r="W347" s="1047"/>
      <c r="X347" s="1047"/>
      <c r="Y347" s="1047"/>
      <c r="Z347" s="1047"/>
      <c r="AA347" s="1047"/>
      <c r="AB347" s="787"/>
      <c r="AC347" s="279" t="s">
        <v>3617</v>
      </c>
    </row>
    <row r="348" ht="15.75" customHeight="1">
      <c r="A348" s="776">
        <v>42886.0</v>
      </c>
      <c r="B348" s="340" t="s">
        <v>4754</v>
      </c>
      <c r="C348" s="765">
        <v>63421.0</v>
      </c>
      <c r="D348" s="765" t="s">
        <v>7187</v>
      </c>
      <c r="E348" s="765" t="s">
        <v>6385</v>
      </c>
      <c r="F348" s="256">
        <v>15.0</v>
      </c>
      <c r="G348" s="254">
        <v>66.0</v>
      </c>
      <c r="H348" s="581">
        <f t="shared" ref="H348:H357" si="8">G348*F348</f>
        <v>990</v>
      </c>
      <c r="I348" s="1009" t="s">
        <v>3474</v>
      </c>
      <c r="J348" s="1056" t="s">
        <v>534</v>
      </c>
      <c r="K348" s="258">
        <v>42898.0</v>
      </c>
      <c r="L348" s="258">
        <v>42895.0</v>
      </c>
      <c r="M348" s="333" t="s">
        <v>6386</v>
      </c>
      <c r="N348" s="310" t="s">
        <v>7188</v>
      </c>
      <c r="O348" s="330"/>
      <c r="P348" s="579">
        <v>25122.0</v>
      </c>
      <c r="Q348" s="604" t="s">
        <v>6388</v>
      </c>
      <c r="R348" s="330"/>
      <c r="S348" s="330"/>
      <c r="T348" s="769">
        <v>42893.0</v>
      </c>
      <c r="U348" s="330" t="s">
        <v>7189</v>
      </c>
      <c r="V348" s="770">
        <v>25122.0</v>
      </c>
      <c r="W348" s="601">
        <v>42891.0</v>
      </c>
      <c r="X348" s="765" t="s">
        <v>7143</v>
      </c>
      <c r="Y348" s="330"/>
      <c r="Z348" s="330"/>
      <c r="AA348" s="330"/>
      <c r="AB348" s="330"/>
      <c r="AC348" s="253" t="s">
        <v>284</v>
      </c>
    </row>
    <row r="349" ht="15.75" customHeight="1">
      <c r="A349" s="776">
        <v>42886.0</v>
      </c>
      <c r="B349" s="340" t="s">
        <v>4754</v>
      </c>
      <c r="C349" s="765">
        <v>63421.0</v>
      </c>
      <c r="D349" s="765" t="s">
        <v>7187</v>
      </c>
      <c r="E349" s="765" t="s">
        <v>7190</v>
      </c>
      <c r="F349" s="256">
        <v>1.0</v>
      </c>
      <c r="G349" s="254">
        <v>70.0</v>
      </c>
      <c r="H349" s="581">
        <f t="shared" si="8"/>
        <v>70</v>
      </c>
      <c r="I349" s="1009" t="s">
        <v>3474</v>
      </c>
      <c r="J349" s="1056" t="s">
        <v>534</v>
      </c>
      <c r="K349" s="258">
        <v>42898.0</v>
      </c>
      <c r="L349" s="258">
        <v>42895.0</v>
      </c>
      <c r="M349" s="266" t="s">
        <v>2032</v>
      </c>
      <c r="N349" s="765"/>
      <c r="O349" s="339"/>
      <c r="P349" s="637" t="s">
        <v>7191</v>
      </c>
      <c r="Q349" s="310" t="s">
        <v>2033</v>
      </c>
      <c r="R349" s="330"/>
      <c r="S349" s="768">
        <v>42932.0</v>
      </c>
      <c r="T349" s="771">
        <v>42904.0</v>
      </c>
      <c r="U349" s="252" t="s">
        <v>7160</v>
      </c>
      <c r="V349" s="774" t="s">
        <v>7192</v>
      </c>
      <c r="W349" s="601">
        <v>42921.0</v>
      </c>
      <c r="X349" s="765" t="s">
        <v>7143</v>
      </c>
      <c r="Y349" s="330"/>
      <c r="Z349" s="330"/>
      <c r="AA349" s="330"/>
      <c r="AB349" s="330"/>
      <c r="AC349" s="253" t="s">
        <v>284</v>
      </c>
    </row>
    <row r="350" ht="15.75" customHeight="1">
      <c r="A350" s="776">
        <v>42886.0</v>
      </c>
      <c r="B350" s="340" t="s">
        <v>4754</v>
      </c>
      <c r="C350" s="765">
        <v>63421.0</v>
      </c>
      <c r="D350" s="765" t="s">
        <v>7187</v>
      </c>
      <c r="E350" s="765" t="s">
        <v>700</v>
      </c>
      <c r="F350" s="307">
        <v>1.0</v>
      </c>
      <c r="G350" s="254">
        <v>25.0</v>
      </c>
      <c r="H350" s="581">
        <f t="shared" si="8"/>
        <v>25</v>
      </c>
      <c r="I350" s="1009" t="s">
        <v>3474</v>
      </c>
      <c r="J350" s="1056" t="s">
        <v>534</v>
      </c>
      <c r="K350" s="258">
        <v>42898.0</v>
      </c>
      <c r="L350" s="258">
        <v>42895.0</v>
      </c>
      <c r="M350" s="266"/>
      <c r="N350" s="600"/>
      <c r="O350" s="330"/>
      <c r="P350" s="330">
        <v>0.0</v>
      </c>
      <c r="Q350" s="320"/>
      <c r="R350" s="330"/>
      <c r="S350" s="330"/>
      <c r="T350" s="330"/>
      <c r="U350" s="330"/>
      <c r="V350" s="330"/>
      <c r="W350" s="330"/>
      <c r="X350" s="765" t="s">
        <v>7143</v>
      </c>
      <c r="Y350" s="330"/>
      <c r="Z350" s="330"/>
      <c r="AA350" s="330"/>
      <c r="AB350" s="330"/>
      <c r="AC350" s="253" t="s">
        <v>284</v>
      </c>
    </row>
    <row r="351" ht="15.75" customHeight="1">
      <c r="A351" s="601">
        <v>42887.0</v>
      </c>
      <c r="B351" s="597" t="s">
        <v>6167</v>
      </c>
      <c r="C351" s="765">
        <v>7.000130075E9</v>
      </c>
      <c r="D351" s="252" t="s">
        <v>7193</v>
      </c>
      <c r="E351" s="252" t="s">
        <v>3676</v>
      </c>
      <c r="F351" s="1041">
        <v>2.0</v>
      </c>
      <c r="G351" s="254">
        <v>46.0</v>
      </c>
      <c r="H351" s="581">
        <f t="shared" si="8"/>
        <v>92</v>
      </c>
      <c r="I351" s="266" t="s">
        <v>43</v>
      </c>
      <c r="J351" s="403" t="s">
        <v>6278</v>
      </c>
      <c r="K351" s="258">
        <v>42901.0</v>
      </c>
      <c r="L351" s="258">
        <v>42898.0</v>
      </c>
      <c r="M351" s="266" t="s">
        <v>3593</v>
      </c>
      <c r="N351" s="310" t="s">
        <v>7194</v>
      </c>
      <c r="O351" s="330"/>
      <c r="P351" s="579">
        <v>2684.0</v>
      </c>
      <c r="Q351" s="310" t="s">
        <v>2080</v>
      </c>
      <c r="R351" s="330"/>
      <c r="S351" s="810">
        <v>42978.0</v>
      </c>
      <c r="T351" s="769">
        <v>42892.0</v>
      </c>
      <c r="U351" s="330" t="s">
        <v>7195</v>
      </c>
      <c r="V351" s="770">
        <v>2684.0</v>
      </c>
      <c r="W351" s="258">
        <v>42979.0</v>
      </c>
      <c r="X351" s="252" t="s">
        <v>7006</v>
      </c>
      <c r="Y351" s="330"/>
      <c r="Z351" s="330"/>
      <c r="AA351" s="330"/>
      <c r="AB351" s="330"/>
      <c r="AC351" s="253" t="s">
        <v>284</v>
      </c>
    </row>
    <row r="352" ht="15.75" customHeight="1">
      <c r="A352" s="601">
        <v>42887.0</v>
      </c>
      <c r="B352" s="597" t="s">
        <v>6167</v>
      </c>
      <c r="C352" s="765">
        <v>7.000130075E9</v>
      </c>
      <c r="D352" s="252" t="s">
        <v>7193</v>
      </c>
      <c r="E352" s="252" t="s">
        <v>7196</v>
      </c>
      <c r="F352" s="1041">
        <v>2.0</v>
      </c>
      <c r="G352" s="254">
        <v>126.0</v>
      </c>
      <c r="H352" s="581">
        <f t="shared" si="8"/>
        <v>252</v>
      </c>
      <c r="I352" s="266" t="s">
        <v>43</v>
      </c>
      <c r="J352" s="403" t="s">
        <v>6278</v>
      </c>
      <c r="K352" s="258">
        <v>42901.0</v>
      </c>
      <c r="L352" s="258">
        <v>42898.0</v>
      </c>
      <c r="M352" s="266" t="s">
        <v>3593</v>
      </c>
      <c r="N352" s="310" t="s">
        <v>7197</v>
      </c>
      <c r="O352" s="330"/>
      <c r="P352" s="579">
        <v>7377.0</v>
      </c>
      <c r="Q352" s="310" t="s">
        <v>2080</v>
      </c>
      <c r="R352" s="330"/>
      <c r="S352" s="810">
        <v>42978.0</v>
      </c>
      <c r="T352" s="769">
        <v>42892.0</v>
      </c>
      <c r="U352" s="330" t="s">
        <v>7198</v>
      </c>
      <c r="V352" s="770">
        <v>7377.0</v>
      </c>
      <c r="W352" s="258">
        <v>42979.0</v>
      </c>
      <c r="X352" s="252" t="s">
        <v>7006</v>
      </c>
      <c r="Y352" s="330"/>
      <c r="Z352" s="330"/>
      <c r="AA352" s="330"/>
      <c r="AB352" s="330"/>
      <c r="AC352" s="253" t="s">
        <v>284</v>
      </c>
    </row>
    <row r="353" ht="15.75" customHeight="1">
      <c r="A353" s="764">
        <v>42887.0</v>
      </c>
      <c r="B353" s="388" t="s">
        <v>6825</v>
      </c>
      <c r="C353" s="765">
        <v>1262017.0</v>
      </c>
      <c r="D353" s="330" t="s">
        <v>7199</v>
      </c>
      <c r="E353" s="330" t="s">
        <v>3885</v>
      </c>
      <c r="F353" s="1041">
        <v>1.0</v>
      </c>
      <c r="G353" s="338">
        <v>1053.0</v>
      </c>
      <c r="H353" s="581">
        <f t="shared" si="8"/>
        <v>1053</v>
      </c>
      <c r="I353" s="266" t="s">
        <v>3474</v>
      </c>
      <c r="J353" s="269" t="s">
        <v>5360</v>
      </c>
      <c r="K353" s="258">
        <v>42901.0</v>
      </c>
      <c r="L353" s="258">
        <v>42898.0</v>
      </c>
      <c r="M353" s="256" t="s">
        <v>90</v>
      </c>
      <c r="N353" s="310" t="s">
        <v>7200</v>
      </c>
      <c r="O353" s="581">
        <v>973.25</v>
      </c>
      <c r="P353" s="330"/>
      <c r="Q353" s="320" t="s">
        <v>6081</v>
      </c>
      <c r="R353" s="330"/>
      <c r="S353" s="330"/>
      <c r="T353" s="769">
        <v>42898.0</v>
      </c>
      <c r="U353" s="330" t="s">
        <v>7201</v>
      </c>
      <c r="V353" s="770">
        <v>29227.0</v>
      </c>
      <c r="W353" s="601">
        <v>42893.0</v>
      </c>
      <c r="X353" s="252" t="s">
        <v>7202</v>
      </c>
      <c r="Y353" s="253">
        <v>7.79406404719E11</v>
      </c>
      <c r="Z353" s="330"/>
      <c r="AA353" s="330"/>
      <c r="AB353" s="330"/>
      <c r="AC353" s="253" t="s">
        <v>284</v>
      </c>
    </row>
    <row r="354" ht="15.75" customHeight="1">
      <c r="A354" s="764">
        <v>42887.0</v>
      </c>
      <c r="B354" s="388" t="s">
        <v>6825</v>
      </c>
      <c r="C354" s="765">
        <v>1262017.0</v>
      </c>
      <c r="D354" s="330" t="s">
        <v>7199</v>
      </c>
      <c r="E354" s="330" t="s">
        <v>700</v>
      </c>
      <c r="F354" s="1041">
        <v>1.0</v>
      </c>
      <c r="G354" s="254">
        <v>25.0</v>
      </c>
      <c r="H354" s="581">
        <f t="shared" si="8"/>
        <v>25</v>
      </c>
      <c r="I354" s="266" t="s">
        <v>3474</v>
      </c>
      <c r="J354" s="269" t="s">
        <v>5360</v>
      </c>
      <c r="K354" s="258">
        <v>42901.0</v>
      </c>
      <c r="L354" s="258">
        <v>42898.0</v>
      </c>
      <c r="M354" s="592"/>
      <c r="N354" s="330"/>
      <c r="O354" s="330"/>
      <c r="P354" s="330">
        <v>0.0</v>
      </c>
      <c r="Q354" s="388"/>
      <c r="R354" s="330"/>
      <c r="S354" s="330"/>
      <c r="T354" s="330"/>
      <c r="U354" s="330"/>
      <c r="V354" s="330"/>
      <c r="W354" s="330"/>
      <c r="X354" s="252" t="s">
        <v>7202</v>
      </c>
      <c r="Y354" s="253">
        <v>7.79406404719E11</v>
      </c>
      <c r="Z354" s="330"/>
      <c r="AA354" s="330"/>
      <c r="AB354" s="330"/>
      <c r="AC354" s="253" t="s">
        <v>284</v>
      </c>
    </row>
    <row r="355" ht="15.75" customHeight="1">
      <c r="A355" s="764">
        <v>42887.0</v>
      </c>
      <c r="B355" s="599" t="s">
        <v>6125</v>
      </c>
      <c r="C355" s="330" t="s">
        <v>7203</v>
      </c>
      <c r="D355" s="330" t="s">
        <v>7204</v>
      </c>
      <c r="E355" s="330" t="s">
        <v>6860</v>
      </c>
      <c r="F355" s="1041">
        <v>4.0</v>
      </c>
      <c r="G355" s="254">
        <v>1239.0</v>
      </c>
      <c r="H355" s="581">
        <f t="shared" si="8"/>
        <v>4956</v>
      </c>
      <c r="I355" s="1009" t="s">
        <v>3474</v>
      </c>
      <c r="J355" s="333" t="s">
        <v>3732</v>
      </c>
      <c r="K355" s="258">
        <v>42894.0</v>
      </c>
      <c r="L355" s="258">
        <v>42894.0</v>
      </c>
      <c r="M355" s="333" t="s">
        <v>2034</v>
      </c>
      <c r="N355" s="310" t="s">
        <v>7205</v>
      </c>
      <c r="O355" s="579">
        <v>4809.0</v>
      </c>
      <c r="P355" s="330"/>
      <c r="Q355" s="320" t="s">
        <v>2036</v>
      </c>
      <c r="R355" s="330"/>
      <c r="S355" s="810">
        <v>42952.0</v>
      </c>
      <c r="T355" s="769">
        <v>42894.0</v>
      </c>
      <c r="U355" s="330" t="s">
        <v>7206</v>
      </c>
      <c r="V355" s="770">
        <v>179642.0</v>
      </c>
      <c r="W355" s="601">
        <v>42951.0</v>
      </c>
      <c r="X355" s="330" t="s">
        <v>7207</v>
      </c>
      <c r="Y355" s="330"/>
      <c r="Z355" s="330"/>
      <c r="AA355" s="330"/>
      <c r="AB355" s="330"/>
      <c r="AC355" s="253" t="s">
        <v>284</v>
      </c>
    </row>
    <row r="356" ht="15.75" customHeight="1">
      <c r="A356" s="764">
        <v>42887.0</v>
      </c>
      <c r="B356" s="599" t="s">
        <v>6125</v>
      </c>
      <c r="C356" s="330" t="s">
        <v>7203</v>
      </c>
      <c r="D356" s="330" t="s">
        <v>7204</v>
      </c>
      <c r="E356" s="330" t="s">
        <v>6128</v>
      </c>
      <c r="F356" s="1041">
        <v>4.0</v>
      </c>
      <c r="G356" s="254">
        <v>148.0</v>
      </c>
      <c r="H356" s="581">
        <f t="shared" si="8"/>
        <v>592</v>
      </c>
      <c r="I356" s="1009" t="s">
        <v>3474</v>
      </c>
      <c r="J356" s="777" t="s">
        <v>3732</v>
      </c>
      <c r="K356" s="258">
        <v>42894.0</v>
      </c>
      <c r="L356" s="258">
        <v>42894.0</v>
      </c>
      <c r="M356" s="403" t="s">
        <v>2034</v>
      </c>
      <c r="N356" s="310" t="s">
        <v>7205</v>
      </c>
      <c r="O356" s="310">
        <v>579.6</v>
      </c>
      <c r="P356" s="330"/>
      <c r="Q356" s="320" t="s">
        <v>2036</v>
      </c>
      <c r="R356" s="330"/>
      <c r="S356" s="810">
        <v>42952.0</v>
      </c>
      <c r="T356" s="769">
        <v>42894.0</v>
      </c>
      <c r="U356" s="330" t="s">
        <v>7206</v>
      </c>
      <c r="V356" s="330" t="s">
        <v>7208</v>
      </c>
      <c r="W356" s="601">
        <v>42951.0</v>
      </c>
      <c r="X356" s="330" t="s">
        <v>7207</v>
      </c>
      <c r="Y356" s="330"/>
      <c r="Z356" s="330"/>
      <c r="AA356" s="330"/>
      <c r="AB356" s="330"/>
      <c r="AC356" s="253" t="s">
        <v>284</v>
      </c>
    </row>
    <row r="357" ht="15.75" customHeight="1">
      <c r="A357" s="764">
        <v>42887.0</v>
      </c>
      <c r="B357" s="599" t="s">
        <v>6125</v>
      </c>
      <c r="C357" s="330" t="s">
        <v>7203</v>
      </c>
      <c r="D357" s="330" t="s">
        <v>7204</v>
      </c>
      <c r="E357" s="330" t="s">
        <v>6132</v>
      </c>
      <c r="F357" s="307">
        <v>4.0</v>
      </c>
      <c r="G357" s="254">
        <v>148.0</v>
      </c>
      <c r="H357" s="581">
        <f t="shared" si="8"/>
        <v>592</v>
      </c>
      <c r="I357" s="1009" t="s">
        <v>3474</v>
      </c>
      <c r="J357" s="777" t="s">
        <v>3732</v>
      </c>
      <c r="K357" s="258">
        <v>42894.0</v>
      </c>
      <c r="L357" s="258">
        <v>42894.0</v>
      </c>
      <c r="M357" s="403" t="s">
        <v>2034</v>
      </c>
      <c r="N357" s="310" t="s">
        <v>7205</v>
      </c>
      <c r="O357" s="310">
        <v>579.6</v>
      </c>
      <c r="P357" s="330"/>
      <c r="Q357" s="320" t="s">
        <v>2036</v>
      </c>
      <c r="R357" s="330"/>
      <c r="S357" s="810">
        <v>42952.0</v>
      </c>
      <c r="T357" s="769">
        <v>42894.0</v>
      </c>
      <c r="U357" s="330" t="s">
        <v>7206</v>
      </c>
      <c r="V357" s="330" t="s">
        <v>7208</v>
      </c>
      <c r="W357" s="601">
        <v>42951.0</v>
      </c>
      <c r="X357" s="330" t="s">
        <v>7207</v>
      </c>
      <c r="Y357" s="330"/>
      <c r="Z357" s="330"/>
      <c r="AA357" s="330"/>
      <c r="AB357" s="330"/>
      <c r="AC357" s="253" t="s">
        <v>284</v>
      </c>
    </row>
    <row r="358" ht="15.75" customHeight="1">
      <c r="A358" s="1072">
        <v>42891.0</v>
      </c>
      <c r="B358" s="599" t="s">
        <v>7209</v>
      </c>
      <c r="C358" s="604"/>
      <c r="D358" s="602" t="s">
        <v>7210</v>
      </c>
      <c r="E358" s="602" t="s">
        <v>7211</v>
      </c>
      <c r="F358" s="307">
        <v>1.0</v>
      </c>
      <c r="G358" s="325">
        <v>510.0</v>
      </c>
      <c r="H358" s="267">
        <v>510.0</v>
      </c>
      <c r="I358" s="266" t="s">
        <v>3474</v>
      </c>
      <c r="J358" s="369"/>
      <c r="K358" s="258">
        <v>42912.0</v>
      </c>
      <c r="L358" s="258">
        <v>42909.0</v>
      </c>
      <c r="M358" s="369"/>
      <c r="N358" s="604" t="s">
        <v>7212</v>
      </c>
      <c r="O358" s="604"/>
      <c r="P358" s="604"/>
      <c r="Q358" s="599"/>
      <c r="R358" s="604"/>
      <c r="S358" s="604"/>
      <c r="T358" s="252"/>
      <c r="U358" s="252"/>
      <c r="V358" s="252"/>
      <c r="W358" s="604"/>
      <c r="X358" s="604" t="s">
        <v>7213</v>
      </c>
      <c r="Y358" s="604"/>
      <c r="Z358" s="604">
        <v>30.3</v>
      </c>
      <c r="AA358" s="262">
        <v>16226.0</v>
      </c>
      <c r="AB358" s="604" t="s">
        <v>7214</v>
      </c>
      <c r="AC358" s="604"/>
    </row>
    <row r="359" ht="15.75" customHeight="1">
      <c r="A359" s="764">
        <v>42891.0</v>
      </c>
      <c r="B359" s="388" t="s">
        <v>1745</v>
      </c>
      <c r="C359" s="765" t="s">
        <v>7215</v>
      </c>
      <c r="D359" s="765" t="s">
        <v>7216</v>
      </c>
      <c r="E359" s="765" t="s">
        <v>6367</v>
      </c>
      <c r="F359" s="307">
        <v>10.0</v>
      </c>
      <c r="G359" s="325">
        <f>75+29+5</f>
        <v>109</v>
      </c>
      <c r="H359" s="581">
        <f t="shared" ref="H359:H835" si="9">G359*F359</f>
        <v>1090</v>
      </c>
      <c r="I359" s="1031" t="s">
        <v>3474</v>
      </c>
      <c r="J359" s="253" t="s">
        <v>6355</v>
      </c>
      <c r="K359" s="258">
        <v>42905.0</v>
      </c>
      <c r="L359" s="258">
        <v>42902.0</v>
      </c>
      <c r="M359" s="253" t="s">
        <v>7217</v>
      </c>
      <c r="N359" s="252" t="s">
        <v>7218</v>
      </c>
      <c r="O359" s="330"/>
      <c r="P359" s="330"/>
      <c r="Q359" s="388"/>
      <c r="R359" s="330"/>
      <c r="S359" s="330"/>
      <c r="T359" s="252" t="s">
        <v>7218</v>
      </c>
      <c r="U359" s="330"/>
      <c r="V359" s="330"/>
      <c r="W359" s="330"/>
      <c r="X359" s="310" t="s">
        <v>7219</v>
      </c>
      <c r="Y359" s="253">
        <v>4.77855925E8</v>
      </c>
      <c r="Z359" s="330"/>
      <c r="AA359" s="330"/>
      <c r="AB359" s="330"/>
      <c r="AC359" s="253" t="s">
        <v>284</v>
      </c>
    </row>
    <row r="360" ht="15.75" customHeight="1">
      <c r="A360" s="764">
        <v>42891.0</v>
      </c>
      <c r="B360" s="388" t="s">
        <v>1745</v>
      </c>
      <c r="C360" s="765" t="s">
        <v>7215</v>
      </c>
      <c r="D360" s="765" t="s">
        <v>7216</v>
      </c>
      <c r="E360" s="765" t="s">
        <v>5431</v>
      </c>
      <c r="F360" s="307">
        <v>10.0</v>
      </c>
      <c r="G360" s="325">
        <v>13.0</v>
      </c>
      <c r="H360" s="581">
        <f t="shared" si="9"/>
        <v>130</v>
      </c>
      <c r="I360" s="1031" t="s">
        <v>3474</v>
      </c>
      <c r="J360" s="253" t="s">
        <v>6355</v>
      </c>
      <c r="K360" s="258">
        <v>42905.0</v>
      </c>
      <c r="L360" s="258">
        <v>42902.0</v>
      </c>
      <c r="M360" s="253" t="s">
        <v>6298</v>
      </c>
      <c r="N360" s="252" t="s">
        <v>7218</v>
      </c>
      <c r="O360" s="330"/>
      <c r="P360" s="330"/>
      <c r="Q360" s="388"/>
      <c r="R360" s="330"/>
      <c r="S360" s="330"/>
      <c r="T360" s="252" t="s">
        <v>7218</v>
      </c>
      <c r="U360" s="330"/>
      <c r="V360" s="330"/>
      <c r="W360" s="330"/>
      <c r="X360" s="310" t="s">
        <v>7219</v>
      </c>
      <c r="Y360" s="253">
        <v>4.77855925E8</v>
      </c>
      <c r="Z360" s="330"/>
      <c r="AA360" s="330"/>
      <c r="AB360" s="330"/>
      <c r="AC360" s="253" t="s">
        <v>284</v>
      </c>
    </row>
    <row r="361" ht="15.75" customHeight="1">
      <c r="A361" s="764">
        <v>42891.0</v>
      </c>
      <c r="B361" s="388" t="s">
        <v>1745</v>
      </c>
      <c r="C361" s="765" t="s">
        <v>7215</v>
      </c>
      <c r="D361" s="765" t="s">
        <v>7216</v>
      </c>
      <c r="E361" s="765" t="s">
        <v>6365</v>
      </c>
      <c r="F361" s="307">
        <v>10.0</v>
      </c>
      <c r="G361" s="325">
        <v>75.0</v>
      </c>
      <c r="H361" s="581">
        <f t="shared" si="9"/>
        <v>750</v>
      </c>
      <c r="I361" s="1031" t="s">
        <v>3474</v>
      </c>
      <c r="J361" s="1056" t="s">
        <v>7220</v>
      </c>
      <c r="K361" s="258">
        <v>42905.0</v>
      </c>
      <c r="L361" s="258">
        <v>42895.0</v>
      </c>
      <c r="M361" s="253" t="s">
        <v>2129</v>
      </c>
      <c r="N361" s="252" t="s">
        <v>7218</v>
      </c>
      <c r="O361" s="330"/>
      <c r="P361" s="330"/>
      <c r="Q361" s="388"/>
      <c r="R361" s="330"/>
      <c r="S361" s="330"/>
      <c r="T361" s="252" t="s">
        <v>7218</v>
      </c>
      <c r="U361" s="330"/>
      <c r="V361" s="330"/>
      <c r="W361" s="330"/>
      <c r="X361" s="310" t="s">
        <v>7219</v>
      </c>
      <c r="Y361" s="253">
        <v>4.77855925E8</v>
      </c>
      <c r="Z361" s="330"/>
      <c r="AA361" s="330"/>
      <c r="AB361" s="330"/>
      <c r="AC361" s="253" t="s">
        <v>284</v>
      </c>
    </row>
    <row r="362" ht="15.75" customHeight="1">
      <c r="A362" s="1072">
        <v>42892.0</v>
      </c>
      <c r="B362" s="599" t="s">
        <v>3640</v>
      </c>
      <c r="C362" s="330"/>
      <c r="D362" s="330" t="s">
        <v>7221</v>
      </c>
      <c r="E362" s="330" t="s">
        <v>7222</v>
      </c>
      <c r="F362" s="307">
        <v>14.0</v>
      </c>
      <c r="G362" s="338">
        <v>155.0</v>
      </c>
      <c r="H362" s="310">
        <f t="shared" si="9"/>
        <v>2170</v>
      </c>
      <c r="I362" s="1031" t="s">
        <v>3474</v>
      </c>
      <c r="J362" s="1056" t="s">
        <v>263</v>
      </c>
      <c r="K362" s="258">
        <v>42902.0</v>
      </c>
      <c r="L362" s="258">
        <v>42900.0</v>
      </c>
      <c r="M362" s="253" t="s">
        <v>90</v>
      </c>
      <c r="N362" s="310" t="s">
        <v>7223</v>
      </c>
      <c r="O362" s="310">
        <v>2054.33</v>
      </c>
      <c r="P362" s="330"/>
      <c r="Q362" s="320" t="s">
        <v>6081</v>
      </c>
      <c r="R362" s="330"/>
      <c r="S362" s="330"/>
      <c r="T362" s="769">
        <v>42900.0</v>
      </c>
      <c r="U362" s="330" t="s">
        <v>7224</v>
      </c>
      <c r="V362" s="770">
        <v>61692.0</v>
      </c>
      <c r="W362" s="601">
        <v>42899.0</v>
      </c>
      <c r="X362" s="310" t="s">
        <v>7225</v>
      </c>
      <c r="Y362" s="330"/>
      <c r="Z362" s="330"/>
      <c r="AA362" s="330"/>
      <c r="AB362" s="330"/>
      <c r="AC362" s="253" t="s">
        <v>284</v>
      </c>
    </row>
    <row r="363" ht="15.75" customHeight="1">
      <c r="A363" s="1072">
        <v>42893.0</v>
      </c>
      <c r="B363" s="388" t="s">
        <v>378</v>
      </c>
      <c r="C363" s="765">
        <v>8063.0</v>
      </c>
      <c r="D363" s="330" t="s">
        <v>7226</v>
      </c>
      <c r="E363" s="330" t="s">
        <v>380</v>
      </c>
      <c r="F363" s="307">
        <v>27.0</v>
      </c>
      <c r="G363" s="338">
        <v>62.0</v>
      </c>
      <c r="H363" s="579">
        <f t="shared" si="9"/>
        <v>1674</v>
      </c>
      <c r="I363" s="1009" t="s">
        <v>3474</v>
      </c>
      <c r="J363" s="363" t="s">
        <v>7018</v>
      </c>
      <c r="K363" s="258">
        <v>42936.0</v>
      </c>
      <c r="L363" s="258">
        <v>42935.0</v>
      </c>
      <c r="M363" s="256" t="s">
        <v>2054</v>
      </c>
      <c r="N363" s="310" t="s">
        <v>7227</v>
      </c>
      <c r="O363" s="330"/>
      <c r="P363" s="579">
        <v>40427.0</v>
      </c>
      <c r="Q363" s="265" t="s">
        <v>2056</v>
      </c>
      <c r="R363" s="330"/>
      <c r="S363" s="810">
        <v>42928.0</v>
      </c>
      <c r="T363" s="769">
        <v>42935.0</v>
      </c>
      <c r="U363" s="330" t="s">
        <v>7228</v>
      </c>
      <c r="V363" s="770">
        <v>40427.0</v>
      </c>
      <c r="W363" s="601">
        <v>42935.0</v>
      </c>
      <c r="X363" s="310" t="s">
        <v>7229</v>
      </c>
      <c r="Y363" s="604" t="s">
        <v>7230</v>
      </c>
      <c r="Z363" s="330"/>
      <c r="AA363" s="330"/>
      <c r="AB363" s="330"/>
      <c r="AC363" s="253" t="s">
        <v>284</v>
      </c>
    </row>
    <row r="364" ht="15.75" customHeight="1">
      <c r="A364" s="1072">
        <v>42893.0</v>
      </c>
      <c r="B364" s="388" t="s">
        <v>378</v>
      </c>
      <c r="C364" s="765">
        <v>8063.0</v>
      </c>
      <c r="D364" s="330" t="s">
        <v>7231</v>
      </c>
      <c r="E364" s="330" t="s">
        <v>380</v>
      </c>
      <c r="F364" s="307">
        <v>40.0</v>
      </c>
      <c r="G364" s="338">
        <v>62.0</v>
      </c>
      <c r="H364" s="579">
        <f t="shared" si="9"/>
        <v>2480</v>
      </c>
      <c r="I364" s="1009" t="s">
        <v>3474</v>
      </c>
      <c r="J364" s="363" t="s">
        <v>7018</v>
      </c>
      <c r="K364" s="258">
        <v>42922.0</v>
      </c>
      <c r="L364" s="258">
        <v>42922.0</v>
      </c>
      <c r="M364" s="256" t="s">
        <v>2054</v>
      </c>
      <c r="N364" s="605" t="s">
        <v>7227</v>
      </c>
      <c r="O364" s="330"/>
      <c r="P364" s="579">
        <v>59892.0</v>
      </c>
      <c r="Q364" s="265" t="s">
        <v>2056</v>
      </c>
      <c r="R364" s="330"/>
      <c r="S364" s="768">
        <v>42921.0</v>
      </c>
      <c r="T364" s="769">
        <v>42921.0</v>
      </c>
      <c r="U364" s="330" t="s">
        <v>7232</v>
      </c>
      <c r="V364" s="770">
        <v>59892.0</v>
      </c>
      <c r="W364" s="258">
        <v>42921.0</v>
      </c>
      <c r="X364" s="310" t="s">
        <v>7233</v>
      </c>
      <c r="Y364" s="604" t="s">
        <v>7234</v>
      </c>
      <c r="Z364" s="330"/>
      <c r="AA364" s="330"/>
      <c r="AB364" s="330"/>
      <c r="AC364" s="253" t="s">
        <v>284</v>
      </c>
    </row>
    <row r="365" ht="15.75" customHeight="1">
      <c r="A365" s="776">
        <v>42894.0</v>
      </c>
      <c r="B365" s="388" t="s">
        <v>464</v>
      </c>
      <c r="C365" s="1004">
        <v>500775.0</v>
      </c>
      <c r="D365" s="388" t="s">
        <v>7235</v>
      </c>
      <c r="E365" s="388" t="s">
        <v>7236</v>
      </c>
      <c r="F365" s="256">
        <v>1.0</v>
      </c>
      <c r="G365" s="325">
        <v>1290.0</v>
      </c>
      <c r="H365" s="581">
        <f t="shared" si="9"/>
        <v>1290</v>
      </c>
      <c r="I365" s="1009" t="s">
        <v>3474</v>
      </c>
      <c r="J365" s="253" t="s">
        <v>7237</v>
      </c>
      <c r="K365" s="258">
        <v>42957.0</v>
      </c>
      <c r="L365" s="258">
        <v>42947.0</v>
      </c>
      <c r="M365" s="592" t="s">
        <v>6298</v>
      </c>
      <c r="N365" s="330" t="s">
        <v>7238</v>
      </c>
      <c r="O365" s="330"/>
      <c r="P365" s="330"/>
      <c r="Q365" s="388"/>
      <c r="R365" s="330"/>
      <c r="S365" s="330"/>
      <c r="T365" s="330"/>
      <c r="U365" s="330"/>
      <c r="V365" s="330"/>
      <c r="W365" s="330"/>
      <c r="X365" s="310" t="s">
        <v>7239</v>
      </c>
      <c r="Y365" s="253">
        <v>8.05576332E8</v>
      </c>
      <c r="Z365" s="330"/>
      <c r="AA365" s="330"/>
      <c r="AB365" s="330"/>
      <c r="AC365" s="253" t="s">
        <v>284</v>
      </c>
    </row>
    <row r="366" ht="15.75" customHeight="1">
      <c r="A366" s="776">
        <v>42894.0</v>
      </c>
      <c r="B366" s="388" t="s">
        <v>464</v>
      </c>
      <c r="C366" s="765">
        <v>500775.0</v>
      </c>
      <c r="D366" s="330" t="s">
        <v>7235</v>
      </c>
      <c r="E366" s="330" t="s">
        <v>1954</v>
      </c>
      <c r="F366" s="256">
        <v>1.0</v>
      </c>
      <c r="G366" s="325">
        <v>356.0</v>
      </c>
      <c r="H366" s="581">
        <f t="shared" si="9"/>
        <v>356</v>
      </c>
      <c r="I366" s="1009" t="s">
        <v>3474</v>
      </c>
      <c r="J366" s="1056" t="s">
        <v>7237</v>
      </c>
      <c r="K366" s="258">
        <v>42957.0</v>
      </c>
      <c r="L366" s="258">
        <v>42947.0</v>
      </c>
      <c r="M366" s="369" t="s">
        <v>6368</v>
      </c>
      <c r="N366" s="310" t="s">
        <v>7240</v>
      </c>
      <c r="O366" s="330"/>
      <c r="P366" s="330"/>
      <c r="Q366" s="388"/>
      <c r="R366" s="330"/>
      <c r="S366" s="330"/>
      <c r="T366" s="330"/>
      <c r="U366" s="330"/>
      <c r="V366" s="330"/>
      <c r="W366" s="330"/>
      <c r="X366" s="310" t="s">
        <v>7239</v>
      </c>
      <c r="Y366" s="253">
        <v>8.05576332E8</v>
      </c>
      <c r="Z366" s="330"/>
      <c r="AA366" s="330"/>
      <c r="AB366" s="330"/>
      <c r="AC366" s="253" t="s">
        <v>284</v>
      </c>
    </row>
    <row r="367" ht="15.75" customHeight="1">
      <c r="A367" s="776">
        <v>42894.0</v>
      </c>
      <c r="B367" s="388" t="s">
        <v>464</v>
      </c>
      <c r="C367" s="765">
        <v>500775.0</v>
      </c>
      <c r="D367" s="330" t="s">
        <v>7235</v>
      </c>
      <c r="E367" s="330" t="s">
        <v>7241</v>
      </c>
      <c r="F367" s="256">
        <v>1.0</v>
      </c>
      <c r="G367" s="325">
        <v>123.0</v>
      </c>
      <c r="H367" s="581">
        <f t="shared" si="9"/>
        <v>123</v>
      </c>
      <c r="I367" s="1009" t="s">
        <v>3474</v>
      </c>
      <c r="J367" s="1056" t="s">
        <v>7237</v>
      </c>
      <c r="K367" s="258">
        <v>42957.0</v>
      </c>
      <c r="L367" s="258">
        <v>42947.0</v>
      </c>
      <c r="M367" s="403" t="s">
        <v>7242</v>
      </c>
      <c r="N367" s="310" t="s">
        <v>7243</v>
      </c>
      <c r="O367" s="330"/>
      <c r="P367" s="330"/>
      <c r="Q367" s="388"/>
      <c r="R367" s="330"/>
      <c r="S367" s="330"/>
      <c r="T367" s="330"/>
      <c r="U367" s="330"/>
      <c r="V367" s="330"/>
      <c r="W367" s="330"/>
      <c r="X367" s="310" t="s">
        <v>7239</v>
      </c>
      <c r="Y367" s="253">
        <v>8.05576332E8</v>
      </c>
      <c r="Z367" s="330"/>
      <c r="AA367" s="330"/>
      <c r="AB367" s="330"/>
      <c r="AC367" s="253" t="s">
        <v>284</v>
      </c>
    </row>
    <row r="368" ht="15.75" customHeight="1">
      <c r="A368" s="776">
        <v>42894.0</v>
      </c>
      <c r="B368" s="388" t="s">
        <v>464</v>
      </c>
      <c r="C368" s="765">
        <v>500775.0</v>
      </c>
      <c r="D368" s="330" t="s">
        <v>7235</v>
      </c>
      <c r="E368" s="330" t="s">
        <v>7244</v>
      </c>
      <c r="F368" s="256">
        <v>1.0</v>
      </c>
      <c r="G368" s="325">
        <v>62.0</v>
      </c>
      <c r="H368" s="581">
        <f t="shared" si="9"/>
        <v>62</v>
      </c>
      <c r="I368" s="1009" t="s">
        <v>3474</v>
      </c>
      <c r="J368" s="1056" t="s">
        <v>7237</v>
      </c>
      <c r="K368" s="258">
        <v>42957.0</v>
      </c>
      <c r="L368" s="258">
        <v>42947.0</v>
      </c>
      <c r="M368" s="1073" t="s">
        <v>7242</v>
      </c>
      <c r="N368" s="650" t="s">
        <v>7245</v>
      </c>
      <c r="O368" s="330"/>
      <c r="P368" s="330"/>
      <c r="Q368" s="388"/>
      <c r="R368" s="330"/>
      <c r="S368" s="330"/>
      <c r="T368" s="330"/>
      <c r="U368" s="330"/>
      <c r="V368" s="330"/>
      <c r="W368" s="330"/>
      <c r="X368" s="310" t="s">
        <v>7239</v>
      </c>
      <c r="Y368" s="253">
        <v>8.05576332E8</v>
      </c>
      <c r="Z368" s="330"/>
      <c r="AA368" s="330"/>
      <c r="AB368" s="330"/>
      <c r="AC368" s="253" t="s">
        <v>284</v>
      </c>
    </row>
    <row r="369" ht="15.75" customHeight="1">
      <c r="A369" s="776">
        <v>42894.0</v>
      </c>
      <c r="B369" s="388" t="s">
        <v>464</v>
      </c>
      <c r="C369" s="765">
        <v>500775.0</v>
      </c>
      <c r="D369" s="330" t="s">
        <v>7246</v>
      </c>
      <c r="E369" s="330" t="s">
        <v>7247</v>
      </c>
      <c r="F369" s="256">
        <v>1.0</v>
      </c>
      <c r="G369" s="325">
        <v>170.0</v>
      </c>
      <c r="H369" s="581">
        <f t="shared" si="9"/>
        <v>170</v>
      </c>
      <c r="I369" s="1009" t="s">
        <v>3474</v>
      </c>
      <c r="J369" s="1056" t="s">
        <v>7237</v>
      </c>
      <c r="K369" s="258">
        <v>42957.0</v>
      </c>
      <c r="L369" s="258">
        <v>42947.0</v>
      </c>
      <c r="M369" s="1074" t="s">
        <v>2129</v>
      </c>
      <c r="N369" s="650" t="s">
        <v>7248</v>
      </c>
      <c r="O369" s="330"/>
      <c r="P369" s="330"/>
      <c r="Q369" s="388"/>
      <c r="R369" s="330"/>
      <c r="S369" s="330"/>
      <c r="T369" s="330"/>
      <c r="U369" s="330"/>
      <c r="V369" s="330"/>
      <c r="W369" s="330"/>
      <c r="X369" s="310" t="s">
        <v>7239</v>
      </c>
      <c r="Y369" s="253">
        <v>8.05576332E8</v>
      </c>
      <c r="Z369" s="330"/>
      <c r="AA369" s="330"/>
      <c r="AB369" s="330"/>
      <c r="AC369" s="253" t="s">
        <v>284</v>
      </c>
    </row>
    <row r="370" ht="15.75" customHeight="1">
      <c r="A370" s="776">
        <v>42894.0</v>
      </c>
      <c r="B370" s="388" t="s">
        <v>464</v>
      </c>
      <c r="C370" s="765">
        <v>500775.0</v>
      </c>
      <c r="D370" s="330" t="s">
        <v>7249</v>
      </c>
      <c r="E370" s="330" t="s">
        <v>7250</v>
      </c>
      <c r="F370" s="256">
        <v>1.0</v>
      </c>
      <c r="G370" s="325">
        <v>150.0</v>
      </c>
      <c r="H370" s="581">
        <f t="shared" si="9"/>
        <v>150</v>
      </c>
      <c r="I370" s="1009" t="s">
        <v>3474</v>
      </c>
      <c r="J370" s="1056" t="s">
        <v>7237</v>
      </c>
      <c r="K370" s="258">
        <v>42957.0</v>
      </c>
      <c r="L370" s="258">
        <v>42947.0</v>
      </c>
      <c r="M370" s="253" t="s">
        <v>2054</v>
      </c>
      <c r="N370" s="1075" t="s">
        <v>7251</v>
      </c>
      <c r="O370" s="330"/>
      <c r="P370" s="330"/>
      <c r="Q370" s="252" t="s">
        <v>2056</v>
      </c>
      <c r="R370" s="330"/>
      <c r="S370" s="339"/>
      <c r="T370" s="330"/>
      <c r="U370" s="330"/>
      <c r="V370" s="330"/>
      <c r="W370" s="330"/>
      <c r="X370" s="310" t="s">
        <v>7239</v>
      </c>
      <c r="Y370" s="253">
        <v>8.05576332E8</v>
      </c>
      <c r="Z370" s="330"/>
      <c r="AA370" s="330"/>
      <c r="AB370" s="330"/>
      <c r="AC370" s="253" t="s">
        <v>284</v>
      </c>
    </row>
    <row r="371" ht="15.75" customHeight="1">
      <c r="A371" s="776">
        <v>42894.0</v>
      </c>
      <c r="B371" s="340" t="s">
        <v>77</v>
      </c>
      <c r="C371" s="252">
        <v>492.0</v>
      </c>
      <c r="D371" s="310" t="s">
        <v>7252</v>
      </c>
      <c r="E371" s="310" t="s">
        <v>720</v>
      </c>
      <c r="F371" s="256">
        <v>50.0</v>
      </c>
      <c r="G371" s="466">
        <v>1.9</v>
      </c>
      <c r="H371" s="581">
        <f t="shared" si="9"/>
        <v>95</v>
      </c>
      <c r="I371" s="266" t="s">
        <v>43</v>
      </c>
      <c r="J371" s="363" t="s">
        <v>316</v>
      </c>
      <c r="K371" s="258">
        <v>42919.0</v>
      </c>
      <c r="L371" s="258">
        <v>42919.0</v>
      </c>
      <c r="M371" s="403" t="s">
        <v>3769</v>
      </c>
      <c r="N371" s="310" t="s">
        <v>7253</v>
      </c>
      <c r="O371" s="330"/>
      <c r="P371" s="330"/>
      <c r="Q371" s="388"/>
      <c r="R371" s="330"/>
      <c r="S371" s="330"/>
      <c r="T371" s="330"/>
      <c r="U371" s="330"/>
      <c r="V371" s="330"/>
      <c r="W371" s="330"/>
      <c r="X371" s="310" t="s">
        <v>7182</v>
      </c>
      <c r="Y371" s="369" t="s">
        <v>7183</v>
      </c>
      <c r="Z371" s="330"/>
      <c r="AA371" s="330"/>
      <c r="AB371" s="330"/>
      <c r="AC371" s="253" t="s">
        <v>284</v>
      </c>
    </row>
    <row r="372" ht="15.75" customHeight="1">
      <c r="A372" s="776">
        <v>42896.0</v>
      </c>
      <c r="B372" s="388" t="s">
        <v>3871</v>
      </c>
      <c r="C372" s="330" t="s">
        <v>7254</v>
      </c>
      <c r="D372" s="330" t="s">
        <v>7255</v>
      </c>
      <c r="E372" s="330" t="s">
        <v>7256</v>
      </c>
      <c r="F372" s="592">
        <v>17.0</v>
      </c>
      <c r="G372" s="793">
        <v>92.0</v>
      </c>
      <c r="H372" s="581">
        <f t="shared" si="9"/>
        <v>1564</v>
      </c>
      <c r="I372" s="266" t="s">
        <v>3874</v>
      </c>
      <c r="J372" s="363" t="s">
        <v>6206</v>
      </c>
      <c r="K372" s="258">
        <v>42908.0</v>
      </c>
      <c r="L372" s="258">
        <v>42905.0</v>
      </c>
      <c r="M372" s="253" t="s">
        <v>90</v>
      </c>
      <c r="N372" s="310" t="s">
        <v>7257</v>
      </c>
      <c r="O372" s="310">
        <v>1392.3</v>
      </c>
      <c r="P372" s="330"/>
      <c r="Q372" s="320" t="s">
        <v>6081</v>
      </c>
      <c r="R372" s="330"/>
      <c r="S372" s="330"/>
      <c r="T372" s="769">
        <v>42905.0</v>
      </c>
      <c r="U372" s="765" t="s">
        <v>7258</v>
      </c>
      <c r="V372" s="770">
        <v>45689.0</v>
      </c>
      <c r="W372" s="601">
        <v>42901.0</v>
      </c>
      <c r="X372" s="310" t="s">
        <v>7259</v>
      </c>
      <c r="Y372" s="330"/>
      <c r="Z372" s="330"/>
      <c r="AA372" s="330"/>
      <c r="AB372" s="330"/>
      <c r="AC372" s="253" t="s">
        <v>284</v>
      </c>
    </row>
    <row r="373" ht="15.75" customHeight="1">
      <c r="A373" s="776">
        <v>42896.0</v>
      </c>
      <c r="B373" s="388" t="s">
        <v>3871</v>
      </c>
      <c r="C373" s="330" t="s">
        <v>7254</v>
      </c>
      <c r="D373" s="330" t="s">
        <v>7255</v>
      </c>
      <c r="E373" s="330" t="s">
        <v>4808</v>
      </c>
      <c r="F373" s="592">
        <v>15.0</v>
      </c>
      <c r="G373" s="793">
        <v>4.0</v>
      </c>
      <c r="H373" s="581">
        <f t="shared" si="9"/>
        <v>60</v>
      </c>
      <c r="I373" s="266" t="s">
        <v>3874</v>
      </c>
      <c r="J373" s="363" t="s">
        <v>6206</v>
      </c>
      <c r="K373" s="258">
        <v>42908.0</v>
      </c>
      <c r="L373" s="258">
        <v>42905.0</v>
      </c>
      <c r="M373" s="253" t="s">
        <v>90</v>
      </c>
      <c r="N373" s="310" t="s">
        <v>7257</v>
      </c>
      <c r="O373" s="310">
        <v>47.25</v>
      </c>
      <c r="P373" s="330"/>
      <c r="Q373" s="320" t="s">
        <v>6081</v>
      </c>
      <c r="R373" s="330"/>
      <c r="S373" s="330"/>
      <c r="T373" s="769">
        <v>42905.0</v>
      </c>
      <c r="U373" s="765" t="s">
        <v>7258</v>
      </c>
      <c r="V373" s="765" t="s">
        <v>7260</v>
      </c>
      <c r="W373" s="601">
        <v>42901.0</v>
      </c>
      <c r="X373" s="310" t="s">
        <v>7259</v>
      </c>
      <c r="Y373" s="330"/>
      <c r="Z373" s="330"/>
      <c r="AA373" s="330"/>
      <c r="AB373" s="330"/>
      <c r="AC373" s="253" t="s">
        <v>284</v>
      </c>
    </row>
    <row r="374" ht="15.75" customHeight="1">
      <c r="A374" s="776">
        <v>42896.0</v>
      </c>
      <c r="B374" s="388" t="s">
        <v>3871</v>
      </c>
      <c r="C374" s="330" t="s">
        <v>7254</v>
      </c>
      <c r="D374" s="330" t="s">
        <v>7255</v>
      </c>
      <c r="E374" s="330" t="s">
        <v>7261</v>
      </c>
      <c r="F374" s="592">
        <v>15.0</v>
      </c>
      <c r="G374" s="793">
        <v>6.5</v>
      </c>
      <c r="H374" s="581">
        <f t="shared" si="9"/>
        <v>97.5</v>
      </c>
      <c r="I374" s="266" t="s">
        <v>3874</v>
      </c>
      <c r="J374" s="363" t="s">
        <v>6206</v>
      </c>
      <c r="K374" s="258">
        <v>42908.0</v>
      </c>
      <c r="L374" s="258">
        <v>42905.0</v>
      </c>
      <c r="M374" s="253" t="s">
        <v>90</v>
      </c>
      <c r="N374" s="310" t="s">
        <v>7257</v>
      </c>
      <c r="O374" s="310">
        <v>81.9</v>
      </c>
      <c r="P374" s="330"/>
      <c r="Q374" s="320" t="s">
        <v>6081</v>
      </c>
      <c r="R374" s="330"/>
      <c r="S374" s="330"/>
      <c r="T374" s="769">
        <v>42905.0</v>
      </c>
      <c r="U374" s="765" t="s">
        <v>7258</v>
      </c>
      <c r="V374" s="765" t="s">
        <v>7260</v>
      </c>
      <c r="W374" s="601">
        <v>42901.0</v>
      </c>
      <c r="X374" s="310" t="s">
        <v>7259</v>
      </c>
      <c r="Y374" s="330"/>
      <c r="Z374" s="330"/>
      <c r="AA374" s="330"/>
      <c r="AB374" s="330"/>
      <c r="AC374" s="253" t="s">
        <v>284</v>
      </c>
    </row>
    <row r="375" ht="15.75" customHeight="1">
      <c r="A375" s="776">
        <v>42898.0</v>
      </c>
      <c r="B375" s="388" t="s">
        <v>101</v>
      </c>
      <c r="C375" s="330" t="s">
        <v>7262</v>
      </c>
      <c r="D375" s="330" t="s">
        <v>7263</v>
      </c>
      <c r="E375" s="330" t="s">
        <v>7264</v>
      </c>
      <c r="F375" s="1041">
        <v>5.0</v>
      </c>
      <c r="G375" s="325">
        <v>237.0</v>
      </c>
      <c r="H375" s="1061">
        <f t="shared" si="9"/>
        <v>1185</v>
      </c>
      <c r="I375" s="266" t="s">
        <v>3474</v>
      </c>
      <c r="J375" s="363" t="s">
        <v>7265</v>
      </c>
      <c r="K375" s="258">
        <v>42915.0</v>
      </c>
      <c r="L375" s="258">
        <v>42914.0</v>
      </c>
      <c r="M375" s="253" t="s">
        <v>6298</v>
      </c>
      <c r="N375" s="252" t="s">
        <v>7266</v>
      </c>
      <c r="O375" s="339"/>
      <c r="P375" s="637">
        <v>28502.0</v>
      </c>
      <c r="Q375" s="1004" t="s">
        <v>2148</v>
      </c>
      <c r="R375" s="330"/>
      <c r="S375" s="810">
        <v>42952.0</v>
      </c>
      <c r="T375" s="769">
        <v>42913.0</v>
      </c>
      <c r="U375" s="330" t="s">
        <v>7267</v>
      </c>
      <c r="V375" s="770">
        <v>28502.0</v>
      </c>
      <c r="W375" s="258">
        <v>42952.0</v>
      </c>
      <c r="X375" s="252" t="s">
        <v>7049</v>
      </c>
      <c r="Y375" s="253">
        <v>5.510824815E9</v>
      </c>
      <c r="Z375" s="330"/>
      <c r="AA375" s="330"/>
      <c r="AB375" s="330"/>
      <c r="AC375" s="253" t="s">
        <v>284</v>
      </c>
    </row>
    <row r="376" ht="15.75" customHeight="1">
      <c r="A376" s="776">
        <v>42898.0</v>
      </c>
      <c r="B376" s="388" t="s">
        <v>101</v>
      </c>
      <c r="C376" s="330" t="s">
        <v>7268</v>
      </c>
      <c r="D376" s="310" t="s">
        <v>7269</v>
      </c>
      <c r="E376" s="310" t="s">
        <v>6612</v>
      </c>
      <c r="F376" s="1041">
        <v>3.0</v>
      </c>
      <c r="G376" s="254">
        <v>39.0</v>
      </c>
      <c r="H376" s="581">
        <f t="shared" si="9"/>
        <v>117</v>
      </c>
      <c r="I376" s="266" t="s">
        <v>3474</v>
      </c>
      <c r="J376" s="369" t="s">
        <v>3739</v>
      </c>
      <c r="K376" s="258">
        <v>42915.0</v>
      </c>
      <c r="L376" s="258">
        <v>42906.0</v>
      </c>
      <c r="M376" s="266" t="s">
        <v>2170</v>
      </c>
      <c r="N376" s="310" t="s">
        <v>7270</v>
      </c>
      <c r="O376" s="330"/>
      <c r="P376" s="579">
        <v>2983.0</v>
      </c>
      <c r="Q376" s="310" t="s">
        <v>2172</v>
      </c>
      <c r="R376" s="330"/>
      <c r="S376" s="810">
        <v>42899.0</v>
      </c>
      <c r="T376" s="769">
        <v>42902.0</v>
      </c>
      <c r="U376" s="330" t="s">
        <v>7271</v>
      </c>
      <c r="V376" s="770">
        <v>2983.0</v>
      </c>
      <c r="W376" s="601">
        <v>42899.0</v>
      </c>
      <c r="X376" s="252" t="s">
        <v>7049</v>
      </c>
      <c r="Y376" s="253">
        <v>5.510824815E9</v>
      </c>
      <c r="Z376" s="330"/>
      <c r="AA376" s="330"/>
      <c r="AB376" s="330"/>
      <c r="AC376" s="253" t="s">
        <v>284</v>
      </c>
    </row>
    <row r="377" ht="15.75" customHeight="1">
      <c r="A377" s="776">
        <v>42898.0</v>
      </c>
      <c r="B377" s="388" t="s">
        <v>101</v>
      </c>
      <c r="C377" s="330" t="s">
        <v>7268</v>
      </c>
      <c r="D377" s="310" t="s">
        <v>7272</v>
      </c>
      <c r="E377" s="310" t="s">
        <v>7273</v>
      </c>
      <c r="F377" s="307">
        <v>3.0</v>
      </c>
      <c r="G377" s="254">
        <v>322.0</v>
      </c>
      <c r="H377" s="581">
        <f t="shared" si="9"/>
        <v>966</v>
      </c>
      <c r="I377" s="266" t="s">
        <v>3474</v>
      </c>
      <c r="J377" s="369" t="s">
        <v>3739</v>
      </c>
      <c r="K377" s="258">
        <v>42915.0</v>
      </c>
      <c r="L377" s="258">
        <v>42905.0</v>
      </c>
      <c r="M377" s="333" t="s">
        <v>2028</v>
      </c>
      <c r="N377" s="310" t="s">
        <v>7274</v>
      </c>
      <c r="O377" s="330"/>
      <c r="P377" s="579">
        <v>27550.0</v>
      </c>
      <c r="Q377" s="340" t="s">
        <v>2030</v>
      </c>
      <c r="R377" s="330"/>
      <c r="S377" s="810">
        <v>42952.0</v>
      </c>
      <c r="T377" s="771">
        <v>42905.0</v>
      </c>
      <c r="U377" s="765" t="s">
        <v>7275</v>
      </c>
      <c r="V377" s="770">
        <v>28309.0</v>
      </c>
      <c r="W377" s="258">
        <v>42955.0</v>
      </c>
      <c r="X377" s="252" t="s">
        <v>7049</v>
      </c>
      <c r="Y377" s="253">
        <v>5.510824815E9</v>
      </c>
      <c r="Z377" s="330"/>
      <c r="AA377" s="330"/>
      <c r="AB377" s="330"/>
      <c r="AC377" s="253" t="s">
        <v>284</v>
      </c>
    </row>
    <row r="378" ht="15.75" customHeight="1">
      <c r="A378" s="776">
        <v>42898.0</v>
      </c>
      <c r="B378" s="388" t="s">
        <v>101</v>
      </c>
      <c r="C378" s="330" t="s">
        <v>7268</v>
      </c>
      <c r="D378" s="310" t="s">
        <v>7276</v>
      </c>
      <c r="E378" s="310" t="s">
        <v>3862</v>
      </c>
      <c r="F378" s="307">
        <v>3.0</v>
      </c>
      <c r="G378" s="254">
        <v>9.0</v>
      </c>
      <c r="H378" s="581">
        <f t="shared" si="9"/>
        <v>27</v>
      </c>
      <c r="I378" s="266" t="s">
        <v>3474</v>
      </c>
      <c r="J378" s="369" t="s">
        <v>3739</v>
      </c>
      <c r="K378" s="258">
        <v>42915.0</v>
      </c>
      <c r="L378" s="258">
        <v>42905.0</v>
      </c>
      <c r="M378" s="403" t="s">
        <v>2028</v>
      </c>
      <c r="N378" s="310" t="s">
        <v>7274</v>
      </c>
      <c r="O378" s="330"/>
      <c r="P378" s="310">
        <v>759.0</v>
      </c>
      <c r="Q378" s="578" t="s">
        <v>2030</v>
      </c>
      <c r="R378" s="330"/>
      <c r="S378" s="810">
        <v>42952.0</v>
      </c>
      <c r="T378" s="771">
        <v>42905.0</v>
      </c>
      <c r="U378" s="765" t="s">
        <v>7275</v>
      </c>
      <c r="V378" s="765" t="s">
        <v>7277</v>
      </c>
      <c r="W378" s="258">
        <v>42955.0</v>
      </c>
      <c r="X378" s="252" t="s">
        <v>7049</v>
      </c>
      <c r="Y378" s="253">
        <v>5.510824815E9</v>
      </c>
      <c r="Z378" s="330"/>
      <c r="AA378" s="330"/>
      <c r="AB378" s="330"/>
      <c r="AC378" s="253" t="s">
        <v>284</v>
      </c>
    </row>
    <row r="379" ht="15.75" customHeight="1">
      <c r="A379" s="776">
        <v>42899.0</v>
      </c>
      <c r="B379" s="597" t="s">
        <v>3506</v>
      </c>
      <c r="C379" s="765" t="s">
        <v>6463</v>
      </c>
      <c r="D379" s="252" t="s">
        <v>7278</v>
      </c>
      <c r="E379" s="252" t="s">
        <v>7279</v>
      </c>
      <c r="F379" s="253">
        <v>100.0</v>
      </c>
      <c r="G379" s="267">
        <v>174.5</v>
      </c>
      <c r="H379" s="267">
        <f t="shared" si="9"/>
        <v>17450</v>
      </c>
      <c r="I379" s="266" t="s">
        <v>171</v>
      </c>
      <c r="J379" s="369" t="s">
        <v>3509</v>
      </c>
      <c r="K379" s="258">
        <v>42940.0</v>
      </c>
      <c r="L379" s="258">
        <v>42937.0</v>
      </c>
      <c r="M379" s="333" t="s">
        <v>3510</v>
      </c>
      <c r="N379" s="310" t="s">
        <v>7280</v>
      </c>
      <c r="O379" s="579">
        <v>16590.0</v>
      </c>
      <c r="P379" s="330"/>
      <c r="Q379" s="320" t="s">
        <v>7281</v>
      </c>
      <c r="R379" s="330"/>
      <c r="S379" s="330"/>
      <c r="T379" s="769">
        <v>42941.0</v>
      </c>
      <c r="U379" s="310" t="s">
        <v>7282</v>
      </c>
      <c r="V379" s="774">
        <v>503507.0</v>
      </c>
      <c r="W379" s="601">
        <v>42935.0</v>
      </c>
      <c r="X379" s="252" t="s">
        <v>6467</v>
      </c>
      <c r="Y379" s="330"/>
      <c r="Z379" s="330"/>
      <c r="AA379" s="330"/>
      <c r="AB379" s="330"/>
      <c r="AC379" s="253" t="s">
        <v>284</v>
      </c>
    </row>
    <row r="380" ht="15.75" customHeight="1">
      <c r="A380" s="776">
        <v>42899.0</v>
      </c>
      <c r="B380" s="340" t="s">
        <v>416</v>
      </c>
      <c r="C380" s="765" t="s">
        <v>7283</v>
      </c>
      <c r="D380" s="310" t="s">
        <v>7284</v>
      </c>
      <c r="E380" s="310" t="s">
        <v>7285</v>
      </c>
      <c r="F380" s="266">
        <v>3.0</v>
      </c>
      <c r="G380" s="267">
        <v>56.0</v>
      </c>
      <c r="H380" s="267">
        <f t="shared" si="9"/>
        <v>168</v>
      </c>
      <c r="I380" s="266" t="s">
        <v>43</v>
      </c>
      <c r="J380" s="403" t="s">
        <v>7286</v>
      </c>
      <c r="K380" s="258">
        <v>42926.0</v>
      </c>
      <c r="L380" s="258">
        <v>42916.0</v>
      </c>
      <c r="M380" s="592" t="s">
        <v>7287</v>
      </c>
      <c r="N380" s="310" t="s">
        <v>7288</v>
      </c>
      <c r="O380" s="330"/>
      <c r="P380" s="579">
        <v>3780.0</v>
      </c>
      <c r="Q380" s="599" t="s">
        <v>2088</v>
      </c>
      <c r="R380" s="330"/>
      <c r="S380" s="581" t="s">
        <v>422</v>
      </c>
      <c r="T380" s="769">
        <v>42915.0</v>
      </c>
      <c r="U380" s="330" t="s">
        <v>7289</v>
      </c>
      <c r="V380" s="770">
        <v>3780.0</v>
      </c>
      <c r="W380" s="601">
        <v>42912.0</v>
      </c>
      <c r="X380" s="310" t="s">
        <v>7290</v>
      </c>
      <c r="Y380" s="330"/>
      <c r="Z380" s="330"/>
      <c r="AA380" s="330"/>
      <c r="AB380" s="330"/>
      <c r="AC380" s="253" t="s">
        <v>284</v>
      </c>
    </row>
    <row r="381" ht="15.75" customHeight="1">
      <c r="A381" s="258">
        <v>42899.0</v>
      </c>
      <c r="B381" s="330" t="s">
        <v>101</v>
      </c>
      <c r="C381" s="330" t="s">
        <v>7291</v>
      </c>
      <c r="D381" s="330" t="s">
        <v>7292</v>
      </c>
      <c r="E381" s="330" t="s">
        <v>7293</v>
      </c>
      <c r="F381" s="307">
        <v>8.0</v>
      </c>
      <c r="G381" s="254">
        <v>1118.0</v>
      </c>
      <c r="H381" s="637">
        <f t="shared" si="9"/>
        <v>8944</v>
      </c>
      <c r="I381" s="256" t="s">
        <v>3474</v>
      </c>
      <c r="J381" s="269" t="s">
        <v>3739</v>
      </c>
      <c r="K381" s="258">
        <v>42915.0</v>
      </c>
      <c r="L381" s="258">
        <v>42914.0</v>
      </c>
      <c r="M381" s="403" t="s">
        <v>1439</v>
      </c>
      <c r="N381" s="310" t="s">
        <v>7294</v>
      </c>
      <c r="O381" s="330"/>
      <c r="P381" s="579">
        <v>252412.0</v>
      </c>
      <c r="Q381" s="310" t="s">
        <v>1976</v>
      </c>
      <c r="R381" s="330"/>
      <c r="S381" s="810">
        <v>42947.0</v>
      </c>
      <c r="T381" s="771">
        <v>42914.0</v>
      </c>
      <c r="U381" s="765" t="s">
        <v>7295</v>
      </c>
      <c r="V381" s="770">
        <v>252412.0</v>
      </c>
      <c r="W381" s="258">
        <v>42951.0</v>
      </c>
      <c r="X381" s="252" t="s">
        <v>7049</v>
      </c>
      <c r="Y381" s="253">
        <v>5.510824815E9</v>
      </c>
      <c r="Z381" s="330"/>
      <c r="AA381" s="330"/>
      <c r="AB381" s="330"/>
      <c r="AC381" s="253" t="s">
        <v>284</v>
      </c>
    </row>
    <row r="382" ht="15.75" customHeight="1">
      <c r="A382" s="258">
        <v>42899.0</v>
      </c>
      <c r="B382" s="578" t="s">
        <v>416</v>
      </c>
      <c r="C382" s="765" t="s">
        <v>7283</v>
      </c>
      <c r="D382" s="310" t="s">
        <v>7284</v>
      </c>
      <c r="E382" s="310" t="s">
        <v>3591</v>
      </c>
      <c r="F382" s="266">
        <v>2.0</v>
      </c>
      <c r="G382" s="267">
        <v>352.0</v>
      </c>
      <c r="H382" s="267">
        <f t="shared" si="9"/>
        <v>704</v>
      </c>
      <c r="I382" s="256" t="s">
        <v>43</v>
      </c>
      <c r="J382" s="333" t="s">
        <v>7286</v>
      </c>
      <c r="K382" s="258">
        <v>42926.0</v>
      </c>
      <c r="L382" s="258">
        <v>42912.0</v>
      </c>
      <c r="M382" s="266" t="s">
        <v>7296</v>
      </c>
      <c r="N382" s="310" t="s">
        <v>7297</v>
      </c>
      <c r="O382" s="330"/>
      <c r="P382" s="579">
        <v>20803.0</v>
      </c>
      <c r="Q382" s="310" t="s">
        <v>2080</v>
      </c>
      <c r="R382" s="330"/>
      <c r="S382" s="810">
        <v>43007.0</v>
      </c>
      <c r="T382" s="769">
        <v>42912.0</v>
      </c>
      <c r="U382" s="330" t="s">
        <v>7298</v>
      </c>
      <c r="V382" s="770">
        <v>20803.0</v>
      </c>
      <c r="W382" s="258">
        <v>43013.0</v>
      </c>
      <c r="X382" s="310" t="s">
        <v>7290</v>
      </c>
      <c r="Y382" s="330"/>
      <c r="Z382" s="330"/>
      <c r="AA382" s="330"/>
      <c r="AB382" s="330"/>
      <c r="AC382" s="253" t="s">
        <v>284</v>
      </c>
    </row>
    <row r="383" ht="15.75" customHeight="1">
      <c r="A383" s="258">
        <v>42899.0</v>
      </c>
      <c r="B383" s="340" t="s">
        <v>416</v>
      </c>
      <c r="C383" s="265" t="s">
        <v>7299</v>
      </c>
      <c r="D383" s="320" t="s">
        <v>7300</v>
      </c>
      <c r="E383" s="320" t="s">
        <v>7301</v>
      </c>
      <c r="F383" s="256">
        <v>6.0</v>
      </c>
      <c r="G383" s="466">
        <v>453.0</v>
      </c>
      <c r="H383" s="267">
        <f t="shared" si="9"/>
        <v>2718</v>
      </c>
      <c r="I383" s="266" t="s">
        <v>43</v>
      </c>
      <c r="J383" s="333" t="s">
        <v>7171</v>
      </c>
      <c r="K383" s="258">
        <v>42926.0</v>
      </c>
      <c r="L383" s="258">
        <v>42908.0</v>
      </c>
      <c r="M383" s="253" t="s">
        <v>90</v>
      </c>
      <c r="N383" s="310" t="s">
        <v>7302</v>
      </c>
      <c r="O383" s="310">
        <v>2457.0</v>
      </c>
      <c r="P383" s="330"/>
      <c r="Q383" s="320" t="s">
        <v>6081</v>
      </c>
      <c r="R383" s="330"/>
      <c r="S383" s="330"/>
      <c r="T383" s="769">
        <v>42908.0</v>
      </c>
      <c r="U383" s="765" t="s">
        <v>7303</v>
      </c>
      <c r="V383" s="770">
        <v>79883.0</v>
      </c>
      <c r="W383" s="601">
        <v>42901.0</v>
      </c>
      <c r="X383" s="310" t="s">
        <v>7304</v>
      </c>
      <c r="Y383" s="330"/>
      <c r="Z383" s="330"/>
      <c r="AA383" s="330"/>
      <c r="AB383" s="330"/>
      <c r="AC383" s="253" t="s">
        <v>284</v>
      </c>
    </row>
    <row r="384" ht="15.75" customHeight="1">
      <c r="A384" s="776">
        <v>42899.0</v>
      </c>
      <c r="B384" s="340" t="s">
        <v>416</v>
      </c>
      <c r="C384" s="265" t="s">
        <v>7299</v>
      </c>
      <c r="D384" s="320" t="s">
        <v>7300</v>
      </c>
      <c r="E384" s="320" t="s">
        <v>7305</v>
      </c>
      <c r="F384" s="256">
        <v>6.0</v>
      </c>
      <c r="G384" s="466">
        <v>41.0</v>
      </c>
      <c r="H384" s="267">
        <f t="shared" si="9"/>
        <v>246</v>
      </c>
      <c r="I384" s="266" t="s">
        <v>43</v>
      </c>
      <c r="J384" s="333" t="s">
        <v>7171</v>
      </c>
      <c r="K384" s="258">
        <v>42926.0</v>
      </c>
      <c r="L384" s="258">
        <v>42908.0</v>
      </c>
      <c r="M384" s="253" t="s">
        <v>90</v>
      </c>
      <c r="N384" s="310" t="s">
        <v>7302</v>
      </c>
      <c r="O384" s="310">
        <v>189.0</v>
      </c>
      <c r="P384" s="330"/>
      <c r="Q384" s="320" t="s">
        <v>6081</v>
      </c>
      <c r="R384" s="330"/>
      <c r="S384" s="330"/>
      <c r="T384" s="769">
        <v>42908.0</v>
      </c>
      <c r="U384" s="765" t="s">
        <v>7303</v>
      </c>
      <c r="V384" s="765" t="s">
        <v>7306</v>
      </c>
      <c r="W384" s="601">
        <v>42901.0</v>
      </c>
      <c r="X384" s="310" t="s">
        <v>7304</v>
      </c>
      <c r="Y384" s="330"/>
      <c r="Z384" s="330"/>
      <c r="AA384" s="330"/>
      <c r="AB384" s="330"/>
      <c r="AC384" s="253" t="s">
        <v>284</v>
      </c>
    </row>
    <row r="385" ht="15.75" customHeight="1">
      <c r="A385" s="776">
        <v>42900.0</v>
      </c>
      <c r="B385" s="340" t="s">
        <v>326</v>
      </c>
      <c r="C385" s="252">
        <v>1611972.0</v>
      </c>
      <c r="D385" s="330" t="s">
        <v>7307</v>
      </c>
      <c r="E385" s="330" t="s">
        <v>3773</v>
      </c>
      <c r="F385" s="592">
        <v>10.0</v>
      </c>
      <c r="G385" s="338">
        <v>567.0</v>
      </c>
      <c r="H385" s="267">
        <f t="shared" si="9"/>
        <v>5670</v>
      </c>
      <c r="I385" s="266" t="s">
        <v>3474</v>
      </c>
      <c r="J385" s="269" t="s">
        <v>3774</v>
      </c>
      <c r="K385" s="258">
        <v>42940.0</v>
      </c>
      <c r="L385" s="258">
        <v>42941.0</v>
      </c>
      <c r="M385" s="333" t="s">
        <v>3775</v>
      </c>
      <c r="N385" s="310" t="s">
        <v>7308</v>
      </c>
      <c r="O385" s="579">
        <v>5355.0</v>
      </c>
      <c r="P385" s="330"/>
      <c r="Q385" s="310" t="s">
        <v>6376</v>
      </c>
      <c r="R385" s="330"/>
      <c r="S385" s="810">
        <v>42978.0</v>
      </c>
      <c r="T385" s="771">
        <v>42937.0</v>
      </c>
      <c r="U385" s="310" t="s">
        <v>7309</v>
      </c>
      <c r="V385" s="774">
        <v>170605.0</v>
      </c>
      <c r="W385" s="601">
        <v>42979.0</v>
      </c>
      <c r="X385" s="310" t="s">
        <v>7310</v>
      </c>
      <c r="Y385" s="253">
        <v>7.79712352869E11</v>
      </c>
      <c r="Z385" s="330"/>
      <c r="AA385" s="330"/>
      <c r="AB385" s="330"/>
      <c r="AC385" s="253" t="s">
        <v>284</v>
      </c>
    </row>
    <row r="386" ht="15.75" customHeight="1">
      <c r="A386" s="776">
        <v>42900.0</v>
      </c>
      <c r="B386" s="340" t="s">
        <v>326</v>
      </c>
      <c r="C386" s="265">
        <v>1611972.0</v>
      </c>
      <c r="D386" s="330" t="s">
        <v>7307</v>
      </c>
      <c r="E386" s="330" t="s">
        <v>53</v>
      </c>
      <c r="F386" s="592">
        <v>10.0</v>
      </c>
      <c r="G386" s="793">
        <v>31.0</v>
      </c>
      <c r="H386" s="267">
        <f t="shared" si="9"/>
        <v>310</v>
      </c>
      <c r="I386" s="266" t="s">
        <v>3474</v>
      </c>
      <c r="J386" s="369" t="s">
        <v>3774</v>
      </c>
      <c r="K386" s="258">
        <v>42940.0</v>
      </c>
      <c r="L386" s="258">
        <v>42941.0</v>
      </c>
      <c r="M386" s="333" t="s">
        <v>3775</v>
      </c>
      <c r="N386" s="310" t="s">
        <v>7308</v>
      </c>
      <c r="O386" s="310">
        <v>226.8</v>
      </c>
      <c r="P386" s="330"/>
      <c r="Q386" s="320" t="s">
        <v>6376</v>
      </c>
      <c r="R386" s="330"/>
      <c r="S386" s="810">
        <v>42978.0</v>
      </c>
      <c r="T386" s="771">
        <v>42937.0</v>
      </c>
      <c r="U386" s="310" t="s">
        <v>7309</v>
      </c>
      <c r="V386" s="310" t="s">
        <v>7311</v>
      </c>
      <c r="W386" s="601">
        <v>42979.0</v>
      </c>
      <c r="X386" s="310" t="s">
        <v>7310</v>
      </c>
      <c r="Y386" s="253">
        <v>7.79712352869E11</v>
      </c>
      <c r="Z386" s="330"/>
      <c r="AA386" s="330"/>
      <c r="AB386" s="330"/>
      <c r="AC386" s="253" t="s">
        <v>284</v>
      </c>
    </row>
    <row r="387" ht="15.75" customHeight="1">
      <c r="A387" s="776">
        <v>42900.0</v>
      </c>
      <c r="B387" s="340" t="s">
        <v>326</v>
      </c>
      <c r="C387" s="265">
        <v>1611972.0</v>
      </c>
      <c r="D387" s="330" t="s">
        <v>7307</v>
      </c>
      <c r="E387" s="330" t="s">
        <v>59</v>
      </c>
      <c r="F387" s="592">
        <v>10.0</v>
      </c>
      <c r="G387" s="793">
        <v>4.0</v>
      </c>
      <c r="H387" s="267">
        <f t="shared" si="9"/>
        <v>40</v>
      </c>
      <c r="I387" s="266" t="s">
        <v>3474</v>
      </c>
      <c r="J387" s="369" t="s">
        <v>3774</v>
      </c>
      <c r="K387" s="258">
        <v>42940.0</v>
      </c>
      <c r="L387" s="258">
        <v>42937.0</v>
      </c>
      <c r="M387" s="403" t="s">
        <v>3775</v>
      </c>
      <c r="N387" s="310" t="s">
        <v>7308</v>
      </c>
      <c r="O387" s="310">
        <v>21.0</v>
      </c>
      <c r="P387" s="330"/>
      <c r="Q387" s="320" t="s">
        <v>6376</v>
      </c>
      <c r="R387" s="330"/>
      <c r="S387" s="810">
        <v>42978.0</v>
      </c>
      <c r="T387" s="771">
        <v>42937.0</v>
      </c>
      <c r="U387" s="310" t="s">
        <v>7309</v>
      </c>
      <c r="V387" s="310" t="s">
        <v>7311</v>
      </c>
      <c r="W387" s="601">
        <v>42979.0</v>
      </c>
      <c r="X387" s="310" t="s">
        <v>7310</v>
      </c>
      <c r="Y387" s="253">
        <v>7.79712352869E11</v>
      </c>
      <c r="Z387" s="330"/>
      <c r="AA387" s="330"/>
      <c r="AB387" s="330"/>
      <c r="AC387" s="253" t="s">
        <v>284</v>
      </c>
    </row>
    <row r="388" ht="15.75" customHeight="1">
      <c r="A388" s="776">
        <v>42900.0</v>
      </c>
      <c r="B388" s="340" t="s">
        <v>326</v>
      </c>
      <c r="C388" s="265">
        <v>1611972.0</v>
      </c>
      <c r="D388" s="330" t="s">
        <v>7307</v>
      </c>
      <c r="E388" s="330" t="s">
        <v>3781</v>
      </c>
      <c r="F388" s="592">
        <v>10.0</v>
      </c>
      <c r="G388" s="793">
        <v>273.0</v>
      </c>
      <c r="H388" s="267">
        <f t="shared" si="9"/>
        <v>2730</v>
      </c>
      <c r="I388" s="266" t="s">
        <v>3474</v>
      </c>
      <c r="J388" s="369" t="s">
        <v>3774</v>
      </c>
      <c r="K388" s="258">
        <v>42940.0</v>
      </c>
      <c r="L388" s="258">
        <v>42933.0</v>
      </c>
      <c r="M388" s="269" t="s">
        <v>45</v>
      </c>
      <c r="N388" s="310" t="s">
        <v>7312</v>
      </c>
      <c r="O388" s="579">
        <v>2289.0</v>
      </c>
      <c r="P388" s="330"/>
      <c r="Q388" s="320" t="s">
        <v>3916</v>
      </c>
      <c r="R388" s="330"/>
      <c r="S388" s="768">
        <v>42960.0</v>
      </c>
      <c r="T388" s="769">
        <v>42930.0</v>
      </c>
      <c r="U388" s="330" t="s">
        <v>7313</v>
      </c>
      <c r="V388" s="770">
        <v>69551.0</v>
      </c>
      <c r="W388" s="601">
        <v>42965.0</v>
      </c>
      <c r="X388" s="310" t="s">
        <v>7310</v>
      </c>
      <c r="Y388" s="253">
        <v>7.79712352869E11</v>
      </c>
      <c r="Z388" s="330"/>
      <c r="AA388" s="330"/>
      <c r="AB388" s="330"/>
      <c r="AC388" s="253" t="s">
        <v>284</v>
      </c>
    </row>
    <row r="389" ht="15.75" customHeight="1">
      <c r="A389" s="764">
        <v>42900.0</v>
      </c>
      <c r="B389" s="597" t="s">
        <v>7314</v>
      </c>
      <c r="C389" s="1004">
        <v>7.000130397E9</v>
      </c>
      <c r="D389" s="252" t="s">
        <v>7315</v>
      </c>
      <c r="E389" s="252" t="s">
        <v>4929</v>
      </c>
      <c r="F389" s="592">
        <v>1.0</v>
      </c>
      <c r="G389" s="793">
        <v>170.0</v>
      </c>
      <c r="H389" s="267">
        <f t="shared" si="9"/>
        <v>170</v>
      </c>
      <c r="I389" s="266" t="s">
        <v>43</v>
      </c>
      <c r="J389" s="403" t="s">
        <v>3623</v>
      </c>
      <c r="K389" s="258">
        <v>42919.0</v>
      </c>
      <c r="L389" s="258">
        <v>42916.0</v>
      </c>
      <c r="M389" s="256" t="s">
        <v>3593</v>
      </c>
      <c r="N389" s="310" t="s">
        <v>7316</v>
      </c>
      <c r="O389" s="330"/>
      <c r="P389" s="579">
        <v>4838.0</v>
      </c>
      <c r="Q389" s="320" t="s">
        <v>2080</v>
      </c>
      <c r="R389" s="330"/>
      <c r="S389" s="810">
        <v>43007.0</v>
      </c>
      <c r="T389" s="769">
        <v>42914.0</v>
      </c>
      <c r="U389" s="330" t="s">
        <v>7317</v>
      </c>
      <c r="V389" s="770">
        <v>6476.0</v>
      </c>
      <c r="W389" s="258">
        <v>43013.0</v>
      </c>
      <c r="X389" s="310" t="s">
        <v>7318</v>
      </c>
      <c r="Y389" s="330"/>
      <c r="Z389" s="330"/>
      <c r="AA389" s="330"/>
      <c r="AB389" s="330"/>
      <c r="AC389" s="253" t="s">
        <v>284</v>
      </c>
    </row>
    <row r="390" ht="15.75" customHeight="1">
      <c r="A390" s="258">
        <v>42900.0</v>
      </c>
      <c r="B390" s="597" t="s">
        <v>6167</v>
      </c>
      <c r="C390" s="765">
        <v>7.000130397E9</v>
      </c>
      <c r="D390" s="252" t="s">
        <v>7315</v>
      </c>
      <c r="E390" s="252" t="s">
        <v>3727</v>
      </c>
      <c r="F390" s="592">
        <v>1.0</v>
      </c>
      <c r="G390" s="793">
        <v>55.0</v>
      </c>
      <c r="H390" s="267">
        <f t="shared" si="9"/>
        <v>55</v>
      </c>
      <c r="I390" s="266" t="s">
        <v>43</v>
      </c>
      <c r="J390" s="777" t="s">
        <v>3623</v>
      </c>
      <c r="K390" s="258">
        <v>42919.0</v>
      </c>
      <c r="L390" s="258">
        <v>42916.0</v>
      </c>
      <c r="M390" s="266" t="s">
        <v>3593</v>
      </c>
      <c r="N390" s="310" t="s">
        <v>7316</v>
      </c>
      <c r="O390" s="330"/>
      <c r="P390" s="579">
        <v>1638.0</v>
      </c>
      <c r="Q390" s="310" t="s">
        <v>2080</v>
      </c>
      <c r="R390" s="330"/>
      <c r="S390" s="810">
        <v>43007.0</v>
      </c>
      <c r="T390" s="769">
        <v>42914.0</v>
      </c>
      <c r="U390" s="330" t="s">
        <v>7317</v>
      </c>
      <c r="V390" s="765" t="s">
        <v>7319</v>
      </c>
      <c r="W390" s="258">
        <v>43013.0</v>
      </c>
      <c r="X390" s="310" t="s">
        <v>7318</v>
      </c>
      <c r="Y390" s="330"/>
      <c r="Z390" s="330"/>
      <c r="AA390" s="330"/>
      <c r="AB390" s="330"/>
      <c r="AC390" s="253" t="s">
        <v>284</v>
      </c>
    </row>
    <row r="391" ht="15.75" customHeight="1">
      <c r="A391" s="776">
        <v>42902.0</v>
      </c>
      <c r="B391" s="340" t="s">
        <v>326</v>
      </c>
      <c r="C391" s="765">
        <v>1612053.0</v>
      </c>
      <c r="D391" s="330" t="s">
        <v>7320</v>
      </c>
      <c r="E391" s="330" t="s">
        <v>6374</v>
      </c>
      <c r="F391" s="592">
        <v>10.0</v>
      </c>
      <c r="G391" s="793">
        <v>438.0</v>
      </c>
      <c r="H391" s="267">
        <f t="shared" si="9"/>
        <v>4380</v>
      </c>
      <c r="I391" s="266" t="s">
        <v>3474</v>
      </c>
      <c r="J391" s="363" t="s">
        <v>3774</v>
      </c>
      <c r="K391" s="258">
        <v>42969.0</v>
      </c>
      <c r="L391" s="258">
        <v>42944.0</v>
      </c>
      <c r="M391" s="403" t="s">
        <v>3775</v>
      </c>
      <c r="N391" s="310" t="s">
        <v>7321</v>
      </c>
      <c r="O391" s="310">
        <v>4042.5</v>
      </c>
      <c r="P391" s="330"/>
      <c r="Q391" s="310" t="s">
        <v>6376</v>
      </c>
      <c r="R391" s="330"/>
      <c r="S391" s="810">
        <v>43008.0</v>
      </c>
      <c r="T391" s="771">
        <v>42944.0</v>
      </c>
      <c r="U391" s="310" t="s">
        <v>7322</v>
      </c>
      <c r="V391" s="774">
        <v>129823.0</v>
      </c>
      <c r="W391" s="258">
        <v>43007.0</v>
      </c>
      <c r="X391" s="310" t="s">
        <v>7323</v>
      </c>
      <c r="Y391" s="253">
        <v>7.70077588248E11</v>
      </c>
      <c r="Z391" s="330"/>
      <c r="AA391" s="330"/>
      <c r="AB391" s="330"/>
      <c r="AC391" s="253" t="s">
        <v>284</v>
      </c>
    </row>
    <row r="392" ht="15.75" customHeight="1">
      <c r="A392" s="776">
        <v>42902.0</v>
      </c>
      <c r="B392" s="340" t="s">
        <v>326</v>
      </c>
      <c r="C392" s="765">
        <v>1612053.0</v>
      </c>
      <c r="D392" s="330" t="s">
        <v>7320</v>
      </c>
      <c r="E392" s="330" t="s">
        <v>53</v>
      </c>
      <c r="F392" s="592">
        <v>10.0</v>
      </c>
      <c r="G392" s="793">
        <v>31.0</v>
      </c>
      <c r="H392" s="267">
        <f t="shared" si="9"/>
        <v>310</v>
      </c>
      <c r="I392" s="266" t="s">
        <v>3474</v>
      </c>
      <c r="J392" s="269" t="s">
        <v>3774</v>
      </c>
      <c r="K392" s="258">
        <v>42969.0</v>
      </c>
      <c r="L392" s="258">
        <v>42944.0</v>
      </c>
      <c r="M392" s="403" t="s">
        <v>3775</v>
      </c>
      <c r="N392" s="310" t="s">
        <v>7321</v>
      </c>
      <c r="O392" s="310">
        <v>226.8</v>
      </c>
      <c r="P392" s="330"/>
      <c r="Q392" s="320" t="s">
        <v>6376</v>
      </c>
      <c r="R392" s="330"/>
      <c r="S392" s="810">
        <v>43008.0</v>
      </c>
      <c r="T392" s="771">
        <v>42944.0</v>
      </c>
      <c r="U392" s="310" t="s">
        <v>7322</v>
      </c>
      <c r="V392" s="310" t="s">
        <v>7324</v>
      </c>
      <c r="W392" s="258">
        <v>43007.0</v>
      </c>
      <c r="X392" s="310" t="s">
        <v>7323</v>
      </c>
      <c r="Y392" s="253">
        <v>7.70077588248E11</v>
      </c>
      <c r="Z392" s="330"/>
      <c r="AA392" s="330"/>
      <c r="AB392" s="330"/>
      <c r="AC392" s="253" t="s">
        <v>284</v>
      </c>
    </row>
    <row r="393" ht="15.75" customHeight="1">
      <c r="A393" s="776">
        <v>42902.0</v>
      </c>
      <c r="B393" s="340" t="s">
        <v>326</v>
      </c>
      <c r="C393" s="765">
        <v>1612053.0</v>
      </c>
      <c r="D393" s="330" t="s">
        <v>7320</v>
      </c>
      <c r="E393" s="330" t="s">
        <v>59</v>
      </c>
      <c r="F393" s="253">
        <v>10.0</v>
      </c>
      <c r="G393" s="338">
        <v>4.0</v>
      </c>
      <c r="H393" s="267">
        <f t="shared" si="9"/>
        <v>40</v>
      </c>
      <c r="I393" s="266" t="s">
        <v>3474</v>
      </c>
      <c r="J393" s="369" t="s">
        <v>3774</v>
      </c>
      <c r="K393" s="258">
        <v>42969.0</v>
      </c>
      <c r="L393" s="258">
        <v>42944.0</v>
      </c>
      <c r="M393" s="333" t="s">
        <v>3775</v>
      </c>
      <c r="N393" s="310" t="s">
        <v>7321</v>
      </c>
      <c r="O393" s="310">
        <v>21.0</v>
      </c>
      <c r="P393" s="330"/>
      <c r="Q393" s="320" t="s">
        <v>6376</v>
      </c>
      <c r="R393" s="330"/>
      <c r="S393" s="810">
        <v>43008.0</v>
      </c>
      <c r="T393" s="771">
        <v>42944.0</v>
      </c>
      <c r="U393" s="310" t="s">
        <v>7322</v>
      </c>
      <c r="V393" s="310" t="s">
        <v>7324</v>
      </c>
      <c r="W393" s="258">
        <v>43007.0</v>
      </c>
      <c r="X393" s="310" t="s">
        <v>7323</v>
      </c>
      <c r="Y393" s="253">
        <v>7.70077588248E11</v>
      </c>
      <c r="Z393" s="330"/>
      <c r="AA393" s="330"/>
      <c r="AB393" s="330"/>
      <c r="AC393" s="253" t="s">
        <v>284</v>
      </c>
    </row>
    <row r="394" ht="15.75" customHeight="1">
      <c r="A394" s="776">
        <v>42902.0</v>
      </c>
      <c r="B394" s="340" t="s">
        <v>326</v>
      </c>
      <c r="C394" s="765">
        <v>1612053.0</v>
      </c>
      <c r="D394" s="330" t="s">
        <v>7320</v>
      </c>
      <c r="E394" s="330" t="s">
        <v>7325</v>
      </c>
      <c r="F394" s="592">
        <v>10.0</v>
      </c>
      <c r="G394" s="793">
        <v>48.0</v>
      </c>
      <c r="H394" s="267">
        <f t="shared" si="9"/>
        <v>480</v>
      </c>
      <c r="I394" s="266" t="s">
        <v>3474</v>
      </c>
      <c r="J394" s="369" t="s">
        <v>3774</v>
      </c>
      <c r="K394" s="258">
        <v>42969.0</v>
      </c>
      <c r="L394" s="258">
        <v>42934.0</v>
      </c>
      <c r="M394" s="269" t="s">
        <v>45</v>
      </c>
      <c r="N394" s="310" t="s">
        <v>7326</v>
      </c>
      <c r="O394" s="310">
        <v>399.0</v>
      </c>
      <c r="P394" s="330"/>
      <c r="Q394" s="320" t="s">
        <v>3916</v>
      </c>
      <c r="R394" s="330"/>
      <c r="S394" s="768">
        <v>42963.0</v>
      </c>
      <c r="T394" s="769">
        <v>42933.0</v>
      </c>
      <c r="U394" s="330" t="s">
        <v>7327</v>
      </c>
      <c r="V394" s="770">
        <v>12136.0</v>
      </c>
      <c r="W394" s="601">
        <v>42965.0</v>
      </c>
      <c r="X394" s="310" t="s">
        <v>7323</v>
      </c>
      <c r="Y394" s="253">
        <v>7.70077588248E11</v>
      </c>
      <c r="Z394" s="330"/>
      <c r="AA394" s="330"/>
      <c r="AB394" s="330"/>
      <c r="AC394" s="253" t="s">
        <v>284</v>
      </c>
    </row>
    <row r="395" ht="15.75" customHeight="1">
      <c r="A395" s="776">
        <v>42902.0</v>
      </c>
      <c r="B395" s="388" t="s">
        <v>101</v>
      </c>
      <c r="C395" s="330"/>
      <c r="D395" s="330" t="s">
        <v>7328</v>
      </c>
      <c r="E395" s="330" t="s">
        <v>7329</v>
      </c>
      <c r="F395" s="1041">
        <v>5.0</v>
      </c>
      <c r="G395" s="325">
        <v>754.0</v>
      </c>
      <c r="H395" s="267">
        <f t="shared" si="9"/>
        <v>3770</v>
      </c>
      <c r="I395" s="266" t="s">
        <v>3474</v>
      </c>
      <c r="J395" s="369" t="s">
        <v>3739</v>
      </c>
      <c r="K395" s="258">
        <v>42922.0</v>
      </c>
      <c r="L395" s="258">
        <v>42922.0</v>
      </c>
      <c r="M395" s="403" t="s">
        <v>2034</v>
      </c>
      <c r="N395" s="310" t="s">
        <v>7330</v>
      </c>
      <c r="O395" s="268">
        <v>3207.75</v>
      </c>
      <c r="P395" s="330"/>
      <c r="Q395" s="320" t="s">
        <v>2036</v>
      </c>
      <c r="R395" s="330"/>
      <c r="S395" s="768">
        <v>42983.0</v>
      </c>
      <c r="T395" s="769">
        <v>42921.0</v>
      </c>
      <c r="U395" s="330" t="s">
        <v>7331</v>
      </c>
      <c r="V395" s="770">
        <v>260598.0</v>
      </c>
      <c r="W395" s="258">
        <v>42985.0</v>
      </c>
      <c r="X395" s="310" t="s">
        <v>7332</v>
      </c>
      <c r="Y395" s="253">
        <v>2.903602122E9</v>
      </c>
      <c r="Z395" s="330"/>
      <c r="AA395" s="330"/>
      <c r="AB395" s="330"/>
      <c r="AC395" s="253" t="s">
        <v>284</v>
      </c>
    </row>
    <row r="396" ht="15.75" customHeight="1">
      <c r="A396" s="776">
        <v>42902.0</v>
      </c>
      <c r="B396" s="388" t="s">
        <v>3677</v>
      </c>
      <c r="C396" s="765">
        <v>300049.0</v>
      </c>
      <c r="D396" s="330" t="s">
        <v>7333</v>
      </c>
      <c r="E396" s="330" t="s">
        <v>7334</v>
      </c>
      <c r="F396" s="592">
        <v>20.0</v>
      </c>
      <c r="G396" s="793">
        <v>82.0</v>
      </c>
      <c r="H396" s="267">
        <f t="shared" si="9"/>
        <v>1640</v>
      </c>
      <c r="I396" s="1031" t="s">
        <v>3474</v>
      </c>
      <c r="J396" s="369" t="s">
        <v>3680</v>
      </c>
      <c r="K396" s="258">
        <v>42912.0</v>
      </c>
      <c r="L396" s="258">
        <v>42907.0</v>
      </c>
      <c r="M396" s="592" t="s">
        <v>90</v>
      </c>
      <c r="N396" s="310" t="s">
        <v>7335</v>
      </c>
      <c r="O396" s="310">
        <v>1554.0</v>
      </c>
      <c r="P396" s="330"/>
      <c r="Q396" s="320" t="s">
        <v>6081</v>
      </c>
      <c r="R396" s="330"/>
      <c r="S396" s="810">
        <v>42947.0</v>
      </c>
      <c r="T396" s="771">
        <v>42907.0</v>
      </c>
      <c r="U396" s="310" t="s">
        <v>7336</v>
      </c>
      <c r="V396" s="774">
        <v>46915.0</v>
      </c>
      <c r="W396" s="601">
        <v>42930.0</v>
      </c>
      <c r="X396" s="310" t="s">
        <v>7337</v>
      </c>
      <c r="Y396" s="253">
        <v>7.79486764396E11</v>
      </c>
      <c r="Z396" s="330"/>
      <c r="AA396" s="330"/>
      <c r="AB396" s="330"/>
      <c r="AC396" s="253" t="s">
        <v>284</v>
      </c>
    </row>
    <row r="397" ht="15.75" customHeight="1">
      <c r="A397" s="776">
        <v>42905.0</v>
      </c>
      <c r="B397" s="388" t="s">
        <v>378</v>
      </c>
      <c r="C397" s="765">
        <v>8080.0</v>
      </c>
      <c r="D397" s="330" t="s">
        <v>7338</v>
      </c>
      <c r="E397" s="330" t="s">
        <v>380</v>
      </c>
      <c r="F397" s="1041">
        <v>198.0</v>
      </c>
      <c r="G397" s="325">
        <v>62.0</v>
      </c>
      <c r="H397" s="267">
        <f t="shared" si="9"/>
        <v>12276</v>
      </c>
      <c r="I397" s="1009" t="s">
        <v>3474</v>
      </c>
      <c r="J397" s="369" t="s">
        <v>7018</v>
      </c>
      <c r="K397" s="258">
        <v>42957.0</v>
      </c>
      <c r="L397" s="258">
        <v>42951.0</v>
      </c>
      <c r="M397" s="256" t="s">
        <v>2054</v>
      </c>
      <c r="N397" s="330" t="s">
        <v>7339</v>
      </c>
      <c r="O397" s="330"/>
      <c r="P397" s="579">
        <v>296465.0</v>
      </c>
      <c r="Q397" s="265" t="s">
        <v>2056</v>
      </c>
      <c r="R397" s="330"/>
      <c r="S397" s="810">
        <v>42983.0</v>
      </c>
      <c r="T397" s="769">
        <v>42950.0</v>
      </c>
      <c r="U397" s="330" t="s">
        <v>7340</v>
      </c>
      <c r="V397" s="770">
        <v>296465.0</v>
      </c>
      <c r="W397" s="258">
        <v>42985.0</v>
      </c>
      <c r="X397" s="310" t="s">
        <v>7341</v>
      </c>
      <c r="Y397" s="604" t="s">
        <v>7342</v>
      </c>
      <c r="Z397" s="330"/>
      <c r="AA397" s="330"/>
      <c r="AB397" s="330"/>
      <c r="AC397" s="253" t="s">
        <v>284</v>
      </c>
    </row>
    <row r="398" ht="15.75" customHeight="1">
      <c r="A398" s="776">
        <v>42905.0</v>
      </c>
      <c r="B398" s="388" t="s">
        <v>464</v>
      </c>
      <c r="C398" s="765">
        <v>500775.0</v>
      </c>
      <c r="D398" s="330" t="s">
        <v>7343</v>
      </c>
      <c r="E398" s="330" t="s">
        <v>7344</v>
      </c>
      <c r="F398" s="592">
        <v>1.0</v>
      </c>
      <c r="G398" s="325">
        <v>160.0</v>
      </c>
      <c r="H398" s="267">
        <f t="shared" si="9"/>
        <v>160</v>
      </c>
      <c r="I398" s="1009" t="s">
        <v>3474</v>
      </c>
      <c r="J398" s="1056" t="s">
        <v>7237</v>
      </c>
      <c r="K398" s="258">
        <v>42957.0</v>
      </c>
      <c r="L398" s="258">
        <v>42947.0</v>
      </c>
      <c r="M398" s="592" t="s">
        <v>6298</v>
      </c>
      <c r="N398" s="330"/>
      <c r="O398" s="310"/>
      <c r="P398" s="330"/>
      <c r="Q398" s="320"/>
      <c r="R398" s="330"/>
      <c r="S398" s="330"/>
      <c r="T398" s="330"/>
      <c r="U398" s="330"/>
      <c r="V398" s="330"/>
      <c r="W398" s="1076"/>
      <c r="X398" s="310" t="s">
        <v>7239</v>
      </c>
      <c r="Y398" s="253">
        <v>8.05576332E8</v>
      </c>
      <c r="Z398" s="330"/>
      <c r="AA398" s="330"/>
      <c r="AB398" s="330"/>
      <c r="AC398" s="253" t="s">
        <v>284</v>
      </c>
    </row>
    <row r="399" ht="15.75" customHeight="1">
      <c r="A399" s="776">
        <v>42905.0</v>
      </c>
      <c r="B399" s="388" t="s">
        <v>6825</v>
      </c>
      <c r="C399" s="1077" t="s">
        <v>7345</v>
      </c>
      <c r="D399" s="330" t="s">
        <v>7346</v>
      </c>
      <c r="E399" s="330" t="s">
        <v>7347</v>
      </c>
      <c r="F399" s="253">
        <v>6.0</v>
      </c>
      <c r="G399" s="338">
        <v>200.0</v>
      </c>
      <c r="H399" s="267">
        <f t="shared" si="9"/>
        <v>1200</v>
      </c>
      <c r="I399" s="266" t="s">
        <v>3474</v>
      </c>
      <c r="J399" s="363" t="s">
        <v>5360</v>
      </c>
      <c r="K399" s="258">
        <v>42922.0</v>
      </c>
      <c r="L399" s="258">
        <v>42920.0</v>
      </c>
      <c r="M399" s="592" t="s">
        <v>7348</v>
      </c>
      <c r="N399" s="310" t="s">
        <v>7349</v>
      </c>
      <c r="O399" s="579">
        <v>1134.0</v>
      </c>
      <c r="P399" s="791">
        <v>34541.0</v>
      </c>
      <c r="Q399" s="320" t="s">
        <v>7350</v>
      </c>
      <c r="R399" s="330"/>
      <c r="S399" s="631">
        <v>42919.0</v>
      </c>
      <c r="T399" s="771">
        <v>42920.0</v>
      </c>
      <c r="U399" s="310" t="s">
        <v>7351</v>
      </c>
      <c r="V399" s="774">
        <v>34530.0</v>
      </c>
      <c r="W399" s="330"/>
      <c r="X399" s="310" t="s">
        <v>7352</v>
      </c>
      <c r="Y399" s="253">
        <v>7.7956330743E10</v>
      </c>
      <c r="Z399" s="330"/>
      <c r="AA399" s="330"/>
      <c r="AB399" s="330"/>
      <c r="AC399" s="253" t="s">
        <v>284</v>
      </c>
    </row>
    <row r="400" ht="15.75" customHeight="1">
      <c r="A400" s="776">
        <v>42905.0</v>
      </c>
      <c r="B400" s="388" t="s">
        <v>6825</v>
      </c>
      <c r="C400" s="765">
        <v>1262017.0</v>
      </c>
      <c r="D400" s="330" t="s">
        <v>7346</v>
      </c>
      <c r="E400" s="330" t="s">
        <v>700</v>
      </c>
      <c r="F400" s="1041">
        <v>1.0</v>
      </c>
      <c r="G400" s="254">
        <v>25.0</v>
      </c>
      <c r="H400" s="267">
        <f t="shared" si="9"/>
        <v>25</v>
      </c>
      <c r="I400" s="266" t="s">
        <v>3474</v>
      </c>
      <c r="J400" s="363" t="s">
        <v>5360</v>
      </c>
      <c r="K400" s="258">
        <v>42922.0</v>
      </c>
      <c r="L400" s="258">
        <v>42914.0</v>
      </c>
      <c r="M400" s="592"/>
      <c r="N400" s="330"/>
      <c r="O400" s="330"/>
      <c r="P400" s="330"/>
      <c r="Q400" s="330"/>
      <c r="R400" s="330"/>
      <c r="S400" s="330"/>
      <c r="T400" s="1078"/>
      <c r="U400" s="1078"/>
      <c r="V400" s="1078"/>
      <c r="W400" s="330"/>
      <c r="X400" s="310" t="s">
        <v>7352</v>
      </c>
      <c r="Y400" s="253">
        <v>7.7956330743E10</v>
      </c>
      <c r="Z400" s="330"/>
      <c r="AA400" s="330"/>
      <c r="AB400" s="330"/>
      <c r="AC400" s="253" t="s">
        <v>284</v>
      </c>
    </row>
    <row r="401" ht="15.75" customHeight="1">
      <c r="A401" s="776">
        <v>42905.0</v>
      </c>
      <c r="B401" s="388" t="s">
        <v>4754</v>
      </c>
      <c r="C401" s="1077" t="s">
        <v>7353</v>
      </c>
      <c r="D401" s="330" t="s">
        <v>7343</v>
      </c>
      <c r="E401" s="330" t="s">
        <v>6385</v>
      </c>
      <c r="F401" s="256">
        <v>19.0</v>
      </c>
      <c r="G401" s="254">
        <v>66.0</v>
      </c>
      <c r="H401" s="267">
        <f t="shared" si="9"/>
        <v>1254</v>
      </c>
      <c r="I401" s="1031" t="s">
        <v>3474</v>
      </c>
      <c r="J401" s="1056" t="s">
        <v>534</v>
      </c>
      <c r="K401" s="258">
        <v>42919.0</v>
      </c>
      <c r="L401" s="258">
        <v>42914.0</v>
      </c>
      <c r="M401" s="403" t="s">
        <v>6386</v>
      </c>
      <c r="N401" s="310" t="s">
        <v>7354</v>
      </c>
      <c r="O401" s="330"/>
      <c r="P401" s="791">
        <v>32191.0</v>
      </c>
      <c r="Q401" s="604" t="s">
        <v>6388</v>
      </c>
      <c r="R401" s="330"/>
      <c r="S401" s="330"/>
      <c r="T401" s="769">
        <v>42913.0</v>
      </c>
      <c r="U401" s="330" t="s">
        <v>7355</v>
      </c>
      <c r="V401" s="770">
        <v>32191.0</v>
      </c>
      <c r="W401" s="601">
        <v>42908.0</v>
      </c>
      <c r="X401" s="310" t="s">
        <v>7356</v>
      </c>
      <c r="Y401" s="330"/>
      <c r="Z401" s="330"/>
      <c r="AA401" s="330"/>
      <c r="AB401" s="330"/>
      <c r="AC401" s="253" t="s">
        <v>284</v>
      </c>
    </row>
    <row r="402" ht="15.75" customHeight="1">
      <c r="A402" s="776">
        <v>42905.0</v>
      </c>
      <c r="B402" s="388" t="s">
        <v>4754</v>
      </c>
      <c r="C402" s="1077" t="s">
        <v>7353</v>
      </c>
      <c r="D402" s="330" t="s">
        <v>7343</v>
      </c>
      <c r="E402" s="330" t="s">
        <v>7357</v>
      </c>
      <c r="F402" s="266">
        <v>1.0</v>
      </c>
      <c r="G402" s="254">
        <v>95.0</v>
      </c>
      <c r="H402" s="267">
        <f t="shared" si="9"/>
        <v>95</v>
      </c>
      <c r="I402" s="1031" t="s">
        <v>3474</v>
      </c>
      <c r="J402" s="1056" t="s">
        <v>534</v>
      </c>
      <c r="K402" s="258">
        <v>42919.0</v>
      </c>
      <c r="L402" s="258">
        <v>42914.0</v>
      </c>
      <c r="M402" s="256" t="s">
        <v>2032</v>
      </c>
      <c r="N402" s="765"/>
      <c r="O402" s="339"/>
      <c r="P402" s="637">
        <v>2962.0</v>
      </c>
      <c r="Q402" s="320" t="s">
        <v>2033</v>
      </c>
      <c r="R402" s="330"/>
      <c r="S402" s="768">
        <v>42953.0</v>
      </c>
      <c r="T402" s="769">
        <v>42925.0</v>
      </c>
      <c r="U402" s="330" t="s">
        <v>7358</v>
      </c>
      <c r="V402" s="770">
        <v>2962.0</v>
      </c>
      <c r="W402" s="601">
        <v>42951.0</v>
      </c>
      <c r="X402" s="310" t="s">
        <v>7356</v>
      </c>
      <c r="Y402" s="330"/>
      <c r="Z402" s="330"/>
      <c r="AA402" s="330"/>
      <c r="AB402" s="330"/>
      <c r="AC402" s="253" t="s">
        <v>284</v>
      </c>
    </row>
    <row r="403" ht="15.75" customHeight="1">
      <c r="A403" s="776">
        <v>42907.0</v>
      </c>
      <c r="B403" s="599" t="s">
        <v>3546</v>
      </c>
      <c r="C403" s="330"/>
      <c r="D403" s="330" t="s">
        <v>7359</v>
      </c>
      <c r="E403" s="330" t="s">
        <v>7360</v>
      </c>
      <c r="F403" s="307">
        <v>1.0</v>
      </c>
      <c r="G403" s="338">
        <v>410.0</v>
      </c>
      <c r="H403" s="267">
        <f t="shared" si="9"/>
        <v>410</v>
      </c>
      <c r="I403" s="1009" t="s">
        <v>3474</v>
      </c>
      <c r="J403" s="369" t="s">
        <v>534</v>
      </c>
      <c r="K403" s="258">
        <v>42999.0</v>
      </c>
      <c r="L403" s="258">
        <v>42998.0</v>
      </c>
      <c r="M403" s="592" t="s">
        <v>6298</v>
      </c>
      <c r="N403" s="310" t="s">
        <v>7361</v>
      </c>
      <c r="O403" s="330"/>
      <c r="P403" s="330"/>
      <c r="Q403" s="388"/>
      <c r="R403" s="330"/>
      <c r="S403" s="792"/>
      <c r="T403" s="769">
        <v>42943.0</v>
      </c>
      <c r="U403" s="330" t="s">
        <v>7362</v>
      </c>
      <c r="V403" s="330" t="s">
        <v>7363</v>
      </c>
      <c r="W403" s="330"/>
      <c r="X403" s="252" t="s">
        <v>7364</v>
      </c>
      <c r="Y403" s="253">
        <v>9.860739136E9</v>
      </c>
      <c r="Z403" s="330"/>
      <c r="AA403" s="330"/>
      <c r="AB403" s="330"/>
      <c r="AC403" s="253" t="s">
        <v>284</v>
      </c>
    </row>
    <row r="404" ht="15.75" customHeight="1">
      <c r="A404" s="776">
        <v>42907.0</v>
      </c>
      <c r="B404" s="599" t="s">
        <v>3546</v>
      </c>
      <c r="C404" s="330"/>
      <c r="D404" s="330" t="s">
        <v>7359</v>
      </c>
      <c r="E404" s="330" t="s">
        <v>7365</v>
      </c>
      <c r="F404" s="307">
        <v>1.0</v>
      </c>
      <c r="G404" s="338">
        <v>225.0</v>
      </c>
      <c r="H404" s="267">
        <f t="shared" si="9"/>
        <v>225</v>
      </c>
      <c r="I404" s="1009" t="s">
        <v>3474</v>
      </c>
      <c r="J404" s="369" t="s">
        <v>3549</v>
      </c>
      <c r="K404" s="258">
        <v>42950.0</v>
      </c>
      <c r="L404" s="258">
        <v>42937.0</v>
      </c>
      <c r="M404" s="253" t="s">
        <v>7366</v>
      </c>
      <c r="N404" s="310" t="s">
        <v>7367</v>
      </c>
      <c r="O404" s="330"/>
      <c r="P404" s="330"/>
      <c r="Q404" s="388"/>
      <c r="R404" s="330"/>
      <c r="S404" s="810">
        <v>42937.0</v>
      </c>
      <c r="T404" s="769">
        <v>42940.0</v>
      </c>
      <c r="U404" s="252" t="s">
        <v>7368</v>
      </c>
      <c r="V404" s="774">
        <v>4725.0</v>
      </c>
      <c r="W404" s="839"/>
      <c r="X404" s="310" t="s">
        <v>7369</v>
      </c>
      <c r="Y404" s="330"/>
      <c r="Z404" s="330"/>
      <c r="AA404" s="330"/>
      <c r="AB404" s="330"/>
      <c r="AC404" s="253" t="s">
        <v>284</v>
      </c>
    </row>
    <row r="405" ht="15.75" customHeight="1">
      <c r="A405" s="776">
        <v>42907.0</v>
      </c>
      <c r="B405" s="599" t="s">
        <v>3546</v>
      </c>
      <c r="C405" s="330"/>
      <c r="D405" s="330" t="s">
        <v>7359</v>
      </c>
      <c r="E405" s="330" t="s">
        <v>7370</v>
      </c>
      <c r="F405" s="307">
        <v>10.0</v>
      </c>
      <c r="G405" s="338">
        <v>61.0</v>
      </c>
      <c r="H405" s="267">
        <f t="shared" si="9"/>
        <v>610</v>
      </c>
      <c r="I405" s="1009" t="s">
        <v>3474</v>
      </c>
      <c r="J405" s="369" t="s">
        <v>3549</v>
      </c>
      <c r="K405" s="258">
        <v>42950.0</v>
      </c>
      <c r="L405" s="886">
        <v>42930.0</v>
      </c>
      <c r="M405" s="256" t="s">
        <v>2170</v>
      </c>
      <c r="N405" s="310" t="s">
        <v>7371</v>
      </c>
      <c r="O405" s="330"/>
      <c r="P405" s="579">
        <v>16454.0</v>
      </c>
      <c r="Q405" s="320" t="s">
        <v>2172</v>
      </c>
      <c r="R405" s="330"/>
      <c r="S405" s="768">
        <v>42927.0</v>
      </c>
      <c r="T405" s="769">
        <v>42926.0</v>
      </c>
      <c r="U405" s="330" t="s">
        <v>7372</v>
      </c>
      <c r="V405" s="770">
        <v>16454.0</v>
      </c>
      <c r="W405" s="258">
        <v>42923.0</v>
      </c>
      <c r="X405" s="310" t="s">
        <v>7369</v>
      </c>
      <c r="Y405" s="330"/>
      <c r="Z405" s="330"/>
      <c r="AA405" s="330"/>
      <c r="AB405" s="330"/>
      <c r="AC405" s="253" t="s">
        <v>284</v>
      </c>
    </row>
    <row r="406" ht="15.75" customHeight="1">
      <c r="A406" s="776">
        <v>42907.0</v>
      </c>
      <c r="B406" s="599" t="s">
        <v>3546</v>
      </c>
      <c r="C406" s="330"/>
      <c r="D406" s="330" t="s">
        <v>7359</v>
      </c>
      <c r="E406" s="330" t="s">
        <v>7133</v>
      </c>
      <c r="F406" s="307">
        <v>10.0</v>
      </c>
      <c r="G406" s="338">
        <v>103.0</v>
      </c>
      <c r="H406" s="267">
        <f t="shared" si="9"/>
        <v>1030</v>
      </c>
      <c r="I406" s="1009" t="s">
        <v>3474</v>
      </c>
      <c r="J406" s="369" t="s">
        <v>3549</v>
      </c>
      <c r="K406" s="258">
        <v>42950.0</v>
      </c>
      <c r="L406" s="258">
        <v>42930.0</v>
      </c>
      <c r="M406" s="256" t="s">
        <v>2170</v>
      </c>
      <c r="N406" s="310" t="s">
        <v>7371</v>
      </c>
      <c r="O406" s="330"/>
      <c r="P406" s="579">
        <v>26659.0</v>
      </c>
      <c r="Q406" s="320" t="s">
        <v>2172</v>
      </c>
      <c r="R406" s="330"/>
      <c r="S406" s="768">
        <v>42927.0</v>
      </c>
      <c r="T406" s="769">
        <v>42926.0</v>
      </c>
      <c r="U406" s="330" t="s">
        <v>7373</v>
      </c>
      <c r="V406" s="770">
        <v>26660.0</v>
      </c>
      <c r="W406" s="258">
        <v>42923.0</v>
      </c>
      <c r="X406" s="310" t="s">
        <v>7369</v>
      </c>
      <c r="Y406" s="330"/>
      <c r="Z406" s="330"/>
      <c r="AA406" s="330"/>
      <c r="AB406" s="330"/>
      <c r="AC406" s="253" t="s">
        <v>284</v>
      </c>
    </row>
    <row r="407" ht="15.75" customHeight="1">
      <c r="A407" s="776">
        <v>42907.0</v>
      </c>
      <c r="B407" s="388" t="s">
        <v>101</v>
      </c>
      <c r="C407" s="330" t="s">
        <v>7374</v>
      </c>
      <c r="D407" s="330" t="s">
        <v>7375</v>
      </c>
      <c r="E407" s="330" t="s">
        <v>7376</v>
      </c>
      <c r="F407" s="307">
        <v>9.0</v>
      </c>
      <c r="G407" s="325">
        <v>847.0</v>
      </c>
      <c r="H407" s="267">
        <f t="shared" si="9"/>
        <v>7623</v>
      </c>
      <c r="I407" s="266" t="s">
        <v>3474</v>
      </c>
      <c r="J407" s="269" t="s">
        <v>7265</v>
      </c>
      <c r="K407" s="258">
        <v>42922.0</v>
      </c>
      <c r="L407" s="258">
        <v>42921.0</v>
      </c>
      <c r="M407" s="403" t="s">
        <v>1439</v>
      </c>
      <c r="N407" s="310" t="s">
        <v>7377</v>
      </c>
      <c r="O407" s="330"/>
      <c r="P407" s="579">
        <v>235881.0</v>
      </c>
      <c r="Q407" s="320" t="s">
        <v>1976</v>
      </c>
      <c r="R407" s="330"/>
      <c r="S407" s="810">
        <v>42978.0</v>
      </c>
      <c r="T407" s="769">
        <v>42921.0</v>
      </c>
      <c r="U407" s="330" t="s">
        <v>7378</v>
      </c>
      <c r="V407" s="770">
        <v>237318.0</v>
      </c>
      <c r="W407" s="258">
        <v>42979.0</v>
      </c>
      <c r="X407" s="310" t="s">
        <v>7332</v>
      </c>
      <c r="Y407" s="253">
        <v>2.903602122E9</v>
      </c>
      <c r="Z407" s="330"/>
      <c r="AA407" s="330"/>
      <c r="AB407" s="330"/>
      <c r="AC407" s="253" t="s">
        <v>284</v>
      </c>
    </row>
    <row r="408" ht="15.75" customHeight="1">
      <c r="A408" s="776">
        <v>42907.0</v>
      </c>
      <c r="B408" s="388" t="s">
        <v>101</v>
      </c>
      <c r="C408" s="330" t="s">
        <v>7374</v>
      </c>
      <c r="D408" s="330" t="s">
        <v>7375</v>
      </c>
      <c r="E408" s="330" t="s">
        <v>7024</v>
      </c>
      <c r="F408" s="307">
        <v>9.0</v>
      </c>
      <c r="G408" s="325">
        <v>6.0</v>
      </c>
      <c r="H408" s="267">
        <f t="shared" si="9"/>
        <v>54</v>
      </c>
      <c r="I408" s="266" t="s">
        <v>3474</v>
      </c>
      <c r="J408" s="269" t="s">
        <v>7265</v>
      </c>
      <c r="K408" s="258">
        <v>42922.0</v>
      </c>
      <c r="L408" s="258">
        <v>42921.0</v>
      </c>
      <c r="M408" s="333" t="s">
        <v>1439</v>
      </c>
      <c r="N408" s="310" t="s">
        <v>7377</v>
      </c>
      <c r="O408" s="330"/>
      <c r="P408" s="579">
        <v>1436.0</v>
      </c>
      <c r="Q408" s="320" t="s">
        <v>1976</v>
      </c>
      <c r="R408" s="330"/>
      <c r="S408" s="810">
        <v>42978.0</v>
      </c>
      <c r="T408" s="769">
        <v>42921.0</v>
      </c>
      <c r="U408" s="1079" t="s">
        <v>7378</v>
      </c>
      <c r="V408" s="1079" t="s">
        <v>7379</v>
      </c>
      <c r="W408" s="1080">
        <v>42979.0</v>
      </c>
      <c r="X408" s="310" t="s">
        <v>7332</v>
      </c>
      <c r="Y408" s="253">
        <v>2.903602122E9</v>
      </c>
      <c r="Z408" s="330"/>
      <c r="AA408" s="330"/>
      <c r="AB408" s="330"/>
      <c r="AC408" s="253" t="s">
        <v>284</v>
      </c>
    </row>
    <row r="409" ht="15.75" customHeight="1">
      <c r="A409" s="776">
        <v>42907.0</v>
      </c>
      <c r="B409" s="388" t="s">
        <v>101</v>
      </c>
      <c r="C409" s="330" t="s">
        <v>7374</v>
      </c>
      <c r="D409" s="330" t="s">
        <v>7375</v>
      </c>
      <c r="E409" s="330" t="s">
        <v>7030</v>
      </c>
      <c r="F409" s="307">
        <v>9.0</v>
      </c>
      <c r="G409" s="325">
        <f>G406*10%</f>
        <v>10.3</v>
      </c>
      <c r="H409" s="267">
        <f t="shared" si="9"/>
        <v>92.7</v>
      </c>
      <c r="I409" s="266" t="s">
        <v>3474</v>
      </c>
      <c r="J409" s="269" t="s">
        <v>7265</v>
      </c>
      <c r="K409" s="258">
        <v>42922.0</v>
      </c>
      <c r="L409" s="258">
        <v>42921.0</v>
      </c>
      <c r="M409" s="403" t="s">
        <v>1439</v>
      </c>
      <c r="N409" s="310" t="s">
        <v>7377</v>
      </c>
      <c r="O409" s="330"/>
      <c r="P409" s="581" t="s">
        <v>7380</v>
      </c>
      <c r="Q409" s="310" t="s">
        <v>1976</v>
      </c>
      <c r="R409" s="330"/>
      <c r="S409" s="810">
        <v>42978.0</v>
      </c>
      <c r="T409" s="769">
        <v>42921.0</v>
      </c>
      <c r="U409" s="330" t="s">
        <v>7378</v>
      </c>
      <c r="V409" s="330" t="s">
        <v>7379</v>
      </c>
      <c r="W409" s="258">
        <v>42979.0</v>
      </c>
      <c r="X409" s="310" t="s">
        <v>7332</v>
      </c>
      <c r="Y409" s="253">
        <v>2.903602122E9</v>
      </c>
      <c r="Z409" s="330"/>
      <c r="AA409" s="330"/>
      <c r="AB409" s="330"/>
      <c r="AC409" s="253" t="s">
        <v>284</v>
      </c>
    </row>
    <row r="410" ht="15.75" customHeight="1">
      <c r="A410" s="776">
        <v>42907.0</v>
      </c>
      <c r="B410" s="388" t="s">
        <v>101</v>
      </c>
      <c r="C410" s="330" t="s">
        <v>7374</v>
      </c>
      <c r="D410" s="330" t="s">
        <v>7375</v>
      </c>
      <c r="E410" s="330" t="s">
        <v>6938</v>
      </c>
      <c r="F410" s="307">
        <v>9.0</v>
      </c>
      <c r="G410" s="325">
        <v>44.0</v>
      </c>
      <c r="H410" s="267">
        <f t="shared" si="9"/>
        <v>396</v>
      </c>
      <c r="I410" s="266" t="s">
        <v>3474</v>
      </c>
      <c r="J410" s="269" t="s">
        <v>7265</v>
      </c>
      <c r="K410" s="258">
        <v>42922.0</v>
      </c>
      <c r="L410" s="258">
        <v>42920.0</v>
      </c>
      <c r="M410" s="403" t="s">
        <v>2508</v>
      </c>
      <c r="N410" s="310" t="s">
        <v>7381</v>
      </c>
      <c r="O410" s="330"/>
      <c r="P410" s="579">
        <v>9356.0</v>
      </c>
      <c r="Q410" s="310" t="s">
        <v>4491</v>
      </c>
      <c r="R410" s="330"/>
      <c r="S410" s="631">
        <v>42952.0</v>
      </c>
      <c r="T410" s="769">
        <v>42919.0</v>
      </c>
      <c r="U410" s="330" t="s">
        <v>7382</v>
      </c>
      <c r="V410" s="770">
        <v>9356.0</v>
      </c>
      <c r="W410" s="601">
        <v>42951.0</v>
      </c>
      <c r="X410" s="310" t="s">
        <v>7332</v>
      </c>
      <c r="Y410" s="253">
        <v>2.903602122E9</v>
      </c>
      <c r="Z410" s="330"/>
      <c r="AA410" s="330"/>
      <c r="AB410" s="330"/>
      <c r="AC410" s="253" t="s">
        <v>284</v>
      </c>
    </row>
    <row r="411" ht="15.75" customHeight="1">
      <c r="A411" s="601">
        <v>42907.0</v>
      </c>
      <c r="B411" s="597" t="s">
        <v>7314</v>
      </c>
      <c r="C411" s="765">
        <v>7.000130574E9</v>
      </c>
      <c r="D411" s="310" t="s">
        <v>7383</v>
      </c>
      <c r="E411" s="310" t="s">
        <v>3728</v>
      </c>
      <c r="F411" s="307">
        <v>5.0</v>
      </c>
      <c r="G411" s="254">
        <v>39.0</v>
      </c>
      <c r="H411" s="267">
        <f t="shared" si="9"/>
        <v>195</v>
      </c>
      <c r="I411" s="266" t="s">
        <v>43</v>
      </c>
      <c r="J411" s="403" t="s">
        <v>6278</v>
      </c>
      <c r="K411" s="258">
        <v>42912.0</v>
      </c>
      <c r="L411" s="258">
        <v>42909.0</v>
      </c>
      <c r="M411" s="266" t="s">
        <v>3593</v>
      </c>
      <c r="N411" s="310" t="s">
        <v>7384</v>
      </c>
      <c r="O411" s="330"/>
      <c r="P411" s="579">
        <v>5470.0</v>
      </c>
      <c r="Q411" s="310" t="s">
        <v>2080</v>
      </c>
      <c r="R411" s="330"/>
      <c r="S411" s="810">
        <v>42978.0</v>
      </c>
      <c r="T411" s="769">
        <v>42909.0</v>
      </c>
      <c r="U411" s="330" t="s">
        <v>7385</v>
      </c>
      <c r="V411" s="770">
        <v>110602.0</v>
      </c>
      <c r="W411" s="258">
        <v>42979.0</v>
      </c>
      <c r="X411" s="310" t="s">
        <v>7386</v>
      </c>
      <c r="Y411" s="330"/>
      <c r="Z411" s="330"/>
      <c r="AA411" s="330"/>
      <c r="AB411" s="330"/>
      <c r="AC411" s="253" t="s">
        <v>284</v>
      </c>
    </row>
    <row r="412" ht="15.75" customHeight="1">
      <c r="A412" s="601">
        <v>42907.0</v>
      </c>
      <c r="B412" s="597" t="s">
        <v>7314</v>
      </c>
      <c r="C412" s="765">
        <v>7.000130574E9</v>
      </c>
      <c r="D412" s="310" t="s">
        <v>7383</v>
      </c>
      <c r="E412" s="310" t="s">
        <v>4649</v>
      </c>
      <c r="F412" s="307">
        <v>5.0</v>
      </c>
      <c r="G412" s="254">
        <v>249.0</v>
      </c>
      <c r="H412" s="267">
        <f t="shared" si="9"/>
        <v>1245</v>
      </c>
      <c r="I412" s="266" t="s">
        <v>43</v>
      </c>
      <c r="J412" s="403" t="s">
        <v>6278</v>
      </c>
      <c r="K412" s="258">
        <v>42912.0</v>
      </c>
      <c r="L412" s="258">
        <v>42909.0</v>
      </c>
      <c r="M412" s="266" t="s">
        <v>3593</v>
      </c>
      <c r="N412" s="310" t="s">
        <v>7384</v>
      </c>
      <c r="O412" s="330"/>
      <c r="P412" s="579">
        <v>35280.0</v>
      </c>
      <c r="Q412" s="310" t="s">
        <v>2080</v>
      </c>
      <c r="R412" s="330"/>
      <c r="S412" s="810">
        <v>42978.0</v>
      </c>
      <c r="T412" s="769">
        <v>42909.0</v>
      </c>
      <c r="U412" s="330" t="s">
        <v>7385</v>
      </c>
      <c r="V412" s="330" t="s">
        <v>7387</v>
      </c>
      <c r="W412" s="258">
        <v>42979.0</v>
      </c>
      <c r="X412" s="310" t="s">
        <v>7386</v>
      </c>
      <c r="Y412" s="330"/>
      <c r="Z412" s="330"/>
      <c r="AA412" s="330"/>
      <c r="AB412" s="330"/>
      <c r="AC412" s="253" t="s">
        <v>284</v>
      </c>
    </row>
    <row r="413" ht="15.75" customHeight="1">
      <c r="A413" s="601">
        <v>42907.0</v>
      </c>
      <c r="B413" s="597" t="s">
        <v>7314</v>
      </c>
      <c r="C413" s="765">
        <v>7.000130574E9</v>
      </c>
      <c r="D413" s="310" t="s">
        <v>7383</v>
      </c>
      <c r="E413" s="310" t="s">
        <v>4652</v>
      </c>
      <c r="F413" s="307">
        <v>5.0</v>
      </c>
      <c r="G413" s="254">
        <v>285.0</v>
      </c>
      <c r="H413" s="267">
        <f t="shared" si="9"/>
        <v>1425</v>
      </c>
      <c r="I413" s="266" t="s">
        <v>43</v>
      </c>
      <c r="J413" s="403" t="s">
        <v>6278</v>
      </c>
      <c r="K413" s="258">
        <v>42912.0</v>
      </c>
      <c r="L413" s="258">
        <v>42909.0</v>
      </c>
      <c r="M413" s="266" t="s">
        <v>3593</v>
      </c>
      <c r="N413" s="310" t="s">
        <v>7384</v>
      </c>
      <c r="O413" s="330"/>
      <c r="P413" s="579">
        <v>40320.0</v>
      </c>
      <c r="Q413" s="310" t="s">
        <v>2080</v>
      </c>
      <c r="R413" s="330"/>
      <c r="S413" s="810">
        <v>42978.0</v>
      </c>
      <c r="T413" s="769">
        <v>42909.0</v>
      </c>
      <c r="U413" s="330" t="s">
        <v>7385</v>
      </c>
      <c r="V413" s="330" t="s">
        <v>7387</v>
      </c>
      <c r="W413" s="258">
        <v>42979.0</v>
      </c>
      <c r="X413" s="310" t="s">
        <v>7386</v>
      </c>
      <c r="Y413" s="330"/>
      <c r="Z413" s="330"/>
      <c r="AA413" s="330"/>
      <c r="AB413" s="330"/>
      <c r="AC413" s="253" t="s">
        <v>284</v>
      </c>
    </row>
    <row r="414" ht="15.75" customHeight="1">
      <c r="A414" s="601">
        <v>42907.0</v>
      </c>
      <c r="B414" s="597" t="s">
        <v>7314</v>
      </c>
      <c r="C414" s="765">
        <v>7.000130574E9</v>
      </c>
      <c r="D414" s="310" t="s">
        <v>7383</v>
      </c>
      <c r="E414" s="310" t="s">
        <v>7139</v>
      </c>
      <c r="F414" s="307">
        <v>3.0</v>
      </c>
      <c r="G414" s="254">
        <v>85.0</v>
      </c>
      <c r="H414" s="267">
        <f t="shared" si="9"/>
        <v>255</v>
      </c>
      <c r="I414" s="266" t="s">
        <v>43</v>
      </c>
      <c r="J414" s="403" t="s">
        <v>6278</v>
      </c>
      <c r="K414" s="258">
        <v>42912.0</v>
      </c>
      <c r="L414" s="258">
        <v>42909.0</v>
      </c>
      <c r="M414" s="266" t="s">
        <v>3593</v>
      </c>
      <c r="N414" s="310" t="s">
        <v>7384</v>
      </c>
      <c r="O414" s="330"/>
      <c r="P414" s="579">
        <v>7132.0</v>
      </c>
      <c r="Q414" s="310" t="s">
        <v>2080</v>
      </c>
      <c r="R414" s="330"/>
      <c r="S414" s="810">
        <v>42978.0</v>
      </c>
      <c r="T414" s="769">
        <v>42909.0</v>
      </c>
      <c r="U414" s="330" t="s">
        <v>7385</v>
      </c>
      <c r="V414" s="330" t="s">
        <v>7387</v>
      </c>
      <c r="W414" s="258">
        <v>42979.0</v>
      </c>
      <c r="X414" s="310" t="s">
        <v>7386</v>
      </c>
      <c r="Y414" s="330"/>
      <c r="Z414" s="330"/>
      <c r="AA414" s="330"/>
      <c r="AB414" s="330"/>
      <c r="AC414" s="253" t="s">
        <v>284</v>
      </c>
    </row>
    <row r="415" ht="15.75" customHeight="1">
      <c r="A415" s="601">
        <v>42907.0</v>
      </c>
      <c r="B415" s="597" t="s">
        <v>7314</v>
      </c>
      <c r="C415" s="765">
        <v>7.000130574E9</v>
      </c>
      <c r="D415" s="310" t="s">
        <v>7383</v>
      </c>
      <c r="E415" s="310" t="s">
        <v>7388</v>
      </c>
      <c r="F415" s="307">
        <v>3.0</v>
      </c>
      <c r="G415" s="254">
        <v>263.0</v>
      </c>
      <c r="H415" s="267">
        <f t="shared" si="9"/>
        <v>789</v>
      </c>
      <c r="I415" s="266" t="s">
        <v>43</v>
      </c>
      <c r="J415" s="403" t="s">
        <v>6278</v>
      </c>
      <c r="K415" s="258">
        <v>42912.0</v>
      </c>
      <c r="L415" s="258">
        <v>42909.0</v>
      </c>
      <c r="M415" s="266" t="s">
        <v>3593</v>
      </c>
      <c r="N415" s="310" t="s">
        <v>7384</v>
      </c>
      <c r="O415" s="330"/>
      <c r="P415" s="579">
        <v>22400.0</v>
      </c>
      <c r="Q415" s="310" t="s">
        <v>2080</v>
      </c>
      <c r="R415" s="330"/>
      <c r="S415" s="810">
        <v>42978.0</v>
      </c>
      <c r="T415" s="769">
        <v>42909.0</v>
      </c>
      <c r="U415" s="330" t="s">
        <v>7385</v>
      </c>
      <c r="V415" s="330" t="s">
        <v>7387</v>
      </c>
      <c r="W415" s="258">
        <v>42979.0</v>
      </c>
      <c r="X415" s="310" t="s">
        <v>7386</v>
      </c>
      <c r="Y415" s="330"/>
      <c r="Z415" s="330"/>
      <c r="AA415" s="330"/>
      <c r="AB415" s="330"/>
      <c r="AC415" s="253" t="s">
        <v>284</v>
      </c>
    </row>
    <row r="416" ht="15.75" customHeight="1">
      <c r="A416" s="764">
        <v>42908.0</v>
      </c>
      <c r="B416" s="1004" t="s">
        <v>373</v>
      </c>
      <c r="C416" s="765">
        <v>2.01706210005E11</v>
      </c>
      <c r="D416" s="252" t="s">
        <v>7389</v>
      </c>
      <c r="E416" s="252" t="s">
        <v>375</v>
      </c>
      <c r="F416" s="307">
        <v>60.0</v>
      </c>
      <c r="G416" s="254">
        <v>63.0</v>
      </c>
      <c r="H416" s="310">
        <f t="shared" si="9"/>
        <v>3780</v>
      </c>
      <c r="I416" s="266" t="s">
        <v>43</v>
      </c>
      <c r="J416" s="256" t="s">
        <v>90</v>
      </c>
      <c r="K416" s="258">
        <v>43047.0</v>
      </c>
      <c r="L416" s="258">
        <v>43047.0</v>
      </c>
      <c r="M416" s="253" t="s">
        <v>90</v>
      </c>
      <c r="N416" s="310" t="s">
        <v>7390</v>
      </c>
      <c r="O416" s="579">
        <v>3528.0</v>
      </c>
      <c r="P416" s="330"/>
      <c r="Q416" s="340" t="s">
        <v>94</v>
      </c>
      <c r="R416" s="330"/>
      <c r="S416" s="768">
        <v>43100.0</v>
      </c>
      <c r="T416" s="769">
        <v>43047.0</v>
      </c>
      <c r="U416" s="330" t="s">
        <v>7391</v>
      </c>
      <c r="V416" s="770">
        <v>106581.0</v>
      </c>
      <c r="W416" s="601">
        <v>43110.0</v>
      </c>
      <c r="X416" s="330" t="s">
        <v>7392</v>
      </c>
      <c r="Y416" s="330"/>
      <c r="Z416" s="602" t="s">
        <v>7393</v>
      </c>
      <c r="AA416" s="262">
        <v>114099.0</v>
      </c>
      <c r="AB416" s="330" t="s">
        <v>5709</v>
      </c>
      <c r="AC416" s="253" t="s">
        <v>284</v>
      </c>
    </row>
    <row r="417" ht="15.75" customHeight="1">
      <c r="A417" s="764">
        <v>42908.0</v>
      </c>
      <c r="B417" s="1004" t="s">
        <v>373</v>
      </c>
      <c r="C417" s="765">
        <v>2.01706210005E11</v>
      </c>
      <c r="D417" s="252" t="s">
        <v>7394</v>
      </c>
      <c r="E417" s="252" t="s">
        <v>375</v>
      </c>
      <c r="F417" s="307">
        <v>60.0</v>
      </c>
      <c r="G417" s="254">
        <v>63.0</v>
      </c>
      <c r="H417" s="310">
        <f t="shared" si="9"/>
        <v>3780</v>
      </c>
      <c r="I417" s="266" t="s">
        <v>43</v>
      </c>
      <c r="J417" s="256" t="s">
        <v>90</v>
      </c>
      <c r="K417" s="258">
        <v>42976.0</v>
      </c>
      <c r="L417" s="258">
        <v>42975.0</v>
      </c>
      <c r="M417" s="253" t="s">
        <v>90</v>
      </c>
      <c r="N417" s="310" t="s">
        <v>7395</v>
      </c>
      <c r="O417" s="579">
        <v>3528.0</v>
      </c>
      <c r="P417" s="330"/>
      <c r="Q417" s="340" t="s">
        <v>94</v>
      </c>
      <c r="R417" s="330"/>
      <c r="S417" s="768">
        <v>43039.0</v>
      </c>
      <c r="T417" s="771">
        <v>42975.0</v>
      </c>
      <c r="U417" s="310" t="s">
        <v>7396</v>
      </c>
      <c r="V417" s="774">
        <v>106669.0</v>
      </c>
      <c r="W417" s="258">
        <v>43034.0</v>
      </c>
      <c r="X417" s="330" t="s">
        <v>7397</v>
      </c>
      <c r="Y417" s="330"/>
      <c r="Z417" s="602" t="s">
        <v>7398</v>
      </c>
      <c r="AA417" s="262">
        <v>114269.0</v>
      </c>
      <c r="AB417" s="330" t="s">
        <v>5176</v>
      </c>
      <c r="AC417" s="253" t="s">
        <v>377</v>
      </c>
    </row>
    <row r="418" ht="15.75" customHeight="1">
      <c r="A418" s="776">
        <v>42908.0</v>
      </c>
      <c r="B418" s="844" t="s">
        <v>3640</v>
      </c>
      <c r="C418" s="765"/>
      <c r="D418" s="765" t="s">
        <v>7399</v>
      </c>
      <c r="E418" s="765" t="s">
        <v>3642</v>
      </c>
      <c r="F418" s="307">
        <v>10.0</v>
      </c>
      <c r="G418" s="254">
        <f>281</f>
        <v>281</v>
      </c>
      <c r="H418" s="310">
        <f t="shared" si="9"/>
        <v>2810</v>
      </c>
      <c r="I418" s="1009" t="s">
        <v>3474</v>
      </c>
      <c r="J418" s="369" t="s">
        <v>6942</v>
      </c>
      <c r="K418" s="258">
        <v>42926.0</v>
      </c>
      <c r="L418" s="258">
        <v>42922.0</v>
      </c>
      <c r="M418" s="403" t="s">
        <v>2034</v>
      </c>
      <c r="N418" s="310" t="s">
        <v>7400</v>
      </c>
      <c r="O418" s="268">
        <v>2761.5</v>
      </c>
      <c r="P418" s="330"/>
      <c r="Q418" s="320" t="s">
        <v>2036</v>
      </c>
      <c r="R418" s="330"/>
      <c r="S418" s="768">
        <v>42983.0</v>
      </c>
      <c r="T418" s="769">
        <v>42921.0</v>
      </c>
      <c r="U418" s="330" t="s">
        <v>7331</v>
      </c>
      <c r="V418" s="330" t="s">
        <v>7401</v>
      </c>
      <c r="W418" s="258">
        <v>42985.0</v>
      </c>
      <c r="X418" s="310" t="s">
        <v>7402</v>
      </c>
      <c r="Y418" s="330"/>
      <c r="Z418" s="330"/>
      <c r="AA418" s="330"/>
      <c r="AB418" s="330"/>
      <c r="AC418" s="253" t="s">
        <v>284</v>
      </c>
    </row>
    <row r="419" ht="15.75" customHeight="1">
      <c r="A419" s="776">
        <v>42908.0</v>
      </c>
      <c r="B419" s="844" t="s">
        <v>3640</v>
      </c>
      <c r="C419" s="765"/>
      <c r="D419" s="765" t="s">
        <v>7399</v>
      </c>
      <c r="E419" s="765" t="s">
        <v>3648</v>
      </c>
      <c r="F419" s="307">
        <v>20.0</v>
      </c>
      <c r="G419" s="254">
        <v>102.0</v>
      </c>
      <c r="H419" s="310">
        <f t="shared" si="9"/>
        <v>2040</v>
      </c>
      <c r="I419" s="1009" t="s">
        <v>3474</v>
      </c>
      <c r="J419" s="369" t="s">
        <v>6942</v>
      </c>
      <c r="K419" s="258">
        <v>42926.0</v>
      </c>
      <c r="L419" s="258">
        <v>42922.0</v>
      </c>
      <c r="M419" s="403" t="s">
        <v>2034</v>
      </c>
      <c r="N419" s="310" t="s">
        <v>7400</v>
      </c>
      <c r="O419" s="268">
        <v>1995.0</v>
      </c>
      <c r="P419" s="330"/>
      <c r="Q419" s="320" t="s">
        <v>2036</v>
      </c>
      <c r="R419" s="330"/>
      <c r="S419" s="768">
        <v>42983.0</v>
      </c>
      <c r="T419" s="769">
        <v>42921.0</v>
      </c>
      <c r="U419" s="330" t="s">
        <v>7331</v>
      </c>
      <c r="V419" s="330" t="s">
        <v>7401</v>
      </c>
      <c r="W419" s="258">
        <v>42985.0</v>
      </c>
      <c r="X419" s="310" t="s">
        <v>7402</v>
      </c>
      <c r="Y419" s="330"/>
      <c r="Z419" s="330"/>
      <c r="AA419" s="330"/>
      <c r="AB419" s="330"/>
      <c r="AC419" s="253" t="s">
        <v>284</v>
      </c>
    </row>
    <row r="420" ht="15.75" customHeight="1">
      <c r="A420" s="776">
        <v>42908.0</v>
      </c>
      <c r="B420" s="844" t="s">
        <v>3640</v>
      </c>
      <c r="C420" s="330"/>
      <c r="D420" s="765" t="s">
        <v>7399</v>
      </c>
      <c r="E420" s="765" t="s">
        <v>7403</v>
      </c>
      <c r="F420" s="307">
        <v>3.0</v>
      </c>
      <c r="G420" s="254">
        <v>226.0</v>
      </c>
      <c r="H420" s="310">
        <f t="shared" si="9"/>
        <v>678</v>
      </c>
      <c r="I420" s="1009" t="s">
        <v>3474</v>
      </c>
      <c r="J420" s="369" t="s">
        <v>6942</v>
      </c>
      <c r="K420" s="258">
        <v>42926.0</v>
      </c>
      <c r="L420" s="258">
        <v>42922.0</v>
      </c>
      <c r="M420" s="403" t="s">
        <v>2034</v>
      </c>
      <c r="N420" s="310" t="s">
        <v>7400</v>
      </c>
      <c r="O420" s="268">
        <v>582.75</v>
      </c>
      <c r="P420" s="330"/>
      <c r="Q420" s="320" t="s">
        <v>2036</v>
      </c>
      <c r="R420" s="330"/>
      <c r="S420" s="768">
        <v>42983.0</v>
      </c>
      <c r="T420" s="769">
        <v>42921.0</v>
      </c>
      <c r="U420" s="330" t="s">
        <v>7331</v>
      </c>
      <c r="V420" s="330" t="s">
        <v>7401</v>
      </c>
      <c r="W420" s="258">
        <v>42985.0</v>
      </c>
      <c r="X420" s="310" t="s">
        <v>7402</v>
      </c>
      <c r="Y420" s="330"/>
      <c r="Z420" s="330"/>
      <c r="AA420" s="330"/>
      <c r="AB420" s="330"/>
      <c r="AC420" s="253" t="s">
        <v>284</v>
      </c>
    </row>
    <row r="421" ht="15.75" customHeight="1">
      <c r="A421" s="776">
        <v>42908.0</v>
      </c>
      <c r="B421" s="844" t="s">
        <v>3640</v>
      </c>
      <c r="C421" s="765"/>
      <c r="D421" s="765" t="s">
        <v>7399</v>
      </c>
      <c r="E421" s="765" t="s">
        <v>6558</v>
      </c>
      <c r="F421" s="307">
        <v>3.0</v>
      </c>
      <c r="G421" s="254">
        <v>355.0</v>
      </c>
      <c r="H421" s="310">
        <f t="shared" si="9"/>
        <v>1065</v>
      </c>
      <c r="I421" s="1031" t="s">
        <v>3474</v>
      </c>
      <c r="J421" s="369" t="s">
        <v>6942</v>
      </c>
      <c r="K421" s="258">
        <v>42926.0</v>
      </c>
      <c r="L421" s="258">
        <v>42921.0</v>
      </c>
      <c r="M421" s="253" t="s">
        <v>90</v>
      </c>
      <c r="N421" s="310" t="s">
        <v>7404</v>
      </c>
      <c r="O421" s="310">
        <v>982.8</v>
      </c>
      <c r="P421" s="330"/>
      <c r="Q421" s="320" t="s">
        <v>6081</v>
      </c>
      <c r="R421" s="330"/>
      <c r="S421" s="330"/>
      <c r="T421" s="769">
        <v>42921.0</v>
      </c>
      <c r="U421" s="330" t="s">
        <v>7405</v>
      </c>
      <c r="V421" s="770">
        <v>32669.0</v>
      </c>
      <c r="W421" s="601">
        <v>42955.0</v>
      </c>
      <c r="X421" s="310" t="s">
        <v>7402</v>
      </c>
      <c r="Y421" s="330"/>
      <c r="Z421" s="330"/>
      <c r="AA421" s="330"/>
      <c r="AB421" s="330"/>
      <c r="AC421" s="253" t="s">
        <v>284</v>
      </c>
    </row>
    <row r="422" ht="15.75" customHeight="1">
      <c r="A422" s="776">
        <v>42908.0</v>
      </c>
      <c r="B422" s="844" t="s">
        <v>3640</v>
      </c>
      <c r="C422" s="765"/>
      <c r="D422" s="765" t="s">
        <v>7399</v>
      </c>
      <c r="E422" s="765" t="s">
        <v>6562</v>
      </c>
      <c r="F422" s="307">
        <v>3.0</v>
      </c>
      <c r="G422" s="254">
        <v>35.0</v>
      </c>
      <c r="H422" s="310">
        <f t="shared" si="9"/>
        <v>105</v>
      </c>
      <c r="I422" s="1031" t="s">
        <v>3474</v>
      </c>
      <c r="J422" s="369" t="s">
        <v>6942</v>
      </c>
      <c r="K422" s="258">
        <v>42926.0</v>
      </c>
      <c r="L422" s="258">
        <v>42921.0</v>
      </c>
      <c r="M422" s="253" t="s">
        <v>90</v>
      </c>
      <c r="N422" s="310" t="s">
        <v>7404</v>
      </c>
      <c r="O422" s="310">
        <v>94.5</v>
      </c>
      <c r="P422" s="330"/>
      <c r="Q422" s="320" t="s">
        <v>6081</v>
      </c>
      <c r="R422" s="330"/>
      <c r="S422" s="330"/>
      <c r="T422" s="769">
        <v>42921.0</v>
      </c>
      <c r="U422" s="330" t="s">
        <v>7405</v>
      </c>
      <c r="V422" s="330" t="s">
        <v>7406</v>
      </c>
      <c r="W422" s="601">
        <v>42955.0</v>
      </c>
      <c r="X422" s="310" t="s">
        <v>7402</v>
      </c>
      <c r="Y422" s="330"/>
      <c r="Z422" s="330"/>
      <c r="AA422" s="330"/>
      <c r="AB422" s="330"/>
      <c r="AC422" s="253" t="s">
        <v>284</v>
      </c>
    </row>
    <row r="423" ht="15.75" customHeight="1">
      <c r="A423" s="764">
        <v>42908.0</v>
      </c>
      <c r="B423" s="1004" t="s">
        <v>77</v>
      </c>
      <c r="C423" s="765">
        <v>530.0</v>
      </c>
      <c r="D423" s="252" t="s">
        <v>7407</v>
      </c>
      <c r="E423" s="252" t="s">
        <v>3488</v>
      </c>
      <c r="F423" s="266">
        <v>40.0</v>
      </c>
      <c r="G423" s="267">
        <v>90.0</v>
      </c>
      <c r="H423" s="310">
        <f t="shared" si="9"/>
        <v>3600</v>
      </c>
      <c r="I423" s="266" t="s">
        <v>43</v>
      </c>
      <c r="J423" s="369" t="s">
        <v>316</v>
      </c>
      <c r="K423" s="258">
        <v>42919.0</v>
      </c>
      <c r="L423" s="258">
        <v>42914.0</v>
      </c>
      <c r="M423" s="333" t="s">
        <v>3489</v>
      </c>
      <c r="N423" s="310" t="s">
        <v>7408</v>
      </c>
      <c r="O423" s="330"/>
      <c r="P423" s="579">
        <v>102060.0</v>
      </c>
      <c r="Q423" s="604" t="s">
        <v>6639</v>
      </c>
      <c r="R423" s="330"/>
      <c r="S423" s="810">
        <v>42921.0</v>
      </c>
      <c r="T423" s="769">
        <v>42914.0</v>
      </c>
      <c r="U423" s="330" t="s">
        <v>7181</v>
      </c>
      <c r="V423" s="330" t="s">
        <v>7409</v>
      </c>
      <c r="W423" s="258">
        <v>42922.0</v>
      </c>
      <c r="X423" s="310" t="s">
        <v>7182</v>
      </c>
      <c r="Y423" s="369" t="s">
        <v>7183</v>
      </c>
      <c r="Z423" s="330"/>
      <c r="AA423" s="330"/>
      <c r="AB423" s="330"/>
      <c r="AC423" s="253" t="s">
        <v>284</v>
      </c>
    </row>
    <row r="424" ht="15.75" customHeight="1">
      <c r="A424" s="764">
        <v>42908.0</v>
      </c>
      <c r="B424" s="1004" t="s">
        <v>77</v>
      </c>
      <c r="C424" s="765">
        <v>530.0</v>
      </c>
      <c r="D424" s="252" t="s">
        <v>7407</v>
      </c>
      <c r="E424" s="252" t="s">
        <v>1758</v>
      </c>
      <c r="F424" s="307">
        <v>50.0</v>
      </c>
      <c r="G424" s="325">
        <v>3.0</v>
      </c>
      <c r="H424" s="310">
        <f t="shared" si="9"/>
        <v>150</v>
      </c>
      <c r="I424" s="266" t="s">
        <v>43</v>
      </c>
      <c r="J424" s="369" t="s">
        <v>316</v>
      </c>
      <c r="K424" s="258">
        <v>42919.0</v>
      </c>
      <c r="L424" s="601">
        <v>42912.0</v>
      </c>
      <c r="M424" s="256" t="s">
        <v>3769</v>
      </c>
      <c r="N424" s="252" t="s">
        <v>7410</v>
      </c>
      <c r="O424" s="330"/>
      <c r="P424" s="330"/>
      <c r="Q424" s="330"/>
      <c r="R424" s="330"/>
      <c r="S424" s="330"/>
      <c r="T424" s="330"/>
      <c r="U424" s="330"/>
      <c r="V424" s="330"/>
      <c r="W424" s="330"/>
      <c r="X424" s="310" t="s">
        <v>7182</v>
      </c>
      <c r="Y424" s="369" t="s">
        <v>7183</v>
      </c>
      <c r="Z424" s="330"/>
      <c r="AA424" s="330"/>
      <c r="AB424" s="330"/>
      <c r="AC424" s="253" t="s">
        <v>284</v>
      </c>
    </row>
    <row r="425" ht="15.75" customHeight="1">
      <c r="A425" s="776">
        <v>42912.0</v>
      </c>
      <c r="B425" s="1004" t="s">
        <v>7411</v>
      </c>
      <c r="C425" s="765" t="s">
        <v>7412</v>
      </c>
      <c r="D425" s="252" t="s">
        <v>7413</v>
      </c>
      <c r="E425" s="252" t="s">
        <v>7414</v>
      </c>
      <c r="F425" s="307">
        <v>6.0</v>
      </c>
      <c r="G425" s="325">
        <v>231.0</v>
      </c>
      <c r="H425" s="310">
        <f t="shared" si="9"/>
        <v>1386</v>
      </c>
      <c r="I425" s="266" t="s">
        <v>3474</v>
      </c>
      <c r="J425" s="369" t="s">
        <v>404</v>
      </c>
      <c r="K425" s="258">
        <v>43013.0</v>
      </c>
      <c r="L425" s="258">
        <v>43004.0</v>
      </c>
      <c r="M425" s="253" t="s">
        <v>90</v>
      </c>
      <c r="N425" s="310" t="s">
        <v>7415</v>
      </c>
      <c r="O425" s="310">
        <v>1071.0</v>
      </c>
      <c r="P425" s="330"/>
      <c r="Q425" s="320" t="s">
        <v>6081</v>
      </c>
      <c r="R425" s="330"/>
      <c r="S425" s="768">
        <v>43069.0</v>
      </c>
      <c r="T425" s="769">
        <v>42912.0</v>
      </c>
      <c r="U425" s="330" t="s">
        <v>7416</v>
      </c>
      <c r="V425" s="770">
        <v>32141.0</v>
      </c>
      <c r="W425" s="258">
        <v>43052.0</v>
      </c>
      <c r="X425" s="310" t="s">
        <v>7417</v>
      </c>
      <c r="Y425" s="253">
        <v>8.41411093E8</v>
      </c>
      <c r="Z425" s="330"/>
      <c r="AA425" s="330"/>
      <c r="AB425" s="330"/>
      <c r="AC425" s="253" t="s">
        <v>284</v>
      </c>
    </row>
    <row r="426" ht="15.75" customHeight="1">
      <c r="A426" s="776">
        <v>42912.0</v>
      </c>
      <c r="B426" s="388" t="s">
        <v>101</v>
      </c>
      <c r="C426" s="330" t="s">
        <v>7418</v>
      </c>
      <c r="D426" s="252" t="s">
        <v>7419</v>
      </c>
      <c r="E426" s="252" t="s">
        <v>3573</v>
      </c>
      <c r="F426" s="307">
        <v>10.0</v>
      </c>
      <c r="G426" s="325">
        <v>73.0</v>
      </c>
      <c r="H426" s="267">
        <f t="shared" si="9"/>
        <v>730</v>
      </c>
      <c r="I426" s="266" t="s">
        <v>3474</v>
      </c>
      <c r="J426" s="1081" t="s">
        <v>3568</v>
      </c>
      <c r="K426" s="258">
        <v>42968.0</v>
      </c>
      <c r="L426" s="258">
        <v>42954.0</v>
      </c>
      <c r="M426" s="403" t="s">
        <v>2034</v>
      </c>
      <c r="N426" s="252" t="s">
        <v>7420</v>
      </c>
      <c r="O426" s="310">
        <v>724.5</v>
      </c>
      <c r="P426" s="330"/>
      <c r="Q426" s="310" t="s">
        <v>2036</v>
      </c>
      <c r="R426" s="330"/>
      <c r="S426" s="810">
        <v>43013.0</v>
      </c>
      <c r="T426" s="769">
        <v>42954.0</v>
      </c>
      <c r="U426" s="330" t="s">
        <v>7421</v>
      </c>
      <c r="V426" s="770">
        <v>64054.0</v>
      </c>
      <c r="W426" s="601">
        <v>43021.0</v>
      </c>
      <c r="X426" s="310" t="s">
        <v>7422</v>
      </c>
      <c r="Y426" s="253" t="s">
        <v>7423</v>
      </c>
      <c r="Z426" s="330"/>
      <c r="AA426" s="330"/>
      <c r="AB426" s="330"/>
      <c r="AC426" s="253" t="s">
        <v>284</v>
      </c>
    </row>
    <row r="427" ht="15.75" customHeight="1">
      <c r="A427" s="776">
        <v>42912.0</v>
      </c>
      <c r="B427" s="388" t="s">
        <v>101</v>
      </c>
      <c r="C427" s="330" t="s">
        <v>7418</v>
      </c>
      <c r="D427" s="252" t="s">
        <v>7419</v>
      </c>
      <c r="E427" s="252" t="s">
        <v>3575</v>
      </c>
      <c r="F427" s="307">
        <v>10.0</v>
      </c>
      <c r="G427" s="254">
        <v>140.0</v>
      </c>
      <c r="H427" s="267">
        <f t="shared" si="9"/>
        <v>1400</v>
      </c>
      <c r="I427" s="266" t="s">
        <v>3474</v>
      </c>
      <c r="J427" s="1081" t="s">
        <v>3568</v>
      </c>
      <c r="K427" s="258">
        <v>42968.0</v>
      </c>
      <c r="L427" s="258">
        <v>42954.0</v>
      </c>
      <c r="M427" s="333" t="s">
        <v>2034</v>
      </c>
      <c r="N427" s="252" t="s">
        <v>7420</v>
      </c>
      <c r="O427" s="310">
        <v>1396.5</v>
      </c>
      <c r="P427" s="330"/>
      <c r="Q427" s="320" t="s">
        <v>2036</v>
      </c>
      <c r="R427" s="330"/>
      <c r="S427" s="810">
        <v>43013.0</v>
      </c>
      <c r="T427" s="769">
        <v>42954.0</v>
      </c>
      <c r="U427" s="330" t="s">
        <v>7421</v>
      </c>
      <c r="V427" s="330" t="s">
        <v>7424</v>
      </c>
      <c r="W427" s="601">
        <v>43021.0</v>
      </c>
      <c r="X427" s="310" t="s">
        <v>7422</v>
      </c>
      <c r="Y427" s="253" t="s">
        <v>7423</v>
      </c>
      <c r="Z427" s="330"/>
      <c r="AA427" s="330"/>
      <c r="AB427" s="330"/>
      <c r="AC427" s="253" t="s">
        <v>284</v>
      </c>
    </row>
    <row r="428" ht="15.75" customHeight="1">
      <c r="A428" s="776">
        <v>42912.0</v>
      </c>
      <c r="B428" s="388" t="s">
        <v>101</v>
      </c>
      <c r="C428" s="330" t="s">
        <v>7418</v>
      </c>
      <c r="D428" s="252" t="s">
        <v>7419</v>
      </c>
      <c r="E428" s="252" t="s">
        <v>3567</v>
      </c>
      <c r="F428" s="307">
        <v>10.0</v>
      </c>
      <c r="G428" s="254">
        <v>93.0</v>
      </c>
      <c r="H428" s="267">
        <f t="shared" si="9"/>
        <v>930</v>
      </c>
      <c r="I428" s="266" t="s">
        <v>3474</v>
      </c>
      <c r="J428" s="1081" t="s">
        <v>3568</v>
      </c>
      <c r="K428" s="258">
        <v>42968.0</v>
      </c>
      <c r="L428" s="258">
        <v>42919.0</v>
      </c>
      <c r="M428" s="333" t="s">
        <v>2034</v>
      </c>
      <c r="N428" s="252" t="s">
        <v>7420</v>
      </c>
      <c r="O428" s="1082">
        <v>924.0</v>
      </c>
      <c r="P428" s="330"/>
      <c r="Q428" s="320" t="s">
        <v>2036</v>
      </c>
      <c r="R428" s="330"/>
      <c r="S428" s="810">
        <v>42983.0</v>
      </c>
      <c r="T428" s="769">
        <v>42915.0</v>
      </c>
      <c r="U428" s="330" t="s">
        <v>7425</v>
      </c>
      <c r="V428" s="770">
        <v>29028.0</v>
      </c>
      <c r="W428" s="258">
        <v>42985.0</v>
      </c>
      <c r="X428" s="310" t="s">
        <v>7422</v>
      </c>
      <c r="Y428" s="253" t="s">
        <v>7423</v>
      </c>
      <c r="Z428" s="330"/>
      <c r="AA428" s="330"/>
      <c r="AB428" s="330"/>
      <c r="AC428" s="253" t="s">
        <v>284</v>
      </c>
    </row>
    <row r="429" ht="15.75" customHeight="1">
      <c r="A429" s="776">
        <v>42912.0</v>
      </c>
      <c r="B429" s="388" t="s">
        <v>101</v>
      </c>
      <c r="C429" s="330" t="s">
        <v>7418</v>
      </c>
      <c r="D429" s="252" t="s">
        <v>7419</v>
      </c>
      <c r="E429" s="252" t="s">
        <v>3576</v>
      </c>
      <c r="F429" s="307">
        <v>10.0</v>
      </c>
      <c r="G429" s="254">
        <v>2.0</v>
      </c>
      <c r="H429" s="267">
        <f t="shared" si="9"/>
        <v>20</v>
      </c>
      <c r="I429" s="266" t="s">
        <v>3474</v>
      </c>
      <c r="J429" s="1081" t="s">
        <v>3568</v>
      </c>
      <c r="K429" s="258">
        <v>42968.0</v>
      </c>
      <c r="L429" s="258">
        <v>42919.0</v>
      </c>
      <c r="M429" s="333" t="s">
        <v>6722</v>
      </c>
      <c r="N429" s="765" t="s">
        <v>6723</v>
      </c>
      <c r="O429" s="330"/>
      <c r="P429" s="330"/>
      <c r="Q429" s="388"/>
      <c r="R429" s="330"/>
      <c r="S429" s="330"/>
      <c r="T429" s="330"/>
      <c r="U429" s="330"/>
      <c r="V429" s="330"/>
      <c r="W429" s="330"/>
      <c r="X429" s="310" t="s">
        <v>7422</v>
      </c>
      <c r="Y429" s="253" t="s">
        <v>7423</v>
      </c>
      <c r="Z429" s="330"/>
      <c r="AA429" s="330"/>
      <c r="AB429" s="330"/>
      <c r="AC429" s="253" t="s">
        <v>284</v>
      </c>
    </row>
    <row r="430" ht="15.75" customHeight="1">
      <c r="A430" s="776">
        <v>42912.0</v>
      </c>
      <c r="B430" s="388" t="s">
        <v>101</v>
      </c>
      <c r="C430" s="330" t="s">
        <v>7418</v>
      </c>
      <c r="D430" s="252" t="s">
        <v>7419</v>
      </c>
      <c r="E430" s="252" t="s">
        <v>3578</v>
      </c>
      <c r="F430" s="307">
        <v>10.0</v>
      </c>
      <c r="G430" s="254">
        <v>2.5</v>
      </c>
      <c r="H430" s="267">
        <f t="shared" si="9"/>
        <v>25</v>
      </c>
      <c r="I430" s="266" t="s">
        <v>3474</v>
      </c>
      <c r="J430" s="1081" t="s">
        <v>3568</v>
      </c>
      <c r="K430" s="258">
        <v>42968.0</v>
      </c>
      <c r="L430" s="258">
        <v>42919.0</v>
      </c>
      <c r="M430" s="333" t="s">
        <v>6722</v>
      </c>
      <c r="N430" s="765" t="s">
        <v>6726</v>
      </c>
      <c r="O430" s="330"/>
      <c r="P430" s="330"/>
      <c r="Q430" s="330"/>
      <c r="R430" s="330"/>
      <c r="S430" s="330"/>
      <c r="T430" s="330"/>
      <c r="U430" s="330"/>
      <c r="V430" s="330"/>
      <c r="W430" s="330"/>
      <c r="X430" s="310" t="s">
        <v>7422</v>
      </c>
      <c r="Y430" s="253" t="s">
        <v>7423</v>
      </c>
      <c r="Z430" s="330"/>
      <c r="AA430" s="330"/>
      <c r="AB430" s="330"/>
      <c r="AC430" s="253" t="s">
        <v>284</v>
      </c>
    </row>
    <row r="431" ht="15.75" customHeight="1">
      <c r="A431" s="776">
        <v>42912.0</v>
      </c>
      <c r="B431" s="388" t="s">
        <v>101</v>
      </c>
      <c r="C431" s="330" t="s">
        <v>7418</v>
      </c>
      <c r="D431" s="252" t="s">
        <v>7419</v>
      </c>
      <c r="E431" s="252" t="s">
        <v>3580</v>
      </c>
      <c r="F431" s="307">
        <v>10.0</v>
      </c>
      <c r="G431" s="254">
        <v>4.0</v>
      </c>
      <c r="H431" s="267">
        <f t="shared" si="9"/>
        <v>40</v>
      </c>
      <c r="I431" s="266" t="s">
        <v>3474</v>
      </c>
      <c r="J431" s="1081" t="s">
        <v>3568</v>
      </c>
      <c r="K431" s="258">
        <v>42968.0</v>
      </c>
      <c r="L431" s="258">
        <v>42919.0</v>
      </c>
      <c r="M431" s="333" t="s">
        <v>2034</v>
      </c>
      <c r="N431" s="252" t="s">
        <v>7420</v>
      </c>
      <c r="O431" s="1082">
        <v>31.5</v>
      </c>
      <c r="P431" s="330"/>
      <c r="Q431" s="310" t="s">
        <v>2036</v>
      </c>
      <c r="R431" s="330"/>
      <c r="S431" s="810">
        <v>42983.0</v>
      </c>
      <c r="T431" s="769">
        <v>42915.0</v>
      </c>
      <c r="U431" s="330" t="s">
        <v>7425</v>
      </c>
      <c r="V431" s="770" t="s">
        <v>7426</v>
      </c>
      <c r="W431" s="258">
        <v>42985.0</v>
      </c>
      <c r="X431" s="310" t="s">
        <v>7422</v>
      </c>
      <c r="Y431" s="253" t="s">
        <v>7423</v>
      </c>
      <c r="Z431" s="330"/>
      <c r="AA431" s="330"/>
      <c r="AB431" s="330"/>
      <c r="AC431" s="253" t="s">
        <v>284</v>
      </c>
    </row>
    <row r="432" ht="15.75" customHeight="1">
      <c r="A432" s="776">
        <v>42912.0</v>
      </c>
      <c r="B432" s="1004" t="s">
        <v>7411</v>
      </c>
      <c r="C432" s="765" t="s">
        <v>7412</v>
      </c>
      <c r="D432" s="252" t="s">
        <v>7413</v>
      </c>
      <c r="E432" s="252" t="s">
        <v>700</v>
      </c>
      <c r="F432" s="307">
        <v>1.0</v>
      </c>
      <c r="G432" s="254">
        <v>25.0</v>
      </c>
      <c r="H432" s="310">
        <f t="shared" si="9"/>
        <v>25</v>
      </c>
      <c r="I432" s="266" t="s">
        <v>3474</v>
      </c>
      <c r="J432" s="369" t="s">
        <v>404</v>
      </c>
      <c r="K432" s="258">
        <v>43013.0</v>
      </c>
      <c r="L432" s="330"/>
      <c r="M432" s="592"/>
      <c r="N432" s="330"/>
      <c r="O432" s="330">
        <v>0.0</v>
      </c>
      <c r="P432" s="330"/>
      <c r="Q432" s="388"/>
      <c r="R432" s="330"/>
      <c r="S432" s="330"/>
      <c r="T432" s="902"/>
      <c r="U432" s="902"/>
      <c r="V432" s="902"/>
      <c r="W432" s="902"/>
      <c r="X432" s="310" t="s">
        <v>7417</v>
      </c>
      <c r="Y432" s="253">
        <v>8.41411093E8</v>
      </c>
      <c r="Z432" s="330"/>
      <c r="AA432" s="330"/>
      <c r="AB432" s="330"/>
      <c r="AC432" s="253" t="s">
        <v>284</v>
      </c>
    </row>
    <row r="433" ht="15.75" customHeight="1">
      <c r="A433" s="776">
        <v>42912.0</v>
      </c>
      <c r="B433" s="388" t="s">
        <v>101</v>
      </c>
      <c r="C433" s="330" t="s">
        <v>7418</v>
      </c>
      <c r="D433" s="252" t="s">
        <v>7419</v>
      </c>
      <c r="E433" s="252" t="s">
        <v>3581</v>
      </c>
      <c r="F433" s="307">
        <v>10.0</v>
      </c>
      <c r="G433" s="254">
        <v>8.0</v>
      </c>
      <c r="H433" s="267">
        <f t="shared" si="9"/>
        <v>80</v>
      </c>
      <c r="I433" s="266" t="s">
        <v>3474</v>
      </c>
      <c r="J433" s="1081" t="s">
        <v>3568</v>
      </c>
      <c r="K433" s="258">
        <v>42968.0</v>
      </c>
      <c r="L433" s="330"/>
      <c r="M433" s="333" t="s">
        <v>6729</v>
      </c>
      <c r="N433" s="253"/>
      <c r="O433" s="330"/>
      <c r="P433" s="331" t="s">
        <v>6730</v>
      </c>
      <c r="Q433" s="330"/>
      <c r="R433" s="330"/>
      <c r="S433" s="330"/>
      <c r="T433" s="330"/>
      <c r="U433" s="330"/>
      <c r="V433" s="330"/>
      <c r="W433" s="330"/>
      <c r="X433" s="310" t="s">
        <v>7422</v>
      </c>
      <c r="Y433" s="253" t="s">
        <v>7423</v>
      </c>
      <c r="Z433" s="330"/>
      <c r="AA433" s="330"/>
      <c r="AB433" s="330"/>
      <c r="AC433" s="253" t="s">
        <v>284</v>
      </c>
    </row>
    <row r="434" ht="15.75" customHeight="1">
      <c r="A434" s="776">
        <v>42913.0</v>
      </c>
      <c r="B434" s="599" t="s">
        <v>6125</v>
      </c>
      <c r="C434" s="330" t="s">
        <v>7427</v>
      </c>
      <c r="D434" s="252" t="s">
        <v>7428</v>
      </c>
      <c r="E434" s="252" t="s">
        <v>6860</v>
      </c>
      <c r="F434" s="1041">
        <v>15.0</v>
      </c>
      <c r="G434" s="254">
        <v>1239.0</v>
      </c>
      <c r="H434" s="267">
        <f t="shared" si="9"/>
        <v>18585</v>
      </c>
      <c r="I434" s="1031" t="s">
        <v>3474</v>
      </c>
      <c r="J434" s="333" t="s">
        <v>3732</v>
      </c>
      <c r="K434" s="258">
        <v>42975.0</v>
      </c>
      <c r="L434" s="258">
        <v>42972.0</v>
      </c>
      <c r="M434" s="333" t="s">
        <v>2034</v>
      </c>
      <c r="N434" s="252" t="s">
        <v>7429</v>
      </c>
      <c r="O434" s="268">
        <v>18033.75</v>
      </c>
      <c r="P434" s="331"/>
      <c r="Q434" s="320" t="s">
        <v>2036</v>
      </c>
      <c r="R434" s="330"/>
      <c r="S434" s="810">
        <v>43013.0</v>
      </c>
      <c r="T434" s="769">
        <v>42972.0</v>
      </c>
      <c r="U434" s="330" t="s">
        <v>7430</v>
      </c>
      <c r="V434" s="770">
        <v>896179.0</v>
      </c>
      <c r="W434" s="601">
        <v>43021.0</v>
      </c>
      <c r="X434" s="330" t="s">
        <v>7431</v>
      </c>
      <c r="Y434" s="330"/>
      <c r="Z434" s="330"/>
      <c r="AA434" s="330"/>
      <c r="AB434" s="330"/>
      <c r="AC434" s="253" t="s">
        <v>284</v>
      </c>
    </row>
    <row r="435" ht="15.75" customHeight="1">
      <c r="A435" s="776">
        <v>42913.0</v>
      </c>
      <c r="B435" s="599" t="s">
        <v>6125</v>
      </c>
      <c r="C435" s="330" t="s">
        <v>7427</v>
      </c>
      <c r="D435" s="252" t="s">
        <v>7428</v>
      </c>
      <c r="E435" s="252" t="s">
        <v>6128</v>
      </c>
      <c r="F435" s="1041">
        <v>40.0</v>
      </c>
      <c r="G435" s="254">
        <v>146.5</v>
      </c>
      <c r="H435" s="267">
        <f t="shared" si="9"/>
        <v>5860</v>
      </c>
      <c r="I435" s="1031" t="s">
        <v>3474</v>
      </c>
      <c r="J435" s="333" t="s">
        <v>3732</v>
      </c>
      <c r="K435" s="258">
        <v>42975.0</v>
      </c>
      <c r="L435" s="258">
        <v>42972.0</v>
      </c>
      <c r="M435" s="333" t="s">
        <v>2034</v>
      </c>
      <c r="N435" s="252" t="s">
        <v>7429</v>
      </c>
      <c r="O435" s="579">
        <v>5796.0</v>
      </c>
      <c r="P435" s="330"/>
      <c r="Q435" s="320" t="s">
        <v>2036</v>
      </c>
      <c r="R435" s="330"/>
      <c r="S435" s="810">
        <v>43013.0</v>
      </c>
      <c r="T435" s="769">
        <v>42972.0</v>
      </c>
      <c r="U435" s="330" t="s">
        <v>7430</v>
      </c>
      <c r="V435" s="770" t="s">
        <v>7432</v>
      </c>
      <c r="W435" s="601">
        <v>43021.0</v>
      </c>
      <c r="X435" s="330" t="s">
        <v>7431</v>
      </c>
      <c r="Y435" s="330"/>
      <c r="Z435" s="330"/>
      <c r="AA435" s="330"/>
      <c r="AB435" s="330"/>
      <c r="AC435" s="253" t="s">
        <v>284</v>
      </c>
    </row>
    <row r="436" ht="15.75" customHeight="1">
      <c r="A436" s="776">
        <v>42913.0</v>
      </c>
      <c r="B436" s="599" t="s">
        <v>6125</v>
      </c>
      <c r="C436" s="330" t="s">
        <v>7427</v>
      </c>
      <c r="D436" s="252" t="s">
        <v>7428</v>
      </c>
      <c r="E436" s="252" t="s">
        <v>6132</v>
      </c>
      <c r="F436" s="1041">
        <v>40.0</v>
      </c>
      <c r="G436" s="254">
        <v>146.5</v>
      </c>
      <c r="H436" s="267">
        <f t="shared" si="9"/>
        <v>5860</v>
      </c>
      <c r="I436" s="1031" t="s">
        <v>3474</v>
      </c>
      <c r="J436" s="333" t="s">
        <v>3732</v>
      </c>
      <c r="K436" s="258">
        <v>42975.0</v>
      </c>
      <c r="L436" s="258">
        <v>42972.0</v>
      </c>
      <c r="M436" s="333" t="s">
        <v>2034</v>
      </c>
      <c r="N436" s="252" t="s">
        <v>7429</v>
      </c>
      <c r="O436" s="579">
        <v>5796.0</v>
      </c>
      <c r="P436" s="330"/>
      <c r="Q436" s="320" t="s">
        <v>2036</v>
      </c>
      <c r="R436" s="330"/>
      <c r="S436" s="810">
        <v>43013.0</v>
      </c>
      <c r="T436" s="769">
        <v>42972.0</v>
      </c>
      <c r="U436" s="330" t="s">
        <v>7430</v>
      </c>
      <c r="V436" s="770" t="s">
        <v>7432</v>
      </c>
      <c r="W436" s="601">
        <v>43021.0</v>
      </c>
      <c r="X436" s="330" t="s">
        <v>7431</v>
      </c>
      <c r="Y436" s="330"/>
      <c r="Z436" s="330"/>
      <c r="AA436" s="330"/>
      <c r="AB436" s="330"/>
      <c r="AC436" s="253" t="s">
        <v>284</v>
      </c>
    </row>
    <row r="437" ht="15.75" customHeight="1">
      <c r="A437" s="776">
        <v>42913.0</v>
      </c>
      <c r="B437" s="388" t="s">
        <v>229</v>
      </c>
      <c r="C437" s="330" t="s">
        <v>7433</v>
      </c>
      <c r="D437" s="330" t="s">
        <v>7434</v>
      </c>
      <c r="E437" s="330" t="s">
        <v>462</v>
      </c>
      <c r="F437" s="592">
        <v>36.0</v>
      </c>
      <c r="G437" s="254">
        <v>407.4</v>
      </c>
      <c r="H437" s="267">
        <f t="shared" si="9"/>
        <v>14666.4</v>
      </c>
      <c r="I437" s="266" t="s">
        <v>171</v>
      </c>
      <c r="J437" s="253" t="s">
        <v>90</v>
      </c>
      <c r="K437" s="258">
        <v>42933.0</v>
      </c>
      <c r="L437" s="258">
        <v>42933.0</v>
      </c>
      <c r="M437" s="253" t="s">
        <v>90</v>
      </c>
      <c r="N437" s="252" t="s">
        <v>7435</v>
      </c>
      <c r="O437" s="579">
        <v>13419.0</v>
      </c>
      <c r="P437" s="330"/>
      <c r="Q437" s="320" t="s">
        <v>6081</v>
      </c>
      <c r="R437" s="330"/>
      <c r="S437" s="768">
        <v>42978.0</v>
      </c>
      <c r="T437" s="771">
        <v>42933.0</v>
      </c>
      <c r="U437" s="310" t="s">
        <v>7436</v>
      </c>
      <c r="V437" s="774">
        <v>417716.0</v>
      </c>
      <c r="W437" s="601">
        <v>42983.0</v>
      </c>
      <c r="X437" s="330" t="s">
        <v>7437</v>
      </c>
      <c r="Y437" s="330"/>
      <c r="Z437" s="765" t="s">
        <v>7438</v>
      </c>
      <c r="AA437" s="262">
        <v>595567.0</v>
      </c>
      <c r="AB437" s="765" t="s">
        <v>7439</v>
      </c>
      <c r="AC437" s="253" t="s">
        <v>377</v>
      </c>
    </row>
    <row r="438" ht="15.75" customHeight="1">
      <c r="A438" s="776">
        <v>42913.0</v>
      </c>
      <c r="B438" s="388" t="s">
        <v>229</v>
      </c>
      <c r="C438" s="330" t="s">
        <v>7433</v>
      </c>
      <c r="D438" s="330" t="s">
        <v>7434</v>
      </c>
      <c r="E438" s="330" t="s">
        <v>3765</v>
      </c>
      <c r="F438" s="592">
        <v>1.0</v>
      </c>
      <c r="G438" s="466">
        <v>336.0</v>
      </c>
      <c r="H438" s="267">
        <f t="shared" si="9"/>
        <v>336</v>
      </c>
      <c r="I438" s="266" t="s">
        <v>171</v>
      </c>
      <c r="J438" s="253" t="s">
        <v>90</v>
      </c>
      <c r="K438" s="258">
        <v>42933.0</v>
      </c>
      <c r="L438" s="258">
        <v>42933.0</v>
      </c>
      <c r="M438" s="253" t="s">
        <v>90</v>
      </c>
      <c r="N438" s="252" t="s">
        <v>7435</v>
      </c>
      <c r="O438" s="310">
        <v>301.35</v>
      </c>
      <c r="P438" s="330"/>
      <c r="Q438" s="320" t="s">
        <v>6081</v>
      </c>
      <c r="R438" s="330"/>
      <c r="S438" s="768">
        <v>42978.0</v>
      </c>
      <c r="T438" s="771">
        <v>42933.0</v>
      </c>
      <c r="U438" s="310" t="s">
        <v>7436</v>
      </c>
      <c r="V438" s="310" t="s">
        <v>7440</v>
      </c>
      <c r="W438" s="601">
        <v>42983.0</v>
      </c>
      <c r="X438" s="330" t="s">
        <v>7437</v>
      </c>
      <c r="Y438" s="330"/>
      <c r="Z438" s="765" t="s">
        <v>7438</v>
      </c>
      <c r="AA438" s="253" t="s">
        <v>7441</v>
      </c>
      <c r="AB438" s="765" t="s">
        <v>7439</v>
      </c>
      <c r="AC438" s="253" t="s">
        <v>377</v>
      </c>
    </row>
    <row r="439" ht="15.75" customHeight="1">
      <c r="A439" s="764">
        <v>42914.0</v>
      </c>
      <c r="B439" s="1004" t="s">
        <v>5073</v>
      </c>
      <c r="C439" s="765" t="s">
        <v>7442</v>
      </c>
      <c r="D439" s="765" t="s">
        <v>7443</v>
      </c>
      <c r="E439" s="765" t="s">
        <v>4518</v>
      </c>
      <c r="F439" s="307">
        <v>2.0</v>
      </c>
      <c r="G439" s="254">
        <v>582.0</v>
      </c>
      <c r="H439" s="267">
        <f t="shared" si="9"/>
        <v>1164</v>
      </c>
      <c r="I439" s="256" t="s">
        <v>3474</v>
      </c>
      <c r="J439" s="363" t="s">
        <v>3749</v>
      </c>
      <c r="K439" s="258">
        <v>42922.0</v>
      </c>
      <c r="L439" s="258">
        <v>42921.0</v>
      </c>
      <c r="M439" s="256" t="s">
        <v>3593</v>
      </c>
      <c r="N439" s="310" t="s">
        <v>7444</v>
      </c>
      <c r="O439" s="330"/>
      <c r="P439" s="579">
        <v>36271.0</v>
      </c>
      <c r="Q439" s="310" t="s">
        <v>2080</v>
      </c>
      <c r="R439" s="330"/>
      <c r="S439" s="810">
        <v>43008.0</v>
      </c>
      <c r="T439" s="769">
        <v>42919.0</v>
      </c>
      <c r="U439" s="330" t="s">
        <v>7445</v>
      </c>
      <c r="V439" s="770">
        <v>36271.0</v>
      </c>
      <c r="W439" s="258">
        <v>43013.0</v>
      </c>
      <c r="X439" s="310" t="s">
        <v>7446</v>
      </c>
      <c r="Y439" s="253">
        <v>2.903614291E9</v>
      </c>
      <c r="Z439" s="330"/>
      <c r="AA439" s="330"/>
      <c r="AB439" s="330"/>
      <c r="AC439" s="253" t="s">
        <v>284</v>
      </c>
    </row>
    <row r="440" ht="15.75" customHeight="1">
      <c r="A440" s="764">
        <v>42915.0</v>
      </c>
      <c r="B440" s="597" t="s">
        <v>7314</v>
      </c>
      <c r="C440" s="765">
        <v>7.000130765E9</v>
      </c>
      <c r="D440" s="252" t="s">
        <v>7447</v>
      </c>
      <c r="E440" s="252" t="s">
        <v>1117</v>
      </c>
      <c r="F440" s="307">
        <v>1.0</v>
      </c>
      <c r="G440" s="338">
        <v>104.0</v>
      </c>
      <c r="H440" s="310">
        <f t="shared" si="9"/>
        <v>104</v>
      </c>
      <c r="I440" s="256" t="s">
        <v>43</v>
      </c>
      <c r="J440" s="777" t="s">
        <v>3623</v>
      </c>
      <c r="K440" s="258">
        <v>42940.0</v>
      </c>
      <c r="L440" s="258">
        <v>42929.0</v>
      </c>
      <c r="M440" s="256" t="s">
        <v>3593</v>
      </c>
      <c r="N440" s="330" t="s">
        <v>7448</v>
      </c>
      <c r="O440" s="600"/>
      <c r="P440" s="579">
        <v>3031.0</v>
      </c>
      <c r="Q440" s="310" t="s">
        <v>2080</v>
      </c>
      <c r="R440" s="330"/>
      <c r="S440" s="810">
        <v>43008.0</v>
      </c>
      <c r="T440" s="769">
        <v>42923.0</v>
      </c>
      <c r="U440" s="330" t="s">
        <v>7449</v>
      </c>
      <c r="V440" s="770">
        <v>3031.0</v>
      </c>
      <c r="W440" s="258">
        <v>43013.0</v>
      </c>
      <c r="X440" s="310" t="s">
        <v>7450</v>
      </c>
      <c r="Y440" s="253">
        <v>7.153233743E9</v>
      </c>
      <c r="Z440" s="330"/>
      <c r="AA440" s="330"/>
      <c r="AB440" s="330"/>
      <c r="AC440" s="253" t="s">
        <v>284</v>
      </c>
    </row>
    <row r="441" ht="15.75" customHeight="1">
      <c r="A441" s="776">
        <v>42915.0</v>
      </c>
      <c r="B441" s="1004" t="s">
        <v>6246</v>
      </c>
      <c r="C441" s="765" t="s">
        <v>7451</v>
      </c>
      <c r="D441" s="310" t="s">
        <v>7452</v>
      </c>
      <c r="E441" s="310" t="s">
        <v>7453</v>
      </c>
      <c r="F441" s="307">
        <v>10.0</v>
      </c>
      <c r="G441" s="793">
        <v>94.5</v>
      </c>
      <c r="H441" s="310">
        <f t="shared" si="9"/>
        <v>945</v>
      </c>
      <c r="I441" s="256" t="s">
        <v>43</v>
      </c>
      <c r="J441" s="363" t="s">
        <v>3520</v>
      </c>
      <c r="K441" s="258">
        <v>42926.0</v>
      </c>
      <c r="L441" s="258">
        <v>42922.0</v>
      </c>
      <c r="M441" s="592" t="s">
        <v>90</v>
      </c>
      <c r="N441" s="310" t="s">
        <v>7454</v>
      </c>
      <c r="O441" s="310">
        <v>900.9</v>
      </c>
      <c r="P441" s="330"/>
      <c r="Q441" s="310" t="s">
        <v>6081</v>
      </c>
      <c r="R441" s="330"/>
      <c r="S441" s="330"/>
      <c r="T441" s="769">
        <v>42922.0</v>
      </c>
      <c r="U441" s="330" t="s">
        <v>7455</v>
      </c>
      <c r="V441" s="770">
        <v>53366.0</v>
      </c>
      <c r="W441" s="601">
        <v>42955.0</v>
      </c>
      <c r="X441" s="310" t="s">
        <v>7456</v>
      </c>
      <c r="Y441" s="253" t="s">
        <v>7457</v>
      </c>
      <c r="Z441" s="330"/>
      <c r="AA441" s="330"/>
      <c r="AB441" s="330"/>
      <c r="AC441" s="253" t="s">
        <v>284</v>
      </c>
    </row>
    <row r="442" ht="15.75" customHeight="1">
      <c r="A442" s="776">
        <v>42915.0</v>
      </c>
      <c r="B442" s="1004" t="s">
        <v>6246</v>
      </c>
      <c r="C442" s="765" t="s">
        <v>7451</v>
      </c>
      <c r="D442" s="310" t="s">
        <v>7452</v>
      </c>
      <c r="E442" s="310" t="s">
        <v>7458</v>
      </c>
      <c r="F442" s="307">
        <v>4.0</v>
      </c>
      <c r="G442" s="338">
        <v>66.0</v>
      </c>
      <c r="H442" s="310">
        <f t="shared" si="9"/>
        <v>264</v>
      </c>
      <c r="I442" s="256" t="s">
        <v>43</v>
      </c>
      <c r="J442" s="363" t="s">
        <v>3520</v>
      </c>
      <c r="K442" s="258">
        <v>42926.0</v>
      </c>
      <c r="L442" s="258">
        <v>42922.0</v>
      </c>
      <c r="M442" s="592" t="s">
        <v>90</v>
      </c>
      <c r="N442" s="310" t="s">
        <v>7454</v>
      </c>
      <c r="O442" s="310">
        <v>252.0</v>
      </c>
      <c r="P442" s="330"/>
      <c r="Q442" s="310" t="s">
        <v>6081</v>
      </c>
      <c r="R442" s="330"/>
      <c r="S442" s="330"/>
      <c r="T442" s="769">
        <v>42922.0</v>
      </c>
      <c r="U442" s="330" t="s">
        <v>7455</v>
      </c>
      <c r="V442" s="330" t="s">
        <v>7459</v>
      </c>
      <c r="W442" s="601">
        <v>42955.0</v>
      </c>
      <c r="X442" s="310" t="s">
        <v>7456</v>
      </c>
      <c r="Y442" s="253" t="s">
        <v>7457</v>
      </c>
      <c r="Z442" s="330"/>
      <c r="AA442" s="330"/>
      <c r="AB442" s="330"/>
      <c r="AC442" s="253" t="s">
        <v>284</v>
      </c>
    </row>
    <row r="443" ht="15.75" customHeight="1">
      <c r="A443" s="776">
        <v>42915.0</v>
      </c>
      <c r="B443" s="1004" t="s">
        <v>6246</v>
      </c>
      <c r="C443" s="765" t="s">
        <v>7451</v>
      </c>
      <c r="D443" s="310" t="s">
        <v>7452</v>
      </c>
      <c r="E443" s="310" t="s">
        <v>7460</v>
      </c>
      <c r="F443" s="307">
        <v>2.0</v>
      </c>
      <c r="G443" s="793">
        <v>85.0</v>
      </c>
      <c r="H443" s="310">
        <f t="shared" si="9"/>
        <v>170</v>
      </c>
      <c r="I443" s="256" t="s">
        <v>43</v>
      </c>
      <c r="J443" s="363" t="s">
        <v>3520</v>
      </c>
      <c r="K443" s="258">
        <v>42926.0</v>
      </c>
      <c r="L443" s="258">
        <v>42922.0</v>
      </c>
      <c r="M443" s="253" t="s">
        <v>90</v>
      </c>
      <c r="N443" s="310" t="s">
        <v>7454</v>
      </c>
      <c r="O443" s="310">
        <v>155.4</v>
      </c>
      <c r="P443" s="330"/>
      <c r="Q443" s="310" t="s">
        <v>6081</v>
      </c>
      <c r="R443" s="330"/>
      <c r="S443" s="330"/>
      <c r="T443" s="769">
        <v>42922.0</v>
      </c>
      <c r="U443" s="330" t="s">
        <v>7455</v>
      </c>
      <c r="V443" s="330" t="s">
        <v>7459</v>
      </c>
      <c r="W443" s="601">
        <v>42955.0</v>
      </c>
      <c r="X443" s="310" t="s">
        <v>7456</v>
      </c>
      <c r="Y443" s="253" t="s">
        <v>7457</v>
      </c>
      <c r="Z443" s="330"/>
      <c r="AA443" s="330"/>
      <c r="AB443" s="330"/>
      <c r="AC443" s="253" t="s">
        <v>284</v>
      </c>
    </row>
    <row r="444" ht="15.75" customHeight="1">
      <c r="A444" s="776">
        <v>42915.0</v>
      </c>
      <c r="B444" s="765" t="s">
        <v>6246</v>
      </c>
      <c r="C444" s="765" t="s">
        <v>7451</v>
      </c>
      <c r="D444" s="310" t="s">
        <v>7452</v>
      </c>
      <c r="E444" s="310" t="s">
        <v>7461</v>
      </c>
      <c r="F444" s="307">
        <v>2.0</v>
      </c>
      <c r="G444" s="338">
        <v>90.0</v>
      </c>
      <c r="H444" s="310">
        <f t="shared" si="9"/>
        <v>180</v>
      </c>
      <c r="I444" s="256" t="s">
        <v>43</v>
      </c>
      <c r="J444" s="369" t="s">
        <v>3520</v>
      </c>
      <c r="K444" s="258">
        <v>42926.0</v>
      </c>
      <c r="L444" s="258">
        <v>42922.0</v>
      </c>
      <c r="M444" s="253" t="s">
        <v>90</v>
      </c>
      <c r="N444" s="310" t="s">
        <v>7454</v>
      </c>
      <c r="O444" s="310">
        <v>178.5</v>
      </c>
      <c r="P444" s="330"/>
      <c r="Q444" s="310" t="s">
        <v>6081</v>
      </c>
      <c r="R444" s="330"/>
      <c r="S444" s="330"/>
      <c r="T444" s="769">
        <v>42922.0</v>
      </c>
      <c r="U444" s="330" t="s">
        <v>7455</v>
      </c>
      <c r="V444" s="330" t="s">
        <v>7459</v>
      </c>
      <c r="W444" s="601">
        <v>42955.0</v>
      </c>
      <c r="X444" s="310" t="s">
        <v>7456</v>
      </c>
      <c r="Y444" s="253" t="s">
        <v>7457</v>
      </c>
      <c r="Z444" s="330"/>
      <c r="AA444" s="330"/>
      <c r="AB444" s="330"/>
      <c r="AC444" s="253" t="s">
        <v>284</v>
      </c>
    </row>
    <row r="445" ht="15.75" customHeight="1">
      <c r="A445" s="258">
        <v>42915.0</v>
      </c>
      <c r="B445" s="1004" t="s">
        <v>6246</v>
      </c>
      <c r="C445" s="765" t="s">
        <v>7451</v>
      </c>
      <c r="D445" s="310" t="s">
        <v>7452</v>
      </c>
      <c r="E445" s="310" t="s">
        <v>7462</v>
      </c>
      <c r="F445" s="307">
        <v>5.0</v>
      </c>
      <c r="G445" s="325">
        <v>58.0</v>
      </c>
      <c r="H445" s="310">
        <f t="shared" si="9"/>
        <v>290</v>
      </c>
      <c r="I445" s="256" t="s">
        <v>43</v>
      </c>
      <c r="J445" s="363" t="s">
        <v>3520</v>
      </c>
      <c r="K445" s="258">
        <v>42926.0</v>
      </c>
      <c r="L445" s="258">
        <v>42922.0</v>
      </c>
      <c r="M445" s="253" t="s">
        <v>90</v>
      </c>
      <c r="N445" s="310" t="s">
        <v>7454</v>
      </c>
      <c r="O445" s="310">
        <v>273.0</v>
      </c>
      <c r="P445" s="330"/>
      <c r="Q445" s="310" t="s">
        <v>6081</v>
      </c>
      <c r="R445" s="330"/>
      <c r="S445" s="330"/>
      <c r="T445" s="769">
        <v>42922.0</v>
      </c>
      <c r="U445" s="330" t="s">
        <v>7455</v>
      </c>
      <c r="V445" s="330" t="s">
        <v>7459</v>
      </c>
      <c r="W445" s="601">
        <v>42955.0</v>
      </c>
      <c r="X445" s="310" t="s">
        <v>7456</v>
      </c>
      <c r="Y445" s="253" t="s">
        <v>7457</v>
      </c>
      <c r="Z445" s="330"/>
      <c r="AA445" s="330"/>
      <c r="AB445" s="330"/>
      <c r="AC445" s="253" t="s">
        <v>284</v>
      </c>
    </row>
    <row r="446" ht="15.75" customHeight="1">
      <c r="A446" s="258">
        <v>42915.0</v>
      </c>
      <c r="B446" s="1004" t="s">
        <v>5188</v>
      </c>
      <c r="C446" s="330" t="s">
        <v>7463</v>
      </c>
      <c r="D446" s="330" t="s">
        <v>7464</v>
      </c>
      <c r="E446" s="330" t="s">
        <v>7465</v>
      </c>
      <c r="F446" s="307">
        <v>10.0</v>
      </c>
      <c r="G446" s="793">
        <f>11*1.05</f>
        <v>11.55</v>
      </c>
      <c r="H446" s="310">
        <f t="shared" si="9"/>
        <v>115.5</v>
      </c>
      <c r="I446" s="779" t="s">
        <v>3474</v>
      </c>
      <c r="J446" s="777" t="s">
        <v>1324</v>
      </c>
      <c r="K446" s="258">
        <v>42922.0</v>
      </c>
      <c r="L446" s="258">
        <v>42922.0</v>
      </c>
      <c r="M446" s="403" t="s">
        <v>2508</v>
      </c>
      <c r="N446" s="310" t="s">
        <v>7466</v>
      </c>
      <c r="O446" s="330"/>
      <c r="P446" s="579">
        <v>3780.0</v>
      </c>
      <c r="Q446" s="310" t="s">
        <v>4491</v>
      </c>
      <c r="R446" s="330"/>
      <c r="S446" s="631">
        <v>42952.0</v>
      </c>
      <c r="T446" s="769">
        <v>42919.0</v>
      </c>
      <c r="U446" s="330" t="s">
        <v>7467</v>
      </c>
      <c r="V446" s="770">
        <v>6458.0</v>
      </c>
      <c r="W446" s="601">
        <v>42951.0</v>
      </c>
      <c r="X446" s="330" t="s">
        <v>7468</v>
      </c>
      <c r="Y446" s="330" t="s">
        <v>7469</v>
      </c>
      <c r="Z446" s="604" t="s">
        <v>7470</v>
      </c>
      <c r="AA446" s="262">
        <v>6202.0</v>
      </c>
      <c r="AB446" s="330" t="s">
        <v>7471</v>
      </c>
      <c r="AC446" s="253" t="s">
        <v>377</v>
      </c>
    </row>
    <row r="447" ht="15.75" customHeight="1">
      <c r="A447" s="258">
        <v>42915.0</v>
      </c>
      <c r="B447" s="1004" t="s">
        <v>5188</v>
      </c>
      <c r="C447" s="330" t="s">
        <v>7463</v>
      </c>
      <c r="D447" s="330" t="s">
        <v>7464</v>
      </c>
      <c r="E447" s="330" t="s">
        <v>7472</v>
      </c>
      <c r="F447" s="307">
        <v>10.0</v>
      </c>
      <c r="G447" s="793">
        <f>8.4*1.05</f>
        <v>8.82</v>
      </c>
      <c r="H447" s="310">
        <f t="shared" si="9"/>
        <v>88.2</v>
      </c>
      <c r="I447" s="779" t="s">
        <v>3474</v>
      </c>
      <c r="J447" s="777" t="s">
        <v>1324</v>
      </c>
      <c r="K447" s="258">
        <v>42922.0</v>
      </c>
      <c r="L447" s="258">
        <v>42922.0</v>
      </c>
      <c r="M447" s="403" t="s">
        <v>2508</v>
      </c>
      <c r="N447" s="310" t="s">
        <v>7466</v>
      </c>
      <c r="O447" s="330"/>
      <c r="P447" s="579">
        <v>2678.0</v>
      </c>
      <c r="Q447" s="310" t="s">
        <v>4491</v>
      </c>
      <c r="R447" s="330"/>
      <c r="S447" s="631">
        <v>42952.0</v>
      </c>
      <c r="T447" s="769">
        <v>42919.0</v>
      </c>
      <c r="U447" s="330" t="s">
        <v>7467</v>
      </c>
      <c r="V447" s="330" t="s">
        <v>7473</v>
      </c>
      <c r="W447" s="601">
        <v>42951.0</v>
      </c>
      <c r="X447" s="330" t="s">
        <v>7468</v>
      </c>
      <c r="Y447" s="330" t="s">
        <v>7469</v>
      </c>
      <c r="Z447" s="604" t="s">
        <v>7470</v>
      </c>
      <c r="AA447" s="253" t="s">
        <v>7474</v>
      </c>
      <c r="AB447" s="330" t="s">
        <v>7471</v>
      </c>
      <c r="AC447" s="253" t="s">
        <v>377</v>
      </c>
    </row>
    <row r="448" ht="15.75" customHeight="1">
      <c r="A448" s="601">
        <v>42915.0</v>
      </c>
      <c r="B448" s="597" t="s">
        <v>7314</v>
      </c>
      <c r="C448" s="765">
        <v>7.000130765E9</v>
      </c>
      <c r="D448" s="252" t="s">
        <v>7447</v>
      </c>
      <c r="E448" s="252" t="s">
        <v>6194</v>
      </c>
      <c r="F448" s="307">
        <v>2.0</v>
      </c>
      <c r="G448" s="793">
        <v>86.0</v>
      </c>
      <c r="H448" s="310">
        <f t="shared" si="9"/>
        <v>172</v>
      </c>
      <c r="I448" s="256" t="s">
        <v>43</v>
      </c>
      <c r="J448" s="777" t="s">
        <v>3623</v>
      </c>
      <c r="K448" s="258">
        <v>42919.0</v>
      </c>
      <c r="L448" s="258">
        <v>42919.0</v>
      </c>
      <c r="M448" s="266" t="s">
        <v>3593</v>
      </c>
      <c r="N448" s="330" t="s">
        <v>7448</v>
      </c>
      <c r="O448" s="330"/>
      <c r="P448" s="579">
        <v>5013.0</v>
      </c>
      <c r="Q448" s="310" t="s">
        <v>2080</v>
      </c>
      <c r="R448" s="330"/>
      <c r="S448" s="810">
        <v>43008.0</v>
      </c>
      <c r="T448" s="769">
        <v>42916.0</v>
      </c>
      <c r="U448" s="330" t="s">
        <v>7475</v>
      </c>
      <c r="V448" s="770">
        <v>22990.0</v>
      </c>
      <c r="W448" s="258">
        <v>43013.0</v>
      </c>
      <c r="X448" s="310" t="s">
        <v>7318</v>
      </c>
      <c r="Y448" s="330"/>
      <c r="Z448" s="330"/>
      <c r="AA448" s="330"/>
      <c r="AB448" s="330"/>
      <c r="AC448" s="253" t="s">
        <v>284</v>
      </c>
    </row>
    <row r="449" ht="15.75" customHeight="1">
      <c r="A449" s="601">
        <v>42915.0</v>
      </c>
      <c r="B449" s="597" t="s">
        <v>7314</v>
      </c>
      <c r="C449" s="765">
        <v>7.000130765E9</v>
      </c>
      <c r="D449" s="252" t="s">
        <v>7447</v>
      </c>
      <c r="E449" s="252" t="s">
        <v>3676</v>
      </c>
      <c r="F449" s="307">
        <v>1.0</v>
      </c>
      <c r="G449" s="793">
        <v>46.0</v>
      </c>
      <c r="H449" s="310">
        <f t="shared" si="9"/>
        <v>46</v>
      </c>
      <c r="I449" s="256" t="s">
        <v>43</v>
      </c>
      <c r="J449" s="777" t="s">
        <v>3623</v>
      </c>
      <c r="K449" s="258">
        <v>42919.0</v>
      </c>
      <c r="L449" s="258">
        <v>42919.0</v>
      </c>
      <c r="M449" s="266" t="s">
        <v>3593</v>
      </c>
      <c r="N449" s="330" t="s">
        <v>7448</v>
      </c>
      <c r="O449" s="330"/>
      <c r="P449" s="579">
        <v>1342.0</v>
      </c>
      <c r="Q449" s="310" t="s">
        <v>2080</v>
      </c>
      <c r="R449" s="330"/>
      <c r="S449" s="810">
        <v>43008.0</v>
      </c>
      <c r="T449" s="769">
        <v>42916.0</v>
      </c>
      <c r="U449" s="330" t="s">
        <v>7475</v>
      </c>
      <c r="V449" s="770" t="s">
        <v>7476</v>
      </c>
      <c r="W449" s="258">
        <v>43013.0</v>
      </c>
      <c r="X449" s="310" t="s">
        <v>7318</v>
      </c>
      <c r="Y449" s="330"/>
      <c r="Z449" s="330"/>
      <c r="AA449" s="330"/>
      <c r="AB449" s="330"/>
      <c r="AC449" s="253" t="s">
        <v>284</v>
      </c>
    </row>
    <row r="450" ht="15.75" customHeight="1">
      <c r="A450" s="764">
        <v>42915.0</v>
      </c>
      <c r="B450" s="422" t="s">
        <v>7314</v>
      </c>
      <c r="C450" s="765">
        <v>7.000130765E9</v>
      </c>
      <c r="D450" s="252" t="s">
        <v>7447</v>
      </c>
      <c r="E450" s="252" t="s">
        <v>6596</v>
      </c>
      <c r="F450" s="307">
        <v>4.0</v>
      </c>
      <c r="G450" s="793">
        <v>116.0</v>
      </c>
      <c r="H450" s="310">
        <f t="shared" si="9"/>
        <v>464</v>
      </c>
      <c r="I450" s="256" t="s">
        <v>43</v>
      </c>
      <c r="J450" s="403" t="s">
        <v>3623</v>
      </c>
      <c r="K450" s="258">
        <v>42919.0</v>
      </c>
      <c r="L450" s="258">
        <v>42919.0</v>
      </c>
      <c r="M450" s="266" t="s">
        <v>3593</v>
      </c>
      <c r="N450" s="330" t="s">
        <v>7448</v>
      </c>
      <c r="O450" s="330"/>
      <c r="P450" s="579">
        <v>13604.0</v>
      </c>
      <c r="Q450" s="320" t="s">
        <v>2080</v>
      </c>
      <c r="R450" s="330"/>
      <c r="S450" s="810">
        <v>43008.0</v>
      </c>
      <c r="T450" s="769">
        <v>42916.0</v>
      </c>
      <c r="U450" s="330" t="s">
        <v>7475</v>
      </c>
      <c r="V450" s="770" t="s">
        <v>7476</v>
      </c>
      <c r="W450" s="258">
        <v>43013.0</v>
      </c>
      <c r="X450" s="310" t="s">
        <v>7318</v>
      </c>
      <c r="Y450" s="330"/>
      <c r="Z450" s="330"/>
      <c r="AA450" s="330"/>
      <c r="AB450" s="330"/>
      <c r="AC450" s="253" t="s">
        <v>284</v>
      </c>
    </row>
    <row r="451" ht="15.75" customHeight="1">
      <c r="A451" s="764">
        <v>42915.0</v>
      </c>
      <c r="B451" s="422" t="s">
        <v>7314</v>
      </c>
      <c r="C451" s="765">
        <v>7.000130765E9</v>
      </c>
      <c r="D451" s="252" t="s">
        <v>7447</v>
      </c>
      <c r="E451" s="252" t="s">
        <v>1117</v>
      </c>
      <c r="F451" s="307">
        <v>1.0</v>
      </c>
      <c r="G451" s="793">
        <v>104.0</v>
      </c>
      <c r="H451" s="310">
        <f t="shared" si="9"/>
        <v>104</v>
      </c>
      <c r="I451" s="256" t="s">
        <v>43</v>
      </c>
      <c r="J451" s="403" t="s">
        <v>3623</v>
      </c>
      <c r="K451" s="258">
        <v>42919.0</v>
      </c>
      <c r="L451" s="258">
        <v>42919.0</v>
      </c>
      <c r="M451" s="266" t="s">
        <v>3593</v>
      </c>
      <c r="N451" s="330" t="s">
        <v>7448</v>
      </c>
      <c r="O451" s="330"/>
      <c r="P451" s="579">
        <v>3031.0</v>
      </c>
      <c r="Q451" s="320" t="s">
        <v>2080</v>
      </c>
      <c r="R451" s="330"/>
      <c r="S451" s="810">
        <v>43008.0</v>
      </c>
      <c r="T451" s="769">
        <v>42916.0</v>
      </c>
      <c r="U451" s="330" t="s">
        <v>7475</v>
      </c>
      <c r="V451" s="770" t="s">
        <v>7476</v>
      </c>
      <c r="W451" s="258">
        <v>43013.0</v>
      </c>
      <c r="X451" s="310" t="s">
        <v>7318</v>
      </c>
      <c r="Y451" s="330"/>
      <c r="Z451" s="330"/>
      <c r="AA451" s="330"/>
      <c r="AB451" s="330"/>
      <c r="AC451" s="253" t="s">
        <v>284</v>
      </c>
    </row>
    <row r="452" ht="15.75" customHeight="1">
      <c r="A452" s="776">
        <v>42919.0</v>
      </c>
      <c r="B452" s="578" t="s">
        <v>54</v>
      </c>
      <c r="C452" s="252" t="s">
        <v>7477</v>
      </c>
      <c r="D452" s="310" t="s">
        <v>7478</v>
      </c>
      <c r="E452" s="310" t="s">
        <v>3793</v>
      </c>
      <c r="F452" s="266">
        <v>4.0</v>
      </c>
      <c r="G452" s="325">
        <v>150.15</v>
      </c>
      <c r="H452" s="581">
        <f t="shared" si="9"/>
        <v>600.6</v>
      </c>
      <c r="I452" s="256" t="s">
        <v>43</v>
      </c>
      <c r="J452" s="253" t="s">
        <v>90</v>
      </c>
      <c r="K452" s="258">
        <v>42954.0</v>
      </c>
      <c r="L452" s="258">
        <v>42954.0</v>
      </c>
      <c r="M452" s="403" t="s">
        <v>90</v>
      </c>
      <c r="N452" s="330" t="s">
        <v>7479</v>
      </c>
      <c r="O452" s="310">
        <v>537.6</v>
      </c>
      <c r="P452" s="330"/>
      <c r="Q452" s="320" t="s">
        <v>6081</v>
      </c>
      <c r="R452" s="330"/>
      <c r="S452" s="768">
        <v>43008.0</v>
      </c>
      <c r="T452" s="771">
        <v>42954.0</v>
      </c>
      <c r="U452" s="310" t="s">
        <v>7480</v>
      </c>
      <c r="V452" s="774">
        <v>16281.0</v>
      </c>
      <c r="W452" s="601">
        <v>42998.0</v>
      </c>
      <c r="X452" s="330" t="s">
        <v>7481</v>
      </c>
      <c r="Y452" s="330"/>
      <c r="Z452" s="330" t="s">
        <v>7482</v>
      </c>
      <c r="AA452" s="262">
        <v>18150.0</v>
      </c>
      <c r="AB452" s="765" t="s">
        <v>7483</v>
      </c>
      <c r="AC452" s="253" t="s">
        <v>377</v>
      </c>
    </row>
    <row r="453" ht="15.75" customHeight="1">
      <c r="A453" s="776">
        <v>42919.0</v>
      </c>
      <c r="B453" s="330" t="s">
        <v>101</v>
      </c>
      <c r="C453" s="330" t="s">
        <v>7484</v>
      </c>
      <c r="D453" s="330" t="s">
        <v>7485</v>
      </c>
      <c r="E453" s="330" t="s">
        <v>7486</v>
      </c>
      <c r="F453" s="307">
        <v>1.0</v>
      </c>
      <c r="G453" s="793">
        <v>622.0</v>
      </c>
      <c r="H453" s="310">
        <f t="shared" si="9"/>
        <v>622</v>
      </c>
      <c r="I453" s="256" t="s">
        <v>3474</v>
      </c>
      <c r="J453" s="369" t="s">
        <v>3739</v>
      </c>
      <c r="K453" s="258">
        <v>42933.0</v>
      </c>
      <c r="L453" s="258">
        <v>42928.0</v>
      </c>
      <c r="M453" s="403" t="s">
        <v>2028</v>
      </c>
      <c r="N453" s="252" t="s">
        <v>7487</v>
      </c>
      <c r="O453" s="330"/>
      <c r="P453" s="579">
        <v>17937.0</v>
      </c>
      <c r="Q453" s="340" t="s">
        <v>2030</v>
      </c>
      <c r="R453" s="330"/>
      <c r="S453" s="810">
        <v>42983.0</v>
      </c>
      <c r="T453" s="769">
        <v>42928.0</v>
      </c>
      <c r="U453" s="330" t="s">
        <v>7488</v>
      </c>
      <c r="V453" s="770">
        <v>20083.0</v>
      </c>
      <c r="W453" s="258">
        <v>42983.0</v>
      </c>
      <c r="X453" s="310" t="s">
        <v>7489</v>
      </c>
      <c r="Y453" s="330"/>
      <c r="Z453" s="330"/>
      <c r="AA453" s="330"/>
      <c r="AB453" s="330"/>
      <c r="AC453" s="253" t="s">
        <v>284</v>
      </c>
    </row>
    <row r="454" ht="15.75" customHeight="1">
      <c r="A454" s="776">
        <v>42919.0</v>
      </c>
      <c r="B454" s="330" t="s">
        <v>101</v>
      </c>
      <c r="C454" s="330" t="s">
        <v>7484</v>
      </c>
      <c r="D454" s="330" t="s">
        <v>7485</v>
      </c>
      <c r="E454" s="330" t="s">
        <v>7490</v>
      </c>
      <c r="F454" s="307">
        <v>1.0</v>
      </c>
      <c r="G454" s="793">
        <v>74.0</v>
      </c>
      <c r="H454" s="310">
        <f t="shared" si="9"/>
        <v>74</v>
      </c>
      <c r="I454" s="256" t="s">
        <v>3474</v>
      </c>
      <c r="J454" s="369" t="s">
        <v>3739</v>
      </c>
      <c r="K454" s="258">
        <v>42933.0</v>
      </c>
      <c r="L454" s="258">
        <v>42928.0</v>
      </c>
      <c r="M454" s="403" t="s">
        <v>2028</v>
      </c>
      <c r="N454" s="252" t="s">
        <v>7487</v>
      </c>
      <c r="O454" s="330"/>
      <c r="P454" s="579">
        <v>2146.0</v>
      </c>
      <c r="Q454" s="340" t="s">
        <v>2030</v>
      </c>
      <c r="R454" s="330"/>
      <c r="S454" s="810">
        <v>42983.0</v>
      </c>
      <c r="T454" s="769">
        <v>42928.0</v>
      </c>
      <c r="U454" s="330" t="s">
        <v>7488</v>
      </c>
      <c r="V454" s="330" t="s">
        <v>7491</v>
      </c>
      <c r="W454" s="258">
        <v>42983.0</v>
      </c>
      <c r="X454" s="310" t="s">
        <v>7489</v>
      </c>
      <c r="Y454" s="330"/>
      <c r="Z454" s="330"/>
      <c r="AA454" s="330"/>
      <c r="AB454" s="330"/>
      <c r="AC454" s="253" t="s">
        <v>284</v>
      </c>
    </row>
    <row r="455" ht="15.75" customHeight="1">
      <c r="A455" s="776">
        <v>42919.0</v>
      </c>
      <c r="B455" s="330" t="s">
        <v>101</v>
      </c>
      <c r="C455" s="330" t="s">
        <v>7492</v>
      </c>
      <c r="D455" s="330" t="s">
        <v>7493</v>
      </c>
      <c r="E455" s="330" t="s">
        <v>7494</v>
      </c>
      <c r="F455" s="307">
        <v>2.0</v>
      </c>
      <c r="G455" s="793">
        <v>1413.0</v>
      </c>
      <c r="H455" s="310">
        <f t="shared" si="9"/>
        <v>2826</v>
      </c>
      <c r="I455" s="256" t="s">
        <v>3474</v>
      </c>
      <c r="J455" s="369" t="s">
        <v>3739</v>
      </c>
      <c r="K455" s="258">
        <v>42933.0</v>
      </c>
      <c r="L455" s="258">
        <v>42927.0</v>
      </c>
      <c r="M455" s="369" t="s">
        <v>2034</v>
      </c>
      <c r="N455" s="310" t="s">
        <v>7495</v>
      </c>
      <c r="O455" s="1083">
        <v>2671.2</v>
      </c>
      <c r="P455" s="330"/>
      <c r="Q455" s="320" t="s">
        <v>2036</v>
      </c>
      <c r="R455" s="330"/>
      <c r="S455" s="810">
        <v>42983.0</v>
      </c>
      <c r="T455" s="769">
        <v>42923.0</v>
      </c>
      <c r="U455" s="330" t="s">
        <v>7496</v>
      </c>
      <c r="V455" s="770">
        <v>81738.0</v>
      </c>
      <c r="W455" s="258">
        <v>42985.0</v>
      </c>
      <c r="X455" s="310" t="s">
        <v>7489</v>
      </c>
      <c r="Y455" s="330"/>
      <c r="Z455" s="330"/>
      <c r="AA455" s="330"/>
      <c r="AB455" s="330"/>
      <c r="AC455" s="253" t="s">
        <v>284</v>
      </c>
    </row>
    <row r="456" ht="15.75" customHeight="1">
      <c r="A456" s="776">
        <v>42919.0</v>
      </c>
      <c r="B456" s="330" t="s">
        <v>101</v>
      </c>
      <c r="C456" s="330" t="s">
        <v>7484</v>
      </c>
      <c r="D456" s="330" t="s">
        <v>7485</v>
      </c>
      <c r="E456" s="330" t="s">
        <v>7497</v>
      </c>
      <c r="F456" s="307">
        <v>1.0</v>
      </c>
      <c r="G456" s="793">
        <v>138.0</v>
      </c>
      <c r="H456" s="310">
        <f t="shared" si="9"/>
        <v>138</v>
      </c>
      <c r="I456" s="256" t="s">
        <v>3474</v>
      </c>
      <c r="J456" s="369" t="s">
        <v>3739</v>
      </c>
      <c r="K456" s="258">
        <v>42933.0</v>
      </c>
      <c r="L456" s="258">
        <v>42926.0</v>
      </c>
      <c r="M456" s="369" t="s">
        <v>4846</v>
      </c>
      <c r="N456" s="252" t="s">
        <v>7498</v>
      </c>
      <c r="O456" s="330"/>
      <c r="P456" s="579">
        <v>4135.0</v>
      </c>
      <c r="Q456" s="320" t="s">
        <v>2172</v>
      </c>
      <c r="R456" s="330"/>
      <c r="S456" s="330"/>
      <c r="T456" s="771">
        <v>42927.0</v>
      </c>
      <c r="U456" s="310" t="s">
        <v>7499</v>
      </c>
      <c r="V456" s="774">
        <v>4135.0</v>
      </c>
      <c r="W456" s="601">
        <v>42922.0</v>
      </c>
      <c r="X456" s="310" t="s">
        <v>7489</v>
      </c>
      <c r="Y456" s="330"/>
      <c r="Z456" s="330"/>
      <c r="AA456" s="330"/>
      <c r="AB456" s="330"/>
      <c r="AC456" s="253" t="s">
        <v>284</v>
      </c>
    </row>
    <row r="457" ht="26.25" customHeight="1">
      <c r="A457" s="776">
        <v>42919.0</v>
      </c>
      <c r="B457" s="388" t="s">
        <v>101</v>
      </c>
      <c r="C457" s="330" t="s">
        <v>7484</v>
      </c>
      <c r="D457" s="330" t="s">
        <v>7485</v>
      </c>
      <c r="E457" s="330" t="s">
        <v>6674</v>
      </c>
      <c r="F457" s="307">
        <v>1.0</v>
      </c>
      <c r="G457" s="793">
        <v>352.0</v>
      </c>
      <c r="H457" s="310">
        <f t="shared" si="9"/>
        <v>352</v>
      </c>
      <c r="I457" s="256" t="s">
        <v>3474</v>
      </c>
      <c r="J457" s="369" t="s">
        <v>3739</v>
      </c>
      <c r="K457" s="258">
        <v>42933.0</v>
      </c>
      <c r="L457" s="258">
        <v>42923.0</v>
      </c>
      <c r="M457" s="269" t="s">
        <v>7500</v>
      </c>
      <c r="N457" s="252" t="s">
        <v>7501</v>
      </c>
      <c r="O457" s="310">
        <v>299.25</v>
      </c>
      <c r="P457" s="330"/>
      <c r="Q457" s="320" t="s">
        <v>6346</v>
      </c>
      <c r="R457" s="330"/>
      <c r="S457" s="810">
        <v>42952.0</v>
      </c>
      <c r="T457" s="771">
        <v>42922.0</v>
      </c>
      <c r="U457" s="310" t="s">
        <v>7502</v>
      </c>
      <c r="V457" s="774">
        <v>9130.0</v>
      </c>
      <c r="W457" s="601">
        <v>42965.0</v>
      </c>
      <c r="X457" s="310" t="s">
        <v>7489</v>
      </c>
      <c r="Y457" s="330"/>
      <c r="Z457" s="330"/>
      <c r="AA457" s="330"/>
      <c r="AB457" s="330"/>
      <c r="AC457" s="253" t="s">
        <v>284</v>
      </c>
    </row>
    <row r="458" ht="15.75" customHeight="1">
      <c r="A458" s="776">
        <v>42919.0</v>
      </c>
      <c r="B458" s="388" t="s">
        <v>101</v>
      </c>
      <c r="C458" s="330" t="s">
        <v>7484</v>
      </c>
      <c r="D458" s="330" t="s">
        <v>7503</v>
      </c>
      <c r="E458" s="330" t="s">
        <v>7504</v>
      </c>
      <c r="F458" s="307">
        <v>1.0</v>
      </c>
      <c r="G458" s="793">
        <v>40.0</v>
      </c>
      <c r="H458" s="310">
        <f t="shared" si="9"/>
        <v>40</v>
      </c>
      <c r="I458" s="256" t="s">
        <v>3474</v>
      </c>
      <c r="J458" s="369" t="s">
        <v>3739</v>
      </c>
      <c r="K458" s="258">
        <v>42933.0</v>
      </c>
      <c r="L458" s="258">
        <v>42923.0</v>
      </c>
      <c r="M458" s="333" t="s">
        <v>7505</v>
      </c>
      <c r="N458" s="310" t="s">
        <v>3912</v>
      </c>
      <c r="O458" s="330"/>
      <c r="P458" s="330"/>
      <c r="Q458" s="599" t="s">
        <v>7506</v>
      </c>
      <c r="R458" s="330"/>
      <c r="S458" s="339"/>
      <c r="T458" s="310" t="s">
        <v>3912</v>
      </c>
      <c r="U458" s="310"/>
      <c r="V458" s="310"/>
      <c r="W458" s="330"/>
      <c r="X458" s="310" t="s">
        <v>7489</v>
      </c>
      <c r="Y458" s="330"/>
      <c r="Z458" s="330"/>
      <c r="AA458" s="330"/>
      <c r="AB458" s="330"/>
      <c r="AC458" s="253" t="s">
        <v>284</v>
      </c>
    </row>
    <row r="459" ht="26.25" customHeight="1">
      <c r="A459" s="776">
        <v>42919.0</v>
      </c>
      <c r="B459" s="388" t="s">
        <v>7507</v>
      </c>
      <c r="C459" s="330"/>
      <c r="D459" s="310" t="s">
        <v>7508</v>
      </c>
      <c r="E459" s="310" t="s">
        <v>7509</v>
      </c>
      <c r="F459" s="307">
        <v>1.0</v>
      </c>
      <c r="G459" s="793">
        <f>152*1.05</f>
        <v>159.6</v>
      </c>
      <c r="H459" s="581">
        <f t="shared" si="9"/>
        <v>159.6</v>
      </c>
      <c r="I459" s="256" t="s">
        <v>3474</v>
      </c>
      <c r="J459" s="253"/>
      <c r="K459" s="258">
        <v>42922.0</v>
      </c>
      <c r="L459" s="330"/>
      <c r="M459" s="253" t="s">
        <v>5627</v>
      </c>
      <c r="N459" s="330" t="s">
        <v>7510</v>
      </c>
      <c r="O459" s="600"/>
      <c r="P459" s="338"/>
      <c r="Q459" s="330"/>
      <c r="R459" s="330"/>
      <c r="S459" s="330"/>
      <c r="T459" s="769">
        <v>42929.0</v>
      </c>
      <c r="U459" s="330" t="s">
        <v>7511</v>
      </c>
      <c r="V459" s="770">
        <v>4495.0</v>
      </c>
      <c r="W459" s="330"/>
      <c r="X459" s="330" t="s">
        <v>7512</v>
      </c>
      <c r="Y459" s="330" t="s">
        <v>7513</v>
      </c>
      <c r="Z459" s="330"/>
      <c r="AA459" s="262">
        <v>4839.0</v>
      </c>
      <c r="AB459" s="330" t="s">
        <v>7471</v>
      </c>
      <c r="AC459" s="253" t="s">
        <v>377</v>
      </c>
    </row>
    <row r="460" ht="15.75" customHeight="1">
      <c r="A460" s="776">
        <v>42921.0</v>
      </c>
      <c r="B460" s="388" t="s">
        <v>326</v>
      </c>
      <c r="C460" s="252">
        <v>1612451.0</v>
      </c>
      <c r="D460" s="310" t="s">
        <v>7514</v>
      </c>
      <c r="E460" s="310" t="s">
        <v>4414</v>
      </c>
      <c r="F460" s="307">
        <v>5.0</v>
      </c>
      <c r="G460" s="793">
        <v>607.0</v>
      </c>
      <c r="H460" s="267">
        <f t="shared" si="9"/>
        <v>3035</v>
      </c>
      <c r="I460" s="256" t="s">
        <v>3474</v>
      </c>
      <c r="J460" s="369" t="s">
        <v>3774</v>
      </c>
      <c r="K460" s="258">
        <v>42969.0</v>
      </c>
      <c r="L460" s="258">
        <v>42963.0</v>
      </c>
      <c r="M460" s="403" t="s">
        <v>3775</v>
      </c>
      <c r="N460" s="252" t="s">
        <v>7515</v>
      </c>
      <c r="O460" s="267">
        <v>2966.25</v>
      </c>
      <c r="P460" s="581"/>
      <c r="Q460" s="597" t="s">
        <v>2207</v>
      </c>
      <c r="R460" s="330"/>
      <c r="S460" s="810">
        <v>43008.0</v>
      </c>
      <c r="T460" s="771">
        <v>42964.0</v>
      </c>
      <c r="U460" s="310" t="s">
        <v>7516</v>
      </c>
      <c r="V460" s="774">
        <v>94010.0</v>
      </c>
      <c r="W460" s="258">
        <v>43007.0</v>
      </c>
      <c r="X460" s="310" t="s">
        <v>7323</v>
      </c>
      <c r="Y460" s="253">
        <v>7.70077588248E11</v>
      </c>
      <c r="Z460" s="330"/>
      <c r="AA460" s="330"/>
      <c r="AB460" s="330"/>
      <c r="AC460" s="253" t="s">
        <v>284</v>
      </c>
    </row>
    <row r="461" ht="15.75" customHeight="1">
      <c r="A461" s="776">
        <v>42921.0</v>
      </c>
      <c r="B461" s="388" t="s">
        <v>326</v>
      </c>
      <c r="C461" s="252">
        <v>1612451.0</v>
      </c>
      <c r="D461" s="310" t="s">
        <v>7514</v>
      </c>
      <c r="E461" s="310" t="s">
        <v>4419</v>
      </c>
      <c r="F461" s="307">
        <v>5.0</v>
      </c>
      <c r="G461" s="793">
        <v>27.0</v>
      </c>
      <c r="H461" s="267">
        <f t="shared" si="9"/>
        <v>135</v>
      </c>
      <c r="I461" s="256" t="s">
        <v>3474</v>
      </c>
      <c r="J461" s="369" t="s">
        <v>3774</v>
      </c>
      <c r="K461" s="258">
        <v>42969.0</v>
      </c>
      <c r="L461" s="258">
        <v>42963.0</v>
      </c>
      <c r="M461" s="333" t="s">
        <v>3775</v>
      </c>
      <c r="N461" s="252" t="s">
        <v>7515</v>
      </c>
      <c r="O461" s="267">
        <v>131.25</v>
      </c>
      <c r="P461" s="581"/>
      <c r="Q461" s="422" t="s">
        <v>2207</v>
      </c>
      <c r="R461" s="330"/>
      <c r="S461" s="810">
        <v>43008.0</v>
      </c>
      <c r="T461" s="771">
        <v>42964.0</v>
      </c>
      <c r="U461" s="310" t="s">
        <v>7516</v>
      </c>
      <c r="V461" s="310" t="s">
        <v>7517</v>
      </c>
      <c r="W461" s="258">
        <v>43007.0</v>
      </c>
      <c r="X461" s="310" t="s">
        <v>7323</v>
      </c>
      <c r="Y461" s="253">
        <v>7.70077588248E11</v>
      </c>
      <c r="Z461" s="330"/>
      <c r="AA461" s="330"/>
      <c r="AB461" s="330"/>
      <c r="AC461" s="253" t="s">
        <v>284</v>
      </c>
    </row>
    <row r="462" ht="15.75" customHeight="1">
      <c r="A462" s="776">
        <v>42922.0</v>
      </c>
      <c r="B462" s="388" t="s">
        <v>101</v>
      </c>
      <c r="C462" s="330" t="s">
        <v>7518</v>
      </c>
      <c r="D462" s="1084" t="s">
        <v>7519</v>
      </c>
      <c r="E462" s="1084" t="s">
        <v>7520</v>
      </c>
      <c r="F462" s="307">
        <v>50.0</v>
      </c>
      <c r="G462" s="793">
        <v>291.0</v>
      </c>
      <c r="H462" s="268">
        <f t="shared" si="9"/>
        <v>14550</v>
      </c>
      <c r="I462" s="256" t="s">
        <v>3474</v>
      </c>
      <c r="J462" s="369" t="s">
        <v>3739</v>
      </c>
      <c r="K462" s="258">
        <v>42996.0</v>
      </c>
      <c r="L462" s="258">
        <v>42986.0</v>
      </c>
      <c r="M462" s="333" t="s">
        <v>2028</v>
      </c>
      <c r="N462" s="310" t="s">
        <v>7521</v>
      </c>
      <c r="O462" s="268">
        <v>13755.0</v>
      </c>
      <c r="P462" s="791">
        <v>413963.0</v>
      </c>
      <c r="Q462" s="340" t="s">
        <v>2030</v>
      </c>
      <c r="R462" s="330"/>
      <c r="S462" s="581" t="s">
        <v>7522</v>
      </c>
      <c r="T462" s="769">
        <v>42986.0</v>
      </c>
      <c r="U462" s="330" t="s">
        <v>7523</v>
      </c>
      <c r="V462" s="770">
        <v>413963.0</v>
      </c>
      <c r="W462" s="258">
        <v>42983.0</v>
      </c>
      <c r="X462" s="330" t="s">
        <v>7524</v>
      </c>
      <c r="Y462" s="253">
        <v>5.818143181E9</v>
      </c>
      <c r="Z462" s="330"/>
      <c r="AA462" s="330"/>
      <c r="AB462" s="330"/>
      <c r="AC462" s="253" t="s">
        <v>284</v>
      </c>
    </row>
    <row r="463" ht="15.75" customHeight="1">
      <c r="A463" s="776">
        <v>42922.0</v>
      </c>
      <c r="B463" s="388" t="s">
        <v>101</v>
      </c>
      <c r="C463" s="388" t="s">
        <v>7518</v>
      </c>
      <c r="D463" s="1084" t="s">
        <v>7519</v>
      </c>
      <c r="E463" s="1084" t="s">
        <v>7130</v>
      </c>
      <c r="F463" s="1041">
        <v>50.0</v>
      </c>
      <c r="G463" s="338">
        <v>62.0</v>
      </c>
      <c r="H463" s="268">
        <f t="shared" si="9"/>
        <v>3100</v>
      </c>
      <c r="I463" s="256" t="s">
        <v>3474</v>
      </c>
      <c r="J463" s="369" t="s">
        <v>3739</v>
      </c>
      <c r="K463" s="258">
        <v>42996.0</v>
      </c>
      <c r="L463" s="258">
        <v>42986.0</v>
      </c>
      <c r="M463" s="269" t="s">
        <v>2170</v>
      </c>
      <c r="N463" s="310" t="s">
        <v>7525</v>
      </c>
      <c r="O463" s="598"/>
      <c r="P463" s="579">
        <v>75443.0</v>
      </c>
      <c r="Q463" s="320" t="s">
        <v>2172</v>
      </c>
      <c r="R463" s="330"/>
      <c r="S463" s="631"/>
      <c r="T463" s="771">
        <v>42983.0</v>
      </c>
      <c r="U463" s="330" t="s">
        <v>7526</v>
      </c>
      <c r="V463" s="774">
        <v>75443.0</v>
      </c>
      <c r="W463" s="601">
        <v>42979.0</v>
      </c>
      <c r="X463" s="330" t="s">
        <v>7524</v>
      </c>
      <c r="Y463" s="253">
        <v>5.818143181E9</v>
      </c>
      <c r="Z463" s="330"/>
      <c r="AA463" s="330"/>
      <c r="AB463" s="330"/>
      <c r="AC463" s="253" t="s">
        <v>284</v>
      </c>
    </row>
    <row r="464" ht="15.75" customHeight="1">
      <c r="A464" s="776">
        <v>42922.0</v>
      </c>
      <c r="B464" s="388" t="s">
        <v>101</v>
      </c>
      <c r="C464" s="330" t="s">
        <v>7518</v>
      </c>
      <c r="D464" s="1084" t="s">
        <v>7519</v>
      </c>
      <c r="E464" s="1084" t="s">
        <v>7527</v>
      </c>
      <c r="F464" s="307">
        <v>50.0</v>
      </c>
      <c r="G464" s="793">
        <v>110.0</v>
      </c>
      <c r="H464" s="268">
        <f t="shared" si="9"/>
        <v>5500</v>
      </c>
      <c r="I464" s="256" t="s">
        <v>3474</v>
      </c>
      <c r="J464" s="269" t="s">
        <v>3739</v>
      </c>
      <c r="K464" s="258">
        <v>42996.0</v>
      </c>
      <c r="L464" s="258">
        <v>42986.0</v>
      </c>
      <c r="M464" s="253" t="s">
        <v>1981</v>
      </c>
      <c r="N464" s="310" t="s">
        <v>7528</v>
      </c>
      <c r="O464" s="268">
        <v>3675.0</v>
      </c>
      <c r="P464" s="596"/>
      <c r="Q464" s="599" t="s">
        <v>3906</v>
      </c>
      <c r="R464" s="330"/>
      <c r="S464" s="1085">
        <v>42983.0</v>
      </c>
      <c r="T464" s="769">
        <v>42984.0</v>
      </c>
      <c r="U464" s="330" t="s">
        <v>7529</v>
      </c>
      <c r="V464" s="770">
        <v>116555.0</v>
      </c>
      <c r="W464" s="601">
        <v>42983.0</v>
      </c>
      <c r="X464" s="330" t="s">
        <v>7524</v>
      </c>
      <c r="Y464" s="253">
        <v>5.818143181E9</v>
      </c>
      <c r="Z464" s="330"/>
      <c r="AA464" s="330"/>
      <c r="AB464" s="330"/>
      <c r="AC464" s="253" t="s">
        <v>284</v>
      </c>
    </row>
    <row r="465" ht="15.75" customHeight="1">
      <c r="A465" s="776">
        <v>42922.0</v>
      </c>
      <c r="B465" s="388" t="s">
        <v>101</v>
      </c>
      <c r="C465" s="388" t="s">
        <v>7518</v>
      </c>
      <c r="D465" s="1084" t="s">
        <v>7530</v>
      </c>
      <c r="E465" s="1084" t="s">
        <v>7531</v>
      </c>
      <c r="F465" s="307">
        <v>50.0</v>
      </c>
      <c r="G465" s="793">
        <v>291.0</v>
      </c>
      <c r="H465" s="268">
        <f t="shared" si="9"/>
        <v>14550</v>
      </c>
      <c r="I465" s="256" t="s">
        <v>3474</v>
      </c>
      <c r="J465" s="369" t="s">
        <v>3739</v>
      </c>
      <c r="K465" s="258">
        <v>42978.0</v>
      </c>
      <c r="L465" s="258">
        <v>42965.0</v>
      </c>
      <c r="M465" s="333" t="s">
        <v>2028</v>
      </c>
      <c r="N465" s="320" t="s">
        <v>7521</v>
      </c>
      <c r="O465" s="1086">
        <v>13167.0</v>
      </c>
      <c r="P465" s="388"/>
      <c r="Q465" s="340" t="s">
        <v>2030</v>
      </c>
      <c r="R465" s="330"/>
      <c r="S465" s="1049"/>
      <c r="T465" s="769">
        <v>42965.0</v>
      </c>
      <c r="U465" s="330" t="s">
        <v>7532</v>
      </c>
      <c r="V465" s="770">
        <v>398948.0</v>
      </c>
      <c r="W465" s="601">
        <v>42964.0</v>
      </c>
      <c r="X465" s="310" t="s">
        <v>7533</v>
      </c>
      <c r="Y465" s="253">
        <v>7.463232781E9</v>
      </c>
      <c r="Z465" s="330"/>
      <c r="AA465" s="330"/>
      <c r="AB465" s="330"/>
      <c r="AC465" s="253" t="s">
        <v>284</v>
      </c>
    </row>
    <row r="466" ht="15.75" customHeight="1">
      <c r="A466" s="776">
        <v>42922.0</v>
      </c>
      <c r="B466" s="388" t="s">
        <v>101</v>
      </c>
      <c r="C466" s="388" t="s">
        <v>7518</v>
      </c>
      <c r="D466" s="1084" t="s">
        <v>7530</v>
      </c>
      <c r="E466" s="1084" t="s">
        <v>7130</v>
      </c>
      <c r="F466" s="307">
        <v>50.0</v>
      </c>
      <c r="G466" s="793">
        <v>62.0</v>
      </c>
      <c r="H466" s="268">
        <f t="shared" si="9"/>
        <v>3100</v>
      </c>
      <c r="I466" s="256" t="s">
        <v>3474</v>
      </c>
      <c r="J466" s="369" t="s">
        <v>3739</v>
      </c>
      <c r="K466" s="258">
        <v>42978.0</v>
      </c>
      <c r="L466" s="258">
        <v>42965.0</v>
      </c>
      <c r="M466" s="269" t="s">
        <v>2170</v>
      </c>
      <c r="N466" s="320" t="s">
        <v>7525</v>
      </c>
      <c r="O466" s="1087"/>
      <c r="P466" s="1088">
        <v>75443.0</v>
      </c>
      <c r="Q466" s="320" t="s">
        <v>2172</v>
      </c>
      <c r="R466" s="330"/>
      <c r="S466" s="330"/>
      <c r="T466" s="771">
        <v>42962.0</v>
      </c>
      <c r="U466" s="310" t="s">
        <v>7534</v>
      </c>
      <c r="V466" s="774">
        <v>75443.0</v>
      </c>
      <c r="W466" s="601">
        <v>42944.0</v>
      </c>
      <c r="X466" s="310" t="s">
        <v>7533</v>
      </c>
      <c r="Y466" s="253">
        <v>7.463232781E9</v>
      </c>
      <c r="Z466" s="330"/>
      <c r="AA466" s="330"/>
      <c r="AB466" s="330"/>
      <c r="AC466" s="253" t="s">
        <v>284</v>
      </c>
    </row>
    <row r="467" ht="15.75" customHeight="1">
      <c r="A467" s="776">
        <v>42922.0</v>
      </c>
      <c r="B467" s="388" t="s">
        <v>101</v>
      </c>
      <c r="C467" s="330" t="s">
        <v>7518</v>
      </c>
      <c r="D467" s="1084" t="s">
        <v>7530</v>
      </c>
      <c r="E467" s="1084" t="s">
        <v>7527</v>
      </c>
      <c r="F467" s="307">
        <v>50.0</v>
      </c>
      <c r="G467" s="793">
        <v>110.0</v>
      </c>
      <c r="H467" s="268">
        <f t="shared" si="9"/>
        <v>5500</v>
      </c>
      <c r="I467" s="256" t="s">
        <v>3474</v>
      </c>
      <c r="J467" s="369" t="s">
        <v>3739</v>
      </c>
      <c r="K467" s="258">
        <v>42978.0</v>
      </c>
      <c r="L467" s="258">
        <v>42963.0</v>
      </c>
      <c r="M467" s="253" t="s">
        <v>1981</v>
      </c>
      <c r="N467" s="310" t="s">
        <v>7528</v>
      </c>
      <c r="O467" s="268">
        <v>3675.0</v>
      </c>
      <c r="P467" s="596"/>
      <c r="Q467" s="599" t="s">
        <v>3906</v>
      </c>
      <c r="R467" s="330"/>
      <c r="S467" s="768">
        <v>42957.0</v>
      </c>
      <c r="T467" s="769">
        <v>42962.0</v>
      </c>
      <c r="U467" s="330" t="s">
        <v>7535</v>
      </c>
      <c r="V467" s="770">
        <v>111360.0</v>
      </c>
      <c r="W467" s="601">
        <v>42962.0</v>
      </c>
      <c r="X467" s="310" t="s">
        <v>7533</v>
      </c>
      <c r="Y467" s="253">
        <v>7.463232781E9</v>
      </c>
      <c r="Z467" s="330"/>
      <c r="AA467" s="330"/>
      <c r="AB467" s="330"/>
      <c r="AC467" s="253" t="s">
        <v>284</v>
      </c>
    </row>
    <row r="468" ht="15.75" customHeight="1">
      <c r="A468" s="776">
        <v>42922.0</v>
      </c>
      <c r="B468" s="388" t="s">
        <v>101</v>
      </c>
      <c r="C468" s="330" t="s">
        <v>7518</v>
      </c>
      <c r="D468" s="310" t="s">
        <v>7536</v>
      </c>
      <c r="E468" s="310" t="s">
        <v>7527</v>
      </c>
      <c r="F468" s="307">
        <v>30.0</v>
      </c>
      <c r="G468" s="338">
        <v>110.0</v>
      </c>
      <c r="H468" s="268">
        <f t="shared" si="9"/>
        <v>3300</v>
      </c>
      <c r="I468" s="256" t="s">
        <v>3474</v>
      </c>
      <c r="J468" s="369" t="s">
        <v>3739</v>
      </c>
      <c r="K468" s="258">
        <v>42968.0</v>
      </c>
      <c r="L468" s="258">
        <v>42950.0</v>
      </c>
      <c r="M468" s="253" t="s">
        <v>1981</v>
      </c>
      <c r="N468" s="310" t="s">
        <v>7528</v>
      </c>
      <c r="O468" s="1086">
        <v>2205.0</v>
      </c>
      <c r="P468" s="596"/>
      <c r="Q468" s="599" t="s">
        <v>3906</v>
      </c>
      <c r="R468" s="330"/>
      <c r="S468" s="768">
        <v>42948.0</v>
      </c>
      <c r="T468" s="769">
        <v>42949.0</v>
      </c>
      <c r="U468" s="330" t="s">
        <v>7537</v>
      </c>
      <c r="V468" s="770">
        <v>133301.0</v>
      </c>
      <c r="W468" s="601">
        <v>42948.0</v>
      </c>
      <c r="X468" s="310" t="s">
        <v>7538</v>
      </c>
      <c r="Y468" s="253">
        <v>5.799470972E9</v>
      </c>
      <c r="Z468" s="330"/>
      <c r="AA468" s="330"/>
      <c r="AB468" s="330"/>
      <c r="AC468" s="253" t="s">
        <v>284</v>
      </c>
    </row>
    <row r="469" ht="15.75" customHeight="1">
      <c r="A469" s="776">
        <v>42922.0</v>
      </c>
      <c r="B469" s="388" t="s">
        <v>101</v>
      </c>
      <c r="C469" s="330" t="s">
        <v>7518</v>
      </c>
      <c r="D469" s="1084" t="s">
        <v>7539</v>
      </c>
      <c r="E469" s="1084" t="s">
        <v>7527</v>
      </c>
      <c r="F469" s="307">
        <v>30.0</v>
      </c>
      <c r="G469" s="793">
        <v>110.0</v>
      </c>
      <c r="H469" s="268">
        <f t="shared" si="9"/>
        <v>3300</v>
      </c>
      <c r="I469" s="256" t="s">
        <v>3474</v>
      </c>
      <c r="J469" s="269" t="s">
        <v>3739</v>
      </c>
      <c r="K469" s="258">
        <v>42968.0</v>
      </c>
      <c r="L469" s="258">
        <v>42950.0</v>
      </c>
      <c r="M469" s="253" t="s">
        <v>1981</v>
      </c>
      <c r="N469" s="310" t="s">
        <v>7528</v>
      </c>
      <c r="O469" s="1086">
        <v>2205.0</v>
      </c>
      <c r="P469" s="330"/>
      <c r="Q469" s="599" t="s">
        <v>3906</v>
      </c>
      <c r="R469" s="330"/>
      <c r="S469" s="768">
        <v>42948.0</v>
      </c>
      <c r="T469" s="769">
        <v>42949.0</v>
      </c>
      <c r="U469" s="330" t="s">
        <v>7537</v>
      </c>
      <c r="V469" s="330" t="s">
        <v>7540</v>
      </c>
      <c r="W469" s="601">
        <v>42948.0</v>
      </c>
      <c r="X469" s="310" t="s">
        <v>7538</v>
      </c>
      <c r="Y469" s="253">
        <v>5.799470972E9</v>
      </c>
      <c r="Z469" s="330"/>
      <c r="AA469" s="330"/>
      <c r="AB469" s="330"/>
      <c r="AC469" s="253" t="s">
        <v>284</v>
      </c>
    </row>
    <row r="470" ht="15.75" customHeight="1">
      <c r="A470" s="776">
        <v>42922.0</v>
      </c>
      <c r="B470" s="388" t="s">
        <v>101</v>
      </c>
      <c r="C470" s="330" t="s">
        <v>7518</v>
      </c>
      <c r="D470" s="310" t="s">
        <v>7536</v>
      </c>
      <c r="E470" s="310" t="s">
        <v>7541</v>
      </c>
      <c r="F470" s="307">
        <v>30.0</v>
      </c>
      <c r="G470" s="793">
        <v>291.0</v>
      </c>
      <c r="H470" s="268">
        <f t="shared" si="9"/>
        <v>8730</v>
      </c>
      <c r="I470" s="256" t="s">
        <v>3474</v>
      </c>
      <c r="J470" s="369" t="s">
        <v>3739</v>
      </c>
      <c r="K470" s="258">
        <v>42968.0</v>
      </c>
      <c r="L470" s="258">
        <v>42948.0</v>
      </c>
      <c r="M470" s="333" t="s">
        <v>2028</v>
      </c>
      <c r="N470" s="310" t="s">
        <v>7521</v>
      </c>
      <c r="O470" s="268">
        <v>8253.0</v>
      </c>
      <c r="P470" s="579">
        <v>249199.0</v>
      </c>
      <c r="Q470" s="340" t="s">
        <v>2030</v>
      </c>
      <c r="R470" s="330"/>
      <c r="S470" s="330"/>
      <c r="T470" s="769">
        <v>42948.0</v>
      </c>
      <c r="U470" s="330" t="s">
        <v>7542</v>
      </c>
      <c r="V470" s="770">
        <v>498393.0</v>
      </c>
      <c r="W470" s="601">
        <v>42948.0</v>
      </c>
      <c r="X470" s="310" t="s">
        <v>7538</v>
      </c>
      <c r="Y470" s="253">
        <v>5.799470972E9</v>
      </c>
      <c r="Z470" s="330"/>
      <c r="AA470" s="330"/>
      <c r="AB470" s="330"/>
      <c r="AC470" s="253" t="s">
        <v>284</v>
      </c>
    </row>
    <row r="471" ht="15.75" customHeight="1">
      <c r="A471" s="776">
        <v>42922.0</v>
      </c>
      <c r="B471" s="388" t="s">
        <v>101</v>
      </c>
      <c r="C471" s="330" t="s">
        <v>7518</v>
      </c>
      <c r="D471" s="310" t="s">
        <v>7539</v>
      </c>
      <c r="E471" s="310" t="s">
        <v>7543</v>
      </c>
      <c r="F471" s="307">
        <v>30.0</v>
      </c>
      <c r="G471" s="793">
        <v>291.0</v>
      </c>
      <c r="H471" s="268">
        <f t="shared" si="9"/>
        <v>8730</v>
      </c>
      <c r="I471" s="256" t="s">
        <v>3474</v>
      </c>
      <c r="J471" s="369" t="s">
        <v>3739</v>
      </c>
      <c r="K471" s="258">
        <v>42968.0</v>
      </c>
      <c r="L471" s="258">
        <v>42948.0</v>
      </c>
      <c r="M471" s="403" t="s">
        <v>2028</v>
      </c>
      <c r="N471" s="310" t="s">
        <v>7521</v>
      </c>
      <c r="O471" s="268">
        <v>8253.0</v>
      </c>
      <c r="P471" s="579">
        <v>249199.0</v>
      </c>
      <c r="Q471" s="578" t="s">
        <v>2030</v>
      </c>
      <c r="R471" s="330"/>
      <c r="S471" s="330"/>
      <c r="T471" s="769">
        <v>42948.0</v>
      </c>
      <c r="U471" s="330" t="s">
        <v>7542</v>
      </c>
      <c r="V471" s="330" t="s">
        <v>7544</v>
      </c>
      <c r="W471" s="601">
        <v>42948.0</v>
      </c>
      <c r="X471" s="310" t="s">
        <v>7538</v>
      </c>
      <c r="Y471" s="253">
        <v>5.799470972E9</v>
      </c>
      <c r="Z471" s="330"/>
      <c r="AA471" s="330"/>
      <c r="AB471" s="330"/>
      <c r="AC471" s="253" t="s">
        <v>284</v>
      </c>
    </row>
    <row r="472" ht="15.75" customHeight="1">
      <c r="A472" s="776">
        <v>42922.0</v>
      </c>
      <c r="B472" s="388" t="s">
        <v>101</v>
      </c>
      <c r="C472" s="330" t="s">
        <v>7518</v>
      </c>
      <c r="D472" s="310" t="s">
        <v>7536</v>
      </c>
      <c r="E472" s="310" t="s">
        <v>7130</v>
      </c>
      <c r="F472" s="307">
        <v>30.0</v>
      </c>
      <c r="G472" s="793">
        <v>62.0</v>
      </c>
      <c r="H472" s="268">
        <f t="shared" si="9"/>
        <v>1860</v>
      </c>
      <c r="I472" s="256" t="s">
        <v>3474</v>
      </c>
      <c r="J472" s="369" t="s">
        <v>3739</v>
      </c>
      <c r="K472" s="258">
        <v>42968.0</v>
      </c>
      <c r="L472" s="258">
        <v>42947.0</v>
      </c>
      <c r="M472" s="369" t="s">
        <v>2170</v>
      </c>
      <c r="N472" s="310" t="s">
        <v>7525</v>
      </c>
      <c r="O472" s="598"/>
      <c r="P472" s="579">
        <v>90531.0</v>
      </c>
      <c r="Q472" s="310" t="s">
        <v>2172</v>
      </c>
      <c r="R472" s="330"/>
      <c r="S472" s="330"/>
      <c r="T472" s="771">
        <v>42947.0</v>
      </c>
      <c r="U472" s="310" t="s">
        <v>7545</v>
      </c>
      <c r="V472" s="774">
        <v>90531.0</v>
      </c>
      <c r="W472" s="601">
        <v>42944.0</v>
      </c>
      <c r="X472" s="310" t="s">
        <v>7538</v>
      </c>
      <c r="Y472" s="253">
        <v>5.799470972E9</v>
      </c>
      <c r="Z472" s="330"/>
      <c r="AA472" s="330"/>
      <c r="AB472" s="330"/>
      <c r="AC472" s="253" t="s">
        <v>284</v>
      </c>
    </row>
    <row r="473" ht="15.75" customHeight="1">
      <c r="A473" s="776">
        <v>42922.0</v>
      </c>
      <c r="B473" s="388" t="s">
        <v>101</v>
      </c>
      <c r="C473" s="330" t="s">
        <v>7518</v>
      </c>
      <c r="D473" s="310" t="s">
        <v>7539</v>
      </c>
      <c r="E473" s="310" t="s">
        <v>7130</v>
      </c>
      <c r="F473" s="307">
        <v>30.0</v>
      </c>
      <c r="G473" s="793">
        <v>62.0</v>
      </c>
      <c r="H473" s="268">
        <f t="shared" si="9"/>
        <v>1860</v>
      </c>
      <c r="I473" s="256" t="s">
        <v>3474</v>
      </c>
      <c r="J473" s="369" t="s">
        <v>3739</v>
      </c>
      <c r="K473" s="258">
        <v>42968.0</v>
      </c>
      <c r="L473" s="258">
        <v>42947.0</v>
      </c>
      <c r="M473" s="269" t="s">
        <v>2170</v>
      </c>
      <c r="N473" s="310" t="s">
        <v>7525</v>
      </c>
      <c r="O473" s="598"/>
      <c r="P473" s="331" t="s">
        <v>7546</v>
      </c>
      <c r="Q473" s="320" t="s">
        <v>2172</v>
      </c>
      <c r="R473" s="330"/>
      <c r="S473" s="330"/>
      <c r="T473" s="771">
        <v>42947.0</v>
      </c>
      <c r="U473" s="310" t="s">
        <v>7545</v>
      </c>
      <c r="V473" s="310" t="s">
        <v>7547</v>
      </c>
      <c r="W473" s="601">
        <v>42944.0</v>
      </c>
      <c r="X473" s="310" t="s">
        <v>7538</v>
      </c>
      <c r="Y473" s="253">
        <v>5.799470972E9</v>
      </c>
      <c r="Z473" s="330"/>
      <c r="AA473" s="330"/>
      <c r="AB473" s="330"/>
      <c r="AC473" s="253" t="s">
        <v>284</v>
      </c>
    </row>
    <row r="474" ht="15.75" customHeight="1">
      <c r="A474" s="776">
        <v>42922.0</v>
      </c>
      <c r="B474" s="388" t="s">
        <v>3506</v>
      </c>
      <c r="C474" s="765" t="s">
        <v>7548</v>
      </c>
      <c r="D474" s="310" t="s">
        <v>7549</v>
      </c>
      <c r="E474" s="310" t="s">
        <v>7550</v>
      </c>
      <c r="F474" s="307">
        <v>5.0</v>
      </c>
      <c r="G474" s="793">
        <v>350.0</v>
      </c>
      <c r="H474" s="267">
        <f t="shared" si="9"/>
        <v>1750</v>
      </c>
      <c r="I474" s="256" t="s">
        <v>171</v>
      </c>
      <c r="J474" s="369" t="s">
        <v>3509</v>
      </c>
      <c r="K474" s="258">
        <v>42961.0</v>
      </c>
      <c r="L474" s="258">
        <v>42941.0</v>
      </c>
      <c r="M474" s="253" t="s">
        <v>90</v>
      </c>
      <c r="N474" s="310" t="s">
        <v>7551</v>
      </c>
      <c r="O474" s="581">
        <v>1611.75</v>
      </c>
      <c r="P474" s="330"/>
      <c r="Q474" s="310" t="s">
        <v>6081</v>
      </c>
      <c r="R474" s="330"/>
      <c r="S474" s="768">
        <v>42978.0</v>
      </c>
      <c r="T474" s="771">
        <v>42941.0</v>
      </c>
      <c r="U474" s="310" t="s">
        <v>7552</v>
      </c>
      <c r="V474" s="774">
        <v>48917.0</v>
      </c>
      <c r="W474" s="601">
        <v>42983.0</v>
      </c>
      <c r="X474" s="252" t="s">
        <v>7553</v>
      </c>
      <c r="Y474" s="330"/>
      <c r="Z474" s="330"/>
      <c r="AA474" s="330"/>
      <c r="AB474" s="330"/>
      <c r="AC474" s="253" t="s">
        <v>284</v>
      </c>
    </row>
    <row r="475" ht="15.75" customHeight="1">
      <c r="A475" s="776">
        <v>42922.0</v>
      </c>
      <c r="B475" s="388" t="s">
        <v>229</v>
      </c>
      <c r="C475" s="330"/>
      <c r="D475" s="310" t="s">
        <v>7554</v>
      </c>
      <c r="E475" s="310" t="s">
        <v>3765</v>
      </c>
      <c r="F475" s="307">
        <v>10.0</v>
      </c>
      <c r="G475" s="466">
        <v>336.0</v>
      </c>
      <c r="H475" s="267">
        <f t="shared" si="9"/>
        <v>3360</v>
      </c>
      <c r="I475" s="256" t="s">
        <v>171</v>
      </c>
      <c r="J475" s="253" t="s">
        <v>90</v>
      </c>
      <c r="K475" s="258">
        <v>42933.0</v>
      </c>
      <c r="L475" s="258">
        <v>42933.0</v>
      </c>
      <c r="M475" s="253" t="s">
        <v>90</v>
      </c>
      <c r="N475" s="310" t="s">
        <v>7555</v>
      </c>
      <c r="O475" s="310">
        <v>3013.5</v>
      </c>
      <c r="P475" s="330"/>
      <c r="Q475" s="310" t="s">
        <v>6081</v>
      </c>
      <c r="R475" s="330"/>
      <c r="S475" s="768">
        <v>42978.0</v>
      </c>
      <c r="T475" s="771">
        <v>42933.0</v>
      </c>
      <c r="U475" s="310" t="s">
        <v>7556</v>
      </c>
      <c r="V475" s="774">
        <v>91746.0</v>
      </c>
      <c r="W475" s="601">
        <v>42983.0</v>
      </c>
      <c r="X475" s="330" t="s">
        <v>7437</v>
      </c>
      <c r="Y475" s="330"/>
      <c r="Z475" s="765" t="s">
        <v>7438</v>
      </c>
      <c r="AA475" s="253" t="s">
        <v>7441</v>
      </c>
      <c r="AB475" s="765" t="s">
        <v>7439</v>
      </c>
      <c r="AC475" s="253" t="s">
        <v>377</v>
      </c>
    </row>
    <row r="476" ht="15.75" customHeight="1">
      <c r="A476" s="776">
        <v>42922.0</v>
      </c>
      <c r="B476" s="388" t="s">
        <v>229</v>
      </c>
      <c r="C476" s="330"/>
      <c r="D476" s="310" t="s">
        <v>7554</v>
      </c>
      <c r="E476" s="310" t="s">
        <v>462</v>
      </c>
      <c r="F476" s="307">
        <v>3.0</v>
      </c>
      <c r="G476" s="325">
        <v>407.4</v>
      </c>
      <c r="H476" s="267">
        <f t="shared" si="9"/>
        <v>1222.2</v>
      </c>
      <c r="I476" s="256" t="s">
        <v>171</v>
      </c>
      <c r="J476" s="253" t="s">
        <v>90</v>
      </c>
      <c r="K476" s="258">
        <v>42933.0</v>
      </c>
      <c r="L476" s="258">
        <v>42933.0</v>
      </c>
      <c r="M476" s="592" t="s">
        <v>90</v>
      </c>
      <c r="N476" s="310" t="s">
        <v>7557</v>
      </c>
      <c r="O476" s="581">
        <v>1118.25</v>
      </c>
      <c r="P476" s="330"/>
      <c r="Q476" s="320" t="s">
        <v>6081</v>
      </c>
      <c r="R476" s="330"/>
      <c r="S476" s="768">
        <v>42978.0</v>
      </c>
      <c r="T476" s="771">
        <v>42933.0</v>
      </c>
      <c r="U476" s="310" t="s">
        <v>7558</v>
      </c>
      <c r="V476" s="774">
        <v>34045.0</v>
      </c>
      <c r="W476" s="601">
        <v>42983.0</v>
      </c>
      <c r="X476" s="330" t="s">
        <v>7437</v>
      </c>
      <c r="Y476" s="330"/>
      <c r="Z476" s="765" t="s">
        <v>7438</v>
      </c>
      <c r="AA476" s="253" t="s">
        <v>7441</v>
      </c>
      <c r="AB476" s="765" t="s">
        <v>7439</v>
      </c>
      <c r="AC476" s="253" t="s">
        <v>377</v>
      </c>
    </row>
    <row r="477" ht="15.75" customHeight="1">
      <c r="A477" s="776">
        <v>42923.0</v>
      </c>
      <c r="B477" s="388" t="s">
        <v>4754</v>
      </c>
      <c r="C477" s="1077" t="s">
        <v>7559</v>
      </c>
      <c r="D477" s="310" t="s">
        <v>7560</v>
      </c>
      <c r="E477" s="310" t="s">
        <v>7561</v>
      </c>
      <c r="F477" s="307">
        <v>50.0</v>
      </c>
      <c r="G477" s="793">
        <v>60.0</v>
      </c>
      <c r="H477" s="267">
        <f t="shared" si="9"/>
        <v>3000</v>
      </c>
      <c r="I477" s="779" t="s">
        <v>3474</v>
      </c>
      <c r="J477" s="253" t="s">
        <v>534</v>
      </c>
      <c r="K477" s="258">
        <v>42936.0</v>
      </c>
      <c r="L477" s="258">
        <v>42934.0</v>
      </c>
      <c r="M477" s="403" t="s">
        <v>6386</v>
      </c>
      <c r="N477" s="310" t="s">
        <v>7562</v>
      </c>
      <c r="O477" s="268">
        <v>2677.5</v>
      </c>
      <c r="P477" s="579">
        <v>81292.0</v>
      </c>
      <c r="Q477" s="604" t="s">
        <v>6388</v>
      </c>
      <c r="R477" s="330"/>
      <c r="S477" s="1043">
        <v>42951.0</v>
      </c>
      <c r="T477" s="769">
        <v>42930.0</v>
      </c>
      <c r="U477" s="330" t="s">
        <v>7563</v>
      </c>
      <c r="V477" s="770">
        <v>81292.0</v>
      </c>
      <c r="W477" s="601">
        <v>42955.0</v>
      </c>
      <c r="X477" s="310" t="s">
        <v>7564</v>
      </c>
      <c r="Y477" s="330"/>
      <c r="Z477" s="330"/>
      <c r="AA477" s="330"/>
      <c r="AB477" s="330"/>
      <c r="AC477" s="253" t="s">
        <v>284</v>
      </c>
    </row>
    <row r="478" ht="15.75" customHeight="1">
      <c r="A478" s="776">
        <v>42923.0</v>
      </c>
      <c r="B478" s="388" t="s">
        <v>6825</v>
      </c>
      <c r="C478" s="1077" t="s">
        <v>7565</v>
      </c>
      <c r="D478" s="310" t="s">
        <v>7566</v>
      </c>
      <c r="E478" s="310" t="s">
        <v>7567</v>
      </c>
      <c r="F478" s="307">
        <v>10.0</v>
      </c>
      <c r="G478" s="793">
        <v>107.0</v>
      </c>
      <c r="H478" s="267">
        <f t="shared" si="9"/>
        <v>1070</v>
      </c>
      <c r="I478" s="256" t="s">
        <v>3474</v>
      </c>
      <c r="J478" s="369" t="s">
        <v>5360</v>
      </c>
      <c r="K478" s="258">
        <v>42933.0</v>
      </c>
      <c r="L478" s="258">
        <v>42930.0</v>
      </c>
      <c r="M478" s="253" t="s">
        <v>90</v>
      </c>
      <c r="N478" s="310" t="s">
        <v>7568</v>
      </c>
      <c r="O478" s="268">
        <v>1008.0</v>
      </c>
      <c r="P478" s="330"/>
      <c r="Q478" s="310" t="s">
        <v>6081</v>
      </c>
      <c r="R478" s="330"/>
      <c r="S478" s="768">
        <v>42978.0</v>
      </c>
      <c r="T478" s="769">
        <v>42930.0</v>
      </c>
      <c r="U478" s="330" t="s">
        <v>7569</v>
      </c>
      <c r="V478" s="770">
        <v>30689.0</v>
      </c>
      <c r="W478" s="601">
        <v>42983.0</v>
      </c>
      <c r="X478" s="310" t="s">
        <v>7570</v>
      </c>
      <c r="Y478" s="253">
        <v>7.79657355297E11</v>
      </c>
      <c r="Z478" s="330"/>
      <c r="AA478" s="330"/>
      <c r="AB478" s="330"/>
      <c r="AC478" s="253" t="s">
        <v>284</v>
      </c>
    </row>
    <row r="479" ht="15.75" customHeight="1">
      <c r="A479" s="776">
        <v>42923.0</v>
      </c>
      <c r="B479" s="388" t="s">
        <v>4754</v>
      </c>
      <c r="C479" s="1077" t="s">
        <v>7559</v>
      </c>
      <c r="D479" s="310" t="s">
        <v>7560</v>
      </c>
      <c r="E479" s="310" t="s">
        <v>7571</v>
      </c>
      <c r="F479" s="307">
        <v>1.0</v>
      </c>
      <c r="G479" s="793">
        <v>185.0</v>
      </c>
      <c r="H479" s="267">
        <f t="shared" si="9"/>
        <v>185</v>
      </c>
      <c r="I479" s="779" t="s">
        <v>3474</v>
      </c>
      <c r="J479" s="253" t="s">
        <v>534</v>
      </c>
      <c r="K479" s="258">
        <v>42936.0</v>
      </c>
      <c r="L479" s="630"/>
      <c r="M479" s="256" t="s">
        <v>2032</v>
      </c>
      <c r="N479" s="765"/>
      <c r="O479" s="339"/>
      <c r="P479" s="637">
        <v>4792.0</v>
      </c>
      <c r="Q479" s="320" t="s">
        <v>2033</v>
      </c>
      <c r="R479" s="330"/>
      <c r="S479" s="768">
        <v>42977.0</v>
      </c>
      <c r="T479" s="771">
        <v>42947.0</v>
      </c>
      <c r="U479" s="310" t="s">
        <v>7572</v>
      </c>
      <c r="V479" s="774">
        <v>4792.0</v>
      </c>
      <c r="W479" s="601">
        <v>42983.0</v>
      </c>
      <c r="X479" s="310" t="s">
        <v>7564</v>
      </c>
      <c r="Y479" s="330"/>
      <c r="Z479" s="330"/>
      <c r="AA479" s="330"/>
      <c r="AB479" s="330"/>
      <c r="AC479" s="253" t="s">
        <v>284</v>
      </c>
    </row>
    <row r="480" ht="15.75" customHeight="1">
      <c r="A480" s="776">
        <v>42927.0</v>
      </c>
      <c r="B480" s="1004" t="s">
        <v>3506</v>
      </c>
      <c r="C480" s="765" t="s">
        <v>7573</v>
      </c>
      <c r="D480" s="252" t="s">
        <v>7574</v>
      </c>
      <c r="E480" s="252" t="s">
        <v>7575</v>
      </c>
      <c r="F480" s="253">
        <v>100.0</v>
      </c>
      <c r="G480" s="325">
        <v>174.5</v>
      </c>
      <c r="H480" s="267">
        <f t="shared" si="9"/>
        <v>17450</v>
      </c>
      <c r="I480" s="256" t="s">
        <v>171</v>
      </c>
      <c r="J480" s="369" t="s">
        <v>3509</v>
      </c>
      <c r="K480" s="258">
        <v>42961.0</v>
      </c>
      <c r="L480" s="258">
        <v>42957.0</v>
      </c>
      <c r="M480" s="403" t="s">
        <v>3510</v>
      </c>
      <c r="N480" s="310" t="s">
        <v>7576</v>
      </c>
      <c r="O480" s="579">
        <v>16590.0</v>
      </c>
      <c r="P480" s="253"/>
      <c r="Q480" s="310" t="s">
        <v>3512</v>
      </c>
      <c r="R480" s="253"/>
      <c r="S480" s="253"/>
      <c r="T480" s="771">
        <v>42961.0</v>
      </c>
      <c r="U480" s="252" t="s">
        <v>7577</v>
      </c>
      <c r="V480" s="774">
        <v>502429.0</v>
      </c>
      <c r="W480" s="253"/>
      <c r="X480" s="252" t="s">
        <v>7553</v>
      </c>
      <c r="Y480" s="253"/>
      <c r="Z480" s="253"/>
      <c r="AA480" s="253"/>
      <c r="AB480" s="253"/>
      <c r="AC480" s="253" t="s">
        <v>284</v>
      </c>
    </row>
    <row r="481" ht="15.75" customHeight="1">
      <c r="A481" s="776">
        <v>42928.0</v>
      </c>
      <c r="B481" s="1004" t="s">
        <v>3677</v>
      </c>
      <c r="C481" s="330"/>
      <c r="D481" s="330" t="s">
        <v>7578</v>
      </c>
      <c r="E481" s="330" t="s">
        <v>7579</v>
      </c>
      <c r="F481" s="253">
        <v>5.0</v>
      </c>
      <c r="G481" s="793">
        <f>35.5</f>
        <v>35.5</v>
      </c>
      <c r="H481" s="267">
        <f t="shared" si="9"/>
        <v>177.5</v>
      </c>
      <c r="I481" s="779" t="s">
        <v>3474</v>
      </c>
      <c r="J481" s="369" t="s">
        <v>3680</v>
      </c>
      <c r="K481" s="258">
        <v>42940.0</v>
      </c>
      <c r="L481" s="258">
        <v>42940.0</v>
      </c>
      <c r="M481" s="253" t="s">
        <v>1981</v>
      </c>
      <c r="N481" s="252" t="s">
        <v>7580</v>
      </c>
      <c r="O481" s="310">
        <v>148.05</v>
      </c>
      <c r="P481" s="330"/>
      <c r="Q481" s="604" t="s">
        <v>3906</v>
      </c>
      <c r="R481" s="330"/>
      <c r="S481" s="768">
        <v>42937.0</v>
      </c>
      <c r="T481" s="769">
        <v>42937.0</v>
      </c>
      <c r="U481" s="330" t="s">
        <v>7581</v>
      </c>
      <c r="V481" s="770">
        <v>4509.0</v>
      </c>
      <c r="W481" s="258">
        <v>42937.0</v>
      </c>
      <c r="X481" s="310" t="s">
        <v>7582</v>
      </c>
      <c r="Y481" s="253">
        <v>7.79712271243E11</v>
      </c>
      <c r="Z481" s="330"/>
      <c r="AA481" s="330"/>
      <c r="AB481" s="330"/>
      <c r="AC481" s="253" t="s">
        <v>284</v>
      </c>
    </row>
    <row r="482" ht="15.75" customHeight="1">
      <c r="A482" s="776">
        <v>42928.0</v>
      </c>
      <c r="B482" s="1004" t="s">
        <v>3677</v>
      </c>
      <c r="C482" s="330"/>
      <c r="D482" s="330" t="s">
        <v>7578</v>
      </c>
      <c r="E482" s="330" t="s">
        <v>700</v>
      </c>
      <c r="F482" s="307">
        <v>1.0</v>
      </c>
      <c r="G482" s="254">
        <v>25.0</v>
      </c>
      <c r="H482" s="310">
        <f t="shared" si="9"/>
        <v>25</v>
      </c>
      <c r="I482" s="256" t="s">
        <v>3474</v>
      </c>
      <c r="J482" s="369" t="s">
        <v>3680</v>
      </c>
      <c r="K482" s="258">
        <v>42940.0</v>
      </c>
      <c r="L482" s="630"/>
      <c r="M482" s="253"/>
      <c r="N482" s="330"/>
      <c r="O482" s="330"/>
      <c r="P482" s="330"/>
      <c r="Q482" s="388"/>
      <c r="R482" s="330"/>
      <c r="S482" s="330"/>
      <c r="T482" s="330"/>
      <c r="U482" s="330"/>
      <c r="V482" s="330"/>
      <c r="W482" s="330"/>
      <c r="X482" s="310" t="s">
        <v>7582</v>
      </c>
      <c r="Y482" s="253">
        <v>7.79712271243E11</v>
      </c>
      <c r="Z482" s="330"/>
      <c r="AA482" s="330"/>
      <c r="AB482" s="330"/>
      <c r="AC482" s="253" t="s">
        <v>284</v>
      </c>
    </row>
    <row r="483" ht="15.75" customHeight="1">
      <c r="A483" s="764">
        <v>42929.0</v>
      </c>
      <c r="B483" s="597" t="s">
        <v>7314</v>
      </c>
      <c r="C483" s="765">
        <v>7.000131085E9</v>
      </c>
      <c r="D483" s="252" t="s">
        <v>7583</v>
      </c>
      <c r="E483" s="252" t="s">
        <v>7584</v>
      </c>
      <c r="F483" s="307">
        <v>1.0</v>
      </c>
      <c r="G483" s="254">
        <v>116.0</v>
      </c>
      <c r="H483" s="310">
        <f t="shared" si="9"/>
        <v>116</v>
      </c>
      <c r="I483" s="256" t="s">
        <v>43</v>
      </c>
      <c r="J483" s="777" t="s">
        <v>3623</v>
      </c>
      <c r="K483" s="258">
        <v>42940.0</v>
      </c>
      <c r="L483" s="258">
        <v>42934.0</v>
      </c>
      <c r="M483" s="256" t="s">
        <v>3593</v>
      </c>
      <c r="N483" s="310" t="s">
        <v>7585</v>
      </c>
      <c r="O483" s="330"/>
      <c r="P483" s="579">
        <v>3401.0</v>
      </c>
      <c r="Q483" s="310" t="s">
        <v>2080</v>
      </c>
      <c r="R483" s="330"/>
      <c r="S483" s="810">
        <v>43008.0</v>
      </c>
      <c r="T483" s="769">
        <v>42930.0</v>
      </c>
      <c r="U483" s="330" t="s">
        <v>7586</v>
      </c>
      <c r="V483" s="770">
        <v>3401.0</v>
      </c>
      <c r="W483" s="258">
        <v>43013.0</v>
      </c>
      <c r="X483" s="310" t="s">
        <v>7450</v>
      </c>
      <c r="Y483" s="253">
        <v>7.153233743E9</v>
      </c>
      <c r="Z483" s="330"/>
      <c r="AA483" s="330"/>
      <c r="AB483" s="330"/>
      <c r="AC483" s="253" t="s">
        <v>284</v>
      </c>
    </row>
    <row r="484" ht="15.75" customHeight="1">
      <c r="A484" s="764">
        <v>42932.0</v>
      </c>
      <c r="B484" s="340" t="s">
        <v>7587</v>
      </c>
      <c r="C484" s="765"/>
      <c r="D484" s="310" t="s">
        <v>7588</v>
      </c>
      <c r="E484" s="310" t="s">
        <v>5244</v>
      </c>
      <c r="F484" s="266">
        <v>2.0</v>
      </c>
      <c r="G484" s="267">
        <v>106.0</v>
      </c>
      <c r="H484" s="310">
        <f t="shared" si="9"/>
        <v>212</v>
      </c>
      <c r="I484" s="256" t="s">
        <v>43</v>
      </c>
      <c r="J484" s="777" t="s">
        <v>7589</v>
      </c>
      <c r="K484" s="258">
        <v>42944.0</v>
      </c>
      <c r="L484" s="258">
        <v>42943.0</v>
      </c>
      <c r="M484" s="253" t="s">
        <v>3840</v>
      </c>
      <c r="N484" s="310" t="s">
        <v>7590</v>
      </c>
      <c r="O484" s="596"/>
      <c r="P484" s="579">
        <v>6510.0</v>
      </c>
      <c r="Q484" s="330" t="s">
        <v>3842</v>
      </c>
      <c r="R484" s="330"/>
      <c r="S484" s="810">
        <v>42983.0</v>
      </c>
      <c r="T484" s="769">
        <v>42942.0</v>
      </c>
      <c r="U484" s="310" t="s">
        <v>7591</v>
      </c>
      <c r="V484" s="774">
        <v>26670.0</v>
      </c>
      <c r="W484" s="258">
        <v>42985.0</v>
      </c>
      <c r="X484" s="310" t="s">
        <v>7592</v>
      </c>
      <c r="Y484" s="330"/>
      <c r="Z484" s="330"/>
      <c r="AA484" s="330"/>
      <c r="AB484" s="330"/>
      <c r="AC484" s="253" t="s">
        <v>284</v>
      </c>
    </row>
    <row r="485" ht="15.75" customHeight="1">
      <c r="A485" s="764">
        <v>42932.0</v>
      </c>
      <c r="B485" s="340" t="s">
        <v>7587</v>
      </c>
      <c r="C485" s="765"/>
      <c r="D485" s="310" t="s">
        <v>7588</v>
      </c>
      <c r="E485" s="310" t="s">
        <v>5248</v>
      </c>
      <c r="F485" s="266">
        <v>2.0</v>
      </c>
      <c r="G485" s="267">
        <v>240.0</v>
      </c>
      <c r="H485" s="310">
        <f t="shared" si="9"/>
        <v>480</v>
      </c>
      <c r="I485" s="256" t="s">
        <v>43</v>
      </c>
      <c r="J485" s="333" t="s">
        <v>7589</v>
      </c>
      <c r="K485" s="258">
        <v>42944.0</v>
      </c>
      <c r="L485" s="258">
        <v>42943.0</v>
      </c>
      <c r="M485" s="592" t="s">
        <v>3840</v>
      </c>
      <c r="N485" s="310" t="s">
        <v>7590</v>
      </c>
      <c r="O485" s="596"/>
      <c r="P485" s="579">
        <v>15120.0</v>
      </c>
      <c r="Q485" s="330" t="s">
        <v>3842</v>
      </c>
      <c r="R485" s="330"/>
      <c r="S485" s="810">
        <v>42983.0</v>
      </c>
      <c r="T485" s="769">
        <v>42942.0</v>
      </c>
      <c r="U485" s="310" t="s">
        <v>7591</v>
      </c>
      <c r="V485" s="310" t="s">
        <v>7593</v>
      </c>
      <c r="W485" s="258">
        <v>42985.0</v>
      </c>
      <c r="X485" s="310" t="s">
        <v>7592</v>
      </c>
      <c r="Y485" s="330"/>
      <c r="Z485" s="330"/>
      <c r="AA485" s="330"/>
      <c r="AB485" s="330"/>
      <c r="AC485" s="253" t="s">
        <v>284</v>
      </c>
    </row>
    <row r="486" ht="15.75" customHeight="1">
      <c r="A486" s="764">
        <v>42932.0</v>
      </c>
      <c r="B486" s="340" t="s">
        <v>7587</v>
      </c>
      <c r="C486" s="765"/>
      <c r="D486" s="310" t="s">
        <v>7588</v>
      </c>
      <c r="E486" s="310" t="s">
        <v>5250</v>
      </c>
      <c r="F486" s="266">
        <v>2.0</v>
      </c>
      <c r="G486" s="267">
        <v>82.0</v>
      </c>
      <c r="H486" s="310">
        <f t="shared" si="9"/>
        <v>164</v>
      </c>
      <c r="I486" s="256" t="s">
        <v>43</v>
      </c>
      <c r="J486" s="333" t="s">
        <v>7589</v>
      </c>
      <c r="K486" s="258">
        <v>42944.0</v>
      </c>
      <c r="L486" s="258">
        <v>42943.0</v>
      </c>
      <c r="M486" s="253" t="s">
        <v>3840</v>
      </c>
      <c r="N486" s="605" t="s">
        <v>7590</v>
      </c>
      <c r="O486" s="596"/>
      <c r="P486" s="579">
        <v>5040.0</v>
      </c>
      <c r="Q486" s="330" t="s">
        <v>3842</v>
      </c>
      <c r="R486" s="330"/>
      <c r="S486" s="810">
        <v>42983.0</v>
      </c>
      <c r="T486" s="769">
        <v>42942.0</v>
      </c>
      <c r="U486" s="310" t="s">
        <v>7591</v>
      </c>
      <c r="V486" s="310" t="s">
        <v>7593</v>
      </c>
      <c r="W486" s="258">
        <v>42985.0</v>
      </c>
      <c r="X486" s="310" t="s">
        <v>7592</v>
      </c>
      <c r="Y486" s="330"/>
      <c r="Z486" s="330"/>
      <c r="AA486" s="330"/>
      <c r="AB486" s="330"/>
      <c r="AC486" s="253" t="s">
        <v>284</v>
      </c>
    </row>
    <row r="487" ht="15.75" customHeight="1">
      <c r="A487" s="764">
        <v>42935.0</v>
      </c>
      <c r="B487" s="388" t="s">
        <v>101</v>
      </c>
      <c r="C487" s="330" t="s">
        <v>7594</v>
      </c>
      <c r="D487" s="330" t="s">
        <v>7595</v>
      </c>
      <c r="E487" s="330" t="s">
        <v>7596</v>
      </c>
      <c r="F487" s="307">
        <v>6.0</v>
      </c>
      <c r="G487" s="793">
        <v>291.0</v>
      </c>
      <c r="H487" s="310">
        <f t="shared" si="9"/>
        <v>1746</v>
      </c>
      <c r="I487" s="912" t="s">
        <v>3474</v>
      </c>
      <c r="J487" s="269" t="s">
        <v>3739</v>
      </c>
      <c r="K487" s="258">
        <v>42957.0</v>
      </c>
      <c r="L487" s="258">
        <v>42954.0</v>
      </c>
      <c r="M487" s="403" t="s">
        <v>2028</v>
      </c>
      <c r="N487" s="310" t="s">
        <v>7521</v>
      </c>
      <c r="O487" s="310">
        <v>1650.6</v>
      </c>
      <c r="P487" s="330"/>
      <c r="Q487" s="578" t="s">
        <v>2030</v>
      </c>
      <c r="R487" s="330"/>
      <c r="S487" s="810">
        <v>43013.0</v>
      </c>
      <c r="T487" s="769">
        <v>42954.0</v>
      </c>
      <c r="U487" s="330" t="s">
        <v>7597</v>
      </c>
      <c r="V487" s="770">
        <v>49846.0</v>
      </c>
      <c r="W487" s="601">
        <v>43020.0</v>
      </c>
      <c r="X487" s="310" t="s">
        <v>7598</v>
      </c>
      <c r="Y487" s="253">
        <v>5.140051652E9</v>
      </c>
      <c r="Z487" s="330"/>
      <c r="AA487" s="330"/>
      <c r="AB487" s="330"/>
      <c r="AC487" s="253" t="s">
        <v>284</v>
      </c>
    </row>
    <row r="488" ht="15.75" customHeight="1">
      <c r="A488" s="601">
        <v>42935.0</v>
      </c>
      <c r="B488" s="388" t="s">
        <v>101</v>
      </c>
      <c r="C488" s="330" t="s">
        <v>7594</v>
      </c>
      <c r="D488" s="330" t="s">
        <v>7599</v>
      </c>
      <c r="E488" s="330" t="s">
        <v>7600</v>
      </c>
      <c r="F488" s="307">
        <v>4.0</v>
      </c>
      <c r="G488" s="325">
        <v>237.0</v>
      </c>
      <c r="H488" s="310">
        <f t="shared" si="9"/>
        <v>948</v>
      </c>
      <c r="I488" s="912" t="s">
        <v>3474</v>
      </c>
      <c r="J488" s="363" t="s">
        <v>3739</v>
      </c>
      <c r="K488" s="258">
        <v>42957.0</v>
      </c>
      <c r="L488" s="258">
        <v>42950.0</v>
      </c>
      <c r="M488" s="253" t="s">
        <v>6298</v>
      </c>
      <c r="N488" s="310" t="s">
        <v>7601</v>
      </c>
      <c r="O488" s="330"/>
      <c r="P488" s="579">
        <v>23013.0</v>
      </c>
      <c r="Q488" s="765" t="s">
        <v>2148</v>
      </c>
      <c r="R488" s="330"/>
      <c r="S488" s="810">
        <v>42983.0</v>
      </c>
      <c r="T488" s="769">
        <v>42949.0</v>
      </c>
      <c r="U488" s="330" t="s">
        <v>7602</v>
      </c>
      <c r="V488" s="770">
        <v>29647.0</v>
      </c>
      <c r="W488" s="258">
        <v>42985.0</v>
      </c>
      <c r="X488" s="310" t="s">
        <v>7598</v>
      </c>
      <c r="Y488" s="253">
        <v>5.140051652E9</v>
      </c>
      <c r="Z488" s="330"/>
      <c r="AA488" s="330"/>
      <c r="AB488" s="330"/>
      <c r="AC488" s="253" t="s">
        <v>284</v>
      </c>
    </row>
    <row r="489" ht="15.75" customHeight="1">
      <c r="A489" s="601">
        <v>42935.0</v>
      </c>
      <c r="B489" s="388" t="s">
        <v>101</v>
      </c>
      <c r="C489" s="330" t="s">
        <v>7594</v>
      </c>
      <c r="D489" s="330" t="s">
        <v>7599</v>
      </c>
      <c r="E489" s="330" t="s">
        <v>3862</v>
      </c>
      <c r="F489" s="307">
        <v>6.0</v>
      </c>
      <c r="G489" s="254">
        <v>9.0</v>
      </c>
      <c r="H489" s="310">
        <f t="shared" si="9"/>
        <v>54</v>
      </c>
      <c r="I489" s="912" t="s">
        <v>3474</v>
      </c>
      <c r="J489" s="369" t="s">
        <v>3739</v>
      </c>
      <c r="K489" s="258">
        <v>42957.0</v>
      </c>
      <c r="L489" s="258">
        <v>42948.0</v>
      </c>
      <c r="M489" s="403" t="s">
        <v>2028</v>
      </c>
      <c r="N489" s="310" t="s">
        <v>7603</v>
      </c>
      <c r="O489" s="330"/>
      <c r="P489" s="579">
        <v>1537.0</v>
      </c>
      <c r="Q489" s="340" t="s">
        <v>2030</v>
      </c>
      <c r="R489" s="330"/>
      <c r="S489" s="810">
        <v>43013.0</v>
      </c>
      <c r="T489" s="769">
        <v>42948.0</v>
      </c>
      <c r="U489" s="330" t="s">
        <v>7604</v>
      </c>
      <c r="V489" s="770">
        <v>1537.0</v>
      </c>
      <c r="W489" s="601">
        <v>43020.0</v>
      </c>
      <c r="X489" s="310" t="s">
        <v>7598</v>
      </c>
      <c r="Y489" s="253">
        <v>5.140051652E9</v>
      </c>
      <c r="Z489" s="330"/>
      <c r="AA489" s="330"/>
      <c r="AB489" s="330"/>
      <c r="AC489" s="253" t="s">
        <v>284</v>
      </c>
    </row>
    <row r="490" ht="15.75" customHeight="1">
      <c r="A490" s="601">
        <v>42935.0</v>
      </c>
      <c r="B490" s="388" t="s">
        <v>5073</v>
      </c>
      <c r="C490" s="330" t="s">
        <v>7605</v>
      </c>
      <c r="D490" s="330" t="s">
        <v>7606</v>
      </c>
      <c r="E490" s="330" t="s">
        <v>7607</v>
      </c>
      <c r="F490" s="307">
        <v>1.0</v>
      </c>
      <c r="G490" s="338">
        <v>293.0</v>
      </c>
      <c r="H490" s="310">
        <f t="shared" si="9"/>
        <v>293</v>
      </c>
      <c r="I490" s="256" t="s">
        <v>3474</v>
      </c>
      <c r="J490" s="369" t="s">
        <v>3749</v>
      </c>
      <c r="K490" s="258">
        <v>42950.0</v>
      </c>
      <c r="L490" s="258">
        <v>42948.0</v>
      </c>
      <c r="M490" s="266" t="s">
        <v>90</v>
      </c>
      <c r="N490" s="310" t="s">
        <v>7608</v>
      </c>
      <c r="O490" s="310">
        <v>238.6</v>
      </c>
      <c r="P490" s="330"/>
      <c r="Q490" s="340" t="s">
        <v>94</v>
      </c>
      <c r="R490" s="330"/>
      <c r="S490" s="768">
        <v>43008.0</v>
      </c>
      <c r="T490" s="769">
        <v>42948.0</v>
      </c>
      <c r="U490" s="330" t="s">
        <v>7609</v>
      </c>
      <c r="V490" s="770">
        <v>9706.0</v>
      </c>
      <c r="W490" s="601">
        <v>42998.0</v>
      </c>
      <c r="X490" s="310" t="s">
        <v>7610</v>
      </c>
      <c r="Y490" s="253">
        <v>4.709499815E9</v>
      </c>
      <c r="Z490" s="330"/>
      <c r="AA490" s="330"/>
      <c r="AB490" s="330"/>
      <c r="AC490" s="253" t="s">
        <v>284</v>
      </c>
    </row>
    <row r="491" ht="15.75" customHeight="1">
      <c r="A491" s="601">
        <v>42935.0</v>
      </c>
      <c r="B491" s="388" t="s">
        <v>5073</v>
      </c>
      <c r="C491" s="330" t="s">
        <v>7605</v>
      </c>
      <c r="D491" s="330" t="s">
        <v>7606</v>
      </c>
      <c r="E491" s="330" t="s">
        <v>7611</v>
      </c>
      <c r="F491" s="307">
        <v>1.0</v>
      </c>
      <c r="G491" s="338">
        <v>89.0</v>
      </c>
      <c r="H491" s="310">
        <f t="shared" si="9"/>
        <v>89</v>
      </c>
      <c r="I491" s="256" t="s">
        <v>3474</v>
      </c>
      <c r="J491" s="369" t="s">
        <v>3749</v>
      </c>
      <c r="K491" s="258">
        <v>42950.0</v>
      </c>
      <c r="L491" s="258">
        <v>42948.0</v>
      </c>
      <c r="M491" s="266" t="s">
        <v>90</v>
      </c>
      <c r="N491" s="310" t="s">
        <v>7608</v>
      </c>
      <c r="O491" s="310">
        <v>81.9</v>
      </c>
      <c r="P491" s="330"/>
      <c r="Q491" s="340" t="s">
        <v>94</v>
      </c>
      <c r="R491" s="330"/>
      <c r="S491" s="768">
        <v>43008.0</v>
      </c>
      <c r="T491" s="769">
        <v>42948.0</v>
      </c>
      <c r="U491" s="330" t="s">
        <v>7609</v>
      </c>
      <c r="V491" s="330" t="s">
        <v>7612</v>
      </c>
      <c r="W491" s="601">
        <v>42998.0</v>
      </c>
      <c r="X491" s="310" t="s">
        <v>7610</v>
      </c>
      <c r="Y491" s="253">
        <v>4.709499815E9</v>
      </c>
      <c r="Z491" s="330"/>
      <c r="AA491" s="330"/>
      <c r="AB491" s="330"/>
      <c r="AC491" s="253" t="s">
        <v>284</v>
      </c>
    </row>
    <row r="492" ht="15.75" customHeight="1">
      <c r="A492" s="601">
        <v>42935.0</v>
      </c>
      <c r="B492" s="388" t="s">
        <v>5073</v>
      </c>
      <c r="C492" s="330" t="s">
        <v>7605</v>
      </c>
      <c r="D492" s="330" t="s">
        <v>7606</v>
      </c>
      <c r="E492" s="330" t="s">
        <v>7613</v>
      </c>
      <c r="F492" s="307">
        <v>1.0</v>
      </c>
      <c r="G492" s="793">
        <v>136.0</v>
      </c>
      <c r="H492" s="310">
        <f t="shared" si="9"/>
        <v>136</v>
      </c>
      <c r="I492" s="256" t="s">
        <v>3474</v>
      </c>
      <c r="J492" s="369" t="s">
        <v>3749</v>
      </c>
      <c r="K492" s="258">
        <v>42950.0</v>
      </c>
      <c r="L492" s="258">
        <v>42948.0</v>
      </c>
      <c r="M492" s="256" t="s">
        <v>3593</v>
      </c>
      <c r="N492" s="330" t="s">
        <v>7614</v>
      </c>
      <c r="O492" s="600"/>
      <c r="P492" s="579">
        <v>3904.0</v>
      </c>
      <c r="Q492" s="320" t="s">
        <v>2080</v>
      </c>
      <c r="R492" s="330"/>
      <c r="S492" s="810">
        <v>43039.0</v>
      </c>
      <c r="T492" s="769">
        <v>42948.0</v>
      </c>
      <c r="U492" s="330" t="s">
        <v>7615</v>
      </c>
      <c r="V492" s="770">
        <v>3904.0</v>
      </c>
      <c r="W492" s="601">
        <v>43045.0</v>
      </c>
      <c r="X492" s="310" t="s">
        <v>7610</v>
      </c>
      <c r="Y492" s="253">
        <v>4.709499815E9</v>
      </c>
      <c r="Z492" s="330"/>
      <c r="AA492" s="330"/>
      <c r="AB492" s="330"/>
      <c r="AC492" s="253" t="s">
        <v>284</v>
      </c>
    </row>
    <row r="493" ht="15.75" customHeight="1">
      <c r="A493" s="601">
        <v>42935.0</v>
      </c>
      <c r="B493" s="388" t="s">
        <v>101</v>
      </c>
      <c r="C493" s="330" t="s">
        <v>7594</v>
      </c>
      <c r="D493" s="330" t="s">
        <v>7595</v>
      </c>
      <c r="E493" s="330" t="s">
        <v>6612</v>
      </c>
      <c r="F493" s="307">
        <v>6.0</v>
      </c>
      <c r="G493" s="254">
        <v>39.0</v>
      </c>
      <c r="H493" s="310">
        <f t="shared" si="9"/>
        <v>234</v>
      </c>
      <c r="I493" s="912" t="s">
        <v>3474</v>
      </c>
      <c r="J493" s="369" t="s">
        <v>3739</v>
      </c>
      <c r="K493" s="258">
        <v>42957.0</v>
      </c>
      <c r="L493" s="258">
        <v>42943.0</v>
      </c>
      <c r="M493" s="369" t="s">
        <v>2170</v>
      </c>
      <c r="N493" s="310" t="s">
        <v>7616</v>
      </c>
      <c r="O493" s="330"/>
      <c r="P493" s="579">
        <v>6080.0</v>
      </c>
      <c r="Q493" s="310" t="s">
        <v>2172</v>
      </c>
      <c r="R493" s="330"/>
      <c r="S493" s="330"/>
      <c r="T493" s="769">
        <v>42942.0</v>
      </c>
      <c r="U493" s="310" t="s">
        <v>7617</v>
      </c>
      <c r="V493" s="774">
        <v>6080.0</v>
      </c>
      <c r="W493" s="601">
        <v>42937.0</v>
      </c>
      <c r="X493" s="310" t="s">
        <v>7598</v>
      </c>
      <c r="Y493" s="253">
        <v>5.140051652E9</v>
      </c>
      <c r="Z493" s="330"/>
      <c r="AA493" s="330"/>
      <c r="AB493" s="330"/>
      <c r="AC493" s="253" t="s">
        <v>284</v>
      </c>
    </row>
    <row r="494" ht="15.75" customHeight="1">
      <c r="A494" s="601">
        <v>42936.0</v>
      </c>
      <c r="B494" s="388" t="s">
        <v>6825</v>
      </c>
      <c r="C494" s="1077" t="s">
        <v>7618</v>
      </c>
      <c r="D494" s="330" t="s">
        <v>7619</v>
      </c>
      <c r="E494" s="330" t="s">
        <v>7620</v>
      </c>
      <c r="F494" s="307">
        <v>70.0</v>
      </c>
      <c r="G494" s="338">
        <v>165.0</v>
      </c>
      <c r="H494" s="268">
        <f t="shared" si="9"/>
        <v>11550</v>
      </c>
      <c r="I494" s="256" t="s">
        <v>3474</v>
      </c>
      <c r="J494" s="369" t="s">
        <v>5360</v>
      </c>
      <c r="K494" s="258">
        <v>42971.0</v>
      </c>
      <c r="L494" s="258">
        <v>42968.0</v>
      </c>
      <c r="M494" s="256" t="s">
        <v>90</v>
      </c>
      <c r="N494" s="310" t="s">
        <v>7621</v>
      </c>
      <c r="O494" s="310">
        <v>10290.0</v>
      </c>
      <c r="P494" s="330"/>
      <c r="Q494" s="340" t="s">
        <v>94</v>
      </c>
      <c r="R494" s="330"/>
      <c r="S494" s="768">
        <v>43008.0</v>
      </c>
      <c r="T494" s="769">
        <v>42968.0</v>
      </c>
      <c r="U494" s="330" t="s">
        <v>7622</v>
      </c>
      <c r="V494" s="770">
        <v>311118.0</v>
      </c>
      <c r="W494" s="601">
        <v>42998.0</v>
      </c>
      <c r="X494" s="310" t="s">
        <v>7623</v>
      </c>
      <c r="Y494" s="253">
        <v>7.70098820259E11</v>
      </c>
      <c r="Z494" s="330"/>
      <c r="AA494" s="330"/>
      <c r="AB494" s="330"/>
      <c r="AC494" s="253" t="s">
        <v>284</v>
      </c>
    </row>
    <row r="495" ht="15.75" customHeight="1">
      <c r="A495" s="601">
        <v>42937.0</v>
      </c>
      <c r="B495" s="597" t="s">
        <v>7314</v>
      </c>
      <c r="C495" s="765">
        <v>7.000131323E9</v>
      </c>
      <c r="D495" s="252" t="s">
        <v>7624</v>
      </c>
      <c r="E495" s="252" t="s">
        <v>3676</v>
      </c>
      <c r="F495" s="1041">
        <v>1.0</v>
      </c>
      <c r="G495" s="338">
        <v>46.0</v>
      </c>
      <c r="H495" s="310">
        <f t="shared" si="9"/>
        <v>46</v>
      </c>
      <c r="I495" s="256" t="s">
        <v>43</v>
      </c>
      <c r="J495" s="403" t="s">
        <v>3623</v>
      </c>
      <c r="K495" s="258">
        <v>42940.0</v>
      </c>
      <c r="L495" s="258">
        <v>42940.0</v>
      </c>
      <c r="M495" s="266" t="s">
        <v>3593</v>
      </c>
      <c r="N495" s="310" t="s">
        <v>7625</v>
      </c>
      <c r="O495" s="330"/>
      <c r="P495" s="579">
        <v>1342.0</v>
      </c>
      <c r="Q495" s="310" t="s">
        <v>2080</v>
      </c>
      <c r="R495" s="330"/>
      <c r="S495" s="810">
        <v>43008.0</v>
      </c>
      <c r="T495" s="769">
        <v>42937.0</v>
      </c>
      <c r="U495" s="330" t="s">
        <v>7626</v>
      </c>
      <c r="V495" s="770">
        <v>1342.0</v>
      </c>
      <c r="W495" s="258">
        <v>43013.0</v>
      </c>
      <c r="X495" s="310" t="s">
        <v>7450</v>
      </c>
      <c r="Y495" s="253">
        <v>7.153233743E9</v>
      </c>
      <c r="Z495" s="330"/>
      <c r="AA495" s="330"/>
      <c r="AB495" s="330"/>
      <c r="AC495" s="253" t="s">
        <v>284</v>
      </c>
    </row>
    <row r="496" ht="15.75" customHeight="1">
      <c r="A496" s="1014">
        <v>42940.0</v>
      </c>
      <c r="B496" s="857" t="s">
        <v>6825</v>
      </c>
      <c r="C496" s="582"/>
      <c r="D496" s="582" t="s">
        <v>7627</v>
      </c>
      <c r="E496" s="582" t="s">
        <v>7620</v>
      </c>
      <c r="F496" s="1066">
        <v>30.0</v>
      </c>
      <c r="G496" s="1089"/>
      <c r="H496" s="798">
        <f t="shared" si="9"/>
        <v>0</v>
      </c>
      <c r="I496" s="282" t="s">
        <v>3474</v>
      </c>
      <c r="J496" s="888" t="s">
        <v>5360</v>
      </c>
      <c r="K496" s="291">
        <v>42971.0</v>
      </c>
      <c r="L496" s="291">
        <v>42968.0</v>
      </c>
      <c r="M496" s="797" t="s">
        <v>90</v>
      </c>
      <c r="N496" s="276" t="s">
        <v>7628</v>
      </c>
      <c r="O496" s="785"/>
      <c r="P496" s="582"/>
      <c r="Q496" s="800" t="s">
        <v>6081</v>
      </c>
      <c r="R496" s="582"/>
      <c r="S496" s="582"/>
      <c r="T496" s="582"/>
      <c r="U496" s="582"/>
      <c r="V496" s="582"/>
      <c r="W496" s="582"/>
      <c r="X496" s="582"/>
      <c r="Y496" s="582"/>
      <c r="Z496" s="582"/>
      <c r="AA496" s="582"/>
      <c r="AB496" s="582"/>
      <c r="AC496" s="279" t="s">
        <v>3617</v>
      </c>
    </row>
    <row r="497" ht="15.75" customHeight="1">
      <c r="A497" s="601">
        <v>42940.0</v>
      </c>
      <c r="B497" s="340" t="s">
        <v>326</v>
      </c>
      <c r="C497" s="782" t="s">
        <v>7629</v>
      </c>
      <c r="D497" s="330" t="s">
        <v>7630</v>
      </c>
      <c r="E497" s="330" t="s">
        <v>3773</v>
      </c>
      <c r="F497" s="592">
        <v>10.0</v>
      </c>
      <c r="G497" s="338">
        <v>567.0</v>
      </c>
      <c r="H497" s="267">
        <f t="shared" si="9"/>
        <v>5670</v>
      </c>
      <c r="I497" s="256" t="s">
        <v>3474</v>
      </c>
      <c r="J497" s="369" t="s">
        <v>3774</v>
      </c>
      <c r="K497" s="258">
        <v>42969.0</v>
      </c>
      <c r="L497" s="258">
        <v>42961.0</v>
      </c>
      <c r="M497" s="403" t="s">
        <v>3775</v>
      </c>
      <c r="N497" s="310" t="s">
        <v>7631</v>
      </c>
      <c r="O497" s="579">
        <v>5355.0</v>
      </c>
      <c r="P497" s="330"/>
      <c r="Q497" s="597" t="s">
        <v>2207</v>
      </c>
      <c r="R497" s="330"/>
      <c r="S497" s="810">
        <v>43008.0</v>
      </c>
      <c r="T497" s="769">
        <v>42961.0</v>
      </c>
      <c r="U497" s="330" t="s">
        <v>7632</v>
      </c>
      <c r="V497" s="770">
        <v>169961.0</v>
      </c>
      <c r="W497" s="258">
        <v>43007.0</v>
      </c>
      <c r="X497" s="310" t="s">
        <v>7323</v>
      </c>
      <c r="Y497" s="253">
        <v>7.70077588248E11</v>
      </c>
      <c r="Z497" s="330"/>
      <c r="AA497" s="330"/>
      <c r="AB497" s="330"/>
      <c r="AC497" s="253" t="s">
        <v>284</v>
      </c>
    </row>
    <row r="498" ht="15.75" customHeight="1">
      <c r="A498" s="601">
        <v>42940.0</v>
      </c>
      <c r="B498" s="340" t="s">
        <v>326</v>
      </c>
      <c r="C498" s="782" t="s">
        <v>7629</v>
      </c>
      <c r="D498" s="330" t="s">
        <v>7630</v>
      </c>
      <c r="E498" s="330" t="s">
        <v>53</v>
      </c>
      <c r="F498" s="592">
        <v>10.0</v>
      </c>
      <c r="G498" s="338">
        <v>31.0</v>
      </c>
      <c r="H498" s="267">
        <f t="shared" si="9"/>
        <v>310</v>
      </c>
      <c r="I498" s="256" t="s">
        <v>3474</v>
      </c>
      <c r="J498" s="369" t="s">
        <v>3774</v>
      </c>
      <c r="K498" s="258">
        <v>42969.0</v>
      </c>
      <c r="L498" s="258">
        <v>42961.0</v>
      </c>
      <c r="M498" s="403" t="s">
        <v>3775</v>
      </c>
      <c r="N498" s="310" t="s">
        <v>7631</v>
      </c>
      <c r="O498" s="310">
        <v>226.8</v>
      </c>
      <c r="P498" s="330"/>
      <c r="Q498" s="422" t="s">
        <v>2207</v>
      </c>
      <c r="R498" s="330"/>
      <c r="S498" s="810">
        <v>43008.0</v>
      </c>
      <c r="T498" s="769">
        <v>42961.0</v>
      </c>
      <c r="U498" s="330" t="s">
        <v>7632</v>
      </c>
      <c r="V498" s="330" t="s">
        <v>7633</v>
      </c>
      <c r="W498" s="258">
        <v>43007.0</v>
      </c>
      <c r="X498" s="310" t="s">
        <v>7323</v>
      </c>
      <c r="Y498" s="253">
        <v>7.70077588248E11</v>
      </c>
      <c r="Z498" s="330"/>
      <c r="AA498" s="330"/>
      <c r="AB498" s="330"/>
      <c r="AC498" s="253" t="s">
        <v>284</v>
      </c>
    </row>
    <row r="499" ht="15.75" customHeight="1">
      <c r="A499" s="601">
        <v>42940.0</v>
      </c>
      <c r="B499" s="340" t="s">
        <v>326</v>
      </c>
      <c r="C499" s="782" t="s">
        <v>7629</v>
      </c>
      <c r="D499" s="330" t="s">
        <v>7630</v>
      </c>
      <c r="E499" s="330" t="s">
        <v>59</v>
      </c>
      <c r="F499" s="592">
        <v>10.0</v>
      </c>
      <c r="G499" s="338">
        <v>4.0</v>
      </c>
      <c r="H499" s="267">
        <f t="shared" si="9"/>
        <v>40</v>
      </c>
      <c r="I499" s="256" t="s">
        <v>3474</v>
      </c>
      <c r="J499" s="369" t="s">
        <v>3774</v>
      </c>
      <c r="K499" s="258">
        <v>42969.0</v>
      </c>
      <c r="L499" s="258">
        <v>42961.0</v>
      </c>
      <c r="M499" s="403" t="s">
        <v>3775</v>
      </c>
      <c r="N499" s="310" t="s">
        <v>7631</v>
      </c>
      <c r="O499" s="310">
        <v>21.0</v>
      </c>
      <c r="P499" s="330"/>
      <c r="Q499" s="597" t="s">
        <v>2207</v>
      </c>
      <c r="R499" s="330"/>
      <c r="S499" s="810">
        <v>43008.0</v>
      </c>
      <c r="T499" s="769">
        <v>42961.0</v>
      </c>
      <c r="U499" s="330" t="s">
        <v>7632</v>
      </c>
      <c r="V499" s="330" t="s">
        <v>7633</v>
      </c>
      <c r="W499" s="258">
        <v>43007.0</v>
      </c>
      <c r="X499" s="310" t="s">
        <v>7323</v>
      </c>
      <c r="Y499" s="253">
        <v>7.70077588248E11</v>
      </c>
      <c r="Z499" s="330"/>
      <c r="AA499" s="330"/>
      <c r="AB499" s="330"/>
      <c r="AC499" s="253" t="s">
        <v>284</v>
      </c>
    </row>
    <row r="500" ht="15.75" customHeight="1">
      <c r="A500" s="601">
        <v>42940.0</v>
      </c>
      <c r="B500" s="340" t="s">
        <v>326</v>
      </c>
      <c r="C500" s="782" t="s">
        <v>7629</v>
      </c>
      <c r="D500" s="330" t="s">
        <v>7630</v>
      </c>
      <c r="E500" s="330" t="s">
        <v>3781</v>
      </c>
      <c r="F500" s="253">
        <v>10.0</v>
      </c>
      <c r="G500" s="793">
        <v>273.0</v>
      </c>
      <c r="H500" s="267">
        <f t="shared" si="9"/>
        <v>2730</v>
      </c>
      <c r="I500" s="256" t="s">
        <v>3474</v>
      </c>
      <c r="J500" s="363" t="s">
        <v>3774</v>
      </c>
      <c r="K500" s="258">
        <v>42969.0</v>
      </c>
      <c r="L500" s="258">
        <v>42955.0</v>
      </c>
      <c r="M500" s="369" t="s">
        <v>45</v>
      </c>
      <c r="N500" s="310" t="s">
        <v>7634</v>
      </c>
      <c r="O500" s="579">
        <v>2289.0</v>
      </c>
      <c r="P500" s="330"/>
      <c r="Q500" s="310" t="s">
        <v>3916</v>
      </c>
      <c r="R500" s="330"/>
      <c r="S500" s="810">
        <v>42984.0</v>
      </c>
      <c r="T500" s="769">
        <v>42954.0</v>
      </c>
      <c r="U500" s="330" t="s">
        <v>7635</v>
      </c>
      <c r="V500" s="770">
        <v>69174.0</v>
      </c>
      <c r="W500" s="601">
        <v>42983.0</v>
      </c>
      <c r="X500" s="310" t="s">
        <v>7323</v>
      </c>
      <c r="Y500" s="253">
        <v>7.70077588248E11</v>
      </c>
      <c r="Z500" s="330"/>
      <c r="AA500" s="330"/>
      <c r="AB500" s="330"/>
      <c r="AC500" s="253" t="s">
        <v>284</v>
      </c>
    </row>
    <row r="501" ht="15.75" customHeight="1">
      <c r="A501" s="601">
        <v>42940.0</v>
      </c>
      <c r="B501" s="1004" t="s">
        <v>77</v>
      </c>
      <c r="C501" s="765">
        <v>639.0</v>
      </c>
      <c r="D501" s="252" t="s">
        <v>7636</v>
      </c>
      <c r="E501" s="252" t="s">
        <v>318</v>
      </c>
      <c r="F501" s="1041">
        <v>10.0</v>
      </c>
      <c r="G501" s="254">
        <v>270.0</v>
      </c>
      <c r="H501" s="581">
        <f t="shared" si="9"/>
        <v>2700</v>
      </c>
      <c r="I501" s="256" t="s">
        <v>43</v>
      </c>
      <c r="J501" s="369" t="s">
        <v>6632</v>
      </c>
      <c r="K501" s="258">
        <v>42978.0</v>
      </c>
      <c r="L501" s="258">
        <v>42949.0</v>
      </c>
      <c r="M501" s="403" t="s">
        <v>1998</v>
      </c>
      <c r="N501" s="330" t="s">
        <v>7637</v>
      </c>
      <c r="O501" s="267">
        <v>2310.0</v>
      </c>
      <c r="P501" s="330"/>
      <c r="Q501" s="320" t="s">
        <v>2000</v>
      </c>
      <c r="R501" s="330"/>
      <c r="S501" s="810">
        <v>42983.0</v>
      </c>
      <c r="T501" s="769">
        <v>42949.0</v>
      </c>
      <c r="U501" s="330" t="s">
        <v>7638</v>
      </c>
      <c r="V501" s="770">
        <v>69785.0</v>
      </c>
      <c r="W501" s="601">
        <v>42989.0</v>
      </c>
      <c r="X501" s="310" t="s">
        <v>7639</v>
      </c>
      <c r="Y501" s="330"/>
      <c r="Z501" s="330"/>
      <c r="AA501" s="330"/>
      <c r="AB501" s="330"/>
      <c r="AC501" s="253" t="s">
        <v>284</v>
      </c>
    </row>
    <row r="502" ht="15.75" customHeight="1">
      <c r="A502" s="258">
        <v>42941.0</v>
      </c>
      <c r="B502" s="1004" t="s">
        <v>6246</v>
      </c>
      <c r="C502" s="1004" t="s">
        <v>7640</v>
      </c>
      <c r="D502" s="310" t="s">
        <v>7641</v>
      </c>
      <c r="E502" s="310" t="s">
        <v>7458</v>
      </c>
      <c r="F502" s="1041">
        <v>8.0</v>
      </c>
      <c r="G502" s="793">
        <v>66.0</v>
      </c>
      <c r="H502" s="310">
        <f t="shared" si="9"/>
        <v>528</v>
      </c>
      <c r="I502" s="266" t="s">
        <v>43</v>
      </c>
      <c r="J502" s="369" t="s">
        <v>3520</v>
      </c>
      <c r="K502" s="258">
        <v>42964.0</v>
      </c>
      <c r="L502" s="258">
        <v>42962.0</v>
      </c>
      <c r="M502" s="592" t="s">
        <v>90</v>
      </c>
      <c r="N502" s="252" t="s">
        <v>7642</v>
      </c>
      <c r="O502" s="310">
        <v>504.0</v>
      </c>
      <c r="P502" s="330"/>
      <c r="Q502" s="340" t="s">
        <v>94</v>
      </c>
      <c r="R502" s="330"/>
      <c r="S502" s="768">
        <v>43008.0</v>
      </c>
      <c r="T502" s="769">
        <v>42962.0</v>
      </c>
      <c r="U502" s="330" t="s">
        <v>7643</v>
      </c>
      <c r="V502" s="770">
        <v>68599.0</v>
      </c>
      <c r="W502" s="601">
        <v>42998.0</v>
      </c>
      <c r="X502" s="310" t="s">
        <v>7644</v>
      </c>
      <c r="Y502" s="253">
        <v>6.287430844E9</v>
      </c>
      <c r="Z502" s="330"/>
      <c r="AA502" s="330"/>
      <c r="AB502" s="330"/>
      <c r="AC502" s="253" t="s">
        <v>284</v>
      </c>
    </row>
    <row r="503" ht="15.75" customHeight="1">
      <c r="A503" s="258">
        <v>42941.0</v>
      </c>
      <c r="B503" s="1004" t="s">
        <v>6246</v>
      </c>
      <c r="C503" s="1004" t="s">
        <v>7640</v>
      </c>
      <c r="D503" s="310" t="s">
        <v>7641</v>
      </c>
      <c r="E503" s="310" t="s">
        <v>7460</v>
      </c>
      <c r="F503" s="1041">
        <v>8.0</v>
      </c>
      <c r="G503" s="793">
        <v>85.0</v>
      </c>
      <c r="H503" s="310">
        <f t="shared" si="9"/>
        <v>680</v>
      </c>
      <c r="I503" s="266" t="s">
        <v>43</v>
      </c>
      <c r="J503" s="369" t="s">
        <v>3520</v>
      </c>
      <c r="K503" s="258">
        <v>42964.0</v>
      </c>
      <c r="L503" s="258">
        <v>42962.0</v>
      </c>
      <c r="M503" s="253" t="s">
        <v>90</v>
      </c>
      <c r="N503" s="252" t="s">
        <v>7642</v>
      </c>
      <c r="O503" s="310">
        <v>621.6</v>
      </c>
      <c r="P503" s="330"/>
      <c r="Q503" s="340" t="s">
        <v>94</v>
      </c>
      <c r="R503" s="330"/>
      <c r="S503" s="768">
        <v>43008.0</v>
      </c>
      <c r="T503" s="769">
        <v>42962.0</v>
      </c>
      <c r="U503" s="330" t="s">
        <v>7643</v>
      </c>
      <c r="V503" s="330" t="s">
        <v>7645</v>
      </c>
      <c r="W503" s="601">
        <v>42998.0</v>
      </c>
      <c r="X503" s="310" t="s">
        <v>7644</v>
      </c>
      <c r="Y503" s="253">
        <v>6.287430844E9</v>
      </c>
      <c r="Z503" s="330"/>
      <c r="AA503" s="330"/>
      <c r="AB503" s="330"/>
      <c r="AC503" s="253" t="s">
        <v>284</v>
      </c>
    </row>
    <row r="504" ht="15.75" customHeight="1">
      <c r="A504" s="258">
        <v>42941.0</v>
      </c>
      <c r="B504" s="1004" t="s">
        <v>6246</v>
      </c>
      <c r="C504" s="1004" t="s">
        <v>7640</v>
      </c>
      <c r="D504" s="310" t="s">
        <v>7641</v>
      </c>
      <c r="E504" s="310" t="s">
        <v>7646</v>
      </c>
      <c r="F504" s="1041">
        <v>8.0</v>
      </c>
      <c r="G504" s="793">
        <v>90.0</v>
      </c>
      <c r="H504" s="310">
        <f t="shared" si="9"/>
        <v>720</v>
      </c>
      <c r="I504" s="266" t="s">
        <v>43</v>
      </c>
      <c r="J504" s="369" t="s">
        <v>3520</v>
      </c>
      <c r="K504" s="258">
        <v>42964.0</v>
      </c>
      <c r="L504" s="258">
        <v>42962.0</v>
      </c>
      <c r="M504" s="592" t="s">
        <v>90</v>
      </c>
      <c r="N504" s="252" t="s">
        <v>7642</v>
      </c>
      <c r="O504" s="310">
        <v>714.0</v>
      </c>
      <c r="P504" s="330"/>
      <c r="Q504" s="340" t="s">
        <v>94</v>
      </c>
      <c r="R504" s="330"/>
      <c r="S504" s="768">
        <v>43008.0</v>
      </c>
      <c r="T504" s="769">
        <v>42962.0</v>
      </c>
      <c r="U504" s="330" t="s">
        <v>7643</v>
      </c>
      <c r="V504" s="330" t="s">
        <v>7645</v>
      </c>
      <c r="W504" s="601">
        <v>42998.0</v>
      </c>
      <c r="X504" s="310" t="s">
        <v>7644</v>
      </c>
      <c r="Y504" s="253">
        <v>6.287430844E9</v>
      </c>
      <c r="Z504" s="330"/>
      <c r="AA504" s="330"/>
      <c r="AB504" s="330"/>
      <c r="AC504" s="253" t="s">
        <v>284</v>
      </c>
    </row>
    <row r="505" ht="15.75" customHeight="1">
      <c r="A505" s="258">
        <v>42941.0</v>
      </c>
      <c r="B505" s="1004" t="s">
        <v>6246</v>
      </c>
      <c r="C505" s="1004" t="s">
        <v>7640</v>
      </c>
      <c r="D505" s="310" t="s">
        <v>7641</v>
      </c>
      <c r="E505" s="310" t="s">
        <v>7462</v>
      </c>
      <c r="F505" s="1041">
        <v>8.0</v>
      </c>
      <c r="G505" s="325">
        <v>58.0</v>
      </c>
      <c r="H505" s="310">
        <f t="shared" si="9"/>
        <v>464</v>
      </c>
      <c r="I505" s="266" t="s">
        <v>43</v>
      </c>
      <c r="J505" s="369" t="s">
        <v>3520</v>
      </c>
      <c r="K505" s="258">
        <v>42964.0</v>
      </c>
      <c r="L505" s="258">
        <v>42962.0</v>
      </c>
      <c r="M505" s="592" t="s">
        <v>90</v>
      </c>
      <c r="N505" s="252" t="s">
        <v>7642</v>
      </c>
      <c r="O505" s="310">
        <v>436.8</v>
      </c>
      <c r="P505" s="330"/>
      <c r="Q505" s="340" t="s">
        <v>94</v>
      </c>
      <c r="R505" s="330"/>
      <c r="S505" s="768">
        <v>43008.0</v>
      </c>
      <c r="T505" s="769">
        <v>42962.0</v>
      </c>
      <c r="U505" s="330" t="s">
        <v>7643</v>
      </c>
      <c r="V505" s="330" t="s">
        <v>7645</v>
      </c>
      <c r="W505" s="601">
        <v>42998.0</v>
      </c>
      <c r="X505" s="310" t="s">
        <v>7644</v>
      </c>
      <c r="Y505" s="253">
        <v>6.287430844E9</v>
      </c>
      <c r="Z505" s="330"/>
      <c r="AA505" s="330"/>
      <c r="AB505" s="330"/>
      <c r="AC505" s="253" t="s">
        <v>284</v>
      </c>
    </row>
    <row r="506" ht="15.75" customHeight="1">
      <c r="A506" s="776">
        <v>42942.0</v>
      </c>
      <c r="B506" s="1004" t="s">
        <v>3506</v>
      </c>
      <c r="C506" s="602" t="s">
        <v>7647</v>
      </c>
      <c r="D506" s="310" t="s">
        <v>7648</v>
      </c>
      <c r="E506" s="310" t="s">
        <v>7649</v>
      </c>
      <c r="F506" s="253">
        <v>20.0</v>
      </c>
      <c r="G506" s="338">
        <v>430.0</v>
      </c>
      <c r="H506" s="267">
        <f t="shared" si="9"/>
        <v>8600</v>
      </c>
      <c r="I506" s="266" t="s">
        <v>171</v>
      </c>
      <c r="J506" s="369" t="s">
        <v>3509</v>
      </c>
      <c r="K506" s="258">
        <v>43013.0</v>
      </c>
      <c r="L506" s="258">
        <v>43004.0</v>
      </c>
      <c r="M506" s="253" t="s">
        <v>90</v>
      </c>
      <c r="N506" s="310" t="s">
        <v>7650</v>
      </c>
      <c r="O506" s="579">
        <v>8190.0</v>
      </c>
      <c r="P506" s="330"/>
      <c r="Q506" s="578" t="s">
        <v>94</v>
      </c>
      <c r="R506" s="330"/>
      <c r="S506" s="768">
        <v>43069.0</v>
      </c>
      <c r="T506" s="769">
        <v>43004.0</v>
      </c>
      <c r="U506" s="330" t="s">
        <v>7651</v>
      </c>
      <c r="V506" s="770">
        <v>245782.0</v>
      </c>
      <c r="W506" s="258">
        <v>43052.0</v>
      </c>
      <c r="X506" s="765" t="s">
        <v>7652</v>
      </c>
      <c r="Y506" s="330"/>
      <c r="Z506" s="330"/>
      <c r="AA506" s="330"/>
      <c r="AB506" s="330"/>
      <c r="AC506" s="253" t="s">
        <v>284</v>
      </c>
    </row>
    <row r="507" ht="15.75" customHeight="1">
      <c r="A507" s="776">
        <v>42942.0</v>
      </c>
      <c r="B507" s="765" t="s">
        <v>3506</v>
      </c>
      <c r="C507" s="765" t="s">
        <v>7653</v>
      </c>
      <c r="D507" s="310" t="s">
        <v>7654</v>
      </c>
      <c r="E507" s="310" t="s">
        <v>7649</v>
      </c>
      <c r="F507" s="253">
        <v>1.0</v>
      </c>
      <c r="G507" s="793">
        <v>430.0</v>
      </c>
      <c r="H507" s="267">
        <f t="shared" si="9"/>
        <v>430</v>
      </c>
      <c r="I507" s="256" t="s">
        <v>171</v>
      </c>
      <c r="J507" s="253" t="s">
        <v>7655</v>
      </c>
      <c r="K507" s="258">
        <v>42950.0</v>
      </c>
      <c r="L507" s="258">
        <v>42950.0</v>
      </c>
      <c r="M507" s="253" t="s">
        <v>90</v>
      </c>
      <c r="N507" s="310" t="s">
        <v>7656</v>
      </c>
      <c r="O507" s="1090">
        <v>409.5</v>
      </c>
      <c r="P507" s="330"/>
      <c r="Q507" s="340" t="s">
        <v>94</v>
      </c>
      <c r="R507" s="330"/>
      <c r="S507" s="1091"/>
      <c r="T507" s="1078" t="s">
        <v>1762</v>
      </c>
      <c r="U507" s="1078" t="s">
        <v>1762</v>
      </c>
      <c r="V507" s="1078" t="s">
        <v>1762</v>
      </c>
      <c r="W507" s="631"/>
      <c r="X507" s="902" t="s">
        <v>6547</v>
      </c>
      <c r="Y507" s="1037">
        <v>6.71003353278E11</v>
      </c>
      <c r="Z507" s="330"/>
      <c r="AA507" s="330"/>
      <c r="AB507" s="330"/>
      <c r="AC507" s="1037" t="s">
        <v>284</v>
      </c>
    </row>
    <row r="508" ht="15.75" customHeight="1">
      <c r="A508" s="776">
        <v>42942.0</v>
      </c>
      <c r="B508" s="765" t="s">
        <v>3506</v>
      </c>
      <c r="C508" s="602" t="s">
        <v>7657</v>
      </c>
      <c r="D508" s="310" t="s">
        <v>7658</v>
      </c>
      <c r="E508" s="310" t="s">
        <v>7659</v>
      </c>
      <c r="F508" s="253">
        <v>1.0</v>
      </c>
      <c r="G508" s="793">
        <v>0.0</v>
      </c>
      <c r="H508" s="267">
        <f t="shared" si="9"/>
        <v>0</v>
      </c>
      <c r="I508" s="256" t="s">
        <v>171</v>
      </c>
      <c r="J508" s="253" t="s">
        <v>7655</v>
      </c>
      <c r="K508" s="258">
        <v>42950.0</v>
      </c>
      <c r="L508" s="258">
        <v>42950.0</v>
      </c>
      <c r="M508" s="253"/>
      <c r="N508" s="310"/>
      <c r="O508" s="330"/>
      <c r="P508" s="330"/>
      <c r="Q508" s="388"/>
      <c r="R508" s="330"/>
      <c r="S508" s="330"/>
      <c r="T508" s="330" t="s">
        <v>7660</v>
      </c>
      <c r="U508" s="330" t="s">
        <v>7660</v>
      </c>
      <c r="V508" s="330" t="s">
        <v>7660</v>
      </c>
      <c r="W508" s="330"/>
      <c r="X508" s="330"/>
      <c r="Y508" s="253">
        <v>6.71003353278E11</v>
      </c>
      <c r="Z508" s="330"/>
      <c r="AA508" s="330"/>
      <c r="AB508" s="330"/>
      <c r="AC508" s="253" t="s">
        <v>7660</v>
      </c>
    </row>
    <row r="509" ht="15.75" customHeight="1">
      <c r="A509" s="776">
        <v>42947.0</v>
      </c>
      <c r="B509" s="330" t="s">
        <v>101</v>
      </c>
      <c r="C509" s="330" t="s">
        <v>7661</v>
      </c>
      <c r="D509" s="330" t="s">
        <v>7662</v>
      </c>
      <c r="E509" s="330" t="s">
        <v>7663</v>
      </c>
      <c r="F509" s="253">
        <v>1.0</v>
      </c>
      <c r="G509" s="325">
        <v>1307.0</v>
      </c>
      <c r="H509" s="310">
        <f t="shared" si="9"/>
        <v>1307</v>
      </c>
      <c r="I509" s="256" t="s">
        <v>3474</v>
      </c>
      <c r="J509" s="369" t="s">
        <v>3739</v>
      </c>
      <c r="K509" s="258">
        <v>42971.0</v>
      </c>
      <c r="L509" s="258">
        <v>42968.0</v>
      </c>
      <c r="M509" s="403" t="s">
        <v>1439</v>
      </c>
      <c r="N509" s="310" t="s">
        <v>7664</v>
      </c>
      <c r="O509" s="330"/>
      <c r="P509" s="579">
        <v>36460.0</v>
      </c>
      <c r="Q509" s="320" t="s">
        <v>1976</v>
      </c>
      <c r="R509" s="330"/>
      <c r="S509" s="810">
        <v>43008.0</v>
      </c>
      <c r="T509" s="771">
        <v>42968.0</v>
      </c>
      <c r="U509" s="310" t="s">
        <v>7665</v>
      </c>
      <c r="V509" s="774">
        <v>39156.0</v>
      </c>
      <c r="W509" s="258">
        <v>43007.0</v>
      </c>
      <c r="X509" s="310" t="s">
        <v>7666</v>
      </c>
      <c r="Y509" s="253">
        <v>1.397125446E9</v>
      </c>
      <c r="Z509" s="330"/>
      <c r="AA509" s="330"/>
      <c r="AB509" s="330"/>
      <c r="AC509" s="253" t="s">
        <v>284</v>
      </c>
    </row>
    <row r="510" ht="15.75" customHeight="1">
      <c r="A510" s="776">
        <v>42947.0</v>
      </c>
      <c r="B510" s="330" t="s">
        <v>101</v>
      </c>
      <c r="C510" s="330" t="s">
        <v>7661</v>
      </c>
      <c r="D510" s="330" t="s">
        <v>7662</v>
      </c>
      <c r="E510" s="330" t="s">
        <v>5487</v>
      </c>
      <c r="F510" s="253">
        <v>1.0</v>
      </c>
      <c r="G510" s="793">
        <v>97.0</v>
      </c>
      <c r="H510" s="310">
        <f t="shared" si="9"/>
        <v>97</v>
      </c>
      <c r="I510" s="256" t="s">
        <v>3474</v>
      </c>
      <c r="J510" s="369" t="s">
        <v>3739</v>
      </c>
      <c r="K510" s="258">
        <v>42971.0</v>
      </c>
      <c r="L510" s="258">
        <v>42968.0</v>
      </c>
      <c r="M510" s="403" t="s">
        <v>1439</v>
      </c>
      <c r="N510" s="310" t="s">
        <v>7664</v>
      </c>
      <c r="O510" s="330"/>
      <c r="P510" s="579">
        <v>2695.0</v>
      </c>
      <c r="Q510" s="320" t="s">
        <v>1976</v>
      </c>
      <c r="R510" s="330"/>
      <c r="S510" s="810">
        <v>43008.0</v>
      </c>
      <c r="T510" s="771">
        <v>42968.0</v>
      </c>
      <c r="U510" s="310" t="s">
        <v>7665</v>
      </c>
      <c r="V510" s="330" t="s">
        <v>7667</v>
      </c>
      <c r="W510" s="258">
        <v>43007.0</v>
      </c>
      <c r="X510" s="310" t="s">
        <v>7666</v>
      </c>
      <c r="Y510" s="253">
        <v>1.397125446E9</v>
      </c>
      <c r="Z510" s="330"/>
      <c r="AA510" s="330"/>
      <c r="AB510" s="330"/>
      <c r="AC510" s="253" t="s">
        <v>284</v>
      </c>
    </row>
    <row r="511" ht="15.75" customHeight="1">
      <c r="A511" s="776">
        <v>42947.0</v>
      </c>
      <c r="B511" s="388" t="s">
        <v>101</v>
      </c>
      <c r="C511" s="330" t="s">
        <v>7661</v>
      </c>
      <c r="D511" s="330" t="s">
        <v>7662</v>
      </c>
      <c r="E511" s="330" t="s">
        <v>7668</v>
      </c>
      <c r="F511" s="253">
        <v>1.0</v>
      </c>
      <c r="G511" s="338">
        <v>356.0</v>
      </c>
      <c r="H511" s="310">
        <f t="shared" si="9"/>
        <v>356</v>
      </c>
      <c r="I511" s="256" t="s">
        <v>3474</v>
      </c>
      <c r="J511" s="369" t="s">
        <v>3739</v>
      </c>
      <c r="K511" s="258">
        <v>42971.0</v>
      </c>
      <c r="L511" s="258">
        <v>42962.0</v>
      </c>
      <c r="M511" s="369" t="s">
        <v>4641</v>
      </c>
      <c r="N511" s="310" t="s">
        <v>7669</v>
      </c>
      <c r="O511" s="310">
        <v>302.4</v>
      </c>
      <c r="P511" s="330"/>
      <c r="Q511" s="320" t="s">
        <v>3916</v>
      </c>
      <c r="R511" s="330"/>
      <c r="S511" s="810">
        <v>42989.0</v>
      </c>
      <c r="T511" s="771">
        <v>42958.0</v>
      </c>
      <c r="U511" s="310" t="s">
        <v>7670</v>
      </c>
      <c r="V511" s="774">
        <v>9190.0</v>
      </c>
      <c r="W511" s="601">
        <v>42983.0</v>
      </c>
      <c r="X511" s="310" t="s">
        <v>7666</v>
      </c>
      <c r="Y511" s="253">
        <v>1.397125446E9</v>
      </c>
      <c r="Z511" s="330"/>
      <c r="AA511" s="330"/>
      <c r="AB511" s="330"/>
      <c r="AC511" s="253" t="s">
        <v>284</v>
      </c>
    </row>
    <row r="512" ht="15.75" customHeight="1">
      <c r="A512" s="776">
        <v>42947.0</v>
      </c>
      <c r="B512" s="388" t="s">
        <v>101</v>
      </c>
      <c r="C512" s="330" t="s">
        <v>7661</v>
      </c>
      <c r="D512" s="330" t="s">
        <v>7662</v>
      </c>
      <c r="E512" s="330" t="s">
        <v>7671</v>
      </c>
      <c r="F512" s="253">
        <v>1.0</v>
      </c>
      <c r="G512" s="338">
        <v>171.0</v>
      </c>
      <c r="H512" s="310">
        <f t="shared" si="9"/>
        <v>171</v>
      </c>
      <c r="I512" s="256" t="s">
        <v>3474</v>
      </c>
      <c r="J512" s="369" t="s">
        <v>3739</v>
      </c>
      <c r="K512" s="258">
        <v>42971.0</v>
      </c>
      <c r="L512" s="258">
        <v>42955.0</v>
      </c>
      <c r="M512" s="369" t="s">
        <v>7672</v>
      </c>
      <c r="N512" s="605" t="s">
        <v>7673</v>
      </c>
      <c r="O512" s="330"/>
      <c r="P512" s="579">
        <v>4606.0</v>
      </c>
      <c r="Q512" s="310" t="s">
        <v>2172</v>
      </c>
      <c r="R512" s="330"/>
      <c r="S512" s="768">
        <v>42951.0</v>
      </c>
      <c r="T512" s="771">
        <v>42955.0</v>
      </c>
      <c r="U512" s="310" t="s">
        <v>7674</v>
      </c>
      <c r="V512" s="774">
        <v>4606.0</v>
      </c>
      <c r="W512" s="601">
        <v>42954.0</v>
      </c>
      <c r="X512" s="310" t="s">
        <v>7666</v>
      </c>
      <c r="Y512" s="253">
        <v>1.397125446E9</v>
      </c>
      <c r="Z512" s="330"/>
      <c r="AA512" s="330"/>
      <c r="AB512" s="330"/>
      <c r="AC512" s="253" t="s">
        <v>284</v>
      </c>
    </row>
    <row r="513" ht="15.75" customHeight="1">
      <c r="A513" s="776">
        <v>42947.0</v>
      </c>
      <c r="B513" s="388" t="s">
        <v>4754</v>
      </c>
      <c r="C513" s="1077" t="s">
        <v>7675</v>
      </c>
      <c r="D513" s="330" t="s">
        <v>7676</v>
      </c>
      <c r="E513" s="330" t="s">
        <v>7677</v>
      </c>
      <c r="F513" s="253">
        <v>8.0</v>
      </c>
      <c r="G513" s="338">
        <v>66.0</v>
      </c>
      <c r="H513" s="310">
        <f t="shared" si="9"/>
        <v>528</v>
      </c>
      <c r="I513" s="1063" t="s">
        <v>3474</v>
      </c>
      <c r="J513" s="592" t="s">
        <v>534</v>
      </c>
      <c r="K513" s="258">
        <v>42957.0</v>
      </c>
      <c r="L513" s="258">
        <v>42955.0</v>
      </c>
      <c r="M513" s="403" t="s">
        <v>6386</v>
      </c>
      <c r="N513" s="310" t="s">
        <v>7678</v>
      </c>
      <c r="O513" s="310">
        <v>445.2</v>
      </c>
      <c r="P513" s="330"/>
      <c r="Q513" s="599" t="s">
        <v>6388</v>
      </c>
      <c r="R513" s="330"/>
      <c r="S513" s="768">
        <v>42983.0</v>
      </c>
      <c r="T513" s="769">
        <v>42954.0</v>
      </c>
      <c r="U513" s="330" t="s">
        <v>7679</v>
      </c>
      <c r="V513" s="770">
        <v>13441.0</v>
      </c>
      <c r="W513" s="258">
        <v>42985.0</v>
      </c>
      <c r="X513" s="310" t="s">
        <v>7680</v>
      </c>
      <c r="Y513" s="253">
        <v>5.140065033E9</v>
      </c>
      <c r="Z513" s="330"/>
      <c r="AA513" s="330"/>
      <c r="AB513" s="330"/>
      <c r="AC513" s="253" t="s">
        <v>284</v>
      </c>
    </row>
    <row r="514" ht="15.75" customHeight="1">
      <c r="A514" s="776">
        <v>42947.0</v>
      </c>
      <c r="B514" s="388" t="s">
        <v>4754</v>
      </c>
      <c r="C514" s="1077" t="s">
        <v>7675</v>
      </c>
      <c r="D514" s="330" t="s">
        <v>7676</v>
      </c>
      <c r="E514" s="330" t="s">
        <v>7681</v>
      </c>
      <c r="F514" s="253">
        <v>1.0</v>
      </c>
      <c r="G514" s="793">
        <v>68.0</v>
      </c>
      <c r="H514" s="310">
        <f t="shared" si="9"/>
        <v>68</v>
      </c>
      <c r="I514" s="1009" t="s">
        <v>3474</v>
      </c>
      <c r="J514" s="253" t="s">
        <v>534</v>
      </c>
      <c r="K514" s="258">
        <v>42957.0</v>
      </c>
      <c r="L514" s="330"/>
      <c r="M514" s="256" t="s">
        <v>2032</v>
      </c>
      <c r="N514" s="330"/>
      <c r="O514" s="330"/>
      <c r="P514" s="637">
        <v>1587.0</v>
      </c>
      <c r="Q514" s="320" t="s">
        <v>2033</v>
      </c>
      <c r="R514" s="330"/>
      <c r="S514" s="330"/>
      <c r="T514" s="771">
        <v>42965.0</v>
      </c>
      <c r="U514" s="310" t="s">
        <v>7682</v>
      </c>
      <c r="V514" s="774">
        <v>1587.0</v>
      </c>
      <c r="W514" s="258">
        <v>42996.0</v>
      </c>
      <c r="X514" s="310" t="s">
        <v>7680</v>
      </c>
      <c r="Y514" s="253">
        <v>5.140065033E9</v>
      </c>
      <c r="Z514" s="330"/>
      <c r="AA514" s="330"/>
      <c r="AB514" s="330"/>
      <c r="AC514" s="253" t="s">
        <v>284</v>
      </c>
    </row>
    <row r="515" ht="15.75" customHeight="1">
      <c r="A515" s="764">
        <v>42948.0</v>
      </c>
      <c r="B515" s="1004" t="s">
        <v>77</v>
      </c>
      <c r="C515" s="765">
        <v>664.0</v>
      </c>
      <c r="D515" s="252" t="s">
        <v>7683</v>
      </c>
      <c r="E515" s="252" t="s">
        <v>4145</v>
      </c>
      <c r="F515" s="307">
        <v>150.0</v>
      </c>
      <c r="G515" s="254">
        <v>5.0</v>
      </c>
      <c r="H515" s="581">
        <f t="shared" si="9"/>
        <v>750</v>
      </c>
      <c r="I515" s="266" t="s">
        <v>43</v>
      </c>
      <c r="J515" s="369" t="s">
        <v>316</v>
      </c>
      <c r="K515" s="258">
        <v>42999.0</v>
      </c>
      <c r="L515" s="258">
        <v>42993.0</v>
      </c>
      <c r="M515" s="253" t="s">
        <v>2039</v>
      </c>
      <c r="N515" s="310" t="s">
        <v>7684</v>
      </c>
      <c r="O515" s="330"/>
      <c r="P515" s="579">
        <v>9135.0</v>
      </c>
      <c r="Q515" s="320" t="s">
        <v>2194</v>
      </c>
      <c r="R515" s="330"/>
      <c r="S515" s="810">
        <v>42999.0</v>
      </c>
      <c r="T515" s="769">
        <v>42989.0</v>
      </c>
      <c r="U515" s="330" t="s">
        <v>7685</v>
      </c>
      <c r="V515" s="770">
        <v>9135.0</v>
      </c>
      <c r="W515" s="601">
        <v>42996.0</v>
      </c>
      <c r="X515" s="252" t="s">
        <v>7686</v>
      </c>
      <c r="Y515" s="253">
        <v>8.32078505E8</v>
      </c>
      <c r="Z515" s="330"/>
      <c r="AA515" s="330"/>
      <c r="AB515" s="330"/>
      <c r="AC515" s="253" t="s">
        <v>284</v>
      </c>
    </row>
    <row r="516" ht="15.75" customHeight="1">
      <c r="A516" s="776">
        <v>42948.0</v>
      </c>
      <c r="B516" s="388" t="s">
        <v>4754</v>
      </c>
      <c r="C516" s="765">
        <v>63515.0</v>
      </c>
      <c r="D516" s="330" t="s">
        <v>7687</v>
      </c>
      <c r="E516" s="330" t="s">
        <v>7688</v>
      </c>
      <c r="F516" s="307">
        <v>5.0</v>
      </c>
      <c r="G516" s="338">
        <v>664.0</v>
      </c>
      <c r="H516" s="310">
        <f t="shared" si="9"/>
        <v>3320</v>
      </c>
      <c r="I516" s="1009" t="s">
        <v>3474</v>
      </c>
      <c r="J516" s="253" t="s">
        <v>534</v>
      </c>
      <c r="K516" s="258">
        <v>42971.0</v>
      </c>
      <c r="L516" s="258">
        <v>42968.0</v>
      </c>
      <c r="M516" s="253" t="s">
        <v>90</v>
      </c>
      <c r="N516" s="310" t="s">
        <v>7689</v>
      </c>
      <c r="O516" s="310">
        <v>3139.5</v>
      </c>
      <c r="P516" s="330"/>
      <c r="Q516" s="578" t="s">
        <v>94</v>
      </c>
      <c r="R516" s="330"/>
      <c r="S516" s="768">
        <v>43008.0</v>
      </c>
      <c r="T516" s="769">
        <v>42968.0</v>
      </c>
      <c r="U516" s="330" t="s">
        <v>7690</v>
      </c>
      <c r="V516" s="770">
        <v>94923.0</v>
      </c>
      <c r="W516" s="601">
        <v>42998.0</v>
      </c>
      <c r="X516" s="310" t="s">
        <v>7691</v>
      </c>
      <c r="Y516" s="253">
        <v>4.502215675E9</v>
      </c>
      <c r="Z516" s="330"/>
      <c r="AA516" s="330"/>
      <c r="AB516" s="330"/>
      <c r="AC516" s="253" t="s">
        <v>284</v>
      </c>
    </row>
    <row r="517" ht="15.75" customHeight="1">
      <c r="A517" s="776">
        <v>42948.0</v>
      </c>
      <c r="B517" s="388" t="s">
        <v>101</v>
      </c>
      <c r="C517" s="330" t="s">
        <v>7692</v>
      </c>
      <c r="D517" s="330" t="s">
        <v>7693</v>
      </c>
      <c r="E517" s="330" t="s">
        <v>7694</v>
      </c>
      <c r="F517" s="253">
        <v>12.0</v>
      </c>
      <c r="G517" s="338">
        <v>1118.0</v>
      </c>
      <c r="H517" s="310">
        <f t="shared" si="9"/>
        <v>13416</v>
      </c>
      <c r="I517" s="266" t="s">
        <v>3474</v>
      </c>
      <c r="J517" s="369" t="s">
        <v>3739</v>
      </c>
      <c r="K517" s="258">
        <v>42964.0</v>
      </c>
      <c r="L517" s="258">
        <v>42963.0</v>
      </c>
      <c r="M517" s="333" t="s">
        <v>1439</v>
      </c>
      <c r="N517" s="310" t="s">
        <v>7695</v>
      </c>
      <c r="O517" s="330"/>
      <c r="P517" s="579">
        <v>378617.0</v>
      </c>
      <c r="Q517" s="320" t="s">
        <v>1976</v>
      </c>
      <c r="R517" s="330"/>
      <c r="S517" s="810">
        <v>43008.0</v>
      </c>
      <c r="T517" s="769">
        <v>42963.0</v>
      </c>
      <c r="U517" s="330" t="s">
        <v>7696</v>
      </c>
      <c r="V517" s="770">
        <v>378617.0</v>
      </c>
      <c r="W517" s="258">
        <v>43007.0</v>
      </c>
      <c r="X517" s="310" t="s">
        <v>7697</v>
      </c>
      <c r="Y517" s="253">
        <v>6.28762127E9</v>
      </c>
      <c r="Z517" s="330"/>
      <c r="AA517" s="330"/>
      <c r="AB517" s="330"/>
      <c r="AC517" s="253" t="s">
        <v>284</v>
      </c>
    </row>
    <row r="518" ht="15.75" customHeight="1">
      <c r="A518" s="776">
        <v>42948.0</v>
      </c>
      <c r="B518" s="388" t="s">
        <v>101</v>
      </c>
      <c r="C518" s="330" t="s">
        <v>7698</v>
      </c>
      <c r="D518" s="330" t="s">
        <v>7699</v>
      </c>
      <c r="E518" s="330" t="s">
        <v>7527</v>
      </c>
      <c r="F518" s="307">
        <v>2.0</v>
      </c>
      <c r="G518" s="338">
        <v>100.0</v>
      </c>
      <c r="H518" s="310">
        <f t="shared" si="9"/>
        <v>200</v>
      </c>
      <c r="I518" s="266" t="s">
        <v>3474</v>
      </c>
      <c r="J518" s="369" t="s">
        <v>3739</v>
      </c>
      <c r="K518" s="258">
        <v>42957.0</v>
      </c>
      <c r="L518" s="258">
        <v>42950.0</v>
      </c>
      <c r="M518" s="592" t="s">
        <v>1981</v>
      </c>
      <c r="N518" s="310" t="s">
        <v>7700</v>
      </c>
      <c r="O518" s="330"/>
      <c r="P518" s="579">
        <v>4448.0</v>
      </c>
      <c r="Q518" s="604" t="s">
        <v>3906</v>
      </c>
      <c r="R518" s="330"/>
      <c r="S518" s="330"/>
      <c r="T518" s="769">
        <v>42949.0</v>
      </c>
      <c r="U518" s="330" t="s">
        <v>7701</v>
      </c>
      <c r="V518" s="770">
        <v>4448.0</v>
      </c>
      <c r="W518" s="601">
        <v>42948.0</v>
      </c>
      <c r="X518" s="310" t="s">
        <v>7598</v>
      </c>
      <c r="Y518" s="253">
        <v>5.140051652E9</v>
      </c>
      <c r="Z518" s="330"/>
      <c r="AA518" s="330"/>
      <c r="AB518" s="330"/>
      <c r="AC518" s="253" t="s">
        <v>284</v>
      </c>
    </row>
    <row r="519" ht="15.75" customHeight="1">
      <c r="A519" s="776">
        <v>42948.0</v>
      </c>
      <c r="B519" s="388" t="s">
        <v>4754</v>
      </c>
      <c r="C519" s="765">
        <v>63515.0</v>
      </c>
      <c r="D519" s="330" t="s">
        <v>7687</v>
      </c>
      <c r="E519" s="330" t="s">
        <v>7702</v>
      </c>
      <c r="F519" s="307">
        <v>1.0</v>
      </c>
      <c r="G519" s="338">
        <v>150.0</v>
      </c>
      <c r="H519" s="310">
        <f t="shared" si="9"/>
        <v>150</v>
      </c>
      <c r="I519" s="1031" t="s">
        <v>3474</v>
      </c>
      <c r="J519" s="253" t="s">
        <v>534</v>
      </c>
      <c r="K519" s="258">
        <v>42971.0</v>
      </c>
      <c r="L519" s="330"/>
      <c r="M519" s="266" t="s">
        <v>2032</v>
      </c>
      <c r="N519" s="330"/>
      <c r="O519" s="330"/>
      <c r="P519" s="637">
        <v>6179.0</v>
      </c>
      <c r="Q519" s="310" t="s">
        <v>2033</v>
      </c>
      <c r="R519" s="330"/>
      <c r="S519" s="768">
        <v>43008.0</v>
      </c>
      <c r="T519" s="771">
        <v>42978.0</v>
      </c>
      <c r="U519" s="310" t="s">
        <v>7703</v>
      </c>
      <c r="V519" s="774">
        <v>6179.0</v>
      </c>
      <c r="W519" s="258">
        <v>43007.0</v>
      </c>
      <c r="X519" s="310" t="s">
        <v>7691</v>
      </c>
      <c r="Y519" s="253">
        <v>4.502215675E9</v>
      </c>
      <c r="Z519" s="330"/>
      <c r="AA519" s="330"/>
      <c r="AB519" s="330"/>
      <c r="AC519" s="253" t="s">
        <v>284</v>
      </c>
    </row>
    <row r="520" ht="15.75" customHeight="1">
      <c r="A520" s="764">
        <v>42949.0</v>
      </c>
      <c r="B520" s="388" t="s">
        <v>229</v>
      </c>
      <c r="C520" s="330"/>
      <c r="D520" s="330" t="s">
        <v>7704</v>
      </c>
      <c r="E520" s="330" t="s">
        <v>462</v>
      </c>
      <c r="F520" s="307">
        <v>45.0</v>
      </c>
      <c r="G520" s="254">
        <v>407.4</v>
      </c>
      <c r="H520" s="267">
        <f t="shared" si="9"/>
        <v>18333</v>
      </c>
      <c r="I520" s="266" t="s">
        <v>171</v>
      </c>
      <c r="J520" s="253" t="s">
        <v>90</v>
      </c>
      <c r="K520" s="258">
        <v>42968.0</v>
      </c>
      <c r="L520" s="258">
        <v>42968.0</v>
      </c>
      <c r="M520" s="592" t="s">
        <v>90</v>
      </c>
      <c r="N520" s="310" t="s">
        <v>7705</v>
      </c>
      <c r="O520" s="310">
        <v>16773.75</v>
      </c>
      <c r="P520" s="330"/>
      <c r="Q520" s="340" t="s">
        <v>94</v>
      </c>
      <c r="R520" s="330"/>
      <c r="S520" s="768">
        <v>43008.0</v>
      </c>
      <c r="T520" s="769">
        <v>42968.0</v>
      </c>
      <c r="U520" s="330" t="s">
        <v>7706</v>
      </c>
      <c r="V520" s="774">
        <v>507154.0</v>
      </c>
      <c r="W520" s="601">
        <v>42998.0</v>
      </c>
      <c r="X520" s="330" t="s">
        <v>7707</v>
      </c>
      <c r="Y520" s="330"/>
      <c r="Z520" s="252" t="s">
        <v>7708</v>
      </c>
      <c r="AA520" s="262">
        <v>555306.0</v>
      </c>
      <c r="AB520" s="765" t="s">
        <v>7483</v>
      </c>
      <c r="AC520" s="253" t="s">
        <v>377</v>
      </c>
    </row>
    <row r="521" ht="15.75" customHeight="1">
      <c r="A521" s="764">
        <v>42951.0</v>
      </c>
      <c r="B521" s="388" t="s">
        <v>4754</v>
      </c>
      <c r="C521" s="765">
        <v>63521.0</v>
      </c>
      <c r="D521" s="330" t="s">
        <v>7709</v>
      </c>
      <c r="E521" s="330" t="s">
        <v>7710</v>
      </c>
      <c r="F521" s="307">
        <v>15.0</v>
      </c>
      <c r="G521" s="793">
        <v>58.0</v>
      </c>
      <c r="H521" s="267">
        <f t="shared" si="9"/>
        <v>870</v>
      </c>
      <c r="I521" s="1031" t="s">
        <v>3474</v>
      </c>
      <c r="J521" s="253" t="s">
        <v>534</v>
      </c>
      <c r="K521" s="258">
        <v>42989.0</v>
      </c>
      <c r="L521" s="258">
        <v>42986.0</v>
      </c>
      <c r="M521" s="403" t="s">
        <v>6386</v>
      </c>
      <c r="N521" s="310" t="s">
        <v>7711</v>
      </c>
      <c r="O521" s="310">
        <v>1338.75</v>
      </c>
      <c r="P521" s="816"/>
      <c r="Q521" s="604" t="s">
        <v>6388</v>
      </c>
      <c r="R521" s="330"/>
      <c r="S521" s="768">
        <v>43013.0</v>
      </c>
      <c r="T521" s="769">
        <v>42986.0</v>
      </c>
      <c r="U521" s="330" t="s">
        <v>7712</v>
      </c>
      <c r="V521" s="770">
        <v>40208.0</v>
      </c>
      <c r="W521" s="258">
        <v>43013.0</v>
      </c>
      <c r="X521" s="252" t="s">
        <v>7713</v>
      </c>
      <c r="Y521" s="253">
        <v>6.69107915E9</v>
      </c>
      <c r="Z521" s="330"/>
      <c r="AA521" s="330"/>
      <c r="AB521" s="330"/>
      <c r="AC521" s="253" t="s">
        <v>284</v>
      </c>
    </row>
    <row r="522" ht="15.75" customHeight="1">
      <c r="A522" s="764">
        <v>42951.0</v>
      </c>
      <c r="B522" s="388" t="s">
        <v>4754</v>
      </c>
      <c r="C522" s="1077" t="s">
        <v>7714</v>
      </c>
      <c r="D522" s="330" t="s">
        <v>7715</v>
      </c>
      <c r="E522" s="330" t="s">
        <v>7716</v>
      </c>
      <c r="F522" s="307">
        <v>10.0</v>
      </c>
      <c r="G522" s="338">
        <v>58.0</v>
      </c>
      <c r="H522" s="267">
        <f t="shared" si="9"/>
        <v>580</v>
      </c>
      <c r="I522" s="1031" t="s">
        <v>3474</v>
      </c>
      <c r="J522" s="253" t="s">
        <v>534</v>
      </c>
      <c r="K522" s="258">
        <v>42989.0</v>
      </c>
      <c r="L522" s="258">
        <v>42986.0</v>
      </c>
      <c r="M522" s="333" t="s">
        <v>6386</v>
      </c>
      <c r="N522" s="310" t="s">
        <v>7711</v>
      </c>
      <c r="O522" s="581" t="s">
        <v>7717</v>
      </c>
      <c r="P522" s="330"/>
      <c r="Q522" s="599" t="s">
        <v>6388</v>
      </c>
      <c r="R522" s="330"/>
      <c r="S522" s="768">
        <v>43013.0</v>
      </c>
      <c r="T522" s="769">
        <v>42986.0</v>
      </c>
      <c r="U522" s="330" t="s">
        <v>7712</v>
      </c>
      <c r="V522" s="330" t="s">
        <v>7718</v>
      </c>
      <c r="W522" s="258">
        <v>43013.0</v>
      </c>
      <c r="X522" s="252" t="s">
        <v>7713</v>
      </c>
      <c r="Y522" s="253">
        <v>6.69107915E9</v>
      </c>
      <c r="Z522" s="330"/>
      <c r="AA522" s="330"/>
      <c r="AB522" s="330"/>
      <c r="AC522" s="253" t="s">
        <v>284</v>
      </c>
    </row>
    <row r="523" ht="15.75" customHeight="1">
      <c r="A523" s="764">
        <v>42951.0</v>
      </c>
      <c r="B523" s="388" t="s">
        <v>4754</v>
      </c>
      <c r="C523" s="765">
        <v>63521.0</v>
      </c>
      <c r="D523" s="330" t="s">
        <v>7719</v>
      </c>
      <c r="E523" s="330" t="s">
        <v>7720</v>
      </c>
      <c r="F523" s="307">
        <v>35.0</v>
      </c>
      <c r="G523" s="338">
        <v>58.0</v>
      </c>
      <c r="H523" s="267">
        <f t="shared" si="9"/>
        <v>2030</v>
      </c>
      <c r="I523" s="1009" t="s">
        <v>3474</v>
      </c>
      <c r="J523" s="253" t="s">
        <v>534</v>
      </c>
      <c r="K523" s="258">
        <v>42971.0</v>
      </c>
      <c r="L523" s="258">
        <v>42958.0</v>
      </c>
      <c r="M523" s="403" t="s">
        <v>6386</v>
      </c>
      <c r="N523" s="310" t="s">
        <v>7711</v>
      </c>
      <c r="O523" s="310">
        <v>1874.25</v>
      </c>
      <c r="P523" s="330"/>
      <c r="Q523" s="604" t="s">
        <v>6388</v>
      </c>
      <c r="R523" s="330"/>
      <c r="S523" s="768">
        <v>42983.0</v>
      </c>
      <c r="T523" s="769">
        <v>42957.0</v>
      </c>
      <c r="U523" s="330" t="s">
        <v>7721</v>
      </c>
      <c r="V523" s="770">
        <v>56624.0</v>
      </c>
      <c r="W523" s="258">
        <v>42985.0</v>
      </c>
      <c r="X523" s="310" t="s">
        <v>7691</v>
      </c>
      <c r="Y523" s="253">
        <v>4.502215675E9</v>
      </c>
      <c r="Z523" s="330"/>
      <c r="AA523" s="330"/>
      <c r="AB523" s="330"/>
      <c r="AC523" s="253" t="s">
        <v>284</v>
      </c>
    </row>
    <row r="524" ht="15.75" customHeight="1">
      <c r="A524" s="764">
        <v>42951.0</v>
      </c>
      <c r="B524" s="388" t="s">
        <v>4754</v>
      </c>
      <c r="C524" s="765">
        <v>63521.0</v>
      </c>
      <c r="D524" s="330" t="s">
        <v>7719</v>
      </c>
      <c r="E524" s="330" t="s">
        <v>7722</v>
      </c>
      <c r="F524" s="307">
        <v>1.0</v>
      </c>
      <c r="G524" s="338">
        <v>135.0</v>
      </c>
      <c r="H524" s="267">
        <f t="shared" si="9"/>
        <v>135</v>
      </c>
      <c r="I524" s="1031" t="s">
        <v>3474</v>
      </c>
      <c r="J524" s="253" t="s">
        <v>534</v>
      </c>
      <c r="K524" s="258">
        <v>42971.0</v>
      </c>
      <c r="L524" s="330"/>
      <c r="M524" s="266" t="s">
        <v>2032</v>
      </c>
      <c r="N524" s="330"/>
      <c r="O524" s="330"/>
      <c r="P524" s="637" t="s">
        <v>7723</v>
      </c>
      <c r="Q524" s="320" t="s">
        <v>2033</v>
      </c>
      <c r="R524" s="330"/>
      <c r="S524" s="768">
        <v>43008.0</v>
      </c>
      <c r="T524" s="771">
        <v>42978.0</v>
      </c>
      <c r="U524" s="310" t="s">
        <v>7703</v>
      </c>
      <c r="V524" s="774" t="s">
        <v>7724</v>
      </c>
      <c r="W524" s="258">
        <v>43007.0</v>
      </c>
      <c r="X524" s="310" t="s">
        <v>7691</v>
      </c>
      <c r="Y524" s="253">
        <v>4.502215675E9</v>
      </c>
      <c r="Z524" s="330"/>
      <c r="AA524" s="330"/>
      <c r="AB524" s="330"/>
      <c r="AC524" s="253" t="s">
        <v>284</v>
      </c>
    </row>
    <row r="525" ht="15.75" customHeight="1">
      <c r="A525" s="764">
        <v>42951.0</v>
      </c>
      <c r="B525" s="388" t="s">
        <v>4754</v>
      </c>
      <c r="C525" s="765">
        <v>63521.0</v>
      </c>
      <c r="D525" s="330" t="s">
        <v>7709</v>
      </c>
      <c r="E525" s="330" t="s">
        <v>7725</v>
      </c>
      <c r="F525" s="307">
        <v>1.0</v>
      </c>
      <c r="G525" s="338">
        <v>78.0</v>
      </c>
      <c r="H525" s="267">
        <f t="shared" si="9"/>
        <v>78</v>
      </c>
      <c r="I525" s="779" t="s">
        <v>3474</v>
      </c>
      <c r="J525" s="253" t="s">
        <v>534</v>
      </c>
      <c r="K525" s="258">
        <v>42989.0</v>
      </c>
      <c r="L525" s="258"/>
      <c r="M525" s="266" t="s">
        <v>2032</v>
      </c>
      <c r="N525" s="310"/>
      <c r="O525" s="330"/>
      <c r="P525" s="637">
        <v>3694.0</v>
      </c>
      <c r="Q525" s="320" t="s">
        <v>2033</v>
      </c>
      <c r="R525" s="330"/>
      <c r="S525" s="768">
        <v>43030.0</v>
      </c>
      <c r="T525" s="771">
        <v>43000.0</v>
      </c>
      <c r="U525" s="310" t="s">
        <v>7726</v>
      </c>
      <c r="V525" s="774">
        <v>3694.0</v>
      </c>
      <c r="W525" s="258">
        <v>43041.0</v>
      </c>
      <c r="X525" s="252" t="s">
        <v>7713</v>
      </c>
      <c r="Y525" s="253">
        <v>6.69107915E9</v>
      </c>
      <c r="Z525" s="330"/>
      <c r="AA525" s="330"/>
      <c r="AB525" s="330"/>
      <c r="AC525" s="253" t="s">
        <v>284</v>
      </c>
    </row>
    <row r="526" ht="15.75" customHeight="1">
      <c r="A526" s="764">
        <v>42951.0</v>
      </c>
      <c r="B526" s="388" t="s">
        <v>4754</v>
      </c>
      <c r="C526" s="1077" t="s">
        <v>7714</v>
      </c>
      <c r="D526" s="330" t="s">
        <v>7715</v>
      </c>
      <c r="E526" s="330" t="s">
        <v>7727</v>
      </c>
      <c r="F526" s="307">
        <v>1.0</v>
      </c>
      <c r="G526" s="338">
        <v>61.0</v>
      </c>
      <c r="H526" s="267">
        <f t="shared" si="9"/>
        <v>61</v>
      </c>
      <c r="I526" s="1031" t="s">
        <v>3474</v>
      </c>
      <c r="J526" s="253" t="s">
        <v>534</v>
      </c>
      <c r="K526" s="258">
        <v>42989.0</v>
      </c>
      <c r="L526" s="310"/>
      <c r="M526" s="256" t="s">
        <v>2032</v>
      </c>
      <c r="N526" s="330"/>
      <c r="O526" s="330"/>
      <c r="P526" s="637" t="s">
        <v>7728</v>
      </c>
      <c r="Q526" s="310" t="s">
        <v>2033</v>
      </c>
      <c r="R526" s="330"/>
      <c r="S526" s="768">
        <v>43030.0</v>
      </c>
      <c r="T526" s="771">
        <v>43000.0</v>
      </c>
      <c r="U526" s="310" t="s">
        <v>7726</v>
      </c>
      <c r="V526" s="774" t="s">
        <v>7729</v>
      </c>
      <c r="W526" s="258">
        <v>43041.0</v>
      </c>
      <c r="X526" s="252" t="s">
        <v>7713</v>
      </c>
      <c r="Y526" s="253">
        <v>6.69107915E9</v>
      </c>
      <c r="Z526" s="330"/>
      <c r="AA526" s="330"/>
      <c r="AB526" s="330"/>
      <c r="AC526" s="253" t="s">
        <v>284</v>
      </c>
    </row>
    <row r="527" ht="15.75" customHeight="1">
      <c r="A527" s="764">
        <v>42954.0</v>
      </c>
      <c r="B527" s="597" t="s">
        <v>7314</v>
      </c>
      <c r="C527" s="765">
        <v>7.000131704E9</v>
      </c>
      <c r="D527" s="252" t="s">
        <v>7730</v>
      </c>
      <c r="E527" s="252" t="s">
        <v>4085</v>
      </c>
      <c r="F527" s="253">
        <v>2.0</v>
      </c>
      <c r="G527" s="338">
        <v>177.0</v>
      </c>
      <c r="H527" s="310">
        <f t="shared" si="9"/>
        <v>354</v>
      </c>
      <c r="I527" s="266" t="s">
        <v>43</v>
      </c>
      <c r="J527" s="403" t="s">
        <v>3623</v>
      </c>
      <c r="K527" s="258">
        <v>42962.0</v>
      </c>
      <c r="L527" s="258">
        <v>42956.0</v>
      </c>
      <c r="M527" s="266" t="s">
        <v>3593</v>
      </c>
      <c r="N527" s="310" t="s">
        <v>7731</v>
      </c>
      <c r="O527" s="330"/>
      <c r="P527" s="579">
        <v>10340.0</v>
      </c>
      <c r="Q527" s="310" t="s">
        <v>2080</v>
      </c>
      <c r="R527" s="330"/>
      <c r="S527" s="810">
        <v>43039.0</v>
      </c>
      <c r="T527" s="769">
        <v>42955.0</v>
      </c>
      <c r="U527" s="330" t="s">
        <v>7732</v>
      </c>
      <c r="V527" s="770">
        <v>22331.0</v>
      </c>
      <c r="W527" s="601">
        <v>43045.0</v>
      </c>
      <c r="X527" s="310" t="s">
        <v>7733</v>
      </c>
      <c r="Y527" s="253">
        <v>6.478165352E9</v>
      </c>
      <c r="Z527" s="330"/>
      <c r="AA527" s="330"/>
      <c r="AB527" s="330"/>
      <c r="AC527" s="253" t="s">
        <v>284</v>
      </c>
    </row>
    <row r="528" ht="15.75" customHeight="1">
      <c r="A528" s="764">
        <v>42954.0</v>
      </c>
      <c r="B528" s="597" t="s">
        <v>7314</v>
      </c>
      <c r="C528" s="765">
        <v>7.000131704E9</v>
      </c>
      <c r="D528" s="252" t="s">
        <v>7730</v>
      </c>
      <c r="E528" s="252" t="s">
        <v>7734</v>
      </c>
      <c r="F528" s="253">
        <v>4.0</v>
      </c>
      <c r="G528" s="338">
        <v>103.0</v>
      </c>
      <c r="H528" s="310">
        <f t="shared" si="9"/>
        <v>412</v>
      </c>
      <c r="I528" s="266" t="s">
        <v>43</v>
      </c>
      <c r="J528" s="403" t="s">
        <v>3623</v>
      </c>
      <c r="K528" s="258">
        <v>42962.0</v>
      </c>
      <c r="L528" s="258">
        <v>42956.0</v>
      </c>
      <c r="M528" s="256" t="s">
        <v>3593</v>
      </c>
      <c r="N528" s="310" t="s">
        <v>7731</v>
      </c>
      <c r="O528" s="330"/>
      <c r="P528" s="579">
        <v>11991.0</v>
      </c>
      <c r="Q528" s="310" t="s">
        <v>2080</v>
      </c>
      <c r="R528" s="330"/>
      <c r="S528" s="810">
        <v>43039.0</v>
      </c>
      <c r="T528" s="769">
        <v>42955.0</v>
      </c>
      <c r="U528" s="330" t="s">
        <v>7732</v>
      </c>
      <c r="V528" s="330" t="s">
        <v>7735</v>
      </c>
      <c r="W528" s="601">
        <v>43045.0</v>
      </c>
      <c r="X528" s="310" t="s">
        <v>7733</v>
      </c>
      <c r="Y528" s="253">
        <v>6.478165352E9</v>
      </c>
      <c r="Z528" s="330"/>
      <c r="AA528" s="330"/>
      <c r="AB528" s="330"/>
      <c r="AC528" s="253" t="s">
        <v>284</v>
      </c>
    </row>
    <row r="529" ht="15.75" customHeight="1">
      <c r="A529" s="764">
        <v>42956.0</v>
      </c>
      <c r="B529" s="597" t="s">
        <v>7314</v>
      </c>
      <c r="C529" s="765">
        <v>7.000131766E9</v>
      </c>
      <c r="D529" s="252" t="s">
        <v>7736</v>
      </c>
      <c r="E529" s="252" t="s">
        <v>3676</v>
      </c>
      <c r="F529" s="253">
        <v>1.0</v>
      </c>
      <c r="G529" s="338">
        <v>46.0</v>
      </c>
      <c r="H529" s="310">
        <f t="shared" si="9"/>
        <v>46</v>
      </c>
      <c r="I529" s="266" t="s">
        <v>43</v>
      </c>
      <c r="J529" s="403" t="s">
        <v>3623</v>
      </c>
      <c r="K529" s="258">
        <v>42962.0</v>
      </c>
      <c r="L529" s="258">
        <v>42961.0</v>
      </c>
      <c r="M529" s="266" t="s">
        <v>3593</v>
      </c>
      <c r="N529" s="252" t="s">
        <v>7737</v>
      </c>
      <c r="O529" s="330"/>
      <c r="P529" s="579">
        <v>1342.0</v>
      </c>
      <c r="Q529" s="310" t="s">
        <v>2080</v>
      </c>
      <c r="R529" s="330"/>
      <c r="S529" s="810">
        <v>43039.0</v>
      </c>
      <c r="T529" s="769">
        <v>42958.0</v>
      </c>
      <c r="U529" s="330" t="s">
        <v>7738</v>
      </c>
      <c r="V529" s="770">
        <v>125053.0</v>
      </c>
      <c r="W529" s="601">
        <v>43045.0</v>
      </c>
      <c r="X529" s="310" t="s">
        <v>7733</v>
      </c>
      <c r="Y529" s="253">
        <v>6.478165352E9</v>
      </c>
      <c r="Z529" s="330"/>
      <c r="AA529" s="330"/>
      <c r="AB529" s="330"/>
      <c r="AC529" s="253" t="s">
        <v>284</v>
      </c>
    </row>
    <row r="530" ht="15.75" customHeight="1">
      <c r="A530" s="764">
        <v>42956.0</v>
      </c>
      <c r="B530" s="597" t="s">
        <v>7314</v>
      </c>
      <c r="C530" s="765">
        <v>7.000131766E9</v>
      </c>
      <c r="D530" s="252" t="s">
        <v>7736</v>
      </c>
      <c r="E530" s="252" t="s">
        <v>7739</v>
      </c>
      <c r="F530" s="253">
        <v>2.0</v>
      </c>
      <c r="G530" s="338">
        <v>36.0</v>
      </c>
      <c r="H530" s="310">
        <f t="shared" si="9"/>
        <v>72</v>
      </c>
      <c r="I530" s="266" t="s">
        <v>43</v>
      </c>
      <c r="J530" s="403" t="s">
        <v>3623</v>
      </c>
      <c r="K530" s="258">
        <v>42962.0</v>
      </c>
      <c r="L530" s="258">
        <v>42961.0</v>
      </c>
      <c r="M530" s="256" t="s">
        <v>3593</v>
      </c>
      <c r="N530" s="252" t="s">
        <v>7737</v>
      </c>
      <c r="O530" s="330"/>
      <c r="P530" s="579">
        <v>2123.0</v>
      </c>
      <c r="Q530" s="310" t="s">
        <v>2080</v>
      </c>
      <c r="R530" s="330"/>
      <c r="S530" s="810">
        <v>43039.0</v>
      </c>
      <c r="T530" s="769">
        <v>42958.0</v>
      </c>
      <c r="U530" s="330" t="s">
        <v>7738</v>
      </c>
      <c r="V530" s="330" t="s">
        <v>7740</v>
      </c>
      <c r="W530" s="601">
        <v>43045.0</v>
      </c>
      <c r="X530" s="310" t="s">
        <v>7733</v>
      </c>
      <c r="Y530" s="253">
        <v>6.478165352E9</v>
      </c>
      <c r="Z530" s="330"/>
      <c r="AA530" s="330"/>
      <c r="AB530" s="330"/>
      <c r="AC530" s="253" t="s">
        <v>284</v>
      </c>
    </row>
    <row r="531" ht="15.75" customHeight="1">
      <c r="A531" s="764">
        <v>42956.0</v>
      </c>
      <c r="B531" s="597" t="s">
        <v>7314</v>
      </c>
      <c r="C531" s="765">
        <v>7.000131766E9</v>
      </c>
      <c r="D531" s="252" t="s">
        <v>7736</v>
      </c>
      <c r="E531" s="252" t="s">
        <v>7741</v>
      </c>
      <c r="F531" s="253">
        <v>2.0</v>
      </c>
      <c r="G531" s="338">
        <v>45.0</v>
      </c>
      <c r="H531" s="310">
        <f t="shared" si="9"/>
        <v>90</v>
      </c>
      <c r="I531" s="266" t="s">
        <v>43</v>
      </c>
      <c r="J531" s="403" t="s">
        <v>3623</v>
      </c>
      <c r="K531" s="258">
        <v>42962.0</v>
      </c>
      <c r="L531" s="258">
        <v>42961.0</v>
      </c>
      <c r="M531" s="266" t="s">
        <v>3593</v>
      </c>
      <c r="N531" s="252" t="s">
        <v>7737</v>
      </c>
      <c r="O531" s="330"/>
      <c r="P531" s="579">
        <v>2636.0</v>
      </c>
      <c r="Q531" s="310" t="s">
        <v>2080</v>
      </c>
      <c r="R531" s="330"/>
      <c r="S531" s="810">
        <v>43039.0</v>
      </c>
      <c r="T531" s="769">
        <v>42958.0</v>
      </c>
      <c r="U531" s="330" t="s">
        <v>7738</v>
      </c>
      <c r="V531" s="330" t="s">
        <v>7740</v>
      </c>
      <c r="W531" s="601">
        <v>43045.0</v>
      </c>
      <c r="X531" s="310" t="s">
        <v>7733</v>
      </c>
      <c r="Y531" s="253">
        <v>6.478165352E9</v>
      </c>
      <c r="Z531" s="330"/>
      <c r="AA531" s="330"/>
      <c r="AB531" s="330"/>
      <c r="AC531" s="253" t="s">
        <v>284</v>
      </c>
    </row>
    <row r="532" ht="15.75" customHeight="1">
      <c r="A532" s="601">
        <v>42956.0</v>
      </c>
      <c r="B532" s="597" t="s">
        <v>7314</v>
      </c>
      <c r="C532" s="765">
        <v>7.000131766E9</v>
      </c>
      <c r="D532" s="252" t="s">
        <v>7736</v>
      </c>
      <c r="E532" s="252" t="s">
        <v>7742</v>
      </c>
      <c r="F532" s="253">
        <v>14.0</v>
      </c>
      <c r="G532" s="338">
        <v>181.0</v>
      </c>
      <c r="H532" s="310">
        <f t="shared" si="9"/>
        <v>2534</v>
      </c>
      <c r="I532" s="256" t="s">
        <v>43</v>
      </c>
      <c r="J532" s="777" t="s">
        <v>3623</v>
      </c>
      <c r="K532" s="258">
        <v>42962.0</v>
      </c>
      <c r="L532" s="258">
        <v>42961.0</v>
      </c>
      <c r="M532" s="266" t="s">
        <v>3593</v>
      </c>
      <c r="N532" s="252" t="s">
        <v>7737</v>
      </c>
      <c r="O532" s="330"/>
      <c r="P532" s="579">
        <v>73941.0</v>
      </c>
      <c r="Q532" s="310" t="s">
        <v>2080</v>
      </c>
      <c r="R532" s="330"/>
      <c r="S532" s="810">
        <v>43039.0</v>
      </c>
      <c r="T532" s="769">
        <v>42958.0</v>
      </c>
      <c r="U532" s="330" t="s">
        <v>7738</v>
      </c>
      <c r="V532" s="330" t="s">
        <v>7740</v>
      </c>
      <c r="W532" s="601">
        <v>43045.0</v>
      </c>
      <c r="X532" s="310" t="s">
        <v>7733</v>
      </c>
      <c r="Y532" s="253">
        <v>6.478165352E9</v>
      </c>
      <c r="Z532" s="330"/>
      <c r="AA532" s="330"/>
      <c r="AB532" s="330"/>
      <c r="AC532" s="253" t="s">
        <v>284</v>
      </c>
    </row>
    <row r="533" ht="15.75" customHeight="1">
      <c r="A533" s="601">
        <v>42956.0</v>
      </c>
      <c r="B533" s="597" t="s">
        <v>7314</v>
      </c>
      <c r="C533" s="765">
        <v>7.000131766E9</v>
      </c>
      <c r="D533" s="252" t="s">
        <v>7736</v>
      </c>
      <c r="E533" s="252" t="s">
        <v>4657</v>
      </c>
      <c r="F533" s="253">
        <v>14.0</v>
      </c>
      <c r="G533" s="338">
        <v>110.0</v>
      </c>
      <c r="H533" s="310">
        <f t="shared" si="9"/>
        <v>1540</v>
      </c>
      <c r="I533" s="256" t="s">
        <v>43</v>
      </c>
      <c r="J533" s="777" t="s">
        <v>3623</v>
      </c>
      <c r="K533" s="258">
        <v>42962.0</v>
      </c>
      <c r="L533" s="258">
        <v>42961.0</v>
      </c>
      <c r="M533" s="266" t="s">
        <v>3593</v>
      </c>
      <c r="N533" s="252" t="s">
        <v>7737</v>
      </c>
      <c r="O533" s="330"/>
      <c r="P533" s="579">
        <v>45011.0</v>
      </c>
      <c r="Q533" s="310" t="s">
        <v>2080</v>
      </c>
      <c r="R533" s="330"/>
      <c r="S533" s="810">
        <v>43039.0</v>
      </c>
      <c r="T533" s="769">
        <v>42958.0</v>
      </c>
      <c r="U533" s="330" t="s">
        <v>7738</v>
      </c>
      <c r="V533" s="330" t="s">
        <v>7740</v>
      </c>
      <c r="W533" s="601">
        <v>43045.0</v>
      </c>
      <c r="X533" s="310" t="s">
        <v>7733</v>
      </c>
      <c r="Y533" s="253">
        <v>6.478165352E9</v>
      </c>
      <c r="Z533" s="330"/>
      <c r="AA533" s="330"/>
      <c r="AB533" s="330"/>
      <c r="AC533" s="253" t="s">
        <v>284</v>
      </c>
    </row>
    <row r="534" ht="15.75" customHeight="1">
      <c r="A534" s="601">
        <v>42958.0</v>
      </c>
      <c r="B534" s="388" t="s">
        <v>101</v>
      </c>
      <c r="C534" s="330" t="s">
        <v>7743</v>
      </c>
      <c r="D534" s="330" t="s">
        <v>7744</v>
      </c>
      <c r="E534" s="330" t="s">
        <v>6932</v>
      </c>
      <c r="F534" s="253">
        <v>10.0</v>
      </c>
      <c r="G534" s="338">
        <v>38.0</v>
      </c>
      <c r="H534" s="310">
        <f t="shared" si="9"/>
        <v>380</v>
      </c>
      <c r="I534" s="256" t="s">
        <v>3474</v>
      </c>
      <c r="J534" s="363" t="s">
        <v>3739</v>
      </c>
      <c r="K534" s="258">
        <v>42964.0</v>
      </c>
      <c r="L534" s="258">
        <v>42963.0</v>
      </c>
      <c r="M534" s="403" t="s">
        <v>1439</v>
      </c>
      <c r="N534" s="252" t="s">
        <v>7745</v>
      </c>
      <c r="O534" s="330"/>
      <c r="P534" s="579">
        <v>11151.0</v>
      </c>
      <c r="Q534" s="310" t="s">
        <v>1976</v>
      </c>
      <c r="R534" s="330"/>
      <c r="S534" s="810">
        <v>43008.0</v>
      </c>
      <c r="T534" s="769">
        <v>42963.0</v>
      </c>
      <c r="U534" s="330" t="s">
        <v>7746</v>
      </c>
      <c r="V534" s="770">
        <v>11152.0</v>
      </c>
      <c r="W534" s="258">
        <v>43007.0</v>
      </c>
      <c r="X534" s="310" t="s">
        <v>7697</v>
      </c>
      <c r="Y534" s="253">
        <v>6.28762127E9</v>
      </c>
      <c r="Z534" s="330"/>
      <c r="AA534" s="330"/>
      <c r="AB534" s="330"/>
      <c r="AC534" s="253" t="s">
        <v>284</v>
      </c>
    </row>
    <row r="535" ht="15.75" customHeight="1">
      <c r="A535" s="258">
        <v>42961.0</v>
      </c>
      <c r="B535" s="1004" t="s">
        <v>3506</v>
      </c>
      <c r="C535" s="765" t="s">
        <v>7747</v>
      </c>
      <c r="D535" s="252" t="s">
        <v>7748</v>
      </c>
      <c r="E535" s="252" t="s">
        <v>7749</v>
      </c>
      <c r="F535" s="253">
        <v>100.0</v>
      </c>
      <c r="G535" s="254">
        <v>174.5</v>
      </c>
      <c r="H535" s="267">
        <f t="shared" si="9"/>
        <v>17450</v>
      </c>
      <c r="I535" s="256" t="s">
        <v>171</v>
      </c>
      <c r="J535" s="363" t="s">
        <v>3509</v>
      </c>
      <c r="K535" s="258">
        <v>42978.0</v>
      </c>
      <c r="L535" s="258">
        <v>42972.0</v>
      </c>
      <c r="M535" s="403" t="s">
        <v>3510</v>
      </c>
      <c r="N535" s="330" t="s">
        <v>7750</v>
      </c>
      <c r="O535" s="579">
        <v>16590.0</v>
      </c>
      <c r="P535" s="330"/>
      <c r="Q535" s="310" t="s">
        <v>3512</v>
      </c>
      <c r="R535" s="330"/>
      <c r="S535" s="330"/>
      <c r="T535" s="769">
        <v>42978.0</v>
      </c>
      <c r="U535" s="330" t="s">
        <v>7751</v>
      </c>
      <c r="V535" s="770">
        <v>501599.0</v>
      </c>
      <c r="W535" s="601">
        <v>42964.0</v>
      </c>
      <c r="X535" s="310" t="s">
        <v>7752</v>
      </c>
      <c r="Y535" s="330"/>
      <c r="Z535" s="330"/>
      <c r="AA535" s="330"/>
      <c r="AB535" s="330"/>
      <c r="AC535" s="253" t="s">
        <v>284</v>
      </c>
    </row>
    <row r="536" ht="15.75" customHeight="1">
      <c r="A536" s="601">
        <v>42962.0</v>
      </c>
      <c r="B536" s="388" t="s">
        <v>101</v>
      </c>
      <c r="C536" s="330"/>
      <c r="D536" s="330" t="s">
        <v>7753</v>
      </c>
      <c r="E536" s="330" t="s">
        <v>7754</v>
      </c>
      <c r="F536" s="253">
        <v>1.0</v>
      </c>
      <c r="G536" s="338">
        <v>0.0</v>
      </c>
      <c r="H536" s="310">
        <f t="shared" si="9"/>
        <v>0</v>
      </c>
      <c r="I536" s="592" t="s">
        <v>3474</v>
      </c>
      <c r="J536" s="363" t="s">
        <v>3739</v>
      </c>
      <c r="K536" s="258">
        <v>42957.0</v>
      </c>
      <c r="L536" s="330"/>
      <c r="M536" s="253"/>
      <c r="N536" s="330"/>
      <c r="O536" s="330"/>
      <c r="P536" s="330"/>
      <c r="Q536" s="330"/>
      <c r="R536" s="330"/>
      <c r="S536" s="330"/>
      <c r="T536" s="902"/>
      <c r="U536" s="902"/>
      <c r="V536" s="902"/>
      <c r="W536" s="902"/>
      <c r="X536" s="902"/>
      <c r="Y536" s="330"/>
      <c r="Z536" s="330"/>
      <c r="AA536" s="330"/>
      <c r="AB536" s="330"/>
      <c r="AC536" s="253" t="s">
        <v>7660</v>
      </c>
    </row>
    <row r="537" ht="15.75" customHeight="1">
      <c r="A537" s="601">
        <v>42962.0</v>
      </c>
      <c r="B537" s="388" t="s">
        <v>101</v>
      </c>
      <c r="C537" s="330"/>
      <c r="D537" s="330" t="s">
        <v>7753</v>
      </c>
      <c r="E537" s="330" t="s">
        <v>7755</v>
      </c>
      <c r="F537" s="253">
        <v>1.0</v>
      </c>
      <c r="G537" s="338">
        <v>0.0</v>
      </c>
      <c r="H537" s="310">
        <f t="shared" si="9"/>
        <v>0</v>
      </c>
      <c r="I537" s="592" t="s">
        <v>3474</v>
      </c>
      <c r="J537" s="363" t="s">
        <v>3739</v>
      </c>
      <c r="K537" s="258">
        <v>42957.0</v>
      </c>
      <c r="L537" s="330"/>
      <c r="M537" s="253"/>
      <c r="N537" s="330"/>
      <c r="O537" s="330"/>
      <c r="P537" s="330"/>
      <c r="Q537" s="330"/>
      <c r="R537" s="330"/>
      <c r="S537" s="330"/>
      <c r="T537" s="902"/>
      <c r="U537" s="902"/>
      <c r="V537" s="902"/>
      <c r="W537" s="902"/>
      <c r="X537" s="902"/>
      <c r="Y537" s="330"/>
      <c r="Z537" s="330"/>
      <c r="AA537" s="330"/>
      <c r="AB537" s="330"/>
      <c r="AC537" s="253" t="s">
        <v>7660</v>
      </c>
    </row>
    <row r="538" ht="15.75" customHeight="1">
      <c r="A538" s="601">
        <v>42962.0</v>
      </c>
      <c r="B538" s="388" t="s">
        <v>101</v>
      </c>
      <c r="C538" s="330"/>
      <c r="D538" s="330" t="s">
        <v>7753</v>
      </c>
      <c r="E538" s="330" t="s">
        <v>7756</v>
      </c>
      <c r="F538" s="253">
        <v>1.0</v>
      </c>
      <c r="G538" s="338">
        <v>0.0</v>
      </c>
      <c r="H538" s="310">
        <f t="shared" si="9"/>
        <v>0</v>
      </c>
      <c r="I538" s="592" t="s">
        <v>3474</v>
      </c>
      <c r="J538" s="363"/>
      <c r="K538" s="258">
        <v>42957.0</v>
      </c>
      <c r="L538" s="330"/>
      <c r="M538" s="253"/>
      <c r="N538" s="330"/>
      <c r="O538" s="330"/>
      <c r="P538" s="330"/>
      <c r="Q538" s="330"/>
      <c r="R538" s="330"/>
      <c r="S538" s="330"/>
      <c r="T538" s="902"/>
      <c r="U538" s="902"/>
      <c r="V538" s="902"/>
      <c r="W538" s="902"/>
      <c r="X538" s="902"/>
      <c r="Y538" s="330"/>
      <c r="Z538" s="330"/>
      <c r="AA538" s="330"/>
      <c r="AB538" s="330"/>
      <c r="AC538" s="253" t="s">
        <v>7660</v>
      </c>
    </row>
    <row r="539" ht="15.75" customHeight="1">
      <c r="A539" s="601">
        <v>42964.0</v>
      </c>
      <c r="B539" s="388" t="s">
        <v>101</v>
      </c>
      <c r="C539" s="330" t="s">
        <v>7757</v>
      </c>
      <c r="D539" s="330" t="s">
        <v>7758</v>
      </c>
      <c r="E539" s="330" t="s">
        <v>7759</v>
      </c>
      <c r="F539" s="253">
        <v>1.0</v>
      </c>
      <c r="G539" s="338">
        <f>290</f>
        <v>290</v>
      </c>
      <c r="H539" s="267">
        <f t="shared" si="9"/>
        <v>290</v>
      </c>
      <c r="I539" s="266" t="s">
        <v>3474</v>
      </c>
      <c r="J539" s="253"/>
      <c r="K539" s="258">
        <v>42999.0</v>
      </c>
      <c r="L539" s="601">
        <v>42990.0</v>
      </c>
      <c r="M539" s="333" t="s">
        <v>1439</v>
      </c>
      <c r="N539" s="863"/>
      <c r="O539" s="310">
        <v>577.5</v>
      </c>
      <c r="P539" s="310"/>
      <c r="Q539" s="320" t="s">
        <v>1976</v>
      </c>
      <c r="R539" s="330"/>
      <c r="S539" s="810">
        <v>43039.0</v>
      </c>
      <c r="T539" s="769">
        <v>42989.0</v>
      </c>
      <c r="U539" s="330" t="s">
        <v>7760</v>
      </c>
      <c r="V539" s="770">
        <v>17331.0</v>
      </c>
      <c r="W539" s="253"/>
      <c r="X539" s="252" t="s">
        <v>7761</v>
      </c>
      <c r="Y539" s="253">
        <v>3.199226446E9</v>
      </c>
      <c r="Z539" s="330"/>
      <c r="AA539" s="330"/>
      <c r="AB539" s="330"/>
      <c r="AC539" s="253" t="s">
        <v>284</v>
      </c>
    </row>
    <row r="540" ht="15.75" customHeight="1">
      <c r="A540" s="764">
        <v>42968.0</v>
      </c>
      <c r="B540" s="388" t="s">
        <v>3871</v>
      </c>
      <c r="C540" s="330" t="s">
        <v>7762</v>
      </c>
      <c r="D540" s="330" t="s">
        <v>7763</v>
      </c>
      <c r="E540" s="330" t="s">
        <v>6205</v>
      </c>
      <c r="F540" s="253">
        <v>4.0</v>
      </c>
      <c r="G540" s="338">
        <v>156.0</v>
      </c>
      <c r="H540" s="267">
        <f t="shared" si="9"/>
        <v>624</v>
      </c>
      <c r="I540" s="256" t="s">
        <v>3874</v>
      </c>
      <c r="J540" s="269" t="s">
        <v>7764</v>
      </c>
      <c r="K540" s="258">
        <v>42976.0</v>
      </c>
      <c r="L540" s="258">
        <v>42975.0</v>
      </c>
      <c r="M540" s="592" t="s">
        <v>90</v>
      </c>
      <c r="N540" s="310" t="s">
        <v>7765</v>
      </c>
      <c r="O540" s="310">
        <v>558.6</v>
      </c>
      <c r="P540" s="330"/>
      <c r="Q540" s="578" t="s">
        <v>94</v>
      </c>
      <c r="R540" s="330"/>
      <c r="S540" s="768">
        <v>43039.0</v>
      </c>
      <c r="T540" s="771">
        <v>42975.0</v>
      </c>
      <c r="U540" s="310" t="s">
        <v>7766</v>
      </c>
      <c r="V540" s="774">
        <v>16889.0</v>
      </c>
      <c r="W540" s="258">
        <v>43034.0</v>
      </c>
      <c r="X540" s="310" t="s">
        <v>7767</v>
      </c>
      <c r="Y540" s="253">
        <v>8.414399022E9</v>
      </c>
      <c r="Z540" s="330"/>
      <c r="AA540" s="330"/>
      <c r="AB540" s="330"/>
      <c r="AC540" s="253" t="s">
        <v>284</v>
      </c>
    </row>
    <row r="541" ht="15.75" customHeight="1">
      <c r="A541" s="601">
        <v>42970.0</v>
      </c>
      <c r="B541" s="388" t="s">
        <v>7587</v>
      </c>
      <c r="C541" s="330"/>
      <c r="D541" s="330" t="s">
        <v>7768</v>
      </c>
      <c r="E541" s="330" t="s">
        <v>7769</v>
      </c>
      <c r="F541" s="253">
        <v>18.0</v>
      </c>
      <c r="G541" s="338">
        <v>195.0</v>
      </c>
      <c r="H541" s="267">
        <f t="shared" si="9"/>
        <v>3510</v>
      </c>
      <c r="I541" s="256" t="s">
        <v>420</v>
      </c>
      <c r="J541" s="403" t="s">
        <v>7589</v>
      </c>
      <c r="K541" s="258">
        <v>42997.0</v>
      </c>
      <c r="L541" s="258">
        <v>42997.0</v>
      </c>
      <c r="M541" s="253" t="s">
        <v>90</v>
      </c>
      <c r="N541" s="310" t="s">
        <v>7770</v>
      </c>
      <c r="O541" s="310">
        <v>2967.3</v>
      </c>
      <c r="P541" s="330"/>
      <c r="Q541" s="578" t="s">
        <v>94</v>
      </c>
      <c r="R541" s="330"/>
      <c r="S541" s="768">
        <v>43039.0</v>
      </c>
      <c r="T541" s="769">
        <v>42997.0</v>
      </c>
      <c r="U541" s="330" t="s">
        <v>7771</v>
      </c>
      <c r="V541" s="770">
        <v>110677.0</v>
      </c>
      <c r="W541" s="258">
        <v>43034.0</v>
      </c>
      <c r="X541" s="310" t="s">
        <v>7772</v>
      </c>
      <c r="Y541" s="253">
        <v>7.061589253E9</v>
      </c>
      <c r="Z541" s="330"/>
      <c r="AA541" s="330"/>
      <c r="AB541" s="330"/>
      <c r="AC541" s="253" t="s">
        <v>284</v>
      </c>
    </row>
    <row r="542" ht="15.75" customHeight="1">
      <c r="A542" s="601">
        <v>42970.0</v>
      </c>
      <c r="B542" s="388" t="s">
        <v>7587</v>
      </c>
      <c r="C542" s="330"/>
      <c r="D542" s="330" t="s">
        <v>7768</v>
      </c>
      <c r="E542" s="330" t="s">
        <v>7773</v>
      </c>
      <c r="F542" s="253">
        <v>44.0</v>
      </c>
      <c r="G542" s="338">
        <v>20.0</v>
      </c>
      <c r="H542" s="267">
        <f t="shared" si="9"/>
        <v>880</v>
      </c>
      <c r="I542" s="256" t="s">
        <v>420</v>
      </c>
      <c r="J542" s="403" t="s">
        <v>7589</v>
      </c>
      <c r="K542" s="258">
        <v>42997.0</v>
      </c>
      <c r="L542" s="258">
        <v>42997.0</v>
      </c>
      <c r="M542" s="253" t="s">
        <v>90</v>
      </c>
      <c r="N542" s="310" t="s">
        <v>7770</v>
      </c>
      <c r="O542" s="310">
        <v>720.72</v>
      </c>
      <c r="P542" s="330"/>
      <c r="Q542" s="578" t="s">
        <v>94</v>
      </c>
      <c r="R542" s="330"/>
      <c r="S542" s="768">
        <v>43039.0</v>
      </c>
      <c r="T542" s="769">
        <v>42997.0</v>
      </c>
      <c r="U542" s="330" t="s">
        <v>7771</v>
      </c>
      <c r="V542" s="330" t="s">
        <v>7774</v>
      </c>
      <c r="W542" s="258">
        <v>43034.0</v>
      </c>
      <c r="X542" s="310" t="s">
        <v>7772</v>
      </c>
      <c r="Y542" s="253">
        <v>7.061589253E9</v>
      </c>
      <c r="Z542" s="330"/>
      <c r="AA542" s="330"/>
      <c r="AB542" s="330"/>
      <c r="AC542" s="253" t="s">
        <v>284</v>
      </c>
    </row>
    <row r="543" ht="15.75" customHeight="1">
      <c r="A543" s="601">
        <v>42970.0</v>
      </c>
      <c r="B543" s="388" t="s">
        <v>7587</v>
      </c>
      <c r="C543" s="330"/>
      <c r="D543" s="330" t="s">
        <v>7768</v>
      </c>
      <c r="E543" s="330" t="s">
        <v>7775</v>
      </c>
      <c r="F543" s="253">
        <v>13.0</v>
      </c>
      <c r="G543" s="338">
        <v>302.0</v>
      </c>
      <c r="H543" s="267">
        <f t="shared" si="9"/>
        <v>3926</v>
      </c>
      <c r="I543" s="256" t="s">
        <v>420</v>
      </c>
      <c r="J543" s="403" t="s">
        <v>7776</v>
      </c>
      <c r="K543" s="266" t="s">
        <v>7777</v>
      </c>
      <c r="L543" s="258">
        <v>42993.0</v>
      </c>
      <c r="M543" s="403" t="s">
        <v>3775</v>
      </c>
      <c r="N543" s="310" t="s">
        <v>7778</v>
      </c>
      <c r="O543" s="268">
        <v>3726.45</v>
      </c>
      <c r="P543" s="330"/>
      <c r="Q543" s="422" t="s">
        <v>2207</v>
      </c>
      <c r="R543" s="330"/>
      <c r="S543" s="768">
        <v>43039.0</v>
      </c>
      <c r="T543" s="771">
        <v>43000.0</v>
      </c>
      <c r="U543" s="310" t="s">
        <v>7779</v>
      </c>
      <c r="V543" s="774">
        <v>112539.0</v>
      </c>
      <c r="W543" s="601">
        <v>43038.0</v>
      </c>
      <c r="X543" s="310" t="s">
        <v>7772</v>
      </c>
      <c r="Y543" s="253">
        <v>7.061589253E9</v>
      </c>
      <c r="Z543" s="330"/>
      <c r="AA543" s="330"/>
      <c r="AB543" s="330"/>
      <c r="AC543" s="253" t="s">
        <v>284</v>
      </c>
    </row>
    <row r="544" ht="15.75" customHeight="1">
      <c r="A544" s="601">
        <v>42970.0</v>
      </c>
      <c r="B544" s="388" t="s">
        <v>7587</v>
      </c>
      <c r="C544" s="330"/>
      <c r="D544" s="330" t="s">
        <v>7780</v>
      </c>
      <c r="E544" s="330" t="s">
        <v>7781</v>
      </c>
      <c r="F544" s="253">
        <v>2.0</v>
      </c>
      <c r="G544" s="338">
        <v>87.0</v>
      </c>
      <c r="H544" s="267">
        <f t="shared" si="9"/>
        <v>174</v>
      </c>
      <c r="I544" s="256" t="s">
        <v>420</v>
      </c>
      <c r="J544" s="403" t="s">
        <v>7589</v>
      </c>
      <c r="K544" s="258">
        <v>42978.0</v>
      </c>
      <c r="L544" s="258">
        <v>42978.0</v>
      </c>
      <c r="M544" s="592" t="s">
        <v>3840</v>
      </c>
      <c r="N544" s="310" t="s">
        <v>7782</v>
      </c>
      <c r="O544" s="330"/>
      <c r="P544" s="579">
        <v>4767.0</v>
      </c>
      <c r="Q544" s="388" t="s">
        <v>3842</v>
      </c>
      <c r="R544" s="330"/>
      <c r="S544" s="810">
        <v>43013.0</v>
      </c>
      <c r="T544" s="769">
        <v>42977.0</v>
      </c>
      <c r="U544" s="330" t="s">
        <v>7783</v>
      </c>
      <c r="V544" s="770">
        <v>4767.0</v>
      </c>
      <c r="W544" s="258">
        <v>43013.0</v>
      </c>
      <c r="X544" s="310" t="s">
        <v>7784</v>
      </c>
      <c r="Y544" s="253">
        <v>2.733699124E9</v>
      </c>
      <c r="Z544" s="330"/>
      <c r="AA544" s="330"/>
      <c r="AB544" s="330"/>
      <c r="AC544" s="253" t="s">
        <v>284</v>
      </c>
    </row>
    <row r="545" ht="15.75" customHeight="1">
      <c r="A545" s="601">
        <v>42971.0</v>
      </c>
      <c r="B545" s="388" t="s">
        <v>4754</v>
      </c>
      <c r="C545" s="1077" t="s">
        <v>7785</v>
      </c>
      <c r="D545" s="330" t="s">
        <v>7786</v>
      </c>
      <c r="E545" s="330" t="s">
        <v>7787</v>
      </c>
      <c r="F545" s="253">
        <v>6.0</v>
      </c>
      <c r="G545" s="338">
        <v>66.0</v>
      </c>
      <c r="H545" s="267">
        <f t="shared" si="9"/>
        <v>396</v>
      </c>
      <c r="I545" s="779" t="s">
        <v>3474</v>
      </c>
      <c r="J545" s="253" t="s">
        <v>534</v>
      </c>
      <c r="K545" s="258">
        <v>42989.0</v>
      </c>
      <c r="L545" s="258">
        <v>42986.0</v>
      </c>
      <c r="M545" s="403" t="s">
        <v>6386</v>
      </c>
      <c r="N545" s="310" t="s">
        <v>7788</v>
      </c>
      <c r="O545" s="310">
        <v>333.9</v>
      </c>
      <c r="P545" s="330"/>
      <c r="Q545" s="599" t="s">
        <v>6388</v>
      </c>
      <c r="R545" s="330"/>
      <c r="S545" s="768">
        <v>43013.0</v>
      </c>
      <c r="T545" s="769">
        <v>42986.0</v>
      </c>
      <c r="U545" s="330" t="s">
        <v>7789</v>
      </c>
      <c r="V545" s="770">
        <v>10029.0</v>
      </c>
      <c r="W545" s="258">
        <v>43013.0</v>
      </c>
      <c r="X545" s="252" t="s">
        <v>7713</v>
      </c>
      <c r="Y545" s="253">
        <v>6.69107915E9</v>
      </c>
      <c r="Z545" s="330"/>
      <c r="AA545" s="330"/>
      <c r="AB545" s="330"/>
      <c r="AC545" s="253" t="s">
        <v>284</v>
      </c>
    </row>
    <row r="546" ht="15.75" customHeight="1">
      <c r="A546" s="764">
        <v>42971.0</v>
      </c>
      <c r="B546" s="388" t="s">
        <v>5073</v>
      </c>
      <c r="C546" s="1077" t="s">
        <v>7790</v>
      </c>
      <c r="D546" s="330" t="s">
        <v>7791</v>
      </c>
      <c r="E546" s="330" t="s">
        <v>6704</v>
      </c>
      <c r="F546" s="253">
        <v>1.0</v>
      </c>
      <c r="G546" s="338">
        <v>2102.0</v>
      </c>
      <c r="H546" s="267">
        <f t="shared" si="9"/>
        <v>2102</v>
      </c>
      <c r="I546" s="256" t="s">
        <v>3474</v>
      </c>
      <c r="J546" s="369" t="s">
        <v>3749</v>
      </c>
      <c r="K546" s="258">
        <v>42983.0</v>
      </c>
      <c r="L546" s="258">
        <v>42978.0</v>
      </c>
      <c r="M546" s="266" t="s">
        <v>3593</v>
      </c>
      <c r="N546" s="310" t="s">
        <v>7792</v>
      </c>
      <c r="O546" s="330"/>
      <c r="P546" s="579">
        <v>64219.0</v>
      </c>
      <c r="Q546" s="320" t="s">
        <v>2080</v>
      </c>
      <c r="R546" s="330"/>
      <c r="S546" s="810">
        <v>43069.0</v>
      </c>
      <c r="T546" s="769">
        <v>42977.0</v>
      </c>
      <c r="U546" s="330" t="s">
        <v>7793</v>
      </c>
      <c r="V546" s="770">
        <v>64219.0</v>
      </c>
      <c r="W546" s="601">
        <v>43074.0</v>
      </c>
      <c r="X546" s="310" t="s">
        <v>7794</v>
      </c>
      <c r="Y546" s="253">
        <v>6.421529542E9</v>
      </c>
      <c r="Z546" s="330"/>
      <c r="AA546" s="330"/>
      <c r="AB546" s="330"/>
      <c r="AC546" s="330"/>
    </row>
    <row r="547" ht="15.75" customHeight="1">
      <c r="A547" s="764">
        <v>42971.0</v>
      </c>
      <c r="B547" s="597" t="s">
        <v>7314</v>
      </c>
      <c r="C547" s="765">
        <v>7.000132045E9</v>
      </c>
      <c r="D547" s="330" t="s">
        <v>7795</v>
      </c>
      <c r="E547" s="330" t="s">
        <v>4085</v>
      </c>
      <c r="F547" s="253">
        <v>1.0</v>
      </c>
      <c r="G547" s="338">
        <v>177.0</v>
      </c>
      <c r="H547" s="310">
        <f t="shared" si="9"/>
        <v>177</v>
      </c>
      <c r="I547" s="256" t="s">
        <v>43</v>
      </c>
      <c r="J547" s="403" t="s">
        <v>3623</v>
      </c>
      <c r="K547" s="258">
        <v>42982.0</v>
      </c>
      <c r="L547" s="258">
        <v>42978.0</v>
      </c>
      <c r="M547" s="266" t="s">
        <v>3593</v>
      </c>
      <c r="N547" s="310" t="s">
        <v>7796</v>
      </c>
      <c r="O547" s="330"/>
      <c r="P547" s="579">
        <v>5170.0</v>
      </c>
      <c r="Q547" s="320" t="s">
        <v>2080</v>
      </c>
      <c r="R547" s="330"/>
      <c r="S547" s="810">
        <v>43069.0</v>
      </c>
      <c r="T547" s="769">
        <v>42976.0</v>
      </c>
      <c r="U547" s="330" t="s">
        <v>7797</v>
      </c>
      <c r="V547" s="770">
        <v>33297.0</v>
      </c>
      <c r="W547" s="601">
        <v>43074.0</v>
      </c>
      <c r="X547" s="310" t="s">
        <v>7798</v>
      </c>
      <c r="Y547" s="253">
        <v>5.147169381E9</v>
      </c>
      <c r="Z547" s="330"/>
      <c r="AA547" s="330"/>
      <c r="AB547" s="330"/>
      <c r="AC547" s="253" t="s">
        <v>284</v>
      </c>
    </row>
    <row r="548" ht="36.75" customHeight="1">
      <c r="A548" s="764">
        <v>42971.0</v>
      </c>
      <c r="B548" s="597" t="s">
        <v>7314</v>
      </c>
      <c r="C548" s="765">
        <v>7.000132045E9</v>
      </c>
      <c r="D548" s="330" t="s">
        <v>7795</v>
      </c>
      <c r="E548" s="330" t="s">
        <v>3728</v>
      </c>
      <c r="F548" s="253">
        <v>1.0</v>
      </c>
      <c r="G548" s="338">
        <v>39.0</v>
      </c>
      <c r="H548" s="310">
        <f t="shared" si="9"/>
        <v>39</v>
      </c>
      <c r="I548" s="256" t="s">
        <v>43</v>
      </c>
      <c r="J548" s="403" t="s">
        <v>3623</v>
      </c>
      <c r="K548" s="258">
        <v>42982.0</v>
      </c>
      <c r="L548" s="258">
        <v>42978.0</v>
      </c>
      <c r="M548" s="256" t="s">
        <v>3593</v>
      </c>
      <c r="N548" s="310" t="s">
        <v>7796</v>
      </c>
      <c r="O548" s="330"/>
      <c r="P548" s="579">
        <v>1094.0</v>
      </c>
      <c r="Q548" s="320" t="s">
        <v>2080</v>
      </c>
      <c r="R548" s="330"/>
      <c r="S548" s="810">
        <v>43069.0</v>
      </c>
      <c r="T548" s="769">
        <v>42976.0</v>
      </c>
      <c r="U548" s="330" t="s">
        <v>7797</v>
      </c>
      <c r="V548" s="330" t="s">
        <v>7799</v>
      </c>
      <c r="W548" s="601">
        <v>43074.0</v>
      </c>
      <c r="X548" s="310" t="s">
        <v>7798</v>
      </c>
      <c r="Y548" s="253">
        <v>5.147169381E9</v>
      </c>
      <c r="Z548" s="330"/>
      <c r="AA548" s="330"/>
      <c r="AB548" s="330"/>
      <c r="AC548" s="253" t="s">
        <v>284</v>
      </c>
    </row>
    <row r="549" ht="15.75" customHeight="1">
      <c r="A549" s="764">
        <v>42971.0</v>
      </c>
      <c r="B549" s="597" t="s">
        <v>7314</v>
      </c>
      <c r="C549" s="765">
        <v>7.000132045E9</v>
      </c>
      <c r="D549" s="330" t="s">
        <v>7795</v>
      </c>
      <c r="E549" s="330" t="s">
        <v>7800</v>
      </c>
      <c r="F549" s="253">
        <v>1.0</v>
      </c>
      <c r="G549" s="338">
        <v>81.0</v>
      </c>
      <c r="H549" s="310">
        <f t="shared" si="9"/>
        <v>81</v>
      </c>
      <c r="I549" s="256" t="s">
        <v>43</v>
      </c>
      <c r="J549" s="403" t="s">
        <v>3623</v>
      </c>
      <c r="K549" s="258">
        <v>42982.0</v>
      </c>
      <c r="L549" s="258">
        <v>42978.0</v>
      </c>
      <c r="M549" s="266" t="s">
        <v>3593</v>
      </c>
      <c r="N549" s="310" t="s">
        <v>7796</v>
      </c>
      <c r="O549" s="330"/>
      <c r="P549" s="579">
        <v>2406.0</v>
      </c>
      <c r="Q549" s="320" t="s">
        <v>2080</v>
      </c>
      <c r="R549" s="330"/>
      <c r="S549" s="810">
        <v>43069.0</v>
      </c>
      <c r="T549" s="769">
        <v>42976.0</v>
      </c>
      <c r="U549" s="330" t="s">
        <v>7797</v>
      </c>
      <c r="V549" s="330" t="s">
        <v>7799</v>
      </c>
      <c r="W549" s="601">
        <v>43074.0</v>
      </c>
      <c r="X549" s="310" t="s">
        <v>7798</v>
      </c>
      <c r="Y549" s="253">
        <v>5.147169381E9</v>
      </c>
      <c r="Z549" s="330"/>
      <c r="AA549" s="330"/>
      <c r="AB549" s="330"/>
      <c r="AC549" s="253" t="s">
        <v>284</v>
      </c>
    </row>
    <row r="550" ht="36.75" customHeight="1">
      <c r="A550" s="764">
        <v>42971.0</v>
      </c>
      <c r="B550" s="597" t="s">
        <v>7314</v>
      </c>
      <c r="C550" s="765">
        <v>7.000132045E9</v>
      </c>
      <c r="D550" s="330" t="s">
        <v>7795</v>
      </c>
      <c r="E550" s="330" t="s">
        <v>4193</v>
      </c>
      <c r="F550" s="253">
        <v>6.0</v>
      </c>
      <c r="G550" s="338">
        <v>67.0</v>
      </c>
      <c r="H550" s="310">
        <f t="shared" si="9"/>
        <v>402</v>
      </c>
      <c r="I550" s="256" t="s">
        <v>43</v>
      </c>
      <c r="J550" s="403" t="s">
        <v>3623</v>
      </c>
      <c r="K550" s="258">
        <v>42982.0</v>
      </c>
      <c r="L550" s="258">
        <v>42978.0</v>
      </c>
      <c r="M550" s="256" t="s">
        <v>3593</v>
      </c>
      <c r="N550" s="310" t="s">
        <v>7796</v>
      </c>
      <c r="O550" s="330"/>
      <c r="P550" s="579">
        <v>11819.0</v>
      </c>
      <c r="Q550" s="310" t="s">
        <v>2080</v>
      </c>
      <c r="R550" s="330"/>
      <c r="S550" s="810">
        <v>43069.0</v>
      </c>
      <c r="T550" s="769">
        <v>42976.0</v>
      </c>
      <c r="U550" s="330" t="s">
        <v>7797</v>
      </c>
      <c r="V550" s="330" t="s">
        <v>7799</v>
      </c>
      <c r="W550" s="601">
        <v>43074.0</v>
      </c>
      <c r="X550" s="310" t="s">
        <v>7798</v>
      </c>
      <c r="Y550" s="253">
        <v>5.147169381E9</v>
      </c>
      <c r="Z550" s="330"/>
      <c r="AA550" s="330"/>
      <c r="AB550" s="330"/>
      <c r="AC550" s="253" t="s">
        <v>284</v>
      </c>
    </row>
    <row r="551" ht="15.75" customHeight="1">
      <c r="A551" s="764">
        <v>42971.0</v>
      </c>
      <c r="B551" s="597" t="s">
        <v>7314</v>
      </c>
      <c r="C551" s="765">
        <v>7.000132045E9</v>
      </c>
      <c r="D551" s="330" t="s">
        <v>7795</v>
      </c>
      <c r="E551" s="765">
        <v>1.700002204E9</v>
      </c>
      <c r="F551" s="253">
        <v>1.0</v>
      </c>
      <c r="G551" s="338">
        <v>4.0</v>
      </c>
      <c r="H551" s="310">
        <f t="shared" si="9"/>
        <v>4</v>
      </c>
      <c r="I551" s="256" t="s">
        <v>43</v>
      </c>
      <c r="J551" s="403" t="s">
        <v>3623</v>
      </c>
      <c r="K551" s="258">
        <v>42982.0</v>
      </c>
      <c r="L551" s="258">
        <v>42978.0</v>
      </c>
      <c r="M551" s="266" t="s">
        <v>3593</v>
      </c>
      <c r="N551" s="310" t="s">
        <v>7796</v>
      </c>
      <c r="O551" s="330"/>
      <c r="P551" s="579">
        <v>105.0</v>
      </c>
      <c r="Q551" s="310" t="s">
        <v>2080</v>
      </c>
      <c r="R551" s="330"/>
      <c r="S551" s="810">
        <v>43069.0</v>
      </c>
      <c r="T551" s="769">
        <v>42976.0</v>
      </c>
      <c r="U551" s="330" t="s">
        <v>7797</v>
      </c>
      <c r="V551" s="330" t="s">
        <v>7799</v>
      </c>
      <c r="W551" s="601">
        <v>43074.0</v>
      </c>
      <c r="X551" s="310" t="s">
        <v>7798</v>
      </c>
      <c r="Y551" s="253">
        <v>5.147169381E9</v>
      </c>
      <c r="Z551" s="330"/>
      <c r="AA551" s="330"/>
      <c r="AB551" s="330"/>
      <c r="AC551" s="253" t="s">
        <v>284</v>
      </c>
    </row>
    <row r="552" ht="15.75" customHeight="1">
      <c r="A552" s="764">
        <v>42971.0</v>
      </c>
      <c r="B552" s="597" t="s">
        <v>7314</v>
      </c>
      <c r="C552" s="765">
        <v>7.000132045E9</v>
      </c>
      <c r="D552" s="330" t="s">
        <v>7795</v>
      </c>
      <c r="E552" s="765" t="s">
        <v>7801</v>
      </c>
      <c r="F552" s="253">
        <v>1.0</v>
      </c>
      <c r="G552" s="338">
        <v>5.0</v>
      </c>
      <c r="H552" s="310">
        <f t="shared" si="9"/>
        <v>5</v>
      </c>
      <c r="I552" s="256" t="s">
        <v>43</v>
      </c>
      <c r="J552" s="403" t="s">
        <v>3623</v>
      </c>
      <c r="K552" s="258">
        <v>42982.0</v>
      </c>
      <c r="L552" s="258">
        <v>42978.0</v>
      </c>
      <c r="M552" s="266" t="s">
        <v>3593</v>
      </c>
      <c r="N552" s="310" t="s">
        <v>7796</v>
      </c>
      <c r="O552" s="330"/>
      <c r="P552" s="579">
        <v>128.0</v>
      </c>
      <c r="Q552" s="310" t="s">
        <v>2080</v>
      </c>
      <c r="R552" s="330"/>
      <c r="S552" s="810">
        <v>43069.0</v>
      </c>
      <c r="T552" s="769">
        <v>42976.0</v>
      </c>
      <c r="U552" s="330" t="s">
        <v>7797</v>
      </c>
      <c r="V552" s="330" t="s">
        <v>7799</v>
      </c>
      <c r="W552" s="601">
        <v>43074.0</v>
      </c>
      <c r="X552" s="310" t="s">
        <v>7798</v>
      </c>
      <c r="Y552" s="253">
        <v>5.147169381E9</v>
      </c>
      <c r="Z552" s="330"/>
      <c r="AA552" s="330"/>
      <c r="AB552" s="330"/>
      <c r="AC552" s="253" t="s">
        <v>284</v>
      </c>
    </row>
    <row r="553" ht="15.75" customHeight="1">
      <c r="A553" s="601">
        <v>42971.0</v>
      </c>
      <c r="B553" s="597" t="s">
        <v>7314</v>
      </c>
      <c r="C553" s="765">
        <v>7.000132045E9</v>
      </c>
      <c r="D553" s="330" t="s">
        <v>7795</v>
      </c>
      <c r="E553" s="765">
        <v>1.702002605E9</v>
      </c>
      <c r="F553" s="253">
        <v>1.0</v>
      </c>
      <c r="G553" s="338">
        <v>6.5</v>
      </c>
      <c r="H553" s="310">
        <f t="shared" si="9"/>
        <v>6.5</v>
      </c>
      <c r="I553" s="256" t="s">
        <v>43</v>
      </c>
      <c r="J553" s="777" t="s">
        <v>3623</v>
      </c>
      <c r="K553" s="258">
        <v>42982.0</v>
      </c>
      <c r="L553" s="258">
        <v>42978.0</v>
      </c>
      <c r="M553" s="266" t="s">
        <v>3593</v>
      </c>
      <c r="N553" s="310" t="s">
        <v>7796</v>
      </c>
      <c r="O553" s="330"/>
      <c r="P553" s="579">
        <v>92.0</v>
      </c>
      <c r="Q553" s="310" t="s">
        <v>2080</v>
      </c>
      <c r="R553" s="330"/>
      <c r="S553" s="810">
        <v>43069.0</v>
      </c>
      <c r="T553" s="769">
        <v>42976.0</v>
      </c>
      <c r="U553" s="330" t="s">
        <v>7797</v>
      </c>
      <c r="V553" s="330" t="s">
        <v>7799</v>
      </c>
      <c r="W553" s="601">
        <v>43074.0</v>
      </c>
      <c r="X553" s="310" t="s">
        <v>7798</v>
      </c>
      <c r="Y553" s="253">
        <v>5.147169381E9</v>
      </c>
      <c r="Z553" s="330"/>
      <c r="AA553" s="330"/>
      <c r="AB553" s="330"/>
      <c r="AC553" s="253" t="s">
        <v>284</v>
      </c>
    </row>
    <row r="554" ht="15.75" customHeight="1">
      <c r="A554" s="601">
        <v>42971.0</v>
      </c>
      <c r="B554" s="597" t="s">
        <v>7314</v>
      </c>
      <c r="C554" s="765">
        <v>7.000132045E9</v>
      </c>
      <c r="D554" s="330" t="s">
        <v>7795</v>
      </c>
      <c r="E554" s="330" t="s">
        <v>7802</v>
      </c>
      <c r="F554" s="253">
        <v>1.0</v>
      </c>
      <c r="G554" s="338">
        <v>170.0</v>
      </c>
      <c r="H554" s="310">
        <f t="shared" si="9"/>
        <v>170</v>
      </c>
      <c r="I554" s="256" t="s">
        <v>43</v>
      </c>
      <c r="J554" s="777" t="s">
        <v>3623</v>
      </c>
      <c r="K554" s="258">
        <v>42982.0</v>
      </c>
      <c r="L554" s="258">
        <v>42978.0</v>
      </c>
      <c r="M554" s="266" t="s">
        <v>3593</v>
      </c>
      <c r="N554" s="310" t="s">
        <v>7796</v>
      </c>
      <c r="O554" s="330"/>
      <c r="P554" s="579">
        <v>4838.0</v>
      </c>
      <c r="Q554" s="310" t="s">
        <v>2080</v>
      </c>
      <c r="R554" s="330"/>
      <c r="S554" s="810">
        <v>43069.0</v>
      </c>
      <c r="T554" s="769">
        <v>42976.0</v>
      </c>
      <c r="U554" s="330" t="s">
        <v>7797</v>
      </c>
      <c r="V554" s="330" t="s">
        <v>7799</v>
      </c>
      <c r="W554" s="601">
        <v>43074.0</v>
      </c>
      <c r="X554" s="310" t="s">
        <v>7798</v>
      </c>
      <c r="Y554" s="253">
        <v>5.147169381E9</v>
      </c>
      <c r="Z554" s="330"/>
      <c r="AA554" s="330"/>
      <c r="AB554" s="330"/>
      <c r="AC554" s="253" t="s">
        <v>284</v>
      </c>
    </row>
    <row r="555" ht="15.75" customHeight="1">
      <c r="A555" s="601">
        <v>42971.0</v>
      </c>
      <c r="B555" s="597" t="s">
        <v>7314</v>
      </c>
      <c r="C555" s="765">
        <v>7.000132045E9</v>
      </c>
      <c r="D555" s="330" t="s">
        <v>7795</v>
      </c>
      <c r="E555" s="330" t="s">
        <v>7803</v>
      </c>
      <c r="F555" s="253">
        <v>1.0</v>
      </c>
      <c r="G555" s="338">
        <v>250.0</v>
      </c>
      <c r="H555" s="310">
        <f t="shared" si="9"/>
        <v>250</v>
      </c>
      <c r="I555" s="256" t="s">
        <v>43</v>
      </c>
      <c r="J555" s="777" t="s">
        <v>3623</v>
      </c>
      <c r="K555" s="258">
        <v>42982.0</v>
      </c>
      <c r="L555" s="258">
        <v>42978.0</v>
      </c>
      <c r="M555" s="266" t="s">
        <v>3593</v>
      </c>
      <c r="N555" s="310" t="s">
        <v>7796</v>
      </c>
      <c r="O555" s="330"/>
      <c r="P555" s="579">
        <v>7123.0</v>
      </c>
      <c r="Q555" s="310" t="s">
        <v>2080</v>
      </c>
      <c r="R555" s="330"/>
      <c r="S555" s="810">
        <v>43069.0</v>
      </c>
      <c r="T555" s="769">
        <v>42976.0</v>
      </c>
      <c r="U555" s="330" t="s">
        <v>7797</v>
      </c>
      <c r="V555" s="330" t="s">
        <v>7799</v>
      </c>
      <c r="W555" s="601">
        <v>43074.0</v>
      </c>
      <c r="X555" s="310" t="s">
        <v>7798</v>
      </c>
      <c r="Y555" s="253">
        <v>5.147169381E9</v>
      </c>
      <c r="Z555" s="330"/>
      <c r="AA555" s="330"/>
      <c r="AB555" s="330"/>
      <c r="AC555" s="253" t="s">
        <v>284</v>
      </c>
    </row>
    <row r="556" ht="15.75" customHeight="1">
      <c r="A556" s="601">
        <v>42971.0</v>
      </c>
      <c r="B556" s="597" t="s">
        <v>7314</v>
      </c>
      <c r="C556" s="765">
        <v>7.000132045E9</v>
      </c>
      <c r="D556" s="330" t="s">
        <v>7795</v>
      </c>
      <c r="E556" s="330" t="s">
        <v>7804</v>
      </c>
      <c r="F556" s="253">
        <v>1.0</v>
      </c>
      <c r="G556" s="338">
        <v>18.5</v>
      </c>
      <c r="H556" s="310">
        <f t="shared" si="9"/>
        <v>18.5</v>
      </c>
      <c r="I556" s="256" t="s">
        <v>43</v>
      </c>
      <c r="J556" s="777" t="s">
        <v>3623</v>
      </c>
      <c r="K556" s="258">
        <v>42982.0</v>
      </c>
      <c r="L556" s="258">
        <v>42978.0</v>
      </c>
      <c r="M556" s="266" t="s">
        <v>3593</v>
      </c>
      <c r="N556" s="310" t="s">
        <v>7796</v>
      </c>
      <c r="O556" s="330"/>
      <c r="P556" s="579">
        <v>521.0</v>
      </c>
      <c r="Q556" s="310" t="s">
        <v>2080</v>
      </c>
      <c r="R556" s="330"/>
      <c r="S556" s="810">
        <v>43069.0</v>
      </c>
      <c r="T556" s="769">
        <v>42976.0</v>
      </c>
      <c r="U556" s="330" t="s">
        <v>7797</v>
      </c>
      <c r="V556" s="330" t="s">
        <v>7799</v>
      </c>
      <c r="W556" s="601">
        <v>43074.0</v>
      </c>
      <c r="X556" s="310" t="s">
        <v>7798</v>
      </c>
      <c r="Y556" s="253">
        <v>5.147169381E9</v>
      </c>
      <c r="Z556" s="330"/>
      <c r="AA556" s="330"/>
      <c r="AB556" s="330"/>
      <c r="AC556" s="253" t="s">
        <v>284</v>
      </c>
    </row>
    <row r="557" ht="15.75" customHeight="1">
      <c r="A557" s="601">
        <v>42971.0</v>
      </c>
      <c r="B557" s="388" t="s">
        <v>4754</v>
      </c>
      <c r="C557" s="1077" t="s">
        <v>7785</v>
      </c>
      <c r="D557" s="330" t="s">
        <v>7786</v>
      </c>
      <c r="E557" s="330" t="s">
        <v>7805</v>
      </c>
      <c r="F557" s="253">
        <v>1.0</v>
      </c>
      <c r="G557" s="338">
        <v>62.0</v>
      </c>
      <c r="H557" s="267">
        <f t="shared" si="9"/>
        <v>62</v>
      </c>
      <c r="I557" s="779" t="s">
        <v>3474</v>
      </c>
      <c r="J557" s="1056" t="s">
        <v>534</v>
      </c>
      <c r="K557" s="258">
        <v>42989.0</v>
      </c>
      <c r="L557" s="310"/>
      <c r="M557" s="266" t="s">
        <v>2032</v>
      </c>
      <c r="N557" s="330"/>
      <c r="O557" s="330"/>
      <c r="P557" s="637" t="s">
        <v>7728</v>
      </c>
      <c r="Q557" s="310" t="s">
        <v>2033</v>
      </c>
      <c r="R557" s="330"/>
      <c r="S557" s="768">
        <v>43030.0</v>
      </c>
      <c r="T557" s="771">
        <v>43000.0</v>
      </c>
      <c r="U557" s="310" t="s">
        <v>7726</v>
      </c>
      <c r="V557" s="774" t="s">
        <v>7729</v>
      </c>
      <c r="W557" s="258">
        <v>43041.0</v>
      </c>
      <c r="X557" s="252" t="s">
        <v>7713</v>
      </c>
      <c r="Y557" s="253">
        <v>6.69107915E9</v>
      </c>
      <c r="Z557" s="330"/>
      <c r="AA557" s="330"/>
      <c r="AB557" s="330"/>
      <c r="AC557" s="253" t="s">
        <v>284</v>
      </c>
    </row>
    <row r="558" ht="15.75" customHeight="1">
      <c r="A558" s="601">
        <v>42972.0</v>
      </c>
      <c r="B558" s="388" t="s">
        <v>101</v>
      </c>
      <c r="C558" s="330" t="s">
        <v>7806</v>
      </c>
      <c r="D558" s="330" t="s">
        <v>7807</v>
      </c>
      <c r="E558" s="330" t="s">
        <v>7808</v>
      </c>
      <c r="F558" s="307">
        <v>1.0</v>
      </c>
      <c r="G558" s="338">
        <v>0.0</v>
      </c>
      <c r="H558" s="267">
        <f t="shared" si="9"/>
        <v>0</v>
      </c>
      <c r="I558" s="256" t="s">
        <v>3474</v>
      </c>
      <c r="J558" s="363" t="s">
        <v>3739</v>
      </c>
      <c r="K558" s="258">
        <v>43020.0</v>
      </c>
      <c r="L558" s="258">
        <v>43020.0</v>
      </c>
      <c r="M558" s="253" t="s">
        <v>2039</v>
      </c>
      <c r="N558" s="310"/>
      <c r="O558" s="310"/>
      <c r="P558" s="404" t="s">
        <v>4320</v>
      </c>
      <c r="Q558" s="578"/>
      <c r="R558" s="330"/>
      <c r="S558" s="330"/>
      <c r="T558" s="769"/>
      <c r="U558" s="330"/>
      <c r="V558" s="770"/>
      <c r="W558" s="601"/>
      <c r="X558" s="252" t="s">
        <v>7809</v>
      </c>
      <c r="Y558" s="253">
        <v>3.441702014E9</v>
      </c>
      <c r="Z558" s="330"/>
      <c r="AA558" s="330"/>
      <c r="AB558" s="330"/>
      <c r="AC558" s="253" t="s">
        <v>284</v>
      </c>
    </row>
    <row r="559" ht="15.75" customHeight="1">
      <c r="A559" s="601">
        <v>42972.0</v>
      </c>
      <c r="B559" s="388" t="s">
        <v>101</v>
      </c>
      <c r="C559" s="330" t="s">
        <v>7806</v>
      </c>
      <c r="D559" s="330" t="s">
        <v>7807</v>
      </c>
      <c r="E559" s="330" t="s">
        <v>7810</v>
      </c>
      <c r="F559" s="307">
        <v>1.0</v>
      </c>
      <c r="G559" s="338">
        <v>0.0</v>
      </c>
      <c r="H559" s="267">
        <f t="shared" si="9"/>
        <v>0</v>
      </c>
      <c r="I559" s="256" t="s">
        <v>3474</v>
      </c>
      <c r="J559" s="363" t="s">
        <v>3739</v>
      </c>
      <c r="K559" s="258">
        <v>43020.0</v>
      </c>
      <c r="L559" s="258">
        <v>43020.0</v>
      </c>
      <c r="M559" s="253" t="s">
        <v>7811</v>
      </c>
      <c r="N559" s="310"/>
      <c r="O559" s="310"/>
      <c r="P559" s="404" t="s">
        <v>4320</v>
      </c>
      <c r="Q559" s="578"/>
      <c r="R559" s="330"/>
      <c r="S559" s="330"/>
      <c r="T559" s="769"/>
      <c r="U559" s="330"/>
      <c r="V559" s="770"/>
      <c r="W559" s="601"/>
      <c r="X559" s="252" t="s">
        <v>7809</v>
      </c>
      <c r="Y559" s="253">
        <v>3.441702014E9</v>
      </c>
      <c r="Z559" s="330"/>
      <c r="AA559" s="330"/>
      <c r="AB559" s="330"/>
      <c r="AC559" s="253" t="s">
        <v>284</v>
      </c>
    </row>
    <row r="560" ht="15.75" customHeight="1">
      <c r="A560" s="601">
        <v>42972.0</v>
      </c>
      <c r="B560" s="388" t="s">
        <v>101</v>
      </c>
      <c r="C560" s="330" t="s">
        <v>7806</v>
      </c>
      <c r="D560" s="330" t="s">
        <v>7807</v>
      </c>
      <c r="E560" s="330" t="s">
        <v>7808</v>
      </c>
      <c r="F560" s="307">
        <v>1.0</v>
      </c>
      <c r="G560" s="338">
        <v>0.0</v>
      </c>
      <c r="H560" s="267">
        <f t="shared" si="9"/>
        <v>0</v>
      </c>
      <c r="I560" s="256" t="s">
        <v>3474</v>
      </c>
      <c r="J560" s="363" t="s">
        <v>3739</v>
      </c>
      <c r="K560" s="258">
        <v>43020.0</v>
      </c>
      <c r="L560" s="258">
        <v>43020.0</v>
      </c>
      <c r="M560" s="253" t="s">
        <v>2039</v>
      </c>
      <c r="N560" s="310"/>
      <c r="O560" s="310"/>
      <c r="P560" s="404" t="s">
        <v>4320</v>
      </c>
      <c r="Q560" s="578"/>
      <c r="R560" s="330"/>
      <c r="S560" s="330"/>
      <c r="T560" s="769"/>
      <c r="U560" s="330"/>
      <c r="V560" s="330"/>
      <c r="W560" s="601"/>
      <c r="X560" s="252" t="s">
        <v>7809</v>
      </c>
      <c r="Y560" s="253">
        <v>3.441702014E9</v>
      </c>
      <c r="Z560" s="330"/>
      <c r="AA560" s="330"/>
      <c r="AB560" s="330"/>
      <c r="AC560" s="253" t="s">
        <v>284</v>
      </c>
    </row>
    <row r="561" ht="15.75" customHeight="1">
      <c r="A561" s="601">
        <v>42972.0</v>
      </c>
      <c r="B561" s="388" t="s">
        <v>101</v>
      </c>
      <c r="C561" s="330" t="s">
        <v>7806</v>
      </c>
      <c r="D561" s="330" t="s">
        <v>7807</v>
      </c>
      <c r="E561" s="330" t="s">
        <v>7810</v>
      </c>
      <c r="F561" s="307">
        <v>1.0</v>
      </c>
      <c r="G561" s="267">
        <v>0.0</v>
      </c>
      <c r="H561" s="267">
        <f t="shared" si="9"/>
        <v>0</v>
      </c>
      <c r="I561" s="256" t="s">
        <v>3474</v>
      </c>
      <c r="J561" s="363" t="s">
        <v>3739</v>
      </c>
      <c r="K561" s="258">
        <v>43020.0</v>
      </c>
      <c r="L561" s="258">
        <v>43020.0</v>
      </c>
      <c r="M561" s="253" t="s">
        <v>7811</v>
      </c>
      <c r="N561" s="771"/>
      <c r="O561" s="600"/>
      <c r="P561" s="404" t="s">
        <v>4320</v>
      </c>
      <c r="Q561" s="578"/>
      <c r="R561" s="330"/>
      <c r="S561" s="792"/>
      <c r="T561" s="769"/>
      <c r="U561" s="330"/>
      <c r="V561" s="770"/>
      <c r="W561" s="330"/>
      <c r="X561" s="252" t="s">
        <v>7809</v>
      </c>
      <c r="Y561" s="253">
        <v>3.441702014E9</v>
      </c>
      <c r="Z561" s="330"/>
      <c r="AA561" s="262"/>
      <c r="AB561" s="765"/>
      <c r="AC561" s="253" t="s">
        <v>284</v>
      </c>
    </row>
    <row r="562" ht="15.75" customHeight="1">
      <c r="A562" s="601">
        <v>42972.0</v>
      </c>
      <c r="B562" s="388" t="s">
        <v>101</v>
      </c>
      <c r="C562" s="330" t="s">
        <v>7806</v>
      </c>
      <c r="D562" s="330" t="s">
        <v>7807</v>
      </c>
      <c r="E562" s="330" t="s">
        <v>7812</v>
      </c>
      <c r="F562" s="307">
        <v>1.0</v>
      </c>
      <c r="G562" s="338">
        <v>125.0</v>
      </c>
      <c r="H562" s="267">
        <f t="shared" si="9"/>
        <v>125</v>
      </c>
      <c r="I562" s="256" t="s">
        <v>3474</v>
      </c>
      <c r="J562" s="363" t="s">
        <v>3739</v>
      </c>
      <c r="K562" s="258">
        <v>43020.0</v>
      </c>
      <c r="L562" s="258">
        <v>43000.0</v>
      </c>
      <c r="M562" s="253" t="s">
        <v>7811</v>
      </c>
      <c r="N562" s="310" t="s">
        <v>7813</v>
      </c>
      <c r="O562" s="310">
        <v>115.5</v>
      </c>
      <c r="P562" s="791">
        <v>7268.0</v>
      </c>
      <c r="Q562" s="578" t="s">
        <v>7814</v>
      </c>
      <c r="R562" s="330"/>
      <c r="S562" s="330"/>
      <c r="T562" s="769">
        <v>42999.0</v>
      </c>
      <c r="U562" s="330" t="s">
        <v>7815</v>
      </c>
      <c r="V562" s="770">
        <v>7268.0</v>
      </c>
      <c r="W562" s="601">
        <v>42996.0</v>
      </c>
      <c r="X562" s="310" t="s">
        <v>7809</v>
      </c>
      <c r="Y562" s="253">
        <v>3.441702014E9</v>
      </c>
      <c r="Z562" s="330"/>
      <c r="AA562" s="330"/>
      <c r="AB562" s="330"/>
      <c r="AC562" s="253" t="s">
        <v>284</v>
      </c>
    </row>
    <row r="563" ht="15.75" customHeight="1">
      <c r="A563" s="764">
        <v>42972.0</v>
      </c>
      <c r="B563" s="388" t="s">
        <v>101</v>
      </c>
      <c r="C563" s="330" t="s">
        <v>7806</v>
      </c>
      <c r="D563" s="330" t="s">
        <v>7807</v>
      </c>
      <c r="E563" s="330" t="s">
        <v>7816</v>
      </c>
      <c r="F563" s="307">
        <v>1.0</v>
      </c>
      <c r="G563" s="338">
        <v>137.0</v>
      </c>
      <c r="H563" s="267">
        <f t="shared" si="9"/>
        <v>137</v>
      </c>
      <c r="I563" s="256" t="s">
        <v>3474</v>
      </c>
      <c r="J563" s="369" t="s">
        <v>3739</v>
      </c>
      <c r="K563" s="258">
        <v>43020.0</v>
      </c>
      <c r="L563" s="258">
        <v>43000.0</v>
      </c>
      <c r="M563" s="592" t="s">
        <v>7811</v>
      </c>
      <c r="N563" s="310" t="s">
        <v>7813</v>
      </c>
      <c r="O563" s="310">
        <v>126.0</v>
      </c>
      <c r="P563" s="331" t="s">
        <v>7817</v>
      </c>
      <c r="Q563" s="340" t="s">
        <v>7814</v>
      </c>
      <c r="R563" s="330"/>
      <c r="S563" s="330"/>
      <c r="T563" s="769">
        <v>42999.0</v>
      </c>
      <c r="U563" s="330" t="s">
        <v>7815</v>
      </c>
      <c r="V563" s="330" t="s">
        <v>7818</v>
      </c>
      <c r="W563" s="601">
        <v>42996.0</v>
      </c>
      <c r="X563" s="252" t="s">
        <v>7809</v>
      </c>
      <c r="Y563" s="253">
        <v>3.441702014E9</v>
      </c>
      <c r="Z563" s="330"/>
      <c r="AA563" s="330"/>
      <c r="AB563" s="330"/>
      <c r="AC563" s="253" t="s">
        <v>284</v>
      </c>
    </row>
    <row r="564" ht="15.75" customHeight="1">
      <c r="A564" s="764">
        <v>42972.0</v>
      </c>
      <c r="B564" s="388" t="s">
        <v>101</v>
      </c>
      <c r="C564" s="330" t="s">
        <v>7819</v>
      </c>
      <c r="D564" s="310" t="s">
        <v>7820</v>
      </c>
      <c r="E564" s="310" t="s">
        <v>7821</v>
      </c>
      <c r="F564" s="307">
        <v>2.0</v>
      </c>
      <c r="G564" s="254">
        <v>847.0</v>
      </c>
      <c r="H564" s="267">
        <f t="shared" si="9"/>
        <v>1694</v>
      </c>
      <c r="I564" s="256" t="s">
        <v>3474</v>
      </c>
      <c r="J564" s="369" t="s">
        <v>3739</v>
      </c>
      <c r="K564" s="258">
        <v>42999.0</v>
      </c>
      <c r="L564" s="258">
        <v>42998.0</v>
      </c>
      <c r="M564" s="403" t="s">
        <v>1439</v>
      </c>
      <c r="N564" s="310" t="s">
        <v>7822</v>
      </c>
      <c r="O564" s="310"/>
      <c r="P564" s="579">
        <v>52024.0</v>
      </c>
      <c r="Q564" s="320" t="s">
        <v>1976</v>
      </c>
      <c r="R564" s="330"/>
      <c r="S564" s="810">
        <v>43039.0</v>
      </c>
      <c r="T564" s="769">
        <v>42997.0</v>
      </c>
      <c r="U564" s="330" t="s">
        <v>7823</v>
      </c>
      <c r="V564" s="770">
        <v>52056.0</v>
      </c>
      <c r="W564" s="897"/>
      <c r="X564" s="252" t="s">
        <v>7824</v>
      </c>
      <c r="Y564" s="253">
        <v>3.199226446E9</v>
      </c>
      <c r="Z564" s="330"/>
      <c r="AA564" s="330"/>
      <c r="AB564" s="330"/>
      <c r="AC564" s="253" t="s">
        <v>284</v>
      </c>
    </row>
    <row r="565" ht="15.75" customHeight="1">
      <c r="A565" s="764">
        <v>42972.0</v>
      </c>
      <c r="B565" s="388" t="s">
        <v>101</v>
      </c>
      <c r="C565" s="330" t="s">
        <v>7819</v>
      </c>
      <c r="D565" s="310" t="s">
        <v>7825</v>
      </c>
      <c r="E565" s="310" t="s">
        <v>7030</v>
      </c>
      <c r="F565" s="307">
        <v>2.0</v>
      </c>
      <c r="G565" s="254">
        <f>G563*10%</f>
        <v>13.7</v>
      </c>
      <c r="H565" s="267">
        <f t="shared" si="9"/>
        <v>27.4</v>
      </c>
      <c r="I565" s="256" t="s">
        <v>3474</v>
      </c>
      <c r="J565" s="369" t="s">
        <v>3739</v>
      </c>
      <c r="K565" s="258">
        <v>42999.0</v>
      </c>
      <c r="L565" s="258">
        <v>42998.0</v>
      </c>
      <c r="M565" s="333" t="s">
        <v>1439</v>
      </c>
      <c r="N565" s="310" t="s">
        <v>7822</v>
      </c>
      <c r="O565" s="310"/>
      <c r="P565" s="581" t="s">
        <v>7826</v>
      </c>
      <c r="Q565" s="320" t="s">
        <v>1976</v>
      </c>
      <c r="R565" s="330"/>
      <c r="S565" s="810">
        <v>43039.0</v>
      </c>
      <c r="T565" s="769">
        <v>42997.0</v>
      </c>
      <c r="U565" s="330" t="s">
        <v>7823</v>
      </c>
      <c r="V565" s="330" t="s">
        <v>7827</v>
      </c>
      <c r="W565" s="1037"/>
      <c r="X565" s="252" t="s">
        <v>7824</v>
      </c>
      <c r="Y565" s="253">
        <v>3.199226446E9</v>
      </c>
      <c r="Z565" s="330"/>
      <c r="AA565" s="330"/>
      <c r="AB565" s="330"/>
      <c r="AC565" s="253" t="s">
        <v>284</v>
      </c>
    </row>
    <row r="566" ht="15.75" customHeight="1">
      <c r="A566" s="764">
        <v>42972.0</v>
      </c>
      <c r="B566" s="388" t="s">
        <v>101</v>
      </c>
      <c r="C566" s="330" t="s">
        <v>7828</v>
      </c>
      <c r="D566" s="330" t="s">
        <v>7829</v>
      </c>
      <c r="E566" s="330" t="s">
        <v>7830</v>
      </c>
      <c r="F566" s="307">
        <v>2.0</v>
      </c>
      <c r="G566" s="338">
        <v>118.0</v>
      </c>
      <c r="H566" s="267">
        <f t="shared" si="9"/>
        <v>236</v>
      </c>
      <c r="I566" s="256" t="s">
        <v>3474</v>
      </c>
      <c r="J566" s="369" t="s">
        <v>3739</v>
      </c>
      <c r="K566" s="258">
        <v>42990.0</v>
      </c>
      <c r="L566" s="258">
        <v>42990.0</v>
      </c>
      <c r="M566" s="253" t="s">
        <v>1981</v>
      </c>
      <c r="N566" s="310" t="s">
        <v>7831</v>
      </c>
      <c r="O566" s="330"/>
      <c r="P566" s="579">
        <v>6048.0</v>
      </c>
      <c r="Q566" s="604" t="s">
        <v>3906</v>
      </c>
      <c r="R566" s="330"/>
      <c r="S566" s="330"/>
      <c r="T566" s="769">
        <v>42984.0</v>
      </c>
      <c r="U566" s="330" t="s">
        <v>7529</v>
      </c>
      <c r="V566" s="330" t="s">
        <v>7832</v>
      </c>
      <c r="W566" s="601">
        <v>42983.0</v>
      </c>
      <c r="X566" s="310" t="s">
        <v>7761</v>
      </c>
      <c r="Y566" s="253">
        <v>6.967422711E9</v>
      </c>
      <c r="Z566" s="330"/>
      <c r="AA566" s="330"/>
      <c r="AB566" s="330"/>
      <c r="AC566" s="253" t="s">
        <v>284</v>
      </c>
    </row>
    <row r="567" ht="15.75" customHeight="1">
      <c r="A567" s="764">
        <v>42972.0</v>
      </c>
      <c r="B567" s="388" t="s">
        <v>229</v>
      </c>
      <c r="C567" s="330"/>
      <c r="D567" s="310" t="s">
        <v>7833</v>
      </c>
      <c r="E567" s="310" t="s">
        <v>3765</v>
      </c>
      <c r="F567" s="307">
        <v>13.0</v>
      </c>
      <c r="G567" s="267">
        <v>336.0</v>
      </c>
      <c r="H567" s="267">
        <f t="shared" si="9"/>
        <v>4368</v>
      </c>
      <c r="I567" s="256" t="s">
        <v>171</v>
      </c>
      <c r="J567" s="253" t="s">
        <v>90</v>
      </c>
      <c r="K567" s="258">
        <v>42990.0</v>
      </c>
      <c r="L567" s="258">
        <v>42990.0</v>
      </c>
      <c r="M567" s="253" t="s">
        <v>90</v>
      </c>
      <c r="N567" s="771" t="s">
        <v>7834</v>
      </c>
      <c r="O567" s="310">
        <v>3917.55</v>
      </c>
      <c r="P567" s="330"/>
      <c r="Q567" s="578" t="s">
        <v>94</v>
      </c>
      <c r="R567" s="330"/>
      <c r="S567" s="768">
        <v>43039.0</v>
      </c>
      <c r="T567" s="769">
        <v>42990.0</v>
      </c>
      <c r="U567" s="330" t="s">
        <v>7835</v>
      </c>
      <c r="V567" s="770">
        <v>945347.0</v>
      </c>
      <c r="W567" s="258">
        <v>43034.0</v>
      </c>
      <c r="X567" s="330" t="s">
        <v>7836</v>
      </c>
      <c r="Y567" s="330"/>
      <c r="Z567" s="330" t="s">
        <v>7837</v>
      </c>
      <c r="AA567" s="262">
        <v>1048766.0</v>
      </c>
      <c r="AB567" s="765" t="s">
        <v>5261</v>
      </c>
      <c r="AC567" s="253" t="s">
        <v>377</v>
      </c>
    </row>
    <row r="568" ht="15.75" customHeight="1">
      <c r="A568" s="764">
        <v>42972.0</v>
      </c>
      <c r="B568" s="388" t="s">
        <v>229</v>
      </c>
      <c r="C568" s="330"/>
      <c r="D568" s="310" t="s">
        <v>7833</v>
      </c>
      <c r="E568" s="310" t="s">
        <v>462</v>
      </c>
      <c r="F568" s="307">
        <v>74.0</v>
      </c>
      <c r="G568" s="254">
        <v>407.4</v>
      </c>
      <c r="H568" s="267">
        <f t="shared" si="9"/>
        <v>30147.6</v>
      </c>
      <c r="I568" s="256" t="s">
        <v>171</v>
      </c>
      <c r="J568" s="253" t="s">
        <v>90</v>
      </c>
      <c r="K568" s="258">
        <v>42990.0</v>
      </c>
      <c r="L568" s="258">
        <v>42990.0</v>
      </c>
      <c r="M568" s="253" t="s">
        <v>90</v>
      </c>
      <c r="N568" s="771" t="s">
        <v>7834</v>
      </c>
      <c r="O568" s="310">
        <v>27583.5</v>
      </c>
      <c r="P568" s="330"/>
      <c r="Q568" s="578" t="s">
        <v>94</v>
      </c>
      <c r="R568" s="330"/>
      <c r="S568" s="768">
        <v>43039.0</v>
      </c>
      <c r="T568" s="769">
        <v>42990.0</v>
      </c>
      <c r="U568" s="330" t="s">
        <v>7835</v>
      </c>
      <c r="V568" s="330" t="s">
        <v>7838</v>
      </c>
      <c r="W568" s="258">
        <v>43034.0</v>
      </c>
      <c r="X568" s="330" t="s">
        <v>7836</v>
      </c>
      <c r="Y568" s="330"/>
      <c r="Z568" s="330" t="s">
        <v>7837</v>
      </c>
      <c r="AA568" s="262">
        <v>1048766.0</v>
      </c>
      <c r="AB568" s="765" t="s">
        <v>5261</v>
      </c>
      <c r="AC568" s="253" t="s">
        <v>377</v>
      </c>
    </row>
    <row r="569" ht="15.75" customHeight="1">
      <c r="A569" s="764">
        <v>42972.0</v>
      </c>
      <c r="B569" s="388" t="s">
        <v>101</v>
      </c>
      <c r="C569" s="330" t="s">
        <v>7828</v>
      </c>
      <c r="D569" s="330" t="s">
        <v>7829</v>
      </c>
      <c r="E569" s="330" t="s">
        <v>7839</v>
      </c>
      <c r="F569" s="307">
        <v>2.0</v>
      </c>
      <c r="G569" s="338">
        <v>105.0</v>
      </c>
      <c r="H569" s="267">
        <f t="shared" si="9"/>
        <v>210</v>
      </c>
      <c r="I569" s="256" t="s">
        <v>3474</v>
      </c>
      <c r="J569" s="369" t="s">
        <v>3739</v>
      </c>
      <c r="K569" s="258">
        <v>42990.0</v>
      </c>
      <c r="L569" s="258">
        <v>42989.0</v>
      </c>
      <c r="M569" s="253" t="s">
        <v>7811</v>
      </c>
      <c r="N569" s="310" t="s">
        <v>7840</v>
      </c>
      <c r="O569" s="310">
        <v>178.5</v>
      </c>
      <c r="P569" s="791">
        <v>5353.0</v>
      </c>
      <c r="Q569" s="578" t="s">
        <v>7814</v>
      </c>
      <c r="R569" s="330"/>
      <c r="S569" s="330"/>
      <c r="T569" s="769">
        <v>42989.0</v>
      </c>
      <c r="U569" s="330" t="s">
        <v>7841</v>
      </c>
      <c r="V569" s="770">
        <v>5353.0</v>
      </c>
      <c r="W569" s="601">
        <v>42989.0</v>
      </c>
      <c r="X569" s="252" t="s">
        <v>7761</v>
      </c>
      <c r="Y569" s="253">
        <v>6.967422711E9</v>
      </c>
      <c r="Z569" s="330"/>
      <c r="AA569" s="330"/>
      <c r="AB569" s="330"/>
      <c r="AC569" s="253" t="s">
        <v>284</v>
      </c>
    </row>
    <row r="570" ht="15.75" customHeight="1">
      <c r="A570" s="764">
        <v>42972.0</v>
      </c>
      <c r="B570" s="388" t="s">
        <v>101</v>
      </c>
      <c r="C570" s="330" t="s">
        <v>7819</v>
      </c>
      <c r="D570" s="310" t="s">
        <v>7842</v>
      </c>
      <c r="E570" s="310" t="s">
        <v>7843</v>
      </c>
      <c r="F570" s="307">
        <v>2.0</v>
      </c>
      <c r="G570" s="254">
        <v>74.0</v>
      </c>
      <c r="H570" s="267">
        <f t="shared" si="9"/>
        <v>148</v>
      </c>
      <c r="I570" s="256" t="s">
        <v>3474</v>
      </c>
      <c r="J570" s="369" t="s">
        <v>3739</v>
      </c>
      <c r="K570" s="258">
        <v>42999.0</v>
      </c>
      <c r="L570" s="258">
        <v>42976.0</v>
      </c>
      <c r="M570" s="253" t="s">
        <v>1981</v>
      </c>
      <c r="N570" s="310" t="s">
        <v>7844</v>
      </c>
      <c r="O570" s="330"/>
      <c r="P570" s="339"/>
      <c r="Q570" s="310"/>
      <c r="R570" s="330"/>
      <c r="S570" s="810">
        <v>43056.0</v>
      </c>
      <c r="T570" s="771">
        <v>43020.0</v>
      </c>
      <c r="U570" s="252" t="s">
        <v>7845</v>
      </c>
      <c r="V570" s="774">
        <v>8946.0</v>
      </c>
      <c r="W570" s="601">
        <v>43053.0</v>
      </c>
      <c r="X570" s="252" t="s">
        <v>7824</v>
      </c>
      <c r="Y570" s="253">
        <v>3.199226446E9</v>
      </c>
      <c r="Z570" s="330"/>
      <c r="AA570" s="330"/>
      <c r="AB570" s="330"/>
      <c r="AC570" s="253" t="s">
        <v>284</v>
      </c>
    </row>
    <row r="571" ht="15.75" customHeight="1">
      <c r="A571" s="764">
        <v>42975.0</v>
      </c>
      <c r="B571" s="388" t="s">
        <v>579</v>
      </c>
      <c r="C571" s="765">
        <v>2.0170825001E10</v>
      </c>
      <c r="D571" s="330" t="s">
        <v>7846</v>
      </c>
      <c r="E571" s="330" t="s">
        <v>4129</v>
      </c>
      <c r="F571" s="253">
        <v>1.0</v>
      </c>
      <c r="G571" s="338">
        <v>157.5</v>
      </c>
      <c r="H571" s="267">
        <f t="shared" si="9"/>
        <v>157.5</v>
      </c>
      <c r="I571" s="256" t="s">
        <v>171</v>
      </c>
      <c r="J571" s="253" t="s">
        <v>582</v>
      </c>
      <c r="K571" s="258">
        <v>42978.0</v>
      </c>
      <c r="L571" s="258">
        <v>42978.0</v>
      </c>
      <c r="M571" s="403" t="s">
        <v>1439</v>
      </c>
      <c r="N571" s="310" t="s">
        <v>7847</v>
      </c>
      <c r="O571" s="310"/>
      <c r="P571" s="579">
        <v>3957.0</v>
      </c>
      <c r="Q571" s="310" t="s">
        <v>1976</v>
      </c>
      <c r="R571" s="330"/>
      <c r="S571" s="810">
        <v>43039.0</v>
      </c>
      <c r="T571" s="769">
        <v>42979.0</v>
      </c>
      <c r="U571" s="765" t="s">
        <v>7848</v>
      </c>
      <c r="V571" s="770">
        <v>3957.0</v>
      </c>
      <c r="W571" s="253"/>
      <c r="X571" s="765" t="s">
        <v>7849</v>
      </c>
      <c r="Y571" s="330"/>
      <c r="Z571" s="330"/>
      <c r="AA571" s="262">
        <v>4804.0</v>
      </c>
      <c r="AB571" s="765" t="s">
        <v>7483</v>
      </c>
      <c r="AC571" s="253" t="s">
        <v>377</v>
      </c>
    </row>
    <row r="572" ht="15.75" customHeight="1">
      <c r="A572" s="764">
        <v>42976.0</v>
      </c>
      <c r="B572" s="388" t="s">
        <v>6825</v>
      </c>
      <c r="C572" s="330" t="s">
        <v>7850</v>
      </c>
      <c r="D572" s="330" t="s">
        <v>7851</v>
      </c>
      <c r="E572" s="330" t="s">
        <v>3608</v>
      </c>
      <c r="F572" s="253">
        <v>12.0</v>
      </c>
      <c r="G572" s="793">
        <v>370.0</v>
      </c>
      <c r="H572" s="579">
        <f t="shared" si="9"/>
        <v>4440</v>
      </c>
      <c r="I572" s="256" t="s">
        <v>420</v>
      </c>
      <c r="J572" s="369" t="s">
        <v>7852</v>
      </c>
      <c r="K572" s="1092">
        <v>43025.0</v>
      </c>
      <c r="L572" s="258">
        <v>43004.0</v>
      </c>
      <c r="M572" s="253" t="s">
        <v>90</v>
      </c>
      <c r="N572" s="310" t="s">
        <v>7853</v>
      </c>
      <c r="O572" s="310">
        <f>332*F572*1.05</f>
        <v>4183.2</v>
      </c>
      <c r="P572" s="1093"/>
      <c r="Q572" s="340" t="s">
        <v>94</v>
      </c>
      <c r="R572" s="330"/>
      <c r="S572" s="768">
        <v>43069.0</v>
      </c>
      <c r="T572" s="769">
        <v>43004.0</v>
      </c>
      <c r="U572" s="330" t="s">
        <v>7854</v>
      </c>
      <c r="V572" s="770">
        <v>1301699.0</v>
      </c>
      <c r="W572" s="601">
        <v>43067.0</v>
      </c>
      <c r="X572" s="310" t="s">
        <v>7855</v>
      </c>
      <c r="Y572" s="330" t="s">
        <v>7856</v>
      </c>
      <c r="Z572" s="330"/>
      <c r="AA572" s="330"/>
      <c r="AB572" s="330"/>
      <c r="AC572" s="253" t="s">
        <v>284</v>
      </c>
    </row>
    <row r="573" ht="15.75" customHeight="1">
      <c r="A573" s="764">
        <v>42976.0</v>
      </c>
      <c r="B573" s="388" t="s">
        <v>6825</v>
      </c>
      <c r="C573" s="330" t="s">
        <v>7850</v>
      </c>
      <c r="D573" s="330" t="s">
        <v>7851</v>
      </c>
      <c r="E573" s="330" t="s">
        <v>7857</v>
      </c>
      <c r="F573" s="253">
        <v>4.0</v>
      </c>
      <c r="G573" s="793">
        <v>500.0</v>
      </c>
      <c r="H573" s="579">
        <f t="shared" si="9"/>
        <v>2000</v>
      </c>
      <c r="I573" s="256" t="s">
        <v>420</v>
      </c>
      <c r="J573" s="369" t="s">
        <v>7852</v>
      </c>
      <c r="K573" s="1092">
        <v>43025.0</v>
      </c>
      <c r="L573" s="258">
        <v>43004.0</v>
      </c>
      <c r="M573" s="253" t="s">
        <v>90</v>
      </c>
      <c r="N573" s="310" t="s">
        <v>7853</v>
      </c>
      <c r="O573" s="310">
        <f>425*F573*1.05</f>
        <v>1785</v>
      </c>
      <c r="P573" s="1093"/>
      <c r="Q573" s="340" t="s">
        <v>94</v>
      </c>
      <c r="R573" s="330"/>
      <c r="S573" s="768">
        <v>43069.0</v>
      </c>
      <c r="T573" s="769">
        <v>43004.0</v>
      </c>
      <c r="U573" s="330" t="s">
        <v>7854</v>
      </c>
      <c r="V573" s="330" t="s">
        <v>7858</v>
      </c>
      <c r="W573" s="601">
        <v>43067.0</v>
      </c>
      <c r="X573" s="310" t="s">
        <v>7855</v>
      </c>
      <c r="Y573" s="330" t="s">
        <v>7856</v>
      </c>
      <c r="Z573" s="330"/>
      <c r="AA573" s="330"/>
      <c r="AB573" s="330"/>
      <c r="AC573" s="253" t="s">
        <v>284</v>
      </c>
    </row>
    <row r="574" ht="15.75" customHeight="1">
      <c r="A574" s="764">
        <v>42976.0</v>
      </c>
      <c r="B574" s="388" t="s">
        <v>6825</v>
      </c>
      <c r="C574" s="330" t="s">
        <v>7850</v>
      </c>
      <c r="D574" s="330" t="s">
        <v>7851</v>
      </c>
      <c r="E574" s="330" t="s">
        <v>7859</v>
      </c>
      <c r="F574" s="253">
        <v>2.0</v>
      </c>
      <c r="G574" s="793">
        <v>1020.0</v>
      </c>
      <c r="H574" s="579">
        <f t="shared" si="9"/>
        <v>2040</v>
      </c>
      <c r="I574" s="256" t="s">
        <v>420</v>
      </c>
      <c r="J574" s="369" t="s">
        <v>7852</v>
      </c>
      <c r="K574" s="1092">
        <v>43025.0</v>
      </c>
      <c r="L574" s="258">
        <v>43004.0</v>
      </c>
      <c r="M574" s="253" t="s">
        <v>90</v>
      </c>
      <c r="N574" s="310" t="s">
        <v>7853</v>
      </c>
      <c r="O574" s="310">
        <f>800*F574*1.05</f>
        <v>1680</v>
      </c>
      <c r="P574" s="1094"/>
      <c r="Q574" s="340" t="s">
        <v>94</v>
      </c>
      <c r="R574" s="330"/>
      <c r="S574" s="768">
        <v>43069.0</v>
      </c>
      <c r="T574" s="769">
        <v>43004.0</v>
      </c>
      <c r="U574" s="330" t="s">
        <v>7854</v>
      </c>
      <c r="V574" s="330" t="s">
        <v>7858</v>
      </c>
      <c r="W574" s="601">
        <v>43067.0</v>
      </c>
      <c r="X574" s="310" t="s">
        <v>7855</v>
      </c>
      <c r="Y574" s="330" t="s">
        <v>7856</v>
      </c>
      <c r="Z574" s="330"/>
      <c r="AA574" s="330"/>
      <c r="AB574" s="330"/>
      <c r="AC574" s="253" t="s">
        <v>284</v>
      </c>
    </row>
    <row r="575" ht="15.75" customHeight="1">
      <c r="A575" s="764">
        <v>42976.0</v>
      </c>
      <c r="B575" s="388" t="s">
        <v>6825</v>
      </c>
      <c r="C575" s="330" t="s">
        <v>7850</v>
      </c>
      <c r="D575" s="330" t="s">
        <v>7851</v>
      </c>
      <c r="E575" s="330" t="s">
        <v>3610</v>
      </c>
      <c r="F575" s="253">
        <v>2.0</v>
      </c>
      <c r="G575" s="338">
        <v>1045.0</v>
      </c>
      <c r="H575" s="579">
        <f t="shared" si="9"/>
        <v>2090</v>
      </c>
      <c r="I575" s="256" t="s">
        <v>420</v>
      </c>
      <c r="J575" s="369" t="s">
        <v>7852</v>
      </c>
      <c r="K575" s="1092">
        <v>43025.0</v>
      </c>
      <c r="L575" s="258">
        <v>43004.0</v>
      </c>
      <c r="M575" s="253" t="s">
        <v>90</v>
      </c>
      <c r="N575" s="310" t="s">
        <v>7853</v>
      </c>
      <c r="O575" s="310">
        <f>920*F575*1.05</f>
        <v>1932</v>
      </c>
      <c r="P575" s="1094"/>
      <c r="Q575" s="340" t="s">
        <v>94</v>
      </c>
      <c r="R575" s="330"/>
      <c r="S575" s="768">
        <v>43069.0</v>
      </c>
      <c r="T575" s="769">
        <v>43004.0</v>
      </c>
      <c r="U575" s="330" t="s">
        <v>7854</v>
      </c>
      <c r="V575" s="330" t="s">
        <v>7858</v>
      </c>
      <c r="W575" s="601">
        <v>43067.0</v>
      </c>
      <c r="X575" s="310" t="s">
        <v>7855</v>
      </c>
      <c r="Y575" s="330" t="s">
        <v>7856</v>
      </c>
      <c r="Z575" s="330"/>
      <c r="AA575" s="330"/>
      <c r="AB575" s="330"/>
      <c r="AC575" s="253" t="s">
        <v>284</v>
      </c>
    </row>
    <row r="576" ht="15.75" customHeight="1">
      <c r="A576" s="764">
        <v>42976.0</v>
      </c>
      <c r="B576" s="388" t="s">
        <v>6825</v>
      </c>
      <c r="C576" s="330" t="s">
        <v>7850</v>
      </c>
      <c r="D576" s="330" t="s">
        <v>7851</v>
      </c>
      <c r="E576" s="330" t="s">
        <v>3611</v>
      </c>
      <c r="F576" s="253">
        <v>2.0</v>
      </c>
      <c r="G576" s="338">
        <v>335.0</v>
      </c>
      <c r="H576" s="579">
        <f t="shared" si="9"/>
        <v>670</v>
      </c>
      <c r="I576" s="256" t="s">
        <v>420</v>
      </c>
      <c r="J576" s="369" t="s">
        <v>7852</v>
      </c>
      <c r="K576" s="1092">
        <v>43025.0</v>
      </c>
      <c r="L576" s="258">
        <v>43004.0</v>
      </c>
      <c r="M576" s="592" t="s">
        <v>90</v>
      </c>
      <c r="N576" s="310" t="s">
        <v>7853</v>
      </c>
      <c r="O576" s="310">
        <f>290*F576*1.05</f>
        <v>609</v>
      </c>
      <c r="P576" s="1094"/>
      <c r="Q576" s="340" t="s">
        <v>94</v>
      </c>
      <c r="R576" s="330"/>
      <c r="S576" s="768">
        <v>43069.0</v>
      </c>
      <c r="T576" s="769">
        <v>43004.0</v>
      </c>
      <c r="U576" s="330" t="s">
        <v>7854</v>
      </c>
      <c r="V576" s="330" t="s">
        <v>7858</v>
      </c>
      <c r="W576" s="601">
        <v>43067.0</v>
      </c>
      <c r="X576" s="310" t="s">
        <v>7855</v>
      </c>
      <c r="Y576" s="330" t="s">
        <v>7856</v>
      </c>
      <c r="Z576" s="330"/>
      <c r="AA576" s="330"/>
      <c r="AB576" s="330"/>
      <c r="AC576" s="253" t="s">
        <v>284</v>
      </c>
    </row>
    <row r="577" ht="15.75" customHeight="1">
      <c r="A577" s="764">
        <v>42976.0</v>
      </c>
      <c r="B577" s="388" t="s">
        <v>6825</v>
      </c>
      <c r="C577" s="330" t="s">
        <v>7850</v>
      </c>
      <c r="D577" s="330" t="s">
        <v>7851</v>
      </c>
      <c r="E577" s="330" t="s">
        <v>7860</v>
      </c>
      <c r="F577" s="253">
        <v>1.0</v>
      </c>
      <c r="G577" s="338">
        <v>179.0</v>
      </c>
      <c r="H577" s="579">
        <f t="shared" si="9"/>
        <v>179</v>
      </c>
      <c r="I577" s="256" t="s">
        <v>420</v>
      </c>
      <c r="J577" s="369" t="s">
        <v>7852</v>
      </c>
      <c r="K577" s="1092">
        <v>43025.0</v>
      </c>
      <c r="L577" s="258">
        <v>43004.0</v>
      </c>
      <c r="M577" s="253" t="s">
        <v>90</v>
      </c>
      <c r="N577" s="310" t="s">
        <v>7853</v>
      </c>
      <c r="O577" s="310">
        <f>150*F577*1.05</f>
        <v>157.5</v>
      </c>
      <c r="P577" s="794"/>
      <c r="Q577" s="340" t="s">
        <v>94</v>
      </c>
      <c r="R577" s="330"/>
      <c r="S577" s="768">
        <v>43069.0</v>
      </c>
      <c r="T577" s="769">
        <v>43004.0</v>
      </c>
      <c r="U577" s="330" t="s">
        <v>7854</v>
      </c>
      <c r="V577" s="330" t="s">
        <v>7858</v>
      </c>
      <c r="W577" s="601">
        <v>43067.0</v>
      </c>
      <c r="X577" s="310" t="s">
        <v>7855</v>
      </c>
      <c r="Y577" s="330" t="s">
        <v>7856</v>
      </c>
      <c r="Z577" s="330"/>
      <c r="AA577" s="330"/>
      <c r="AB577" s="330"/>
      <c r="AC577" s="253" t="s">
        <v>284</v>
      </c>
    </row>
    <row r="578" ht="15.75" customHeight="1">
      <c r="A578" s="764">
        <v>42976.0</v>
      </c>
      <c r="B578" s="388" t="s">
        <v>6825</v>
      </c>
      <c r="C578" s="330" t="s">
        <v>7850</v>
      </c>
      <c r="D578" s="330" t="s">
        <v>7851</v>
      </c>
      <c r="E578" s="330" t="s">
        <v>7861</v>
      </c>
      <c r="F578" s="253">
        <v>20.0</v>
      </c>
      <c r="G578" s="338">
        <v>105.0</v>
      </c>
      <c r="H578" s="579">
        <f t="shared" si="9"/>
        <v>2100</v>
      </c>
      <c r="I578" s="256" t="s">
        <v>420</v>
      </c>
      <c r="J578" s="369" t="s">
        <v>7852</v>
      </c>
      <c r="K578" s="1092">
        <v>43025.0</v>
      </c>
      <c r="L578" s="258">
        <v>43004.0</v>
      </c>
      <c r="M578" s="253" t="s">
        <v>90</v>
      </c>
      <c r="N578" s="310" t="s">
        <v>7853</v>
      </c>
      <c r="O578" s="310">
        <f>82*F578*1.05</f>
        <v>1722</v>
      </c>
      <c r="P578" s="794"/>
      <c r="Q578" s="340" t="s">
        <v>94</v>
      </c>
      <c r="R578" s="330"/>
      <c r="S578" s="768">
        <v>43069.0</v>
      </c>
      <c r="T578" s="769">
        <v>43004.0</v>
      </c>
      <c r="U578" s="330" t="s">
        <v>7854</v>
      </c>
      <c r="V578" s="330" t="s">
        <v>7858</v>
      </c>
      <c r="W578" s="601">
        <v>43067.0</v>
      </c>
      <c r="X578" s="310" t="s">
        <v>7855</v>
      </c>
      <c r="Y578" s="330" t="s">
        <v>7856</v>
      </c>
      <c r="Z578" s="330"/>
      <c r="AA578" s="330"/>
      <c r="AB578" s="330"/>
      <c r="AC578" s="253" t="s">
        <v>284</v>
      </c>
    </row>
    <row r="579" ht="15.75" customHeight="1">
      <c r="A579" s="764">
        <v>42976.0</v>
      </c>
      <c r="B579" s="388" t="s">
        <v>6825</v>
      </c>
      <c r="C579" s="330" t="s">
        <v>7850</v>
      </c>
      <c r="D579" s="330" t="s">
        <v>7851</v>
      </c>
      <c r="E579" s="330" t="s">
        <v>7862</v>
      </c>
      <c r="F579" s="253">
        <v>1.0</v>
      </c>
      <c r="G579" s="338">
        <v>46.0</v>
      </c>
      <c r="H579" s="579">
        <f t="shared" si="9"/>
        <v>46</v>
      </c>
      <c r="I579" s="256" t="s">
        <v>420</v>
      </c>
      <c r="J579" s="369" t="s">
        <v>7852</v>
      </c>
      <c r="K579" s="1092">
        <v>43025.0</v>
      </c>
      <c r="L579" s="258">
        <v>43004.0</v>
      </c>
      <c r="M579" s="253" t="s">
        <v>90</v>
      </c>
      <c r="N579" s="310" t="s">
        <v>7853</v>
      </c>
      <c r="O579" s="310">
        <f>38*F579*1.05</f>
        <v>39.9</v>
      </c>
      <c r="P579" s="794"/>
      <c r="Q579" s="340" t="s">
        <v>94</v>
      </c>
      <c r="R579" s="330"/>
      <c r="S579" s="768">
        <v>43069.0</v>
      </c>
      <c r="T579" s="769">
        <v>43004.0</v>
      </c>
      <c r="U579" s="330" t="s">
        <v>7854</v>
      </c>
      <c r="V579" s="330" t="s">
        <v>7858</v>
      </c>
      <c r="W579" s="601">
        <v>43067.0</v>
      </c>
      <c r="X579" s="310" t="s">
        <v>7855</v>
      </c>
      <c r="Y579" s="330" t="s">
        <v>7856</v>
      </c>
      <c r="Z579" s="330"/>
      <c r="AA579" s="330"/>
      <c r="AB579" s="330"/>
      <c r="AC579" s="253" t="s">
        <v>284</v>
      </c>
    </row>
    <row r="580" ht="15.75" customHeight="1">
      <c r="A580" s="764">
        <v>42976.0</v>
      </c>
      <c r="B580" s="388" t="s">
        <v>6825</v>
      </c>
      <c r="C580" s="330" t="s">
        <v>7850</v>
      </c>
      <c r="D580" s="330" t="s">
        <v>7851</v>
      </c>
      <c r="E580" s="330" t="s">
        <v>3788</v>
      </c>
      <c r="F580" s="253">
        <v>2.0</v>
      </c>
      <c r="G580" s="338">
        <v>930.0</v>
      </c>
      <c r="H580" s="579">
        <f t="shared" si="9"/>
        <v>1860</v>
      </c>
      <c r="I580" s="256" t="s">
        <v>420</v>
      </c>
      <c r="J580" s="369" t="s">
        <v>7852</v>
      </c>
      <c r="K580" s="1092">
        <v>43025.0</v>
      </c>
      <c r="L580" s="258">
        <v>43004.0</v>
      </c>
      <c r="M580" s="253" t="s">
        <v>3789</v>
      </c>
      <c r="N580" s="310" t="s">
        <v>7863</v>
      </c>
      <c r="O580" s="310">
        <v>1728.3</v>
      </c>
      <c r="P580" s="794"/>
      <c r="Q580" s="320" t="s">
        <v>3435</v>
      </c>
      <c r="R580" s="330"/>
      <c r="S580" s="310"/>
      <c r="T580" s="769">
        <v>42986.0</v>
      </c>
      <c r="U580" s="330" t="s">
        <v>7864</v>
      </c>
      <c r="V580" s="770">
        <v>51910.0</v>
      </c>
      <c r="W580" s="601">
        <v>42989.0</v>
      </c>
      <c r="X580" s="310" t="s">
        <v>7855</v>
      </c>
      <c r="Y580" s="330" t="s">
        <v>7856</v>
      </c>
      <c r="Z580" s="330"/>
      <c r="AA580" s="330"/>
      <c r="AB580" s="330"/>
      <c r="AC580" s="253" t="s">
        <v>284</v>
      </c>
    </row>
    <row r="581" ht="15.75" customHeight="1">
      <c r="A581" s="764">
        <v>42976.0</v>
      </c>
      <c r="B581" s="388" t="s">
        <v>6825</v>
      </c>
      <c r="C581" s="330" t="s">
        <v>7850</v>
      </c>
      <c r="D581" s="330" t="s">
        <v>7865</v>
      </c>
      <c r="E581" s="330" t="s">
        <v>3608</v>
      </c>
      <c r="F581" s="253">
        <v>52.0</v>
      </c>
      <c r="G581" s="338">
        <v>370.0</v>
      </c>
      <c r="H581" s="579">
        <f t="shared" si="9"/>
        <v>19240</v>
      </c>
      <c r="I581" s="256" t="s">
        <v>420</v>
      </c>
      <c r="J581" s="369" t="s">
        <v>7852</v>
      </c>
      <c r="K581" s="258">
        <v>43052.0</v>
      </c>
      <c r="L581" s="258">
        <v>43004.0</v>
      </c>
      <c r="M581" s="253" t="s">
        <v>90</v>
      </c>
      <c r="N581" s="310" t="s">
        <v>7853</v>
      </c>
      <c r="O581" s="310">
        <f>332*F581*1.05</f>
        <v>18127.2</v>
      </c>
      <c r="P581" s="665"/>
      <c r="Q581" s="340" t="s">
        <v>94</v>
      </c>
      <c r="R581" s="330"/>
      <c r="S581" s="768">
        <v>43069.0</v>
      </c>
      <c r="T581" s="769">
        <v>43004.0</v>
      </c>
      <c r="U581" s="330" t="s">
        <v>7854</v>
      </c>
      <c r="V581" s="330" t="s">
        <v>7858</v>
      </c>
      <c r="W581" s="601">
        <v>43067.0</v>
      </c>
      <c r="X581" s="266" t="s">
        <v>7866</v>
      </c>
      <c r="Y581" s="330" t="s">
        <v>7867</v>
      </c>
      <c r="Z581" s="330"/>
      <c r="AA581" s="330"/>
      <c r="AB581" s="330"/>
      <c r="AC581" s="253" t="s">
        <v>284</v>
      </c>
    </row>
    <row r="582" ht="15.75" customHeight="1">
      <c r="A582" s="764">
        <v>42976.0</v>
      </c>
      <c r="B582" s="388" t="s">
        <v>6825</v>
      </c>
      <c r="C582" s="330" t="s">
        <v>7850</v>
      </c>
      <c r="D582" s="330" t="s">
        <v>7865</v>
      </c>
      <c r="E582" s="330" t="s">
        <v>7857</v>
      </c>
      <c r="F582" s="253">
        <v>12.0</v>
      </c>
      <c r="G582" s="338">
        <v>500.0</v>
      </c>
      <c r="H582" s="579">
        <f t="shared" si="9"/>
        <v>6000</v>
      </c>
      <c r="I582" s="256" t="s">
        <v>420</v>
      </c>
      <c r="J582" s="369" t="s">
        <v>7852</v>
      </c>
      <c r="K582" s="258">
        <v>43052.0</v>
      </c>
      <c r="L582" s="258">
        <v>43004.0</v>
      </c>
      <c r="M582" s="253" t="s">
        <v>90</v>
      </c>
      <c r="N582" s="310" t="s">
        <v>7853</v>
      </c>
      <c r="O582" s="310">
        <f>425*F582*1.05</f>
        <v>5355</v>
      </c>
      <c r="P582" s="665"/>
      <c r="Q582" s="340" t="s">
        <v>94</v>
      </c>
      <c r="R582" s="330"/>
      <c r="S582" s="768">
        <v>43069.0</v>
      </c>
      <c r="T582" s="769">
        <v>43004.0</v>
      </c>
      <c r="U582" s="330" t="s">
        <v>7854</v>
      </c>
      <c r="V582" s="330" t="s">
        <v>7858</v>
      </c>
      <c r="W582" s="601">
        <v>43067.0</v>
      </c>
      <c r="X582" s="266" t="s">
        <v>7866</v>
      </c>
      <c r="Y582" s="330" t="s">
        <v>7867</v>
      </c>
      <c r="Z582" s="330"/>
      <c r="AA582" s="330"/>
      <c r="AB582" s="330"/>
      <c r="AC582" s="253" t="s">
        <v>284</v>
      </c>
    </row>
    <row r="583" ht="15.75" customHeight="1">
      <c r="A583" s="764">
        <v>42976.0</v>
      </c>
      <c r="B583" s="388" t="s">
        <v>6825</v>
      </c>
      <c r="C583" s="330" t="s">
        <v>7850</v>
      </c>
      <c r="D583" s="330" t="s">
        <v>7865</v>
      </c>
      <c r="E583" s="330" t="s">
        <v>7859</v>
      </c>
      <c r="F583" s="253">
        <v>4.0</v>
      </c>
      <c r="G583" s="338">
        <v>1020.0</v>
      </c>
      <c r="H583" s="579">
        <f t="shared" si="9"/>
        <v>4080</v>
      </c>
      <c r="I583" s="256" t="s">
        <v>420</v>
      </c>
      <c r="J583" s="369" t="s">
        <v>7852</v>
      </c>
      <c r="K583" s="258">
        <v>43052.0</v>
      </c>
      <c r="L583" s="258">
        <v>43004.0</v>
      </c>
      <c r="M583" s="253" t="s">
        <v>90</v>
      </c>
      <c r="N583" s="310" t="s">
        <v>7853</v>
      </c>
      <c r="O583" s="310">
        <f>800*F583*1.05</f>
        <v>3360</v>
      </c>
      <c r="P583" s="665"/>
      <c r="Q583" s="340" t="s">
        <v>94</v>
      </c>
      <c r="R583" s="330"/>
      <c r="S583" s="768">
        <v>43069.0</v>
      </c>
      <c r="T583" s="769">
        <v>43004.0</v>
      </c>
      <c r="U583" s="330" t="s">
        <v>7854</v>
      </c>
      <c r="V583" s="330" t="s">
        <v>7858</v>
      </c>
      <c r="W583" s="601">
        <v>43067.0</v>
      </c>
      <c r="X583" s="266" t="s">
        <v>7866</v>
      </c>
      <c r="Y583" s="330" t="s">
        <v>7867</v>
      </c>
      <c r="Z583" s="330"/>
      <c r="AA583" s="330"/>
      <c r="AB583" s="330"/>
      <c r="AC583" s="253" t="s">
        <v>284</v>
      </c>
    </row>
    <row r="584" ht="15.75" customHeight="1">
      <c r="A584" s="764">
        <v>42976.0</v>
      </c>
      <c r="B584" s="388" t="s">
        <v>6825</v>
      </c>
      <c r="C584" s="330" t="s">
        <v>7850</v>
      </c>
      <c r="D584" s="330" t="s">
        <v>7865</v>
      </c>
      <c r="E584" s="330" t="s">
        <v>7861</v>
      </c>
      <c r="F584" s="253">
        <v>50.0</v>
      </c>
      <c r="G584" s="338">
        <v>105.0</v>
      </c>
      <c r="H584" s="579">
        <f t="shared" si="9"/>
        <v>5250</v>
      </c>
      <c r="I584" s="256" t="s">
        <v>420</v>
      </c>
      <c r="J584" s="369" t="s">
        <v>7852</v>
      </c>
      <c r="K584" s="258">
        <v>43052.0</v>
      </c>
      <c r="L584" s="258">
        <v>43004.0</v>
      </c>
      <c r="M584" s="253" t="s">
        <v>90</v>
      </c>
      <c r="N584" s="310" t="s">
        <v>7853</v>
      </c>
      <c r="O584" s="310">
        <f>82*F584*1.05</f>
        <v>4305</v>
      </c>
      <c r="P584" s="665"/>
      <c r="Q584" s="340" t="s">
        <v>94</v>
      </c>
      <c r="R584" s="330"/>
      <c r="S584" s="768">
        <v>43069.0</v>
      </c>
      <c r="T584" s="769">
        <v>43004.0</v>
      </c>
      <c r="U584" s="330" t="s">
        <v>7854</v>
      </c>
      <c r="V584" s="330" t="s">
        <v>7858</v>
      </c>
      <c r="W584" s="601">
        <v>43067.0</v>
      </c>
      <c r="X584" s="266" t="s">
        <v>7866</v>
      </c>
      <c r="Y584" s="330" t="s">
        <v>7867</v>
      </c>
      <c r="Z584" s="330"/>
      <c r="AA584" s="330"/>
      <c r="AB584" s="330"/>
      <c r="AC584" s="253" t="s">
        <v>284</v>
      </c>
    </row>
    <row r="585" ht="15.75" customHeight="1">
      <c r="A585" s="764">
        <v>42976.0</v>
      </c>
      <c r="B585" s="388" t="s">
        <v>6825</v>
      </c>
      <c r="C585" s="330" t="s">
        <v>7850</v>
      </c>
      <c r="D585" s="330" t="s">
        <v>7865</v>
      </c>
      <c r="E585" s="330" t="s">
        <v>7862</v>
      </c>
      <c r="F585" s="253">
        <v>3.0</v>
      </c>
      <c r="G585" s="338">
        <v>46.0</v>
      </c>
      <c r="H585" s="579">
        <f t="shared" si="9"/>
        <v>138</v>
      </c>
      <c r="I585" s="256" t="s">
        <v>420</v>
      </c>
      <c r="J585" s="369" t="s">
        <v>7852</v>
      </c>
      <c r="K585" s="258">
        <v>43052.0</v>
      </c>
      <c r="L585" s="258">
        <v>43004.0</v>
      </c>
      <c r="M585" s="253" t="s">
        <v>90</v>
      </c>
      <c r="N585" s="310" t="s">
        <v>7853</v>
      </c>
      <c r="O585" s="310">
        <f>38*F585*1.05</f>
        <v>119.7</v>
      </c>
      <c r="P585" s="665"/>
      <c r="Q585" s="340" t="s">
        <v>94</v>
      </c>
      <c r="R585" s="330"/>
      <c r="S585" s="768">
        <v>43069.0</v>
      </c>
      <c r="T585" s="769">
        <v>43004.0</v>
      </c>
      <c r="U585" s="330" t="s">
        <v>7854</v>
      </c>
      <c r="V585" s="330" t="s">
        <v>7858</v>
      </c>
      <c r="W585" s="601">
        <v>43067.0</v>
      </c>
      <c r="X585" s="266" t="s">
        <v>7866</v>
      </c>
      <c r="Y585" s="330" t="s">
        <v>7867</v>
      </c>
      <c r="Z585" s="330"/>
      <c r="AA585" s="330"/>
      <c r="AB585" s="330"/>
      <c r="AC585" s="253" t="s">
        <v>284</v>
      </c>
    </row>
    <row r="586" ht="15.75" customHeight="1">
      <c r="A586" s="764">
        <v>42977.0</v>
      </c>
      <c r="B586" s="1004" t="s">
        <v>3506</v>
      </c>
      <c r="C586" s="765" t="s">
        <v>7647</v>
      </c>
      <c r="D586" s="310" t="s">
        <v>7868</v>
      </c>
      <c r="E586" s="310" t="s">
        <v>7869</v>
      </c>
      <c r="F586" s="253">
        <v>50.0</v>
      </c>
      <c r="G586" s="254">
        <v>174.5</v>
      </c>
      <c r="H586" s="579">
        <f t="shared" si="9"/>
        <v>8725</v>
      </c>
      <c r="I586" s="256" t="s">
        <v>171</v>
      </c>
      <c r="J586" s="369" t="s">
        <v>3509</v>
      </c>
      <c r="K586" s="258">
        <v>43013.0</v>
      </c>
      <c r="L586" s="258">
        <v>43004.0</v>
      </c>
      <c r="M586" s="333" t="s">
        <v>3510</v>
      </c>
      <c r="N586" s="310" t="s">
        <v>7870</v>
      </c>
      <c r="O586" s="579">
        <v>8295.0</v>
      </c>
      <c r="P586" s="330"/>
      <c r="Q586" s="310" t="s">
        <v>3512</v>
      </c>
      <c r="R586" s="330"/>
      <c r="S586" s="768">
        <v>42996.0</v>
      </c>
      <c r="T586" s="771">
        <v>43007.0</v>
      </c>
      <c r="U586" s="310" t="s">
        <v>7871</v>
      </c>
      <c r="V586" s="774">
        <v>497866.0</v>
      </c>
      <c r="W586" s="601">
        <v>42997.0</v>
      </c>
      <c r="X586" s="765" t="s">
        <v>7652</v>
      </c>
      <c r="Y586" s="330"/>
      <c r="Z586" s="330"/>
      <c r="AA586" s="330"/>
      <c r="AB586" s="330"/>
      <c r="AC586" s="253" t="s">
        <v>284</v>
      </c>
    </row>
    <row r="587" ht="15.75" customHeight="1">
      <c r="A587" s="764">
        <v>42977.0</v>
      </c>
      <c r="B587" s="388" t="s">
        <v>101</v>
      </c>
      <c r="C587" s="330" t="s">
        <v>7872</v>
      </c>
      <c r="D587" s="330" t="s">
        <v>7873</v>
      </c>
      <c r="E587" s="330" t="s">
        <v>7874</v>
      </c>
      <c r="F587" s="253">
        <v>10.0</v>
      </c>
      <c r="G587" s="338">
        <v>6.0</v>
      </c>
      <c r="H587" s="579">
        <f t="shared" si="9"/>
        <v>60</v>
      </c>
      <c r="I587" s="256" t="s">
        <v>3474</v>
      </c>
      <c r="J587" s="369" t="s">
        <v>3739</v>
      </c>
      <c r="K587" s="258">
        <v>42999.0</v>
      </c>
      <c r="L587" s="258">
        <v>42991.0</v>
      </c>
      <c r="M587" s="253" t="s">
        <v>2039</v>
      </c>
      <c r="N587" s="310" t="s">
        <v>7875</v>
      </c>
      <c r="O587" s="330"/>
      <c r="P587" s="581">
        <v>315.0</v>
      </c>
      <c r="Q587" s="330" t="s">
        <v>2194</v>
      </c>
      <c r="R587" s="330"/>
      <c r="S587" s="1095">
        <v>43001.0</v>
      </c>
      <c r="T587" s="767">
        <v>42991.0</v>
      </c>
      <c r="U587" s="902" t="s">
        <v>7876</v>
      </c>
      <c r="V587" s="766">
        <v>609.0</v>
      </c>
      <c r="W587" s="1076">
        <v>42996.0</v>
      </c>
      <c r="X587" s="252" t="s">
        <v>7824</v>
      </c>
      <c r="Y587" s="253">
        <v>3.199226446E9</v>
      </c>
      <c r="Z587" s="330"/>
      <c r="AA587" s="330"/>
      <c r="AB587" s="330"/>
      <c r="AC587" s="253" t="s">
        <v>284</v>
      </c>
    </row>
    <row r="588" ht="15.75" customHeight="1">
      <c r="A588" s="764">
        <v>42977.0</v>
      </c>
      <c r="B588" s="388" t="s">
        <v>101</v>
      </c>
      <c r="C588" s="330"/>
      <c r="D588" s="310" t="s">
        <v>7877</v>
      </c>
      <c r="E588" s="310" t="s">
        <v>7878</v>
      </c>
      <c r="F588" s="253">
        <v>1.0</v>
      </c>
      <c r="G588" s="338">
        <v>707.0</v>
      </c>
      <c r="H588" s="579">
        <f t="shared" si="9"/>
        <v>707</v>
      </c>
      <c r="I588" s="256" t="s">
        <v>3474</v>
      </c>
      <c r="J588" s="369" t="s">
        <v>3739</v>
      </c>
      <c r="K588" s="258">
        <v>42990.0</v>
      </c>
      <c r="L588" s="258">
        <v>42985.0</v>
      </c>
      <c r="M588" s="253" t="s">
        <v>7879</v>
      </c>
      <c r="N588" s="310" t="s">
        <v>7880</v>
      </c>
      <c r="O588" s="874">
        <v>667.8</v>
      </c>
      <c r="P588" s="330"/>
      <c r="Q588" s="599" t="s">
        <v>7881</v>
      </c>
      <c r="R588" s="330"/>
      <c r="S588" s="330"/>
      <c r="T588" s="769">
        <v>42984.0</v>
      </c>
      <c r="U588" s="330" t="s">
        <v>7882</v>
      </c>
      <c r="V588" s="770">
        <v>20187.0</v>
      </c>
      <c r="W588" s="601">
        <v>42983.0</v>
      </c>
      <c r="X588" s="252" t="s">
        <v>7761</v>
      </c>
      <c r="Y588" s="253">
        <v>6.967422711E9</v>
      </c>
      <c r="Z588" s="330"/>
      <c r="AA588" s="330"/>
      <c r="AB588" s="330"/>
      <c r="AC588" s="253" t="s">
        <v>284</v>
      </c>
    </row>
    <row r="589" ht="15.75" customHeight="1">
      <c r="A589" s="764">
        <v>42977.0</v>
      </c>
      <c r="B589" s="388" t="s">
        <v>101</v>
      </c>
      <c r="C589" s="330"/>
      <c r="D589" s="310" t="s">
        <v>7883</v>
      </c>
      <c r="E589" s="310" t="s">
        <v>7884</v>
      </c>
      <c r="F589" s="253">
        <v>1.0</v>
      </c>
      <c r="G589" s="338">
        <v>352.0</v>
      </c>
      <c r="H589" s="579">
        <f t="shared" si="9"/>
        <v>352</v>
      </c>
      <c r="I589" s="256" t="s">
        <v>3474</v>
      </c>
      <c r="J589" s="369" t="s">
        <v>3739</v>
      </c>
      <c r="K589" s="258">
        <v>42990.0</v>
      </c>
      <c r="L589" s="258">
        <v>42984.0</v>
      </c>
      <c r="M589" s="1096" t="s">
        <v>2129</v>
      </c>
      <c r="N589" s="310" t="s">
        <v>7885</v>
      </c>
      <c r="O589" s="310">
        <v>299.25</v>
      </c>
      <c r="P589" s="330"/>
      <c r="Q589" s="320" t="s">
        <v>6346</v>
      </c>
      <c r="R589" s="330"/>
      <c r="S589" s="768">
        <v>43013.0</v>
      </c>
      <c r="T589" s="771">
        <v>42983.0</v>
      </c>
      <c r="U589" s="330" t="s">
        <v>7886</v>
      </c>
      <c r="V589" s="770">
        <v>9008.0</v>
      </c>
      <c r="W589" s="601">
        <v>43032.0</v>
      </c>
      <c r="X589" s="252" t="s">
        <v>7761</v>
      </c>
      <c r="Y589" s="253">
        <v>6.967422711E9</v>
      </c>
      <c r="Z589" s="330"/>
      <c r="AA589" s="330"/>
      <c r="AB589" s="330"/>
      <c r="AC589" s="253" t="s">
        <v>284</v>
      </c>
    </row>
    <row r="590" ht="15.75" customHeight="1">
      <c r="A590" s="764">
        <v>42977.0</v>
      </c>
      <c r="B590" s="388" t="s">
        <v>101</v>
      </c>
      <c r="C590" s="330"/>
      <c r="D590" s="310" t="s">
        <v>7887</v>
      </c>
      <c r="E590" s="310" t="s">
        <v>7888</v>
      </c>
      <c r="F590" s="253">
        <v>1.0</v>
      </c>
      <c r="G590" s="338">
        <v>89.0</v>
      </c>
      <c r="H590" s="579">
        <f t="shared" si="9"/>
        <v>89</v>
      </c>
      <c r="I590" s="256" t="s">
        <v>3474</v>
      </c>
      <c r="J590" s="269" t="s">
        <v>3739</v>
      </c>
      <c r="K590" s="258">
        <v>42990.0</v>
      </c>
      <c r="L590" s="258">
        <v>42984.0</v>
      </c>
      <c r="M590" s="333" t="s">
        <v>2170</v>
      </c>
      <c r="N590" s="310" t="s">
        <v>7889</v>
      </c>
      <c r="O590" s="330"/>
      <c r="P590" s="579">
        <v>2291.0</v>
      </c>
      <c r="Q590" s="310" t="s">
        <v>2172</v>
      </c>
      <c r="R590" s="330"/>
      <c r="S590" s="330"/>
      <c r="T590" s="771">
        <v>42983.0</v>
      </c>
      <c r="U590" s="330" t="s">
        <v>7890</v>
      </c>
      <c r="V590" s="770">
        <v>2291.0</v>
      </c>
      <c r="W590" s="601">
        <v>42979.0</v>
      </c>
      <c r="X590" s="252" t="s">
        <v>7761</v>
      </c>
      <c r="Y590" s="253">
        <v>6.967422711E9</v>
      </c>
      <c r="Z590" s="330"/>
      <c r="AA590" s="330"/>
      <c r="AB590" s="330"/>
      <c r="AC590" s="253" t="s">
        <v>284</v>
      </c>
    </row>
    <row r="591" ht="15.75" customHeight="1">
      <c r="A591" s="764">
        <v>42978.0</v>
      </c>
      <c r="B591" s="597" t="s">
        <v>77</v>
      </c>
      <c r="C591" s="765">
        <v>704.0</v>
      </c>
      <c r="D591" s="765" t="s">
        <v>7891</v>
      </c>
      <c r="E591" s="765" t="s">
        <v>3541</v>
      </c>
      <c r="F591" s="307">
        <v>25.0</v>
      </c>
      <c r="G591" s="254">
        <v>285.0</v>
      </c>
      <c r="H591" s="581">
        <f t="shared" si="9"/>
        <v>7125</v>
      </c>
      <c r="I591" s="256" t="s">
        <v>43</v>
      </c>
      <c r="J591" s="369" t="s">
        <v>316</v>
      </c>
      <c r="K591" s="258">
        <v>42999.0</v>
      </c>
      <c r="L591" s="258">
        <v>42989.0</v>
      </c>
      <c r="M591" s="403" t="s">
        <v>1998</v>
      </c>
      <c r="N591" s="310" t="s">
        <v>7892</v>
      </c>
      <c r="O591" s="268">
        <v>6562.5</v>
      </c>
      <c r="P591" s="330"/>
      <c r="Q591" s="310" t="s">
        <v>2000</v>
      </c>
      <c r="R591" s="330"/>
      <c r="S591" s="810">
        <v>43044.0</v>
      </c>
      <c r="T591" s="769">
        <v>42986.0</v>
      </c>
      <c r="U591" s="330" t="s">
        <v>7893</v>
      </c>
      <c r="V591" s="770">
        <v>196481.0</v>
      </c>
      <c r="W591" s="601">
        <v>43045.0</v>
      </c>
      <c r="X591" s="252" t="s">
        <v>7686</v>
      </c>
      <c r="Y591" s="253">
        <v>8.32078505E8</v>
      </c>
      <c r="Z591" s="330"/>
      <c r="AA591" s="330"/>
      <c r="AB591" s="330"/>
      <c r="AC591" s="253" t="s">
        <v>284</v>
      </c>
    </row>
    <row r="592" ht="15.75" customHeight="1">
      <c r="A592" s="764">
        <v>42978.0</v>
      </c>
      <c r="B592" s="597" t="s">
        <v>77</v>
      </c>
      <c r="C592" s="765">
        <v>704.0</v>
      </c>
      <c r="D592" s="765" t="s">
        <v>7891</v>
      </c>
      <c r="E592" s="765" t="s">
        <v>362</v>
      </c>
      <c r="F592" s="307">
        <v>25.0</v>
      </c>
      <c r="G592" s="254">
        <v>20.0</v>
      </c>
      <c r="H592" s="581">
        <f t="shared" si="9"/>
        <v>500</v>
      </c>
      <c r="I592" s="256" t="s">
        <v>43</v>
      </c>
      <c r="J592" s="369" t="s">
        <v>316</v>
      </c>
      <c r="K592" s="258">
        <v>42999.0</v>
      </c>
      <c r="L592" s="258">
        <v>42984.0</v>
      </c>
      <c r="M592" s="403" t="s">
        <v>6287</v>
      </c>
      <c r="N592" s="310" t="s">
        <v>7894</v>
      </c>
      <c r="O592" s="268">
        <v>464.63</v>
      </c>
      <c r="P592" s="330"/>
      <c r="Q592" s="388" t="s">
        <v>2043</v>
      </c>
      <c r="R592" s="330"/>
      <c r="S592" s="810">
        <v>42997.0</v>
      </c>
      <c r="T592" s="769">
        <v>42983.0</v>
      </c>
      <c r="U592" s="330" t="s">
        <v>7895</v>
      </c>
      <c r="V592" s="770">
        <v>23459.0</v>
      </c>
      <c r="W592" s="601">
        <v>42996.0</v>
      </c>
      <c r="X592" s="252" t="s">
        <v>7686</v>
      </c>
      <c r="Y592" s="253">
        <v>8.32078505E8</v>
      </c>
      <c r="Z592" s="330"/>
      <c r="AA592" s="330"/>
      <c r="AB592" s="330"/>
      <c r="AC592" s="253" t="s">
        <v>284</v>
      </c>
    </row>
    <row r="593" ht="15.75" customHeight="1">
      <c r="A593" s="764">
        <v>42978.0</v>
      </c>
      <c r="B593" s="597" t="s">
        <v>77</v>
      </c>
      <c r="C593" s="765">
        <v>704.0</v>
      </c>
      <c r="D593" s="765" t="s">
        <v>7891</v>
      </c>
      <c r="E593" s="765" t="s">
        <v>827</v>
      </c>
      <c r="F593" s="256">
        <v>25.0</v>
      </c>
      <c r="G593" s="254">
        <v>14.0</v>
      </c>
      <c r="H593" s="581">
        <f t="shared" si="9"/>
        <v>350</v>
      </c>
      <c r="I593" s="256" t="s">
        <v>43</v>
      </c>
      <c r="J593" s="369" t="s">
        <v>316</v>
      </c>
      <c r="K593" s="258">
        <v>42999.0</v>
      </c>
      <c r="L593" s="258">
        <v>42984.0</v>
      </c>
      <c r="M593" s="403" t="s">
        <v>6287</v>
      </c>
      <c r="N593" s="310" t="s">
        <v>7894</v>
      </c>
      <c r="O593" s="268">
        <v>315.0</v>
      </c>
      <c r="P593" s="330"/>
      <c r="Q593" s="388" t="s">
        <v>2043</v>
      </c>
      <c r="R593" s="330"/>
      <c r="S593" s="810">
        <v>42997.0</v>
      </c>
      <c r="T593" s="769">
        <v>42983.0</v>
      </c>
      <c r="U593" s="330" t="s">
        <v>7895</v>
      </c>
      <c r="V593" s="330" t="s">
        <v>7896</v>
      </c>
      <c r="W593" s="601">
        <v>42996.0</v>
      </c>
      <c r="X593" s="252" t="s">
        <v>7686</v>
      </c>
      <c r="Y593" s="253">
        <v>8.32078505E8</v>
      </c>
      <c r="Z593" s="330"/>
      <c r="AA593" s="330"/>
      <c r="AB593" s="330"/>
      <c r="AC593" s="253" t="s">
        <v>284</v>
      </c>
    </row>
    <row r="594" ht="15.75" customHeight="1">
      <c r="A594" s="601">
        <v>42982.0</v>
      </c>
      <c r="B594" s="597" t="s">
        <v>7314</v>
      </c>
      <c r="C594" s="765">
        <v>7.000132247E9</v>
      </c>
      <c r="D594" s="330" t="s">
        <v>7897</v>
      </c>
      <c r="E594" s="330" t="s">
        <v>4657</v>
      </c>
      <c r="F594" s="253">
        <v>3.0</v>
      </c>
      <c r="G594" s="338">
        <v>110.0</v>
      </c>
      <c r="H594" s="581">
        <f t="shared" si="9"/>
        <v>330</v>
      </c>
      <c r="I594" s="256" t="s">
        <v>43</v>
      </c>
      <c r="J594" s="777" t="s">
        <v>3623</v>
      </c>
      <c r="K594" s="258">
        <v>42992.0</v>
      </c>
      <c r="L594" s="258">
        <v>42984.0</v>
      </c>
      <c r="M594" s="266" t="s">
        <v>3593</v>
      </c>
      <c r="N594" s="310" t="s">
        <v>7898</v>
      </c>
      <c r="O594" s="330"/>
      <c r="P594" s="579">
        <v>9645.0</v>
      </c>
      <c r="Q594" s="310" t="s">
        <v>2080</v>
      </c>
      <c r="R594" s="330"/>
      <c r="S594" s="810">
        <v>43069.0</v>
      </c>
      <c r="T594" s="769">
        <v>42983.0</v>
      </c>
      <c r="U594" s="330" t="s">
        <v>7899</v>
      </c>
      <c r="V594" s="770">
        <v>11850.0</v>
      </c>
      <c r="W594" s="601">
        <v>43074.0</v>
      </c>
      <c r="X594" s="310" t="s">
        <v>7900</v>
      </c>
      <c r="Y594" s="253">
        <v>8.360474485E9</v>
      </c>
      <c r="Z594" s="330"/>
      <c r="AA594" s="330"/>
      <c r="AB594" s="330"/>
      <c r="AC594" s="253" t="s">
        <v>284</v>
      </c>
    </row>
    <row r="595" ht="42.75" customHeight="1">
      <c r="A595" s="601">
        <v>42982.0</v>
      </c>
      <c r="B595" s="597" t="s">
        <v>7314</v>
      </c>
      <c r="C595" s="765">
        <v>7.000132247E9</v>
      </c>
      <c r="D595" s="330" t="s">
        <v>7897</v>
      </c>
      <c r="E595" s="330" t="s">
        <v>6605</v>
      </c>
      <c r="F595" s="253">
        <v>1.0</v>
      </c>
      <c r="G595" s="338">
        <v>75.0</v>
      </c>
      <c r="H595" s="581">
        <f t="shared" si="9"/>
        <v>75</v>
      </c>
      <c r="I595" s="256" t="s">
        <v>43</v>
      </c>
      <c r="J595" s="777" t="s">
        <v>3623</v>
      </c>
      <c r="K595" s="258">
        <v>42992.0</v>
      </c>
      <c r="L595" s="258">
        <v>42984.0</v>
      </c>
      <c r="M595" s="266" t="s">
        <v>3593</v>
      </c>
      <c r="N595" s="310" t="s">
        <v>7898</v>
      </c>
      <c r="O595" s="330"/>
      <c r="P595" s="579">
        <v>2205.0</v>
      </c>
      <c r="Q595" s="310" t="s">
        <v>2080</v>
      </c>
      <c r="R595" s="330"/>
      <c r="S595" s="810">
        <v>43069.0</v>
      </c>
      <c r="T595" s="769">
        <v>42983.0</v>
      </c>
      <c r="U595" s="330" t="s">
        <v>7899</v>
      </c>
      <c r="V595" s="330" t="s">
        <v>7901</v>
      </c>
      <c r="W595" s="601">
        <v>43074.0</v>
      </c>
      <c r="X595" s="310" t="s">
        <v>7900</v>
      </c>
      <c r="Y595" s="253">
        <v>8.360474485E9</v>
      </c>
      <c r="Z595" s="330"/>
      <c r="AA595" s="330"/>
      <c r="AB595" s="330"/>
      <c r="AC595" s="253" t="s">
        <v>284</v>
      </c>
    </row>
    <row r="596" ht="15.75" customHeight="1">
      <c r="A596" s="601">
        <v>42983.0</v>
      </c>
      <c r="B596" s="597" t="s">
        <v>101</v>
      </c>
      <c r="C596" s="765"/>
      <c r="D596" s="310" t="s">
        <v>7902</v>
      </c>
      <c r="E596" s="310" t="s">
        <v>7903</v>
      </c>
      <c r="F596" s="253">
        <v>5.0</v>
      </c>
      <c r="G596" s="338">
        <v>1118.0</v>
      </c>
      <c r="H596" s="581">
        <f t="shared" si="9"/>
        <v>5590</v>
      </c>
      <c r="I596" s="256" t="s">
        <v>3474</v>
      </c>
      <c r="J596" s="369" t="s">
        <v>3739</v>
      </c>
      <c r="K596" s="258">
        <v>42999.0</v>
      </c>
      <c r="L596" s="258">
        <v>42989.0</v>
      </c>
      <c r="M596" s="333" t="s">
        <v>1439</v>
      </c>
      <c r="N596" s="310" t="s">
        <v>7904</v>
      </c>
      <c r="O596" s="310"/>
      <c r="P596" s="579">
        <v>156974.0</v>
      </c>
      <c r="Q596" s="320" t="s">
        <v>1976</v>
      </c>
      <c r="R596" s="330"/>
      <c r="S596" s="810">
        <v>43039.0</v>
      </c>
      <c r="T596" s="769">
        <v>42989.0</v>
      </c>
      <c r="U596" s="330" t="s">
        <v>7905</v>
      </c>
      <c r="V596" s="770">
        <v>156974.0</v>
      </c>
      <c r="W596" s="1037"/>
      <c r="X596" s="252" t="s">
        <v>7824</v>
      </c>
      <c r="Y596" s="253">
        <v>3.199226446E9</v>
      </c>
      <c r="Z596" s="330"/>
      <c r="AA596" s="330"/>
      <c r="AB596" s="330"/>
      <c r="AC596" s="253" t="s">
        <v>284</v>
      </c>
    </row>
    <row r="597" ht="42.75" customHeight="1">
      <c r="A597" s="601">
        <v>42983.0</v>
      </c>
      <c r="B597" s="597" t="s">
        <v>101</v>
      </c>
      <c r="C597" s="765"/>
      <c r="D597" s="310" t="s">
        <v>7902</v>
      </c>
      <c r="E597" s="310" t="s">
        <v>7906</v>
      </c>
      <c r="F597" s="253">
        <v>5.0</v>
      </c>
      <c r="G597" s="338">
        <v>74.0</v>
      </c>
      <c r="H597" s="581">
        <f t="shared" si="9"/>
        <v>370</v>
      </c>
      <c r="I597" s="256" t="s">
        <v>3474</v>
      </c>
      <c r="J597" s="369" t="s">
        <v>3739</v>
      </c>
      <c r="K597" s="258">
        <v>42999.0</v>
      </c>
      <c r="L597" s="258">
        <v>42984.0</v>
      </c>
      <c r="M597" s="592" t="s">
        <v>2125</v>
      </c>
      <c r="N597" s="330" t="s">
        <v>7907</v>
      </c>
      <c r="O597" s="330"/>
      <c r="P597" s="330"/>
      <c r="Q597" s="330"/>
      <c r="R597" s="330"/>
      <c r="S597" s="330"/>
      <c r="T597" s="902"/>
      <c r="U597" s="902"/>
      <c r="V597" s="902"/>
      <c r="W597" s="1037"/>
      <c r="X597" s="252" t="s">
        <v>7824</v>
      </c>
      <c r="Y597" s="253">
        <v>3.199226446E9</v>
      </c>
      <c r="Z597" s="330"/>
      <c r="AA597" s="330"/>
      <c r="AB597" s="330"/>
      <c r="AC597" s="253" t="s">
        <v>284</v>
      </c>
    </row>
    <row r="598" ht="15.75" customHeight="1">
      <c r="A598" s="764">
        <v>42984.0</v>
      </c>
      <c r="B598" s="1004" t="s">
        <v>3677</v>
      </c>
      <c r="C598" s="1077" t="s">
        <v>7908</v>
      </c>
      <c r="D598" s="330" t="s">
        <v>7909</v>
      </c>
      <c r="E598" s="330" t="s">
        <v>4467</v>
      </c>
      <c r="F598" s="253">
        <v>10.0</v>
      </c>
      <c r="G598" s="338">
        <v>82.0</v>
      </c>
      <c r="H598" s="581">
        <f t="shared" si="9"/>
        <v>820</v>
      </c>
      <c r="I598" s="1063" t="s">
        <v>3474</v>
      </c>
      <c r="J598" s="369" t="s">
        <v>3680</v>
      </c>
      <c r="K598" s="258">
        <v>43011.0</v>
      </c>
      <c r="L598" s="258">
        <v>43011.0</v>
      </c>
      <c r="M598" s="253" t="s">
        <v>90</v>
      </c>
      <c r="N598" s="310" t="s">
        <v>7910</v>
      </c>
      <c r="O598" s="310">
        <v>777.0</v>
      </c>
      <c r="P598" s="330"/>
      <c r="Q598" s="340" t="s">
        <v>94</v>
      </c>
      <c r="R598" s="330"/>
      <c r="S598" s="768">
        <v>43069.0</v>
      </c>
      <c r="T598" s="769">
        <v>43010.0</v>
      </c>
      <c r="U598" s="765" t="s">
        <v>7911</v>
      </c>
      <c r="V598" s="770">
        <v>63874.0</v>
      </c>
      <c r="W598" s="258">
        <v>43052.0</v>
      </c>
      <c r="X598" s="252" t="s">
        <v>7912</v>
      </c>
      <c r="Y598" s="253">
        <v>7.70400827439E11</v>
      </c>
      <c r="Z598" s="330"/>
      <c r="AA598" s="330"/>
      <c r="AB598" s="330"/>
      <c r="AC598" s="253" t="s">
        <v>284</v>
      </c>
    </row>
    <row r="599" ht="15.75" customHeight="1">
      <c r="A599" s="764">
        <v>42984.0</v>
      </c>
      <c r="B599" s="1004" t="s">
        <v>3677</v>
      </c>
      <c r="C599" s="1077" t="s">
        <v>7908</v>
      </c>
      <c r="D599" s="330" t="s">
        <v>7909</v>
      </c>
      <c r="E599" s="330" t="s">
        <v>7913</v>
      </c>
      <c r="F599" s="253">
        <v>10.0</v>
      </c>
      <c r="G599" s="338">
        <v>135.0</v>
      </c>
      <c r="H599" s="581">
        <f t="shared" si="9"/>
        <v>1350</v>
      </c>
      <c r="I599" s="1063" t="s">
        <v>3474</v>
      </c>
      <c r="J599" s="369" t="s">
        <v>3680</v>
      </c>
      <c r="K599" s="258">
        <v>43011.0</v>
      </c>
      <c r="L599" s="258">
        <v>43011.0</v>
      </c>
      <c r="M599" s="253" t="s">
        <v>90</v>
      </c>
      <c r="N599" s="310" t="s">
        <v>7910</v>
      </c>
      <c r="O599" s="310">
        <v>1344.0</v>
      </c>
      <c r="P599" s="330"/>
      <c r="Q599" s="340" t="s">
        <v>94</v>
      </c>
      <c r="R599" s="330"/>
      <c r="S599" s="768">
        <v>43069.0</v>
      </c>
      <c r="T599" s="769">
        <v>43010.0</v>
      </c>
      <c r="U599" s="765" t="s">
        <v>7911</v>
      </c>
      <c r="V599" s="765" t="s">
        <v>7914</v>
      </c>
      <c r="W599" s="258">
        <v>43052.0</v>
      </c>
      <c r="X599" s="252" t="s">
        <v>7912</v>
      </c>
      <c r="Y599" s="253">
        <v>7.70400827439E11</v>
      </c>
      <c r="Z599" s="330"/>
      <c r="AA599" s="330"/>
      <c r="AB599" s="330"/>
      <c r="AC599" s="253" t="s">
        <v>284</v>
      </c>
    </row>
    <row r="600" ht="15.75" customHeight="1">
      <c r="A600" s="764">
        <v>42984.0</v>
      </c>
      <c r="B600" s="388" t="s">
        <v>229</v>
      </c>
      <c r="C600" s="330"/>
      <c r="D600" s="310" t="s">
        <v>7915</v>
      </c>
      <c r="E600" s="310" t="s">
        <v>4814</v>
      </c>
      <c r="F600" s="253">
        <v>20.0</v>
      </c>
      <c r="G600" s="338">
        <v>21.0</v>
      </c>
      <c r="H600" s="581">
        <f t="shared" si="9"/>
        <v>420</v>
      </c>
      <c r="I600" s="256" t="s">
        <v>171</v>
      </c>
      <c r="J600" s="253" t="s">
        <v>233</v>
      </c>
      <c r="K600" s="258">
        <v>42990.0</v>
      </c>
      <c r="L600" s="258">
        <v>42990.0</v>
      </c>
      <c r="M600" s="253" t="s">
        <v>90</v>
      </c>
      <c r="N600" s="330" t="s">
        <v>7916</v>
      </c>
      <c r="O600" s="310">
        <v>354.9</v>
      </c>
      <c r="P600" s="330"/>
      <c r="Q600" s="340" t="s">
        <v>94</v>
      </c>
      <c r="R600" s="330"/>
      <c r="S600" s="768">
        <v>43039.0</v>
      </c>
      <c r="T600" s="769">
        <v>42990.0</v>
      </c>
      <c r="U600" s="765" t="s">
        <v>7917</v>
      </c>
      <c r="V600" s="770">
        <v>10651.0</v>
      </c>
      <c r="W600" s="258">
        <v>43034.0</v>
      </c>
      <c r="X600" s="330" t="s">
        <v>7836</v>
      </c>
      <c r="Y600" s="330"/>
      <c r="Z600" s="330" t="s">
        <v>7837</v>
      </c>
      <c r="AA600" s="262">
        <v>1048766.0</v>
      </c>
      <c r="AB600" s="765" t="s">
        <v>5261</v>
      </c>
      <c r="AC600" s="253" t="s">
        <v>377</v>
      </c>
    </row>
    <row r="601" ht="15.75" customHeight="1">
      <c r="A601" s="764">
        <v>42986.0</v>
      </c>
      <c r="B601" s="388" t="s">
        <v>579</v>
      </c>
      <c r="C601" s="765">
        <v>2.0170907002E10</v>
      </c>
      <c r="D601" s="330" t="s">
        <v>7918</v>
      </c>
      <c r="E601" s="330" t="s">
        <v>4871</v>
      </c>
      <c r="F601" s="253">
        <v>1.0</v>
      </c>
      <c r="G601" s="338">
        <v>194.25</v>
      </c>
      <c r="H601" s="581">
        <f t="shared" si="9"/>
        <v>194.25</v>
      </c>
      <c r="I601" s="256" t="s">
        <v>171</v>
      </c>
      <c r="J601" s="266" t="s">
        <v>582</v>
      </c>
      <c r="K601" s="258">
        <v>42989.0</v>
      </c>
      <c r="L601" s="258">
        <v>42989.0</v>
      </c>
      <c r="M601" s="333" t="s">
        <v>1439</v>
      </c>
      <c r="N601" s="310" t="s">
        <v>7919</v>
      </c>
      <c r="O601" s="310"/>
      <c r="P601" s="579">
        <v>5046.0</v>
      </c>
      <c r="Q601" s="320" t="s">
        <v>1976</v>
      </c>
      <c r="R601" s="330"/>
      <c r="S601" s="810">
        <v>43039.0</v>
      </c>
      <c r="T601" s="769">
        <v>42989.0</v>
      </c>
      <c r="U601" s="765" t="s">
        <v>7920</v>
      </c>
      <c r="V601" s="770">
        <v>5046.0</v>
      </c>
      <c r="W601" s="253"/>
      <c r="X601" s="765" t="s">
        <v>7921</v>
      </c>
      <c r="Y601" s="330"/>
      <c r="Z601" s="330" t="s">
        <v>3700</v>
      </c>
      <c r="AA601" s="262">
        <v>5925.0</v>
      </c>
      <c r="AB601" s="765" t="s">
        <v>7922</v>
      </c>
      <c r="AC601" s="253" t="s">
        <v>377</v>
      </c>
    </row>
    <row r="602" ht="15.75" customHeight="1">
      <c r="A602" s="764">
        <v>42989.0</v>
      </c>
      <c r="B602" s="597" t="s">
        <v>77</v>
      </c>
      <c r="C602" s="765">
        <v>730.0</v>
      </c>
      <c r="D602" s="252" t="s">
        <v>7923</v>
      </c>
      <c r="E602" s="252" t="s">
        <v>7924</v>
      </c>
      <c r="F602" s="253">
        <v>10.0</v>
      </c>
      <c r="G602" s="338">
        <v>6.0</v>
      </c>
      <c r="H602" s="581">
        <f t="shared" si="9"/>
        <v>60</v>
      </c>
      <c r="I602" s="256" t="s">
        <v>43</v>
      </c>
      <c r="J602" s="363" t="s">
        <v>316</v>
      </c>
      <c r="K602" s="258">
        <v>43014.0</v>
      </c>
      <c r="L602" s="886">
        <v>43010.0</v>
      </c>
      <c r="M602" s="253" t="s">
        <v>2039</v>
      </c>
      <c r="N602" s="310" t="s">
        <v>7925</v>
      </c>
      <c r="O602" s="330"/>
      <c r="P602" s="579">
        <v>1155.0</v>
      </c>
      <c r="Q602" s="330" t="s">
        <v>2194</v>
      </c>
      <c r="R602" s="330"/>
      <c r="S602" s="810">
        <v>43014.0</v>
      </c>
      <c r="T602" s="769">
        <v>43004.0</v>
      </c>
      <c r="U602" s="765" t="s">
        <v>7926</v>
      </c>
      <c r="V602" s="765" t="s">
        <v>7927</v>
      </c>
      <c r="W602" s="258">
        <v>43013.0</v>
      </c>
      <c r="X602" s="252" t="s">
        <v>7928</v>
      </c>
      <c r="Y602" s="253">
        <v>8.42471254E8</v>
      </c>
      <c r="Z602" s="330"/>
      <c r="AA602" s="330"/>
      <c r="AB602" s="330"/>
      <c r="AC602" s="253" t="s">
        <v>284</v>
      </c>
    </row>
    <row r="603" ht="15.75" customHeight="1">
      <c r="A603" s="764">
        <v>42989.0</v>
      </c>
      <c r="B603" s="1004" t="s">
        <v>101</v>
      </c>
      <c r="C603" s="765" t="s">
        <v>7929</v>
      </c>
      <c r="D603" s="765" t="s">
        <v>7930</v>
      </c>
      <c r="E603" s="765" t="s">
        <v>7931</v>
      </c>
      <c r="F603" s="307">
        <v>4.0</v>
      </c>
      <c r="G603" s="254">
        <v>237.0</v>
      </c>
      <c r="H603" s="581">
        <f t="shared" si="9"/>
        <v>948</v>
      </c>
      <c r="I603" s="256" t="s">
        <v>3474</v>
      </c>
      <c r="J603" s="363" t="s">
        <v>3739</v>
      </c>
      <c r="K603" s="258">
        <v>43006.0</v>
      </c>
      <c r="L603" s="886">
        <v>43004.0</v>
      </c>
      <c r="M603" s="253" t="s">
        <v>6298</v>
      </c>
      <c r="N603" s="310" t="s">
        <v>7932</v>
      </c>
      <c r="O603" s="330"/>
      <c r="P603" s="579">
        <v>22693.0</v>
      </c>
      <c r="Q603" s="765" t="s">
        <v>2148</v>
      </c>
      <c r="R603" s="330"/>
      <c r="S603" s="768">
        <v>43044.0</v>
      </c>
      <c r="T603" s="769">
        <v>43004.0</v>
      </c>
      <c r="U603" s="765" t="s">
        <v>7933</v>
      </c>
      <c r="V603" s="770">
        <v>22693.0</v>
      </c>
      <c r="W603" s="601">
        <v>43045.0</v>
      </c>
      <c r="X603" s="252" t="s">
        <v>7934</v>
      </c>
      <c r="Y603" s="253">
        <v>9.669812176E9</v>
      </c>
      <c r="Z603" s="330"/>
      <c r="AA603" s="330"/>
      <c r="AB603" s="330"/>
      <c r="AC603" s="253" t="s">
        <v>284</v>
      </c>
    </row>
    <row r="604" ht="15.75" customHeight="1">
      <c r="A604" s="764">
        <v>42989.0</v>
      </c>
      <c r="B604" s="597" t="s">
        <v>77</v>
      </c>
      <c r="C604" s="765">
        <v>730.0</v>
      </c>
      <c r="D604" s="252" t="s">
        <v>7923</v>
      </c>
      <c r="E604" s="252" t="s">
        <v>7935</v>
      </c>
      <c r="F604" s="253">
        <v>20.0</v>
      </c>
      <c r="G604" s="338">
        <v>58.5</v>
      </c>
      <c r="H604" s="581">
        <f t="shared" si="9"/>
        <v>1170</v>
      </c>
      <c r="I604" s="256" t="s">
        <v>43</v>
      </c>
      <c r="J604" s="363" t="s">
        <v>316</v>
      </c>
      <c r="K604" s="258">
        <v>42999.0</v>
      </c>
      <c r="L604" s="886">
        <v>42993.0</v>
      </c>
      <c r="M604" s="253" t="s">
        <v>3536</v>
      </c>
      <c r="N604" s="310" t="s">
        <v>7936</v>
      </c>
      <c r="O604" s="330"/>
      <c r="P604" s="579">
        <v>34680.0</v>
      </c>
      <c r="Q604" s="330" t="s">
        <v>3538</v>
      </c>
      <c r="R604" s="330"/>
      <c r="S604" s="330"/>
      <c r="T604" s="769">
        <v>42991.0</v>
      </c>
      <c r="U604" s="765" t="s">
        <v>7937</v>
      </c>
      <c r="V604" s="770">
        <v>34680.0</v>
      </c>
      <c r="W604" s="601">
        <v>42990.0</v>
      </c>
      <c r="X604" s="252" t="s">
        <v>7686</v>
      </c>
      <c r="Y604" s="253">
        <v>8.32078505E8</v>
      </c>
      <c r="Z604" s="330"/>
      <c r="AA604" s="330"/>
      <c r="AB604" s="330"/>
      <c r="AC604" s="253" t="s">
        <v>284</v>
      </c>
    </row>
    <row r="605" ht="15.75" customHeight="1">
      <c r="A605" s="764">
        <v>42989.0</v>
      </c>
      <c r="B605" s="597" t="s">
        <v>7314</v>
      </c>
      <c r="C605" s="765">
        <v>7.000132376E9</v>
      </c>
      <c r="D605" s="310" t="s">
        <v>7938</v>
      </c>
      <c r="E605" s="310" t="s">
        <v>3676</v>
      </c>
      <c r="F605" s="253">
        <v>1.0</v>
      </c>
      <c r="G605" s="338">
        <v>46.0</v>
      </c>
      <c r="H605" s="581">
        <f t="shared" si="9"/>
        <v>46</v>
      </c>
      <c r="I605" s="256" t="s">
        <v>43</v>
      </c>
      <c r="J605" s="403" t="s">
        <v>3623</v>
      </c>
      <c r="K605" s="258">
        <v>42992.0</v>
      </c>
      <c r="L605" s="886">
        <v>42991.0</v>
      </c>
      <c r="M605" s="256" t="s">
        <v>3593</v>
      </c>
      <c r="N605" s="310" t="s">
        <v>7939</v>
      </c>
      <c r="O605" s="330"/>
      <c r="P605" s="579">
        <v>1342.0</v>
      </c>
      <c r="Q605" s="310" t="s">
        <v>2080</v>
      </c>
      <c r="R605" s="330"/>
      <c r="S605" s="810">
        <v>43069.0</v>
      </c>
      <c r="T605" s="769">
        <v>42990.0</v>
      </c>
      <c r="U605" s="765" t="s">
        <v>7940</v>
      </c>
      <c r="V605" s="770">
        <v>23184.0</v>
      </c>
      <c r="W605" s="601">
        <v>43074.0</v>
      </c>
      <c r="X605" s="310" t="s">
        <v>7900</v>
      </c>
      <c r="Y605" s="253">
        <v>8.360474485E9</v>
      </c>
      <c r="Z605" s="330"/>
      <c r="AA605" s="330"/>
      <c r="AB605" s="330"/>
      <c r="AC605" s="253" t="s">
        <v>284</v>
      </c>
    </row>
    <row r="606" ht="15.75" customHeight="1">
      <c r="A606" s="764">
        <v>42989.0</v>
      </c>
      <c r="B606" s="597" t="s">
        <v>7314</v>
      </c>
      <c r="C606" s="765">
        <v>7.000132376E9</v>
      </c>
      <c r="D606" s="310" t="s">
        <v>7938</v>
      </c>
      <c r="E606" s="310" t="s">
        <v>6194</v>
      </c>
      <c r="F606" s="253">
        <v>2.0</v>
      </c>
      <c r="G606" s="338">
        <v>86.0</v>
      </c>
      <c r="H606" s="581">
        <f t="shared" si="9"/>
        <v>172</v>
      </c>
      <c r="I606" s="256" t="s">
        <v>43</v>
      </c>
      <c r="J606" s="403" t="s">
        <v>3623</v>
      </c>
      <c r="K606" s="258">
        <v>42992.0</v>
      </c>
      <c r="L606" s="886">
        <v>42991.0</v>
      </c>
      <c r="M606" s="266" t="s">
        <v>3593</v>
      </c>
      <c r="N606" s="310" t="s">
        <v>7939</v>
      </c>
      <c r="O606" s="330"/>
      <c r="P606" s="579">
        <v>5013.0</v>
      </c>
      <c r="Q606" s="310" t="s">
        <v>2080</v>
      </c>
      <c r="R606" s="330"/>
      <c r="S606" s="810">
        <v>43069.0</v>
      </c>
      <c r="T606" s="769">
        <v>42990.0</v>
      </c>
      <c r="U606" s="765" t="s">
        <v>7940</v>
      </c>
      <c r="V606" s="765" t="s">
        <v>5381</v>
      </c>
      <c r="W606" s="601">
        <v>43074.0</v>
      </c>
      <c r="X606" s="310" t="s">
        <v>7900</v>
      </c>
      <c r="Y606" s="253">
        <v>8.360474485E9</v>
      </c>
      <c r="Z606" s="330"/>
      <c r="AA606" s="330"/>
      <c r="AB606" s="330"/>
      <c r="AC606" s="253" t="s">
        <v>284</v>
      </c>
    </row>
    <row r="607" ht="15.75" customHeight="1">
      <c r="A607" s="764">
        <v>42989.0</v>
      </c>
      <c r="B607" s="597" t="s">
        <v>7314</v>
      </c>
      <c r="C607" s="765">
        <v>7.000132376E9</v>
      </c>
      <c r="D607" s="310" t="s">
        <v>7938</v>
      </c>
      <c r="E607" s="310" t="s">
        <v>6190</v>
      </c>
      <c r="F607" s="592">
        <v>4.0</v>
      </c>
      <c r="G607" s="338">
        <v>144.0</v>
      </c>
      <c r="H607" s="581">
        <f t="shared" si="9"/>
        <v>576</v>
      </c>
      <c r="I607" s="256" t="s">
        <v>43</v>
      </c>
      <c r="J607" s="403" t="s">
        <v>3623</v>
      </c>
      <c r="K607" s="258">
        <v>42992.0</v>
      </c>
      <c r="L607" s="886">
        <v>42991.0</v>
      </c>
      <c r="M607" s="266" t="s">
        <v>3593</v>
      </c>
      <c r="N607" s="310" t="s">
        <v>7939</v>
      </c>
      <c r="O607" s="330"/>
      <c r="P607" s="579">
        <v>16829.0</v>
      </c>
      <c r="Q607" s="310" t="s">
        <v>2080</v>
      </c>
      <c r="R607" s="330"/>
      <c r="S607" s="810">
        <v>43069.0</v>
      </c>
      <c r="T607" s="769">
        <v>42990.0</v>
      </c>
      <c r="U607" s="765" t="s">
        <v>7940</v>
      </c>
      <c r="V607" s="765" t="s">
        <v>5381</v>
      </c>
      <c r="W607" s="601">
        <v>43074.0</v>
      </c>
      <c r="X607" s="310" t="s">
        <v>7900</v>
      </c>
      <c r="Y607" s="253">
        <v>8.360474485E9</v>
      </c>
      <c r="Z607" s="330"/>
      <c r="AA607" s="330"/>
      <c r="AB607" s="330"/>
      <c r="AC607" s="253" t="s">
        <v>284</v>
      </c>
    </row>
    <row r="608" ht="15.75" customHeight="1">
      <c r="A608" s="764">
        <v>42990.0</v>
      </c>
      <c r="B608" s="1004" t="s">
        <v>326</v>
      </c>
      <c r="C608" s="765">
        <v>1613732.0</v>
      </c>
      <c r="D608" s="765" t="s">
        <v>7941</v>
      </c>
      <c r="E608" s="765" t="s">
        <v>3773</v>
      </c>
      <c r="F608" s="253">
        <v>10.0</v>
      </c>
      <c r="G608" s="254">
        <v>567.0</v>
      </c>
      <c r="H608" s="581">
        <f t="shared" si="9"/>
        <v>5670</v>
      </c>
      <c r="I608" s="256" t="s">
        <v>3474</v>
      </c>
      <c r="J608" s="369" t="s">
        <v>3774</v>
      </c>
      <c r="K608" s="258">
        <v>43019.0</v>
      </c>
      <c r="L608" s="258">
        <v>43006.0</v>
      </c>
      <c r="M608" s="403" t="s">
        <v>3775</v>
      </c>
      <c r="N608" s="310" t="s">
        <v>7942</v>
      </c>
      <c r="O608" s="579">
        <v>5355.0</v>
      </c>
      <c r="P608" s="330"/>
      <c r="Q608" s="597" t="s">
        <v>2207</v>
      </c>
      <c r="R608" s="330"/>
      <c r="S608" s="768">
        <v>43069.0</v>
      </c>
      <c r="T608" s="771">
        <v>43005.0</v>
      </c>
      <c r="U608" s="310" t="s">
        <v>7943</v>
      </c>
      <c r="V608" s="774">
        <v>298822.0</v>
      </c>
      <c r="W608" s="258">
        <v>43069.0</v>
      </c>
      <c r="X608" s="252" t="s">
        <v>7944</v>
      </c>
      <c r="Y608" s="253">
        <v>8.98466913802E11</v>
      </c>
      <c r="Z608" s="330"/>
      <c r="AA608" s="330"/>
      <c r="AB608" s="330"/>
      <c r="AC608" s="253" t="s">
        <v>284</v>
      </c>
    </row>
    <row r="609" ht="15.75" customHeight="1">
      <c r="A609" s="764">
        <v>42990.0</v>
      </c>
      <c r="B609" s="1004" t="s">
        <v>326</v>
      </c>
      <c r="C609" s="765">
        <v>1613732.0</v>
      </c>
      <c r="D609" s="765" t="s">
        <v>7941</v>
      </c>
      <c r="E609" s="765" t="s">
        <v>53</v>
      </c>
      <c r="F609" s="253">
        <v>10.0</v>
      </c>
      <c r="G609" s="254">
        <v>31.0</v>
      </c>
      <c r="H609" s="581">
        <f t="shared" si="9"/>
        <v>310</v>
      </c>
      <c r="I609" s="256" t="s">
        <v>3474</v>
      </c>
      <c r="J609" s="369" t="s">
        <v>3774</v>
      </c>
      <c r="K609" s="258">
        <v>43019.0</v>
      </c>
      <c r="L609" s="258">
        <v>43006.0</v>
      </c>
      <c r="M609" s="333" t="s">
        <v>3775</v>
      </c>
      <c r="N609" s="310" t="s">
        <v>7942</v>
      </c>
      <c r="O609" s="310">
        <v>226.8</v>
      </c>
      <c r="P609" s="330"/>
      <c r="Q609" s="597" t="s">
        <v>2207</v>
      </c>
      <c r="R609" s="330"/>
      <c r="S609" s="768">
        <v>43069.0</v>
      </c>
      <c r="T609" s="771">
        <v>43005.0</v>
      </c>
      <c r="U609" s="310" t="s">
        <v>7943</v>
      </c>
      <c r="V609" s="310" t="s">
        <v>7945</v>
      </c>
      <c r="W609" s="258">
        <v>43069.0</v>
      </c>
      <c r="X609" s="252" t="s">
        <v>7944</v>
      </c>
      <c r="Y609" s="253">
        <v>8.98466913802E11</v>
      </c>
      <c r="Z609" s="330"/>
      <c r="AA609" s="330"/>
      <c r="AB609" s="330"/>
      <c r="AC609" s="253" t="s">
        <v>284</v>
      </c>
    </row>
    <row r="610" ht="15.75" customHeight="1">
      <c r="A610" s="764">
        <v>42990.0</v>
      </c>
      <c r="B610" s="1004" t="s">
        <v>326</v>
      </c>
      <c r="C610" s="765">
        <v>1613732.0</v>
      </c>
      <c r="D610" s="765" t="s">
        <v>7941</v>
      </c>
      <c r="E610" s="765" t="s">
        <v>59</v>
      </c>
      <c r="F610" s="253">
        <v>10.0</v>
      </c>
      <c r="G610" s="254">
        <v>4.0</v>
      </c>
      <c r="H610" s="581">
        <f t="shared" si="9"/>
        <v>40</v>
      </c>
      <c r="I610" s="256" t="s">
        <v>3474</v>
      </c>
      <c r="J610" s="369" t="s">
        <v>3774</v>
      </c>
      <c r="K610" s="258">
        <v>43019.0</v>
      </c>
      <c r="L610" s="258">
        <v>43006.0</v>
      </c>
      <c r="M610" s="403" t="s">
        <v>3775</v>
      </c>
      <c r="N610" s="310" t="s">
        <v>7942</v>
      </c>
      <c r="O610" s="310">
        <v>21.0</v>
      </c>
      <c r="P610" s="330"/>
      <c r="Q610" s="597" t="s">
        <v>2207</v>
      </c>
      <c r="R610" s="330"/>
      <c r="S610" s="768">
        <v>43069.0</v>
      </c>
      <c r="T610" s="771">
        <v>43005.0</v>
      </c>
      <c r="U610" s="310" t="s">
        <v>7943</v>
      </c>
      <c r="V610" s="310" t="s">
        <v>7945</v>
      </c>
      <c r="W610" s="258">
        <v>43069.0</v>
      </c>
      <c r="X610" s="252" t="s">
        <v>7944</v>
      </c>
      <c r="Y610" s="253">
        <v>8.98466913802E11</v>
      </c>
      <c r="Z610" s="330"/>
      <c r="AA610" s="330"/>
      <c r="AB610" s="330"/>
      <c r="AC610" s="253" t="s">
        <v>284</v>
      </c>
    </row>
    <row r="611" ht="15.75" customHeight="1">
      <c r="A611" s="764">
        <v>42990.0</v>
      </c>
      <c r="B611" s="1004" t="s">
        <v>326</v>
      </c>
      <c r="C611" s="765">
        <v>1613732.0</v>
      </c>
      <c r="D611" s="765" t="s">
        <v>7941</v>
      </c>
      <c r="E611" s="765" t="s">
        <v>6374</v>
      </c>
      <c r="F611" s="253">
        <v>10.0</v>
      </c>
      <c r="G611" s="254">
        <v>438.0</v>
      </c>
      <c r="H611" s="581">
        <f t="shared" si="9"/>
        <v>4380</v>
      </c>
      <c r="I611" s="256" t="s">
        <v>3474</v>
      </c>
      <c r="J611" s="369" t="s">
        <v>3774</v>
      </c>
      <c r="K611" s="258">
        <v>43019.0</v>
      </c>
      <c r="L611" s="258">
        <v>43006.0</v>
      </c>
      <c r="M611" s="333" t="s">
        <v>3775</v>
      </c>
      <c r="N611" s="310" t="s">
        <v>7942</v>
      </c>
      <c r="O611" s="310">
        <v>4042.5</v>
      </c>
      <c r="P611" s="330"/>
      <c r="Q611" s="597" t="s">
        <v>2207</v>
      </c>
      <c r="R611" s="330"/>
      <c r="S611" s="768">
        <v>43069.0</v>
      </c>
      <c r="T611" s="771">
        <v>43005.0</v>
      </c>
      <c r="U611" s="310" t="s">
        <v>7943</v>
      </c>
      <c r="V611" s="310" t="s">
        <v>7945</v>
      </c>
      <c r="W611" s="258">
        <v>43069.0</v>
      </c>
      <c r="X611" s="252" t="s">
        <v>7944</v>
      </c>
      <c r="Y611" s="253">
        <v>8.98466913802E11</v>
      </c>
      <c r="Z611" s="330"/>
      <c r="AA611" s="330"/>
      <c r="AB611" s="330"/>
      <c r="AC611" s="253" t="s">
        <v>284</v>
      </c>
    </row>
    <row r="612" ht="15.75" customHeight="1">
      <c r="A612" s="764">
        <v>42990.0</v>
      </c>
      <c r="B612" s="1004" t="s">
        <v>326</v>
      </c>
      <c r="C612" s="765">
        <v>1613732.0</v>
      </c>
      <c r="D612" s="765" t="s">
        <v>7941</v>
      </c>
      <c r="E612" s="765" t="s">
        <v>53</v>
      </c>
      <c r="F612" s="253">
        <v>10.0</v>
      </c>
      <c r="G612" s="254">
        <v>31.0</v>
      </c>
      <c r="H612" s="581">
        <f t="shared" si="9"/>
        <v>310</v>
      </c>
      <c r="I612" s="256" t="s">
        <v>3474</v>
      </c>
      <c r="J612" s="369" t="s">
        <v>3774</v>
      </c>
      <c r="K612" s="258">
        <v>43019.0</v>
      </c>
      <c r="L612" s="258">
        <v>43006.0</v>
      </c>
      <c r="M612" s="333" t="s">
        <v>3775</v>
      </c>
      <c r="N612" s="310" t="s">
        <v>7942</v>
      </c>
      <c r="O612" s="310">
        <v>226.8</v>
      </c>
      <c r="P612" s="330"/>
      <c r="Q612" s="597" t="s">
        <v>2207</v>
      </c>
      <c r="R612" s="330"/>
      <c r="S612" s="768">
        <v>43069.0</v>
      </c>
      <c r="T612" s="771">
        <v>43005.0</v>
      </c>
      <c r="U612" s="310" t="s">
        <v>7943</v>
      </c>
      <c r="V612" s="310" t="s">
        <v>7945</v>
      </c>
      <c r="W612" s="258">
        <v>43069.0</v>
      </c>
      <c r="X612" s="252" t="s">
        <v>7944</v>
      </c>
      <c r="Y612" s="253">
        <v>8.98466913802E11</v>
      </c>
      <c r="Z612" s="330"/>
      <c r="AA612" s="330"/>
      <c r="AB612" s="330"/>
      <c r="AC612" s="253" t="s">
        <v>284</v>
      </c>
    </row>
    <row r="613" ht="15.75" customHeight="1">
      <c r="A613" s="764">
        <v>42990.0</v>
      </c>
      <c r="B613" s="1004" t="s">
        <v>326</v>
      </c>
      <c r="C613" s="765">
        <v>1613732.0</v>
      </c>
      <c r="D613" s="765" t="s">
        <v>7941</v>
      </c>
      <c r="E613" s="765" t="s">
        <v>59</v>
      </c>
      <c r="F613" s="253">
        <v>10.0</v>
      </c>
      <c r="G613" s="254">
        <v>4.0</v>
      </c>
      <c r="H613" s="581">
        <f t="shared" si="9"/>
        <v>40</v>
      </c>
      <c r="I613" s="256" t="s">
        <v>3474</v>
      </c>
      <c r="J613" s="369" t="s">
        <v>3774</v>
      </c>
      <c r="K613" s="258">
        <v>43019.0</v>
      </c>
      <c r="L613" s="258">
        <v>43006.0</v>
      </c>
      <c r="M613" s="333" t="s">
        <v>3775</v>
      </c>
      <c r="N613" s="310" t="s">
        <v>7942</v>
      </c>
      <c r="O613" s="310">
        <v>21.0</v>
      </c>
      <c r="P613" s="330"/>
      <c r="Q613" s="597" t="s">
        <v>2207</v>
      </c>
      <c r="R613" s="330"/>
      <c r="S613" s="768">
        <v>43069.0</v>
      </c>
      <c r="T613" s="771">
        <v>43005.0</v>
      </c>
      <c r="U613" s="310" t="s">
        <v>7943</v>
      </c>
      <c r="V613" s="310" t="s">
        <v>7945</v>
      </c>
      <c r="W613" s="258">
        <v>43069.0</v>
      </c>
      <c r="X613" s="252" t="s">
        <v>7944</v>
      </c>
      <c r="Y613" s="253">
        <v>8.98466913802E11</v>
      </c>
      <c r="Z613" s="330"/>
      <c r="AA613" s="330"/>
      <c r="AB613" s="330"/>
      <c r="AC613" s="253" t="s">
        <v>284</v>
      </c>
    </row>
    <row r="614" ht="15.75" customHeight="1">
      <c r="A614" s="764">
        <v>42990.0</v>
      </c>
      <c r="B614" s="1004" t="s">
        <v>326</v>
      </c>
      <c r="C614" s="765">
        <v>1613732.0</v>
      </c>
      <c r="D614" s="765" t="s">
        <v>7941</v>
      </c>
      <c r="E614" s="765" t="s">
        <v>3781</v>
      </c>
      <c r="F614" s="253">
        <v>10.0</v>
      </c>
      <c r="G614" s="254">
        <v>273.0</v>
      </c>
      <c r="H614" s="581">
        <f t="shared" si="9"/>
        <v>2730</v>
      </c>
      <c r="I614" s="256" t="s">
        <v>3474</v>
      </c>
      <c r="J614" s="369" t="s">
        <v>3774</v>
      </c>
      <c r="K614" s="258">
        <v>43019.0</v>
      </c>
      <c r="L614" s="258">
        <v>42999.0</v>
      </c>
      <c r="M614" s="369" t="s">
        <v>45</v>
      </c>
      <c r="N614" s="310" t="s">
        <v>7946</v>
      </c>
      <c r="O614" s="814">
        <v>2257.5</v>
      </c>
      <c r="P614" s="330"/>
      <c r="Q614" s="320" t="s">
        <v>3916</v>
      </c>
      <c r="R614" s="330"/>
      <c r="S614" s="810">
        <v>43029.0</v>
      </c>
      <c r="T614" s="769">
        <v>42999.0</v>
      </c>
      <c r="U614" s="765" t="s">
        <v>7947</v>
      </c>
      <c r="V614" s="770">
        <v>85424.0</v>
      </c>
      <c r="W614" s="601">
        <v>43032.0</v>
      </c>
      <c r="X614" s="252" t="s">
        <v>7944</v>
      </c>
      <c r="Y614" s="253">
        <v>8.98466913802E11</v>
      </c>
      <c r="Z614" s="330"/>
      <c r="AA614" s="330"/>
      <c r="AB614" s="330"/>
      <c r="AC614" s="253" t="s">
        <v>284</v>
      </c>
    </row>
    <row r="615" ht="15.75" customHeight="1">
      <c r="A615" s="764">
        <v>42990.0</v>
      </c>
      <c r="B615" s="1004" t="s">
        <v>326</v>
      </c>
      <c r="C615" s="765">
        <v>1613732.0</v>
      </c>
      <c r="D615" s="765" t="s">
        <v>7941</v>
      </c>
      <c r="E615" s="765" t="s">
        <v>7325</v>
      </c>
      <c r="F615" s="253">
        <v>10.0</v>
      </c>
      <c r="G615" s="254">
        <v>48.0</v>
      </c>
      <c r="H615" s="581">
        <f t="shared" si="9"/>
        <v>480</v>
      </c>
      <c r="I615" s="256" t="s">
        <v>3474</v>
      </c>
      <c r="J615" s="369" t="s">
        <v>3774</v>
      </c>
      <c r="K615" s="258">
        <v>43019.0</v>
      </c>
      <c r="L615" s="258">
        <v>42999.0</v>
      </c>
      <c r="M615" s="269" t="s">
        <v>45</v>
      </c>
      <c r="N615" s="310" t="s">
        <v>7946</v>
      </c>
      <c r="O615" s="814">
        <v>577.5</v>
      </c>
      <c r="P615" s="330"/>
      <c r="Q615" s="320" t="s">
        <v>3916</v>
      </c>
      <c r="R615" s="330"/>
      <c r="S615" s="810">
        <v>43029.0</v>
      </c>
      <c r="T615" s="769">
        <v>42999.0</v>
      </c>
      <c r="U615" s="765" t="s">
        <v>7947</v>
      </c>
      <c r="V615" s="765" t="s">
        <v>7948</v>
      </c>
      <c r="W615" s="601">
        <v>43032.0</v>
      </c>
      <c r="X615" s="252" t="s">
        <v>7944</v>
      </c>
      <c r="Y615" s="253">
        <v>8.98466913802E11</v>
      </c>
      <c r="Z615" s="330"/>
      <c r="AA615" s="330"/>
      <c r="AB615" s="330"/>
      <c r="AC615" s="253" t="s">
        <v>284</v>
      </c>
    </row>
    <row r="616" ht="15.75" customHeight="1">
      <c r="A616" s="764">
        <v>42990.0</v>
      </c>
      <c r="B616" s="1004" t="s">
        <v>5188</v>
      </c>
      <c r="C616" s="778" t="s">
        <v>7949</v>
      </c>
      <c r="D616" s="765" t="s">
        <v>7950</v>
      </c>
      <c r="E616" s="765" t="s">
        <v>7951</v>
      </c>
      <c r="F616" s="253">
        <v>10.0</v>
      </c>
      <c r="G616" s="254">
        <f>9.4*(1+5%)</f>
        <v>9.87</v>
      </c>
      <c r="H616" s="581">
        <f t="shared" si="9"/>
        <v>98.7</v>
      </c>
      <c r="I616" s="779" t="s">
        <v>3474</v>
      </c>
      <c r="J616" s="253" t="s">
        <v>1324</v>
      </c>
      <c r="K616" s="258">
        <v>42999.0</v>
      </c>
      <c r="L616" s="258">
        <v>42997.0</v>
      </c>
      <c r="M616" s="333" t="s">
        <v>2508</v>
      </c>
      <c r="N616" s="310" t="s">
        <v>7952</v>
      </c>
      <c r="O616" s="330"/>
      <c r="P616" s="579">
        <v>2678.0</v>
      </c>
      <c r="Q616" s="320" t="s">
        <v>4491</v>
      </c>
      <c r="R616" s="330"/>
      <c r="S616" s="768">
        <v>43013.0</v>
      </c>
      <c r="T616" s="769">
        <v>42992.0</v>
      </c>
      <c r="U616" s="765" t="s">
        <v>7953</v>
      </c>
      <c r="V616" s="770">
        <v>2678.0</v>
      </c>
      <c r="W616" s="601">
        <v>43013.0</v>
      </c>
      <c r="X616" s="252" t="s">
        <v>7954</v>
      </c>
      <c r="Y616" s="330" t="s">
        <v>7955</v>
      </c>
      <c r="Z616" s="604" t="s">
        <v>7470</v>
      </c>
      <c r="AA616" s="262">
        <v>2966.0</v>
      </c>
      <c r="AB616" s="330" t="s">
        <v>2891</v>
      </c>
      <c r="AC616" s="253" t="s">
        <v>377</v>
      </c>
    </row>
    <row r="617" ht="15.75" customHeight="1">
      <c r="A617" s="764">
        <v>42991.0</v>
      </c>
      <c r="B617" s="388" t="s">
        <v>101</v>
      </c>
      <c r="C617" s="330" t="s">
        <v>7956</v>
      </c>
      <c r="D617" s="310" t="s">
        <v>7957</v>
      </c>
      <c r="E617" s="310" t="s">
        <v>7958</v>
      </c>
      <c r="F617" s="307">
        <v>2.0</v>
      </c>
      <c r="G617" s="254">
        <v>847.0</v>
      </c>
      <c r="H617" s="267">
        <f t="shared" si="9"/>
        <v>1694</v>
      </c>
      <c r="I617" s="256" t="s">
        <v>3474</v>
      </c>
      <c r="J617" s="369" t="s">
        <v>3739</v>
      </c>
      <c r="K617" s="258">
        <v>43006.0</v>
      </c>
      <c r="L617" s="886">
        <v>43006.0</v>
      </c>
      <c r="M617" s="333" t="s">
        <v>1439</v>
      </c>
      <c r="N617" s="310" t="s">
        <v>7959</v>
      </c>
      <c r="O617" s="310"/>
      <c r="P617" s="579">
        <v>51715.0</v>
      </c>
      <c r="Q617" s="320" t="s">
        <v>1976</v>
      </c>
      <c r="R617" s="330"/>
      <c r="S617" s="810">
        <v>43039.0</v>
      </c>
      <c r="T617" s="769">
        <v>42997.0</v>
      </c>
      <c r="U617" s="765" t="s">
        <v>7960</v>
      </c>
      <c r="V617" s="770">
        <v>51746.0</v>
      </c>
      <c r="W617" s="1037"/>
      <c r="X617" s="252" t="s">
        <v>7934</v>
      </c>
      <c r="Y617" s="253">
        <v>9.669812176E9</v>
      </c>
      <c r="Z617" s="330"/>
      <c r="AA617" s="330"/>
      <c r="AB617" s="330"/>
      <c r="AC617" s="253" t="s">
        <v>284</v>
      </c>
    </row>
    <row r="618" ht="15.75" customHeight="1">
      <c r="A618" s="764">
        <v>42991.0</v>
      </c>
      <c r="B618" s="388" t="s">
        <v>101</v>
      </c>
      <c r="C618" s="330" t="s">
        <v>7956</v>
      </c>
      <c r="D618" s="310" t="s">
        <v>7961</v>
      </c>
      <c r="E618" s="310" t="s">
        <v>7030</v>
      </c>
      <c r="F618" s="307">
        <v>2.0</v>
      </c>
      <c r="G618" s="254">
        <f>G616*10%</f>
        <v>0.987</v>
      </c>
      <c r="H618" s="267">
        <f t="shared" si="9"/>
        <v>1.974</v>
      </c>
      <c r="I618" s="256" t="s">
        <v>3474</v>
      </c>
      <c r="J618" s="369" t="s">
        <v>3739</v>
      </c>
      <c r="K618" s="258">
        <v>43006.0</v>
      </c>
      <c r="L618" s="886">
        <v>43006.0</v>
      </c>
      <c r="M618" s="403" t="s">
        <v>1439</v>
      </c>
      <c r="N618" s="310" t="s">
        <v>7959</v>
      </c>
      <c r="O618" s="310"/>
      <c r="P618" s="637" t="s">
        <v>7962</v>
      </c>
      <c r="Q618" s="320" t="s">
        <v>1976</v>
      </c>
      <c r="R618" s="330"/>
      <c r="S618" s="810">
        <v>43039.0</v>
      </c>
      <c r="T618" s="769">
        <v>42997.0</v>
      </c>
      <c r="U618" s="765" t="s">
        <v>7960</v>
      </c>
      <c r="V618" s="765" t="s">
        <v>7963</v>
      </c>
      <c r="W618" s="1037"/>
      <c r="X618" s="252" t="s">
        <v>7934</v>
      </c>
      <c r="Y618" s="253">
        <v>9.669812176E9</v>
      </c>
      <c r="Z618" s="330"/>
      <c r="AA618" s="330"/>
      <c r="AB618" s="330"/>
      <c r="AC618" s="253" t="s">
        <v>284</v>
      </c>
    </row>
    <row r="619" ht="15.75" customHeight="1">
      <c r="A619" s="764">
        <v>42991.0</v>
      </c>
      <c r="B619" s="388" t="s">
        <v>101</v>
      </c>
      <c r="C619" s="330" t="s">
        <v>7956</v>
      </c>
      <c r="D619" s="310" t="s">
        <v>7957</v>
      </c>
      <c r="E619" s="310" t="s">
        <v>7843</v>
      </c>
      <c r="F619" s="307">
        <v>2.0</v>
      </c>
      <c r="G619" s="254">
        <v>74.0</v>
      </c>
      <c r="H619" s="267">
        <f t="shared" si="9"/>
        <v>148</v>
      </c>
      <c r="I619" s="256" t="s">
        <v>3474</v>
      </c>
      <c r="J619" s="369" t="s">
        <v>3739</v>
      </c>
      <c r="K619" s="258">
        <v>43006.0</v>
      </c>
      <c r="L619" s="258">
        <v>42993.0</v>
      </c>
      <c r="M619" s="592" t="s">
        <v>1981</v>
      </c>
      <c r="N619" s="310" t="s">
        <v>7964</v>
      </c>
      <c r="O619" s="596"/>
      <c r="P619" s="330"/>
      <c r="Q619" s="597"/>
      <c r="R619" s="330"/>
      <c r="S619" s="810">
        <v>43056.0</v>
      </c>
      <c r="T619" s="771">
        <v>43020.0</v>
      </c>
      <c r="U619" s="252" t="s">
        <v>7845</v>
      </c>
      <c r="V619" s="774" t="s">
        <v>7965</v>
      </c>
      <c r="W619" s="601">
        <v>43053.0</v>
      </c>
      <c r="X619" s="252" t="s">
        <v>7934</v>
      </c>
      <c r="Y619" s="253">
        <v>9.669812176E9</v>
      </c>
      <c r="Z619" s="330"/>
      <c r="AA619" s="330"/>
      <c r="AB619" s="330"/>
      <c r="AC619" s="253" t="s">
        <v>284</v>
      </c>
    </row>
    <row r="620" ht="15.75" customHeight="1">
      <c r="A620" s="764">
        <v>42992.0</v>
      </c>
      <c r="B620" s="1004" t="s">
        <v>3506</v>
      </c>
      <c r="C620" s="765" t="s">
        <v>7647</v>
      </c>
      <c r="D620" s="310" t="s">
        <v>7966</v>
      </c>
      <c r="E620" s="310" t="s">
        <v>7649</v>
      </c>
      <c r="F620" s="253">
        <v>20.0</v>
      </c>
      <c r="G620" s="254">
        <v>430.0</v>
      </c>
      <c r="H620" s="579">
        <f t="shared" si="9"/>
        <v>8600</v>
      </c>
      <c r="I620" s="256" t="s">
        <v>171</v>
      </c>
      <c r="J620" s="269" t="s">
        <v>3509</v>
      </c>
      <c r="K620" s="258">
        <v>43013.0</v>
      </c>
      <c r="L620" s="258">
        <v>43005.0</v>
      </c>
      <c r="M620" s="333" t="s">
        <v>90</v>
      </c>
      <c r="N620" s="310" t="s">
        <v>7967</v>
      </c>
      <c r="O620" s="579">
        <v>8190.0</v>
      </c>
      <c r="P620" s="330"/>
      <c r="Q620" s="578" t="s">
        <v>94</v>
      </c>
      <c r="R620" s="330"/>
      <c r="S620" s="768">
        <v>43069.0</v>
      </c>
      <c r="T620" s="769">
        <v>43005.0</v>
      </c>
      <c r="U620" s="765" t="s">
        <v>7968</v>
      </c>
      <c r="V620" s="770">
        <v>245782.0</v>
      </c>
      <c r="W620" s="258">
        <v>43052.0</v>
      </c>
      <c r="X620" s="765" t="s">
        <v>7652</v>
      </c>
      <c r="Y620" s="330"/>
      <c r="Z620" s="330"/>
      <c r="AA620" s="330"/>
      <c r="AB620" s="330"/>
      <c r="AC620" s="253" t="s">
        <v>284</v>
      </c>
    </row>
    <row r="621" ht="15.75" customHeight="1">
      <c r="A621" s="764">
        <v>42992.0</v>
      </c>
      <c r="B621" s="1004" t="s">
        <v>3506</v>
      </c>
      <c r="C621" s="765" t="s">
        <v>7647</v>
      </c>
      <c r="D621" s="252" t="s">
        <v>7969</v>
      </c>
      <c r="E621" s="252" t="s">
        <v>7970</v>
      </c>
      <c r="F621" s="253">
        <v>50.0</v>
      </c>
      <c r="G621" s="254">
        <v>174.5</v>
      </c>
      <c r="H621" s="579">
        <f t="shared" si="9"/>
        <v>8725</v>
      </c>
      <c r="I621" s="256" t="s">
        <v>171</v>
      </c>
      <c r="J621" s="269" t="s">
        <v>3509</v>
      </c>
      <c r="K621" s="258">
        <v>43013.0</v>
      </c>
      <c r="L621" s="258">
        <v>43004.0</v>
      </c>
      <c r="M621" s="333" t="s">
        <v>3510</v>
      </c>
      <c r="N621" s="310" t="s">
        <v>7971</v>
      </c>
      <c r="O621" s="579">
        <v>8295.0</v>
      </c>
      <c r="P621" s="330"/>
      <c r="Q621" s="320" t="s">
        <v>3512</v>
      </c>
      <c r="R621" s="330"/>
      <c r="S621" s="768">
        <v>42996.0</v>
      </c>
      <c r="T621" s="771">
        <v>43007.0</v>
      </c>
      <c r="U621" s="310" t="s">
        <v>7871</v>
      </c>
      <c r="V621" s="310" t="s">
        <v>7901</v>
      </c>
      <c r="W621" s="601">
        <v>42997.0</v>
      </c>
      <c r="X621" s="765" t="s">
        <v>7652</v>
      </c>
      <c r="Y621" s="330"/>
      <c r="Z621" s="330"/>
      <c r="AA621" s="330"/>
      <c r="AB621" s="330"/>
      <c r="AC621" s="253" t="s">
        <v>284</v>
      </c>
    </row>
    <row r="622" ht="15.75" customHeight="1">
      <c r="A622" s="764">
        <v>42992.0</v>
      </c>
      <c r="B622" s="1004" t="s">
        <v>326</v>
      </c>
      <c r="C622" s="765">
        <v>1613861.0</v>
      </c>
      <c r="D622" s="765" t="s">
        <v>7972</v>
      </c>
      <c r="E622" s="765" t="s">
        <v>7973</v>
      </c>
      <c r="F622" s="253">
        <v>30.0</v>
      </c>
      <c r="G622" s="254">
        <v>245.0</v>
      </c>
      <c r="H622" s="579">
        <f t="shared" si="9"/>
        <v>7350</v>
      </c>
      <c r="I622" s="256" t="s">
        <v>3474</v>
      </c>
      <c r="J622" s="369" t="s">
        <v>3774</v>
      </c>
      <c r="K622" s="258">
        <v>43019.0</v>
      </c>
      <c r="L622" s="258">
        <v>43004.0</v>
      </c>
      <c r="M622" s="333" t="s">
        <v>3775</v>
      </c>
      <c r="N622" s="310" t="s">
        <v>7974</v>
      </c>
      <c r="O622" s="579">
        <v>6804.0</v>
      </c>
      <c r="P622" s="330"/>
      <c r="Q622" s="597" t="s">
        <v>2207</v>
      </c>
      <c r="R622" s="330"/>
      <c r="S622" s="768">
        <v>43069.0</v>
      </c>
      <c r="T622" s="771">
        <v>43007.0</v>
      </c>
      <c r="U622" s="310" t="s">
        <v>7975</v>
      </c>
      <c r="V622" s="774">
        <v>206672.0</v>
      </c>
      <c r="W622" s="258">
        <v>43069.0</v>
      </c>
      <c r="X622" s="252" t="s">
        <v>7944</v>
      </c>
      <c r="Y622" s="253">
        <v>8.98466913802E11</v>
      </c>
      <c r="Z622" s="330"/>
      <c r="AA622" s="330"/>
      <c r="AB622" s="330"/>
      <c r="AC622" s="253" t="s">
        <v>284</v>
      </c>
    </row>
    <row r="623" ht="15.75" customHeight="1">
      <c r="A623" s="274">
        <v>42992.0</v>
      </c>
      <c r="B623" s="1058" t="s">
        <v>7976</v>
      </c>
      <c r="C623" s="789"/>
      <c r="D623" s="789" t="s">
        <v>7977</v>
      </c>
      <c r="E623" s="789" t="s">
        <v>7978</v>
      </c>
      <c r="F623" s="279">
        <v>0.0</v>
      </c>
      <c r="G623" s="280">
        <v>280.0</v>
      </c>
      <c r="H623" s="281">
        <f t="shared" si="9"/>
        <v>0</v>
      </c>
      <c r="I623" s="282" t="s">
        <v>3874</v>
      </c>
      <c r="J623" s="888"/>
      <c r="K623" s="797" t="s">
        <v>71</v>
      </c>
      <c r="L623" s="582"/>
      <c r="M623" s="1015" t="s">
        <v>6287</v>
      </c>
      <c r="N623" s="798" t="s">
        <v>7979</v>
      </c>
      <c r="O623" s="586"/>
      <c r="P623" s="582"/>
      <c r="Q623" s="857" t="s">
        <v>2043</v>
      </c>
      <c r="R623" s="582"/>
      <c r="S623" s="858" t="s">
        <v>7980</v>
      </c>
      <c r="T623" s="787"/>
      <c r="U623" s="787"/>
      <c r="V623" s="787"/>
      <c r="W623" s="1047"/>
      <c r="X623" s="787"/>
      <c r="Y623" s="582"/>
      <c r="Z623" s="582"/>
      <c r="AA623" s="582"/>
      <c r="AB623" s="582"/>
      <c r="AC623" s="279" t="s">
        <v>3617</v>
      </c>
    </row>
    <row r="624" ht="15.75" customHeight="1">
      <c r="A624" s="274">
        <v>42992.0</v>
      </c>
      <c r="B624" s="1058" t="s">
        <v>7976</v>
      </c>
      <c r="C624" s="789"/>
      <c r="D624" s="789" t="s">
        <v>7977</v>
      </c>
      <c r="E624" s="789" t="s">
        <v>7981</v>
      </c>
      <c r="F624" s="279">
        <v>0.0</v>
      </c>
      <c r="G624" s="585">
        <v>76.0</v>
      </c>
      <c r="H624" s="281">
        <f t="shared" si="9"/>
        <v>0</v>
      </c>
      <c r="I624" s="282" t="s">
        <v>3874</v>
      </c>
      <c r="J624" s="888"/>
      <c r="K624" s="797" t="s">
        <v>71</v>
      </c>
      <c r="L624" s="279"/>
      <c r="M624" s="1015" t="s">
        <v>6287</v>
      </c>
      <c r="N624" s="798" t="s">
        <v>7979</v>
      </c>
      <c r="O624" s="586"/>
      <c r="P624" s="582"/>
      <c r="Q624" s="857" t="s">
        <v>2043</v>
      </c>
      <c r="R624" s="582"/>
      <c r="S624" s="858" t="s">
        <v>7980</v>
      </c>
      <c r="T624" s="787"/>
      <c r="U624" s="787"/>
      <c r="V624" s="787"/>
      <c r="W624" s="1047"/>
      <c r="X624" s="787"/>
      <c r="Y624" s="582"/>
      <c r="Z624" s="582"/>
      <c r="AA624" s="582"/>
      <c r="AB624" s="582"/>
      <c r="AC624" s="279" t="s">
        <v>3617</v>
      </c>
    </row>
    <row r="625" ht="15.75" customHeight="1">
      <c r="A625" s="764">
        <v>42993.0</v>
      </c>
      <c r="B625" s="1004" t="s">
        <v>101</v>
      </c>
      <c r="C625" s="765" t="s">
        <v>7982</v>
      </c>
      <c r="D625" s="765" t="s">
        <v>7983</v>
      </c>
      <c r="E625" s="765" t="s">
        <v>7984</v>
      </c>
      <c r="F625" s="253">
        <v>1.0</v>
      </c>
      <c r="G625" s="254">
        <v>994.0</v>
      </c>
      <c r="H625" s="267">
        <f t="shared" si="9"/>
        <v>994</v>
      </c>
      <c r="I625" s="256" t="s">
        <v>3474</v>
      </c>
      <c r="J625" s="369" t="s">
        <v>3739</v>
      </c>
      <c r="K625" s="258">
        <v>43006.0</v>
      </c>
      <c r="L625" s="258">
        <v>43005.0</v>
      </c>
      <c r="M625" s="333" t="s">
        <v>6841</v>
      </c>
      <c r="N625" s="310" t="s">
        <v>7985</v>
      </c>
      <c r="O625" s="596"/>
      <c r="P625" s="637">
        <v>27617.0</v>
      </c>
      <c r="Q625" s="1097" t="s">
        <v>2346</v>
      </c>
      <c r="R625" s="330"/>
      <c r="S625" s="768">
        <v>43044.0</v>
      </c>
      <c r="T625" s="769">
        <v>43005.0</v>
      </c>
      <c r="U625" s="765" t="s">
        <v>7986</v>
      </c>
      <c r="V625" s="770">
        <v>27617.0</v>
      </c>
      <c r="W625" s="601">
        <v>43046.0</v>
      </c>
      <c r="X625" s="252" t="s">
        <v>7934</v>
      </c>
      <c r="Y625" s="253">
        <v>9.669812176E9</v>
      </c>
      <c r="Z625" s="330"/>
      <c r="AA625" s="330"/>
      <c r="AB625" s="330"/>
      <c r="AC625" s="253" t="s">
        <v>284</v>
      </c>
    </row>
    <row r="626" ht="15.75" customHeight="1">
      <c r="A626" s="764">
        <v>42993.0</v>
      </c>
      <c r="B626" s="597" t="s">
        <v>7314</v>
      </c>
      <c r="C626" s="765">
        <v>7.000132495E9</v>
      </c>
      <c r="D626" s="765" t="s">
        <v>7987</v>
      </c>
      <c r="E626" s="765" t="s">
        <v>7988</v>
      </c>
      <c r="F626" s="253">
        <v>1.0</v>
      </c>
      <c r="G626" s="254">
        <v>169.0</v>
      </c>
      <c r="H626" s="267">
        <f t="shared" si="9"/>
        <v>169</v>
      </c>
      <c r="I626" s="256" t="s">
        <v>43</v>
      </c>
      <c r="J626" s="777" t="s">
        <v>3623</v>
      </c>
      <c r="K626" s="258">
        <v>43006.0</v>
      </c>
      <c r="L626" s="258">
        <v>43004.0</v>
      </c>
      <c r="M626" s="266" t="s">
        <v>3593</v>
      </c>
      <c r="N626" s="310" t="s">
        <v>7989</v>
      </c>
      <c r="O626" s="596"/>
      <c r="P626" s="637">
        <v>4771.0</v>
      </c>
      <c r="Q626" s="310" t="s">
        <v>2080</v>
      </c>
      <c r="R626" s="330"/>
      <c r="S626" s="810">
        <v>43100.0</v>
      </c>
      <c r="T626" s="769">
        <v>43004.0</v>
      </c>
      <c r="U626" s="765" t="s">
        <v>7990</v>
      </c>
      <c r="V626" s="770">
        <v>24616.0</v>
      </c>
      <c r="W626" s="601">
        <v>43105.0</v>
      </c>
      <c r="X626" s="252" t="s">
        <v>7991</v>
      </c>
      <c r="Y626" s="253">
        <v>7.397040663E9</v>
      </c>
      <c r="Z626" s="330"/>
      <c r="AA626" s="330"/>
      <c r="AB626" s="330"/>
      <c r="AC626" s="253" t="s">
        <v>284</v>
      </c>
    </row>
    <row r="627" ht="15.75" customHeight="1">
      <c r="A627" s="764">
        <v>42993.0</v>
      </c>
      <c r="B627" s="597" t="s">
        <v>7314</v>
      </c>
      <c r="C627" s="765">
        <v>7.000132495E9</v>
      </c>
      <c r="D627" s="765" t="s">
        <v>7987</v>
      </c>
      <c r="E627" s="765" t="s">
        <v>7992</v>
      </c>
      <c r="F627" s="253">
        <v>6.0</v>
      </c>
      <c r="G627" s="254">
        <v>117.0</v>
      </c>
      <c r="H627" s="267">
        <f t="shared" si="9"/>
        <v>702</v>
      </c>
      <c r="I627" s="256" t="s">
        <v>43</v>
      </c>
      <c r="J627" s="777" t="s">
        <v>3623</v>
      </c>
      <c r="K627" s="258">
        <v>43006.0</v>
      </c>
      <c r="L627" s="258">
        <v>43004.0</v>
      </c>
      <c r="M627" s="266" t="s">
        <v>3593</v>
      </c>
      <c r="N627" s="310" t="s">
        <v>7989</v>
      </c>
      <c r="O627" s="596"/>
      <c r="P627" s="579">
        <v>19845.0</v>
      </c>
      <c r="Q627" s="310" t="s">
        <v>2080</v>
      </c>
      <c r="R627" s="330"/>
      <c r="S627" s="810">
        <v>43100.0</v>
      </c>
      <c r="T627" s="769">
        <v>43004.0</v>
      </c>
      <c r="U627" s="765" t="s">
        <v>7990</v>
      </c>
      <c r="V627" s="765" t="s">
        <v>7993</v>
      </c>
      <c r="W627" s="601">
        <v>43105.0</v>
      </c>
      <c r="X627" s="252" t="s">
        <v>7991</v>
      </c>
      <c r="Y627" s="253">
        <v>7.397040663E9</v>
      </c>
      <c r="Z627" s="330"/>
      <c r="AA627" s="330"/>
      <c r="AB627" s="330"/>
      <c r="AC627" s="253" t="s">
        <v>284</v>
      </c>
    </row>
    <row r="628" ht="15.75" customHeight="1">
      <c r="A628" s="764">
        <v>42996.0</v>
      </c>
      <c r="B628" s="1004" t="s">
        <v>4754</v>
      </c>
      <c r="C628" s="765">
        <v>63578.0</v>
      </c>
      <c r="D628" s="765" t="s">
        <v>7994</v>
      </c>
      <c r="E628" s="765" t="s">
        <v>7995</v>
      </c>
      <c r="F628" s="253">
        <v>50.0</v>
      </c>
      <c r="G628" s="254">
        <v>58.0</v>
      </c>
      <c r="H628" s="267">
        <f t="shared" si="9"/>
        <v>2900</v>
      </c>
      <c r="I628" s="779" t="s">
        <v>3474</v>
      </c>
      <c r="J628" s="369" t="s">
        <v>534</v>
      </c>
      <c r="K628" s="258">
        <v>43003.0</v>
      </c>
      <c r="L628" s="258">
        <v>43000.0</v>
      </c>
      <c r="M628" s="333" t="s">
        <v>6386</v>
      </c>
      <c r="N628" s="310" t="s">
        <v>7996</v>
      </c>
      <c r="O628" s="268">
        <v>2677.5</v>
      </c>
      <c r="P628" s="330"/>
      <c r="Q628" s="604" t="s">
        <v>6388</v>
      </c>
      <c r="R628" s="330"/>
      <c r="S628" s="768">
        <v>43013.0</v>
      </c>
      <c r="T628" s="769">
        <v>42999.0</v>
      </c>
      <c r="U628" s="765" t="s">
        <v>7997</v>
      </c>
      <c r="V628" s="770">
        <v>80641.0</v>
      </c>
      <c r="W628" s="258">
        <v>43013.0</v>
      </c>
      <c r="X628" s="252" t="s">
        <v>7998</v>
      </c>
      <c r="Y628" s="253">
        <v>1.54879564E9</v>
      </c>
      <c r="Z628" s="330"/>
      <c r="AA628" s="330"/>
      <c r="AB628" s="330"/>
      <c r="AC628" s="253" t="s">
        <v>284</v>
      </c>
    </row>
    <row r="629" ht="15.75" customHeight="1">
      <c r="A629" s="764">
        <v>42996.0</v>
      </c>
      <c r="B629" s="1004" t="s">
        <v>4754</v>
      </c>
      <c r="C629" s="765">
        <v>63578.0</v>
      </c>
      <c r="D629" s="765" t="s">
        <v>7994</v>
      </c>
      <c r="E629" s="765" t="s">
        <v>347</v>
      </c>
      <c r="F629" s="253">
        <v>1.0</v>
      </c>
      <c r="G629" s="254">
        <v>172.0</v>
      </c>
      <c r="H629" s="267">
        <f t="shared" si="9"/>
        <v>172</v>
      </c>
      <c r="I629" s="779" t="s">
        <v>3474</v>
      </c>
      <c r="J629" s="369" t="s">
        <v>534</v>
      </c>
      <c r="K629" s="258">
        <v>43003.0</v>
      </c>
      <c r="L629" s="601">
        <v>43000.0</v>
      </c>
      <c r="M629" s="266" t="s">
        <v>2032</v>
      </c>
      <c r="N629" s="600"/>
      <c r="O629" s="596"/>
      <c r="P629" s="637">
        <v>4905.0</v>
      </c>
      <c r="Q629" s="310" t="s">
        <v>2033</v>
      </c>
      <c r="R629" s="330"/>
      <c r="S629" s="768">
        <v>43038.0</v>
      </c>
      <c r="T629" s="771">
        <v>43008.0</v>
      </c>
      <c r="U629" s="310" t="s">
        <v>7999</v>
      </c>
      <c r="V629" s="774">
        <v>9343.0</v>
      </c>
      <c r="W629" s="258">
        <v>43041.0</v>
      </c>
      <c r="X629" s="252" t="s">
        <v>7998</v>
      </c>
      <c r="Y629" s="253">
        <v>1.54879564E9</v>
      </c>
      <c r="Z629" s="330"/>
      <c r="AA629" s="330"/>
      <c r="AB629" s="330"/>
      <c r="AC629" s="253" t="s">
        <v>284</v>
      </c>
    </row>
    <row r="630" ht="15.75" customHeight="1">
      <c r="A630" s="764">
        <v>42997.0</v>
      </c>
      <c r="B630" s="1004" t="s">
        <v>3506</v>
      </c>
      <c r="C630" s="765" t="s">
        <v>7647</v>
      </c>
      <c r="D630" s="252" t="s">
        <v>8000</v>
      </c>
      <c r="E630" s="252" t="s">
        <v>7649</v>
      </c>
      <c r="F630" s="253">
        <v>40.0</v>
      </c>
      <c r="G630" s="254">
        <v>430.0</v>
      </c>
      <c r="H630" s="579">
        <f t="shared" si="9"/>
        <v>17200</v>
      </c>
      <c r="I630" s="256" t="s">
        <v>171</v>
      </c>
      <c r="J630" s="269" t="s">
        <v>3509</v>
      </c>
      <c r="K630" s="258">
        <v>43013.0</v>
      </c>
      <c r="L630" s="258">
        <v>43011.0</v>
      </c>
      <c r="M630" s="333" t="s">
        <v>90</v>
      </c>
      <c r="N630" s="310" t="s">
        <v>8001</v>
      </c>
      <c r="O630" s="579">
        <v>16380.0</v>
      </c>
      <c r="P630" s="330"/>
      <c r="Q630" s="340" t="s">
        <v>94</v>
      </c>
      <c r="R630" s="330"/>
      <c r="S630" s="768">
        <v>43069.0</v>
      </c>
      <c r="T630" s="769">
        <v>43010.0</v>
      </c>
      <c r="U630" s="765" t="s">
        <v>8002</v>
      </c>
      <c r="V630" s="770">
        <v>493284.0</v>
      </c>
      <c r="W630" s="258">
        <v>43052.0</v>
      </c>
      <c r="X630" s="765" t="s">
        <v>7652</v>
      </c>
      <c r="Y630" s="330"/>
      <c r="Z630" s="330"/>
      <c r="AA630" s="330"/>
      <c r="AB630" s="330"/>
      <c r="AC630" s="253" t="s">
        <v>284</v>
      </c>
    </row>
    <row r="631" ht="15.75" customHeight="1">
      <c r="A631" s="764">
        <v>42998.0</v>
      </c>
      <c r="B631" s="1004" t="s">
        <v>77</v>
      </c>
      <c r="C631" s="765">
        <v>766.0</v>
      </c>
      <c r="D631" s="252" t="s">
        <v>8003</v>
      </c>
      <c r="E631" s="252" t="s">
        <v>318</v>
      </c>
      <c r="F631" s="253">
        <v>16.0</v>
      </c>
      <c r="G631" s="254">
        <v>270.0</v>
      </c>
      <c r="H631" s="581">
        <f t="shared" si="9"/>
        <v>4320</v>
      </c>
      <c r="I631" s="256" t="s">
        <v>43</v>
      </c>
      <c r="J631" s="369" t="s">
        <v>316</v>
      </c>
      <c r="K631" s="258">
        <v>43014.0</v>
      </c>
      <c r="L631" s="266" t="s">
        <v>8004</v>
      </c>
      <c r="M631" s="403" t="s">
        <v>1998</v>
      </c>
      <c r="N631" s="310" t="s">
        <v>8005</v>
      </c>
      <c r="O631" s="267">
        <v>3696.0</v>
      </c>
      <c r="P631" s="330"/>
      <c r="Q631" s="310" t="s">
        <v>2000</v>
      </c>
      <c r="R631" s="330"/>
      <c r="S631" s="810">
        <v>43074.0</v>
      </c>
      <c r="T631" s="252" t="s">
        <v>8006</v>
      </c>
      <c r="U631" s="252" t="s">
        <v>8007</v>
      </c>
      <c r="V631" s="774" t="s">
        <v>8008</v>
      </c>
      <c r="W631" s="601">
        <v>43074.0</v>
      </c>
      <c r="X631" s="252" t="s">
        <v>7928</v>
      </c>
      <c r="Y631" s="253">
        <v>8.42471254E8</v>
      </c>
      <c r="Z631" s="330"/>
      <c r="AA631" s="330"/>
      <c r="AB631" s="330"/>
      <c r="AC631" s="253" t="s">
        <v>284</v>
      </c>
    </row>
    <row r="632" ht="15.75" customHeight="1">
      <c r="A632" s="764">
        <v>42998.0</v>
      </c>
      <c r="B632" s="844" t="s">
        <v>1745</v>
      </c>
      <c r="C632" s="765" t="s">
        <v>8009</v>
      </c>
      <c r="D632" s="765" t="s">
        <v>8010</v>
      </c>
      <c r="E632" s="765" t="s">
        <v>8011</v>
      </c>
      <c r="F632" s="253">
        <v>20.0</v>
      </c>
      <c r="G632" s="254">
        <v>125.0</v>
      </c>
      <c r="H632" s="581">
        <f t="shared" si="9"/>
        <v>2500</v>
      </c>
      <c r="I632" s="779" t="s">
        <v>3474</v>
      </c>
      <c r="J632" s="369" t="s">
        <v>7053</v>
      </c>
      <c r="K632" s="258">
        <v>43031.0</v>
      </c>
      <c r="L632" s="258">
        <v>43026.0</v>
      </c>
      <c r="M632" s="269" t="s">
        <v>8012</v>
      </c>
      <c r="N632" s="310" t="s">
        <v>8013</v>
      </c>
      <c r="O632" s="596"/>
      <c r="P632" s="330"/>
      <c r="Q632" s="597"/>
      <c r="R632" s="330"/>
      <c r="S632" s="330"/>
      <c r="T632" s="310" t="s">
        <v>8014</v>
      </c>
      <c r="U632" s="765"/>
      <c r="V632" s="765"/>
      <c r="W632" s="253"/>
      <c r="X632" s="252" t="s">
        <v>8015</v>
      </c>
      <c r="Y632" s="253">
        <v>1.5041026E8</v>
      </c>
      <c r="Z632" s="330"/>
      <c r="AA632" s="330"/>
      <c r="AB632" s="330"/>
      <c r="AC632" s="253" t="s">
        <v>284</v>
      </c>
    </row>
    <row r="633" ht="15.75" customHeight="1">
      <c r="A633" s="764">
        <v>42998.0</v>
      </c>
      <c r="B633" s="844" t="s">
        <v>1745</v>
      </c>
      <c r="C633" s="765" t="s">
        <v>8009</v>
      </c>
      <c r="D633" s="765" t="s">
        <v>8010</v>
      </c>
      <c r="E633" s="765" t="s">
        <v>5431</v>
      </c>
      <c r="F633" s="253">
        <v>20.0</v>
      </c>
      <c r="G633" s="254">
        <v>13.0</v>
      </c>
      <c r="H633" s="581">
        <f t="shared" si="9"/>
        <v>260</v>
      </c>
      <c r="I633" s="779" t="s">
        <v>3474</v>
      </c>
      <c r="J633" s="369" t="s">
        <v>7053</v>
      </c>
      <c r="K633" s="258">
        <v>43031.0</v>
      </c>
      <c r="L633" s="258">
        <v>43026.0</v>
      </c>
      <c r="M633" s="592" t="s">
        <v>6298</v>
      </c>
      <c r="N633" s="310" t="s">
        <v>8013</v>
      </c>
      <c r="O633" s="596"/>
      <c r="P633" s="330"/>
      <c r="Q633" s="597"/>
      <c r="R633" s="330"/>
      <c r="S633" s="330"/>
      <c r="T633" s="310" t="s">
        <v>8014</v>
      </c>
      <c r="U633" s="765"/>
      <c r="V633" s="765"/>
      <c r="W633" s="253"/>
      <c r="X633" s="252" t="s">
        <v>8015</v>
      </c>
      <c r="Y633" s="253">
        <v>1.5041026E8</v>
      </c>
      <c r="Z633" s="330"/>
      <c r="AA633" s="330"/>
      <c r="AB633" s="330"/>
      <c r="AC633" s="253" t="s">
        <v>284</v>
      </c>
    </row>
    <row r="634" ht="15.75" customHeight="1">
      <c r="A634" s="764">
        <v>42998.0</v>
      </c>
      <c r="B634" s="844" t="s">
        <v>3640</v>
      </c>
      <c r="C634" s="765"/>
      <c r="D634" s="252" t="s">
        <v>8016</v>
      </c>
      <c r="E634" s="252" t="s">
        <v>8017</v>
      </c>
      <c r="F634" s="253">
        <v>1.0</v>
      </c>
      <c r="G634" s="254">
        <v>29.0</v>
      </c>
      <c r="H634" s="581">
        <f t="shared" si="9"/>
        <v>29</v>
      </c>
      <c r="I634" s="779" t="s">
        <v>3474</v>
      </c>
      <c r="J634" s="369" t="s">
        <v>8018</v>
      </c>
      <c r="K634" s="258">
        <v>43020.0</v>
      </c>
      <c r="L634" s="258">
        <v>43013.0</v>
      </c>
      <c r="M634" s="333" t="s">
        <v>3775</v>
      </c>
      <c r="N634" s="252" t="s">
        <v>8019</v>
      </c>
      <c r="O634" s="310">
        <v>21.0</v>
      </c>
      <c r="P634" s="330"/>
      <c r="Q634" s="597" t="s">
        <v>2207</v>
      </c>
      <c r="R634" s="330"/>
      <c r="S634" s="768">
        <v>43069.0</v>
      </c>
      <c r="T634" s="771">
        <v>43011.0</v>
      </c>
      <c r="U634" s="310" t="s">
        <v>8020</v>
      </c>
      <c r="V634" s="310" t="s">
        <v>8021</v>
      </c>
      <c r="W634" s="258">
        <v>43069.0</v>
      </c>
      <c r="X634" s="252" t="s">
        <v>8022</v>
      </c>
      <c r="Y634" s="369" t="s">
        <v>8023</v>
      </c>
      <c r="Z634" s="330"/>
      <c r="AA634" s="330"/>
      <c r="AB634" s="330"/>
      <c r="AC634" s="253" t="s">
        <v>284</v>
      </c>
    </row>
    <row r="635" ht="15.75" customHeight="1">
      <c r="A635" s="764">
        <v>42998.0</v>
      </c>
      <c r="B635" s="844" t="s">
        <v>3640</v>
      </c>
      <c r="C635" s="765"/>
      <c r="D635" s="252" t="s">
        <v>8024</v>
      </c>
      <c r="E635" s="252" t="s">
        <v>8025</v>
      </c>
      <c r="F635" s="253">
        <v>1.0</v>
      </c>
      <c r="G635" s="254">
        <v>4.0</v>
      </c>
      <c r="H635" s="581">
        <f t="shared" si="9"/>
        <v>4</v>
      </c>
      <c r="I635" s="779" t="s">
        <v>3474</v>
      </c>
      <c r="J635" s="369" t="s">
        <v>8018</v>
      </c>
      <c r="K635" s="258">
        <v>43020.0</v>
      </c>
      <c r="L635" s="258">
        <v>43013.0</v>
      </c>
      <c r="M635" s="1073" t="s">
        <v>3775</v>
      </c>
      <c r="N635" s="252" t="s">
        <v>8019</v>
      </c>
      <c r="O635" s="310">
        <v>2.1</v>
      </c>
      <c r="P635" s="330"/>
      <c r="Q635" s="597" t="s">
        <v>2207</v>
      </c>
      <c r="R635" s="330"/>
      <c r="S635" s="768">
        <v>43069.0</v>
      </c>
      <c r="T635" s="771">
        <v>43011.0</v>
      </c>
      <c r="U635" s="310" t="s">
        <v>8020</v>
      </c>
      <c r="V635" s="310" t="s">
        <v>8021</v>
      </c>
      <c r="W635" s="258">
        <v>43069.0</v>
      </c>
      <c r="X635" s="252" t="s">
        <v>8022</v>
      </c>
      <c r="Y635" s="369" t="s">
        <v>8023</v>
      </c>
      <c r="Z635" s="330"/>
      <c r="AA635" s="330"/>
      <c r="AB635" s="330"/>
      <c r="AC635" s="253" t="s">
        <v>284</v>
      </c>
    </row>
    <row r="636" ht="15.75" customHeight="1">
      <c r="A636" s="764">
        <v>42998.0</v>
      </c>
      <c r="B636" s="844" t="s">
        <v>3640</v>
      </c>
      <c r="C636" s="765"/>
      <c r="D636" s="252" t="s">
        <v>8024</v>
      </c>
      <c r="E636" s="252" t="s">
        <v>8026</v>
      </c>
      <c r="F636" s="253">
        <v>1.0</v>
      </c>
      <c r="G636" s="254">
        <v>281.0</v>
      </c>
      <c r="H636" s="581">
        <f t="shared" si="9"/>
        <v>281</v>
      </c>
      <c r="I636" s="779" t="s">
        <v>3474</v>
      </c>
      <c r="J636" s="369" t="s">
        <v>8018</v>
      </c>
      <c r="K636" s="258">
        <v>43020.0</v>
      </c>
      <c r="L636" s="258">
        <v>43010.0</v>
      </c>
      <c r="M636" s="403" t="s">
        <v>3775</v>
      </c>
      <c r="N636" s="252" t="s">
        <v>8019</v>
      </c>
      <c r="O636" s="310">
        <v>265.65</v>
      </c>
      <c r="P636" s="330"/>
      <c r="Q636" s="422" t="s">
        <v>2207</v>
      </c>
      <c r="R636" s="330"/>
      <c r="S636" s="768">
        <v>43069.0</v>
      </c>
      <c r="T636" s="771">
        <v>43011.0</v>
      </c>
      <c r="U636" s="310" t="s">
        <v>8020</v>
      </c>
      <c r="V636" s="774">
        <v>8781.0</v>
      </c>
      <c r="W636" s="258">
        <v>43069.0</v>
      </c>
      <c r="X636" s="252" t="s">
        <v>8022</v>
      </c>
      <c r="Y636" s="369" t="s">
        <v>8023</v>
      </c>
      <c r="Z636" s="330"/>
      <c r="AA636" s="330"/>
      <c r="AB636" s="330"/>
      <c r="AC636" s="253" t="s">
        <v>284</v>
      </c>
    </row>
    <row r="637" ht="15.75" customHeight="1">
      <c r="A637" s="764">
        <v>42998.0</v>
      </c>
      <c r="B637" s="844" t="s">
        <v>3640</v>
      </c>
      <c r="C637" s="765"/>
      <c r="D637" s="252" t="s">
        <v>8024</v>
      </c>
      <c r="E637" s="252" t="s">
        <v>8027</v>
      </c>
      <c r="F637" s="253">
        <v>1.0</v>
      </c>
      <c r="G637" s="254">
        <v>40.0</v>
      </c>
      <c r="H637" s="581">
        <f t="shared" si="9"/>
        <v>40</v>
      </c>
      <c r="I637" s="1063" t="s">
        <v>3474</v>
      </c>
      <c r="J637" s="369" t="s">
        <v>8018</v>
      </c>
      <c r="K637" s="258">
        <v>43020.0</v>
      </c>
      <c r="L637" s="258">
        <v>43010.0</v>
      </c>
      <c r="M637" s="333" t="s">
        <v>2170</v>
      </c>
      <c r="N637" s="252" t="s">
        <v>8028</v>
      </c>
      <c r="O637" s="330"/>
      <c r="P637" s="579">
        <v>1081.0</v>
      </c>
      <c r="Q637" s="320" t="s">
        <v>2172</v>
      </c>
      <c r="R637" s="330"/>
      <c r="S637" s="768">
        <v>43007.0</v>
      </c>
      <c r="T637" s="771">
        <v>43008.0</v>
      </c>
      <c r="U637" s="310" t="s">
        <v>8029</v>
      </c>
      <c r="V637" s="774">
        <v>1082.0</v>
      </c>
      <c r="W637" s="601">
        <v>43006.0</v>
      </c>
      <c r="X637" s="252" t="s">
        <v>8022</v>
      </c>
      <c r="Y637" s="369" t="s">
        <v>8023</v>
      </c>
      <c r="Z637" s="330"/>
      <c r="AA637" s="330"/>
      <c r="AB637" s="330"/>
      <c r="AC637" s="253" t="s">
        <v>284</v>
      </c>
    </row>
    <row r="638" ht="15.75" customHeight="1">
      <c r="A638" s="764">
        <v>42998.0</v>
      </c>
      <c r="B638" s="844" t="s">
        <v>3640</v>
      </c>
      <c r="C638" s="765"/>
      <c r="D638" s="252" t="s">
        <v>8024</v>
      </c>
      <c r="E638" s="252" t="s">
        <v>8030</v>
      </c>
      <c r="F638" s="253">
        <v>1.0</v>
      </c>
      <c r="G638" s="254">
        <v>143.0</v>
      </c>
      <c r="H638" s="581">
        <f t="shared" si="9"/>
        <v>143</v>
      </c>
      <c r="I638" s="1009" t="s">
        <v>3474</v>
      </c>
      <c r="J638" s="369" t="s">
        <v>8018</v>
      </c>
      <c r="K638" s="258">
        <v>43020.0</v>
      </c>
      <c r="L638" s="258">
        <v>43010.0</v>
      </c>
      <c r="M638" s="253" t="s">
        <v>1981</v>
      </c>
      <c r="N638" s="252" t="s">
        <v>8031</v>
      </c>
      <c r="O638" s="330"/>
      <c r="P638" s="579">
        <v>4032.0</v>
      </c>
      <c r="Q638" s="599" t="s">
        <v>3906</v>
      </c>
      <c r="R638" s="330"/>
      <c r="S638" s="810">
        <v>43037.0</v>
      </c>
      <c r="T638" s="769">
        <v>43007.0</v>
      </c>
      <c r="U638" s="765" t="s">
        <v>8032</v>
      </c>
      <c r="V638" s="770">
        <v>4032.0</v>
      </c>
      <c r="W638" s="601">
        <v>43035.0</v>
      </c>
      <c r="X638" s="252" t="s">
        <v>8022</v>
      </c>
      <c r="Y638" s="369" t="s">
        <v>8023</v>
      </c>
      <c r="Z638" s="330"/>
      <c r="AA638" s="330"/>
      <c r="AB638" s="330"/>
      <c r="AC638" s="253" t="s">
        <v>284</v>
      </c>
    </row>
    <row r="639" ht="15.75" customHeight="1">
      <c r="A639" s="764">
        <v>42998.0</v>
      </c>
      <c r="B639" s="844" t="s">
        <v>3640</v>
      </c>
      <c r="C639" s="765"/>
      <c r="D639" s="252" t="s">
        <v>8033</v>
      </c>
      <c r="E639" s="252" t="s">
        <v>8034</v>
      </c>
      <c r="F639" s="253">
        <v>1.0</v>
      </c>
      <c r="G639" s="254">
        <v>120.0</v>
      </c>
      <c r="H639" s="581">
        <f t="shared" si="9"/>
        <v>120</v>
      </c>
      <c r="I639" s="1031" t="s">
        <v>3474</v>
      </c>
      <c r="J639" s="369" t="s">
        <v>8018</v>
      </c>
      <c r="K639" s="258">
        <v>43020.0</v>
      </c>
      <c r="L639" s="258">
        <v>43010.0</v>
      </c>
      <c r="M639" s="403" t="s">
        <v>3775</v>
      </c>
      <c r="N639" s="252" t="s">
        <v>8035</v>
      </c>
      <c r="O639" s="268">
        <v>73.5</v>
      </c>
      <c r="P639" s="330"/>
      <c r="Q639" s="597" t="s">
        <v>2207</v>
      </c>
      <c r="R639" s="330"/>
      <c r="S639" s="768">
        <v>43069.0</v>
      </c>
      <c r="T639" s="769">
        <v>43007.0</v>
      </c>
      <c r="U639" s="765" t="s">
        <v>8036</v>
      </c>
      <c r="V639" s="770">
        <v>2232.0</v>
      </c>
      <c r="W639" s="258">
        <v>43069.0</v>
      </c>
      <c r="X639" s="252" t="s">
        <v>8022</v>
      </c>
      <c r="Y639" s="369" t="s">
        <v>8023</v>
      </c>
      <c r="Z639" s="330"/>
      <c r="AA639" s="330"/>
      <c r="AB639" s="330"/>
      <c r="AC639" s="253" t="s">
        <v>284</v>
      </c>
    </row>
    <row r="640" ht="15.75" customHeight="1">
      <c r="A640" s="764">
        <v>42998.0</v>
      </c>
      <c r="B640" s="597" t="s">
        <v>3640</v>
      </c>
      <c r="C640" s="765"/>
      <c r="D640" s="765" t="s">
        <v>8037</v>
      </c>
      <c r="E640" s="765" t="s">
        <v>700</v>
      </c>
      <c r="F640" s="253">
        <v>1.0</v>
      </c>
      <c r="G640" s="254">
        <v>25.0</v>
      </c>
      <c r="H640" s="581">
        <f t="shared" si="9"/>
        <v>25</v>
      </c>
      <c r="I640" s="779" t="s">
        <v>3474</v>
      </c>
      <c r="J640" s="363" t="s">
        <v>8018</v>
      </c>
      <c r="K640" s="258">
        <v>43020.0</v>
      </c>
      <c r="L640" s="258">
        <v>43010.0</v>
      </c>
      <c r="M640" s="333"/>
      <c r="N640" s="310"/>
      <c r="O640" s="579">
        <v>0.0</v>
      </c>
      <c r="P640" s="596"/>
      <c r="Q640" s="310"/>
      <c r="R640" s="330"/>
      <c r="S640" s="1044"/>
      <c r="T640" s="769"/>
      <c r="U640" s="765"/>
      <c r="V640" s="770"/>
      <c r="W640" s="253"/>
      <c r="X640" s="252" t="s">
        <v>8022</v>
      </c>
      <c r="Y640" s="253" t="s">
        <v>8023</v>
      </c>
      <c r="Z640" s="330"/>
      <c r="AA640" s="330"/>
      <c r="AB640" s="330"/>
      <c r="AC640" s="253" t="s">
        <v>284</v>
      </c>
    </row>
    <row r="641" ht="15.75" customHeight="1">
      <c r="A641" s="764">
        <v>43000.0</v>
      </c>
      <c r="B641" s="1004" t="s">
        <v>101</v>
      </c>
      <c r="C641" s="765" t="s">
        <v>8038</v>
      </c>
      <c r="D641" s="252" t="s">
        <v>8039</v>
      </c>
      <c r="E641" s="252" t="s">
        <v>8040</v>
      </c>
      <c r="F641" s="253">
        <v>1.0</v>
      </c>
      <c r="G641" s="254">
        <v>70.0</v>
      </c>
      <c r="H641" s="581">
        <f t="shared" si="9"/>
        <v>70</v>
      </c>
      <c r="I641" s="256" t="s">
        <v>3474</v>
      </c>
      <c r="J641" s="369" t="s">
        <v>3739</v>
      </c>
      <c r="K641" s="258">
        <v>43020.0</v>
      </c>
      <c r="L641" s="266" t="s">
        <v>179</v>
      </c>
      <c r="M641" s="592" t="s">
        <v>2125</v>
      </c>
      <c r="N641" s="310" t="s">
        <v>8041</v>
      </c>
      <c r="O641" s="596"/>
      <c r="P641" s="330"/>
      <c r="Q641" s="597"/>
      <c r="R641" s="330"/>
      <c r="S641" s="330"/>
      <c r="T641" s="765"/>
      <c r="U641" s="765"/>
      <c r="V641" s="765"/>
      <c r="W641" s="253"/>
      <c r="X641" s="252" t="s">
        <v>7809</v>
      </c>
      <c r="Y641" s="253">
        <v>3.441702014E9</v>
      </c>
      <c r="Z641" s="330"/>
      <c r="AA641" s="330"/>
      <c r="AB641" s="330"/>
      <c r="AC641" s="253" t="s">
        <v>284</v>
      </c>
    </row>
    <row r="642" ht="15.75" customHeight="1">
      <c r="A642" s="764">
        <v>43000.0</v>
      </c>
      <c r="B642" s="1004" t="s">
        <v>101</v>
      </c>
      <c r="C642" s="765" t="s">
        <v>8042</v>
      </c>
      <c r="D642" s="252" t="s">
        <v>8043</v>
      </c>
      <c r="E642" s="252" t="s">
        <v>8044</v>
      </c>
      <c r="F642" s="253">
        <v>3.0</v>
      </c>
      <c r="G642" s="254">
        <v>550.0</v>
      </c>
      <c r="H642" s="581">
        <f t="shared" si="9"/>
        <v>1650</v>
      </c>
      <c r="I642" s="256" t="s">
        <v>3474</v>
      </c>
      <c r="J642" s="369" t="s">
        <v>3739</v>
      </c>
      <c r="K642" s="258">
        <v>43025.0</v>
      </c>
      <c r="L642" s="258">
        <v>43024.0</v>
      </c>
      <c r="M642" s="403" t="s">
        <v>2028</v>
      </c>
      <c r="N642" s="310" t="s">
        <v>8045</v>
      </c>
      <c r="O642" s="596"/>
      <c r="P642" s="579">
        <v>47042.0</v>
      </c>
      <c r="Q642" s="340" t="s">
        <v>2030</v>
      </c>
      <c r="R642" s="330"/>
      <c r="S642" s="768">
        <v>43044.0</v>
      </c>
      <c r="T642" s="769">
        <v>43020.0</v>
      </c>
      <c r="U642" s="765" t="s">
        <v>8046</v>
      </c>
      <c r="V642" s="770">
        <v>78404.0</v>
      </c>
      <c r="W642" s="601">
        <v>43046.0</v>
      </c>
      <c r="X642" s="252" t="s">
        <v>8047</v>
      </c>
      <c r="Y642" s="253">
        <v>9.79279721E9</v>
      </c>
      <c r="Z642" s="330"/>
      <c r="AA642" s="330"/>
      <c r="AB642" s="330"/>
      <c r="AC642" s="253" t="s">
        <v>284</v>
      </c>
    </row>
    <row r="643" ht="15.75" customHeight="1">
      <c r="A643" s="764">
        <v>43000.0</v>
      </c>
      <c r="B643" s="1004" t="s">
        <v>101</v>
      </c>
      <c r="C643" s="765" t="s">
        <v>8042</v>
      </c>
      <c r="D643" s="252" t="s">
        <v>8048</v>
      </c>
      <c r="E643" s="252" t="s">
        <v>8049</v>
      </c>
      <c r="F643" s="253">
        <v>2.0</v>
      </c>
      <c r="G643" s="254">
        <v>550.0</v>
      </c>
      <c r="H643" s="581">
        <f t="shared" si="9"/>
        <v>1100</v>
      </c>
      <c r="I643" s="256" t="s">
        <v>3474</v>
      </c>
      <c r="J643" s="369" t="s">
        <v>3739</v>
      </c>
      <c r="K643" s="258">
        <v>43025.0</v>
      </c>
      <c r="L643" s="258">
        <v>43024.0</v>
      </c>
      <c r="M643" s="403" t="s">
        <v>2028</v>
      </c>
      <c r="N643" s="310" t="s">
        <v>8045</v>
      </c>
      <c r="O643" s="596"/>
      <c r="P643" s="579">
        <v>31361.0</v>
      </c>
      <c r="Q643" s="578" t="s">
        <v>2030</v>
      </c>
      <c r="R643" s="330"/>
      <c r="S643" s="768">
        <v>43044.0</v>
      </c>
      <c r="T643" s="769">
        <v>43020.0</v>
      </c>
      <c r="U643" s="765" t="s">
        <v>8046</v>
      </c>
      <c r="V643" s="770">
        <v>78404.0</v>
      </c>
      <c r="W643" s="601">
        <v>43046.0</v>
      </c>
      <c r="X643" s="252" t="s">
        <v>8047</v>
      </c>
      <c r="Y643" s="253">
        <v>9.79279721E9</v>
      </c>
      <c r="Z643" s="330"/>
      <c r="AA643" s="330"/>
      <c r="AB643" s="330"/>
      <c r="AC643" s="253" t="s">
        <v>284</v>
      </c>
    </row>
    <row r="644" ht="15.75" customHeight="1">
      <c r="A644" s="764">
        <v>43000.0</v>
      </c>
      <c r="B644" s="597" t="s">
        <v>7314</v>
      </c>
      <c r="C644" s="765">
        <v>7.00013268E9</v>
      </c>
      <c r="D644" s="252" t="s">
        <v>8050</v>
      </c>
      <c r="E644" s="252" t="s">
        <v>6451</v>
      </c>
      <c r="F644" s="253">
        <v>4.0</v>
      </c>
      <c r="G644" s="254">
        <v>126.0</v>
      </c>
      <c r="H644" s="581">
        <f t="shared" si="9"/>
        <v>504</v>
      </c>
      <c r="I644" s="256" t="s">
        <v>43</v>
      </c>
      <c r="J644" s="403" t="s">
        <v>3623</v>
      </c>
      <c r="K644" s="258">
        <v>43024.0</v>
      </c>
      <c r="L644" s="258">
        <v>43020.0</v>
      </c>
      <c r="M644" s="333" t="s">
        <v>3593</v>
      </c>
      <c r="N644" s="310" t="s">
        <v>8051</v>
      </c>
      <c r="O644" s="596"/>
      <c r="P644" s="579">
        <v>14750.0</v>
      </c>
      <c r="Q644" s="320" t="s">
        <v>2080</v>
      </c>
      <c r="R644" s="330"/>
      <c r="S644" s="810">
        <v>43100.0</v>
      </c>
      <c r="T644" s="769">
        <v>43020.0</v>
      </c>
      <c r="U644" s="765" t="s">
        <v>8052</v>
      </c>
      <c r="V644" s="770">
        <v>14755.0</v>
      </c>
      <c r="W644" s="601">
        <v>43105.0</v>
      </c>
      <c r="X644" s="252" t="s">
        <v>8053</v>
      </c>
      <c r="Y644" s="253">
        <v>2.70407326E9</v>
      </c>
      <c r="Z644" s="330"/>
      <c r="AA644" s="330"/>
      <c r="AB644" s="330"/>
      <c r="AC644" s="253" t="s">
        <v>284</v>
      </c>
    </row>
    <row r="645" ht="15.75" customHeight="1">
      <c r="A645" s="764">
        <v>43000.0</v>
      </c>
      <c r="B645" s="1004" t="s">
        <v>101</v>
      </c>
      <c r="C645" s="765" t="s">
        <v>8038</v>
      </c>
      <c r="D645" s="252" t="s">
        <v>8039</v>
      </c>
      <c r="E645" s="252" t="s">
        <v>8054</v>
      </c>
      <c r="F645" s="253">
        <v>1.0</v>
      </c>
      <c r="G645" s="254">
        <v>1118.0</v>
      </c>
      <c r="H645" s="581">
        <f t="shared" si="9"/>
        <v>1118</v>
      </c>
      <c r="I645" s="256" t="s">
        <v>3474</v>
      </c>
      <c r="J645" s="369" t="s">
        <v>3739</v>
      </c>
      <c r="K645" s="258">
        <v>43020.0</v>
      </c>
      <c r="L645" s="258">
        <v>43011.0</v>
      </c>
      <c r="M645" s="403" t="s">
        <v>1439</v>
      </c>
      <c r="N645" s="310" t="s">
        <v>8055</v>
      </c>
      <c r="O645" s="596"/>
      <c r="P645" s="579">
        <v>31520.0</v>
      </c>
      <c r="Q645" s="320" t="s">
        <v>1976</v>
      </c>
      <c r="R645" s="330"/>
      <c r="S645" s="810">
        <v>43069.0</v>
      </c>
      <c r="T645" s="769">
        <v>43010.0</v>
      </c>
      <c r="U645" s="765" t="s">
        <v>8056</v>
      </c>
      <c r="V645" s="770">
        <v>31520.0</v>
      </c>
      <c r="W645" s="601">
        <v>43074.0</v>
      </c>
      <c r="X645" s="252" t="s">
        <v>7809</v>
      </c>
      <c r="Y645" s="253">
        <v>3.441702014E9</v>
      </c>
      <c r="Z645" s="330"/>
      <c r="AA645" s="330"/>
      <c r="AB645" s="330"/>
      <c r="AC645" s="253" t="s">
        <v>284</v>
      </c>
    </row>
    <row r="646" ht="15.75" customHeight="1">
      <c r="A646" s="764">
        <v>43000.0</v>
      </c>
      <c r="B646" s="1004" t="s">
        <v>101</v>
      </c>
      <c r="C646" s="765" t="s">
        <v>8042</v>
      </c>
      <c r="D646" s="252" t="s">
        <v>8043</v>
      </c>
      <c r="E646" s="252" t="s">
        <v>6674</v>
      </c>
      <c r="F646" s="253">
        <v>3.0</v>
      </c>
      <c r="G646" s="254">
        <v>352.0</v>
      </c>
      <c r="H646" s="581">
        <f t="shared" si="9"/>
        <v>1056</v>
      </c>
      <c r="I646" s="256" t="s">
        <v>3474</v>
      </c>
      <c r="J646" s="369" t="s">
        <v>3739</v>
      </c>
      <c r="K646" s="258">
        <v>43025.0</v>
      </c>
      <c r="L646" s="258">
        <v>43010.0</v>
      </c>
      <c r="M646" s="253" t="s">
        <v>2026</v>
      </c>
      <c r="N646" s="310" t="s">
        <v>8057</v>
      </c>
      <c r="O646" s="268">
        <v>897.75</v>
      </c>
      <c r="P646" s="598"/>
      <c r="Q646" s="310" t="s">
        <v>6346</v>
      </c>
      <c r="R646" s="330"/>
      <c r="S646" s="810">
        <v>43040.0</v>
      </c>
      <c r="T646" s="769">
        <v>43010.0</v>
      </c>
      <c r="U646" s="765" t="s">
        <v>8058</v>
      </c>
      <c r="V646" s="770">
        <v>39020.0</v>
      </c>
      <c r="W646" s="601">
        <v>43046.0</v>
      </c>
      <c r="X646" s="252" t="s">
        <v>8047</v>
      </c>
      <c r="Y646" s="253">
        <v>9.79279721E9</v>
      </c>
      <c r="Z646" s="330"/>
      <c r="AA646" s="330"/>
      <c r="AB646" s="330"/>
      <c r="AC646" s="253" t="s">
        <v>284</v>
      </c>
    </row>
    <row r="647" ht="15.75" customHeight="1">
      <c r="A647" s="764">
        <v>43000.0</v>
      </c>
      <c r="B647" s="1004" t="s">
        <v>101</v>
      </c>
      <c r="C647" s="765" t="s">
        <v>8042</v>
      </c>
      <c r="D647" s="252" t="s">
        <v>8043</v>
      </c>
      <c r="E647" s="252" t="s">
        <v>8059</v>
      </c>
      <c r="F647" s="253">
        <v>3.0</v>
      </c>
      <c r="G647" s="254">
        <v>151.0</v>
      </c>
      <c r="H647" s="581">
        <f t="shared" si="9"/>
        <v>453</v>
      </c>
      <c r="I647" s="256" t="s">
        <v>3474</v>
      </c>
      <c r="J647" s="369" t="s">
        <v>3739</v>
      </c>
      <c r="K647" s="258">
        <v>43025.0</v>
      </c>
      <c r="L647" s="258">
        <v>43010.0</v>
      </c>
      <c r="M647" s="256" t="s">
        <v>2020</v>
      </c>
      <c r="N647" s="310" t="s">
        <v>8060</v>
      </c>
      <c r="O647" s="596"/>
      <c r="P647" s="579">
        <v>11623.5</v>
      </c>
      <c r="Q647" s="599" t="s">
        <v>3906</v>
      </c>
      <c r="R647" s="330"/>
      <c r="S647" s="810">
        <v>43037.0</v>
      </c>
      <c r="T647" s="769">
        <v>43007.0</v>
      </c>
      <c r="U647" s="765" t="s">
        <v>8061</v>
      </c>
      <c r="V647" s="770">
        <v>19373.0</v>
      </c>
      <c r="W647" s="601">
        <v>43035.0</v>
      </c>
      <c r="X647" s="252" t="s">
        <v>8047</v>
      </c>
      <c r="Y647" s="253">
        <v>9.79279721E9</v>
      </c>
      <c r="Z647" s="330"/>
      <c r="AA647" s="330"/>
      <c r="AB647" s="330"/>
      <c r="AC647" s="253" t="s">
        <v>284</v>
      </c>
    </row>
    <row r="648" ht="15.75" customHeight="1">
      <c r="A648" s="764">
        <v>43000.0</v>
      </c>
      <c r="B648" s="1004" t="s">
        <v>101</v>
      </c>
      <c r="C648" s="765" t="s">
        <v>8042</v>
      </c>
      <c r="D648" s="252" t="s">
        <v>8043</v>
      </c>
      <c r="E648" s="252" t="s">
        <v>3973</v>
      </c>
      <c r="F648" s="253">
        <v>2.0</v>
      </c>
      <c r="G648" s="254">
        <v>229.0</v>
      </c>
      <c r="H648" s="581">
        <f t="shared" si="9"/>
        <v>458</v>
      </c>
      <c r="I648" s="256" t="s">
        <v>3474</v>
      </c>
      <c r="J648" s="369" t="s">
        <v>3739</v>
      </c>
      <c r="K648" s="258">
        <v>43025.0</v>
      </c>
      <c r="L648" s="258">
        <v>43010.0</v>
      </c>
      <c r="M648" s="592" t="s">
        <v>2026</v>
      </c>
      <c r="N648" s="310" t="s">
        <v>8057</v>
      </c>
      <c r="O648" s="268">
        <v>388.5</v>
      </c>
      <c r="P648" s="596"/>
      <c r="Q648" s="320" t="s">
        <v>6346</v>
      </c>
      <c r="R648" s="330"/>
      <c r="S648" s="810">
        <v>43040.0</v>
      </c>
      <c r="T648" s="769">
        <v>43010.0</v>
      </c>
      <c r="U648" s="765" t="s">
        <v>8058</v>
      </c>
      <c r="V648" s="330" t="s">
        <v>8062</v>
      </c>
      <c r="W648" s="601">
        <v>43046.0</v>
      </c>
      <c r="X648" s="252" t="s">
        <v>8047</v>
      </c>
      <c r="Y648" s="253">
        <v>9.79279721E9</v>
      </c>
      <c r="Z648" s="330"/>
      <c r="AA648" s="330"/>
      <c r="AB648" s="330"/>
      <c r="AC648" s="253" t="s">
        <v>284</v>
      </c>
    </row>
    <row r="649" ht="15.75" customHeight="1">
      <c r="A649" s="764">
        <v>43000.0</v>
      </c>
      <c r="B649" s="1004" t="s">
        <v>101</v>
      </c>
      <c r="C649" s="765" t="s">
        <v>8042</v>
      </c>
      <c r="D649" s="252" t="s">
        <v>8063</v>
      </c>
      <c r="E649" s="252" t="s">
        <v>8059</v>
      </c>
      <c r="F649" s="253">
        <v>2.0</v>
      </c>
      <c r="G649" s="254">
        <v>151.0</v>
      </c>
      <c r="H649" s="581">
        <f t="shared" si="9"/>
        <v>302</v>
      </c>
      <c r="I649" s="256" t="s">
        <v>3474</v>
      </c>
      <c r="J649" s="369" t="s">
        <v>3739</v>
      </c>
      <c r="K649" s="258">
        <v>43025.0</v>
      </c>
      <c r="L649" s="258">
        <v>43010.0</v>
      </c>
      <c r="M649" s="256" t="s">
        <v>2020</v>
      </c>
      <c r="N649" s="310" t="s">
        <v>8060</v>
      </c>
      <c r="O649" s="596"/>
      <c r="P649" s="579">
        <v>7749.0</v>
      </c>
      <c r="Q649" s="599" t="s">
        <v>3906</v>
      </c>
      <c r="R649" s="330"/>
      <c r="S649" s="810">
        <v>43037.0</v>
      </c>
      <c r="T649" s="769">
        <v>43007.0</v>
      </c>
      <c r="U649" s="765" t="s">
        <v>8061</v>
      </c>
      <c r="V649" s="330" t="s">
        <v>8064</v>
      </c>
      <c r="W649" s="601">
        <v>43035.0</v>
      </c>
      <c r="X649" s="252" t="s">
        <v>8047</v>
      </c>
      <c r="Y649" s="253">
        <v>9.79279721E9</v>
      </c>
      <c r="Z649" s="330"/>
      <c r="AA649" s="330"/>
      <c r="AB649" s="330"/>
      <c r="AC649" s="253" t="s">
        <v>284</v>
      </c>
    </row>
    <row r="650" ht="15.75" customHeight="1">
      <c r="A650" s="1014">
        <v>43003.0</v>
      </c>
      <c r="B650" s="1058" t="s">
        <v>8065</v>
      </c>
      <c r="C650" s="582"/>
      <c r="D650" s="582" t="s">
        <v>8066</v>
      </c>
      <c r="E650" s="582" t="s">
        <v>8067</v>
      </c>
      <c r="F650" s="279">
        <v>1.0</v>
      </c>
      <c r="G650" s="1089">
        <v>0.0</v>
      </c>
      <c r="H650" s="798">
        <f t="shared" si="9"/>
        <v>0</v>
      </c>
      <c r="I650" s="282" t="s">
        <v>3474</v>
      </c>
      <c r="J650" s="1015"/>
      <c r="K650" s="797" t="s">
        <v>71</v>
      </c>
      <c r="L650" s="582"/>
      <c r="M650" s="283"/>
      <c r="N650" s="785"/>
      <c r="O650" s="586"/>
      <c r="P650" s="582"/>
      <c r="Q650" s="804"/>
      <c r="R650" s="582"/>
      <c r="S650" s="582"/>
      <c r="T650" s="787"/>
      <c r="U650" s="787"/>
      <c r="V650" s="787"/>
      <c r="W650" s="1047"/>
      <c r="X650" s="787"/>
      <c r="Y650" s="582"/>
      <c r="Z650" s="582"/>
      <c r="AA650" s="582"/>
      <c r="AB650" s="582"/>
      <c r="AC650" s="279" t="s">
        <v>3617</v>
      </c>
    </row>
    <row r="651" ht="15.75" customHeight="1">
      <c r="A651" s="764">
        <v>43004.0</v>
      </c>
      <c r="B651" s="597" t="s">
        <v>631</v>
      </c>
      <c r="C651" s="765" t="s">
        <v>8068</v>
      </c>
      <c r="D651" s="252" t="s">
        <v>8069</v>
      </c>
      <c r="E651" s="252" t="s">
        <v>4269</v>
      </c>
      <c r="F651" s="307">
        <v>9.0</v>
      </c>
      <c r="G651" s="325">
        <v>168.0</v>
      </c>
      <c r="H651" s="310">
        <f t="shared" si="9"/>
        <v>1512</v>
      </c>
      <c r="I651" s="256" t="s">
        <v>171</v>
      </c>
      <c r="J651" s="369" t="s">
        <v>8070</v>
      </c>
      <c r="K651" s="258">
        <v>43013.0</v>
      </c>
      <c r="L651" s="258">
        <v>43011.0</v>
      </c>
      <c r="M651" s="266" t="s">
        <v>2263</v>
      </c>
      <c r="N651" s="310" t="s">
        <v>8071</v>
      </c>
      <c r="O651" s="596"/>
      <c r="P651" s="579">
        <v>45833.0</v>
      </c>
      <c r="Q651" s="340" t="s">
        <v>2265</v>
      </c>
      <c r="R651" s="330"/>
      <c r="S651" s="330"/>
      <c r="T651" s="771">
        <v>43011.0</v>
      </c>
      <c r="U651" s="252" t="s">
        <v>8072</v>
      </c>
      <c r="V651" s="252" t="s">
        <v>8073</v>
      </c>
      <c r="W651" s="601">
        <v>43013.0</v>
      </c>
      <c r="X651" s="765" t="s">
        <v>8074</v>
      </c>
      <c r="Y651" s="330" t="s">
        <v>8075</v>
      </c>
      <c r="Z651" s="604" t="s">
        <v>8076</v>
      </c>
      <c r="AA651" s="262">
        <v>45972.0</v>
      </c>
      <c r="AB651" s="330" t="s">
        <v>8077</v>
      </c>
      <c r="AC651" s="253" t="s">
        <v>377</v>
      </c>
    </row>
    <row r="652" ht="15.75" customHeight="1">
      <c r="A652" s="764">
        <v>43004.0</v>
      </c>
      <c r="B652" s="597" t="s">
        <v>631</v>
      </c>
      <c r="C652" s="765" t="s">
        <v>8068</v>
      </c>
      <c r="D652" s="252" t="s">
        <v>8078</v>
      </c>
      <c r="E652" s="252" t="s">
        <v>4269</v>
      </c>
      <c r="F652" s="307">
        <v>1.0</v>
      </c>
      <c r="G652" s="325">
        <v>168.0</v>
      </c>
      <c r="H652" s="310">
        <f t="shared" si="9"/>
        <v>168</v>
      </c>
      <c r="I652" s="256" t="s">
        <v>171</v>
      </c>
      <c r="J652" s="369" t="s">
        <v>628</v>
      </c>
      <c r="K652" s="258">
        <v>43007.0</v>
      </c>
      <c r="L652" s="258">
        <v>43007.0</v>
      </c>
      <c r="M652" s="266" t="s">
        <v>2263</v>
      </c>
      <c r="N652" s="310" t="s">
        <v>8071</v>
      </c>
      <c r="O652" s="596"/>
      <c r="P652" s="579">
        <v>5093.0</v>
      </c>
      <c r="Q652" s="340" t="s">
        <v>2265</v>
      </c>
      <c r="R652" s="330"/>
      <c r="S652" s="330"/>
      <c r="T652" s="771">
        <v>43011.0</v>
      </c>
      <c r="U652" s="252" t="s">
        <v>8072</v>
      </c>
      <c r="V652" s="774">
        <v>50925.0</v>
      </c>
      <c r="W652" s="601">
        <v>43011.0</v>
      </c>
      <c r="X652" s="765" t="s">
        <v>8079</v>
      </c>
      <c r="Y652" s="330"/>
      <c r="Z652" s="604" t="s">
        <v>8080</v>
      </c>
      <c r="AA652" s="262">
        <v>5103.0</v>
      </c>
      <c r="AB652" s="330" t="s">
        <v>8081</v>
      </c>
      <c r="AC652" s="253" t="s">
        <v>377</v>
      </c>
    </row>
    <row r="653" ht="15.75" customHeight="1">
      <c r="A653" s="764">
        <v>43005.0</v>
      </c>
      <c r="B653" s="844" t="s">
        <v>1745</v>
      </c>
      <c r="C653" s="778" t="s">
        <v>8082</v>
      </c>
      <c r="D653" s="765" t="s">
        <v>8083</v>
      </c>
      <c r="E653" s="765" t="s">
        <v>6894</v>
      </c>
      <c r="F653" s="307">
        <v>5.0</v>
      </c>
      <c r="G653" s="325">
        <v>29.0</v>
      </c>
      <c r="H653" s="310">
        <f t="shared" si="9"/>
        <v>145</v>
      </c>
      <c r="I653" s="1031" t="s">
        <v>3474</v>
      </c>
      <c r="J653" s="369" t="s">
        <v>7053</v>
      </c>
      <c r="K653" s="258">
        <v>43031.0</v>
      </c>
      <c r="L653" s="258">
        <v>43014.0</v>
      </c>
      <c r="M653" s="253" t="s">
        <v>6298</v>
      </c>
      <c r="N653" s="310" t="s">
        <v>8084</v>
      </c>
      <c r="O653" s="596"/>
      <c r="P653" s="579">
        <v>4289.0</v>
      </c>
      <c r="Q653" s="330" t="s">
        <v>2148</v>
      </c>
      <c r="R653" s="330"/>
      <c r="S653" s="768">
        <v>43044.0</v>
      </c>
      <c r="T653" s="769">
        <v>43014.0</v>
      </c>
      <c r="U653" s="765" t="s">
        <v>8085</v>
      </c>
      <c r="V653" s="770">
        <v>31285.0</v>
      </c>
      <c r="W653" s="601">
        <v>43045.0</v>
      </c>
      <c r="X653" s="252" t="s">
        <v>8015</v>
      </c>
      <c r="Y653" s="253">
        <v>1.5041026E8</v>
      </c>
      <c r="Z653" s="330"/>
      <c r="AA653" s="330"/>
      <c r="AB653" s="330"/>
      <c r="AC653" s="253" t="s">
        <v>284</v>
      </c>
    </row>
    <row r="654" ht="15.75" customHeight="1">
      <c r="A654" s="764">
        <v>43005.0</v>
      </c>
      <c r="B654" s="844" t="s">
        <v>1745</v>
      </c>
      <c r="C654" s="778" t="s">
        <v>8082</v>
      </c>
      <c r="D654" s="765" t="s">
        <v>8083</v>
      </c>
      <c r="E654" s="765" t="s">
        <v>5431</v>
      </c>
      <c r="F654" s="307">
        <v>5.0</v>
      </c>
      <c r="G654" s="325">
        <v>13.0</v>
      </c>
      <c r="H654" s="310">
        <f t="shared" si="9"/>
        <v>65</v>
      </c>
      <c r="I654" s="1031" t="s">
        <v>3474</v>
      </c>
      <c r="J654" s="369" t="s">
        <v>7053</v>
      </c>
      <c r="K654" s="258">
        <v>43031.0</v>
      </c>
      <c r="L654" s="258">
        <v>43014.0</v>
      </c>
      <c r="M654" s="253" t="s">
        <v>6298</v>
      </c>
      <c r="N654" s="310" t="s">
        <v>8084</v>
      </c>
      <c r="O654" s="596"/>
      <c r="P654" s="579">
        <v>1906.0</v>
      </c>
      <c r="Q654" s="330" t="s">
        <v>2148</v>
      </c>
      <c r="R654" s="330"/>
      <c r="S654" s="768">
        <v>43044.0</v>
      </c>
      <c r="T654" s="769">
        <v>43014.0</v>
      </c>
      <c r="U654" s="765" t="s">
        <v>8085</v>
      </c>
      <c r="V654" s="765" t="s">
        <v>8086</v>
      </c>
      <c r="W654" s="601">
        <v>43045.0</v>
      </c>
      <c r="X654" s="252" t="s">
        <v>8015</v>
      </c>
      <c r="Y654" s="253">
        <v>1.5041026E8</v>
      </c>
      <c r="Z654" s="330"/>
      <c r="AA654" s="330"/>
      <c r="AB654" s="330"/>
      <c r="AC654" s="253" t="s">
        <v>284</v>
      </c>
    </row>
    <row r="655" ht="15.75" customHeight="1">
      <c r="A655" s="764">
        <v>43005.0</v>
      </c>
      <c r="B655" s="844" t="s">
        <v>5188</v>
      </c>
      <c r="C655" s="778" t="s">
        <v>8087</v>
      </c>
      <c r="D655" s="765" t="s">
        <v>8088</v>
      </c>
      <c r="E655" s="765" t="s">
        <v>7951</v>
      </c>
      <c r="F655" s="307">
        <v>9.0</v>
      </c>
      <c r="G655" s="325">
        <f>9.4*(1+5%)</f>
        <v>9.87</v>
      </c>
      <c r="H655" s="310">
        <f t="shared" si="9"/>
        <v>88.83</v>
      </c>
      <c r="I655" s="256" t="s">
        <v>3474</v>
      </c>
      <c r="J655" s="369" t="s">
        <v>1324</v>
      </c>
      <c r="K655" s="258">
        <v>43013.0</v>
      </c>
      <c r="L655" s="258">
        <v>43011.0</v>
      </c>
      <c r="M655" s="403" t="s">
        <v>2508</v>
      </c>
      <c r="N655" s="310" t="s">
        <v>8089</v>
      </c>
      <c r="O655" s="596"/>
      <c r="P655" s="579">
        <v>2410.0</v>
      </c>
      <c r="Q655" s="320" t="s">
        <v>4491</v>
      </c>
      <c r="R655" s="330"/>
      <c r="S655" s="768">
        <v>43044.0</v>
      </c>
      <c r="T655" s="769">
        <v>43010.0</v>
      </c>
      <c r="U655" s="765" t="s">
        <v>8090</v>
      </c>
      <c r="V655" s="770">
        <v>2410.0</v>
      </c>
      <c r="W655" s="601">
        <v>43045.0</v>
      </c>
      <c r="X655" s="765" t="s">
        <v>8091</v>
      </c>
      <c r="Y655" s="330" t="s">
        <v>8092</v>
      </c>
      <c r="Z655" s="604" t="s">
        <v>8093</v>
      </c>
      <c r="AA655" s="1098">
        <v>2684.0</v>
      </c>
      <c r="AB655" s="330" t="s">
        <v>8094</v>
      </c>
      <c r="AC655" s="253" t="s">
        <v>377</v>
      </c>
    </row>
    <row r="656" ht="15.75" customHeight="1">
      <c r="A656" s="764">
        <v>43006.0</v>
      </c>
      <c r="B656" s="1004" t="s">
        <v>77</v>
      </c>
      <c r="C656" s="765">
        <v>797.0</v>
      </c>
      <c r="D656" s="252" t="s">
        <v>8095</v>
      </c>
      <c r="E656" s="252" t="s">
        <v>478</v>
      </c>
      <c r="F656" s="253">
        <v>50.0</v>
      </c>
      <c r="G656" s="338">
        <v>2.25</v>
      </c>
      <c r="H656" s="310">
        <f t="shared" si="9"/>
        <v>112.5</v>
      </c>
      <c r="I656" s="256" t="s">
        <v>43</v>
      </c>
      <c r="J656" s="369" t="s">
        <v>316</v>
      </c>
      <c r="K656" s="258">
        <v>43014.0</v>
      </c>
      <c r="L656" s="266" t="s">
        <v>179</v>
      </c>
      <c r="M656" s="333" t="s">
        <v>3769</v>
      </c>
      <c r="N656" s="310" t="s">
        <v>8096</v>
      </c>
      <c r="O656" s="596"/>
      <c r="P656" s="330"/>
      <c r="Q656" s="388" t="s">
        <v>2131</v>
      </c>
      <c r="R656" s="330"/>
      <c r="S656" s="330"/>
      <c r="T656" s="765"/>
      <c r="U656" s="765"/>
      <c r="V656" s="765"/>
      <c r="W656" s="253"/>
      <c r="X656" s="252" t="s">
        <v>7928</v>
      </c>
      <c r="Y656" s="253">
        <v>8.42471254E8</v>
      </c>
      <c r="Z656" s="330"/>
      <c r="AA656" s="330"/>
      <c r="AB656" s="330"/>
      <c r="AC656" s="253" t="s">
        <v>284</v>
      </c>
    </row>
    <row r="657" ht="15.75" customHeight="1">
      <c r="A657" s="764">
        <v>43006.0</v>
      </c>
      <c r="B657" s="1004" t="s">
        <v>77</v>
      </c>
      <c r="C657" s="765">
        <v>797.0</v>
      </c>
      <c r="D657" s="252" t="s">
        <v>8095</v>
      </c>
      <c r="E657" s="252" t="s">
        <v>8097</v>
      </c>
      <c r="F657" s="256">
        <v>12.0</v>
      </c>
      <c r="G657" s="466">
        <v>6.85</v>
      </c>
      <c r="H657" s="310">
        <f t="shared" si="9"/>
        <v>82.2</v>
      </c>
      <c r="I657" s="256" t="s">
        <v>43</v>
      </c>
      <c r="J657" s="369" t="s">
        <v>316</v>
      </c>
      <c r="K657" s="258">
        <v>43014.0</v>
      </c>
      <c r="L657" s="258">
        <v>43011.0</v>
      </c>
      <c r="M657" s="333" t="s">
        <v>3769</v>
      </c>
      <c r="N657" s="310" t="s">
        <v>8098</v>
      </c>
      <c r="O657" s="596"/>
      <c r="P657" s="330"/>
      <c r="Q657" s="388" t="s">
        <v>2131</v>
      </c>
      <c r="R657" s="330"/>
      <c r="S657" s="330"/>
      <c r="T657" s="765"/>
      <c r="U657" s="765"/>
      <c r="V657" s="765"/>
      <c r="W657" s="253"/>
      <c r="X657" s="252" t="s">
        <v>7928</v>
      </c>
      <c r="Y657" s="253">
        <v>8.42471254E8</v>
      </c>
      <c r="Z657" s="330"/>
      <c r="AA657" s="330"/>
      <c r="AB657" s="330"/>
      <c r="AC657" s="253" t="s">
        <v>284</v>
      </c>
    </row>
    <row r="658" ht="15.75" customHeight="1">
      <c r="A658" s="764">
        <v>43007.0</v>
      </c>
      <c r="B658" s="1004" t="s">
        <v>101</v>
      </c>
      <c r="C658" s="765" t="s">
        <v>8099</v>
      </c>
      <c r="D658" s="252" t="s">
        <v>8100</v>
      </c>
      <c r="E658" s="252" t="s">
        <v>3576</v>
      </c>
      <c r="F658" s="307">
        <v>10.0</v>
      </c>
      <c r="G658" s="254">
        <v>2.0</v>
      </c>
      <c r="H658" s="310">
        <f t="shared" si="9"/>
        <v>20</v>
      </c>
      <c r="I658" s="256" t="s">
        <v>3474</v>
      </c>
      <c r="J658" s="363" t="s">
        <v>3739</v>
      </c>
      <c r="K658" s="258">
        <v>43053.0</v>
      </c>
      <c r="L658" s="266" t="s">
        <v>179</v>
      </c>
      <c r="M658" s="333" t="s">
        <v>6722</v>
      </c>
      <c r="N658" s="252" t="s">
        <v>8101</v>
      </c>
      <c r="O658" s="330"/>
      <c r="P658" s="330"/>
      <c r="Q658" s="388"/>
      <c r="R658" s="330"/>
      <c r="S658" s="330"/>
      <c r="T658" s="765"/>
      <c r="U658" s="765"/>
      <c r="V658" s="765"/>
      <c r="W658" s="1037"/>
      <c r="X658" s="252" t="s">
        <v>8102</v>
      </c>
      <c r="Y658" s="253">
        <v>3.769292564E9</v>
      </c>
      <c r="Z658" s="330"/>
      <c r="AA658" s="330"/>
      <c r="AB658" s="330"/>
      <c r="AC658" s="253" t="s">
        <v>284</v>
      </c>
    </row>
    <row r="659" ht="15.75" customHeight="1">
      <c r="A659" s="764">
        <v>43007.0</v>
      </c>
      <c r="B659" s="1004" t="s">
        <v>101</v>
      </c>
      <c r="C659" s="765" t="s">
        <v>8099</v>
      </c>
      <c r="D659" s="252" t="s">
        <v>8103</v>
      </c>
      <c r="E659" s="252" t="s">
        <v>3578</v>
      </c>
      <c r="F659" s="307">
        <v>10.0</v>
      </c>
      <c r="G659" s="254">
        <v>2.5</v>
      </c>
      <c r="H659" s="310">
        <f t="shared" si="9"/>
        <v>25</v>
      </c>
      <c r="I659" s="256" t="s">
        <v>3474</v>
      </c>
      <c r="J659" s="363" t="s">
        <v>3739</v>
      </c>
      <c r="K659" s="258">
        <v>43053.0</v>
      </c>
      <c r="L659" s="266" t="s">
        <v>179</v>
      </c>
      <c r="M659" s="333" t="s">
        <v>6722</v>
      </c>
      <c r="N659" s="252" t="s">
        <v>8104</v>
      </c>
      <c r="O659" s="252"/>
      <c r="P659" s="330"/>
      <c r="Q659" s="388"/>
      <c r="R659" s="330"/>
      <c r="S659" s="330"/>
      <c r="T659" s="765"/>
      <c r="U659" s="765"/>
      <c r="V659" s="765"/>
      <c r="W659" s="1037"/>
      <c r="X659" s="252" t="s">
        <v>8102</v>
      </c>
      <c r="Y659" s="253">
        <v>3.769292564E9</v>
      </c>
      <c r="Z659" s="330"/>
      <c r="AA659" s="330"/>
      <c r="AB659" s="330"/>
      <c r="AC659" s="253" t="s">
        <v>284</v>
      </c>
    </row>
    <row r="660" ht="15.75" customHeight="1">
      <c r="A660" s="764">
        <v>43007.0</v>
      </c>
      <c r="B660" s="1004" t="s">
        <v>101</v>
      </c>
      <c r="C660" s="765" t="s">
        <v>8099</v>
      </c>
      <c r="D660" s="252" t="s">
        <v>8105</v>
      </c>
      <c r="E660" s="252" t="s">
        <v>3581</v>
      </c>
      <c r="F660" s="307">
        <v>10.0</v>
      </c>
      <c r="G660" s="254">
        <v>8.0</v>
      </c>
      <c r="H660" s="310">
        <f t="shared" si="9"/>
        <v>80</v>
      </c>
      <c r="I660" s="256" t="s">
        <v>3474</v>
      </c>
      <c r="J660" s="369" t="s">
        <v>3739</v>
      </c>
      <c r="K660" s="258">
        <v>43053.0</v>
      </c>
      <c r="L660" s="266" t="s">
        <v>179</v>
      </c>
      <c r="M660" s="1073" t="s">
        <v>6729</v>
      </c>
      <c r="N660" s="600"/>
      <c r="O660" s="330"/>
      <c r="P660" s="581" t="s">
        <v>6730</v>
      </c>
      <c r="Q660" s="422"/>
      <c r="R660" s="330"/>
      <c r="S660" s="330"/>
      <c r="T660" s="765"/>
      <c r="U660" s="765"/>
      <c r="V660" s="765"/>
      <c r="W660" s="1037"/>
      <c r="X660" s="252" t="s">
        <v>8102</v>
      </c>
      <c r="Y660" s="253">
        <v>3.769292564E9</v>
      </c>
      <c r="Z660" s="330"/>
      <c r="AA660" s="330"/>
      <c r="AB660" s="330"/>
      <c r="AC660" s="253" t="s">
        <v>284</v>
      </c>
    </row>
    <row r="661" ht="15.75" customHeight="1">
      <c r="A661" s="764">
        <v>43007.0</v>
      </c>
      <c r="B661" s="1004" t="s">
        <v>101</v>
      </c>
      <c r="C661" s="765" t="s">
        <v>8099</v>
      </c>
      <c r="D661" s="252" t="s">
        <v>8106</v>
      </c>
      <c r="E661" s="252" t="s">
        <v>3567</v>
      </c>
      <c r="F661" s="307">
        <v>10.0</v>
      </c>
      <c r="G661" s="254">
        <v>93.0</v>
      </c>
      <c r="H661" s="310">
        <f t="shared" si="9"/>
        <v>930</v>
      </c>
      <c r="I661" s="266" t="s">
        <v>3474</v>
      </c>
      <c r="J661" s="369" t="s">
        <v>3739</v>
      </c>
      <c r="K661" s="258">
        <v>43053.0</v>
      </c>
      <c r="L661" s="258">
        <v>43046.0</v>
      </c>
      <c r="M661" s="333" t="s">
        <v>2034</v>
      </c>
      <c r="N661" s="310" t="s">
        <v>8107</v>
      </c>
      <c r="O661" s="310">
        <v>924.0</v>
      </c>
      <c r="P661" s="330"/>
      <c r="Q661" s="320" t="s">
        <v>2036</v>
      </c>
      <c r="R661" s="330"/>
      <c r="S661" s="768">
        <v>43105.0</v>
      </c>
      <c r="T661" s="769">
        <v>43045.0</v>
      </c>
      <c r="U661" s="765" t="s">
        <v>8108</v>
      </c>
      <c r="V661" s="770">
        <v>129103.0</v>
      </c>
      <c r="W661" s="601">
        <v>43115.0</v>
      </c>
      <c r="X661" s="252" t="s">
        <v>8102</v>
      </c>
      <c r="Y661" s="253">
        <v>3.769292564E9</v>
      </c>
      <c r="Z661" s="330"/>
      <c r="AA661" s="330"/>
      <c r="AB661" s="330"/>
      <c r="AC661" s="253" t="s">
        <v>284</v>
      </c>
    </row>
    <row r="662" ht="15.75" customHeight="1">
      <c r="A662" s="764">
        <v>43007.0</v>
      </c>
      <c r="B662" s="1004" t="s">
        <v>101</v>
      </c>
      <c r="C662" s="765" t="s">
        <v>8099</v>
      </c>
      <c r="D662" s="252" t="s">
        <v>8109</v>
      </c>
      <c r="E662" s="252" t="s">
        <v>3573</v>
      </c>
      <c r="F662" s="307">
        <v>10.0</v>
      </c>
      <c r="G662" s="254">
        <v>73.0</v>
      </c>
      <c r="H662" s="310">
        <f t="shared" si="9"/>
        <v>730</v>
      </c>
      <c r="I662" s="266" t="s">
        <v>3474</v>
      </c>
      <c r="J662" s="369" t="s">
        <v>3739</v>
      </c>
      <c r="K662" s="258">
        <v>43053.0</v>
      </c>
      <c r="L662" s="258">
        <v>43046.0</v>
      </c>
      <c r="M662" s="333" t="s">
        <v>2034</v>
      </c>
      <c r="N662" s="310" t="s">
        <v>8107</v>
      </c>
      <c r="O662" s="310">
        <v>724.5</v>
      </c>
      <c r="P662" s="330"/>
      <c r="Q662" s="320" t="s">
        <v>2036</v>
      </c>
      <c r="R662" s="330"/>
      <c r="S662" s="768">
        <v>43105.0</v>
      </c>
      <c r="T662" s="769">
        <v>43045.0</v>
      </c>
      <c r="U662" s="765" t="s">
        <v>8108</v>
      </c>
      <c r="V662" s="770">
        <v>129103.0</v>
      </c>
      <c r="W662" s="601">
        <v>43115.0</v>
      </c>
      <c r="X662" s="252" t="s">
        <v>8102</v>
      </c>
      <c r="Y662" s="253">
        <v>3.769292564E9</v>
      </c>
      <c r="Z662" s="330"/>
      <c r="AA662" s="330"/>
      <c r="AB662" s="330"/>
      <c r="AC662" s="253" t="s">
        <v>284</v>
      </c>
    </row>
    <row r="663" ht="15.75" customHeight="1">
      <c r="A663" s="764">
        <v>43007.0</v>
      </c>
      <c r="B663" s="1004" t="s">
        <v>101</v>
      </c>
      <c r="C663" s="765" t="s">
        <v>8099</v>
      </c>
      <c r="D663" s="252" t="s">
        <v>8110</v>
      </c>
      <c r="E663" s="252" t="s">
        <v>3575</v>
      </c>
      <c r="F663" s="307">
        <v>10.0</v>
      </c>
      <c r="G663" s="254">
        <v>140.0</v>
      </c>
      <c r="H663" s="310">
        <f t="shared" si="9"/>
        <v>1400</v>
      </c>
      <c r="I663" s="266" t="s">
        <v>3474</v>
      </c>
      <c r="J663" s="369" t="s">
        <v>3739</v>
      </c>
      <c r="K663" s="258">
        <v>43053.0</v>
      </c>
      <c r="L663" s="258">
        <v>43046.0</v>
      </c>
      <c r="M663" s="333" t="s">
        <v>2034</v>
      </c>
      <c r="N663" s="310" t="s">
        <v>8107</v>
      </c>
      <c r="O663" s="310">
        <v>1396.5</v>
      </c>
      <c r="P663" s="330"/>
      <c r="Q663" s="320" t="s">
        <v>2036</v>
      </c>
      <c r="R663" s="330"/>
      <c r="S663" s="768">
        <v>43105.0</v>
      </c>
      <c r="T663" s="769">
        <v>43045.0</v>
      </c>
      <c r="U663" s="765" t="s">
        <v>8108</v>
      </c>
      <c r="V663" s="770">
        <v>129103.0</v>
      </c>
      <c r="W663" s="601">
        <v>43115.0</v>
      </c>
      <c r="X663" s="252" t="s">
        <v>8102</v>
      </c>
      <c r="Y663" s="253">
        <v>3.769292564E9</v>
      </c>
      <c r="Z663" s="330"/>
      <c r="AA663" s="330"/>
      <c r="AB663" s="330"/>
      <c r="AC663" s="253" t="s">
        <v>284</v>
      </c>
    </row>
    <row r="664" ht="15.75" customHeight="1">
      <c r="A664" s="764">
        <v>43007.0</v>
      </c>
      <c r="B664" s="1004" t="s">
        <v>101</v>
      </c>
      <c r="C664" s="765" t="s">
        <v>8099</v>
      </c>
      <c r="D664" s="252" t="s">
        <v>8111</v>
      </c>
      <c r="E664" s="252" t="s">
        <v>3580</v>
      </c>
      <c r="F664" s="307">
        <v>10.0</v>
      </c>
      <c r="G664" s="254">
        <v>4.0</v>
      </c>
      <c r="H664" s="310">
        <f t="shared" si="9"/>
        <v>40</v>
      </c>
      <c r="I664" s="266" t="s">
        <v>3474</v>
      </c>
      <c r="J664" s="369" t="s">
        <v>3739</v>
      </c>
      <c r="K664" s="258">
        <v>43053.0</v>
      </c>
      <c r="L664" s="258">
        <v>43046.0</v>
      </c>
      <c r="M664" s="333" t="s">
        <v>2034</v>
      </c>
      <c r="N664" s="310" t="s">
        <v>8107</v>
      </c>
      <c r="O664" s="310">
        <v>31.5</v>
      </c>
      <c r="P664" s="330"/>
      <c r="Q664" s="310" t="s">
        <v>2036</v>
      </c>
      <c r="R664" s="330"/>
      <c r="S664" s="768">
        <v>43105.0</v>
      </c>
      <c r="T664" s="769">
        <v>43045.0</v>
      </c>
      <c r="U664" s="765" t="s">
        <v>8108</v>
      </c>
      <c r="V664" s="770">
        <v>129103.0</v>
      </c>
      <c r="W664" s="601">
        <v>43115.0</v>
      </c>
      <c r="X664" s="252" t="s">
        <v>8102</v>
      </c>
      <c r="Y664" s="253">
        <v>3.769292564E9</v>
      </c>
      <c r="Z664" s="330"/>
      <c r="AA664" s="330"/>
      <c r="AB664" s="330"/>
      <c r="AC664" s="253" t="s">
        <v>284</v>
      </c>
    </row>
    <row r="665" ht="15.75" customHeight="1">
      <c r="A665" s="764">
        <v>43007.0</v>
      </c>
      <c r="B665" s="1004" t="s">
        <v>101</v>
      </c>
      <c r="C665" s="765" t="s">
        <v>8112</v>
      </c>
      <c r="D665" s="252" t="s">
        <v>8113</v>
      </c>
      <c r="E665" s="252" t="s">
        <v>8114</v>
      </c>
      <c r="F665" s="307">
        <v>5.0</v>
      </c>
      <c r="G665" s="254">
        <v>322.0</v>
      </c>
      <c r="H665" s="310">
        <f t="shared" si="9"/>
        <v>1610</v>
      </c>
      <c r="I665" s="266" t="s">
        <v>3474</v>
      </c>
      <c r="J665" s="369" t="s">
        <v>3739</v>
      </c>
      <c r="K665" s="258">
        <v>43038.0</v>
      </c>
      <c r="L665" s="258">
        <v>43034.0</v>
      </c>
      <c r="M665" s="333" t="s">
        <v>2028</v>
      </c>
      <c r="N665" s="310" t="s">
        <v>8115</v>
      </c>
      <c r="O665" s="594">
        <v>1522.5</v>
      </c>
      <c r="P665" s="330"/>
      <c r="Q665" s="578" t="s">
        <v>2030</v>
      </c>
      <c r="R665" s="330"/>
      <c r="S665" s="768">
        <v>43044.0</v>
      </c>
      <c r="T665" s="769">
        <v>43033.0</v>
      </c>
      <c r="U665" s="765" t="s">
        <v>8116</v>
      </c>
      <c r="V665" s="770">
        <v>70308.0</v>
      </c>
      <c r="W665" s="601">
        <v>43046.0</v>
      </c>
      <c r="X665" s="252" t="s">
        <v>8117</v>
      </c>
      <c r="Y665" s="253">
        <v>9.087918781E9</v>
      </c>
      <c r="Z665" s="330"/>
      <c r="AA665" s="330"/>
      <c r="AB665" s="330"/>
      <c r="AC665" s="253" t="s">
        <v>4730</v>
      </c>
    </row>
    <row r="666" ht="15.75" customHeight="1">
      <c r="A666" s="764">
        <v>43007.0</v>
      </c>
      <c r="B666" s="1004" t="s">
        <v>101</v>
      </c>
      <c r="C666" s="765" t="s">
        <v>8112</v>
      </c>
      <c r="D666" s="252" t="s">
        <v>8118</v>
      </c>
      <c r="E666" s="252" t="s">
        <v>3862</v>
      </c>
      <c r="F666" s="307">
        <v>5.0</v>
      </c>
      <c r="G666" s="254">
        <v>9.0</v>
      </c>
      <c r="H666" s="310">
        <f t="shared" si="9"/>
        <v>45</v>
      </c>
      <c r="I666" s="266" t="s">
        <v>3474</v>
      </c>
      <c r="J666" s="369" t="s">
        <v>3739</v>
      </c>
      <c r="K666" s="258">
        <v>43038.0</v>
      </c>
      <c r="L666" s="258">
        <v>43034.0</v>
      </c>
      <c r="M666" s="333" t="s">
        <v>2028</v>
      </c>
      <c r="N666" s="310" t="s">
        <v>8115</v>
      </c>
      <c r="O666" s="579">
        <v>42.0</v>
      </c>
      <c r="P666" s="330"/>
      <c r="Q666" s="340" t="s">
        <v>2030</v>
      </c>
      <c r="R666" s="330"/>
      <c r="S666" s="768">
        <v>43044.0</v>
      </c>
      <c r="T666" s="769">
        <v>43033.0</v>
      </c>
      <c r="U666" s="765" t="s">
        <v>8116</v>
      </c>
      <c r="V666" s="770">
        <v>70308.0</v>
      </c>
      <c r="W666" s="601">
        <v>43046.0</v>
      </c>
      <c r="X666" s="252" t="s">
        <v>8117</v>
      </c>
      <c r="Y666" s="253">
        <v>9.087918781E9</v>
      </c>
      <c r="Z666" s="330"/>
      <c r="AA666" s="330"/>
      <c r="AB666" s="330"/>
      <c r="AC666" s="253" t="s">
        <v>4730</v>
      </c>
    </row>
    <row r="667" ht="15.75" customHeight="1">
      <c r="A667" s="764">
        <v>43007.0</v>
      </c>
      <c r="B667" s="597" t="s">
        <v>7314</v>
      </c>
      <c r="C667" s="765">
        <v>7.000132879E9</v>
      </c>
      <c r="D667" s="252" t="s">
        <v>8119</v>
      </c>
      <c r="E667" s="252" t="s">
        <v>4157</v>
      </c>
      <c r="F667" s="253">
        <v>1.0</v>
      </c>
      <c r="G667" s="254">
        <v>548.0</v>
      </c>
      <c r="H667" s="310">
        <f t="shared" si="9"/>
        <v>548</v>
      </c>
      <c r="I667" s="266" t="s">
        <v>43</v>
      </c>
      <c r="J667" s="403" t="s">
        <v>3623</v>
      </c>
      <c r="K667" s="258">
        <v>43032.0</v>
      </c>
      <c r="L667" s="258">
        <v>43027.0</v>
      </c>
      <c r="M667" s="333" t="s">
        <v>3840</v>
      </c>
      <c r="N667" s="252" t="s">
        <v>8120</v>
      </c>
      <c r="O667" s="339"/>
      <c r="P667" s="637">
        <v>16380.0</v>
      </c>
      <c r="Q667" s="388" t="s">
        <v>3842</v>
      </c>
      <c r="R667" s="330"/>
      <c r="S667" s="810">
        <v>43074.0</v>
      </c>
      <c r="T667" s="769">
        <v>43026.0</v>
      </c>
      <c r="U667" s="765" t="s">
        <v>8121</v>
      </c>
      <c r="V667" s="770">
        <v>17514.0</v>
      </c>
      <c r="W667" s="601">
        <v>43074.0</v>
      </c>
      <c r="X667" s="252" t="s">
        <v>8122</v>
      </c>
      <c r="Y667" s="253">
        <v>1.572914372E9</v>
      </c>
      <c r="Z667" s="330"/>
      <c r="AA667" s="330"/>
      <c r="AB667" s="330"/>
      <c r="AC667" s="253" t="s">
        <v>284</v>
      </c>
    </row>
    <row r="668" ht="15.75" customHeight="1">
      <c r="A668" s="764">
        <v>43007.0</v>
      </c>
      <c r="B668" s="597" t="s">
        <v>7314</v>
      </c>
      <c r="C668" s="765">
        <v>7.000132879E9</v>
      </c>
      <c r="D668" s="252" t="s">
        <v>8119</v>
      </c>
      <c r="E668" s="252" t="s">
        <v>4162</v>
      </c>
      <c r="F668" s="253">
        <v>1.0</v>
      </c>
      <c r="G668" s="254">
        <v>40.0</v>
      </c>
      <c r="H668" s="310">
        <f t="shared" si="9"/>
        <v>40</v>
      </c>
      <c r="I668" s="266" t="s">
        <v>43</v>
      </c>
      <c r="J668" s="403" t="s">
        <v>3623</v>
      </c>
      <c r="K668" s="258">
        <v>43032.0</v>
      </c>
      <c r="L668" s="258">
        <v>43027.0</v>
      </c>
      <c r="M668" s="333" t="s">
        <v>3840</v>
      </c>
      <c r="N668" s="252" t="s">
        <v>8120</v>
      </c>
      <c r="O668" s="339"/>
      <c r="P668" s="637">
        <v>1134.0</v>
      </c>
      <c r="Q668" s="388" t="s">
        <v>3842</v>
      </c>
      <c r="R668" s="330"/>
      <c r="S668" s="810">
        <v>43074.0</v>
      </c>
      <c r="T668" s="769">
        <v>43026.0</v>
      </c>
      <c r="U668" s="765" t="s">
        <v>8121</v>
      </c>
      <c r="V668" s="765" t="s">
        <v>8123</v>
      </c>
      <c r="W668" s="601">
        <v>43074.0</v>
      </c>
      <c r="X668" s="252" t="s">
        <v>8122</v>
      </c>
      <c r="Y668" s="253">
        <v>1.572914372E9</v>
      </c>
      <c r="Z668" s="330"/>
      <c r="AA668" s="330"/>
      <c r="AB668" s="330"/>
      <c r="AC668" s="253" t="s">
        <v>284</v>
      </c>
    </row>
    <row r="669" ht="15.75" customHeight="1">
      <c r="A669" s="764">
        <v>43007.0</v>
      </c>
      <c r="B669" s="1004" t="s">
        <v>101</v>
      </c>
      <c r="C669" s="765" t="s">
        <v>8124</v>
      </c>
      <c r="D669" s="765" t="s">
        <v>8125</v>
      </c>
      <c r="E669" s="765" t="s">
        <v>6768</v>
      </c>
      <c r="F669" s="253">
        <v>2.0</v>
      </c>
      <c r="G669" s="254">
        <v>105.0</v>
      </c>
      <c r="H669" s="310">
        <f t="shared" si="9"/>
        <v>210</v>
      </c>
      <c r="I669" s="266" t="s">
        <v>3474</v>
      </c>
      <c r="J669" s="369" t="s">
        <v>3739</v>
      </c>
      <c r="K669" s="258">
        <v>43020.0</v>
      </c>
      <c r="L669" s="258">
        <v>43014.0</v>
      </c>
      <c r="M669" s="1073" t="s">
        <v>2170</v>
      </c>
      <c r="N669" s="310" t="s">
        <v>8126</v>
      </c>
      <c r="O669" s="330"/>
      <c r="P669" s="579">
        <v>5653.0</v>
      </c>
      <c r="Q669" s="310" t="s">
        <v>2172</v>
      </c>
      <c r="R669" s="330"/>
      <c r="S669" s="330"/>
      <c r="T669" s="769">
        <v>43013.0</v>
      </c>
      <c r="U669" s="765" t="s">
        <v>8127</v>
      </c>
      <c r="V669" s="770">
        <v>5653.0</v>
      </c>
      <c r="W669" s="601">
        <v>43011.0</v>
      </c>
      <c r="X669" s="252" t="s">
        <v>7809</v>
      </c>
      <c r="Y669" s="253">
        <v>3.441702014E9</v>
      </c>
      <c r="Z669" s="330"/>
      <c r="AA669" s="330"/>
      <c r="AB669" s="330"/>
      <c r="AC669" s="253" t="s">
        <v>284</v>
      </c>
    </row>
    <row r="670" ht="15.75" customHeight="1">
      <c r="A670" s="764">
        <v>43007.0</v>
      </c>
      <c r="B670" s="1004" t="s">
        <v>101</v>
      </c>
      <c r="C670" s="765" t="s">
        <v>8112</v>
      </c>
      <c r="D670" s="252" t="s">
        <v>8128</v>
      </c>
      <c r="E670" s="252" t="s">
        <v>6612</v>
      </c>
      <c r="F670" s="307">
        <v>5.0</v>
      </c>
      <c r="G670" s="254">
        <v>39.0</v>
      </c>
      <c r="H670" s="310">
        <f t="shared" si="9"/>
        <v>195</v>
      </c>
      <c r="I670" s="266" t="s">
        <v>3474</v>
      </c>
      <c r="J670" s="369" t="s">
        <v>3739</v>
      </c>
      <c r="K670" s="258">
        <v>43038.0</v>
      </c>
      <c r="L670" s="258">
        <v>43014.0</v>
      </c>
      <c r="M670" s="333" t="s">
        <v>2170</v>
      </c>
      <c r="N670" s="310" t="s">
        <v>8129</v>
      </c>
      <c r="O670" s="596"/>
      <c r="P670" s="637">
        <v>5654.0</v>
      </c>
      <c r="Q670" s="320" t="s">
        <v>2172</v>
      </c>
      <c r="R670" s="330"/>
      <c r="S670" s="330"/>
      <c r="T670" s="769">
        <v>43014.0</v>
      </c>
      <c r="U670" s="765" t="s">
        <v>8130</v>
      </c>
      <c r="V670" s="770">
        <v>5654.0</v>
      </c>
      <c r="W670" s="601">
        <v>43013.0</v>
      </c>
      <c r="X670" s="252" t="s">
        <v>8117</v>
      </c>
      <c r="Y670" s="253">
        <v>9.087918781E9</v>
      </c>
      <c r="Z670" s="330"/>
      <c r="AA670" s="330"/>
      <c r="AB670" s="330"/>
      <c r="AC670" s="253" t="s">
        <v>4730</v>
      </c>
    </row>
    <row r="671" ht="15.75" customHeight="1">
      <c r="A671" s="764">
        <v>43011.0</v>
      </c>
      <c r="B671" s="1004" t="s">
        <v>101</v>
      </c>
      <c r="C671" s="765" t="s">
        <v>8131</v>
      </c>
      <c r="D671" s="252" t="s">
        <v>8132</v>
      </c>
      <c r="E671" s="252" t="s">
        <v>8133</v>
      </c>
      <c r="F671" s="253">
        <v>1.0</v>
      </c>
      <c r="G671" s="254">
        <v>767.0</v>
      </c>
      <c r="H671" s="310">
        <f t="shared" si="9"/>
        <v>767</v>
      </c>
      <c r="I671" s="266" t="s">
        <v>3474</v>
      </c>
      <c r="J671" s="369" t="s">
        <v>3739</v>
      </c>
      <c r="K671" s="258">
        <v>43034.0</v>
      </c>
      <c r="L671" s="258">
        <v>43034.0</v>
      </c>
      <c r="M671" s="333" t="s">
        <v>2028</v>
      </c>
      <c r="N671" s="310" t="s">
        <v>8134</v>
      </c>
      <c r="O671" s="268">
        <v>708.75</v>
      </c>
      <c r="P671" s="330"/>
      <c r="Q671" s="340" t="s">
        <v>2030</v>
      </c>
      <c r="R671" s="330"/>
      <c r="S671" s="768">
        <v>43044.0</v>
      </c>
      <c r="T671" s="769">
        <v>43033.0</v>
      </c>
      <c r="U671" s="765" t="s">
        <v>8116</v>
      </c>
      <c r="V671" s="770">
        <v>70308.0</v>
      </c>
      <c r="W671" s="601">
        <v>43046.0</v>
      </c>
      <c r="X671" s="252" t="s">
        <v>8135</v>
      </c>
      <c r="Y671" s="253">
        <v>6.619675241E9</v>
      </c>
      <c r="Z671" s="330"/>
      <c r="AA671" s="330"/>
      <c r="AB671" s="330"/>
      <c r="AC671" s="253" t="s">
        <v>284</v>
      </c>
    </row>
    <row r="672" ht="15.75" customHeight="1">
      <c r="A672" s="764">
        <v>43011.0</v>
      </c>
      <c r="B672" s="1004" t="s">
        <v>101</v>
      </c>
      <c r="C672" s="765" t="s">
        <v>8131</v>
      </c>
      <c r="D672" s="252" t="s">
        <v>8136</v>
      </c>
      <c r="E672" s="252" t="s">
        <v>8137</v>
      </c>
      <c r="F672" s="253">
        <v>1.0</v>
      </c>
      <c r="G672" s="254">
        <v>74.0</v>
      </c>
      <c r="H672" s="310">
        <f t="shared" si="9"/>
        <v>74</v>
      </c>
      <c r="I672" s="266" t="s">
        <v>3474</v>
      </c>
      <c r="J672" s="369" t="s">
        <v>3739</v>
      </c>
      <c r="K672" s="258">
        <v>43034.0</v>
      </c>
      <c r="L672" s="258">
        <v>43034.0</v>
      </c>
      <c r="M672" s="403" t="s">
        <v>2028</v>
      </c>
      <c r="N672" s="310" t="s">
        <v>8134</v>
      </c>
      <c r="O672" s="268">
        <v>70.35</v>
      </c>
      <c r="P672" s="330"/>
      <c r="Q672" s="340" t="s">
        <v>2030</v>
      </c>
      <c r="R672" s="330"/>
      <c r="S672" s="768">
        <v>43044.0</v>
      </c>
      <c r="T672" s="769">
        <v>43033.0</v>
      </c>
      <c r="U672" s="765" t="s">
        <v>8116</v>
      </c>
      <c r="V672" s="770">
        <v>70308.0</v>
      </c>
      <c r="W672" s="601">
        <v>43046.0</v>
      </c>
      <c r="X672" s="252" t="s">
        <v>8135</v>
      </c>
      <c r="Y672" s="253">
        <v>6.619675241E9</v>
      </c>
      <c r="Z672" s="330"/>
      <c r="AA672" s="330"/>
      <c r="AB672" s="330"/>
      <c r="AC672" s="253" t="s">
        <v>284</v>
      </c>
    </row>
    <row r="673" ht="15.75" customHeight="1">
      <c r="A673" s="764">
        <v>43011.0</v>
      </c>
      <c r="B673" s="1004" t="s">
        <v>101</v>
      </c>
      <c r="C673" s="765" t="s">
        <v>8131</v>
      </c>
      <c r="D673" s="252" t="s">
        <v>8138</v>
      </c>
      <c r="E673" s="252" t="s">
        <v>8139</v>
      </c>
      <c r="F673" s="253">
        <v>1.0</v>
      </c>
      <c r="G673" s="254">
        <v>352.0</v>
      </c>
      <c r="H673" s="310">
        <f t="shared" si="9"/>
        <v>352</v>
      </c>
      <c r="I673" s="266" t="s">
        <v>3474</v>
      </c>
      <c r="J673" s="369" t="s">
        <v>3739</v>
      </c>
      <c r="K673" s="258">
        <v>43034.0</v>
      </c>
      <c r="L673" s="258">
        <v>43024.0</v>
      </c>
      <c r="M673" s="269" t="s">
        <v>2129</v>
      </c>
      <c r="N673" s="310" t="s">
        <v>8140</v>
      </c>
      <c r="O673" s="268">
        <v>299.25</v>
      </c>
      <c r="P673" s="330"/>
      <c r="Q673" s="320" t="s">
        <v>6346</v>
      </c>
      <c r="R673" s="330"/>
      <c r="S673" s="810">
        <v>43052.0</v>
      </c>
      <c r="T673" s="769">
        <v>43021.0</v>
      </c>
      <c r="U673" s="765" t="s">
        <v>8141</v>
      </c>
      <c r="V673" s="770">
        <v>9042.0</v>
      </c>
      <c r="W673" s="601">
        <v>43046.0</v>
      </c>
      <c r="X673" s="252" t="s">
        <v>8135</v>
      </c>
      <c r="Y673" s="253">
        <v>6.619675241E9</v>
      </c>
      <c r="Z673" s="330"/>
      <c r="AA673" s="330"/>
      <c r="AB673" s="330"/>
      <c r="AC673" s="253" t="s">
        <v>284</v>
      </c>
    </row>
    <row r="674" ht="15.75" customHeight="1">
      <c r="A674" s="764">
        <v>43011.0</v>
      </c>
      <c r="B674" s="1004" t="s">
        <v>101</v>
      </c>
      <c r="C674" s="765" t="s">
        <v>8142</v>
      </c>
      <c r="D674" s="765" t="s">
        <v>8143</v>
      </c>
      <c r="E674" s="765" t="s">
        <v>8144</v>
      </c>
      <c r="F674" s="253">
        <v>10.0</v>
      </c>
      <c r="G674" s="254">
        <v>38.0</v>
      </c>
      <c r="H674" s="310">
        <f t="shared" si="9"/>
        <v>380</v>
      </c>
      <c r="I674" s="266" t="s">
        <v>3474</v>
      </c>
      <c r="J674" s="369" t="s">
        <v>3739</v>
      </c>
      <c r="K674" s="258">
        <v>43020.0</v>
      </c>
      <c r="L674" s="258">
        <v>43020.0</v>
      </c>
      <c r="M674" s="333" t="s">
        <v>1439</v>
      </c>
      <c r="N674" s="310" t="s">
        <v>8145</v>
      </c>
      <c r="O674" s="596"/>
      <c r="P674" s="579">
        <v>11143.0</v>
      </c>
      <c r="Q674" s="320" t="s">
        <v>1976</v>
      </c>
      <c r="R674" s="330"/>
      <c r="S674" s="810">
        <v>43069.0</v>
      </c>
      <c r="T674" s="769">
        <v>43014.0</v>
      </c>
      <c r="U674" s="765" t="s">
        <v>8146</v>
      </c>
      <c r="V674" s="770">
        <v>11143.0</v>
      </c>
      <c r="W674" s="601">
        <v>43074.0</v>
      </c>
      <c r="X674" s="252" t="s">
        <v>7809</v>
      </c>
      <c r="Y674" s="253">
        <v>3.441702014E9</v>
      </c>
      <c r="Z674" s="330"/>
      <c r="AA674" s="330"/>
      <c r="AB674" s="330"/>
      <c r="AC674" s="253" t="s">
        <v>284</v>
      </c>
    </row>
    <row r="675" ht="15.75" customHeight="1">
      <c r="A675" s="776">
        <v>43012.0</v>
      </c>
      <c r="B675" s="806" t="s">
        <v>6246</v>
      </c>
      <c r="C675" s="806" t="s">
        <v>8147</v>
      </c>
      <c r="D675" s="806" t="s">
        <v>8148</v>
      </c>
      <c r="E675" s="806" t="s">
        <v>3519</v>
      </c>
      <c r="F675" s="266">
        <v>1.0</v>
      </c>
      <c r="G675" s="267">
        <v>244.0</v>
      </c>
      <c r="H675" s="846">
        <f t="shared" si="9"/>
        <v>244</v>
      </c>
      <c r="I675" s="807" t="s">
        <v>420</v>
      </c>
      <c r="J675" s="777" t="s">
        <v>3520</v>
      </c>
      <c r="K675" s="258">
        <v>43032.0</v>
      </c>
      <c r="L675" s="258">
        <v>43027.0</v>
      </c>
      <c r="M675" s="333" t="s">
        <v>90</v>
      </c>
      <c r="N675" s="310" t="s">
        <v>8149</v>
      </c>
      <c r="O675" s="268">
        <v>239.4</v>
      </c>
      <c r="P675" s="330"/>
      <c r="Q675" s="340" t="s">
        <v>94</v>
      </c>
      <c r="R675" s="330"/>
      <c r="S675" s="330"/>
      <c r="T675" s="769">
        <v>43027.0</v>
      </c>
      <c r="U675" s="765" t="s">
        <v>8150</v>
      </c>
      <c r="V675" s="770">
        <v>51108.0</v>
      </c>
      <c r="W675" s="601">
        <v>43024.0</v>
      </c>
      <c r="X675" s="252" t="s">
        <v>8151</v>
      </c>
      <c r="Y675" s="253">
        <v>4.835046462E9</v>
      </c>
      <c r="Z675" s="330"/>
      <c r="AA675" s="330"/>
      <c r="AB675" s="330"/>
      <c r="AC675" s="253" t="s">
        <v>284</v>
      </c>
    </row>
    <row r="676" ht="36.75" customHeight="1">
      <c r="A676" s="258">
        <v>43012.0</v>
      </c>
      <c r="B676" s="806" t="s">
        <v>6246</v>
      </c>
      <c r="C676" s="806" t="s">
        <v>8147</v>
      </c>
      <c r="D676" s="806" t="s">
        <v>8148</v>
      </c>
      <c r="E676" s="806" t="s">
        <v>7462</v>
      </c>
      <c r="F676" s="1099">
        <v>15.0</v>
      </c>
      <c r="G676" s="255">
        <v>58.0</v>
      </c>
      <c r="H676" s="846">
        <f t="shared" si="9"/>
        <v>870</v>
      </c>
      <c r="I676" s="807" t="s">
        <v>420</v>
      </c>
      <c r="J676" s="777" t="s">
        <v>3520</v>
      </c>
      <c r="K676" s="258">
        <v>43032.0</v>
      </c>
      <c r="L676" s="258">
        <v>43027.0</v>
      </c>
      <c r="M676" s="333" t="s">
        <v>90</v>
      </c>
      <c r="N676" s="310" t="s">
        <v>8149</v>
      </c>
      <c r="O676" s="268">
        <v>819.0</v>
      </c>
      <c r="P676" s="330"/>
      <c r="Q676" s="340" t="s">
        <v>94</v>
      </c>
      <c r="R676" s="330"/>
      <c r="S676" s="330"/>
      <c r="T676" s="769">
        <v>43027.0</v>
      </c>
      <c r="U676" s="765" t="s">
        <v>8150</v>
      </c>
      <c r="V676" s="330" t="s">
        <v>8152</v>
      </c>
      <c r="W676" s="601">
        <v>43024.0</v>
      </c>
      <c r="X676" s="252" t="s">
        <v>8151</v>
      </c>
      <c r="Y676" s="253">
        <v>4.835046462E9</v>
      </c>
      <c r="Z676" s="330"/>
      <c r="AA676" s="330"/>
      <c r="AB676" s="330"/>
      <c r="AC676" s="253" t="s">
        <v>284</v>
      </c>
    </row>
    <row r="677" ht="15.75" customHeight="1">
      <c r="A677" s="258">
        <v>43012.0</v>
      </c>
      <c r="B677" s="806" t="s">
        <v>6246</v>
      </c>
      <c r="C677" s="806" t="s">
        <v>8147</v>
      </c>
      <c r="D677" s="806" t="s">
        <v>8148</v>
      </c>
      <c r="E677" s="806" t="s">
        <v>7458</v>
      </c>
      <c r="F677" s="266">
        <v>10.0</v>
      </c>
      <c r="G677" s="267">
        <v>66.0</v>
      </c>
      <c r="H677" s="846">
        <f t="shared" si="9"/>
        <v>660</v>
      </c>
      <c r="I677" s="256" t="s">
        <v>420</v>
      </c>
      <c r="J677" s="777" t="s">
        <v>3520</v>
      </c>
      <c r="K677" s="258">
        <v>43032.0</v>
      </c>
      <c r="L677" s="258">
        <v>43027.0</v>
      </c>
      <c r="M677" s="333" t="s">
        <v>90</v>
      </c>
      <c r="N677" s="310" t="s">
        <v>8149</v>
      </c>
      <c r="O677" s="268">
        <v>630.0</v>
      </c>
      <c r="P677" s="330"/>
      <c r="Q677" s="340" t="s">
        <v>94</v>
      </c>
      <c r="R677" s="330"/>
      <c r="S677" s="330"/>
      <c r="T677" s="769">
        <v>43027.0</v>
      </c>
      <c r="U677" s="765" t="s">
        <v>8150</v>
      </c>
      <c r="V677" s="330" t="s">
        <v>8152</v>
      </c>
      <c r="W677" s="601">
        <v>43024.0</v>
      </c>
      <c r="X677" s="252" t="s">
        <v>8151</v>
      </c>
      <c r="Y677" s="253">
        <v>4.835046462E9</v>
      </c>
      <c r="Z677" s="330"/>
      <c r="AA677" s="330"/>
      <c r="AB677" s="330"/>
      <c r="AC677" s="253" t="s">
        <v>284</v>
      </c>
    </row>
    <row r="678" ht="36.75" customHeight="1">
      <c r="A678" s="764">
        <v>43012.0</v>
      </c>
      <c r="B678" s="597" t="s">
        <v>7314</v>
      </c>
      <c r="C678" s="765">
        <v>7.000132972E9</v>
      </c>
      <c r="D678" s="252" t="s">
        <v>8153</v>
      </c>
      <c r="E678" s="252" t="s">
        <v>4196</v>
      </c>
      <c r="F678" s="253">
        <v>1.0</v>
      </c>
      <c r="G678" s="254">
        <v>74.0</v>
      </c>
      <c r="H678" s="846">
        <f t="shared" si="9"/>
        <v>74</v>
      </c>
      <c r="I678" s="256" t="s">
        <v>43</v>
      </c>
      <c r="J678" s="777" t="s">
        <v>3623</v>
      </c>
      <c r="K678" s="258">
        <v>43024.0</v>
      </c>
      <c r="L678" s="258">
        <v>43020.0</v>
      </c>
      <c r="M678" s="333" t="s">
        <v>3593</v>
      </c>
      <c r="N678" s="310" t="s">
        <v>8154</v>
      </c>
      <c r="O678" s="596"/>
      <c r="P678" s="1100">
        <v>2151.0</v>
      </c>
      <c r="Q678" s="310" t="s">
        <v>2080</v>
      </c>
      <c r="R678" s="330"/>
      <c r="S678" s="810">
        <v>43100.0</v>
      </c>
      <c r="T678" s="769">
        <v>43020.0</v>
      </c>
      <c r="U678" s="765" t="s">
        <v>8155</v>
      </c>
      <c r="V678" s="770">
        <v>8581.0</v>
      </c>
      <c r="W678" s="601">
        <v>43105.0</v>
      </c>
      <c r="X678" s="252" t="s">
        <v>8053</v>
      </c>
      <c r="Y678" s="253">
        <v>2.70407326E9</v>
      </c>
      <c r="Z678" s="330"/>
      <c r="AA678" s="330"/>
      <c r="AB678" s="330"/>
      <c r="AC678" s="253" t="s">
        <v>284</v>
      </c>
    </row>
    <row r="679" ht="15.75" customHeight="1">
      <c r="A679" s="764">
        <v>43012.0</v>
      </c>
      <c r="B679" s="597" t="s">
        <v>7314</v>
      </c>
      <c r="C679" s="765">
        <v>7.000132972E9</v>
      </c>
      <c r="D679" s="252" t="s">
        <v>8153</v>
      </c>
      <c r="E679" s="252" t="s">
        <v>6968</v>
      </c>
      <c r="F679" s="253">
        <v>2.0</v>
      </c>
      <c r="G679" s="254">
        <v>110.0</v>
      </c>
      <c r="H679" s="846">
        <f t="shared" si="9"/>
        <v>220</v>
      </c>
      <c r="I679" s="256" t="s">
        <v>43</v>
      </c>
      <c r="J679" s="777" t="s">
        <v>3623</v>
      </c>
      <c r="K679" s="258">
        <v>43024.0</v>
      </c>
      <c r="L679" s="258">
        <v>43020.0</v>
      </c>
      <c r="M679" s="333" t="s">
        <v>3593</v>
      </c>
      <c r="N679" s="310" t="s">
        <v>8154</v>
      </c>
      <c r="O679" s="598"/>
      <c r="P679" s="1100">
        <v>6430.0</v>
      </c>
      <c r="Q679" s="310" t="s">
        <v>2080</v>
      </c>
      <c r="R679" s="330"/>
      <c r="S679" s="810">
        <v>43100.0</v>
      </c>
      <c r="T679" s="769">
        <v>43020.0</v>
      </c>
      <c r="U679" s="765" t="s">
        <v>8155</v>
      </c>
      <c r="V679" s="765" t="s">
        <v>8156</v>
      </c>
      <c r="W679" s="601">
        <v>43105.0</v>
      </c>
      <c r="X679" s="252" t="s">
        <v>8053</v>
      </c>
      <c r="Y679" s="253">
        <v>2.70407326E9</v>
      </c>
      <c r="Z679" s="330"/>
      <c r="AA679" s="330"/>
      <c r="AB679" s="330"/>
      <c r="AC679" s="253" t="s">
        <v>284</v>
      </c>
    </row>
    <row r="680" ht="15.75" customHeight="1">
      <c r="A680" s="764">
        <v>43013.0</v>
      </c>
      <c r="B680" s="1004" t="s">
        <v>326</v>
      </c>
      <c r="C680" s="1101" t="s">
        <v>8157</v>
      </c>
      <c r="D680" s="368" t="s">
        <v>8158</v>
      </c>
      <c r="E680" s="368" t="s">
        <v>3773</v>
      </c>
      <c r="F680" s="253">
        <v>10.0</v>
      </c>
      <c r="G680" s="254">
        <v>567.0</v>
      </c>
      <c r="H680" s="846">
        <f t="shared" si="9"/>
        <v>5670</v>
      </c>
      <c r="I680" s="256" t="s">
        <v>3474</v>
      </c>
      <c r="J680" s="369" t="s">
        <v>3774</v>
      </c>
      <c r="K680" s="258">
        <v>43039.0</v>
      </c>
      <c r="L680" s="258">
        <v>43034.0</v>
      </c>
      <c r="M680" s="333" t="s">
        <v>3775</v>
      </c>
      <c r="N680" s="310" t="s">
        <v>8159</v>
      </c>
      <c r="O680" s="579">
        <v>5355.0</v>
      </c>
      <c r="P680" s="330"/>
      <c r="Q680" s="597" t="s">
        <v>2207</v>
      </c>
      <c r="R680" s="330"/>
      <c r="S680" s="768">
        <v>43100.0</v>
      </c>
      <c r="T680" s="771">
        <v>43034.0</v>
      </c>
      <c r="U680" s="252" t="s">
        <v>8160</v>
      </c>
      <c r="V680" s="774">
        <v>393096.0</v>
      </c>
      <c r="W680" s="601">
        <v>43105.0</v>
      </c>
      <c r="X680" s="252" t="s">
        <v>8161</v>
      </c>
      <c r="Y680" s="253">
        <v>8.98466913798E11</v>
      </c>
      <c r="Z680" s="330"/>
      <c r="AA680" s="330"/>
      <c r="AB680" s="330"/>
      <c r="AC680" s="253" t="s">
        <v>7120</v>
      </c>
    </row>
    <row r="681" ht="15.75" customHeight="1">
      <c r="A681" s="764">
        <v>43013.0</v>
      </c>
      <c r="B681" s="1004" t="s">
        <v>326</v>
      </c>
      <c r="C681" s="1101" t="s">
        <v>8157</v>
      </c>
      <c r="D681" s="895" t="s">
        <v>8162</v>
      </c>
      <c r="E681" s="895" t="s">
        <v>53</v>
      </c>
      <c r="F681" s="253">
        <v>10.0</v>
      </c>
      <c r="G681" s="254">
        <v>31.0</v>
      </c>
      <c r="H681" s="846">
        <f t="shared" si="9"/>
        <v>310</v>
      </c>
      <c r="I681" s="256" t="s">
        <v>3474</v>
      </c>
      <c r="J681" s="369" t="s">
        <v>3774</v>
      </c>
      <c r="K681" s="258">
        <v>43039.0</v>
      </c>
      <c r="L681" s="258">
        <v>43034.0</v>
      </c>
      <c r="M681" s="333" t="s">
        <v>3775</v>
      </c>
      <c r="N681" s="310" t="s">
        <v>8159</v>
      </c>
      <c r="O681" s="310">
        <v>226.8</v>
      </c>
      <c r="P681" s="330"/>
      <c r="Q681" s="597" t="s">
        <v>2207</v>
      </c>
      <c r="R681" s="330"/>
      <c r="S681" s="768">
        <v>43100.0</v>
      </c>
      <c r="T681" s="771">
        <v>43034.0</v>
      </c>
      <c r="U681" s="252" t="s">
        <v>8160</v>
      </c>
      <c r="V681" s="310" t="s">
        <v>8163</v>
      </c>
      <c r="W681" s="601">
        <v>43105.0</v>
      </c>
      <c r="X681" s="252" t="s">
        <v>8161</v>
      </c>
      <c r="Y681" s="253">
        <v>8.98466913798E11</v>
      </c>
      <c r="Z681" s="330"/>
      <c r="AA681" s="330"/>
      <c r="AB681" s="330"/>
      <c r="AC681" s="253" t="s">
        <v>7120</v>
      </c>
    </row>
    <row r="682" ht="15.75" customHeight="1">
      <c r="A682" s="764">
        <v>43013.0</v>
      </c>
      <c r="B682" s="1004" t="s">
        <v>326</v>
      </c>
      <c r="C682" s="1101" t="s">
        <v>8157</v>
      </c>
      <c r="D682" s="895" t="s">
        <v>8162</v>
      </c>
      <c r="E682" s="895" t="s">
        <v>59</v>
      </c>
      <c r="F682" s="253">
        <v>10.0</v>
      </c>
      <c r="G682" s="254">
        <v>4.0</v>
      </c>
      <c r="H682" s="846">
        <f t="shared" si="9"/>
        <v>40</v>
      </c>
      <c r="I682" s="256" t="s">
        <v>3474</v>
      </c>
      <c r="J682" s="369" t="s">
        <v>3774</v>
      </c>
      <c r="K682" s="258">
        <v>43039.0</v>
      </c>
      <c r="L682" s="258">
        <v>43034.0</v>
      </c>
      <c r="M682" s="403" t="s">
        <v>3775</v>
      </c>
      <c r="N682" s="310" t="s">
        <v>8159</v>
      </c>
      <c r="O682" s="310">
        <v>21.0</v>
      </c>
      <c r="P682" s="330"/>
      <c r="Q682" s="597" t="s">
        <v>2207</v>
      </c>
      <c r="R682" s="330"/>
      <c r="S682" s="768">
        <v>43100.0</v>
      </c>
      <c r="T682" s="771">
        <v>43034.0</v>
      </c>
      <c r="U682" s="252" t="s">
        <v>8160</v>
      </c>
      <c r="V682" s="310" t="s">
        <v>8163</v>
      </c>
      <c r="W682" s="601">
        <v>43105.0</v>
      </c>
      <c r="X682" s="252" t="s">
        <v>8161</v>
      </c>
      <c r="Y682" s="253">
        <v>8.98466913798E11</v>
      </c>
      <c r="Z682" s="330"/>
      <c r="AA682" s="330"/>
      <c r="AB682" s="330"/>
      <c r="AC682" s="253" t="s">
        <v>7120</v>
      </c>
    </row>
    <row r="683" ht="15.75" customHeight="1">
      <c r="A683" s="764">
        <v>43013.0</v>
      </c>
      <c r="B683" s="1004" t="s">
        <v>326</v>
      </c>
      <c r="C683" s="1101" t="s">
        <v>8157</v>
      </c>
      <c r="D683" s="895" t="s">
        <v>8162</v>
      </c>
      <c r="E683" s="895" t="s">
        <v>6374</v>
      </c>
      <c r="F683" s="253">
        <v>10.0</v>
      </c>
      <c r="G683" s="254">
        <v>438.0</v>
      </c>
      <c r="H683" s="846">
        <f t="shared" si="9"/>
        <v>4380</v>
      </c>
      <c r="I683" s="256" t="s">
        <v>3474</v>
      </c>
      <c r="J683" s="369" t="s">
        <v>3774</v>
      </c>
      <c r="K683" s="258">
        <v>43039.0</v>
      </c>
      <c r="L683" s="258">
        <v>43034.0</v>
      </c>
      <c r="M683" s="333" t="s">
        <v>3775</v>
      </c>
      <c r="N683" s="310" t="s">
        <v>8159</v>
      </c>
      <c r="O683" s="310">
        <v>4042.5</v>
      </c>
      <c r="P683" s="330"/>
      <c r="Q683" s="597" t="s">
        <v>2207</v>
      </c>
      <c r="R683" s="330"/>
      <c r="S683" s="768">
        <v>43100.0</v>
      </c>
      <c r="T683" s="771">
        <v>43034.0</v>
      </c>
      <c r="U683" s="252" t="s">
        <v>8160</v>
      </c>
      <c r="V683" s="310" t="s">
        <v>8163</v>
      </c>
      <c r="W683" s="601">
        <v>43105.0</v>
      </c>
      <c r="X683" s="252" t="s">
        <v>8161</v>
      </c>
      <c r="Y683" s="253">
        <v>8.98466913798E11</v>
      </c>
      <c r="Z683" s="330"/>
      <c r="AA683" s="330"/>
      <c r="AB683" s="330"/>
      <c r="AC683" s="253" t="s">
        <v>7120</v>
      </c>
    </row>
    <row r="684" ht="15.75" customHeight="1">
      <c r="A684" s="764">
        <v>43013.0</v>
      </c>
      <c r="B684" s="1004" t="s">
        <v>326</v>
      </c>
      <c r="C684" s="1101" t="s">
        <v>8157</v>
      </c>
      <c r="D684" s="895" t="s">
        <v>8162</v>
      </c>
      <c r="E684" s="895" t="s">
        <v>53</v>
      </c>
      <c r="F684" s="253">
        <v>10.0</v>
      </c>
      <c r="G684" s="254">
        <v>31.0</v>
      </c>
      <c r="H684" s="846">
        <f t="shared" si="9"/>
        <v>310</v>
      </c>
      <c r="I684" s="256" t="s">
        <v>3474</v>
      </c>
      <c r="J684" s="369" t="s">
        <v>3774</v>
      </c>
      <c r="K684" s="258">
        <v>43039.0</v>
      </c>
      <c r="L684" s="258">
        <v>43034.0</v>
      </c>
      <c r="M684" s="333" t="s">
        <v>3775</v>
      </c>
      <c r="N684" s="310" t="s">
        <v>8159</v>
      </c>
      <c r="O684" s="310">
        <v>226.8</v>
      </c>
      <c r="P684" s="330"/>
      <c r="Q684" s="597" t="s">
        <v>2207</v>
      </c>
      <c r="R684" s="330"/>
      <c r="S684" s="768">
        <v>43100.0</v>
      </c>
      <c r="T684" s="771">
        <v>43034.0</v>
      </c>
      <c r="U684" s="252" t="s">
        <v>8160</v>
      </c>
      <c r="V684" s="310" t="s">
        <v>8163</v>
      </c>
      <c r="W684" s="601">
        <v>43105.0</v>
      </c>
      <c r="X684" s="252" t="s">
        <v>8161</v>
      </c>
      <c r="Y684" s="253">
        <v>8.98466913798E11</v>
      </c>
      <c r="Z684" s="330"/>
      <c r="AA684" s="330"/>
      <c r="AB684" s="330"/>
      <c r="AC684" s="253" t="s">
        <v>7120</v>
      </c>
    </row>
    <row r="685" ht="15.75" customHeight="1">
      <c r="A685" s="764">
        <v>43013.0</v>
      </c>
      <c r="B685" s="1004" t="s">
        <v>326</v>
      </c>
      <c r="C685" s="1101" t="s">
        <v>8157</v>
      </c>
      <c r="D685" s="895" t="s">
        <v>8162</v>
      </c>
      <c r="E685" s="895" t="s">
        <v>59</v>
      </c>
      <c r="F685" s="253">
        <v>10.0</v>
      </c>
      <c r="G685" s="254">
        <v>4.0</v>
      </c>
      <c r="H685" s="581">
        <f t="shared" si="9"/>
        <v>40</v>
      </c>
      <c r="I685" s="256" t="s">
        <v>3474</v>
      </c>
      <c r="J685" s="369" t="s">
        <v>3774</v>
      </c>
      <c r="K685" s="258">
        <v>43039.0</v>
      </c>
      <c r="L685" s="258">
        <v>43034.0</v>
      </c>
      <c r="M685" s="333" t="s">
        <v>3775</v>
      </c>
      <c r="N685" s="310" t="s">
        <v>8159</v>
      </c>
      <c r="O685" s="310">
        <v>21.0</v>
      </c>
      <c r="P685" s="330"/>
      <c r="Q685" s="597" t="s">
        <v>2207</v>
      </c>
      <c r="R685" s="330"/>
      <c r="S685" s="768">
        <v>43100.0</v>
      </c>
      <c r="T685" s="771">
        <v>43034.0</v>
      </c>
      <c r="U685" s="252" t="s">
        <v>8160</v>
      </c>
      <c r="V685" s="310" t="s">
        <v>8163</v>
      </c>
      <c r="W685" s="601">
        <v>43105.0</v>
      </c>
      <c r="X685" s="252" t="s">
        <v>8161</v>
      </c>
      <c r="Y685" s="253">
        <v>8.98466913798E11</v>
      </c>
      <c r="Z685" s="330"/>
      <c r="AA685" s="330"/>
      <c r="AB685" s="330"/>
      <c r="AC685" s="253" t="s">
        <v>7120</v>
      </c>
    </row>
    <row r="686" ht="15.75" customHeight="1">
      <c r="A686" s="764">
        <v>43013.0</v>
      </c>
      <c r="B686" s="1004" t="s">
        <v>326</v>
      </c>
      <c r="C686" s="1101" t="s">
        <v>8157</v>
      </c>
      <c r="D686" s="895" t="s">
        <v>8162</v>
      </c>
      <c r="E686" s="895" t="s">
        <v>4414</v>
      </c>
      <c r="F686" s="253">
        <v>5.0</v>
      </c>
      <c r="G686" s="254">
        <v>607.0</v>
      </c>
      <c r="H686" s="581">
        <f t="shared" si="9"/>
        <v>3035</v>
      </c>
      <c r="I686" s="256" t="s">
        <v>3474</v>
      </c>
      <c r="J686" s="369" t="s">
        <v>3774</v>
      </c>
      <c r="K686" s="258">
        <v>43039.0</v>
      </c>
      <c r="L686" s="258">
        <v>43034.0</v>
      </c>
      <c r="M686" s="403" t="s">
        <v>3775</v>
      </c>
      <c r="N686" s="310" t="s">
        <v>8159</v>
      </c>
      <c r="O686" s="267">
        <v>2966.25</v>
      </c>
      <c r="P686" s="330"/>
      <c r="Q686" s="597" t="s">
        <v>2207</v>
      </c>
      <c r="R686" s="330"/>
      <c r="S686" s="768">
        <v>43100.0</v>
      </c>
      <c r="T686" s="771">
        <v>43034.0</v>
      </c>
      <c r="U686" s="252" t="s">
        <v>8160</v>
      </c>
      <c r="V686" s="310" t="s">
        <v>8163</v>
      </c>
      <c r="W686" s="601">
        <v>43105.0</v>
      </c>
      <c r="X686" s="252" t="s">
        <v>8161</v>
      </c>
      <c r="Y686" s="253">
        <v>8.98466913798E11</v>
      </c>
      <c r="Z686" s="330"/>
      <c r="AA686" s="330"/>
      <c r="AB686" s="330"/>
      <c r="AC686" s="253" t="s">
        <v>7120</v>
      </c>
    </row>
    <row r="687" ht="15.75" customHeight="1">
      <c r="A687" s="764">
        <v>43013.0</v>
      </c>
      <c r="B687" s="1004" t="s">
        <v>326</v>
      </c>
      <c r="C687" s="1101" t="s">
        <v>8157</v>
      </c>
      <c r="D687" s="895" t="s">
        <v>8162</v>
      </c>
      <c r="E687" s="895" t="s">
        <v>4419</v>
      </c>
      <c r="F687" s="253">
        <v>5.0</v>
      </c>
      <c r="G687" s="254">
        <v>27.0</v>
      </c>
      <c r="H687" s="581">
        <f t="shared" si="9"/>
        <v>135</v>
      </c>
      <c r="I687" s="256" t="s">
        <v>3474</v>
      </c>
      <c r="J687" s="369" t="s">
        <v>3774</v>
      </c>
      <c r="K687" s="258">
        <v>43039.0</v>
      </c>
      <c r="L687" s="258">
        <v>43034.0</v>
      </c>
      <c r="M687" s="333" t="s">
        <v>3775</v>
      </c>
      <c r="N687" s="310" t="s">
        <v>8159</v>
      </c>
      <c r="O687" s="267">
        <v>131.25</v>
      </c>
      <c r="P687" s="330"/>
      <c r="Q687" s="597" t="s">
        <v>2207</v>
      </c>
      <c r="R687" s="330"/>
      <c r="S687" s="768">
        <v>43100.0</v>
      </c>
      <c r="T687" s="771">
        <v>43034.0</v>
      </c>
      <c r="U687" s="252" t="s">
        <v>8160</v>
      </c>
      <c r="V687" s="310" t="s">
        <v>8163</v>
      </c>
      <c r="W687" s="601">
        <v>43105.0</v>
      </c>
      <c r="X687" s="252" t="s">
        <v>8161</v>
      </c>
      <c r="Y687" s="253">
        <v>8.98466913798E11</v>
      </c>
      <c r="Z687" s="330"/>
      <c r="AA687" s="330"/>
      <c r="AB687" s="330"/>
      <c r="AC687" s="253" t="s">
        <v>7120</v>
      </c>
    </row>
    <row r="688" ht="15.75" customHeight="1">
      <c r="A688" s="764">
        <v>43013.0</v>
      </c>
      <c r="B688" s="1004" t="s">
        <v>101</v>
      </c>
      <c r="C688" s="895" t="s">
        <v>8164</v>
      </c>
      <c r="D688" s="895" t="s">
        <v>8165</v>
      </c>
      <c r="E688" s="895" t="s">
        <v>8166</v>
      </c>
      <c r="F688" s="253">
        <v>2.0</v>
      </c>
      <c r="G688" s="254">
        <v>20.0</v>
      </c>
      <c r="H688" s="581">
        <f t="shared" si="9"/>
        <v>40</v>
      </c>
      <c r="I688" s="256" t="s">
        <v>3474</v>
      </c>
      <c r="J688" s="369" t="s">
        <v>3739</v>
      </c>
      <c r="K688" s="258">
        <v>43038.0</v>
      </c>
      <c r="L688" s="258">
        <v>43028.0</v>
      </c>
      <c r="M688" s="333" t="s">
        <v>2028</v>
      </c>
      <c r="N688" s="310" t="s">
        <v>8167</v>
      </c>
      <c r="O688" s="814">
        <v>31.5</v>
      </c>
      <c r="P688" s="330"/>
      <c r="Q688" s="340" t="s">
        <v>2030</v>
      </c>
      <c r="R688" s="330"/>
      <c r="S688" s="768">
        <v>43044.0</v>
      </c>
      <c r="T688" s="769">
        <v>43027.0</v>
      </c>
      <c r="U688" s="765" t="s">
        <v>8168</v>
      </c>
      <c r="V688" s="765">
        <v>945.0</v>
      </c>
      <c r="W688" s="601">
        <v>43046.0</v>
      </c>
      <c r="X688" s="252" t="s">
        <v>8117</v>
      </c>
      <c r="Y688" s="253">
        <v>9.087918781E9</v>
      </c>
      <c r="Z688" s="330"/>
      <c r="AA688" s="330"/>
      <c r="AB688" s="330"/>
      <c r="AC688" s="253" t="s">
        <v>4730</v>
      </c>
    </row>
    <row r="689" ht="15.75" customHeight="1">
      <c r="A689" s="764">
        <v>43013.0</v>
      </c>
      <c r="B689" s="1004" t="s">
        <v>326</v>
      </c>
      <c r="C689" s="1101" t="s">
        <v>8157</v>
      </c>
      <c r="D689" s="895" t="s">
        <v>8162</v>
      </c>
      <c r="E689" s="895" t="s">
        <v>3781</v>
      </c>
      <c r="F689" s="253">
        <v>10.0</v>
      </c>
      <c r="G689" s="254">
        <v>273.0</v>
      </c>
      <c r="H689" s="581">
        <f t="shared" si="9"/>
        <v>2730</v>
      </c>
      <c r="I689" s="256" t="s">
        <v>3474</v>
      </c>
      <c r="J689" s="369" t="s">
        <v>3774</v>
      </c>
      <c r="K689" s="258">
        <v>43039.0</v>
      </c>
      <c r="L689" s="258">
        <v>43026.0</v>
      </c>
      <c r="M689" s="269" t="s">
        <v>45</v>
      </c>
      <c r="N689" s="310" t="s">
        <v>8169</v>
      </c>
      <c r="O689" s="1086">
        <v>2257.5</v>
      </c>
      <c r="P689" s="330"/>
      <c r="Q689" s="320" t="s">
        <v>3916</v>
      </c>
      <c r="R689" s="330"/>
      <c r="S689" s="768">
        <v>43056.0</v>
      </c>
      <c r="T689" s="769">
        <v>43026.0</v>
      </c>
      <c r="U689" s="765" t="s">
        <v>8170</v>
      </c>
      <c r="V689" s="770">
        <v>85632.0</v>
      </c>
      <c r="W689" s="601">
        <v>43053.0</v>
      </c>
      <c r="X689" s="252" t="s">
        <v>8161</v>
      </c>
      <c r="Y689" s="253">
        <v>8.98466913798E11</v>
      </c>
      <c r="Z689" s="330"/>
      <c r="AA689" s="330"/>
      <c r="AB689" s="330"/>
      <c r="AC689" s="253" t="s">
        <v>7120</v>
      </c>
    </row>
    <row r="690" ht="15.75" customHeight="1">
      <c r="A690" s="764">
        <v>43013.0</v>
      </c>
      <c r="B690" s="1004" t="s">
        <v>326</v>
      </c>
      <c r="C690" s="1101" t="s">
        <v>8157</v>
      </c>
      <c r="D690" s="895" t="s">
        <v>8162</v>
      </c>
      <c r="E690" s="895" t="s">
        <v>7325</v>
      </c>
      <c r="F690" s="253">
        <v>10.0</v>
      </c>
      <c r="G690" s="254">
        <v>48.0</v>
      </c>
      <c r="H690" s="581">
        <f t="shared" si="9"/>
        <v>480</v>
      </c>
      <c r="I690" s="256" t="s">
        <v>3474</v>
      </c>
      <c r="J690" s="369" t="s">
        <v>3774</v>
      </c>
      <c r="K690" s="258">
        <v>43039.0</v>
      </c>
      <c r="L690" s="258">
        <v>43026.0</v>
      </c>
      <c r="M690" s="269" t="s">
        <v>45</v>
      </c>
      <c r="N690" s="310" t="s">
        <v>8169</v>
      </c>
      <c r="O690" s="1086">
        <v>577.5</v>
      </c>
      <c r="P690" s="330"/>
      <c r="Q690" s="320" t="s">
        <v>3916</v>
      </c>
      <c r="R690" s="330"/>
      <c r="S690" s="768">
        <v>43056.0</v>
      </c>
      <c r="T690" s="769">
        <v>43026.0</v>
      </c>
      <c r="U690" s="765" t="s">
        <v>8170</v>
      </c>
      <c r="V690" s="330" t="s">
        <v>8171</v>
      </c>
      <c r="W690" s="601">
        <v>43053.0</v>
      </c>
      <c r="X690" s="252" t="s">
        <v>8161</v>
      </c>
      <c r="Y690" s="253">
        <v>8.98466913798E11</v>
      </c>
      <c r="Z690" s="330"/>
      <c r="AA690" s="330"/>
      <c r="AB690" s="330"/>
      <c r="AC690" s="253" t="s">
        <v>7120</v>
      </c>
    </row>
    <row r="691" ht="15.75" customHeight="1">
      <c r="A691" s="764">
        <v>43014.0</v>
      </c>
      <c r="B691" s="1004" t="s">
        <v>8172</v>
      </c>
      <c r="C691" s="895"/>
      <c r="D691" s="895" t="s">
        <v>8173</v>
      </c>
      <c r="E691" s="895" t="s">
        <v>8174</v>
      </c>
      <c r="F691" s="253">
        <v>1.0</v>
      </c>
      <c r="G691" s="254">
        <v>2325.0</v>
      </c>
      <c r="H691" s="581">
        <f t="shared" si="9"/>
        <v>2325</v>
      </c>
      <c r="I691" s="256" t="s">
        <v>3474</v>
      </c>
      <c r="J691" s="369" t="s">
        <v>8175</v>
      </c>
      <c r="K691" s="258">
        <v>43025.0</v>
      </c>
      <c r="L691" s="258">
        <v>43025.0</v>
      </c>
      <c r="M691" s="333" t="s">
        <v>90</v>
      </c>
      <c r="N691" s="310" t="s">
        <v>8176</v>
      </c>
      <c r="O691" s="268">
        <v>2178.75</v>
      </c>
      <c r="P691" s="330"/>
      <c r="Q691" s="340" t="s">
        <v>94</v>
      </c>
      <c r="R691" s="330"/>
      <c r="S691" s="768">
        <v>43069.0</v>
      </c>
      <c r="T691" s="771">
        <v>43024.0</v>
      </c>
      <c r="U691" s="252" t="s">
        <v>8177</v>
      </c>
      <c r="V691" s="774">
        <v>65951.0</v>
      </c>
      <c r="W691" s="258">
        <v>43052.0</v>
      </c>
      <c r="X691" s="252" t="s">
        <v>8178</v>
      </c>
      <c r="Y691" s="253" t="s">
        <v>8179</v>
      </c>
      <c r="Z691" s="330"/>
      <c r="AA691" s="330"/>
      <c r="AB691" s="330"/>
      <c r="AC691" s="253" t="s">
        <v>284</v>
      </c>
    </row>
    <row r="692" ht="15.75" customHeight="1">
      <c r="A692" s="764">
        <v>43018.0</v>
      </c>
      <c r="B692" s="1004" t="s">
        <v>77</v>
      </c>
      <c r="C692" s="895">
        <v>834.0</v>
      </c>
      <c r="D692" s="368" t="s">
        <v>8180</v>
      </c>
      <c r="E692" s="368" t="s">
        <v>1758</v>
      </c>
      <c r="F692" s="307">
        <v>50.0</v>
      </c>
      <c r="G692" s="254">
        <v>3.0</v>
      </c>
      <c r="H692" s="581">
        <f t="shared" si="9"/>
        <v>150</v>
      </c>
      <c r="I692" s="256" t="s">
        <v>43</v>
      </c>
      <c r="J692" s="369" t="s">
        <v>316</v>
      </c>
      <c r="K692" s="258">
        <v>43039.0</v>
      </c>
      <c r="L692" s="266" t="s">
        <v>8181</v>
      </c>
      <c r="M692" s="256" t="s">
        <v>3769</v>
      </c>
      <c r="N692" s="252" t="s">
        <v>8182</v>
      </c>
      <c r="O692" s="596"/>
      <c r="P692" s="330"/>
      <c r="Q692" s="388" t="s">
        <v>2131</v>
      </c>
      <c r="R692" s="330"/>
      <c r="S692" s="330"/>
      <c r="T692" s="766"/>
      <c r="U692" s="766"/>
      <c r="V692" s="766"/>
      <c r="W692" s="1037"/>
      <c r="X692" s="252" t="s">
        <v>8183</v>
      </c>
      <c r="Y692" s="253">
        <v>1.56576136E8</v>
      </c>
      <c r="Z692" s="330"/>
      <c r="AA692" s="330"/>
      <c r="AB692" s="330"/>
      <c r="AC692" s="253" t="s">
        <v>284</v>
      </c>
    </row>
    <row r="693" ht="15.75" customHeight="1">
      <c r="A693" s="764">
        <v>43018.0</v>
      </c>
      <c r="B693" s="599" t="s">
        <v>8184</v>
      </c>
      <c r="C693" s="895"/>
      <c r="D693" s="895" t="s">
        <v>8185</v>
      </c>
      <c r="E693" s="895" t="s">
        <v>8186</v>
      </c>
      <c r="F693" s="253">
        <v>1.0</v>
      </c>
      <c r="G693" s="254">
        <v>622.0</v>
      </c>
      <c r="H693" s="581">
        <f t="shared" si="9"/>
        <v>622</v>
      </c>
      <c r="I693" s="256" t="s">
        <v>171</v>
      </c>
      <c r="J693" s="369" t="s">
        <v>8187</v>
      </c>
      <c r="K693" s="258">
        <v>43067.0</v>
      </c>
      <c r="L693" s="258">
        <v>43067.0</v>
      </c>
      <c r="M693" s="333" t="s">
        <v>1537</v>
      </c>
      <c r="N693" s="310" t="s">
        <v>8188</v>
      </c>
      <c r="O693" s="596"/>
      <c r="P693" s="330"/>
      <c r="Q693" s="597"/>
      <c r="R693" s="330"/>
      <c r="S693" s="330"/>
      <c r="T693" s="766"/>
      <c r="U693" s="766"/>
      <c r="V693" s="766"/>
      <c r="W693" s="1037"/>
      <c r="X693" s="765" t="s">
        <v>8189</v>
      </c>
      <c r="Y693" s="253">
        <v>5.5103272E9</v>
      </c>
      <c r="Z693" s="330"/>
      <c r="AA693" s="330"/>
      <c r="AB693" s="330"/>
      <c r="AC693" s="253" t="s">
        <v>284</v>
      </c>
    </row>
    <row r="694" ht="15.75" customHeight="1">
      <c r="A694" s="764">
        <v>43018.0</v>
      </c>
      <c r="B694" s="599" t="s">
        <v>8184</v>
      </c>
      <c r="C694" s="895"/>
      <c r="D694" s="895" t="s">
        <v>8185</v>
      </c>
      <c r="E694" s="895" t="s">
        <v>8190</v>
      </c>
      <c r="F694" s="253">
        <v>1.0</v>
      </c>
      <c r="G694" s="254">
        <v>220.0</v>
      </c>
      <c r="H694" s="581">
        <f t="shared" si="9"/>
        <v>220</v>
      </c>
      <c r="I694" s="256" t="s">
        <v>171</v>
      </c>
      <c r="J694" s="369" t="s">
        <v>8187</v>
      </c>
      <c r="K694" s="258">
        <v>43067.0</v>
      </c>
      <c r="L694" s="258">
        <v>43067.0</v>
      </c>
      <c r="M694" s="266" t="s">
        <v>2032</v>
      </c>
      <c r="N694" s="600"/>
      <c r="O694" s="596"/>
      <c r="P694" s="637">
        <v>3597.0</v>
      </c>
      <c r="Q694" s="310" t="s">
        <v>2033</v>
      </c>
      <c r="R694" s="330"/>
      <c r="S694" s="768">
        <v>43099.0</v>
      </c>
      <c r="T694" s="771">
        <v>43069.0</v>
      </c>
      <c r="U694" s="252" t="s">
        <v>8191</v>
      </c>
      <c r="V694" s="774">
        <v>3597.0</v>
      </c>
      <c r="W694" s="601">
        <v>43119.0</v>
      </c>
      <c r="X694" s="765" t="s">
        <v>8189</v>
      </c>
      <c r="Y694" s="253">
        <v>5.5103272E9</v>
      </c>
      <c r="Z694" s="330"/>
      <c r="AA694" s="330"/>
      <c r="AB694" s="330"/>
      <c r="AC694" s="253" t="s">
        <v>284</v>
      </c>
    </row>
    <row r="695" ht="15.75" customHeight="1">
      <c r="A695" s="764">
        <v>43018.0</v>
      </c>
      <c r="B695" s="388" t="s">
        <v>3871</v>
      </c>
      <c r="C695" s="765" t="s">
        <v>8192</v>
      </c>
      <c r="D695" s="765" t="s">
        <v>8193</v>
      </c>
      <c r="E695" s="765" t="s">
        <v>8194</v>
      </c>
      <c r="F695" s="253">
        <v>3.0</v>
      </c>
      <c r="G695" s="325">
        <v>170.0</v>
      </c>
      <c r="H695" s="581">
        <f t="shared" si="9"/>
        <v>510</v>
      </c>
      <c r="I695" s="256" t="s">
        <v>171</v>
      </c>
      <c r="J695" s="369" t="s">
        <v>8195</v>
      </c>
      <c r="K695" s="258">
        <v>43032.0</v>
      </c>
      <c r="L695" s="258">
        <v>43031.0</v>
      </c>
      <c r="M695" s="333" t="s">
        <v>90</v>
      </c>
      <c r="N695" s="310" t="s">
        <v>8196</v>
      </c>
      <c r="O695" s="268">
        <v>403.2</v>
      </c>
      <c r="P695" s="330"/>
      <c r="Q695" s="340" t="s">
        <v>94</v>
      </c>
      <c r="R695" s="330"/>
      <c r="S695" s="768">
        <v>43069.0</v>
      </c>
      <c r="T695" s="769">
        <v>43031.0</v>
      </c>
      <c r="U695" s="765" t="s">
        <v>8197</v>
      </c>
      <c r="V695" s="770">
        <v>12144.0</v>
      </c>
      <c r="W695" s="258">
        <v>43052.0</v>
      </c>
      <c r="X695" s="252" t="s">
        <v>8198</v>
      </c>
      <c r="Y695" s="253">
        <v>4.834924522E9</v>
      </c>
      <c r="Z695" s="330"/>
      <c r="AA695" s="330"/>
      <c r="AB695" s="330"/>
      <c r="AC695" s="253" t="s">
        <v>284</v>
      </c>
    </row>
    <row r="696" ht="15.75" customHeight="1">
      <c r="A696" s="764">
        <v>43018.0</v>
      </c>
      <c r="B696" s="597" t="s">
        <v>7314</v>
      </c>
      <c r="C696" s="765">
        <v>7.000133134E9</v>
      </c>
      <c r="D696" s="252" t="s">
        <v>8199</v>
      </c>
      <c r="E696" s="252" t="s">
        <v>8200</v>
      </c>
      <c r="F696" s="253">
        <v>1.0</v>
      </c>
      <c r="G696" s="325">
        <v>89.0</v>
      </c>
      <c r="H696" s="581">
        <f t="shared" si="9"/>
        <v>89</v>
      </c>
      <c r="I696" s="256" t="s">
        <v>43</v>
      </c>
      <c r="J696" s="777" t="s">
        <v>3623</v>
      </c>
      <c r="K696" s="258">
        <v>43032.0</v>
      </c>
      <c r="L696" s="258">
        <v>43026.0</v>
      </c>
      <c r="M696" s="333" t="s">
        <v>3593</v>
      </c>
      <c r="N696" s="310" t="s">
        <v>8201</v>
      </c>
      <c r="O696" s="596"/>
      <c r="P696" s="1100">
        <v>2596.0</v>
      </c>
      <c r="Q696" s="310" t="s">
        <v>2080</v>
      </c>
      <c r="R696" s="330"/>
      <c r="S696" s="810">
        <v>43100.0</v>
      </c>
      <c r="T696" s="769">
        <v>43026.0</v>
      </c>
      <c r="U696" s="765" t="s">
        <v>8202</v>
      </c>
      <c r="V696" s="770">
        <v>5811.0</v>
      </c>
      <c r="W696" s="601">
        <v>43105.0</v>
      </c>
      <c r="X696" s="252" t="s">
        <v>8122</v>
      </c>
      <c r="Y696" s="253">
        <v>1.572914372E9</v>
      </c>
      <c r="Z696" s="330"/>
      <c r="AA696" s="330"/>
      <c r="AB696" s="330"/>
      <c r="AC696" s="253" t="s">
        <v>284</v>
      </c>
    </row>
    <row r="697" ht="15.75" customHeight="1">
      <c r="A697" s="764">
        <v>43018.0</v>
      </c>
      <c r="B697" s="597" t="s">
        <v>7314</v>
      </c>
      <c r="C697" s="765">
        <v>7.000133134E9</v>
      </c>
      <c r="D697" s="252" t="s">
        <v>8199</v>
      </c>
      <c r="E697" s="252" t="s">
        <v>6968</v>
      </c>
      <c r="F697" s="253">
        <v>1.0</v>
      </c>
      <c r="G697" s="325">
        <v>110.0</v>
      </c>
      <c r="H697" s="581">
        <f t="shared" si="9"/>
        <v>110</v>
      </c>
      <c r="I697" s="256" t="s">
        <v>43</v>
      </c>
      <c r="J697" s="777" t="s">
        <v>3623</v>
      </c>
      <c r="K697" s="258">
        <v>43032.0</v>
      </c>
      <c r="L697" s="258">
        <v>43026.0</v>
      </c>
      <c r="M697" s="333" t="s">
        <v>3593</v>
      </c>
      <c r="N697" s="310" t="s">
        <v>8201</v>
      </c>
      <c r="O697" s="596"/>
      <c r="P697" s="1100">
        <v>3215.0</v>
      </c>
      <c r="Q697" s="310" t="s">
        <v>2080</v>
      </c>
      <c r="R697" s="330"/>
      <c r="S697" s="810">
        <v>43100.0</v>
      </c>
      <c r="T697" s="769">
        <v>43026.0</v>
      </c>
      <c r="U697" s="765" t="s">
        <v>8202</v>
      </c>
      <c r="V697" s="765" t="s">
        <v>8203</v>
      </c>
      <c r="W697" s="601">
        <v>43105.0</v>
      </c>
      <c r="X697" s="252" t="s">
        <v>8122</v>
      </c>
      <c r="Y697" s="253">
        <v>1.572914372E9</v>
      </c>
      <c r="Z697" s="330"/>
      <c r="AA697" s="330"/>
      <c r="AB697" s="330"/>
      <c r="AC697" s="253" t="s">
        <v>284</v>
      </c>
    </row>
    <row r="698" ht="15.75" customHeight="1">
      <c r="A698" s="764">
        <v>43019.0</v>
      </c>
      <c r="B698" s="597" t="s">
        <v>5188</v>
      </c>
      <c r="C698" s="895" t="s">
        <v>8204</v>
      </c>
      <c r="D698" s="895" t="s">
        <v>8205</v>
      </c>
      <c r="E698" s="895" t="s">
        <v>7465</v>
      </c>
      <c r="F698" s="253">
        <v>3.0</v>
      </c>
      <c r="G698" s="325">
        <f>11*(1+5%)</f>
        <v>11.55</v>
      </c>
      <c r="H698" s="581">
        <f t="shared" si="9"/>
        <v>34.65</v>
      </c>
      <c r="I698" s="779" t="s">
        <v>3474</v>
      </c>
      <c r="J698" s="369" t="s">
        <v>1324</v>
      </c>
      <c r="K698" s="258">
        <v>43055.0</v>
      </c>
      <c r="L698" s="258">
        <v>43054.0</v>
      </c>
      <c r="M698" s="403" t="s">
        <v>2508</v>
      </c>
      <c r="N698" s="310" t="s">
        <v>8206</v>
      </c>
      <c r="O698" s="598"/>
      <c r="P698" s="579">
        <v>1134.0</v>
      </c>
      <c r="Q698" s="320" t="s">
        <v>4491</v>
      </c>
      <c r="R698" s="330"/>
      <c r="S698" s="768">
        <v>43074.0</v>
      </c>
      <c r="T698" s="769">
        <v>43053.0</v>
      </c>
      <c r="U698" s="765" t="s">
        <v>8207</v>
      </c>
      <c r="V698" s="770">
        <v>1197.0</v>
      </c>
      <c r="W698" s="601">
        <v>43076.0</v>
      </c>
      <c r="X698" s="765" t="s">
        <v>8208</v>
      </c>
      <c r="Y698" s="330" t="s">
        <v>8209</v>
      </c>
      <c r="Z698" s="604" t="s">
        <v>8210</v>
      </c>
      <c r="AA698" s="262">
        <v>1044.0</v>
      </c>
      <c r="AB698" s="330" t="s">
        <v>8211</v>
      </c>
      <c r="AC698" s="253" t="s">
        <v>377</v>
      </c>
    </row>
    <row r="699" ht="15.75" customHeight="1">
      <c r="A699" s="764">
        <v>43019.0</v>
      </c>
      <c r="B699" s="844" t="s">
        <v>3640</v>
      </c>
      <c r="C699" s="895"/>
      <c r="D699" s="895" t="s">
        <v>8212</v>
      </c>
      <c r="E699" s="895" t="s">
        <v>8213</v>
      </c>
      <c r="F699" s="253">
        <v>12.0</v>
      </c>
      <c r="G699" s="325">
        <v>102.0</v>
      </c>
      <c r="H699" s="581">
        <f t="shared" si="9"/>
        <v>1224</v>
      </c>
      <c r="I699" s="256" t="s">
        <v>3474</v>
      </c>
      <c r="J699" s="369" t="s">
        <v>8214</v>
      </c>
      <c r="K699" s="258">
        <v>43048.0</v>
      </c>
      <c r="L699" s="258">
        <v>43046.0</v>
      </c>
      <c r="M699" s="403" t="s">
        <v>2034</v>
      </c>
      <c r="N699" s="310" t="s">
        <v>8215</v>
      </c>
      <c r="O699" s="267">
        <v>1197.0</v>
      </c>
      <c r="P699" s="330"/>
      <c r="Q699" s="320" t="s">
        <v>2036</v>
      </c>
      <c r="R699" s="330"/>
      <c r="S699" s="768">
        <v>43105.0</v>
      </c>
      <c r="T699" s="769">
        <v>43045.0</v>
      </c>
      <c r="U699" s="765" t="s">
        <v>8108</v>
      </c>
      <c r="V699" s="770">
        <v>129103.0</v>
      </c>
      <c r="W699" s="601">
        <v>43115.0</v>
      </c>
      <c r="X699" s="330" t="s">
        <v>8216</v>
      </c>
      <c r="Y699" s="330" t="s">
        <v>8217</v>
      </c>
      <c r="Z699" s="330"/>
      <c r="AA699" s="330"/>
      <c r="AB699" s="330"/>
      <c r="AC699" s="253" t="s">
        <v>284</v>
      </c>
    </row>
    <row r="700" ht="15.75" customHeight="1">
      <c r="A700" s="764">
        <v>43019.0</v>
      </c>
      <c r="B700" s="844" t="s">
        <v>3640</v>
      </c>
      <c r="C700" s="895"/>
      <c r="D700" s="895" t="s">
        <v>8218</v>
      </c>
      <c r="E700" s="895" t="s">
        <v>3642</v>
      </c>
      <c r="F700" s="253">
        <v>12.0</v>
      </c>
      <c r="G700" s="325">
        <v>281.0</v>
      </c>
      <c r="H700" s="581">
        <f t="shared" si="9"/>
        <v>3372</v>
      </c>
      <c r="I700" s="779" t="s">
        <v>3474</v>
      </c>
      <c r="J700" s="369" t="s">
        <v>8214</v>
      </c>
      <c r="K700" s="258">
        <v>43048.0</v>
      </c>
      <c r="L700" s="258">
        <v>43032.0</v>
      </c>
      <c r="M700" s="403" t="s">
        <v>2034</v>
      </c>
      <c r="N700" s="310" t="s">
        <v>8215</v>
      </c>
      <c r="O700" s="268">
        <v>3313.8</v>
      </c>
      <c r="P700" s="330"/>
      <c r="Q700" s="320" t="s">
        <v>2036</v>
      </c>
      <c r="R700" s="330"/>
      <c r="S700" s="768">
        <v>43074.0</v>
      </c>
      <c r="T700" s="769">
        <v>43031.0</v>
      </c>
      <c r="U700" s="765" t="s">
        <v>8219</v>
      </c>
      <c r="V700" s="770">
        <v>180661.0</v>
      </c>
      <c r="W700" s="601">
        <v>43074.0</v>
      </c>
      <c r="X700" s="330" t="s">
        <v>8216</v>
      </c>
      <c r="Y700" s="330" t="s">
        <v>8217</v>
      </c>
      <c r="Z700" s="330"/>
      <c r="AA700" s="330"/>
      <c r="AB700" s="330"/>
      <c r="AC700" s="253" t="s">
        <v>284</v>
      </c>
    </row>
    <row r="701" ht="15.75" customHeight="1">
      <c r="A701" s="764">
        <v>43019.0</v>
      </c>
      <c r="B701" s="844" t="s">
        <v>3640</v>
      </c>
      <c r="C701" s="895"/>
      <c r="D701" s="895" t="s">
        <v>8220</v>
      </c>
      <c r="E701" s="895" t="s">
        <v>3648</v>
      </c>
      <c r="F701" s="253">
        <v>13.0</v>
      </c>
      <c r="G701" s="325">
        <v>102.0</v>
      </c>
      <c r="H701" s="581">
        <f t="shared" si="9"/>
        <v>1326</v>
      </c>
      <c r="I701" s="779" t="s">
        <v>3474</v>
      </c>
      <c r="J701" s="369" t="s">
        <v>8214</v>
      </c>
      <c r="K701" s="258">
        <v>43048.0</v>
      </c>
      <c r="L701" s="258">
        <v>43032.0</v>
      </c>
      <c r="M701" s="403" t="s">
        <v>2034</v>
      </c>
      <c r="N701" s="310" t="s">
        <v>8215</v>
      </c>
      <c r="O701" s="268">
        <v>1296.75</v>
      </c>
      <c r="P701" s="330"/>
      <c r="Q701" s="320" t="s">
        <v>2036</v>
      </c>
      <c r="R701" s="330"/>
      <c r="S701" s="768">
        <v>43074.0</v>
      </c>
      <c r="T701" s="769">
        <v>43031.0</v>
      </c>
      <c r="U701" s="765" t="s">
        <v>8219</v>
      </c>
      <c r="V701" s="765" t="s">
        <v>8221</v>
      </c>
      <c r="W701" s="601">
        <v>43074.0</v>
      </c>
      <c r="X701" s="330" t="s">
        <v>8216</v>
      </c>
      <c r="Y701" s="330" t="s">
        <v>8217</v>
      </c>
      <c r="Z701" s="330"/>
      <c r="AA701" s="330"/>
      <c r="AB701" s="330"/>
      <c r="AC701" s="253" t="s">
        <v>284</v>
      </c>
    </row>
    <row r="702" ht="15.75" customHeight="1">
      <c r="A702" s="764">
        <v>43019.0</v>
      </c>
      <c r="B702" s="844" t="s">
        <v>3640</v>
      </c>
      <c r="C702" s="895"/>
      <c r="D702" s="895" t="s">
        <v>8220</v>
      </c>
      <c r="E702" s="895" t="s">
        <v>7403</v>
      </c>
      <c r="F702" s="253">
        <v>7.0</v>
      </c>
      <c r="G702" s="325">
        <v>226.0</v>
      </c>
      <c r="H702" s="581">
        <f t="shared" si="9"/>
        <v>1582</v>
      </c>
      <c r="I702" s="779" t="s">
        <v>3474</v>
      </c>
      <c r="J702" s="369" t="s">
        <v>8214</v>
      </c>
      <c r="K702" s="258">
        <v>43048.0</v>
      </c>
      <c r="L702" s="258">
        <v>43032.0</v>
      </c>
      <c r="M702" s="403" t="s">
        <v>2034</v>
      </c>
      <c r="N702" s="310" t="s">
        <v>8215</v>
      </c>
      <c r="O702" s="268">
        <v>1359.75</v>
      </c>
      <c r="P702" s="330"/>
      <c r="Q702" s="320" t="s">
        <v>2036</v>
      </c>
      <c r="R702" s="330"/>
      <c r="S702" s="768">
        <v>43074.0</v>
      </c>
      <c r="T702" s="769">
        <v>43031.0</v>
      </c>
      <c r="U702" s="765" t="s">
        <v>8219</v>
      </c>
      <c r="V702" s="765" t="s">
        <v>8221</v>
      </c>
      <c r="W702" s="601">
        <v>43074.0</v>
      </c>
      <c r="X702" s="330" t="s">
        <v>8216</v>
      </c>
      <c r="Y702" s="330" t="s">
        <v>8217</v>
      </c>
      <c r="Z702" s="330"/>
      <c r="AA702" s="330"/>
      <c r="AB702" s="330"/>
      <c r="AC702" s="253" t="s">
        <v>284</v>
      </c>
    </row>
    <row r="703" ht="15.75" customHeight="1">
      <c r="A703" s="764">
        <v>43019.0</v>
      </c>
      <c r="B703" s="597" t="s">
        <v>5188</v>
      </c>
      <c r="C703" s="895" t="s">
        <v>8204</v>
      </c>
      <c r="D703" s="895" t="s">
        <v>8222</v>
      </c>
      <c r="E703" s="895" t="s">
        <v>7465</v>
      </c>
      <c r="F703" s="253">
        <v>7.0</v>
      </c>
      <c r="G703" s="325">
        <f>11*(1+5%)</f>
        <v>11.55</v>
      </c>
      <c r="H703" s="581">
        <f t="shared" si="9"/>
        <v>80.85</v>
      </c>
      <c r="I703" s="1063" t="s">
        <v>3474</v>
      </c>
      <c r="J703" s="369" t="s">
        <v>1324</v>
      </c>
      <c r="K703" s="258">
        <v>43027.0</v>
      </c>
      <c r="L703" s="1102">
        <v>43026.0</v>
      </c>
      <c r="M703" s="403" t="s">
        <v>2508</v>
      </c>
      <c r="N703" s="310" t="s">
        <v>8223</v>
      </c>
      <c r="O703" s="596"/>
      <c r="P703" s="579">
        <v>2646.0</v>
      </c>
      <c r="Q703" s="320" t="s">
        <v>4491</v>
      </c>
      <c r="R703" s="330"/>
      <c r="S703" s="768">
        <v>43044.0</v>
      </c>
      <c r="T703" s="769">
        <v>43021.0</v>
      </c>
      <c r="U703" s="765" t="s">
        <v>8224</v>
      </c>
      <c r="V703" s="770">
        <v>2646.0</v>
      </c>
      <c r="W703" s="601">
        <v>43045.0</v>
      </c>
      <c r="X703" s="765" t="s">
        <v>8225</v>
      </c>
      <c r="Y703" s="330" t="s">
        <v>8226</v>
      </c>
      <c r="Z703" s="604" t="s">
        <v>8227</v>
      </c>
      <c r="AA703" s="1098">
        <v>2434.0</v>
      </c>
      <c r="AB703" s="330" t="s">
        <v>8228</v>
      </c>
      <c r="AC703" s="253" t="s">
        <v>377</v>
      </c>
    </row>
    <row r="704" ht="15.75" customHeight="1">
      <c r="A704" s="764">
        <v>43020.0</v>
      </c>
      <c r="B704" s="1004" t="s">
        <v>4754</v>
      </c>
      <c r="C704" s="895"/>
      <c r="D704" s="895" t="s">
        <v>8229</v>
      </c>
      <c r="E704" s="895" t="s">
        <v>8230</v>
      </c>
      <c r="F704" s="253">
        <v>1.0</v>
      </c>
      <c r="G704" s="325">
        <v>515.0</v>
      </c>
      <c r="H704" s="581">
        <f t="shared" si="9"/>
        <v>515</v>
      </c>
      <c r="I704" s="779" t="s">
        <v>3474</v>
      </c>
      <c r="J704" s="369" t="s">
        <v>8231</v>
      </c>
      <c r="K704" s="258">
        <v>43052.0</v>
      </c>
      <c r="L704" s="258">
        <v>43052.0</v>
      </c>
      <c r="M704" s="369" t="s">
        <v>6287</v>
      </c>
      <c r="N704" s="252" t="s">
        <v>8232</v>
      </c>
      <c r="O704" s="581">
        <v>502.95</v>
      </c>
      <c r="P704" s="253"/>
      <c r="Q704" s="388" t="s">
        <v>2043</v>
      </c>
      <c r="R704" s="330"/>
      <c r="S704" s="810">
        <v>43063.0</v>
      </c>
      <c r="T704" s="769">
        <v>43049.0</v>
      </c>
      <c r="U704" s="765" t="s">
        <v>8233</v>
      </c>
      <c r="V704" s="770">
        <v>17967.0</v>
      </c>
      <c r="W704" s="601">
        <v>43066.0</v>
      </c>
      <c r="X704" s="252" t="s">
        <v>8234</v>
      </c>
      <c r="Y704" s="253">
        <v>1.65050896E8</v>
      </c>
      <c r="Z704" s="330"/>
      <c r="AA704" s="330"/>
      <c r="AB704" s="330"/>
      <c r="AC704" s="253" t="s">
        <v>284</v>
      </c>
    </row>
    <row r="705" ht="15.75" customHeight="1">
      <c r="A705" s="764">
        <v>43020.0</v>
      </c>
      <c r="B705" s="1004" t="s">
        <v>4754</v>
      </c>
      <c r="C705" s="895"/>
      <c r="D705" s="895" t="s">
        <v>8229</v>
      </c>
      <c r="E705" s="895" t="s">
        <v>8235</v>
      </c>
      <c r="F705" s="253">
        <v>1.0</v>
      </c>
      <c r="G705" s="325">
        <v>30.0</v>
      </c>
      <c r="H705" s="581">
        <f t="shared" si="9"/>
        <v>30</v>
      </c>
      <c r="I705" s="779" t="s">
        <v>3474</v>
      </c>
      <c r="J705" s="369" t="s">
        <v>8231</v>
      </c>
      <c r="K705" s="258">
        <v>43052.0</v>
      </c>
      <c r="L705" s="258">
        <v>43052.0</v>
      </c>
      <c r="M705" s="369" t="s">
        <v>6287</v>
      </c>
      <c r="N705" s="252" t="s">
        <v>8232</v>
      </c>
      <c r="O705" s="814">
        <v>25.2</v>
      </c>
      <c r="P705" s="330"/>
      <c r="Q705" s="388" t="s">
        <v>2043</v>
      </c>
      <c r="R705" s="330"/>
      <c r="S705" s="810">
        <v>43063.0</v>
      </c>
      <c r="T705" s="769">
        <v>43049.0</v>
      </c>
      <c r="U705" s="765" t="s">
        <v>8233</v>
      </c>
      <c r="V705" s="765" t="s">
        <v>8236</v>
      </c>
      <c r="W705" s="601">
        <v>43066.0</v>
      </c>
      <c r="X705" s="252" t="s">
        <v>8234</v>
      </c>
      <c r="Y705" s="253">
        <v>1.65050896E8</v>
      </c>
      <c r="Z705" s="330"/>
      <c r="AA705" s="330"/>
      <c r="AB705" s="330"/>
      <c r="AC705" s="253" t="s">
        <v>284</v>
      </c>
    </row>
    <row r="706" ht="15.75" customHeight="1">
      <c r="A706" s="764">
        <v>43020.0</v>
      </c>
      <c r="B706" s="1004" t="s">
        <v>4754</v>
      </c>
      <c r="C706" s="895"/>
      <c r="D706" s="895" t="s">
        <v>8229</v>
      </c>
      <c r="E706" s="895" t="s">
        <v>1108</v>
      </c>
      <c r="F706" s="253">
        <v>1.0</v>
      </c>
      <c r="G706" s="325">
        <v>19.0</v>
      </c>
      <c r="H706" s="581">
        <f t="shared" si="9"/>
        <v>19</v>
      </c>
      <c r="I706" s="779" t="s">
        <v>3474</v>
      </c>
      <c r="J706" s="369" t="s">
        <v>8231</v>
      </c>
      <c r="K706" s="258">
        <v>43052.0</v>
      </c>
      <c r="L706" s="258">
        <v>43052.0</v>
      </c>
      <c r="M706" s="369" t="s">
        <v>6287</v>
      </c>
      <c r="N706" s="252" t="s">
        <v>8232</v>
      </c>
      <c r="O706" s="814">
        <v>18.9</v>
      </c>
      <c r="P706" s="330"/>
      <c r="Q706" s="388" t="s">
        <v>2043</v>
      </c>
      <c r="R706" s="330"/>
      <c r="S706" s="810">
        <v>43063.0</v>
      </c>
      <c r="T706" s="769">
        <v>43049.0</v>
      </c>
      <c r="U706" s="765" t="s">
        <v>8233</v>
      </c>
      <c r="V706" s="765" t="s">
        <v>8236</v>
      </c>
      <c r="W706" s="601">
        <v>43066.0</v>
      </c>
      <c r="X706" s="252" t="s">
        <v>8234</v>
      </c>
      <c r="Y706" s="253">
        <v>1.65050896E8</v>
      </c>
      <c r="Z706" s="330"/>
      <c r="AA706" s="330"/>
      <c r="AB706" s="330"/>
      <c r="AC706" s="253" t="s">
        <v>284</v>
      </c>
    </row>
    <row r="707" ht="15.75" customHeight="1">
      <c r="A707" s="764">
        <v>43020.0</v>
      </c>
      <c r="B707" s="1004" t="s">
        <v>4754</v>
      </c>
      <c r="C707" s="895"/>
      <c r="D707" s="895" t="s">
        <v>8229</v>
      </c>
      <c r="E707" s="895" t="s">
        <v>8237</v>
      </c>
      <c r="F707" s="253">
        <v>1.0</v>
      </c>
      <c r="G707" s="254">
        <v>55.0</v>
      </c>
      <c r="H707" s="581">
        <f t="shared" si="9"/>
        <v>55</v>
      </c>
      <c r="I707" s="779" t="s">
        <v>3474</v>
      </c>
      <c r="J707" s="369" t="s">
        <v>8231</v>
      </c>
      <c r="K707" s="258">
        <v>43052.0</v>
      </c>
      <c r="L707" s="258">
        <v>43052.0</v>
      </c>
      <c r="M707" s="369" t="s">
        <v>6287</v>
      </c>
      <c r="N707" s="252" t="s">
        <v>8232</v>
      </c>
      <c r="O707" s="814">
        <v>48.3</v>
      </c>
      <c r="P707" s="330"/>
      <c r="Q707" s="388" t="s">
        <v>2043</v>
      </c>
      <c r="R707" s="330"/>
      <c r="S707" s="810">
        <v>43063.0</v>
      </c>
      <c r="T707" s="769">
        <v>43049.0</v>
      </c>
      <c r="U707" s="765" t="s">
        <v>8233</v>
      </c>
      <c r="V707" s="765" t="s">
        <v>8236</v>
      </c>
      <c r="W707" s="601">
        <v>43066.0</v>
      </c>
      <c r="X707" s="252" t="s">
        <v>8234</v>
      </c>
      <c r="Y707" s="253">
        <v>1.65050896E8</v>
      </c>
      <c r="Z707" s="330"/>
      <c r="AA707" s="330"/>
      <c r="AB707" s="330"/>
      <c r="AC707" s="253" t="s">
        <v>284</v>
      </c>
    </row>
    <row r="708" ht="15.75" customHeight="1">
      <c r="A708" s="764">
        <v>43020.0</v>
      </c>
      <c r="B708" s="1004" t="s">
        <v>4754</v>
      </c>
      <c r="C708" s="895"/>
      <c r="D708" s="895" t="s">
        <v>8229</v>
      </c>
      <c r="E708" s="895" t="s">
        <v>8238</v>
      </c>
      <c r="F708" s="253">
        <v>1.0</v>
      </c>
      <c r="G708" s="254">
        <v>159.0</v>
      </c>
      <c r="H708" s="581">
        <f t="shared" si="9"/>
        <v>159</v>
      </c>
      <c r="I708" s="779" t="s">
        <v>3474</v>
      </c>
      <c r="J708" s="369" t="s">
        <v>8231</v>
      </c>
      <c r="K708" s="258">
        <v>43052.0</v>
      </c>
      <c r="L708" s="630"/>
      <c r="M708" s="333" t="s">
        <v>934</v>
      </c>
      <c r="N708" s="600"/>
      <c r="O708" s="596"/>
      <c r="P708" s="579">
        <v>3949.0</v>
      </c>
      <c r="Q708" s="597" t="s">
        <v>8239</v>
      </c>
      <c r="R708" s="330"/>
      <c r="S708" s="768">
        <v>43074.0</v>
      </c>
      <c r="T708" s="769">
        <v>43063.0</v>
      </c>
      <c r="U708" s="765" t="s">
        <v>8240</v>
      </c>
      <c r="V708" s="770">
        <v>3949.0</v>
      </c>
      <c r="W708" s="258">
        <v>43074.0</v>
      </c>
      <c r="X708" s="252" t="s">
        <v>8234</v>
      </c>
      <c r="Y708" s="253">
        <v>1.65050896E8</v>
      </c>
      <c r="Z708" s="330"/>
      <c r="AA708" s="330"/>
      <c r="AB708" s="330"/>
      <c r="AC708" s="253" t="s">
        <v>284</v>
      </c>
    </row>
    <row r="709" ht="15.75" customHeight="1">
      <c r="A709" s="764">
        <v>43021.0</v>
      </c>
      <c r="B709" s="1004" t="s">
        <v>326</v>
      </c>
      <c r="C709" s="778" t="s">
        <v>8241</v>
      </c>
      <c r="D709" s="765" t="s">
        <v>8242</v>
      </c>
      <c r="E709" s="765" t="s">
        <v>3773</v>
      </c>
      <c r="F709" s="253">
        <v>10.0</v>
      </c>
      <c r="G709" s="254">
        <v>567.0</v>
      </c>
      <c r="H709" s="581">
        <f t="shared" si="9"/>
        <v>5670</v>
      </c>
      <c r="I709" s="256" t="s">
        <v>3474</v>
      </c>
      <c r="J709" s="369" t="s">
        <v>3774</v>
      </c>
      <c r="K709" s="258">
        <v>43053.0</v>
      </c>
      <c r="L709" s="258">
        <v>43048.0</v>
      </c>
      <c r="M709" s="403" t="s">
        <v>3775</v>
      </c>
      <c r="N709" s="310" t="s">
        <v>8243</v>
      </c>
      <c r="O709" s="268">
        <v>5355.0</v>
      </c>
      <c r="P709" s="330"/>
      <c r="Q709" s="597" t="s">
        <v>2207</v>
      </c>
      <c r="R709" s="330"/>
      <c r="S709" s="768">
        <v>43100.0</v>
      </c>
      <c r="T709" s="769">
        <v>43048.0</v>
      </c>
      <c r="U709" s="765" t="s">
        <v>8244</v>
      </c>
      <c r="V709" s="770">
        <v>169120.0</v>
      </c>
      <c r="W709" s="601">
        <v>43105.0</v>
      </c>
      <c r="X709" s="252" t="s">
        <v>8245</v>
      </c>
      <c r="Y709" s="253">
        <v>7.70728934011E11</v>
      </c>
      <c r="Z709" s="330"/>
      <c r="AA709" s="330"/>
      <c r="AB709" s="330"/>
      <c r="AC709" s="253" t="s">
        <v>284</v>
      </c>
    </row>
    <row r="710" ht="15.75" customHeight="1">
      <c r="A710" s="764">
        <v>43021.0</v>
      </c>
      <c r="B710" s="1004" t="s">
        <v>326</v>
      </c>
      <c r="C710" s="778" t="s">
        <v>8241</v>
      </c>
      <c r="D710" s="765" t="s">
        <v>8242</v>
      </c>
      <c r="E710" s="765" t="s">
        <v>53</v>
      </c>
      <c r="F710" s="253">
        <v>10.0</v>
      </c>
      <c r="G710" s="254">
        <v>31.0</v>
      </c>
      <c r="H710" s="581">
        <f t="shared" si="9"/>
        <v>310</v>
      </c>
      <c r="I710" s="256" t="s">
        <v>3474</v>
      </c>
      <c r="J710" s="369" t="s">
        <v>3774</v>
      </c>
      <c r="K710" s="258">
        <v>43053.0</v>
      </c>
      <c r="L710" s="258">
        <v>43048.0</v>
      </c>
      <c r="M710" s="403" t="s">
        <v>3775</v>
      </c>
      <c r="N710" s="310" t="s">
        <v>8243</v>
      </c>
      <c r="O710" s="268">
        <v>226.8</v>
      </c>
      <c r="P710" s="330"/>
      <c r="Q710" s="597" t="s">
        <v>2207</v>
      </c>
      <c r="R710" s="330"/>
      <c r="S710" s="768">
        <v>43100.0</v>
      </c>
      <c r="T710" s="769">
        <v>43048.0</v>
      </c>
      <c r="U710" s="765" t="s">
        <v>8244</v>
      </c>
      <c r="V710" s="765" t="s">
        <v>5677</v>
      </c>
      <c r="W710" s="601">
        <v>43105.0</v>
      </c>
      <c r="X710" s="252" t="s">
        <v>8245</v>
      </c>
      <c r="Y710" s="253">
        <v>7.70728934011E11</v>
      </c>
      <c r="Z710" s="330"/>
      <c r="AA710" s="330"/>
      <c r="AB710" s="330"/>
      <c r="AC710" s="253" t="s">
        <v>284</v>
      </c>
    </row>
    <row r="711" ht="15.75" customHeight="1">
      <c r="A711" s="764">
        <v>43021.0</v>
      </c>
      <c r="B711" s="1004" t="s">
        <v>326</v>
      </c>
      <c r="C711" s="778" t="s">
        <v>8241</v>
      </c>
      <c r="D711" s="765" t="s">
        <v>8242</v>
      </c>
      <c r="E711" s="765" t="s">
        <v>59</v>
      </c>
      <c r="F711" s="253">
        <v>10.0</v>
      </c>
      <c r="G711" s="254">
        <v>4.0</v>
      </c>
      <c r="H711" s="581">
        <f t="shared" si="9"/>
        <v>40</v>
      </c>
      <c r="I711" s="256" t="s">
        <v>3474</v>
      </c>
      <c r="J711" s="369" t="s">
        <v>3774</v>
      </c>
      <c r="K711" s="258">
        <v>43053.0</v>
      </c>
      <c r="L711" s="258">
        <v>43048.0</v>
      </c>
      <c r="M711" s="403" t="s">
        <v>3775</v>
      </c>
      <c r="N711" s="310" t="s">
        <v>8243</v>
      </c>
      <c r="O711" s="268">
        <v>21.0</v>
      </c>
      <c r="P711" s="330"/>
      <c r="Q711" s="597" t="s">
        <v>2207</v>
      </c>
      <c r="R711" s="330"/>
      <c r="S711" s="768">
        <v>43100.0</v>
      </c>
      <c r="T711" s="769">
        <v>43048.0</v>
      </c>
      <c r="U711" s="765" t="s">
        <v>8244</v>
      </c>
      <c r="V711" s="765" t="s">
        <v>5677</v>
      </c>
      <c r="W711" s="601">
        <v>43105.0</v>
      </c>
      <c r="X711" s="252" t="s">
        <v>8245</v>
      </c>
      <c r="Y711" s="253">
        <v>7.70728934011E11</v>
      </c>
      <c r="Z711" s="330"/>
      <c r="AA711" s="330"/>
      <c r="AB711" s="330"/>
      <c r="AC711" s="253" t="s">
        <v>284</v>
      </c>
    </row>
    <row r="712" ht="15.75" customHeight="1">
      <c r="A712" s="764">
        <v>43021.0</v>
      </c>
      <c r="B712" s="1004" t="s">
        <v>326</v>
      </c>
      <c r="C712" s="778" t="s">
        <v>8241</v>
      </c>
      <c r="D712" s="765" t="s">
        <v>8242</v>
      </c>
      <c r="E712" s="765" t="s">
        <v>3781</v>
      </c>
      <c r="F712" s="253">
        <v>10.0</v>
      </c>
      <c r="G712" s="254">
        <v>273.0</v>
      </c>
      <c r="H712" s="581">
        <f t="shared" si="9"/>
        <v>2730</v>
      </c>
      <c r="I712" s="256" t="s">
        <v>3474</v>
      </c>
      <c r="J712" s="369" t="s">
        <v>3774</v>
      </c>
      <c r="K712" s="258">
        <v>43053.0</v>
      </c>
      <c r="L712" s="258">
        <v>43042.0</v>
      </c>
      <c r="M712" s="369" t="s">
        <v>45</v>
      </c>
      <c r="N712" s="310" t="s">
        <v>8246</v>
      </c>
      <c r="O712" s="268">
        <v>2257.5</v>
      </c>
      <c r="P712" s="330"/>
      <c r="Q712" s="320" t="s">
        <v>6346</v>
      </c>
      <c r="R712" s="330"/>
      <c r="S712" s="768">
        <v>43074.0</v>
      </c>
      <c r="T712" s="771">
        <v>43042.0</v>
      </c>
      <c r="U712" s="252" t="s">
        <v>8247</v>
      </c>
      <c r="V712" s="774">
        <v>68145.0</v>
      </c>
      <c r="W712" s="601">
        <v>43074.0</v>
      </c>
      <c r="X712" s="252" t="s">
        <v>8245</v>
      </c>
      <c r="Y712" s="253">
        <v>7.70728934011E11</v>
      </c>
      <c r="Z712" s="330"/>
      <c r="AA712" s="330"/>
      <c r="AB712" s="330"/>
      <c r="AC712" s="253" t="s">
        <v>284</v>
      </c>
    </row>
    <row r="713" ht="15.75" customHeight="1">
      <c r="A713" s="764">
        <v>43021.0</v>
      </c>
      <c r="B713" s="1004" t="s">
        <v>101</v>
      </c>
      <c r="C713" s="765"/>
      <c r="D713" s="765" t="s">
        <v>8248</v>
      </c>
      <c r="E713" s="765" t="s">
        <v>8249</v>
      </c>
      <c r="F713" s="253">
        <v>1.0</v>
      </c>
      <c r="G713" s="254">
        <v>543.0</v>
      </c>
      <c r="H713" s="581">
        <f t="shared" si="9"/>
        <v>543</v>
      </c>
      <c r="I713" s="256" t="s">
        <v>3474</v>
      </c>
      <c r="J713" s="369" t="s">
        <v>3739</v>
      </c>
      <c r="K713" s="258">
        <v>43038.0</v>
      </c>
      <c r="L713" s="258">
        <v>43035.0</v>
      </c>
      <c r="M713" s="403" t="s">
        <v>2028</v>
      </c>
      <c r="N713" s="310" t="s">
        <v>8250</v>
      </c>
      <c r="O713" s="268">
        <v>513.45</v>
      </c>
      <c r="P713" s="330"/>
      <c r="Q713" s="340" t="s">
        <v>2030</v>
      </c>
      <c r="R713" s="330"/>
      <c r="S713" s="768">
        <v>43074.0</v>
      </c>
      <c r="T713" s="769">
        <v>43034.0</v>
      </c>
      <c r="U713" s="765" t="s">
        <v>8251</v>
      </c>
      <c r="V713" s="770">
        <v>20740.0</v>
      </c>
      <c r="W713" s="601">
        <v>43076.0</v>
      </c>
      <c r="X713" s="252" t="s">
        <v>8252</v>
      </c>
      <c r="Y713" s="253">
        <v>9.088212081E9</v>
      </c>
      <c r="Z713" s="330"/>
      <c r="AA713" s="330"/>
      <c r="AB713" s="330"/>
      <c r="AC713" s="253" t="s">
        <v>284</v>
      </c>
    </row>
    <row r="714" ht="15.75" customHeight="1">
      <c r="A714" s="764">
        <v>43021.0</v>
      </c>
      <c r="B714" s="1004" t="s">
        <v>101</v>
      </c>
      <c r="C714" s="765"/>
      <c r="D714" s="765" t="s">
        <v>8248</v>
      </c>
      <c r="E714" s="765" t="s">
        <v>8253</v>
      </c>
      <c r="F714" s="253">
        <v>1.0</v>
      </c>
      <c r="G714" s="254">
        <v>185.0</v>
      </c>
      <c r="H714" s="846">
        <f t="shared" si="9"/>
        <v>185</v>
      </c>
      <c r="I714" s="256" t="s">
        <v>3474</v>
      </c>
      <c r="J714" s="369" t="s">
        <v>3739</v>
      </c>
      <c r="K714" s="258">
        <v>43038.0</v>
      </c>
      <c r="L714" s="258">
        <v>43035.0</v>
      </c>
      <c r="M714" s="333" t="s">
        <v>2028</v>
      </c>
      <c r="N714" s="310" t="s">
        <v>8250</v>
      </c>
      <c r="O714" s="268">
        <v>174.3</v>
      </c>
      <c r="P714" s="330"/>
      <c r="Q714" s="340" t="s">
        <v>2030</v>
      </c>
      <c r="R714" s="330"/>
      <c r="S714" s="768">
        <v>43074.0</v>
      </c>
      <c r="T714" s="769">
        <v>43034.0</v>
      </c>
      <c r="U714" s="765" t="s">
        <v>8251</v>
      </c>
      <c r="V714" s="765" t="s">
        <v>8254</v>
      </c>
      <c r="W714" s="601">
        <v>43076.0</v>
      </c>
      <c r="X714" s="252" t="s">
        <v>8252</v>
      </c>
      <c r="Y714" s="253">
        <v>9.088212081E9</v>
      </c>
      <c r="Z714" s="330"/>
      <c r="AA714" s="330"/>
      <c r="AB714" s="330"/>
      <c r="AC714" s="253" t="s">
        <v>284</v>
      </c>
    </row>
    <row r="715" ht="15.75" customHeight="1">
      <c r="A715" s="764">
        <v>43021.0</v>
      </c>
      <c r="B715" s="1004" t="s">
        <v>326</v>
      </c>
      <c r="C715" s="778" t="s">
        <v>8241</v>
      </c>
      <c r="D715" s="765" t="s">
        <v>8242</v>
      </c>
      <c r="E715" s="765" t="s">
        <v>4424</v>
      </c>
      <c r="F715" s="253">
        <v>1.0</v>
      </c>
      <c r="G715" s="254">
        <v>133.0</v>
      </c>
      <c r="H715" s="846">
        <f t="shared" si="9"/>
        <v>133</v>
      </c>
      <c r="I715" s="256" t="s">
        <v>3474</v>
      </c>
      <c r="J715" s="369" t="s">
        <v>3774</v>
      </c>
      <c r="K715" s="258">
        <v>43039.0</v>
      </c>
      <c r="L715" s="258">
        <v>43032.0</v>
      </c>
      <c r="M715" s="253" t="s">
        <v>6540</v>
      </c>
      <c r="N715" s="310" t="s">
        <v>8255</v>
      </c>
      <c r="O715" s="596"/>
      <c r="P715" s="579">
        <v>3654.0</v>
      </c>
      <c r="Q715" s="599" t="s">
        <v>6542</v>
      </c>
      <c r="R715" s="330"/>
      <c r="S715" s="330"/>
      <c r="T715" s="769">
        <v>43032.0</v>
      </c>
      <c r="U715" s="765" t="s">
        <v>8256</v>
      </c>
      <c r="V715" s="770">
        <v>3654.0</v>
      </c>
      <c r="W715" s="601">
        <v>43031.0</v>
      </c>
      <c r="X715" s="252" t="s">
        <v>8161</v>
      </c>
      <c r="Y715" s="253">
        <v>8.98466913798E11</v>
      </c>
      <c r="Z715" s="330"/>
      <c r="AA715" s="330"/>
      <c r="AB715" s="330"/>
      <c r="AC715" s="253" t="s">
        <v>7120</v>
      </c>
    </row>
    <row r="716" ht="15.75" customHeight="1">
      <c r="A716" s="764">
        <v>43025.0</v>
      </c>
      <c r="B716" s="597" t="s">
        <v>77</v>
      </c>
      <c r="C716" s="765">
        <v>850.0</v>
      </c>
      <c r="D716" s="252" t="s">
        <v>8257</v>
      </c>
      <c r="E716" s="252" t="s">
        <v>3541</v>
      </c>
      <c r="F716" s="307">
        <v>25.0</v>
      </c>
      <c r="G716" s="254">
        <v>285.0</v>
      </c>
      <c r="H716" s="846">
        <f t="shared" si="9"/>
        <v>7125</v>
      </c>
      <c r="I716" s="256" t="s">
        <v>43</v>
      </c>
      <c r="J716" s="369" t="s">
        <v>316</v>
      </c>
      <c r="K716" s="258">
        <v>43039.0</v>
      </c>
      <c r="L716" s="258">
        <v>43038.0</v>
      </c>
      <c r="M716" s="333" t="s">
        <v>1998</v>
      </c>
      <c r="N716" s="310" t="s">
        <v>8258</v>
      </c>
      <c r="O716" s="268">
        <v>6562.5</v>
      </c>
      <c r="P716" s="330">
        <v>198647.0</v>
      </c>
      <c r="Q716" s="320" t="s">
        <v>2000</v>
      </c>
      <c r="R716" s="330"/>
      <c r="S716" s="768">
        <v>43105.0</v>
      </c>
      <c r="T716" s="769">
        <v>43035.0</v>
      </c>
      <c r="U716" s="765" t="s">
        <v>8259</v>
      </c>
      <c r="V716" s="770">
        <v>198647.0</v>
      </c>
      <c r="W716" s="601">
        <v>43105.0</v>
      </c>
      <c r="X716" s="252" t="s">
        <v>8183</v>
      </c>
      <c r="Y716" s="253">
        <v>1.56576136E8</v>
      </c>
      <c r="Z716" s="330"/>
      <c r="AA716" s="330"/>
      <c r="AB716" s="330"/>
      <c r="AC716" s="253" t="s">
        <v>284</v>
      </c>
    </row>
    <row r="717" ht="15.75" customHeight="1">
      <c r="A717" s="764">
        <v>43025.0</v>
      </c>
      <c r="B717" s="597" t="s">
        <v>77</v>
      </c>
      <c r="C717" s="765">
        <v>850.0</v>
      </c>
      <c r="D717" s="252" t="s">
        <v>8257</v>
      </c>
      <c r="E717" s="252" t="s">
        <v>7179</v>
      </c>
      <c r="F717" s="266">
        <v>1.0</v>
      </c>
      <c r="G717" s="267">
        <v>120.0</v>
      </c>
      <c r="H717" s="846">
        <f t="shared" si="9"/>
        <v>120</v>
      </c>
      <c r="I717" s="256" t="s">
        <v>43</v>
      </c>
      <c r="J717" s="369" t="s">
        <v>316</v>
      </c>
      <c r="K717" s="258">
        <v>43039.0</v>
      </c>
      <c r="L717" s="258">
        <v>43032.0</v>
      </c>
      <c r="M717" s="333" t="s">
        <v>3489</v>
      </c>
      <c r="N717" s="310" t="s">
        <v>8260</v>
      </c>
      <c r="O717" s="596"/>
      <c r="P717" s="579">
        <v>3424.0</v>
      </c>
      <c r="Q717" s="599" t="s">
        <v>6639</v>
      </c>
      <c r="R717" s="330"/>
      <c r="S717" s="768">
        <v>43039.0</v>
      </c>
      <c r="T717" s="769">
        <v>43032.0</v>
      </c>
      <c r="U717" s="765" t="s">
        <v>8261</v>
      </c>
      <c r="V717" s="770">
        <v>3424.0</v>
      </c>
      <c r="W717" s="601">
        <v>43038.0</v>
      </c>
      <c r="X717" s="252" t="s">
        <v>8183</v>
      </c>
      <c r="Y717" s="253">
        <v>1.56576136E8</v>
      </c>
      <c r="Z717" s="330"/>
      <c r="AA717" s="330"/>
      <c r="AB717" s="330"/>
      <c r="AC717" s="253" t="s">
        <v>284</v>
      </c>
    </row>
    <row r="718" ht="15.75" customHeight="1">
      <c r="A718" s="764">
        <v>43025.0</v>
      </c>
      <c r="B718" s="597" t="s">
        <v>7314</v>
      </c>
      <c r="C718" s="765">
        <v>7.000133353E9</v>
      </c>
      <c r="D718" s="252" t="s">
        <v>8262</v>
      </c>
      <c r="E718" s="252" t="s">
        <v>4657</v>
      </c>
      <c r="F718" s="253">
        <v>3.0</v>
      </c>
      <c r="G718" s="254">
        <v>110.0</v>
      </c>
      <c r="H718" s="846">
        <f t="shared" si="9"/>
        <v>330</v>
      </c>
      <c r="I718" s="256" t="s">
        <v>43</v>
      </c>
      <c r="J718" s="403" t="s">
        <v>3623</v>
      </c>
      <c r="K718" s="258">
        <v>43032.0</v>
      </c>
      <c r="L718" s="258">
        <v>43028.0</v>
      </c>
      <c r="M718" s="403" t="s">
        <v>3593</v>
      </c>
      <c r="N718" s="252" t="s">
        <v>8263</v>
      </c>
      <c r="O718" s="596"/>
      <c r="P718" s="1100">
        <v>9645.0</v>
      </c>
      <c r="Q718" s="310" t="s">
        <v>2080</v>
      </c>
      <c r="R718" s="330"/>
      <c r="S718" s="810">
        <v>43100.0</v>
      </c>
      <c r="T718" s="769">
        <v>43027.0</v>
      </c>
      <c r="U718" s="765" t="s">
        <v>8264</v>
      </c>
      <c r="V718" s="770">
        <v>12860.0</v>
      </c>
      <c r="W718" s="601">
        <v>43105.0</v>
      </c>
      <c r="X718" s="252" t="s">
        <v>8122</v>
      </c>
      <c r="Y718" s="253">
        <v>1.572914372E9</v>
      </c>
      <c r="Z718" s="330"/>
      <c r="AA718" s="330"/>
      <c r="AB718" s="330"/>
      <c r="AC718" s="253" t="s">
        <v>284</v>
      </c>
    </row>
    <row r="719" ht="15.75" customHeight="1">
      <c r="A719" s="764">
        <v>43025.0</v>
      </c>
      <c r="B719" s="597" t="s">
        <v>7314</v>
      </c>
      <c r="C719" s="765">
        <v>7.000133353E9</v>
      </c>
      <c r="D719" s="252" t="s">
        <v>8262</v>
      </c>
      <c r="E719" s="252" t="s">
        <v>6968</v>
      </c>
      <c r="F719" s="253">
        <v>1.0</v>
      </c>
      <c r="G719" s="254">
        <v>110.0</v>
      </c>
      <c r="H719" s="846">
        <f t="shared" si="9"/>
        <v>110</v>
      </c>
      <c r="I719" s="256" t="s">
        <v>43</v>
      </c>
      <c r="J719" s="403" t="s">
        <v>3623</v>
      </c>
      <c r="K719" s="258">
        <v>43032.0</v>
      </c>
      <c r="L719" s="258">
        <v>43028.0</v>
      </c>
      <c r="M719" s="333" t="s">
        <v>3593</v>
      </c>
      <c r="N719" s="252" t="s">
        <v>8263</v>
      </c>
      <c r="O719" s="596"/>
      <c r="P719" s="1100">
        <v>3215.0</v>
      </c>
      <c r="Q719" s="320" t="s">
        <v>2080</v>
      </c>
      <c r="R719" s="330"/>
      <c r="S719" s="810">
        <v>43100.0</v>
      </c>
      <c r="T719" s="769">
        <v>43027.0</v>
      </c>
      <c r="U719" s="765" t="s">
        <v>8264</v>
      </c>
      <c r="V719" s="770" t="s">
        <v>8265</v>
      </c>
      <c r="W719" s="601">
        <v>43105.0</v>
      </c>
      <c r="X719" s="252" t="s">
        <v>8122</v>
      </c>
      <c r="Y719" s="253">
        <v>1.572914372E9</v>
      </c>
      <c r="Z719" s="330"/>
      <c r="AA719" s="330"/>
      <c r="AB719" s="330"/>
      <c r="AC719" s="253" t="s">
        <v>284</v>
      </c>
    </row>
    <row r="720" ht="15.75" customHeight="1">
      <c r="A720" s="764">
        <v>43026.0</v>
      </c>
      <c r="B720" s="1004" t="s">
        <v>3506</v>
      </c>
      <c r="C720" s="765" t="s">
        <v>8266</v>
      </c>
      <c r="D720" s="252" t="s">
        <v>8267</v>
      </c>
      <c r="E720" s="252" t="s">
        <v>8268</v>
      </c>
      <c r="F720" s="253">
        <v>100.0</v>
      </c>
      <c r="G720" s="254">
        <v>174.5</v>
      </c>
      <c r="H720" s="846">
        <f t="shared" si="9"/>
        <v>17450</v>
      </c>
      <c r="I720" s="256" t="s">
        <v>171</v>
      </c>
      <c r="J720" s="369" t="s">
        <v>3509</v>
      </c>
      <c r="K720" s="258">
        <v>43048.0</v>
      </c>
      <c r="L720" s="258">
        <v>43045.0</v>
      </c>
      <c r="M720" s="333" t="s">
        <v>3510</v>
      </c>
      <c r="N720" s="310" t="s">
        <v>8269</v>
      </c>
      <c r="O720" s="579">
        <v>16590.0</v>
      </c>
      <c r="P720" s="330"/>
      <c r="Q720" s="320" t="s">
        <v>3512</v>
      </c>
      <c r="R720" s="330"/>
      <c r="S720" s="330"/>
      <c r="T720" s="771">
        <v>43045.0</v>
      </c>
      <c r="U720" s="252" t="s">
        <v>8270</v>
      </c>
      <c r="V720" s="774">
        <v>501184.0</v>
      </c>
      <c r="W720" s="601">
        <v>43038.0</v>
      </c>
      <c r="X720" s="252" t="s">
        <v>8271</v>
      </c>
      <c r="Y720" s="266" t="s">
        <v>8272</v>
      </c>
      <c r="Z720" s="330"/>
      <c r="AA720" s="330"/>
      <c r="AB720" s="330"/>
      <c r="AC720" s="253" t="s">
        <v>284</v>
      </c>
    </row>
    <row r="721" ht="15.75" customHeight="1">
      <c r="A721" s="764">
        <v>43027.0</v>
      </c>
      <c r="B721" s="1004" t="s">
        <v>673</v>
      </c>
      <c r="C721" s="765"/>
      <c r="D721" s="252" t="s">
        <v>8273</v>
      </c>
      <c r="E721" s="252" t="s">
        <v>8274</v>
      </c>
      <c r="F721" s="253">
        <v>1.0</v>
      </c>
      <c r="G721" s="254">
        <v>665.0</v>
      </c>
      <c r="H721" s="846">
        <f t="shared" si="9"/>
        <v>665</v>
      </c>
      <c r="I721" s="256" t="s">
        <v>171</v>
      </c>
      <c r="J721" s="363" t="s">
        <v>676</v>
      </c>
      <c r="K721" s="258">
        <v>43069.0</v>
      </c>
      <c r="L721" s="258">
        <v>43067.0</v>
      </c>
      <c r="M721" s="333" t="s">
        <v>8275</v>
      </c>
      <c r="N721" s="310" t="s">
        <v>8276</v>
      </c>
      <c r="O721" s="596"/>
      <c r="P721" s="330"/>
      <c r="Q721" s="422"/>
      <c r="R721" s="330"/>
      <c r="S721" s="330"/>
      <c r="T721" s="766"/>
      <c r="U721" s="766"/>
      <c r="V721" s="766"/>
      <c r="W721" s="1037"/>
      <c r="X721" s="252" t="s">
        <v>8277</v>
      </c>
      <c r="Y721" s="253">
        <v>1.436107422E9</v>
      </c>
      <c r="Z721" s="330"/>
      <c r="AA721" s="330"/>
      <c r="AB721" s="330"/>
      <c r="AC721" s="253" t="s">
        <v>284</v>
      </c>
    </row>
    <row r="722" ht="15.75" customHeight="1">
      <c r="A722" s="764">
        <v>43027.0</v>
      </c>
      <c r="B722" s="597" t="s">
        <v>7314</v>
      </c>
      <c r="C722" s="765">
        <v>7.000136449E9</v>
      </c>
      <c r="D722" s="252" t="s">
        <v>8278</v>
      </c>
      <c r="E722" s="252" t="s">
        <v>8279</v>
      </c>
      <c r="F722" s="253">
        <v>1.0</v>
      </c>
      <c r="G722" s="254">
        <v>715.0</v>
      </c>
      <c r="H722" s="846">
        <f t="shared" si="9"/>
        <v>715</v>
      </c>
      <c r="I722" s="256" t="s">
        <v>43</v>
      </c>
      <c r="J722" s="777" t="s">
        <v>3623</v>
      </c>
      <c r="K722" s="258">
        <v>43028.0</v>
      </c>
      <c r="L722" s="330"/>
      <c r="M722" s="333"/>
      <c r="N722" s="252" t="s">
        <v>8280</v>
      </c>
      <c r="O722" s="596"/>
      <c r="P722" s="330"/>
      <c r="Q722" s="422"/>
      <c r="R722" s="330"/>
      <c r="S722" s="330"/>
      <c r="T722" s="766" t="s">
        <v>7660</v>
      </c>
      <c r="U722" s="766" t="s">
        <v>7660</v>
      </c>
      <c r="V722" s="766" t="s">
        <v>7660</v>
      </c>
      <c r="W722" s="1037"/>
      <c r="X722" s="766" t="s">
        <v>8281</v>
      </c>
      <c r="Y722" s="253">
        <v>8.447414474E9</v>
      </c>
      <c r="Z722" s="330"/>
      <c r="AA722" s="330"/>
      <c r="AB722" s="330"/>
      <c r="AC722" s="253" t="s">
        <v>284</v>
      </c>
    </row>
    <row r="723" ht="15.75" customHeight="1">
      <c r="A723" s="764">
        <v>43027.0</v>
      </c>
      <c r="B723" s="597" t="s">
        <v>7314</v>
      </c>
      <c r="C723" s="765">
        <v>7.000136449E9</v>
      </c>
      <c r="D723" s="252" t="s">
        <v>8278</v>
      </c>
      <c r="E723" s="252" t="s">
        <v>8282</v>
      </c>
      <c r="F723" s="253">
        <v>1.0</v>
      </c>
      <c r="G723" s="254">
        <v>40.0</v>
      </c>
      <c r="H723" s="846">
        <f t="shared" si="9"/>
        <v>40</v>
      </c>
      <c r="I723" s="256" t="s">
        <v>43</v>
      </c>
      <c r="J723" s="403" t="s">
        <v>3623</v>
      </c>
      <c r="K723" s="258">
        <v>43028.0</v>
      </c>
      <c r="L723" s="330"/>
      <c r="M723" s="403"/>
      <c r="N723" s="252" t="s">
        <v>8283</v>
      </c>
      <c r="O723" s="596"/>
      <c r="P723" s="330"/>
      <c r="Q723" s="422"/>
      <c r="R723" s="330"/>
      <c r="S723" s="330"/>
      <c r="T723" s="766" t="s">
        <v>7660</v>
      </c>
      <c r="U723" s="766" t="s">
        <v>7660</v>
      </c>
      <c r="V723" s="766" t="s">
        <v>7660</v>
      </c>
      <c r="W723" s="1037"/>
      <c r="X723" s="766" t="s">
        <v>8281</v>
      </c>
      <c r="Y723" s="253">
        <v>8.447414474E9</v>
      </c>
      <c r="Z723" s="330"/>
      <c r="AA723" s="330"/>
      <c r="AB723" s="330"/>
      <c r="AC723" s="253" t="s">
        <v>284</v>
      </c>
    </row>
    <row r="724" ht="15.75" customHeight="1">
      <c r="A724" s="764">
        <v>43027.0</v>
      </c>
      <c r="B724" s="597" t="s">
        <v>7314</v>
      </c>
      <c r="C724" s="765">
        <v>7.000136449E9</v>
      </c>
      <c r="D724" s="252" t="s">
        <v>8278</v>
      </c>
      <c r="E724" s="252" t="s">
        <v>8284</v>
      </c>
      <c r="F724" s="592">
        <v>1.0</v>
      </c>
      <c r="G724" s="325">
        <v>44.0</v>
      </c>
      <c r="H724" s="846">
        <f t="shared" si="9"/>
        <v>44</v>
      </c>
      <c r="I724" s="256" t="s">
        <v>43</v>
      </c>
      <c r="J724" s="403" t="s">
        <v>3623</v>
      </c>
      <c r="K724" s="258">
        <v>43028.0</v>
      </c>
      <c r="L724" s="330"/>
      <c r="M724" s="333"/>
      <c r="N724" s="252" t="s">
        <v>8283</v>
      </c>
      <c r="O724" s="596"/>
      <c r="P724" s="330"/>
      <c r="Q724" s="422"/>
      <c r="R724" s="330"/>
      <c r="S724" s="330"/>
      <c r="T724" s="766" t="s">
        <v>7660</v>
      </c>
      <c r="U724" s="766" t="s">
        <v>7660</v>
      </c>
      <c r="V724" s="766" t="s">
        <v>7660</v>
      </c>
      <c r="W724" s="1037"/>
      <c r="X724" s="766" t="s">
        <v>8281</v>
      </c>
      <c r="Y724" s="253">
        <v>8.447414474E9</v>
      </c>
      <c r="Z724" s="330"/>
      <c r="AA724" s="330"/>
      <c r="AB724" s="330"/>
      <c r="AC724" s="253" t="s">
        <v>284</v>
      </c>
    </row>
    <row r="725" ht="15.75" customHeight="1">
      <c r="A725" s="764">
        <v>43028.0</v>
      </c>
      <c r="B725" s="844" t="s">
        <v>6778</v>
      </c>
      <c r="C725" s="765" t="s">
        <v>8285</v>
      </c>
      <c r="D725" s="765" t="s">
        <v>8286</v>
      </c>
      <c r="E725" s="765" t="s">
        <v>8287</v>
      </c>
      <c r="F725" s="253">
        <v>1.0</v>
      </c>
      <c r="G725" s="254">
        <v>722.0</v>
      </c>
      <c r="H725" s="846">
        <f t="shared" si="9"/>
        <v>722</v>
      </c>
      <c r="I725" s="256" t="s">
        <v>420</v>
      </c>
      <c r="J725" s="269" t="s">
        <v>8288</v>
      </c>
      <c r="K725" s="258">
        <v>43073.0</v>
      </c>
      <c r="L725" s="258">
        <v>43042.0</v>
      </c>
      <c r="M725" s="333" t="s">
        <v>90</v>
      </c>
      <c r="N725" s="310" t="s">
        <v>8289</v>
      </c>
      <c r="O725" s="268">
        <v>659.4</v>
      </c>
      <c r="P725" s="330"/>
      <c r="Q725" s="578" t="s">
        <v>94</v>
      </c>
      <c r="R725" s="330"/>
      <c r="S725" s="768">
        <v>43100.0</v>
      </c>
      <c r="T725" s="771">
        <v>43042.0</v>
      </c>
      <c r="U725" s="252" t="s">
        <v>8290</v>
      </c>
      <c r="V725" s="774">
        <v>19920.0</v>
      </c>
      <c r="W725" s="601">
        <v>43110.0</v>
      </c>
      <c r="X725" s="252" t="s">
        <v>8291</v>
      </c>
      <c r="Y725" s="253">
        <v>4.469634105E9</v>
      </c>
      <c r="Z725" s="330"/>
      <c r="AA725" s="330"/>
      <c r="AB725" s="330"/>
      <c r="AC725" s="253" t="s">
        <v>284</v>
      </c>
    </row>
    <row r="726" ht="15.75" customHeight="1">
      <c r="A726" s="764">
        <v>43028.0</v>
      </c>
      <c r="B726" s="844" t="s">
        <v>6778</v>
      </c>
      <c r="C726" s="765" t="s">
        <v>8285</v>
      </c>
      <c r="D726" s="765" t="s">
        <v>8286</v>
      </c>
      <c r="E726" s="765" t="s">
        <v>8292</v>
      </c>
      <c r="F726" s="253">
        <v>2.0</v>
      </c>
      <c r="G726" s="254">
        <v>321.0</v>
      </c>
      <c r="H726" s="846">
        <f t="shared" si="9"/>
        <v>642</v>
      </c>
      <c r="I726" s="256" t="s">
        <v>420</v>
      </c>
      <c r="J726" s="363" t="s">
        <v>8288</v>
      </c>
      <c r="K726" s="258">
        <v>43073.0</v>
      </c>
      <c r="L726" s="258">
        <v>43041.0</v>
      </c>
      <c r="M726" s="333" t="s">
        <v>8293</v>
      </c>
      <c r="N726" s="252" t="s">
        <v>8294</v>
      </c>
      <c r="O726" s="339"/>
      <c r="P726" s="816"/>
      <c r="Q726" s="388"/>
      <c r="R726" s="330"/>
      <c r="S726" s="330"/>
      <c r="T726" s="903"/>
      <c r="U726" s="903"/>
      <c r="V726" s="903"/>
      <c r="W726" s="1037"/>
      <c r="X726" s="252" t="s">
        <v>8291</v>
      </c>
      <c r="Y726" s="253">
        <v>4.469634105E9</v>
      </c>
      <c r="Z726" s="330"/>
      <c r="AA726" s="330"/>
      <c r="AB726" s="330"/>
      <c r="AC726" s="253" t="s">
        <v>284</v>
      </c>
    </row>
    <row r="727" ht="15.75" customHeight="1">
      <c r="A727" s="764">
        <v>43031.0</v>
      </c>
      <c r="B727" s="1004" t="s">
        <v>8065</v>
      </c>
      <c r="C727" s="765" t="s">
        <v>8295</v>
      </c>
      <c r="D727" s="252" t="s">
        <v>8296</v>
      </c>
      <c r="E727" s="252" t="s">
        <v>8297</v>
      </c>
      <c r="F727" s="253">
        <v>1.0</v>
      </c>
      <c r="G727" s="254">
        <v>410.0</v>
      </c>
      <c r="H727" s="846">
        <f t="shared" si="9"/>
        <v>410</v>
      </c>
      <c r="I727" s="256" t="s">
        <v>3474</v>
      </c>
      <c r="J727" s="777" t="s">
        <v>8298</v>
      </c>
      <c r="K727" s="886">
        <v>43048.0</v>
      </c>
      <c r="L727" s="266" t="s">
        <v>179</v>
      </c>
      <c r="M727" s="333" t="s">
        <v>1537</v>
      </c>
      <c r="N727" s="252" t="s">
        <v>8299</v>
      </c>
      <c r="O727" s="596"/>
      <c r="P727" s="330"/>
      <c r="Q727" s="597"/>
      <c r="R727" s="330"/>
      <c r="S727" s="330"/>
      <c r="T727" s="1103">
        <v>43014.0</v>
      </c>
      <c r="U727" s="766" t="s">
        <v>8085</v>
      </c>
      <c r="V727" s="766"/>
      <c r="W727" s="1037"/>
      <c r="X727" s="765" t="s">
        <v>8300</v>
      </c>
      <c r="Y727" s="253">
        <v>7.38557008E9</v>
      </c>
      <c r="Z727" s="330"/>
      <c r="AA727" s="330"/>
      <c r="AB727" s="330"/>
      <c r="AC727" s="253" t="s">
        <v>284</v>
      </c>
    </row>
    <row r="728" ht="15.75" customHeight="1">
      <c r="A728" s="764">
        <v>43031.0</v>
      </c>
      <c r="B728" s="1004" t="s">
        <v>8065</v>
      </c>
      <c r="C728" s="765" t="s">
        <v>8295</v>
      </c>
      <c r="D728" s="252" t="s">
        <v>8301</v>
      </c>
      <c r="E728" s="252" t="s">
        <v>8302</v>
      </c>
      <c r="F728" s="253">
        <v>1.0</v>
      </c>
      <c r="G728" s="254">
        <v>44.0</v>
      </c>
      <c r="H728" s="846">
        <f t="shared" si="9"/>
        <v>44</v>
      </c>
      <c r="I728" s="256" t="s">
        <v>3474</v>
      </c>
      <c r="J728" s="777" t="s">
        <v>8298</v>
      </c>
      <c r="K728" s="886">
        <v>43048.0</v>
      </c>
      <c r="L728" s="266" t="s">
        <v>179</v>
      </c>
      <c r="M728" s="592" t="s">
        <v>1981</v>
      </c>
      <c r="N728" s="252" t="s">
        <v>8303</v>
      </c>
      <c r="O728" s="596"/>
      <c r="P728" s="330"/>
      <c r="Q728" s="597"/>
      <c r="R728" s="330"/>
      <c r="S728" s="1095">
        <v>43070.0</v>
      </c>
      <c r="T728" s="809">
        <v>43040.0</v>
      </c>
      <c r="U728" s="766" t="s">
        <v>8304</v>
      </c>
      <c r="V728" s="1018">
        <v>3317.0</v>
      </c>
      <c r="W728" s="1037"/>
      <c r="X728" s="765" t="s">
        <v>8300</v>
      </c>
      <c r="Y728" s="253">
        <v>7.38557008E9</v>
      </c>
      <c r="Z728" s="330"/>
      <c r="AA728" s="330"/>
      <c r="AB728" s="330"/>
      <c r="AC728" s="253" t="s">
        <v>284</v>
      </c>
    </row>
    <row r="729" ht="15.75" customHeight="1">
      <c r="A729" s="764">
        <v>43031.0</v>
      </c>
      <c r="B729" s="597" t="s">
        <v>7314</v>
      </c>
      <c r="C729" s="765">
        <v>7.000133435E9</v>
      </c>
      <c r="D729" s="252" t="s">
        <v>8305</v>
      </c>
      <c r="E729" s="252" t="s">
        <v>4095</v>
      </c>
      <c r="F729" s="253">
        <v>1.0</v>
      </c>
      <c r="G729" s="254">
        <v>485.0</v>
      </c>
      <c r="H729" s="846">
        <f t="shared" si="9"/>
        <v>485</v>
      </c>
      <c r="I729" s="256" t="s">
        <v>43</v>
      </c>
      <c r="J729" s="333" t="s">
        <v>3623</v>
      </c>
      <c r="K729" s="258">
        <v>43069.0</v>
      </c>
      <c r="L729" s="258">
        <v>43062.0</v>
      </c>
      <c r="M729" s="333" t="s">
        <v>3593</v>
      </c>
      <c r="N729" s="310" t="s">
        <v>8306</v>
      </c>
      <c r="O729" s="596"/>
      <c r="P729" s="1100">
        <v>14162.0</v>
      </c>
      <c r="Q729" s="320" t="s">
        <v>2080</v>
      </c>
      <c r="R729" s="330"/>
      <c r="S729" s="810">
        <v>43131.0</v>
      </c>
      <c r="T729" s="769">
        <v>43060.0</v>
      </c>
      <c r="U729" s="765" t="s">
        <v>8307</v>
      </c>
      <c r="V729" s="770">
        <v>14162.0</v>
      </c>
      <c r="W729" s="601">
        <v>43138.0</v>
      </c>
      <c r="X729" s="252" t="s">
        <v>8308</v>
      </c>
      <c r="Y729" s="253">
        <v>1.435156656E9</v>
      </c>
      <c r="Z729" s="330"/>
      <c r="AA729" s="330"/>
      <c r="AB729" s="330"/>
      <c r="AC729" s="253" t="s">
        <v>284</v>
      </c>
    </row>
    <row r="730" ht="15.75" customHeight="1">
      <c r="A730" s="764">
        <v>43031.0</v>
      </c>
      <c r="B730" s="765" t="s">
        <v>3677</v>
      </c>
      <c r="C730" s="778" t="s">
        <v>8309</v>
      </c>
      <c r="D730" s="765" t="s">
        <v>8310</v>
      </c>
      <c r="E730" s="765" t="s">
        <v>3628</v>
      </c>
      <c r="F730" s="253">
        <v>10.0</v>
      </c>
      <c r="G730" s="254">
        <v>179.0</v>
      </c>
      <c r="H730" s="846">
        <f t="shared" si="9"/>
        <v>1790</v>
      </c>
      <c r="I730" s="256" t="s">
        <v>3474</v>
      </c>
      <c r="J730" s="369" t="s">
        <v>3680</v>
      </c>
      <c r="K730" s="258">
        <v>43041.0</v>
      </c>
      <c r="L730" s="258">
        <v>43040.0</v>
      </c>
      <c r="M730" s="333" t="s">
        <v>90</v>
      </c>
      <c r="N730" s="310" t="s">
        <v>8311</v>
      </c>
      <c r="O730" s="579">
        <v>1785.0</v>
      </c>
      <c r="P730" s="330"/>
      <c r="Q730" s="340" t="s">
        <v>94</v>
      </c>
      <c r="R730" s="330"/>
      <c r="S730" s="768">
        <v>43100.0</v>
      </c>
      <c r="T730" s="769">
        <v>43040.0</v>
      </c>
      <c r="U730" s="765" t="s">
        <v>8312</v>
      </c>
      <c r="V730" s="770">
        <v>53925.0</v>
      </c>
      <c r="W730" s="601">
        <v>43110.0</v>
      </c>
      <c r="X730" s="252" t="s">
        <v>8313</v>
      </c>
      <c r="Y730" s="253">
        <v>7.70649305481E11</v>
      </c>
      <c r="Z730" s="330"/>
      <c r="AA730" s="330"/>
      <c r="AB730" s="330"/>
      <c r="AC730" s="253" t="s">
        <v>284</v>
      </c>
    </row>
    <row r="731" ht="15.75" customHeight="1">
      <c r="A731" s="764">
        <v>43031.0</v>
      </c>
      <c r="B731" s="422" t="s">
        <v>7314</v>
      </c>
      <c r="C731" s="765">
        <v>7.000133435E9</v>
      </c>
      <c r="D731" s="252" t="s">
        <v>8305</v>
      </c>
      <c r="E731" s="252" t="s">
        <v>6451</v>
      </c>
      <c r="F731" s="253">
        <v>19.0</v>
      </c>
      <c r="G731" s="254">
        <v>126.0</v>
      </c>
      <c r="H731" s="846">
        <f t="shared" si="9"/>
        <v>2394</v>
      </c>
      <c r="I731" s="256" t="s">
        <v>43</v>
      </c>
      <c r="J731" s="403" t="s">
        <v>3623</v>
      </c>
      <c r="K731" s="258">
        <v>43038.0</v>
      </c>
      <c r="L731" s="258">
        <v>43038.0</v>
      </c>
      <c r="M731" s="333" t="s">
        <v>3593</v>
      </c>
      <c r="N731" s="310" t="s">
        <v>8306</v>
      </c>
      <c r="O731" s="596"/>
      <c r="P731" s="1100">
        <v>70064.0</v>
      </c>
      <c r="Q731" s="320" t="s">
        <v>2080</v>
      </c>
      <c r="R731" s="330"/>
      <c r="S731" s="810">
        <v>43131.0</v>
      </c>
      <c r="T731" s="769">
        <v>43035.0</v>
      </c>
      <c r="U731" s="765" t="s">
        <v>8314</v>
      </c>
      <c r="V731" s="770">
        <v>70064.0</v>
      </c>
      <c r="W731" s="601">
        <v>43138.0</v>
      </c>
      <c r="X731" s="252" t="s">
        <v>8315</v>
      </c>
      <c r="Y731" s="253">
        <v>9.088366792E9</v>
      </c>
      <c r="Z731" s="330"/>
      <c r="AA731" s="330"/>
      <c r="AB731" s="330"/>
      <c r="AC731" s="253" t="s">
        <v>284</v>
      </c>
    </row>
    <row r="732" ht="15.75" customHeight="1">
      <c r="A732" s="764">
        <v>43031.0</v>
      </c>
      <c r="B732" s="1004" t="s">
        <v>8065</v>
      </c>
      <c r="C732" s="765" t="s">
        <v>8295</v>
      </c>
      <c r="D732" s="765" t="s">
        <v>8316</v>
      </c>
      <c r="E732" s="765" t="s">
        <v>700</v>
      </c>
      <c r="F732" s="253">
        <v>1.0</v>
      </c>
      <c r="G732" s="254">
        <v>25.0</v>
      </c>
      <c r="H732" s="846">
        <f t="shared" si="9"/>
        <v>25</v>
      </c>
      <c r="I732" s="256" t="s">
        <v>3474</v>
      </c>
      <c r="J732" s="777" t="s">
        <v>8298</v>
      </c>
      <c r="K732" s="886">
        <v>43048.0</v>
      </c>
      <c r="L732" s="330"/>
      <c r="M732" s="333"/>
      <c r="N732" s="600"/>
      <c r="O732" s="596"/>
      <c r="P732" s="330"/>
      <c r="Q732" s="422"/>
      <c r="R732" s="330"/>
      <c r="S732" s="330"/>
      <c r="T732" s="766"/>
      <c r="U732" s="766"/>
      <c r="V732" s="766"/>
      <c r="W732" s="1037"/>
      <c r="X732" s="765" t="s">
        <v>8300</v>
      </c>
      <c r="Y732" s="253">
        <v>7.38557008E9</v>
      </c>
      <c r="Z732" s="330"/>
      <c r="AA732" s="330"/>
      <c r="AB732" s="330"/>
      <c r="AC732" s="253" t="s">
        <v>284</v>
      </c>
    </row>
    <row r="733" ht="15.75" customHeight="1">
      <c r="A733" s="764">
        <v>43034.0</v>
      </c>
      <c r="B733" s="1004" t="s">
        <v>229</v>
      </c>
      <c r="C733" s="765"/>
      <c r="D733" s="252" t="s">
        <v>8317</v>
      </c>
      <c r="E733" s="252" t="s">
        <v>462</v>
      </c>
      <c r="F733" s="253">
        <v>16.0</v>
      </c>
      <c r="G733" s="254">
        <v>407.4</v>
      </c>
      <c r="H733" s="846">
        <f t="shared" si="9"/>
        <v>6518.4</v>
      </c>
      <c r="I733" s="256" t="s">
        <v>171</v>
      </c>
      <c r="J733" s="253" t="s">
        <v>233</v>
      </c>
      <c r="K733" s="258">
        <v>43046.0</v>
      </c>
      <c r="L733" s="258">
        <v>43046.0</v>
      </c>
      <c r="M733" s="333" t="s">
        <v>90</v>
      </c>
      <c r="N733" s="310" t="s">
        <v>8318</v>
      </c>
      <c r="O733" s="268">
        <v>5964.0</v>
      </c>
      <c r="P733" s="330"/>
      <c r="Q733" s="578" t="s">
        <v>94</v>
      </c>
      <c r="R733" s="330"/>
      <c r="S733" s="768">
        <v>43100.0</v>
      </c>
      <c r="T733" s="771">
        <v>43046.0</v>
      </c>
      <c r="U733" s="252" t="s">
        <v>8319</v>
      </c>
      <c r="V733" s="774">
        <v>243899.0</v>
      </c>
      <c r="W733" s="601">
        <v>43110.0</v>
      </c>
      <c r="X733" s="765" t="s">
        <v>8320</v>
      </c>
      <c r="Y733" s="902"/>
      <c r="Z733" s="330" t="s">
        <v>8321</v>
      </c>
      <c r="AA733" s="262">
        <v>267531.0</v>
      </c>
      <c r="AB733" s="765" t="s">
        <v>8322</v>
      </c>
      <c r="AC733" s="253" t="s">
        <v>377</v>
      </c>
    </row>
    <row r="734" ht="15.75" customHeight="1">
      <c r="A734" s="764">
        <v>43034.0</v>
      </c>
      <c r="B734" s="1004" t="s">
        <v>229</v>
      </c>
      <c r="C734" s="765"/>
      <c r="D734" s="252" t="s">
        <v>8317</v>
      </c>
      <c r="E734" s="252" t="s">
        <v>3765</v>
      </c>
      <c r="F734" s="253">
        <v>7.0</v>
      </c>
      <c r="G734" s="267">
        <v>336.0</v>
      </c>
      <c r="H734" s="846">
        <f t="shared" si="9"/>
        <v>2352</v>
      </c>
      <c r="I734" s="256" t="s">
        <v>171</v>
      </c>
      <c r="J734" s="253" t="s">
        <v>233</v>
      </c>
      <c r="K734" s="258">
        <v>43046.0</v>
      </c>
      <c r="L734" s="258">
        <v>43046.0</v>
      </c>
      <c r="M734" s="333" t="s">
        <v>90</v>
      </c>
      <c r="N734" s="310" t="s">
        <v>8318</v>
      </c>
      <c r="O734" s="268">
        <v>2109.45</v>
      </c>
      <c r="P734" s="330"/>
      <c r="Q734" s="340" t="s">
        <v>94</v>
      </c>
      <c r="R734" s="330"/>
      <c r="S734" s="768">
        <v>43100.0</v>
      </c>
      <c r="T734" s="771">
        <v>43046.0</v>
      </c>
      <c r="U734" s="252" t="s">
        <v>8319</v>
      </c>
      <c r="V734" s="774">
        <v>243899.0</v>
      </c>
      <c r="W734" s="601">
        <v>43110.0</v>
      </c>
      <c r="X734" s="765" t="s">
        <v>8320</v>
      </c>
      <c r="Y734" s="902"/>
      <c r="Z734" s="765" t="s">
        <v>8321</v>
      </c>
      <c r="AA734" s="262">
        <v>267531.0</v>
      </c>
      <c r="AB734" s="765" t="s">
        <v>8322</v>
      </c>
      <c r="AC734" s="253" t="s">
        <v>377</v>
      </c>
    </row>
    <row r="735" ht="15.75" customHeight="1">
      <c r="A735" s="764">
        <v>43034.0</v>
      </c>
      <c r="B735" s="1004" t="s">
        <v>3506</v>
      </c>
      <c r="C735" s="765" t="s">
        <v>8323</v>
      </c>
      <c r="D735" s="252" t="s">
        <v>8324</v>
      </c>
      <c r="E735" s="252" t="s">
        <v>3525</v>
      </c>
      <c r="F735" s="253">
        <v>1.0</v>
      </c>
      <c r="G735" s="254">
        <v>174.5</v>
      </c>
      <c r="H735" s="581">
        <f t="shared" si="9"/>
        <v>174.5</v>
      </c>
      <c r="I735" s="256" t="s">
        <v>171</v>
      </c>
      <c r="J735" s="253" t="s">
        <v>7655</v>
      </c>
      <c r="K735" s="258">
        <v>43034.0</v>
      </c>
      <c r="L735" s="258">
        <v>43034.0</v>
      </c>
      <c r="M735" s="333" t="s">
        <v>90</v>
      </c>
      <c r="N735" s="605" t="s">
        <v>8325</v>
      </c>
      <c r="O735" s="268">
        <v>164.85</v>
      </c>
      <c r="P735" s="339"/>
      <c r="Q735" s="340" t="s">
        <v>94</v>
      </c>
      <c r="R735" s="330"/>
      <c r="S735" s="768"/>
      <c r="T735" s="769">
        <v>43047.0</v>
      </c>
      <c r="U735" s="765" t="s">
        <v>8326</v>
      </c>
      <c r="V735" s="770">
        <v>4980.0</v>
      </c>
      <c r="W735" s="601">
        <v>43110.0</v>
      </c>
      <c r="X735" s="253" t="s">
        <v>8327</v>
      </c>
      <c r="Y735" s="253">
        <v>8.81000273154E11</v>
      </c>
      <c r="Z735" s="330"/>
      <c r="AA735" s="330"/>
      <c r="AB735" s="330"/>
      <c r="AC735" s="253" t="s">
        <v>284</v>
      </c>
    </row>
    <row r="736" ht="15.75" customHeight="1">
      <c r="A736" s="764">
        <v>43035.0</v>
      </c>
      <c r="B736" s="1004" t="s">
        <v>101</v>
      </c>
      <c r="C736" s="765" t="s">
        <v>8328</v>
      </c>
      <c r="D736" s="765" t="s">
        <v>8329</v>
      </c>
      <c r="E736" s="765" t="s">
        <v>8330</v>
      </c>
      <c r="F736" s="253">
        <v>2.0</v>
      </c>
      <c r="G736" s="254">
        <v>75.0</v>
      </c>
      <c r="H736" s="846">
        <f t="shared" si="9"/>
        <v>150</v>
      </c>
      <c r="I736" s="256" t="s">
        <v>3474</v>
      </c>
      <c r="J736" s="369" t="s">
        <v>3739</v>
      </c>
      <c r="K736" s="258">
        <v>43053.0</v>
      </c>
      <c r="L736" s="258">
        <v>43048.0</v>
      </c>
      <c r="M736" s="369" t="s">
        <v>2125</v>
      </c>
      <c r="N736" s="765" t="s">
        <v>8331</v>
      </c>
      <c r="O736" s="339"/>
      <c r="P736" s="637">
        <v>3688.0</v>
      </c>
      <c r="Q736" s="320" t="s">
        <v>6228</v>
      </c>
      <c r="R736" s="330"/>
      <c r="S736" s="768">
        <v>43045.0</v>
      </c>
      <c r="T736" s="769">
        <v>43047.0</v>
      </c>
      <c r="U736" s="765" t="s">
        <v>8332</v>
      </c>
      <c r="V736" s="1104">
        <v>3688.0</v>
      </c>
      <c r="W736" s="258">
        <v>43045.0</v>
      </c>
      <c r="X736" s="252" t="s">
        <v>8102</v>
      </c>
      <c r="Y736" s="253">
        <v>3.769292564E9</v>
      </c>
      <c r="Z736" s="330"/>
      <c r="AA736" s="330"/>
      <c r="AB736" s="330"/>
      <c r="AC736" s="253" t="s">
        <v>284</v>
      </c>
    </row>
    <row r="737" ht="15.75" customHeight="1">
      <c r="A737" s="764">
        <v>43038.0</v>
      </c>
      <c r="B737" s="597" t="s">
        <v>7314</v>
      </c>
      <c r="C737" s="765">
        <v>7.000133626E9</v>
      </c>
      <c r="D737" s="765" t="s">
        <v>8333</v>
      </c>
      <c r="E737" s="765" t="s">
        <v>6451</v>
      </c>
      <c r="F737" s="253">
        <v>3.0</v>
      </c>
      <c r="G737" s="254">
        <v>126.0</v>
      </c>
      <c r="H737" s="581">
        <f t="shared" si="9"/>
        <v>378</v>
      </c>
      <c r="I737" s="256" t="s">
        <v>43</v>
      </c>
      <c r="J737" s="403" t="s">
        <v>3623</v>
      </c>
      <c r="K737" s="258">
        <v>43055.0</v>
      </c>
      <c r="L737" s="258">
        <v>43055.0</v>
      </c>
      <c r="M737" s="333" t="s">
        <v>3593</v>
      </c>
      <c r="N737" s="310" t="s">
        <v>8334</v>
      </c>
      <c r="O737" s="596"/>
      <c r="P737" s="579">
        <v>11063.0</v>
      </c>
      <c r="Q737" s="320" t="s">
        <v>2080</v>
      </c>
      <c r="R737" s="330"/>
      <c r="S737" s="810">
        <v>43131.0</v>
      </c>
      <c r="T737" s="769">
        <v>43053.0</v>
      </c>
      <c r="U737" s="765" t="s">
        <v>8335</v>
      </c>
      <c r="V737" s="770">
        <v>11063.0</v>
      </c>
      <c r="W737" s="601">
        <v>43138.0</v>
      </c>
      <c r="X737" s="252" t="s">
        <v>8336</v>
      </c>
      <c r="Y737" s="253">
        <v>3.73474248E9</v>
      </c>
      <c r="Z737" s="330"/>
      <c r="AA737" s="330"/>
      <c r="AB737" s="330"/>
      <c r="AC737" s="253" t="s">
        <v>284</v>
      </c>
    </row>
    <row r="738" ht="15.75" customHeight="1">
      <c r="A738" s="764">
        <v>43038.0</v>
      </c>
      <c r="B738" s="765" t="s">
        <v>3506</v>
      </c>
      <c r="C738" s="765" t="s">
        <v>8266</v>
      </c>
      <c r="D738" s="252" t="s">
        <v>8337</v>
      </c>
      <c r="E738" s="252" t="s">
        <v>8338</v>
      </c>
      <c r="F738" s="253">
        <v>50.0</v>
      </c>
      <c r="G738" s="254">
        <v>174.5</v>
      </c>
      <c r="H738" s="581">
        <f t="shared" si="9"/>
        <v>8725</v>
      </c>
      <c r="I738" s="256" t="s">
        <v>171</v>
      </c>
      <c r="J738" s="369" t="s">
        <v>3509</v>
      </c>
      <c r="K738" s="258">
        <v>43062.0</v>
      </c>
      <c r="L738" s="258">
        <v>43054.0</v>
      </c>
      <c r="M738" s="333" t="s">
        <v>3510</v>
      </c>
      <c r="N738" s="310" t="s">
        <v>8339</v>
      </c>
      <c r="O738" s="579">
        <v>8295.0</v>
      </c>
      <c r="P738" s="330"/>
      <c r="Q738" s="320" t="s">
        <v>3512</v>
      </c>
      <c r="R738" s="330"/>
      <c r="S738" s="768">
        <v>43041.0</v>
      </c>
      <c r="T738" s="771">
        <v>43054.0</v>
      </c>
      <c r="U738" s="252" t="s">
        <v>8340</v>
      </c>
      <c r="V738" s="774">
        <v>249804.0</v>
      </c>
      <c r="W738" s="258">
        <v>43041.0</v>
      </c>
      <c r="X738" s="765" t="s">
        <v>8341</v>
      </c>
      <c r="Y738" s="253" t="s">
        <v>8342</v>
      </c>
      <c r="Z738" s="330"/>
      <c r="AA738" s="330"/>
      <c r="AB738" s="330"/>
      <c r="AC738" s="253" t="s">
        <v>284</v>
      </c>
    </row>
    <row r="739" ht="15.75" customHeight="1">
      <c r="A739" s="764">
        <v>43040.0</v>
      </c>
      <c r="B739" s="765" t="s">
        <v>3506</v>
      </c>
      <c r="C739" s="765" t="s">
        <v>8266</v>
      </c>
      <c r="D739" s="252" t="s">
        <v>8343</v>
      </c>
      <c r="E739" s="252" t="s">
        <v>7649</v>
      </c>
      <c r="F739" s="253">
        <v>80.0</v>
      </c>
      <c r="G739" s="325">
        <v>430.0</v>
      </c>
      <c r="H739" s="581">
        <f t="shared" si="9"/>
        <v>34400</v>
      </c>
      <c r="I739" s="256" t="s">
        <v>171</v>
      </c>
      <c r="J739" s="369" t="s">
        <v>3509</v>
      </c>
      <c r="K739" s="258">
        <v>43062.0</v>
      </c>
      <c r="L739" s="258">
        <v>43055.0</v>
      </c>
      <c r="M739" s="333" t="s">
        <v>90</v>
      </c>
      <c r="N739" s="310" t="s">
        <v>8344</v>
      </c>
      <c r="O739" s="579">
        <v>32760.0</v>
      </c>
      <c r="P739" s="330"/>
      <c r="Q739" s="340" t="s">
        <v>94</v>
      </c>
      <c r="R739" s="330"/>
      <c r="S739" s="768">
        <v>43100.0</v>
      </c>
      <c r="T739" s="769">
        <v>43054.0</v>
      </c>
      <c r="U739" s="765" t="s">
        <v>8345</v>
      </c>
      <c r="V739" s="770">
        <v>986567.0</v>
      </c>
      <c r="W739" s="601">
        <v>43110.0</v>
      </c>
      <c r="X739" s="765" t="s">
        <v>8341</v>
      </c>
      <c r="Y739" s="253" t="s">
        <v>8342</v>
      </c>
      <c r="Z739" s="330"/>
      <c r="AA739" s="330"/>
      <c r="AB739" s="330"/>
      <c r="AC739" s="253" t="s">
        <v>284</v>
      </c>
    </row>
    <row r="740" ht="15.75" customHeight="1">
      <c r="A740" s="204">
        <v>43040.0</v>
      </c>
      <c r="B740" s="649" t="s">
        <v>101</v>
      </c>
      <c r="C740" s="148"/>
      <c r="D740" s="93" t="s">
        <v>8346</v>
      </c>
      <c r="E740" s="93" t="s">
        <v>8347</v>
      </c>
      <c r="F740" s="54">
        <v>1.0</v>
      </c>
      <c r="G740" s="1105">
        <v>0.0</v>
      </c>
      <c r="H740" s="36">
        <f t="shared" si="9"/>
        <v>0</v>
      </c>
      <c r="I740" s="27" t="s">
        <v>3474</v>
      </c>
      <c r="J740" s="63" t="s">
        <v>3739</v>
      </c>
      <c r="K740" s="30">
        <v>43053.0</v>
      </c>
      <c r="L740" s="76"/>
      <c r="M740" s="31"/>
      <c r="N740" s="41" t="s">
        <v>8348</v>
      </c>
      <c r="O740" s="85"/>
      <c r="P740" s="150"/>
      <c r="Q740" s="23"/>
      <c r="R740" s="76"/>
      <c r="S740" s="76"/>
      <c r="T740" s="937"/>
      <c r="U740" s="937"/>
      <c r="V740" s="937"/>
      <c r="W740" s="1106"/>
      <c r="X740" s="292" t="s">
        <v>8102</v>
      </c>
      <c r="Y740" s="54">
        <v>3.769292564E9</v>
      </c>
      <c r="Z740" s="76"/>
      <c r="AA740" s="76"/>
      <c r="AB740" s="76"/>
      <c r="AC740" s="76"/>
    </row>
    <row r="741" ht="15.75" customHeight="1">
      <c r="A741" s="204">
        <v>43040.0</v>
      </c>
      <c r="B741" s="649" t="s">
        <v>101</v>
      </c>
      <c r="C741" s="148"/>
      <c r="D741" s="93" t="s">
        <v>8346</v>
      </c>
      <c r="E741" s="93" t="s">
        <v>8349</v>
      </c>
      <c r="F741" s="54">
        <v>1.0</v>
      </c>
      <c r="G741" s="1105">
        <v>0.0</v>
      </c>
      <c r="H741" s="36">
        <f t="shared" si="9"/>
        <v>0</v>
      </c>
      <c r="I741" s="27" t="s">
        <v>3474</v>
      </c>
      <c r="J741" s="63" t="s">
        <v>3739</v>
      </c>
      <c r="K741" s="30">
        <v>43053.0</v>
      </c>
      <c r="L741" s="76"/>
      <c r="M741" s="58"/>
      <c r="N741" s="41" t="s">
        <v>8350</v>
      </c>
      <c r="O741" s="85"/>
      <c r="P741" s="150"/>
      <c r="Q741" s="32"/>
      <c r="R741" s="76"/>
      <c r="S741" s="76"/>
      <c r="T741" s="937"/>
      <c r="U741" s="937"/>
      <c r="V741" s="937"/>
      <c r="W741" s="1106"/>
      <c r="X741" s="292" t="s">
        <v>8102</v>
      </c>
      <c r="Y741" s="54">
        <v>3.769292564E9</v>
      </c>
      <c r="Z741" s="76"/>
      <c r="AA741" s="76"/>
      <c r="AB741" s="76"/>
      <c r="AC741" s="76"/>
    </row>
    <row r="742" ht="15.75" customHeight="1">
      <c r="A742" s="204">
        <v>43040.0</v>
      </c>
      <c r="B742" s="649" t="s">
        <v>101</v>
      </c>
      <c r="C742" s="148"/>
      <c r="D742" s="93" t="s">
        <v>8351</v>
      </c>
      <c r="E742" s="93" t="s">
        <v>8352</v>
      </c>
      <c r="F742" s="54">
        <v>1.0</v>
      </c>
      <c r="G742" s="1105">
        <v>0.0</v>
      </c>
      <c r="H742" s="1107">
        <f t="shared" si="9"/>
        <v>0</v>
      </c>
      <c r="I742" s="27" t="s">
        <v>3474</v>
      </c>
      <c r="J742" s="206" t="s">
        <v>3739</v>
      </c>
      <c r="K742" s="30">
        <v>43053.0</v>
      </c>
      <c r="L742" s="76"/>
      <c r="M742" s="31"/>
      <c r="N742" s="41" t="s">
        <v>8353</v>
      </c>
      <c r="O742" s="85"/>
      <c r="P742" s="150" t="s">
        <v>8354</v>
      </c>
      <c r="Q742" s="32"/>
      <c r="R742" s="76"/>
      <c r="S742" s="76"/>
      <c r="T742" s="937"/>
      <c r="U742" s="937"/>
      <c r="V742" s="937"/>
      <c r="W742" s="1106"/>
      <c r="X742" s="292" t="s">
        <v>8102</v>
      </c>
      <c r="Y742" s="54">
        <v>3.769292564E9</v>
      </c>
      <c r="Z742" s="76"/>
      <c r="AA742" s="76"/>
      <c r="AB742" s="76"/>
      <c r="AC742" s="76"/>
    </row>
    <row r="743" ht="15.75" customHeight="1">
      <c r="A743" s="204">
        <v>43040.0</v>
      </c>
      <c r="B743" s="649" t="s">
        <v>101</v>
      </c>
      <c r="C743" s="148"/>
      <c r="D743" s="93" t="s">
        <v>8355</v>
      </c>
      <c r="E743" s="93" t="s">
        <v>8356</v>
      </c>
      <c r="F743" s="54">
        <v>1.0</v>
      </c>
      <c r="G743" s="1105">
        <v>0.0</v>
      </c>
      <c r="H743" s="36">
        <f t="shared" si="9"/>
        <v>0</v>
      </c>
      <c r="I743" s="27" t="s">
        <v>3474</v>
      </c>
      <c r="J743" s="79" t="s">
        <v>3739</v>
      </c>
      <c r="K743" s="30">
        <v>43053.0</v>
      </c>
      <c r="L743" s="76"/>
      <c r="M743" s="31"/>
      <c r="N743" s="41"/>
      <c r="O743" s="85"/>
      <c r="P743" s="150"/>
      <c r="Q743" s="32"/>
      <c r="R743" s="76"/>
      <c r="S743" s="76"/>
      <c r="T743" s="937"/>
      <c r="U743" s="937"/>
      <c r="V743" s="937"/>
      <c r="W743" s="1106"/>
      <c r="X743" s="292" t="s">
        <v>8102</v>
      </c>
      <c r="Y743" s="54">
        <v>3.769292564E9</v>
      </c>
      <c r="Z743" s="76"/>
      <c r="AA743" s="76"/>
      <c r="AB743" s="76"/>
      <c r="AC743" s="76"/>
    </row>
    <row r="744" ht="15.75" customHeight="1">
      <c r="A744" s="764">
        <v>43042.0</v>
      </c>
      <c r="B744" s="1004" t="s">
        <v>3506</v>
      </c>
      <c r="C744" s="765" t="s">
        <v>8323</v>
      </c>
      <c r="D744" s="252" t="s">
        <v>8357</v>
      </c>
      <c r="E744" s="252" t="s">
        <v>8358</v>
      </c>
      <c r="F744" s="253">
        <v>193.0</v>
      </c>
      <c r="G744" s="254">
        <v>174.5</v>
      </c>
      <c r="H744" s="581">
        <f t="shared" si="9"/>
        <v>33678.5</v>
      </c>
      <c r="I744" s="256" t="s">
        <v>171</v>
      </c>
      <c r="J744" s="269" t="s">
        <v>3509</v>
      </c>
      <c r="K744" s="258">
        <v>43062.0</v>
      </c>
      <c r="L744" s="258">
        <v>43054.0</v>
      </c>
      <c r="M744" s="333" t="s">
        <v>3510</v>
      </c>
      <c r="N744" s="310" t="s">
        <v>8359</v>
      </c>
      <c r="O744" s="814">
        <v>32018.7</v>
      </c>
      <c r="P744" s="600"/>
      <c r="Q744" s="320" t="s">
        <v>3512</v>
      </c>
      <c r="R744" s="330"/>
      <c r="S744" s="330"/>
      <c r="T744" s="771">
        <v>43054.0</v>
      </c>
      <c r="U744" s="252" t="s">
        <v>8360</v>
      </c>
      <c r="V744" s="774">
        <v>964243.0</v>
      </c>
      <c r="W744" s="601">
        <v>43049.0</v>
      </c>
      <c r="X744" s="765" t="s">
        <v>8341</v>
      </c>
      <c r="Y744" s="253" t="s">
        <v>8342</v>
      </c>
      <c r="Z744" s="330"/>
      <c r="AA744" s="330"/>
      <c r="AB744" s="330"/>
      <c r="AC744" s="253" t="s">
        <v>284</v>
      </c>
    </row>
    <row r="745" ht="15.75" customHeight="1">
      <c r="A745" s="764">
        <v>43042.0</v>
      </c>
      <c r="B745" s="1004" t="s">
        <v>3677</v>
      </c>
      <c r="C745" s="778" t="s">
        <v>8361</v>
      </c>
      <c r="D745" s="765" t="s">
        <v>8362</v>
      </c>
      <c r="E745" s="765" t="s">
        <v>8363</v>
      </c>
      <c r="F745" s="253">
        <v>20.0</v>
      </c>
      <c r="G745" s="254">
        <v>135.0</v>
      </c>
      <c r="H745" s="637">
        <f t="shared" si="9"/>
        <v>2700</v>
      </c>
      <c r="I745" s="1063" t="s">
        <v>3474</v>
      </c>
      <c r="J745" s="369" t="s">
        <v>3680</v>
      </c>
      <c r="K745" s="258">
        <v>43048.0</v>
      </c>
      <c r="L745" s="258">
        <v>43046.0</v>
      </c>
      <c r="M745" s="333" t="s">
        <v>90</v>
      </c>
      <c r="N745" s="310" t="s">
        <v>8364</v>
      </c>
      <c r="O745" s="579">
        <v>2688.0</v>
      </c>
      <c r="P745" s="330"/>
      <c r="Q745" s="340" t="s">
        <v>94</v>
      </c>
      <c r="R745" s="330"/>
      <c r="S745" s="768">
        <v>43100.0</v>
      </c>
      <c r="T745" s="769">
        <v>43046.0</v>
      </c>
      <c r="U745" s="765" t="s">
        <v>8365</v>
      </c>
      <c r="V745" s="770">
        <v>81204.0</v>
      </c>
      <c r="W745" s="601">
        <v>43110.0</v>
      </c>
      <c r="X745" s="252" t="s">
        <v>8366</v>
      </c>
      <c r="Y745" s="253">
        <v>7.70706545436E11</v>
      </c>
      <c r="Z745" s="330"/>
      <c r="AA745" s="330"/>
      <c r="AB745" s="330"/>
      <c r="AC745" s="253" t="s">
        <v>284</v>
      </c>
    </row>
    <row r="746" ht="15.75" customHeight="1">
      <c r="A746" s="776">
        <v>43045.0</v>
      </c>
      <c r="B746" s="1004" t="s">
        <v>101</v>
      </c>
      <c r="C746" s="765" t="s">
        <v>8367</v>
      </c>
      <c r="D746" s="252" t="s">
        <v>8368</v>
      </c>
      <c r="E746" s="252" t="s">
        <v>3576</v>
      </c>
      <c r="F746" s="307">
        <v>10.0</v>
      </c>
      <c r="G746" s="254">
        <v>2.0</v>
      </c>
      <c r="H746" s="310">
        <f t="shared" si="9"/>
        <v>20</v>
      </c>
      <c r="I746" s="256" t="s">
        <v>3474</v>
      </c>
      <c r="J746" s="369" t="s">
        <v>3568</v>
      </c>
      <c r="K746" s="258">
        <v>43097.0</v>
      </c>
      <c r="L746" s="266" t="s">
        <v>179</v>
      </c>
      <c r="M746" s="333" t="s">
        <v>6722</v>
      </c>
      <c r="N746" s="252" t="s">
        <v>8101</v>
      </c>
      <c r="O746" s="598"/>
      <c r="P746" s="330"/>
      <c r="Q746" s="597"/>
      <c r="R746" s="330"/>
      <c r="S746" s="330"/>
      <c r="T746" s="766"/>
      <c r="U746" s="766"/>
      <c r="V746" s="766"/>
      <c r="W746" s="1037"/>
      <c r="X746" s="765" t="s">
        <v>8369</v>
      </c>
      <c r="Y746" s="253" t="s">
        <v>8370</v>
      </c>
      <c r="Z746" s="330"/>
      <c r="AA746" s="330"/>
      <c r="AB746" s="330"/>
      <c r="AC746" s="253" t="s">
        <v>284</v>
      </c>
    </row>
    <row r="747" ht="15.75" customHeight="1">
      <c r="A747" s="776">
        <v>43045.0</v>
      </c>
      <c r="B747" s="1004" t="s">
        <v>101</v>
      </c>
      <c r="C747" s="765" t="s">
        <v>8367</v>
      </c>
      <c r="D747" s="252" t="s">
        <v>8371</v>
      </c>
      <c r="E747" s="252" t="s">
        <v>3578</v>
      </c>
      <c r="F747" s="307">
        <v>10.0</v>
      </c>
      <c r="G747" s="254">
        <v>2.5</v>
      </c>
      <c r="H747" s="310">
        <f t="shared" si="9"/>
        <v>25</v>
      </c>
      <c r="I747" s="256" t="s">
        <v>3474</v>
      </c>
      <c r="J747" s="369" t="s">
        <v>3568</v>
      </c>
      <c r="K747" s="258">
        <v>43097.0</v>
      </c>
      <c r="L747" s="266" t="s">
        <v>179</v>
      </c>
      <c r="M747" s="333" t="s">
        <v>6722</v>
      </c>
      <c r="N747" s="252" t="s">
        <v>8104</v>
      </c>
      <c r="O747" s="598"/>
      <c r="P747" s="330"/>
      <c r="Q747" s="597"/>
      <c r="R747" s="330"/>
      <c r="S747" s="330"/>
      <c r="T747" s="766"/>
      <c r="U747" s="766"/>
      <c r="V747" s="766"/>
      <c r="W747" s="1037"/>
      <c r="X747" s="765" t="s">
        <v>8369</v>
      </c>
      <c r="Y747" s="253" t="s">
        <v>8370</v>
      </c>
      <c r="Z747" s="330"/>
      <c r="AA747" s="330"/>
      <c r="AB747" s="330"/>
      <c r="AC747" s="253" t="s">
        <v>284</v>
      </c>
    </row>
    <row r="748" ht="15.75" customHeight="1">
      <c r="A748" s="776">
        <v>43045.0</v>
      </c>
      <c r="B748" s="1004" t="s">
        <v>101</v>
      </c>
      <c r="C748" s="765" t="s">
        <v>8367</v>
      </c>
      <c r="D748" s="252" t="s">
        <v>8372</v>
      </c>
      <c r="E748" s="252" t="s">
        <v>3581</v>
      </c>
      <c r="F748" s="307">
        <v>10.0</v>
      </c>
      <c r="G748" s="254">
        <v>8.0</v>
      </c>
      <c r="H748" s="310">
        <f t="shared" si="9"/>
        <v>80</v>
      </c>
      <c r="I748" s="256" t="s">
        <v>3474</v>
      </c>
      <c r="J748" s="369" t="s">
        <v>3568</v>
      </c>
      <c r="K748" s="258">
        <v>43097.0</v>
      </c>
      <c r="L748" s="266" t="s">
        <v>179</v>
      </c>
      <c r="M748" s="333" t="s">
        <v>6729</v>
      </c>
      <c r="N748" s="600"/>
      <c r="O748" s="598"/>
      <c r="P748" s="330" t="s">
        <v>8373</v>
      </c>
      <c r="Q748" s="597"/>
      <c r="R748" s="330"/>
      <c r="S748" s="330"/>
      <c r="T748" s="766"/>
      <c r="U748" s="766"/>
      <c r="V748" s="766"/>
      <c r="W748" s="1037"/>
      <c r="X748" s="765" t="s">
        <v>8369</v>
      </c>
      <c r="Y748" s="253" t="s">
        <v>8370</v>
      </c>
      <c r="Z748" s="330"/>
      <c r="AA748" s="330"/>
      <c r="AB748" s="330"/>
      <c r="AC748" s="253" t="s">
        <v>284</v>
      </c>
    </row>
    <row r="749" ht="15.75" customHeight="1">
      <c r="A749" s="776">
        <v>43045.0</v>
      </c>
      <c r="B749" s="1004" t="s">
        <v>101</v>
      </c>
      <c r="C749" s="765" t="s">
        <v>8367</v>
      </c>
      <c r="D749" s="252" t="s">
        <v>8374</v>
      </c>
      <c r="E749" s="252" t="s">
        <v>3567</v>
      </c>
      <c r="F749" s="307">
        <v>10.0</v>
      </c>
      <c r="G749" s="254">
        <v>93.0</v>
      </c>
      <c r="H749" s="310">
        <f t="shared" si="9"/>
        <v>930</v>
      </c>
      <c r="I749" s="256" t="s">
        <v>3474</v>
      </c>
      <c r="J749" s="369" t="s">
        <v>3568</v>
      </c>
      <c r="K749" s="258">
        <v>43097.0</v>
      </c>
      <c r="L749" s="258">
        <v>43094.0</v>
      </c>
      <c r="M749" s="333" t="s">
        <v>2034</v>
      </c>
      <c r="N749" s="310" t="s">
        <v>8375</v>
      </c>
      <c r="O749" s="268">
        <v>924.0</v>
      </c>
      <c r="P749" s="310"/>
      <c r="Q749" s="320" t="s">
        <v>2036</v>
      </c>
      <c r="R749" s="310"/>
      <c r="S749" s="768">
        <v>43136.0</v>
      </c>
      <c r="T749" s="769">
        <v>43091.0</v>
      </c>
      <c r="U749" s="765" t="s">
        <v>8376</v>
      </c>
      <c r="V749" s="770">
        <v>92080.0</v>
      </c>
      <c r="W749" s="601">
        <v>43140.0</v>
      </c>
      <c r="X749" s="765" t="s">
        <v>8369</v>
      </c>
      <c r="Y749" s="253" t="s">
        <v>8370</v>
      </c>
      <c r="Z749" s="330"/>
      <c r="AA749" s="330"/>
      <c r="AB749" s="330"/>
      <c r="AC749" s="253" t="s">
        <v>284</v>
      </c>
    </row>
    <row r="750" ht="15.75" customHeight="1">
      <c r="A750" s="776">
        <v>43045.0</v>
      </c>
      <c r="B750" s="1004" t="s">
        <v>101</v>
      </c>
      <c r="C750" s="765" t="s">
        <v>8367</v>
      </c>
      <c r="D750" s="252" t="s">
        <v>8377</v>
      </c>
      <c r="E750" s="252" t="s">
        <v>3573</v>
      </c>
      <c r="F750" s="307">
        <v>10.0</v>
      </c>
      <c r="G750" s="254">
        <v>73.0</v>
      </c>
      <c r="H750" s="310">
        <f t="shared" si="9"/>
        <v>730</v>
      </c>
      <c r="I750" s="256" t="s">
        <v>3474</v>
      </c>
      <c r="J750" s="269" t="s">
        <v>3568</v>
      </c>
      <c r="K750" s="258">
        <v>43097.0</v>
      </c>
      <c r="L750" s="258">
        <v>43094.0</v>
      </c>
      <c r="M750" s="333" t="s">
        <v>2034</v>
      </c>
      <c r="N750" s="310" t="s">
        <v>8375</v>
      </c>
      <c r="O750" s="268">
        <v>724.5</v>
      </c>
      <c r="P750" s="310"/>
      <c r="Q750" s="310" t="s">
        <v>2036</v>
      </c>
      <c r="R750" s="310"/>
      <c r="S750" s="768">
        <v>43136.0</v>
      </c>
      <c r="T750" s="769">
        <v>43091.0</v>
      </c>
      <c r="U750" s="765" t="s">
        <v>8376</v>
      </c>
      <c r="V750" s="765" t="s">
        <v>8378</v>
      </c>
      <c r="W750" s="601">
        <v>43140.0</v>
      </c>
      <c r="X750" s="765" t="s">
        <v>8369</v>
      </c>
      <c r="Y750" s="253" t="s">
        <v>8370</v>
      </c>
      <c r="Z750" s="330"/>
      <c r="AA750" s="330"/>
      <c r="AB750" s="330"/>
      <c r="AC750" s="253" t="s">
        <v>284</v>
      </c>
    </row>
    <row r="751" ht="15.75" customHeight="1">
      <c r="A751" s="776">
        <v>43045.0</v>
      </c>
      <c r="B751" s="1004" t="s">
        <v>101</v>
      </c>
      <c r="C751" s="1004" t="s">
        <v>8367</v>
      </c>
      <c r="D751" s="252" t="s">
        <v>8379</v>
      </c>
      <c r="E751" s="252" t="s">
        <v>3575</v>
      </c>
      <c r="F751" s="1041">
        <v>10.0</v>
      </c>
      <c r="G751" s="254">
        <v>140.0</v>
      </c>
      <c r="H751" s="310">
        <f t="shared" si="9"/>
        <v>1400</v>
      </c>
      <c r="I751" s="256" t="s">
        <v>3474</v>
      </c>
      <c r="J751" s="369" t="s">
        <v>3568</v>
      </c>
      <c r="K751" s="258">
        <v>43097.0</v>
      </c>
      <c r="L751" s="258">
        <v>43094.0</v>
      </c>
      <c r="M751" s="333" t="s">
        <v>2034</v>
      </c>
      <c r="N751" s="310" t="s">
        <v>8375</v>
      </c>
      <c r="O751" s="268">
        <v>1396.5</v>
      </c>
      <c r="P751" s="310"/>
      <c r="Q751" s="320" t="s">
        <v>2036</v>
      </c>
      <c r="R751" s="310"/>
      <c r="S751" s="768">
        <v>43136.0</v>
      </c>
      <c r="T751" s="769">
        <v>43091.0</v>
      </c>
      <c r="U751" s="765" t="s">
        <v>8376</v>
      </c>
      <c r="V751" s="765" t="s">
        <v>8378</v>
      </c>
      <c r="W751" s="601">
        <v>43140.0</v>
      </c>
      <c r="X751" s="765" t="s">
        <v>8369</v>
      </c>
      <c r="Y751" s="253" t="s">
        <v>8370</v>
      </c>
      <c r="Z751" s="330"/>
      <c r="AA751" s="330"/>
      <c r="AB751" s="330"/>
      <c r="AC751" s="253" t="s">
        <v>284</v>
      </c>
    </row>
    <row r="752" ht="15.75" customHeight="1">
      <c r="A752" s="776">
        <v>43045.0</v>
      </c>
      <c r="B752" s="1004" t="s">
        <v>101</v>
      </c>
      <c r="C752" s="765" t="s">
        <v>8367</v>
      </c>
      <c r="D752" s="252" t="s">
        <v>8380</v>
      </c>
      <c r="E752" s="252" t="s">
        <v>3580</v>
      </c>
      <c r="F752" s="307">
        <v>10.0</v>
      </c>
      <c r="G752" s="254">
        <v>4.0</v>
      </c>
      <c r="H752" s="310">
        <f t="shared" si="9"/>
        <v>40</v>
      </c>
      <c r="I752" s="266" t="s">
        <v>3474</v>
      </c>
      <c r="J752" s="369" t="s">
        <v>3568</v>
      </c>
      <c r="K752" s="258">
        <v>43097.0</v>
      </c>
      <c r="L752" s="258">
        <v>43094.0</v>
      </c>
      <c r="M752" s="333" t="s">
        <v>2034</v>
      </c>
      <c r="N752" s="310" t="s">
        <v>8375</v>
      </c>
      <c r="O752" s="268">
        <v>31.5</v>
      </c>
      <c r="P752" s="310"/>
      <c r="Q752" s="320" t="s">
        <v>2036</v>
      </c>
      <c r="R752" s="310"/>
      <c r="S752" s="768">
        <v>43136.0</v>
      </c>
      <c r="T752" s="769">
        <v>43091.0</v>
      </c>
      <c r="U752" s="765" t="s">
        <v>8376</v>
      </c>
      <c r="V752" s="765" t="s">
        <v>8378</v>
      </c>
      <c r="W752" s="601">
        <v>43140.0</v>
      </c>
      <c r="X752" s="765" t="s">
        <v>8369</v>
      </c>
      <c r="Y752" s="253" t="s">
        <v>8370</v>
      </c>
      <c r="Z752" s="330"/>
      <c r="AA752" s="330"/>
      <c r="AB752" s="330"/>
      <c r="AC752" s="253" t="s">
        <v>284</v>
      </c>
    </row>
    <row r="753" ht="15.75" customHeight="1">
      <c r="A753" s="776">
        <v>43045.0</v>
      </c>
      <c r="B753" s="340" t="s">
        <v>54</v>
      </c>
      <c r="C753" s="252" t="s">
        <v>8381</v>
      </c>
      <c r="D753" s="310" t="s">
        <v>8382</v>
      </c>
      <c r="E753" s="310" t="s">
        <v>3793</v>
      </c>
      <c r="F753" s="266">
        <v>2.0</v>
      </c>
      <c r="G753" s="254">
        <v>150.15</v>
      </c>
      <c r="H753" s="581">
        <f t="shared" si="9"/>
        <v>300.3</v>
      </c>
      <c r="I753" s="266" t="s">
        <v>43</v>
      </c>
      <c r="J753" s="253" t="s">
        <v>90</v>
      </c>
      <c r="K753" s="258">
        <v>43073.0</v>
      </c>
      <c r="L753" s="258">
        <v>43073.0</v>
      </c>
      <c r="M753" s="333" t="s">
        <v>90</v>
      </c>
      <c r="N753" s="310" t="s">
        <v>8383</v>
      </c>
      <c r="O753" s="268">
        <v>268.8</v>
      </c>
      <c r="P753" s="600"/>
      <c r="Q753" s="340" t="s">
        <v>94</v>
      </c>
      <c r="R753" s="330"/>
      <c r="S753" s="330"/>
      <c r="T753" s="769">
        <v>43073.0</v>
      </c>
      <c r="U753" s="765" t="s">
        <v>8384</v>
      </c>
      <c r="V753" s="770">
        <v>8048.0</v>
      </c>
      <c r="W753" s="601">
        <v>43110.0</v>
      </c>
      <c r="X753" s="765" t="s">
        <v>8385</v>
      </c>
      <c r="Y753" s="330"/>
      <c r="Z753" s="330" t="s">
        <v>8386</v>
      </c>
      <c r="AA753" s="404">
        <v>9017.0</v>
      </c>
      <c r="AB753" s="330" t="s">
        <v>8387</v>
      </c>
      <c r="AC753" s="253" t="s">
        <v>377</v>
      </c>
    </row>
    <row r="754" ht="15.75" customHeight="1">
      <c r="A754" s="764">
        <v>43045.0</v>
      </c>
      <c r="B754" s="1004" t="s">
        <v>229</v>
      </c>
      <c r="C754" s="765"/>
      <c r="D754" s="252" t="s">
        <v>8388</v>
      </c>
      <c r="E754" s="252" t="s">
        <v>4814</v>
      </c>
      <c r="F754" s="253">
        <v>5.0</v>
      </c>
      <c r="G754" s="338">
        <v>21.0</v>
      </c>
      <c r="H754" s="581">
        <f t="shared" si="9"/>
        <v>105</v>
      </c>
      <c r="I754" s="266" t="s">
        <v>171</v>
      </c>
      <c r="J754" s="253" t="s">
        <v>233</v>
      </c>
      <c r="K754" s="258">
        <v>43052.0</v>
      </c>
      <c r="L754" s="258">
        <v>43052.0</v>
      </c>
      <c r="M754" s="333" t="s">
        <v>90</v>
      </c>
      <c r="N754" s="310" t="s">
        <v>8389</v>
      </c>
      <c r="O754" s="875">
        <v>88.725</v>
      </c>
      <c r="P754" s="330"/>
      <c r="Q754" s="340" t="s">
        <v>94</v>
      </c>
      <c r="R754" s="330"/>
      <c r="S754" s="330"/>
      <c r="T754" s="769">
        <v>43052.0</v>
      </c>
      <c r="U754" s="765" t="s">
        <v>8390</v>
      </c>
      <c r="V754" s="770">
        <v>2672.0</v>
      </c>
      <c r="W754" s="601">
        <v>43110.0</v>
      </c>
      <c r="X754" s="252" t="s">
        <v>8391</v>
      </c>
      <c r="Y754" s="330"/>
      <c r="Z754" s="765" t="s">
        <v>8392</v>
      </c>
      <c r="AA754" s="262">
        <v>3170.0</v>
      </c>
      <c r="AB754" s="330" t="s">
        <v>5809</v>
      </c>
      <c r="AC754" s="253" t="s">
        <v>377</v>
      </c>
    </row>
    <row r="755" ht="15.75" customHeight="1">
      <c r="A755" s="764">
        <v>43045.0</v>
      </c>
      <c r="B755" s="1004" t="s">
        <v>579</v>
      </c>
      <c r="C755" s="765">
        <v>2.0171106001E10</v>
      </c>
      <c r="D755" s="252" t="s">
        <v>8393</v>
      </c>
      <c r="E755" s="252" t="s">
        <v>581</v>
      </c>
      <c r="F755" s="253">
        <v>1.0</v>
      </c>
      <c r="G755" s="254">
        <v>96.6</v>
      </c>
      <c r="H755" s="581">
        <f t="shared" si="9"/>
        <v>96.6</v>
      </c>
      <c r="I755" s="266" t="s">
        <v>171</v>
      </c>
      <c r="J755" s="253" t="s">
        <v>582</v>
      </c>
      <c r="K755" s="258">
        <v>43048.0</v>
      </c>
      <c r="L755" s="258">
        <v>43046.0</v>
      </c>
      <c r="M755" s="333" t="s">
        <v>1439</v>
      </c>
      <c r="N755" s="310" t="s">
        <v>8394</v>
      </c>
      <c r="O755" s="598"/>
      <c r="P755" s="637">
        <v>2537.0</v>
      </c>
      <c r="Q755" s="320" t="s">
        <v>1976</v>
      </c>
      <c r="R755" s="330"/>
      <c r="S755" s="810">
        <v>43098.0</v>
      </c>
      <c r="T755" s="769">
        <v>43046.0</v>
      </c>
      <c r="U755" s="252" t="s">
        <v>8395</v>
      </c>
      <c r="V755" s="774">
        <v>2537.0</v>
      </c>
      <c r="W755" s="601">
        <v>43105.0</v>
      </c>
      <c r="X755" s="765" t="s">
        <v>8396</v>
      </c>
      <c r="Y755" s="330"/>
      <c r="Z755" s="330" t="s">
        <v>3700</v>
      </c>
      <c r="AA755" s="262">
        <v>2946.0</v>
      </c>
      <c r="AB755" s="330" t="s">
        <v>8322</v>
      </c>
      <c r="AC755" s="253" t="s">
        <v>377</v>
      </c>
    </row>
    <row r="756" ht="15.75" customHeight="1">
      <c r="A756" s="764">
        <v>43046.0</v>
      </c>
      <c r="B756" s="1004" t="s">
        <v>579</v>
      </c>
      <c r="C756" s="765">
        <v>2.0171107001E10</v>
      </c>
      <c r="D756" s="252" t="s">
        <v>8397</v>
      </c>
      <c r="E756" s="252" t="s">
        <v>581</v>
      </c>
      <c r="F756" s="253">
        <v>1.0</v>
      </c>
      <c r="G756" s="254">
        <v>96.6</v>
      </c>
      <c r="H756" s="581">
        <f t="shared" si="9"/>
        <v>96.6</v>
      </c>
      <c r="I756" s="266" t="s">
        <v>171</v>
      </c>
      <c r="J756" s="253" t="s">
        <v>582</v>
      </c>
      <c r="K756" s="258">
        <v>43049.0</v>
      </c>
      <c r="L756" s="258">
        <v>43047.0</v>
      </c>
      <c r="M756" s="333" t="s">
        <v>1439</v>
      </c>
      <c r="N756" s="310" t="s">
        <v>8398</v>
      </c>
      <c r="O756" s="598"/>
      <c r="P756" s="637">
        <v>2537.0</v>
      </c>
      <c r="Q756" s="320" t="s">
        <v>1976</v>
      </c>
      <c r="R756" s="330"/>
      <c r="S756" s="810">
        <v>43098.0</v>
      </c>
      <c r="T756" s="771">
        <v>43047.0</v>
      </c>
      <c r="U756" s="252" t="s">
        <v>8399</v>
      </c>
      <c r="V756" s="774">
        <v>2537.0</v>
      </c>
      <c r="W756" s="601">
        <v>43105.0</v>
      </c>
      <c r="X756" s="765" t="s">
        <v>8400</v>
      </c>
      <c r="Y756" s="330"/>
      <c r="Z756" s="330" t="s">
        <v>3700</v>
      </c>
      <c r="AA756" s="262">
        <v>2946.0</v>
      </c>
      <c r="AB756" s="330" t="s">
        <v>5709</v>
      </c>
      <c r="AC756" s="253" t="s">
        <v>377</v>
      </c>
    </row>
    <row r="757" ht="15.75" customHeight="1">
      <c r="A757" s="764">
        <v>43047.0</v>
      </c>
      <c r="B757" s="1004" t="s">
        <v>3677</v>
      </c>
      <c r="C757" s="765">
        <v>300165.0</v>
      </c>
      <c r="D757" s="252" t="s">
        <v>8401</v>
      </c>
      <c r="E757" s="252" t="s">
        <v>8402</v>
      </c>
      <c r="F757" s="253">
        <v>20.0</v>
      </c>
      <c r="G757" s="254">
        <v>55.0</v>
      </c>
      <c r="H757" s="581">
        <f t="shared" si="9"/>
        <v>1100</v>
      </c>
      <c r="I757" s="1031" t="s">
        <v>3474</v>
      </c>
      <c r="J757" s="369" t="s">
        <v>3680</v>
      </c>
      <c r="K757" s="258">
        <v>43059.0</v>
      </c>
      <c r="L757" s="258">
        <v>43055.0</v>
      </c>
      <c r="M757" s="333" t="s">
        <v>90</v>
      </c>
      <c r="N757" s="310" t="s">
        <v>8403</v>
      </c>
      <c r="O757" s="268">
        <v>1008.0</v>
      </c>
      <c r="P757" s="330"/>
      <c r="Q757" s="340" t="s">
        <v>94</v>
      </c>
      <c r="R757" s="330"/>
      <c r="S757" s="330"/>
      <c r="T757" s="769">
        <v>43055.0</v>
      </c>
      <c r="U757" s="765" t="s">
        <v>8404</v>
      </c>
      <c r="V757" s="770">
        <v>53755.0</v>
      </c>
      <c r="W757" s="601">
        <v>43110.0</v>
      </c>
      <c r="X757" s="765" t="s">
        <v>8405</v>
      </c>
      <c r="Y757" s="253">
        <v>7.70786503518E11</v>
      </c>
      <c r="Z757" s="330"/>
      <c r="AA757" s="330"/>
      <c r="AB757" s="330"/>
      <c r="AC757" s="253" t="s">
        <v>284</v>
      </c>
    </row>
    <row r="758" ht="15.75" customHeight="1">
      <c r="A758" s="764">
        <v>43047.0</v>
      </c>
      <c r="B758" s="1004" t="s">
        <v>3677</v>
      </c>
      <c r="C758" s="765">
        <v>300165.0</v>
      </c>
      <c r="D758" s="252" t="s">
        <v>8401</v>
      </c>
      <c r="E758" s="252" t="s">
        <v>4467</v>
      </c>
      <c r="F758" s="253">
        <v>10.0</v>
      </c>
      <c r="G758" s="254">
        <v>82.0</v>
      </c>
      <c r="H758" s="581">
        <f t="shared" si="9"/>
        <v>820</v>
      </c>
      <c r="I758" s="1031" t="s">
        <v>3474</v>
      </c>
      <c r="J758" s="369" t="s">
        <v>3680</v>
      </c>
      <c r="K758" s="258">
        <v>43059.0</v>
      </c>
      <c r="L758" s="258">
        <v>43055.0</v>
      </c>
      <c r="M758" s="333" t="s">
        <v>90</v>
      </c>
      <c r="N758" s="310" t="s">
        <v>8403</v>
      </c>
      <c r="O758" s="268">
        <v>777.0</v>
      </c>
      <c r="P758" s="330"/>
      <c r="Q758" s="340" t="s">
        <v>94</v>
      </c>
      <c r="R758" s="330"/>
      <c r="S758" s="330"/>
      <c r="T758" s="769">
        <v>43055.0</v>
      </c>
      <c r="U758" s="765" t="s">
        <v>8404</v>
      </c>
      <c r="V758" s="765" t="s">
        <v>8406</v>
      </c>
      <c r="W758" s="601">
        <v>43110.0</v>
      </c>
      <c r="X758" s="765" t="s">
        <v>8405</v>
      </c>
      <c r="Y758" s="253">
        <v>7.70786503518E11</v>
      </c>
      <c r="Z758" s="330"/>
      <c r="AA758" s="330"/>
      <c r="AB758" s="330"/>
      <c r="AC758" s="253" t="s">
        <v>284</v>
      </c>
    </row>
    <row r="759" ht="15.75" customHeight="1">
      <c r="A759" s="764">
        <v>43049.0</v>
      </c>
      <c r="B759" s="1004" t="s">
        <v>77</v>
      </c>
      <c r="C759" s="765">
        <v>904.0</v>
      </c>
      <c r="D759" s="252" t="s">
        <v>8407</v>
      </c>
      <c r="E759" s="252" t="s">
        <v>3541</v>
      </c>
      <c r="F759" s="307">
        <v>10.0</v>
      </c>
      <c r="G759" s="254">
        <v>285.0</v>
      </c>
      <c r="H759" s="310">
        <f t="shared" si="9"/>
        <v>2850</v>
      </c>
      <c r="I759" s="256" t="s">
        <v>43</v>
      </c>
      <c r="J759" s="369" t="s">
        <v>316</v>
      </c>
      <c r="K759" s="258">
        <v>43062.0</v>
      </c>
      <c r="L759" s="258">
        <v>43062.0</v>
      </c>
      <c r="M759" s="333" t="s">
        <v>1998</v>
      </c>
      <c r="N759" s="310" t="s">
        <v>8408</v>
      </c>
      <c r="O759" s="268">
        <v>2625.0</v>
      </c>
      <c r="P759" s="330"/>
      <c r="Q759" s="320" t="s">
        <v>2000</v>
      </c>
      <c r="R759" s="330"/>
      <c r="S759" s="768">
        <v>43130.0</v>
      </c>
      <c r="T759" s="769">
        <v>43060.0</v>
      </c>
      <c r="U759" s="765" t="s">
        <v>8409</v>
      </c>
      <c r="V759" s="770">
        <v>78986.0</v>
      </c>
      <c r="W759" s="601">
        <v>43140.0</v>
      </c>
      <c r="X759" s="252" t="s">
        <v>8410</v>
      </c>
      <c r="Y759" s="253">
        <v>1.7337432E8</v>
      </c>
      <c r="Z759" s="330"/>
      <c r="AA759" s="330"/>
      <c r="AB759" s="330"/>
      <c r="AC759" s="253" t="s">
        <v>284</v>
      </c>
    </row>
    <row r="760" ht="15.75" customHeight="1">
      <c r="A760" s="776">
        <v>43054.0</v>
      </c>
      <c r="B760" s="340" t="s">
        <v>77</v>
      </c>
      <c r="C760" s="252">
        <v>960.0</v>
      </c>
      <c r="D760" s="310" t="s">
        <v>8411</v>
      </c>
      <c r="E760" s="310" t="s">
        <v>720</v>
      </c>
      <c r="F760" s="266">
        <v>50.0</v>
      </c>
      <c r="G760" s="267">
        <v>1.9</v>
      </c>
      <c r="H760" s="581">
        <f t="shared" si="9"/>
        <v>95</v>
      </c>
      <c r="I760" s="256" t="s">
        <v>43</v>
      </c>
      <c r="J760" s="369" t="s">
        <v>316</v>
      </c>
      <c r="K760" s="258">
        <v>43062.0</v>
      </c>
      <c r="L760" s="266" t="s">
        <v>179</v>
      </c>
      <c r="M760" s="333" t="s">
        <v>3769</v>
      </c>
      <c r="N760" s="310" t="s">
        <v>8412</v>
      </c>
      <c r="O760" s="598"/>
      <c r="P760" s="330"/>
      <c r="Q760" s="388" t="s">
        <v>2131</v>
      </c>
      <c r="R760" s="330"/>
      <c r="S760" s="330"/>
      <c r="T760" s="766"/>
      <c r="U760" s="766"/>
      <c r="V760" s="766"/>
      <c r="W760" s="1037"/>
      <c r="X760" s="252" t="s">
        <v>8410</v>
      </c>
      <c r="Y760" s="253">
        <v>1.7337432E8</v>
      </c>
      <c r="Z760" s="330"/>
      <c r="AA760" s="330"/>
      <c r="AB760" s="330"/>
      <c r="AC760" s="253" t="s">
        <v>284</v>
      </c>
    </row>
    <row r="761" ht="15.75" customHeight="1">
      <c r="A761" s="764">
        <v>43054.0</v>
      </c>
      <c r="B761" s="597" t="s">
        <v>7314</v>
      </c>
      <c r="C761" s="765">
        <v>7.000134056E9</v>
      </c>
      <c r="D761" s="765" t="s">
        <v>8413</v>
      </c>
      <c r="E761" s="765" t="s">
        <v>3727</v>
      </c>
      <c r="F761" s="253">
        <v>1.0</v>
      </c>
      <c r="G761" s="254">
        <v>55.0</v>
      </c>
      <c r="H761" s="310">
        <f t="shared" si="9"/>
        <v>55</v>
      </c>
      <c r="I761" s="256" t="s">
        <v>43</v>
      </c>
      <c r="J761" s="403" t="s">
        <v>3623</v>
      </c>
      <c r="K761" s="258">
        <v>43060.0</v>
      </c>
      <c r="L761" s="258">
        <v>43059.0</v>
      </c>
      <c r="M761" s="333" t="s">
        <v>3593</v>
      </c>
      <c r="N761" s="310" t="s">
        <v>8414</v>
      </c>
      <c r="O761" s="598"/>
      <c r="P761" s="579">
        <v>1638.0</v>
      </c>
      <c r="Q761" s="320" t="s">
        <v>2080</v>
      </c>
      <c r="R761" s="330"/>
      <c r="S761" s="810">
        <v>43131.0</v>
      </c>
      <c r="T761" s="769">
        <v>43056.0</v>
      </c>
      <c r="U761" s="765" t="s">
        <v>8415</v>
      </c>
      <c r="V761" s="770">
        <v>10201.0</v>
      </c>
      <c r="W761" s="601">
        <v>43138.0</v>
      </c>
      <c r="X761" s="765" t="s">
        <v>8416</v>
      </c>
      <c r="Y761" s="253">
        <v>7.11204935E9</v>
      </c>
      <c r="Z761" s="330"/>
      <c r="AA761" s="330"/>
      <c r="AB761" s="330"/>
      <c r="AC761" s="253" t="s">
        <v>284</v>
      </c>
    </row>
    <row r="762" ht="15.75" customHeight="1">
      <c r="A762" s="764">
        <v>43054.0</v>
      </c>
      <c r="B762" s="597" t="s">
        <v>7314</v>
      </c>
      <c r="C762" s="765">
        <v>7.000134056E9</v>
      </c>
      <c r="D762" s="765" t="s">
        <v>8413</v>
      </c>
      <c r="E762" s="765" t="s">
        <v>3726</v>
      </c>
      <c r="F762" s="253">
        <v>1.0</v>
      </c>
      <c r="G762" s="254">
        <v>250.0</v>
      </c>
      <c r="H762" s="581">
        <f t="shared" si="9"/>
        <v>250</v>
      </c>
      <c r="I762" s="256" t="s">
        <v>43</v>
      </c>
      <c r="J762" s="403" t="s">
        <v>3623</v>
      </c>
      <c r="K762" s="258">
        <v>43060.0</v>
      </c>
      <c r="L762" s="258">
        <v>43059.0</v>
      </c>
      <c r="M762" s="333" t="s">
        <v>3593</v>
      </c>
      <c r="N762" s="310" t="s">
        <v>8414</v>
      </c>
      <c r="O762" s="598"/>
      <c r="P762" s="579">
        <v>7123.0</v>
      </c>
      <c r="Q762" s="320" t="s">
        <v>2080</v>
      </c>
      <c r="R762" s="330"/>
      <c r="S762" s="810">
        <v>43131.0</v>
      </c>
      <c r="T762" s="769">
        <v>43056.0</v>
      </c>
      <c r="U762" s="765" t="s">
        <v>8415</v>
      </c>
      <c r="V762" s="770" t="s">
        <v>8417</v>
      </c>
      <c r="W762" s="601">
        <v>43138.0</v>
      </c>
      <c r="X762" s="765" t="s">
        <v>8416</v>
      </c>
      <c r="Y762" s="253">
        <v>7.11204935E9</v>
      </c>
      <c r="Z762" s="330"/>
      <c r="AA762" s="330"/>
      <c r="AB762" s="330"/>
      <c r="AC762" s="253" t="s">
        <v>284</v>
      </c>
    </row>
    <row r="763" ht="15.75" customHeight="1">
      <c r="A763" s="764">
        <v>43054.0</v>
      </c>
      <c r="B763" s="597" t="s">
        <v>7314</v>
      </c>
      <c r="C763" s="765">
        <v>7.000134056E9</v>
      </c>
      <c r="D763" s="765" t="s">
        <v>8413</v>
      </c>
      <c r="E763" s="765" t="s">
        <v>3728</v>
      </c>
      <c r="F763" s="253">
        <v>1.0</v>
      </c>
      <c r="G763" s="254">
        <v>39.0</v>
      </c>
      <c r="H763" s="581">
        <f t="shared" si="9"/>
        <v>39</v>
      </c>
      <c r="I763" s="256" t="s">
        <v>43</v>
      </c>
      <c r="J763" s="403" t="s">
        <v>3623</v>
      </c>
      <c r="K763" s="258">
        <v>43060.0</v>
      </c>
      <c r="L763" s="258">
        <v>43059.0</v>
      </c>
      <c r="M763" s="333" t="s">
        <v>3593</v>
      </c>
      <c r="N763" s="310" t="s">
        <v>8414</v>
      </c>
      <c r="O763" s="598"/>
      <c r="P763" s="579">
        <v>1094.0</v>
      </c>
      <c r="Q763" s="320" t="s">
        <v>2080</v>
      </c>
      <c r="R763" s="330"/>
      <c r="S763" s="810">
        <v>43131.0</v>
      </c>
      <c r="T763" s="769">
        <v>43056.0</v>
      </c>
      <c r="U763" s="765" t="s">
        <v>8415</v>
      </c>
      <c r="V763" s="770" t="s">
        <v>8417</v>
      </c>
      <c r="W763" s="601">
        <v>43138.0</v>
      </c>
      <c r="X763" s="765" t="s">
        <v>8416</v>
      </c>
      <c r="Y763" s="253">
        <v>7.11204935E9</v>
      </c>
      <c r="Z763" s="330"/>
      <c r="AA763" s="330"/>
      <c r="AB763" s="330"/>
      <c r="AC763" s="253" t="s">
        <v>284</v>
      </c>
    </row>
    <row r="764" ht="15.75" customHeight="1">
      <c r="A764" s="764">
        <v>43054.0</v>
      </c>
      <c r="B764" s="597" t="s">
        <v>7314</v>
      </c>
      <c r="C764" s="765">
        <v>7.000134056E9</v>
      </c>
      <c r="D764" s="765" t="s">
        <v>8413</v>
      </c>
      <c r="E764" s="765" t="s">
        <v>3720</v>
      </c>
      <c r="F764" s="253">
        <v>1.0</v>
      </c>
      <c r="G764" s="254">
        <v>5.0</v>
      </c>
      <c r="H764" s="581">
        <f t="shared" si="9"/>
        <v>5</v>
      </c>
      <c r="I764" s="256" t="s">
        <v>43</v>
      </c>
      <c r="J764" s="403" t="s">
        <v>3623</v>
      </c>
      <c r="K764" s="258">
        <v>43060.0</v>
      </c>
      <c r="L764" s="258">
        <v>43059.0</v>
      </c>
      <c r="M764" s="403" t="s">
        <v>3593</v>
      </c>
      <c r="N764" s="310" t="s">
        <v>8414</v>
      </c>
      <c r="O764" s="598"/>
      <c r="P764" s="579">
        <v>142.0</v>
      </c>
      <c r="Q764" s="310" t="s">
        <v>2080</v>
      </c>
      <c r="R764" s="330"/>
      <c r="S764" s="810">
        <v>43131.0</v>
      </c>
      <c r="T764" s="769">
        <v>43056.0</v>
      </c>
      <c r="U764" s="765" t="s">
        <v>8415</v>
      </c>
      <c r="V764" s="770" t="s">
        <v>8417</v>
      </c>
      <c r="W764" s="601">
        <v>43138.0</v>
      </c>
      <c r="X764" s="765" t="s">
        <v>8416</v>
      </c>
      <c r="Y764" s="253">
        <v>7.11204935E9</v>
      </c>
      <c r="Z764" s="330"/>
      <c r="AA764" s="330"/>
      <c r="AB764" s="330"/>
      <c r="AC764" s="253" t="s">
        <v>284</v>
      </c>
    </row>
    <row r="765" ht="15.75" customHeight="1">
      <c r="A765" s="764">
        <v>43054.0</v>
      </c>
      <c r="B765" s="597" t="s">
        <v>7314</v>
      </c>
      <c r="C765" s="765">
        <v>7.000134056E9</v>
      </c>
      <c r="D765" s="765" t="s">
        <v>8413</v>
      </c>
      <c r="E765" s="765" t="s">
        <v>3724</v>
      </c>
      <c r="F765" s="253">
        <v>1.0</v>
      </c>
      <c r="G765" s="254">
        <v>8.5</v>
      </c>
      <c r="H765" s="581">
        <f t="shared" si="9"/>
        <v>8.5</v>
      </c>
      <c r="I765" s="256" t="s">
        <v>43</v>
      </c>
      <c r="J765" s="777" t="s">
        <v>3623</v>
      </c>
      <c r="K765" s="258">
        <v>43060.0</v>
      </c>
      <c r="L765" s="258">
        <v>43059.0</v>
      </c>
      <c r="M765" s="333" t="s">
        <v>3593</v>
      </c>
      <c r="N765" s="310" t="s">
        <v>8414</v>
      </c>
      <c r="O765" s="598"/>
      <c r="P765" s="579">
        <v>204.0</v>
      </c>
      <c r="Q765" s="310" t="s">
        <v>2080</v>
      </c>
      <c r="R765" s="330"/>
      <c r="S765" s="810">
        <v>43131.0</v>
      </c>
      <c r="T765" s="769">
        <v>43056.0</v>
      </c>
      <c r="U765" s="765" t="s">
        <v>8415</v>
      </c>
      <c r="V765" s="770" t="s">
        <v>8417</v>
      </c>
      <c r="W765" s="601">
        <v>43138.0</v>
      </c>
      <c r="X765" s="765" t="s">
        <v>8416</v>
      </c>
      <c r="Y765" s="253">
        <v>7.11204935E9</v>
      </c>
      <c r="Z765" s="330"/>
      <c r="AA765" s="330"/>
      <c r="AB765" s="330"/>
      <c r="AC765" s="253" t="s">
        <v>284</v>
      </c>
    </row>
    <row r="766" ht="15.75" customHeight="1">
      <c r="A766" s="764">
        <v>43056.0</v>
      </c>
      <c r="B766" s="1004" t="s">
        <v>631</v>
      </c>
      <c r="C766" s="765" t="s">
        <v>8418</v>
      </c>
      <c r="D766" s="252" t="s">
        <v>8419</v>
      </c>
      <c r="E766" s="252" t="s">
        <v>6457</v>
      </c>
      <c r="F766" s="253">
        <v>1.0</v>
      </c>
      <c r="G766" s="267">
        <v>220.5</v>
      </c>
      <c r="H766" s="846">
        <f t="shared" si="9"/>
        <v>220.5</v>
      </c>
      <c r="I766" s="256" t="s">
        <v>171</v>
      </c>
      <c r="J766" s="363" t="s">
        <v>1324</v>
      </c>
      <c r="K766" s="258">
        <v>43059.0</v>
      </c>
      <c r="L766" s="258">
        <v>43056.0</v>
      </c>
      <c r="M766" s="256" t="s">
        <v>2263</v>
      </c>
      <c r="N766" s="310" t="s">
        <v>8420</v>
      </c>
      <c r="O766" s="598"/>
      <c r="P766" s="579">
        <v>5093.0</v>
      </c>
      <c r="Q766" s="578" t="s">
        <v>2265</v>
      </c>
      <c r="R766" s="330"/>
      <c r="S766" s="581" t="s">
        <v>422</v>
      </c>
      <c r="T766" s="769">
        <v>43059.0</v>
      </c>
      <c r="U766" s="769" t="s">
        <v>8421</v>
      </c>
      <c r="V766" s="774">
        <v>5093.0</v>
      </c>
      <c r="W766" s="601">
        <v>43074.0</v>
      </c>
      <c r="X766" s="765" t="s">
        <v>8422</v>
      </c>
      <c r="Y766" s="330" t="s">
        <v>8423</v>
      </c>
      <c r="Z766" s="604" t="s">
        <v>8424</v>
      </c>
      <c r="AA766" s="262">
        <v>6636.0</v>
      </c>
      <c r="AB766" s="330" t="s">
        <v>8425</v>
      </c>
      <c r="AC766" s="253" t="s">
        <v>377</v>
      </c>
    </row>
    <row r="767" ht="15.75" customHeight="1">
      <c r="A767" s="776">
        <v>43056.0</v>
      </c>
      <c r="B767" s="388" t="s">
        <v>6919</v>
      </c>
      <c r="C767" s="330" t="s">
        <v>8426</v>
      </c>
      <c r="D767" s="310" t="s">
        <v>8427</v>
      </c>
      <c r="E767" s="310" t="s">
        <v>6066</v>
      </c>
      <c r="F767" s="307">
        <v>8.0</v>
      </c>
      <c r="G767" s="267">
        <v>3587.0</v>
      </c>
      <c r="H767" s="255">
        <f t="shared" si="9"/>
        <v>28696</v>
      </c>
      <c r="I767" s="256" t="s">
        <v>171</v>
      </c>
      <c r="J767" s="1056" t="s">
        <v>1324</v>
      </c>
      <c r="K767" s="258">
        <v>43094.0</v>
      </c>
      <c r="L767" s="330"/>
      <c r="M767" s="592"/>
      <c r="N767" s="310" t="s">
        <v>8428</v>
      </c>
      <c r="O767" s="339"/>
      <c r="P767" s="330"/>
      <c r="Q767" s="330"/>
      <c r="R767" s="330"/>
      <c r="S767" s="330"/>
      <c r="T767" s="902"/>
      <c r="U767" s="902"/>
      <c r="V767" s="902"/>
      <c r="W767" s="330"/>
      <c r="X767" s="330" t="s">
        <v>8429</v>
      </c>
      <c r="Y767" s="330" t="s">
        <v>8430</v>
      </c>
      <c r="Z767" s="330"/>
      <c r="AA767" s="1108">
        <v>2964255.0</v>
      </c>
      <c r="AB767" s="330"/>
      <c r="AC767" s="253" t="s">
        <v>377</v>
      </c>
    </row>
    <row r="768" ht="15.75" customHeight="1">
      <c r="A768" s="776">
        <v>43056.0</v>
      </c>
      <c r="B768" s="388" t="s">
        <v>6919</v>
      </c>
      <c r="C768" s="330" t="s">
        <v>8426</v>
      </c>
      <c r="D768" s="310" t="s">
        <v>8427</v>
      </c>
      <c r="E768" s="310" t="s">
        <v>6071</v>
      </c>
      <c r="F768" s="307">
        <v>8.0</v>
      </c>
      <c r="G768" s="267">
        <v>100.5</v>
      </c>
      <c r="H768" s="255">
        <f t="shared" si="9"/>
        <v>804</v>
      </c>
      <c r="I768" s="256" t="s">
        <v>171</v>
      </c>
      <c r="J768" s="1056" t="s">
        <v>1324</v>
      </c>
      <c r="K768" s="258">
        <v>43094.0</v>
      </c>
      <c r="L768" s="330"/>
      <c r="M768" s="592"/>
      <c r="N768" s="310" t="s">
        <v>8428</v>
      </c>
      <c r="O768" s="339"/>
      <c r="P768" s="330"/>
      <c r="Q768" s="330"/>
      <c r="R768" s="330"/>
      <c r="S768" s="330"/>
      <c r="T768" s="902"/>
      <c r="U768" s="902"/>
      <c r="V768" s="902"/>
      <c r="W768" s="330"/>
      <c r="X768" s="330" t="s">
        <v>8429</v>
      </c>
      <c r="Y768" s="330" t="s">
        <v>8430</v>
      </c>
      <c r="Z768" s="330"/>
      <c r="AA768" s="331" t="s">
        <v>8431</v>
      </c>
      <c r="AB768" s="330"/>
      <c r="AC768" s="253" t="s">
        <v>377</v>
      </c>
    </row>
    <row r="769" ht="15.75" customHeight="1">
      <c r="A769" s="776">
        <v>43056.0</v>
      </c>
      <c r="B769" s="388" t="s">
        <v>6919</v>
      </c>
      <c r="C769" s="330" t="s">
        <v>8426</v>
      </c>
      <c r="D769" s="310" t="s">
        <v>8427</v>
      </c>
      <c r="E769" s="310" t="s">
        <v>6072</v>
      </c>
      <c r="F769" s="307">
        <v>8.0</v>
      </c>
      <c r="G769" s="268">
        <v>74.2</v>
      </c>
      <c r="H769" s="255">
        <f t="shared" si="9"/>
        <v>593.6</v>
      </c>
      <c r="I769" s="256" t="s">
        <v>171</v>
      </c>
      <c r="J769" s="1056" t="s">
        <v>1324</v>
      </c>
      <c r="K769" s="258">
        <v>43094.0</v>
      </c>
      <c r="L769" s="330"/>
      <c r="M769" s="592"/>
      <c r="N769" s="310" t="s">
        <v>8428</v>
      </c>
      <c r="O769" s="339"/>
      <c r="P769" s="330"/>
      <c r="Q769" s="330"/>
      <c r="R769" s="330"/>
      <c r="S769" s="330"/>
      <c r="T769" s="902"/>
      <c r="U769" s="902"/>
      <c r="V769" s="902"/>
      <c r="W769" s="330"/>
      <c r="X769" s="330" t="s">
        <v>8429</v>
      </c>
      <c r="Y769" s="330" t="s">
        <v>8430</v>
      </c>
      <c r="Z769" s="330"/>
      <c r="AA769" s="331" t="s">
        <v>8431</v>
      </c>
      <c r="AB769" s="330"/>
      <c r="AC769" s="253" t="s">
        <v>377</v>
      </c>
    </row>
    <row r="770" ht="15.75" customHeight="1">
      <c r="A770" s="776">
        <v>43056.0</v>
      </c>
      <c r="B770" s="388" t="s">
        <v>6919</v>
      </c>
      <c r="C770" s="388" t="s">
        <v>8426</v>
      </c>
      <c r="D770" s="320" t="s">
        <v>8427</v>
      </c>
      <c r="E770" s="320" t="s">
        <v>6074</v>
      </c>
      <c r="F770" s="1041">
        <v>8.0</v>
      </c>
      <c r="G770" s="466">
        <v>1575.0</v>
      </c>
      <c r="H770" s="255">
        <f t="shared" si="9"/>
        <v>12600</v>
      </c>
      <c r="I770" s="256" t="s">
        <v>171</v>
      </c>
      <c r="J770" s="253" t="s">
        <v>1324</v>
      </c>
      <c r="K770" s="258">
        <v>43094.0</v>
      </c>
      <c r="L770" s="330"/>
      <c r="M770" s="592"/>
      <c r="N770" s="310" t="s">
        <v>8428</v>
      </c>
      <c r="O770" s="339"/>
      <c r="P770" s="330"/>
      <c r="Q770" s="388"/>
      <c r="R770" s="330"/>
      <c r="S770" s="330"/>
      <c r="T770" s="902"/>
      <c r="U770" s="902"/>
      <c r="V770" s="902"/>
      <c r="W770" s="330"/>
      <c r="X770" s="330" t="s">
        <v>8429</v>
      </c>
      <c r="Y770" s="330" t="s">
        <v>8430</v>
      </c>
      <c r="Z770" s="330"/>
      <c r="AA770" s="331" t="s">
        <v>8431</v>
      </c>
      <c r="AB770" s="330"/>
      <c r="AC770" s="253" t="s">
        <v>377</v>
      </c>
    </row>
    <row r="771" ht="15.75" customHeight="1">
      <c r="A771" s="776">
        <v>43056.0</v>
      </c>
      <c r="B771" s="388" t="s">
        <v>6919</v>
      </c>
      <c r="C771" s="330" t="s">
        <v>8426</v>
      </c>
      <c r="D771" s="310" t="s">
        <v>8427</v>
      </c>
      <c r="E771" s="310" t="s">
        <v>6077</v>
      </c>
      <c r="F771" s="307">
        <v>8.0</v>
      </c>
      <c r="G771" s="268">
        <v>666.0</v>
      </c>
      <c r="H771" s="255">
        <f t="shared" si="9"/>
        <v>5328</v>
      </c>
      <c r="I771" s="256" t="s">
        <v>171</v>
      </c>
      <c r="J771" s="253" t="s">
        <v>1324</v>
      </c>
      <c r="K771" s="258">
        <v>43094.0</v>
      </c>
      <c r="L771" s="330"/>
      <c r="M771" s="253"/>
      <c r="N771" s="310" t="s">
        <v>8428</v>
      </c>
      <c r="O771" s="339"/>
      <c r="P771" s="330"/>
      <c r="Q771" s="388"/>
      <c r="R771" s="330"/>
      <c r="S771" s="330"/>
      <c r="T771" s="902"/>
      <c r="U771" s="902"/>
      <c r="V771" s="902"/>
      <c r="W771" s="330"/>
      <c r="X771" s="330" t="s">
        <v>8429</v>
      </c>
      <c r="Y771" s="330" t="s">
        <v>8430</v>
      </c>
      <c r="Z771" s="330"/>
      <c r="AA771" s="331" t="s">
        <v>8431</v>
      </c>
      <c r="AB771" s="330"/>
      <c r="AC771" s="253" t="s">
        <v>377</v>
      </c>
    </row>
    <row r="772" ht="15.75" customHeight="1">
      <c r="A772" s="776">
        <v>43056.0</v>
      </c>
      <c r="B772" s="388" t="s">
        <v>6919</v>
      </c>
      <c r="C772" s="330" t="s">
        <v>8426</v>
      </c>
      <c r="D772" s="310" t="s">
        <v>8432</v>
      </c>
      <c r="E772" s="310" t="s">
        <v>6066</v>
      </c>
      <c r="F772" s="253">
        <v>6.0</v>
      </c>
      <c r="G772" s="267">
        <v>3587.0</v>
      </c>
      <c r="H772" s="267">
        <f t="shared" si="9"/>
        <v>21522</v>
      </c>
      <c r="I772" s="256" t="s">
        <v>171</v>
      </c>
      <c r="J772" s="1056" t="s">
        <v>1324</v>
      </c>
      <c r="K772" s="258">
        <v>43094.0</v>
      </c>
      <c r="L772" s="330"/>
      <c r="M772" s="333"/>
      <c r="N772" s="310" t="s">
        <v>8433</v>
      </c>
      <c r="O772" s="598"/>
      <c r="P772" s="330"/>
      <c r="Q772" s="597"/>
      <c r="R772" s="330"/>
      <c r="S772" s="330"/>
      <c r="T772" s="766"/>
      <c r="U772" s="766"/>
      <c r="V772" s="766"/>
      <c r="W772" s="1037"/>
      <c r="X772" s="330" t="s">
        <v>8429</v>
      </c>
      <c r="Y772" s="330" t="s">
        <v>8430</v>
      </c>
      <c r="Z772" s="330"/>
      <c r="AA772" s="331" t="s">
        <v>8431</v>
      </c>
      <c r="AB772" s="330"/>
      <c r="AC772" s="253" t="s">
        <v>377</v>
      </c>
    </row>
    <row r="773" ht="15.75" customHeight="1">
      <c r="A773" s="776">
        <v>43056.0</v>
      </c>
      <c r="B773" s="388" t="s">
        <v>6919</v>
      </c>
      <c r="C773" s="330" t="s">
        <v>8426</v>
      </c>
      <c r="D773" s="310" t="s">
        <v>8432</v>
      </c>
      <c r="E773" s="310" t="s">
        <v>6071</v>
      </c>
      <c r="F773" s="253">
        <v>6.0</v>
      </c>
      <c r="G773" s="267">
        <v>100.5</v>
      </c>
      <c r="H773" s="267">
        <f t="shared" si="9"/>
        <v>603</v>
      </c>
      <c r="I773" s="256" t="s">
        <v>171</v>
      </c>
      <c r="J773" s="1056" t="s">
        <v>1324</v>
      </c>
      <c r="K773" s="258">
        <v>43094.0</v>
      </c>
      <c r="L773" s="330"/>
      <c r="M773" s="333"/>
      <c r="N773" s="310" t="s">
        <v>8433</v>
      </c>
      <c r="O773" s="598"/>
      <c r="P773" s="330"/>
      <c r="Q773" s="597"/>
      <c r="R773" s="330"/>
      <c r="S773" s="330"/>
      <c r="T773" s="766"/>
      <c r="U773" s="766"/>
      <c r="V773" s="766"/>
      <c r="W773" s="1037"/>
      <c r="X773" s="330" t="s">
        <v>8429</v>
      </c>
      <c r="Y773" s="330" t="s">
        <v>8430</v>
      </c>
      <c r="Z773" s="330"/>
      <c r="AA773" s="331" t="s">
        <v>8431</v>
      </c>
      <c r="AB773" s="330"/>
      <c r="AC773" s="253" t="s">
        <v>377</v>
      </c>
    </row>
    <row r="774" ht="15.75" customHeight="1">
      <c r="A774" s="776">
        <v>43056.0</v>
      </c>
      <c r="B774" s="388" t="s">
        <v>6919</v>
      </c>
      <c r="C774" s="330" t="s">
        <v>8426</v>
      </c>
      <c r="D774" s="310" t="s">
        <v>8432</v>
      </c>
      <c r="E774" s="310" t="s">
        <v>6072</v>
      </c>
      <c r="F774" s="253">
        <v>6.0</v>
      </c>
      <c r="G774" s="1086">
        <v>74.2</v>
      </c>
      <c r="H774" s="267">
        <f t="shared" si="9"/>
        <v>445.2</v>
      </c>
      <c r="I774" s="256" t="s">
        <v>171</v>
      </c>
      <c r="J774" s="1056" t="s">
        <v>1324</v>
      </c>
      <c r="K774" s="258">
        <v>43094.0</v>
      </c>
      <c r="L774" s="330"/>
      <c r="M774" s="333"/>
      <c r="N774" s="310" t="s">
        <v>8433</v>
      </c>
      <c r="O774" s="598"/>
      <c r="P774" s="330"/>
      <c r="Q774" s="597"/>
      <c r="R774" s="330"/>
      <c r="S774" s="330"/>
      <c r="T774" s="766"/>
      <c r="U774" s="766"/>
      <c r="V774" s="766"/>
      <c r="W774" s="1037"/>
      <c r="X774" s="330" t="s">
        <v>8429</v>
      </c>
      <c r="Y774" s="330" t="s">
        <v>8430</v>
      </c>
      <c r="Z774" s="330"/>
      <c r="AA774" s="331" t="s">
        <v>8431</v>
      </c>
      <c r="AB774" s="330"/>
      <c r="AC774" s="253" t="s">
        <v>377</v>
      </c>
    </row>
    <row r="775" ht="15.75" customHeight="1">
      <c r="A775" s="776">
        <v>43056.0</v>
      </c>
      <c r="B775" s="388" t="s">
        <v>6919</v>
      </c>
      <c r="C775" s="330" t="s">
        <v>8426</v>
      </c>
      <c r="D775" s="310" t="s">
        <v>8432</v>
      </c>
      <c r="E775" s="310" t="s">
        <v>6074</v>
      </c>
      <c r="F775" s="253">
        <v>7.0</v>
      </c>
      <c r="G775" s="267">
        <v>1575.0</v>
      </c>
      <c r="H775" s="267">
        <f t="shared" si="9"/>
        <v>11025</v>
      </c>
      <c r="I775" s="256" t="s">
        <v>171</v>
      </c>
      <c r="J775" s="1056" t="s">
        <v>1324</v>
      </c>
      <c r="K775" s="258">
        <v>43094.0</v>
      </c>
      <c r="L775" s="330"/>
      <c r="M775" s="333"/>
      <c r="N775" s="310" t="s">
        <v>8433</v>
      </c>
      <c r="O775" s="598"/>
      <c r="P775" s="330"/>
      <c r="Q775" s="597"/>
      <c r="R775" s="330"/>
      <c r="S775" s="330"/>
      <c r="T775" s="766"/>
      <c r="U775" s="766"/>
      <c r="V775" s="766"/>
      <c r="W775" s="1037"/>
      <c r="X775" s="330" t="s">
        <v>8429</v>
      </c>
      <c r="Y775" s="330" t="s">
        <v>8430</v>
      </c>
      <c r="Z775" s="330"/>
      <c r="AA775" s="331" t="s">
        <v>8431</v>
      </c>
      <c r="AB775" s="330"/>
      <c r="AC775" s="253" t="s">
        <v>377</v>
      </c>
    </row>
    <row r="776" ht="15.75" customHeight="1">
      <c r="A776" s="776">
        <v>43056.0</v>
      </c>
      <c r="B776" s="388" t="s">
        <v>6919</v>
      </c>
      <c r="C776" s="330" t="s">
        <v>8426</v>
      </c>
      <c r="D776" s="310" t="s">
        <v>8432</v>
      </c>
      <c r="E776" s="310" t="s">
        <v>6077</v>
      </c>
      <c r="F776" s="253">
        <v>7.0</v>
      </c>
      <c r="G776" s="1086">
        <v>666.0</v>
      </c>
      <c r="H776" s="267">
        <f t="shared" si="9"/>
        <v>4662</v>
      </c>
      <c r="I776" s="256" t="s">
        <v>171</v>
      </c>
      <c r="J776" s="1056" t="s">
        <v>1324</v>
      </c>
      <c r="K776" s="258">
        <v>43094.0</v>
      </c>
      <c r="L776" s="330"/>
      <c r="M776" s="333"/>
      <c r="N776" s="310" t="s">
        <v>8433</v>
      </c>
      <c r="O776" s="598"/>
      <c r="P776" s="330"/>
      <c r="Q776" s="597"/>
      <c r="R776" s="330"/>
      <c r="S776" s="330"/>
      <c r="T776" s="766"/>
      <c r="U776" s="766"/>
      <c r="V776" s="766"/>
      <c r="W776" s="1037"/>
      <c r="X776" s="330" t="s">
        <v>8429</v>
      </c>
      <c r="Y776" s="330" t="s">
        <v>8430</v>
      </c>
      <c r="Z776" s="330"/>
      <c r="AA776" s="331" t="s">
        <v>8431</v>
      </c>
      <c r="AB776" s="330"/>
      <c r="AC776" s="253" t="s">
        <v>377</v>
      </c>
    </row>
    <row r="777" ht="15.75" customHeight="1">
      <c r="A777" s="776">
        <v>43056.0</v>
      </c>
      <c r="B777" s="388" t="s">
        <v>6919</v>
      </c>
      <c r="C777" s="330" t="s">
        <v>8426</v>
      </c>
      <c r="D777" s="310" t="s">
        <v>8432</v>
      </c>
      <c r="E777" s="310" t="s">
        <v>6925</v>
      </c>
      <c r="F777" s="307">
        <v>1.0</v>
      </c>
      <c r="G777" s="267">
        <v>7057.0</v>
      </c>
      <c r="H777" s="267">
        <f t="shared" si="9"/>
        <v>7057</v>
      </c>
      <c r="I777" s="256" t="s">
        <v>171</v>
      </c>
      <c r="J777" s="1056" t="s">
        <v>1324</v>
      </c>
      <c r="K777" s="258">
        <v>43094.0</v>
      </c>
      <c r="L777" s="330"/>
      <c r="M777" s="333"/>
      <c r="N777" s="310" t="s">
        <v>8433</v>
      </c>
      <c r="O777" s="598"/>
      <c r="P777" s="330"/>
      <c r="Q777" s="597"/>
      <c r="R777" s="330"/>
      <c r="S777" s="330"/>
      <c r="T777" s="766"/>
      <c r="U777" s="766"/>
      <c r="V777" s="766"/>
      <c r="W777" s="1037"/>
      <c r="X777" s="330" t="s">
        <v>8429</v>
      </c>
      <c r="Y777" s="330" t="s">
        <v>8430</v>
      </c>
      <c r="Z777" s="330"/>
      <c r="AA777" s="331" t="s">
        <v>8431</v>
      </c>
      <c r="AB777" s="330"/>
      <c r="AC777" s="253" t="s">
        <v>377</v>
      </c>
    </row>
    <row r="778" ht="15.75" customHeight="1">
      <c r="A778" s="764">
        <v>43058.0</v>
      </c>
      <c r="B778" s="597" t="s">
        <v>7314</v>
      </c>
      <c r="C778" s="765">
        <v>7.000134208E9</v>
      </c>
      <c r="D778" s="252" t="s">
        <v>8434</v>
      </c>
      <c r="E778" s="252" t="s">
        <v>8435</v>
      </c>
      <c r="F778" s="253">
        <v>2.0</v>
      </c>
      <c r="G778" s="254">
        <v>40.0</v>
      </c>
      <c r="H778" s="846">
        <f t="shared" si="9"/>
        <v>80</v>
      </c>
      <c r="I778" s="256" t="s">
        <v>43</v>
      </c>
      <c r="J778" s="777" t="s">
        <v>3623</v>
      </c>
      <c r="K778" s="258">
        <v>43059.0</v>
      </c>
      <c r="L778" s="330"/>
      <c r="M778" s="333" t="s">
        <v>3454</v>
      </c>
      <c r="N778" s="310" t="s">
        <v>8436</v>
      </c>
      <c r="O778" s="598"/>
      <c r="P778" s="330">
        <v>2163.0</v>
      </c>
      <c r="Q778" s="597" t="s">
        <v>8437</v>
      </c>
      <c r="R778" s="330"/>
      <c r="S778" s="330"/>
      <c r="T778" s="771">
        <v>43441.0</v>
      </c>
      <c r="U778" s="252" t="s">
        <v>8438</v>
      </c>
      <c r="V778" s="774">
        <v>2163.0</v>
      </c>
      <c r="W778" s="601">
        <v>43097.0</v>
      </c>
      <c r="X778" s="765" t="s">
        <v>8439</v>
      </c>
      <c r="Y778" s="253">
        <v>3.699804942E9</v>
      </c>
      <c r="Z778" s="330"/>
      <c r="AA778" s="330"/>
      <c r="AB778" s="330"/>
      <c r="AC778" s="253" t="s">
        <v>284</v>
      </c>
    </row>
    <row r="779" ht="15.75" customHeight="1">
      <c r="A779" s="764">
        <v>43059.0</v>
      </c>
      <c r="B779" s="597" t="s">
        <v>406</v>
      </c>
      <c r="C779" s="765">
        <v>7.000134242E9</v>
      </c>
      <c r="D779" s="765" t="s">
        <v>8440</v>
      </c>
      <c r="E779" s="765" t="s">
        <v>8441</v>
      </c>
      <c r="F779" s="253">
        <v>40.0</v>
      </c>
      <c r="G779" s="254">
        <v>95.0</v>
      </c>
      <c r="H779" s="846">
        <f t="shared" si="9"/>
        <v>3800</v>
      </c>
      <c r="I779" s="256" t="s">
        <v>43</v>
      </c>
      <c r="J779" s="777" t="s">
        <v>3623</v>
      </c>
      <c r="K779" s="258">
        <v>43069.0</v>
      </c>
      <c r="L779" s="258">
        <v>43067.0</v>
      </c>
      <c r="M779" s="333" t="s">
        <v>90</v>
      </c>
      <c r="N779" s="310" t="s">
        <v>8442</v>
      </c>
      <c r="O779" s="268">
        <v>3570.0</v>
      </c>
      <c r="P779" s="330"/>
      <c r="Q779" s="340" t="s">
        <v>94</v>
      </c>
      <c r="R779" s="330"/>
      <c r="S779" s="330"/>
      <c r="T779" s="769">
        <v>43067.0</v>
      </c>
      <c r="U779" s="765" t="s">
        <v>8443</v>
      </c>
      <c r="V779" s="770">
        <v>107457.0</v>
      </c>
      <c r="W779" s="601">
        <v>43126.0</v>
      </c>
      <c r="X779" s="252" t="s">
        <v>8308</v>
      </c>
      <c r="Y779" s="253">
        <v>1.435156656E9</v>
      </c>
      <c r="Z779" s="330"/>
      <c r="AA779" s="330"/>
      <c r="AB779" s="330"/>
      <c r="AC779" s="253" t="s">
        <v>284</v>
      </c>
    </row>
    <row r="780" ht="15.75" customHeight="1">
      <c r="A780" s="764">
        <v>43061.0</v>
      </c>
      <c r="B780" s="1004" t="s">
        <v>326</v>
      </c>
      <c r="C780" s="778" t="s">
        <v>8444</v>
      </c>
      <c r="D780" s="765" t="s">
        <v>8445</v>
      </c>
      <c r="E780" s="765" t="s">
        <v>3773</v>
      </c>
      <c r="F780" s="253">
        <v>10.0</v>
      </c>
      <c r="G780" s="254">
        <v>567.0</v>
      </c>
      <c r="H780" s="846">
        <f t="shared" si="9"/>
        <v>5670</v>
      </c>
      <c r="I780" s="256" t="s">
        <v>3474</v>
      </c>
      <c r="J780" s="369" t="s">
        <v>3774</v>
      </c>
      <c r="K780" s="258">
        <v>43090.0</v>
      </c>
      <c r="L780" s="258">
        <v>43083.0</v>
      </c>
      <c r="M780" s="333" t="s">
        <v>3775</v>
      </c>
      <c r="N780" s="310" t="s">
        <v>8446</v>
      </c>
      <c r="O780" s="268">
        <v>5355.0</v>
      </c>
      <c r="P780" s="330"/>
      <c r="Q780" s="597" t="s">
        <v>2207</v>
      </c>
      <c r="R780" s="330"/>
      <c r="S780" s="768">
        <v>43136.0</v>
      </c>
      <c r="T780" s="769">
        <v>43081.0</v>
      </c>
      <c r="U780" s="765" t="s">
        <v>8447</v>
      </c>
      <c r="V780" s="770">
        <v>296990.0</v>
      </c>
      <c r="W780" s="601">
        <v>43138.0</v>
      </c>
      <c r="X780" s="266" t="s">
        <v>8448</v>
      </c>
      <c r="Y780" s="253">
        <v>8.12337368679E11</v>
      </c>
      <c r="Z780" s="330"/>
      <c r="AA780" s="330"/>
      <c r="AB780" s="330"/>
      <c r="AC780" s="253" t="s">
        <v>284</v>
      </c>
    </row>
    <row r="781" ht="15.75" customHeight="1">
      <c r="A781" s="764">
        <v>43061.0</v>
      </c>
      <c r="B781" s="1004" t="s">
        <v>326</v>
      </c>
      <c r="C781" s="778" t="s">
        <v>8444</v>
      </c>
      <c r="D781" s="765" t="s">
        <v>8445</v>
      </c>
      <c r="E781" s="765" t="s">
        <v>3781</v>
      </c>
      <c r="F781" s="253">
        <v>10.0</v>
      </c>
      <c r="G781" s="254">
        <v>273.0</v>
      </c>
      <c r="H781" s="846">
        <f t="shared" si="9"/>
        <v>2730</v>
      </c>
      <c r="I781" s="256" t="s">
        <v>3474</v>
      </c>
      <c r="J781" s="369" t="s">
        <v>3774</v>
      </c>
      <c r="K781" s="258">
        <v>43090.0</v>
      </c>
      <c r="L781" s="258">
        <v>43083.0</v>
      </c>
      <c r="M781" s="333" t="s">
        <v>45</v>
      </c>
      <c r="N781" s="310" t="s">
        <v>8449</v>
      </c>
      <c r="O781" s="268">
        <v>2257.5</v>
      </c>
      <c r="P781" s="330">
        <v>67709.0</v>
      </c>
      <c r="Q781" s="320" t="s">
        <v>6346</v>
      </c>
      <c r="R781" s="330"/>
      <c r="S781" s="631">
        <v>43105.0</v>
      </c>
      <c r="T781" s="769">
        <v>43075.0</v>
      </c>
      <c r="U781" s="765" t="s">
        <v>8450</v>
      </c>
      <c r="V781" s="770">
        <v>67709.0</v>
      </c>
      <c r="W781" s="601">
        <v>43109.0</v>
      </c>
      <c r="X781" s="266" t="s">
        <v>8448</v>
      </c>
      <c r="Y781" s="253">
        <v>8.12337368679E11</v>
      </c>
      <c r="Z781" s="330"/>
      <c r="AA781" s="330"/>
      <c r="AB781" s="330"/>
      <c r="AC781" s="253" t="s">
        <v>284</v>
      </c>
    </row>
    <row r="782" ht="15.75" customHeight="1">
      <c r="A782" s="764">
        <v>43061.0</v>
      </c>
      <c r="B782" s="1004" t="s">
        <v>326</v>
      </c>
      <c r="C782" s="778" t="s">
        <v>8444</v>
      </c>
      <c r="D782" s="765" t="s">
        <v>8445</v>
      </c>
      <c r="E782" s="765" t="s">
        <v>53</v>
      </c>
      <c r="F782" s="253">
        <v>10.0</v>
      </c>
      <c r="G782" s="254">
        <v>31.0</v>
      </c>
      <c r="H782" s="846">
        <f t="shared" si="9"/>
        <v>310</v>
      </c>
      <c r="I782" s="256" t="s">
        <v>3474</v>
      </c>
      <c r="J782" s="369" t="s">
        <v>3774</v>
      </c>
      <c r="K782" s="258">
        <v>43090.0</v>
      </c>
      <c r="L782" s="258">
        <v>43083.0</v>
      </c>
      <c r="M782" s="333" t="s">
        <v>3775</v>
      </c>
      <c r="N782" s="310" t="s">
        <v>8446</v>
      </c>
      <c r="O782" s="268">
        <v>226.8</v>
      </c>
      <c r="P782" s="330"/>
      <c r="Q782" s="597" t="s">
        <v>2207</v>
      </c>
      <c r="R782" s="330"/>
      <c r="S782" s="768">
        <v>43136.0</v>
      </c>
      <c r="T782" s="769">
        <v>43081.0</v>
      </c>
      <c r="U782" s="765" t="s">
        <v>8447</v>
      </c>
      <c r="V782" s="765" t="s">
        <v>8451</v>
      </c>
      <c r="W782" s="601">
        <v>43138.0</v>
      </c>
      <c r="X782" s="266" t="s">
        <v>8448</v>
      </c>
      <c r="Y782" s="253">
        <v>8.12337368679E11</v>
      </c>
      <c r="Z782" s="330"/>
      <c r="AA782" s="330"/>
      <c r="AB782" s="330"/>
      <c r="AC782" s="253" t="s">
        <v>284</v>
      </c>
    </row>
    <row r="783" ht="15.75" customHeight="1">
      <c r="A783" s="764">
        <v>43061.0</v>
      </c>
      <c r="B783" s="1004" t="s">
        <v>326</v>
      </c>
      <c r="C783" s="778" t="s">
        <v>8444</v>
      </c>
      <c r="D783" s="765" t="s">
        <v>8445</v>
      </c>
      <c r="E783" s="765" t="s">
        <v>59</v>
      </c>
      <c r="F783" s="253">
        <v>10.0</v>
      </c>
      <c r="G783" s="254">
        <v>4.0</v>
      </c>
      <c r="H783" s="846">
        <f t="shared" si="9"/>
        <v>40</v>
      </c>
      <c r="I783" s="256" t="s">
        <v>3474</v>
      </c>
      <c r="J783" s="369" t="s">
        <v>3774</v>
      </c>
      <c r="K783" s="258">
        <v>43090.0</v>
      </c>
      <c r="L783" s="258">
        <v>43083.0</v>
      </c>
      <c r="M783" s="333" t="s">
        <v>3775</v>
      </c>
      <c r="N783" s="310" t="s">
        <v>8446</v>
      </c>
      <c r="O783" s="268">
        <v>21.0</v>
      </c>
      <c r="P783" s="330"/>
      <c r="Q783" s="597" t="s">
        <v>2207</v>
      </c>
      <c r="R783" s="330"/>
      <c r="S783" s="768">
        <v>43136.0</v>
      </c>
      <c r="T783" s="769">
        <v>43081.0</v>
      </c>
      <c r="U783" s="765" t="s">
        <v>8447</v>
      </c>
      <c r="V783" s="765" t="s">
        <v>8451</v>
      </c>
      <c r="W783" s="601">
        <v>43138.0</v>
      </c>
      <c r="X783" s="266" t="s">
        <v>8448</v>
      </c>
      <c r="Y783" s="253">
        <v>8.12337368679E11</v>
      </c>
      <c r="Z783" s="330"/>
      <c r="AA783" s="330"/>
      <c r="AB783" s="330"/>
      <c r="AC783" s="253" t="s">
        <v>284</v>
      </c>
    </row>
    <row r="784" ht="15.75" customHeight="1">
      <c r="A784" s="764">
        <v>43061.0</v>
      </c>
      <c r="B784" s="1004" t="s">
        <v>326</v>
      </c>
      <c r="C784" s="778" t="s">
        <v>8444</v>
      </c>
      <c r="D784" s="765" t="s">
        <v>8445</v>
      </c>
      <c r="E784" s="765" t="s">
        <v>6374</v>
      </c>
      <c r="F784" s="253">
        <v>10.0</v>
      </c>
      <c r="G784" s="254">
        <v>438.0</v>
      </c>
      <c r="H784" s="846">
        <f t="shared" si="9"/>
        <v>4380</v>
      </c>
      <c r="I784" s="256" t="s">
        <v>3474</v>
      </c>
      <c r="J784" s="369" t="s">
        <v>3774</v>
      </c>
      <c r="K784" s="258">
        <v>43090.0</v>
      </c>
      <c r="L784" s="258">
        <v>43083.0</v>
      </c>
      <c r="M784" s="333" t="s">
        <v>3775</v>
      </c>
      <c r="N784" s="310" t="s">
        <v>8446</v>
      </c>
      <c r="O784" s="268">
        <v>4042.5</v>
      </c>
      <c r="P784" s="330"/>
      <c r="Q784" s="597" t="s">
        <v>2207</v>
      </c>
      <c r="R784" s="330"/>
      <c r="S784" s="768">
        <v>43136.0</v>
      </c>
      <c r="T784" s="769">
        <v>43081.0</v>
      </c>
      <c r="U784" s="765" t="s">
        <v>8447</v>
      </c>
      <c r="V784" s="765" t="s">
        <v>8451</v>
      </c>
      <c r="W784" s="601">
        <v>43138.0</v>
      </c>
      <c r="X784" s="266" t="s">
        <v>8448</v>
      </c>
      <c r="Y784" s="253">
        <v>8.12337368679E11</v>
      </c>
      <c r="Z784" s="330"/>
      <c r="AA784" s="330"/>
      <c r="AB784" s="330"/>
      <c r="AC784" s="253" t="s">
        <v>284</v>
      </c>
    </row>
    <row r="785" ht="15.75" customHeight="1">
      <c r="A785" s="764">
        <v>43061.0</v>
      </c>
      <c r="B785" s="1004" t="s">
        <v>326</v>
      </c>
      <c r="C785" s="778" t="s">
        <v>8444</v>
      </c>
      <c r="D785" s="765" t="s">
        <v>8445</v>
      </c>
      <c r="E785" s="765" t="s">
        <v>7325</v>
      </c>
      <c r="F785" s="253">
        <v>10.0</v>
      </c>
      <c r="G785" s="254">
        <v>48.0</v>
      </c>
      <c r="H785" s="846">
        <f t="shared" si="9"/>
        <v>480</v>
      </c>
      <c r="I785" s="256" t="s">
        <v>3474</v>
      </c>
      <c r="J785" s="369" t="s">
        <v>3774</v>
      </c>
      <c r="K785" s="258">
        <v>43090.0</v>
      </c>
      <c r="L785" s="258">
        <v>43083.0</v>
      </c>
      <c r="M785" s="333" t="s">
        <v>45</v>
      </c>
      <c r="N785" s="310" t="s">
        <v>8449</v>
      </c>
      <c r="O785" s="268">
        <v>577.5</v>
      </c>
      <c r="P785" s="330"/>
      <c r="Q785" s="320" t="s">
        <v>6346</v>
      </c>
      <c r="R785" s="330"/>
      <c r="S785" s="768">
        <v>43105.0</v>
      </c>
      <c r="T785" s="769">
        <v>43074.0</v>
      </c>
      <c r="U785" s="765" t="s">
        <v>8452</v>
      </c>
      <c r="V785" s="770">
        <v>38917.0</v>
      </c>
      <c r="W785" s="601">
        <v>43140.0</v>
      </c>
      <c r="X785" s="266" t="s">
        <v>8448</v>
      </c>
      <c r="Y785" s="253">
        <v>8.12337368679E11</v>
      </c>
      <c r="Z785" s="330"/>
      <c r="AA785" s="330"/>
      <c r="AB785" s="330"/>
      <c r="AC785" s="253" t="s">
        <v>284</v>
      </c>
    </row>
    <row r="786" ht="15.75" customHeight="1">
      <c r="A786" s="764">
        <v>43061.0</v>
      </c>
      <c r="B786" s="1004" t="s">
        <v>326</v>
      </c>
      <c r="C786" s="778" t="s">
        <v>8444</v>
      </c>
      <c r="D786" s="765" t="s">
        <v>8445</v>
      </c>
      <c r="E786" s="765" t="s">
        <v>53</v>
      </c>
      <c r="F786" s="253">
        <v>10.0</v>
      </c>
      <c r="G786" s="254">
        <v>31.0</v>
      </c>
      <c r="H786" s="846">
        <f t="shared" si="9"/>
        <v>310</v>
      </c>
      <c r="I786" s="256" t="s">
        <v>3474</v>
      </c>
      <c r="J786" s="369" t="s">
        <v>3774</v>
      </c>
      <c r="K786" s="258">
        <v>43090.0</v>
      </c>
      <c r="L786" s="258">
        <v>43083.0</v>
      </c>
      <c r="M786" s="333" t="s">
        <v>3775</v>
      </c>
      <c r="N786" s="310" t="s">
        <v>8446</v>
      </c>
      <c r="O786" s="268">
        <v>226.8</v>
      </c>
      <c r="P786" s="330"/>
      <c r="Q786" s="597" t="s">
        <v>2207</v>
      </c>
      <c r="R786" s="330"/>
      <c r="S786" s="768">
        <v>43136.0</v>
      </c>
      <c r="T786" s="769">
        <v>43081.0</v>
      </c>
      <c r="U786" s="765" t="s">
        <v>8447</v>
      </c>
      <c r="V786" s="765" t="s">
        <v>8451</v>
      </c>
      <c r="W786" s="601">
        <v>43138.0</v>
      </c>
      <c r="X786" s="266" t="s">
        <v>8448</v>
      </c>
      <c r="Y786" s="253">
        <v>8.12337368679E11</v>
      </c>
      <c r="Z786" s="330"/>
      <c r="AA786" s="330"/>
      <c r="AB786" s="330"/>
      <c r="AC786" s="253" t="s">
        <v>284</v>
      </c>
    </row>
    <row r="787" ht="15.75" customHeight="1">
      <c r="A787" s="764">
        <v>43061.0</v>
      </c>
      <c r="B787" s="1004" t="s">
        <v>326</v>
      </c>
      <c r="C787" s="778" t="s">
        <v>8444</v>
      </c>
      <c r="D787" s="765" t="s">
        <v>8445</v>
      </c>
      <c r="E787" s="765" t="s">
        <v>59</v>
      </c>
      <c r="F787" s="253">
        <v>10.0</v>
      </c>
      <c r="G787" s="254">
        <v>4.0</v>
      </c>
      <c r="H787" s="846">
        <f t="shared" si="9"/>
        <v>40</v>
      </c>
      <c r="I787" s="256" t="s">
        <v>3474</v>
      </c>
      <c r="J787" s="369" t="s">
        <v>3774</v>
      </c>
      <c r="K787" s="258">
        <v>43090.0</v>
      </c>
      <c r="L787" s="258">
        <v>43083.0</v>
      </c>
      <c r="M787" s="333" t="s">
        <v>3775</v>
      </c>
      <c r="N787" s="310" t="s">
        <v>8446</v>
      </c>
      <c r="O787" s="268">
        <v>21.0</v>
      </c>
      <c r="P787" s="330"/>
      <c r="Q787" s="597" t="s">
        <v>2207</v>
      </c>
      <c r="R787" s="330"/>
      <c r="S787" s="768">
        <v>43136.0</v>
      </c>
      <c r="T787" s="769">
        <v>43081.0</v>
      </c>
      <c r="U787" s="765" t="s">
        <v>8447</v>
      </c>
      <c r="V787" s="765" t="s">
        <v>8451</v>
      </c>
      <c r="W787" s="601">
        <v>43138.0</v>
      </c>
      <c r="X787" s="266" t="s">
        <v>8448</v>
      </c>
      <c r="Y787" s="253">
        <v>8.12337368679E11</v>
      </c>
      <c r="Z787" s="330"/>
      <c r="AA787" s="330"/>
      <c r="AB787" s="330"/>
      <c r="AC787" s="253" t="s">
        <v>284</v>
      </c>
    </row>
    <row r="788" ht="15.75" customHeight="1">
      <c r="A788" s="764">
        <v>43061.0</v>
      </c>
      <c r="B788" s="1004" t="s">
        <v>326</v>
      </c>
      <c r="C788" s="778" t="s">
        <v>8453</v>
      </c>
      <c r="D788" s="765" t="s">
        <v>8454</v>
      </c>
      <c r="E788" s="765" t="s">
        <v>3773</v>
      </c>
      <c r="F788" s="253">
        <v>3.0</v>
      </c>
      <c r="G788" s="254">
        <v>567.0</v>
      </c>
      <c r="H788" s="846">
        <f t="shared" si="9"/>
        <v>1701</v>
      </c>
      <c r="I788" s="256" t="s">
        <v>3474</v>
      </c>
      <c r="J788" s="369" t="s">
        <v>8455</v>
      </c>
      <c r="K788" s="258">
        <v>43081.0</v>
      </c>
      <c r="L788" s="258">
        <v>43081.0</v>
      </c>
      <c r="M788" s="403" t="s">
        <v>3775</v>
      </c>
      <c r="N788" s="310" t="s">
        <v>8456</v>
      </c>
      <c r="O788" s="268">
        <v>1606.5</v>
      </c>
      <c r="P788" s="330"/>
      <c r="Q788" s="422" t="s">
        <v>2207</v>
      </c>
      <c r="R788" s="330"/>
      <c r="S788" s="768">
        <v>43136.0</v>
      </c>
      <c r="T788" s="769">
        <v>43080.0</v>
      </c>
      <c r="U788" s="765" t="s">
        <v>8457</v>
      </c>
      <c r="V788" s="770">
        <v>50442.0</v>
      </c>
      <c r="W788" s="601">
        <v>43138.0</v>
      </c>
      <c r="X788" s="266" t="s">
        <v>8458</v>
      </c>
      <c r="Y788" s="253">
        <v>7.70965073632E11</v>
      </c>
      <c r="Z788" s="330"/>
      <c r="AA788" s="330"/>
      <c r="AB788" s="330"/>
      <c r="AC788" s="253" t="s">
        <v>284</v>
      </c>
    </row>
    <row r="789" ht="15.75" customHeight="1">
      <c r="A789" s="764">
        <v>43061.0</v>
      </c>
      <c r="B789" s="1004" t="s">
        <v>326</v>
      </c>
      <c r="C789" s="778" t="s">
        <v>8453</v>
      </c>
      <c r="D789" s="765" t="s">
        <v>8454</v>
      </c>
      <c r="E789" s="765" t="s">
        <v>53</v>
      </c>
      <c r="F789" s="253">
        <v>3.0</v>
      </c>
      <c r="G789" s="254">
        <v>31.0</v>
      </c>
      <c r="H789" s="846">
        <f t="shared" si="9"/>
        <v>93</v>
      </c>
      <c r="I789" s="256" t="s">
        <v>3474</v>
      </c>
      <c r="J789" s="369" t="s">
        <v>8455</v>
      </c>
      <c r="K789" s="258">
        <v>43081.0</v>
      </c>
      <c r="L789" s="258">
        <v>43081.0</v>
      </c>
      <c r="M789" s="333" t="s">
        <v>3775</v>
      </c>
      <c r="N789" s="310" t="s">
        <v>8456</v>
      </c>
      <c r="O789" s="268">
        <v>68.04</v>
      </c>
      <c r="P789" s="330"/>
      <c r="Q789" s="597" t="s">
        <v>2207</v>
      </c>
      <c r="R789" s="330"/>
      <c r="S789" s="768">
        <v>43136.0</v>
      </c>
      <c r="T789" s="769">
        <v>43080.0</v>
      </c>
      <c r="U789" s="765" t="s">
        <v>8457</v>
      </c>
      <c r="V789" s="765" t="s">
        <v>8459</v>
      </c>
      <c r="W789" s="601">
        <v>43138.0</v>
      </c>
      <c r="X789" s="266" t="s">
        <v>8458</v>
      </c>
      <c r="Y789" s="253">
        <v>7.70965073632E11</v>
      </c>
      <c r="Z789" s="330"/>
      <c r="AA789" s="330"/>
      <c r="AB789" s="330"/>
      <c r="AC789" s="253" t="s">
        <v>284</v>
      </c>
    </row>
    <row r="790" ht="15.75" customHeight="1">
      <c r="A790" s="764">
        <v>43061.0</v>
      </c>
      <c r="B790" s="1004" t="s">
        <v>326</v>
      </c>
      <c r="C790" s="778" t="s">
        <v>8453</v>
      </c>
      <c r="D790" s="765" t="s">
        <v>8454</v>
      </c>
      <c r="E790" s="765" t="s">
        <v>59</v>
      </c>
      <c r="F790" s="253">
        <v>3.0</v>
      </c>
      <c r="G790" s="254">
        <v>4.0</v>
      </c>
      <c r="H790" s="846">
        <f t="shared" si="9"/>
        <v>12</v>
      </c>
      <c r="I790" s="256" t="s">
        <v>3474</v>
      </c>
      <c r="J790" s="369" t="s">
        <v>8455</v>
      </c>
      <c r="K790" s="258">
        <v>43081.0</v>
      </c>
      <c r="L790" s="258">
        <v>43081.0</v>
      </c>
      <c r="M790" s="403" t="s">
        <v>3775</v>
      </c>
      <c r="N790" s="310" t="s">
        <v>8456</v>
      </c>
      <c r="O790" s="268">
        <v>6.3</v>
      </c>
      <c r="P790" s="330"/>
      <c r="Q790" s="597" t="s">
        <v>2207</v>
      </c>
      <c r="R790" s="330"/>
      <c r="S790" s="768">
        <v>43136.0</v>
      </c>
      <c r="T790" s="769">
        <v>43080.0</v>
      </c>
      <c r="U790" s="765" t="s">
        <v>8457</v>
      </c>
      <c r="V790" s="765" t="s">
        <v>8459</v>
      </c>
      <c r="W790" s="601">
        <v>43138.0</v>
      </c>
      <c r="X790" s="266" t="s">
        <v>8458</v>
      </c>
      <c r="Y790" s="253">
        <v>7.70965073632E11</v>
      </c>
      <c r="Z790" s="330"/>
      <c r="AA790" s="330"/>
      <c r="AB790" s="330"/>
      <c r="AC790" s="253" t="s">
        <v>284</v>
      </c>
    </row>
    <row r="791" ht="15.75" customHeight="1">
      <c r="A791" s="764">
        <v>43061.0</v>
      </c>
      <c r="B791" s="1004" t="s">
        <v>101</v>
      </c>
      <c r="C791" s="765" t="s">
        <v>8460</v>
      </c>
      <c r="D791" s="422" t="s">
        <v>8461</v>
      </c>
      <c r="E791" s="422" t="s">
        <v>8462</v>
      </c>
      <c r="F791" s="253">
        <v>4.0</v>
      </c>
      <c r="G791" s="254">
        <v>550.0</v>
      </c>
      <c r="H791" s="846">
        <f t="shared" si="9"/>
        <v>2200</v>
      </c>
      <c r="I791" s="256" t="s">
        <v>3474</v>
      </c>
      <c r="J791" s="369" t="s">
        <v>3739</v>
      </c>
      <c r="K791" s="258">
        <v>43076.0</v>
      </c>
      <c r="L791" s="258">
        <v>43076.0</v>
      </c>
      <c r="M791" s="333" t="s">
        <v>2028</v>
      </c>
      <c r="N791" s="310" t="s">
        <v>8463</v>
      </c>
      <c r="O791" s="598"/>
      <c r="P791" s="579">
        <v>62370.0</v>
      </c>
      <c r="Q791" s="340" t="s">
        <v>2030</v>
      </c>
      <c r="R791" s="330"/>
      <c r="S791" s="768">
        <v>43136.0</v>
      </c>
      <c r="T791" s="769">
        <v>43075.0</v>
      </c>
      <c r="U791" s="765" t="s">
        <v>8464</v>
      </c>
      <c r="V791" s="770">
        <v>95571.0</v>
      </c>
      <c r="W791" s="601">
        <v>43136.0</v>
      </c>
      <c r="X791" s="252" t="s">
        <v>8465</v>
      </c>
      <c r="Y791" s="253">
        <v>8.306543862E9</v>
      </c>
      <c r="Z791" s="330"/>
      <c r="AA791" s="330"/>
      <c r="AB791" s="330"/>
      <c r="AC791" s="253" t="s">
        <v>284</v>
      </c>
    </row>
    <row r="792" ht="15.75" customHeight="1">
      <c r="A792" s="764">
        <v>43061.0</v>
      </c>
      <c r="B792" s="1004" t="s">
        <v>326</v>
      </c>
      <c r="C792" s="778" t="s">
        <v>8453</v>
      </c>
      <c r="D792" s="765" t="s">
        <v>8454</v>
      </c>
      <c r="E792" s="765" t="s">
        <v>4055</v>
      </c>
      <c r="F792" s="253">
        <v>3.0</v>
      </c>
      <c r="G792" s="254">
        <v>285.0</v>
      </c>
      <c r="H792" s="846">
        <f t="shared" si="9"/>
        <v>855</v>
      </c>
      <c r="I792" s="256" t="s">
        <v>3474</v>
      </c>
      <c r="J792" s="369" t="s">
        <v>8455</v>
      </c>
      <c r="K792" s="258">
        <v>43081.0</v>
      </c>
      <c r="L792" s="258">
        <v>43075.0</v>
      </c>
      <c r="M792" s="333" t="s">
        <v>45</v>
      </c>
      <c r="N792" s="310" t="s">
        <v>8466</v>
      </c>
      <c r="O792" s="268">
        <v>718.2</v>
      </c>
      <c r="P792" s="330"/>
      <c r="Q792" s="320" t="s">
        <v>6346</v>
      </c>
      <c r="R792" s="330"/>
      <c r="S792" s="768">
        <v>43105.0</v>
      </c>
      <c r="T792" s="769">
        <v>43074.0</v>
      </c>
      <c r="U792" s="765" t="s">
        <v>8452</v>
      </c>
      <c r="V792" s="765" t="s">
        <v>8467</v>
      </c>
      <c r="W792" s="601">
        <v>43140.0</v>
      </c>
      <c r="X792" s="266" t="s">
        <v>8458</v>
      </c>
      <c r="Y792" s="253">
        <v>7.70965073632E11</v>
      </c>
      <c r="Z792" s="330"/>
      <c r="AA792" s="330"/>
      <c r="AB792" s="330"/>
      <c r="AC792" s="253" t="s">
        <v>284</v>
      </c>
    </row>
    <row r="793" ht="15.75" customHeight="1">
      <c r="A793" s="764">
        <v>43061.0</v>
      </c>
      <c r="B793" s="1004" t="s">
        <v>101</v>
      </c>
      <c r="C793" s="765" t="s">
        <v>8460</v>
      </c>
      <c r="D793" s="765" t="s">
        <v>8468</v>
      </c>
      <c r="E793" s="765" t="s">
        <v>8469</v>
      </c>
      <c r="F793" s="253">
        <v>5.0</v>
      </c>
      <c r="G793" s="254">
        <v>399.0</v>
      </c>
      <c r="H793" s="846">
        <f t="shared" si="9"/>
        <v>1995</v>
      </c>
      <c r="I793" s="256" t="s">
        <v>3474</v>
      </c>
      <c r="J793" s="369" t="s">
        <v>3739</v>
      </c>
      <c r="K793" s="258">
        <v>43076.0</v>
      </c>
      <c r="L793" s="258">
        <v>43073.0</v>
      </c>
      <c r="M793" s="333" t="s">
        <v>6850</v>
      </c>
      <c r="N793" s="310" t="s">
        <v>8463</v>
      </c>
      <c r="O793" s="598"/>
      <c r="P793" s="579">
        <v>56700.0</v>
      </c>
      <c r="Q793" s="320" t="s">
        <v>6852</v>
      </c>
      <c r="R793" s="330"/>
      <c r="S793" s="330"/>
      <c r="T793" s="769">
        <v>43073.0</v>
      </c>
      <c r="U793" s="765" t="s">
        <v>8470</v>
      </c>
      <c r="V793" s="770">
        <v>56700.0</v>
      </c>
      <c r="W793" s="601">
        <v>43138.0</v>
      </c>
      <c r="X793" s="252" t="s">
        <v>8465</v>
      </c>
      <c r="Y793" s="253">
        <v>8.306543862E9</v>
      </c>
      <c r="Z793" s="330"/>
      <c r="AA793" s="330"/>
      <c r="AB793" s="330"/>
      <c r="AC793" s="253" t="s">
        <v>284</v>
      </c>
    </row>
    <row r="794" ht="15.75" customHeight="1">
      <c r="A794" s="764">
        <v>43061.0</v>
      </c>
      <c r="B794" s="1004" t="s">
        <v>101</v>
      </c>
      <c r="C794" s="765" t="s">
        <v>8460</v>
      </c>
      <c r="D794" s="422" t="s">
        <v>8346</v>
      </c>
      <c r="E794" s="422" t="s">
        <v>3973</v>
      </c>
      <c r="F794" s="253">
        <v>4.0</v>
      </c>
      <c r="G794" s="254">
        <v>229.0</v>
      </c>
      <c r="H794" s="846">
        <f t="shared" si="9"/>
        <v>916</v>
      </c>
      <c r="I794" s="256" t="s">
        <v>3474</v>
      </c>
      <c r="J794" s="369" t="s">
        <v>3739</v>
      </c>
      <c r="K794" s="258">
        <v>43076.0</v>
      </c>
      <c r="L794" s="258">
        <v>43073.0</v>
      </c>
      <c r="M794" s="592" t="s">
        <v>2026</v>
      </c>
      <c r="N794" s="310" t="s">
        <v>8471</v>
      </c>
      <c r="O794" s="268">
        <v>777.0</v>
      </c>
      <c r="P794" s="330">
        <v>23317.0</v>
      </c>
      <c r="Q794" s="320" t="s">
        <v>6346</v>
      </c>
      <c r="R794" s="330"/>
      <c r="S794" s="810">
        <v>43105.0</v>
      </c>
      <c r="T794" s="769">
        <v>43070.0</v>
      </c>
      <c r="U794" s="765" t="s">
        <v>8472</v>
      </c>
      <c r="V794" s="770">
        <v>23317.0</v>
      </c>
      <c r="W794" s="601">
        <v>43109.0</v>
      </c>
      <c r="X794" s="266" t="s">
        <v>8465</v>
      </c>
      <c r="Y794" s="253">
        <v>8.306543862E9</v>
      </c>
      <c r="Z794" s="330"/>
      <c r="AA794" s="330"/>
      <c r="AB794" s="330"/>
      <c r="AC794" s="253" t="s">
        <v>284</v>
      </c>
    </row>
    <row r="795" ht="15.75" customHeight="1">
      <c r="A795" s="764">
        <v>43061.0</v>
      </c>
      <c r="B795" s="1004" t="s">
        <v>101</v>
      </c>
      <c r="C795" s="765" t="s">
        <v>8460</v>
      </c>
      <c r="D795" s="422" t="s">
        <v>8473</v>
      </c>
      <c r="E795" s="422" t="s">
        <v>8474</v>
      </c>
      <c r="F795" s="253">
        <v>4.0</v>
      </c>
      <c r="G795" s="254">
        <v>38.0</v>
      </c>
      <c r="H795" s="846">
        <f t="shared" si="9"/>
        <v>152</v>
      </c>
      <c r="I795" s="256" t="s">
        <v>3474</v>
      </c>
      <c r="J795" s="369" t="s">
        <v>3739</v>
      </c>
      <c r="K795" s="258">
        <v>43076.0</v>
      </c>
      <c r="L795" s="258">
        <v>43069.0</v>
      </c>
      <c r="M795" s="333" t="s">
        <v>1439</v>
      </c>
      <c r="N795" s="310" t="s">
        <v>8463</v>
      </c>
      <c r="O795" s="598"/>
      <c r="P795" s="579">
        <v>4410.0</v>
      </c>
      <c r="Q795" s="320" t="s">
        <v>1976</v>
      </c>
      <c r="R795" s="330"/>
      <c r="S795" s="810">
        <v>43098.0</v>
      </c>
      <c r="T795" s="769">
        <v>43066.0</v>
      </c>
      <c r="U795" s="765" t="s">
        <v>8475</v>
      </c>
      <c r="V795" s="770">
        <v>6614.0</v>
      </c>
      <c r="W795" s="601">
        <v>43105.0</v>
      </c>
      <c r="X795" s="252" t="s">
        <v>8465</v>
      </c>
      <c r="Y795" s="253">
        <v>8.306543862E9</v>
      </c>
      <c r="Z795" s="330"/>
      <c r="AA795" s="330"/>
      <c r="AB795" s="330"/>
      <c r="AC795" s="253" t="s">
        <v>284</v>
      </c>
    </row>
    <row r="796" ht="15.75" customHeight="1">
      <c r="A796" s="764">
        <v>43061.0</v>
      </c>
      <c r="B796" s="1004" t="s">
        <v>101</v>
      </c>
      <c r="C796" s="765" t="s">
        <v>8460</v>
      </c>
      <c r="D796" s="422" t="s">
        <v>8473</v>
      </c>
      <c r="E796" s="422" t="s">
        <v>8476</v>
      </c>
      <c r="F796" s="253">
        <v>4.0</v>
      </c>
      <c r="G796" s="254">
        <v>104.0</v>
      </c>
      <c r="H796" s="846">
        <f t="shared" si="9"/>
        <v>416</v>
      </c>
      <c r="I796" s="256" t="s">
        <v>3474</v>
      </c>
      <c r="J796" s="369" t="s">
        <v>3739</v>
      </c>
      <c r="K796" s="258">
        <v>43076.0</v>
      </c>
      <c r="L796" s="330"/>
      <c r="M796" s="333" t="s">
        <v>179</v>
      </c>
      <c r="N796" s="310" t="s">
        <v>8477</v>
      </c>
      <c r="O796" s="598"/>
      <c r="P796" s="330"/>
      <c r="Q796" s="597"/>
      <c r="R796" s="330"/>
      <c r="S796" s="330"/>
      <c r="T796" s="766"/>
      <c r="U796" s="766"/>
      <c r="V796" s="766"/>
      <c r="W796" s="1037"/>
      <c r="X796" s="266" t="s">
        <v>8465</v>
      </c>
      <c r="Y796" s="253">
        <v>8.306543862E9</v>
      </c>
      <c r="Z796" s="330"/>
      <c r="AA796" s="330"/>
      <c r="AB796" s="330"/>
      <c r="AC796" s="253" t="s">
        <v>284</v>
      </c>
    </row>
    <row r="797" ht="15.75" customHeight="1">
      <c r="A797" s="764">
        <v>43061.0</v>
      </c>
      <c r="B797" s="1004" t="s">
        <v>101</v>
      </c>
      <c r="C797" s="765"/>
      <c r="D797" s="765" t="s">
        <v>8478</v>
      </c>
      <c r="E797" s="765" t="s">
        <v>8479</v>
      </c>
      <c r="F797" s="253">
        <v>1.0</v>
      </c>
      <c r="G797" s="254">
        <v>100.0</v>
      </c>
      <c r="H797" s="846">
        <f t="shared" si="9"/>
        <v>100</v>
      </c>
      <c r="I797" s="256" t="s">
        <v>3474</v>
      </c>
      <c r="J797" s="369" t="s">
        <v>3739</v>
      </c>
      <c r="K797" s="258">
        <v>43094.0</v>
      </c>
      <c r="L797" s="330"/>
      <c r="M797" s="333" t="s">
        <v>2028</v>
      </c>
      <c r="N797" s="310" t="s">
        <v>8480</v>
      </c>
      <c r="O797" s="598"/>
      <c r="P797" s="637">
        <v>2835.0</v>
      </c>
      <c r="Q797" s="340" t="s">
        <v>2030</v>
      </c>
      <c r="R797" s="330"/>
      <c r="S797" s="330"/>
      <c r="T797" s="769">
        <v>43083.0</v>
      </c>
      <c r="U797" s="252" t="s">
        <v>8481</v>
      </c>
      <c r="V797" s="774">
        <v>2835.0</v>
      </c>
      <c r="W797" s="601">
        <v>43136.0</v>
      </c>
      <c r="X797" s="252" t="s">
        <v>8482</v>
      </c>
      <c r="Y797" s="253">
        <v>9.287082022E9</v>
      </c>
      <c r="Z797" s="330"/>
      <c r="AA797" s="330"/>
      <c r="AB797" s="330"/>
      <c r="AC797" s="253" t="s">
        <v>284</v>
      </c>
    </row>
    <row r="798" ht="15.75" customHeight="1">
      <c r="A798" s="274">
        <v>43061.0</v>
      </c>
      <c r="B798" s="1058" t="s">
        <v>101</v>
      </c>
      <c r="C798" s="789"/>
      <c r="D798" s="789" t="s">
        <v>8478</v>
      </c>
      <c r="E798" s="789" t="s">
        <v>8483</v>
      </c>
      <c r="F798" s="279">
        <v>1.0</v>
      </c>
      <c r="G798" s="280">
        <v>595.0</v>
      </c>
      <c r="H798" s="1109">
        <f t="shared" si="9"/>
        <v>595</v>
      </c>
      <c r="I798" s="282" t="s">
        <v>3474</v>
      </c>
      <c r="J798" s="888"/>
      <c r="K798" s="854"/>
      <c r="L798" s="582"/>
      <c r="M798" s="283"/>
      <c r="N798" s="785"/>
      <c r="O798" s="583"/>
      <c r="P798" s="582"/>
      <c r="Q798" s="804"/>
      <c r="R798" s="582"/>
      <c r="S798" s="582"/>
      <c r="T798" s="787"/>
      <c r="U798" s="787"/>
      <c r="V798" s="787"/>
      <c r="W798" s="1047"/>
      <c r="X798" s="787"/>
      <c r="Y798" s="582"/>
      <c r="Z798" s="582"/>
      <c r="AA798" s="582"/>
      <c r="AB798" s="582"/>
      <c r="AC798" s="279" t="s">
        <v>3617</v>
      </c>
    </row>
    <row r="799" ht="15.75" customHeight="1">
      <c r="A799" s="764">
        <v>43062.0</v>
      </c>
      <c r="B799" s="597" t="s">
        <v>7314</v>
      </c>
      <c r="C799" s="765">
        <v>7.000134294E9</v>
      </c>
      <c r="D799" s="910" t="s">
        <v>8484</v>
      </c>
      <c r="E799" s="910" t="s">
        <v>8485</v>
      </c>
      <c r="F799" s="253">
        <v>1.0</v>
      </c>
      <c r="G799" s="254">
        <v>120.0</v>
      </c>
      <c r="H799" s="846">
        <f t="shared" si="9"/>
        <v>120</v>
      </c>
      <c r="I799" s="256" t="s">
        <v>43</v>
      </c>
      <c r="J799" s="777" t="s">
        <v>3623</v>
      </c>
      <c r="K799" s="258">
        <v>43069.0</v>
      </c>
      <c r="L799" s="258">
        <v>43066.0</v>
      </c>
      <c r="M799" s="333" t="s">
        <v>3593</v>
      </c>
      <c r="N799" s="310" t="s">
        <v>8486</v>
      </c>
      <c r="O799" s="598"/>
      <c r="P799" s="579">
        <v>3400.0</v>
      </c>
      <c r="Q799" s="310" t="s">
        <v>2080</v>
      </c>
      <c r="R799" s="330"/>
      <c r="S799" s="810">
        <v>43159.0</v>
      </c>
      <c r="T799" s="769">
        <v>43066.0</v>
      </c>
      <c r="U799" s="765" t="s">
        <v>8487</v>
      </c>
      <c r="V799" s="770">
        <v>21979.0</v>
      </c>
      <c r="W799" s="258">
        <v>43159.0</v>
      </c>
      <c r="X799" s="252" t="s">
        <v>8308</v>
      </c>
      <c r="Y799" s="253">
        <v>1.435156656E9</v>
      </c>
      <c r="Z799" s="330"/>
      <c r="AA799" s="330"/>
      <c r="AB799" s="330"/>
      <c r="AC799" s="253" t="s">
        <v>284</v>
      </c>
    </row>
    <row r="800" ht="15.75" customHeight="1">
      <c r="A800" s="764">
        <v>43062.0</v>
      </c>
      <c r="B800" s="597" t="s">
        <v>7314</v>
      </c>
      <c r="C800" s="765">
        <v>7.000134294E9</v>
      </c>
      <c r="D800" s="910" t="s">
        <v>8484</v>
      </c>
      <c r="E800" s="910" t="s">
        <v>8488</v>
      </c>
      <c r="F800" s="253">
        <v>1.0</v>
      </c>
      <c r="G800" s="254">
        <v>636.0</v>
      </c>
      <c r="H800" s="846">
        <f t="shared" si="9"/>
        <v>636</v>
      </c>
      <c r="I800" s="256" t="s">
        <v>43</v>
      </c>
      <c r="J800" s="777" t="s">
        <v>3623</v>
      </c>
      <c r="K800" s="258">
        <v>43069.0</v>
      </c>
      <c r="L800" s="258">
        <v>43066.0</v>
      </c>
      <c r="M800" s="333" t="s">
        <v>3593</v>
      </c>
      <c r="N800" s="310" t="s">
        <v>8486</v>
      </c>
      <c r="O800" s="598"/>
      <c r="P800" s="579">
        <v>18579.0</v>
      </c>
      <c r="Q800" s="310" t="s">
        <v>2080</v>
      </c>
      <c r="R800" s="330"/>
      <c r="S800" s="810">
        <v>43159.0</v>
      </c>
      <c r="T800" s="769">
        <v>43066.0</v>
      </c>
      <c r="U800" s="765" t="s">
        <v>8487</v>
      </c>
      <c r="V800" s="765" t="s">
        <v>8489</v>
      </c>
      <c r="W800" s="258">
        <v>43159.0</v>
      </c>
      <c r="X800" s="252" t="s">
        <v>8308</v>
      </c>
      <c r="Y800" s="253">
        <v>1.435156656E9</v>
      </c>
      <c r="Z800" s="330"/>
      <c r="AA800" s="330"/>
      <c r="AB800" s="330"/>
      <c r="AC800" s="253" t="s">
        <v>284</v>
      </c>
    </row>
    <row r="801" ht="15.75" customHeight="1">
      <c r="A801" s="764">
        <v>43063.0</v>
      </c>
      <c r="B801" s="1004" t="s">
        <v>6919</v>
      </c>
      <c r="C801" s="765"/>
      <c r="D801" s="252" t="s">
        <v>8490</v>
      </c>
      <c r="E801" s="252" t="s">
        <v>8491</v>
      </c>
      <c r="F801" s="253">
        <v>8.0</v>
      </c>
      <c r="G801" s="254">
        <v>183.4</v>
      </c>
      <c r="H801" s="581">
        <f t="shared" si="9"/>
        <v>1467.2</v>
      </c>
      <c r="I801" s="256" t="s">
        <v>171</v>
      </c>
      <c r="J801" s="369" t="s">
        <v>628</v>
      </c>
      <c r="K801" s="258">
        <v>43082.0</v>
      </c>
      <c r="L801" s="258">
        <v>43081.0</v>
      </c>
      <c r="M801" s="333" t="s">
        <v>3593</v>
      </c>
      <c r="N801" s="310" t="s">
        <v>8492</v>
      </c>
      <c r="O801" s="598"/>
      <c r="P801" s="579">
        <v>35213.0</v>
      </c>
      <c r="Q801" s="320" t="s">
        <v>2080</v>
      </c>
      <c r="R801" s="330"/>
      <c r="S801" s="810">
        <v>43159.0</v>
      </c>
      <c r="T801" s="769">
        <v>43080.0</v>
      </c>
      <c r="U801" s="765" t="s">
        <v>8493</v>
      </c>
      <c r="V801" s="770">
        <v>35213.0</v>
      </c>
      <c r="W801" s="258">
        <v>43159.0</v>
      </c>
      <c r="X801" s="765" t="s">
        <v>8494</v>
      </c>
      <c r="Y801" s="330"/>
      <c r="Z801" s="330"/>
      <c r="AA801" s="791">
        <v>44016.0</v>
      </c>
      <c r="AB801" s="330" t="s">
        <v>8495</v>
      </c>
      <c r="AC801" s="253" t="s">
        <v>377</v>
      </c>
    </row>
    <row r="802" ht="15.75" customHeight="1">
      <c r="A802" s="764">
        <v>43063.0</v>
      </c>
      <c r="B802" s="1004" t="s">
        <v>101</v>
      </c>
      <c r="C802" s="765" t="s">
        <v>8496</v>
      </c>
      <c r="D802" s="422" t="s">
        <v>8497</v>
      </c>
      <c r="E802" s="422" t="s">
        <v>8498</v>
      </c>
      <c r="F802" s="266">
        <v>4.0</v>
      </c>
      <c r="G802" s="267">
        <v>1118.0</v>
      </c>
      <c r="H802" s="310">
        <f t="shared" si="9"/>
        <v>4472</v>
      </c>
      <c r="I802" s="256" t="s">
        <v>3474</v>
      </c>
      <c r="J802" s="369" t="s">
        <v>3739</v>
      </c>
      <c r="K802" s="258">
        <v>43080.0</v>
      </c>
      <c r="L802" s="258">
        <v>43080.0</v>
      </c>
      <c r="M802" s="333" t="s">
        <v>1439</v>
      </c>
      <c r="N802" s="310" t="s">
        <v>8499</v>
      </c>
      <c r="O802" s="598"/>
      <c r="P802" s="579">
        <v>125349.0</v>
      </c>
      <c r="Q802" s="320" t="s">
        <v>1976</v>
      </c>
      <c r="R802" s="330"/>
      <c r="S802" s="810">
        <v>43131.0</v>
      </c>
      <c r="T802" s="769">
        <v>43080.0</v>
      </c>
      <c r="U802" s="765" t="s">
        <v>8500</v>
      </c>
      <c r="V802" s="772">
        <v>185505.0</v>
      </c>
      <c r="W802" s="601">
        <v>43144.0</v>
      </c>
      <c r="X802" s="252" t="s">
        <v>8501</v>
      </c>
      <c r="Y802" s="253">
        <v>2.386821511E9</v>
      </c>
      <c r="Z802" s="330"/>
      <c r="AA802" s="330"/>
      <c r="AB802" s="330"/>
      <c r="AC802" s="253" t="s">
        <v>284</v>
      </c>
    </row>
    <row r="803" ht="15.75" customHeight="1">
      <c r="A803" s="764">
        <v>43063.0</v>
      </c>
      <c r="B803" s="1004" t="s">
        <v>101</v>
      </c>
      <c r="C803" s="765" t="s">
        <v>8496</v>
      </c>
      <c r="D803" s="422" t="s">
        <v>8502</v>
      </c>
      <c r="E803" s="422" t="s">
        <v>8503</v>
      </c>
      <c r="F803" s="253">
        <v>2.0</v>
      </c>
      <c r="G803" s="254">
        <v>1085.0</v>
      </c>
      <c r="H803" s="310">
        <f t="shared" si="9"/>
        <v>2170</v>
      </c>
      <c r="I803" s="256" t="s">
        <v>3474</v>
      </c>
      <c r="J803" s="369" t="s">
        <v>3739</v>
      </c>
      <c r="K803" s="258">
        <v>43080.0</v>
      </c>
      <c r="L803" s="258">
        <v>43080.0</v>
      </c>
      <c r="M803" s="333" t="s">
        <v>1439</v>
      </c>
      <c r="N803" s="310" t="s">
        <v>8499</v>
      </c>
      <c r="O803" s="598"/>
      <c r="P803" s="579">
        <v>60155.0</v>
      </c>
      <c r="Q803" s="320" t="s">
        <v>1976</v>
      </c>
      <c r="R803" s="330"/>
      <c r="S803" s="810">
        <v>43131.0</v>
      </c>
      <c r="T803" s="769">
        <v>43080.0</v>
      </c>
      <c r="U803" s="765" t="s">
        <v>8500</v>
      </c>
      <c r="V803" s="765" t="s">
        <v>5886</v>
      </c>
      <c r="W803" s="601">
        <v>43144.0</v>
      </c>
      <c r="X803" s="252" t="s">
        <v>8501</v>
      </c>
      <c r="Y803" s="253">
        <v>2.386821511E9</v>
      </c>
      <c r="Z803" s="330"/>
      <c r="AA803" s="330"/>
      <c r="AB803" s="330"/>
      <c r="AC803" s="253" t="s">
        <v>284</v>
      </c>
    </row>
    <row r="804" ht="15.75" customHeight="1">
      <c r="A804" s="764">
        <v>43063.0</v>
      </c>
      <c r="B804" s="1004" t="s">
        <v>101</v>
      </c>
      <c r="C804" s="765" t="s">
        <v>8496</v>
      </c>
      <c r="D804" s="422" t="s">
        <v>8504</v>
      </c>
      <c r="E804" s="422" t="s">
        <v>8505</v>
      </c>
      <c r="F804" s="266">
        <v>6.0</v>
      </c>
      <c r="G804" s="267">
        <v>87.0</v>
      </c>
      <c r="H804" s="310">
        <f t="shared" si="9"/>
        <v>522</v>
      </c>
      <c r="I804" s="256" t="s">
        <v>3474</v>
      </c>
      <c r="J804" s="369" t="s">
        <v>3739</v>
      </c>
      <c r="K804" s="258">
        <v>43080.0</v>
      </c>
      <c r="L804" s="258">
        <v>43080.0</v>
      </c>
      <c r="M804" s="333" t="s">
        <v>179</v>
      </c>
      <c r="N804" s="310" t="s">
        <v>8506</v>
      </c>
      <c r="O804" s="598"/>
      <c r="P804" s="330"/>
      <c r="Q804" s="597"/>
      <c r="R804" s="330"/>
      <c r="S804" s="330"/>
      <c r="T804" s="766"/>
      <c r="U804" s="766"/>
      <c r="V804" s="766"/>
      <c r="W804" s="1037"/>
      <c r="X804" s="266" t="s">
        <v>8501</v>
      </c>
      <c r="Y804" s="253">
        <v>2.386821511E9</v>
      </c>
      <c r="Z804" s="330"/>
      <c r="AA804" s="330"/>
      <c r="AB804" s="330"/>
      <c r="AC804" s="253" t="s">
        <v>284</v>
      </c>
    </row>
    <row r="805" ht="15.75" customHeight="1">
      <c r="A805" s="764">
        <v>43063.0</v>
      </c>
      <c r="B805" s="1004" t="s">
        <v>101</v>
      </c>
      <c r="C805" s="765" t="s">
        <v>8507</v>
      </c>
      <c r="D805" s="422" t="s">
        <v>8508</v>
      </c>
      <c r="E805" s="422" t="s">
        <v>8509</v>
      </c>
      <c r="F805" s="253">
        <v>2.0</v>
      </c>
      <c r="G805" s="254">
        <v>585.0</v>
      </c>
      <c r="H805" s="310">
        <f t="shared" si="9"/>
        <v>1170</v>
      </c>
      <c r="I805" s="256" t="s">
        <v>3474</v>
      </c>
      <c r="J805" s="369" t="s">
        <v>3739</v>
      </c>
      <c r="K805" s="258">
        <v>43076.0</v>
      </c>
      <c r="L805" s="258">
        <v>43076.0</v>
      </c>
      <c r="M805" s="333" t="s">
        <v>2028</v>
      </c>
      <c r="N805" s="310" t="s">
        <v>8463</v>
      </c>
      <c r="O805" s="598"/>
      <c r="P805" s="579">
        <v>33201.0</v>
      </c>
      <c r="Q805" s="340" t="s">
        <v>2030</v>
      </c>
      <c r="R805" s="330"/>
      <c r="S805" s="768">
        <v>43136.0</v>
      </c>
      <c r="T805" s="769">
        <v>43075.0</v>
      </c>
      <c r="U805" s="765" t="s">
        <v>8464</v>
      </c>
      <c r="V805" s="765" t="s">
        <v>8510</v>
      </c>
      <c r="W805" s="601">
        <v>43136.0</v>
      </c>
      <c r="X805" s="252" t="s">
        <v>8465</v>
      </c>
      <c r="Y805" s="253">
        <v>8.306543862E9</v>
      </c>
      <c r="Z805" s="330"/>
      <c r="AA805" s="330"/>
      <c r="AB805" s="330"/>
      <c r="AC805" s="253" t="s">
        <v>284</v>
      </c>
    </row>
    <row r="806" ht="15.75" customHeight="1">
      <c r="A806" s="764">
        <v>43063.0</v>
      </c>
      <c r="B806" s="1004" t="s">
        <v>101</v>
      </c>
      <c r="C806" s="765" t="s">
        <v>8507</v>
      </c>
      <c r="D806" s="422" t="s">
        <v>8508</v>
      </c>
      <c r="E806" s="422" t="s">
        <v>8511</v>
      </c>
      <c r="F806" s="253">
        <v>2.0</v>
      </c>
      <c r="G806" s="254">
        <v>229.0</v>
      </c>
      <c r="H806" s="310">
        <f t="shared" si="9"/>
        <v>458</v>
      </c>
      <c r="I806" s="256" t="s">
        <v>3474</v>
      </c>
      <c r="J806" s="369" t="s">
        <v>3739</v>
      </c>
      <c r="K806" s="258">
        <v>43076.0</v>
      </c>
      <c r="L806" s="258">
        <v>43073.0</v>
      </c>
      <c r="M806" s="333" t="s">
        <v>2129</v>
      </c>
      <c r="N806" s="310" t="s">
        <v>8512</v>
      </c>
      <c r="O806" s="268">
        <v>388.5</v>
      </c>
      <c r="P806" s="330">
        <v>11659.0</v>
      </c>
      <c r="Q806" s="320" t="s">
        <v>6346</v>
      </c>
      <c r="R806" s="330"/>
      <c r="S806" s="810">
        <v>43105.0</v>
      </c>
      <c r="T806" s="769">
        <v>43070.0</v>
      </c>
      <c r="U806" s="765" t="s">
        <v>8513</v>
      </c>
      <c r="V806" s="772">
        <v>11659.0</v>
      </c>
      <c r="W806" s="601">
        <v>43109.0</v>
      </c>
      <c r="X806" s="266" t="s">
        <v>8465</v>
      </c>
      <c r="Y806" s="253">
        <v>8.306543862E9</v>
      </c>
      <c r="Z806" s="330"/>
      <c r="AA806" s="330"/>
      <c r="AB806" s="330"/>
      <c r="AC806" s="253" t="s">
        <v>284</v>
      </c>
    </row>
    <row r="807" ht="15.75" customHeight="1">
      <c r="A807" s="764">
        <v>43063.0</v>
      </c>
      <c r="B807" s="1004" t="s">
        <v>101</v>
      </c>
      <c r="C807" s="765" t="s">
        <v>8507</v>
      </c>
      <c r="D807" s="422" t="s">
        <v>8508</v>
      </c>
      <c r="E807" s="422" t="s">
        <v>8474</v>
      </c>
      <c r="F807" s="253">
        <v>2.0</v>
      </c>
      <c r="G807" s="254">
        <v>38.0</v>
      </c>
      <c r="H807" s="310">
        <f t="shared" si="9"/>
        <v>76</v>
      </c>
      <c r="I807" s="256" t="s">
        <v>3474</v>
      </c>
      <c r="J807" s="369" t="s">
        <v>3739</v>
      </c>
      <c r="K807" s="258">
        <v>43076.0</v>
      </c>
      <c r="L807" s="258">
        <v>43069.0</v>
      </c>
      <c r="M807" s="333" t="s">
        <v>1439</v>
      </c>
      <c r="N807" s="310" t="s">
        <v>8463</v>
      </c>
      <c r="O807" s="598"/>
      <c r="P807" s="579">
        <v>2205.0</v>
      </c>
      <c r="Q807" s="320" t="s">
        <v>1976</v>
      </c>
      <c r="R807" s="330"/>
      <c r="S807" s="810">
        <v>43098.0</v>
      </c>
      <c r="T807" s="769">
        <v>43066.0</v>
      </c>
      <c r="U807" s="765" t="s">
        <v>8475</v>
      </c>
      <c r="V807" s="765" t="s">
        <v>8514</v>
      </c>
      <c r="W807" s="601">
        <v>43105.0</v>
      </c>
      <c r="X807" s="252" t="s">
        <v>8465</v>
      </c>
      <c r="Y807" s="253">
        <v>8.306543862E9</v>
      </c>
      <c r="Z807" s="330"/>
      <c r="AA807" s="330"/>
      <c r="AB807" s="330"/>
      <c r="AC807" s="253" t="s">
        <v>284</v>
      </c>
    </row>
    <row r="808" ht="15.75" customHeight="1">
      <c r="A808" s="764">
        <v>43063.0</v>
      </c>
      <c r="B808" s="1004" t="s">
        <v>3677</v>
      </c>
      <c r="C808" s="765">
        <v>300177.0</v>
      </c>
      <c r="D808" s="765" t="s">
        <v>8515</v>
      </c>
      <c r="E808" s="765" t="s">
        <v>4750</v>
      </c>
      <c r="F808" s="253">
        <v>12.0</v>
      </c>
      <c r="G808" s="254">
        <v>104.0</v>
      </c>
      <c r="H808" s="581">
        <f t="shared" si="9"/>
        <v>1248</v>
      </c>
      <c r="I808" s="256" t="s">
        <v>3474</v>
      </c>
      <c r="J808" s="369" t="s">
        <v>3680</v>
      </c>
      <c r="K808" s="258">
        <v>43069.0</v>
      </c>
      <c r="L808" s="258">
        <v>43069.0</v>
      </c>
      <c r="M808" s="333" t="s">
        <v>90</v>
      </c>
      <c r="N808" s="310" t="s">
        <v>8516</v>
      </c>
      <c r="O808" s="268">
        <v>1058.4</v>
      </c>
      <c r="P808" s="330"/>
      <c r="Q808" s="340" t="s">
        <v>94</v>
      </c>
      <c r="R808" s="330"/>
      <c r="S808" s="330"/>
      <c r="T808" s="769">
        <v>43068.0</v>
      </c>
      <c r="U808" s="765" t="s">
        <v>8517</v>
      </c>
      <c r="V808" s="770">
        <v>85586.0</v>
      </c>
      <c r="W808" s="601">
        <v>43110.0</v>
      </c>
      <c r="X808" s="252" t="s">
        <v>8518</v>
      </c>
      <c r="Y808" s="253">
        <v>7.7086561141E11</v>
      </c>
      <c r="Z808" s="330"/>
      <c r="AA808" s="330"/>
      <c r="AB808" s="330"/>
      <c r="AC808" s="253" t="s">
        <v>284</v>
      </c>
    </row>
    <row r="809" ht="15.75" customHeight="1">
      <c r="A809" s="764">
        <v>43063.0</v>
      </c>
      <c r="B809" s="1004" t="s">
        <v>3677</v>
      </c>
      <c r="C809" s="765">
        <v>300177.0</v>
      </c>
      <c r="D809" s="765" t="s">
        <v>8515</v>
      </c>
      <c r="E809" s="765" t="s">
        <v>3628</v>
      </c>
      <c r="F809" s="253">
        <v>10.0</v>
      </c>
      <c r="G809" s="254">
        <v>179.0</v>
      </c>
      <c r="H809" s="581">
        <f t="shared" si="9"/>
        <v>1790</v>
      </c>
      <c r="I809" s="256" t="s">
        <v>3474</v>
      </c>
      <c r="J809" s="369" t="s">
        <v>3680</v>
      </c>
      <c r="K809" s="258">
        <v>43069.0</v>
      </c>
      <c r="L809" s="258">
        <v>43069.0</v>
      </c>
      <c r="M809" s="333" t="s">
        <v>90</v>
      </c>
      <c r="N809" s="310" t="s">
        <v>8516</v>
      </c>
      <c r="O809" s="268">
        <v>1785.0</v>
      </c>
      <c r="P809" s="330"/>
      <c r="Q809" s="340" t="s">
        <v>94</v>
      </c>
      <c r="R809" s="330"/>
      <c r="S809" s="330"/>
      <c r="T809" s="769">
        <v>43068.0</v>
      </c>
      <c r="U809" s="765" t="s">
        <v>8517</v>
      </c>
      <c r="V809" s="765" t="s">
        <v>8519</v>
      </c>
      <c r="W809" s="601">
        <v>43110.0</v>
      </c>
      <c r="X809" s="252" t="s">
        <v>8518</v>
      </c>
      <c r="Y809" s="253">
        <v>7.7086561141E11</v>
      </c>
      <c r="Z809" s="330"/>
      <c r="AA809" s="330"/>
      <c r="AB809" s="330"/>
      <c r="AC809" s="253" t="s">
        <v>284</v>
      </c>
    </row>
    <row r="810" ht="15.75" customHeight="1">
      <c r="A810" s="776">
        <v>43063.0</v>
      </c>
      <c r="B810" s="265" t="s">
        <v>101</v>
      </c>
      <c r="C810" s="252" t="s">
        <v>8507</v>
      </c>
      <c r="D810" s="422" t="s">
        <v>8508</v>
      </c>
      <c r="E810" s="422" t="s">
        <v>8520</v>
      </c>
      <c r="F810" s="266">
        <v>2.0</v>
      </c>
      <c r="G810" s="267">
        <v>104.0</v>
      </c>
      <c r="H810" s="310">
        <f t="shared" si="9"/>
        <v>208</v>
      </c>
      <c r="I810" s="256" t="s">
        <v>3474</v>
      </c>
      <c r="J810" s="403" t="s">
        <v>3739</v>
      </c>
      <c r="K810" s="258">
        <v>43076.0</v>
      </c>
      <c r="L810" s="310"/>
      <c r="M810" s="333" t="s">
        <v>179</v>
      </c>
      <c r="N810" s="310" t="s">
        <v>8521</v>
      </c>
      <c r="O810" s="268"/>
      <c r="P810" s="310" t="s">
        <v>0</v>
      </c>
      <c r="Q810" s="422"/>
      <c r="R810" s="310"/>
      <c r="S810" s="310"/>
      <c r="T810" s="839"/>
      <c r="U810" s="839"/>
      <c r="V810" s="839"/>
      <c r="W810" s="1110"/>
      <c r="X810" s="266" t="s">
        <v>8465</v>
      </c>
      <c r="Y810" s="266">
        <v>8.306543862E9</v>
      </c>
      <c r="Z810" s="310"/>
      <c r="AA810" s="310"/>
      <c r="AB810" s="310"/>
      <c r="AC810" s="266" t="s">
        <v>284</v>
      </c>
    </row>
    <row r="811" ht="15.75" customHeight="1">
      <c r="A811" s="764">
        <v>43067.0</v>
      </c>
      <c r="B811" s="1004" t="s">
        <v>4754</v>
      </c>
      <c r="C811" s="778" t="s">
        <v>8522</v>
      </c>
      <c r="D811" s="765" t="s">
        <v>8523</v>
      </c>
      <c r="E811" s="765" t="s">
        <v>8524</v>
      </c>
      <c r="F811" s="253">
        <v>50.0</v>
      </c>
      <c r="G811" s="254">
        <v>58.0</v>
      </c>
      <c r="H811" s="581">
        <f t="shared" si="9"/>
        <v>2900</v>
      </c>
      <c r="I811" s="779" t="s">
        <v>3474</v>
      </c>
      <c r="J811" s="369" t="s">
        <v>8525</v>
      </c>
      <c r="K811" s="258">
        <v>43080.0</v>
      </c>
      <c r="L811" s="258">
        <v>43074.0</v>
      </c>
      <c r="M811" s="333" t="s">
        <v>6386</v>
      </c>
      <c r="N811" s="310" t="s">
        <v>8526</v>
      </c>
      <c r="O811" s="268">
        <v>2677.5</v>
      </c>
      <c r="P811" s="330">
        <v>80358.0</v>
      </c>
      <c r="Q811" s="604" t="s">
        <v>6388</v>
      </c>
      <c r="R811" s="330"/>
      <c r="S811" s="768">
        <v>43105.0</v>
      </c>
      <c r="T811" s="601">
        <v>43073.0</v>
      </c>
      <c r="U811" s="765" t="s">
        <v>8527</v>
      </c>
      <c r="V811" s="770">
        <v>80358.0</v>
      </c>
      <c r="W811" s="601">
        <v>43110.0</v>
      </c>
      <c r="X811" s="252" t="s">
        <v>8528</v>
      </c>
      <c r="Y811" s="253">
        <v>1.86043944E8</v>
      </c>
      <c r="Z811" s="330"/>
      <c r="AA811" s="330"/>
      <c r="AB811" s="330"/>
      <c r="AC811" s="253" t="s">
        <v>284</v>
      </c>
    </row>
    <row r="812" ht="15.75" customHeight="1">
      <c r="A812" s="764">
        <v>43067.0</v>
      </c>
      <c r="B812" s="1004" t="s">
        <v>579</v>
      </c>
      <c r="C812" s="765"/>
      <c r="D812" s="765" t="s">
        <v>8529</v>
      </c>
      <c r="E812" s="765" t="s">
        <v>581</v>
      </c>
      <c r="F812" s="253">
        <v>3.0</v>
      </c>
      <c r="G812" s="254">
        <v>96.6</v>
      </c>
      <c r="H812" s="581">
        <f t="shared" si="9"/>
        <v>289.8</v>
      </c>
      <c r="I812" s="256" t="s">
        <v>171</v>
      </c>
      <c r="J812" s="369" t="s">
        <v>582</v>
      </c>
      <c r="K812" s="258">
        <v>43073.0</v>
      </c>
      <c r="L812" s="258">
        <v>43070.0</v>
      </c>
      <c r="M812" s="333" t="s">
        <v>1439</v>
      </c>
      <c r="N812" s="310" t="s">
        <v>8530</v>
      </c>
      <c r="O812" s="598"/>
      <c r="P812" s="579">
        <v>7560.0</v>
      </c>
      <c r="Q812" s="320" t="s">
        <v>1976</v>
      </c>
      <c r="R812" s="330"/>
      <c r="S812" s="810">
        <v>43131.0</v>
      </c>
      <c r="T812" s="769">
        <v>43070.0</v>
      </c>
      <c r="U812" s="765" t="s">
        <v>8531</v>
      </c>
      <c r="V812" s="770">
        <v>7559.0</v>
      </c>
      <c r="W812" s="601">
        <v>43144.0</v>
      </c>
      <c r="X812" s="765" t="s">
        <v>8532</v>
      </c>
      <c r="Y812" s="330"/>
      <c r="Z812" s="330" t="s">
        <v>3700</v>
      </c>
      <c r="AA812" s="262">
        <v>8839.0</v>
      </c>
      <c r="AB812" s="330" t="s">
        <v>8533</v>
      </c>
      <c r="AC812" s="253" t="s">
        <v>377</v>
      </c>
    </row>
    <row r="813" ht="15.75" customHeight="1">
      <c r="A813" s="764">
        <v>43067.0</v>
      </c>
      <c r="B813" s="1004" t="s">
        <v>4754</v>
      </c>
      <c r="C813" s="778" t="s">
        <v>8522</v>
      </c>
      <c r="D813" s="765" t="s">
        <v>8523</v>
      </c>
      <c r="E813" s="765" t="s">
        <v>8534</v>
      </c>
      <c r="F813" s="253">
        <v>1.0</v>
      </c>
      <c r="G813" s="254">
        <v>151.0</v>
      </c>
      <c r="H813" s="581">
        <f t="shared" si="9"/>
        <v>151</v>
      </c>
      <c r="I813" s="779" t="s">
        <v>3474</v>
      </c>
      <c r="J813" s="369" t="s">
        <v>8525</v>
      </c>
      <c r="K813" s="258">
        <v>43080.0</v>
      </c>
      <c r="L813" s="330"/>
      <c r="M813" s="333" t="s">
        <v>934</v>
      </c>
      <c r="N813" s="600"/>
      <c r="O813" s="598"/>
      <c r="P813" s="579">
        <v>3851.0</v>
      </c>
      <c r="Q813" s="597" t="s">
        <v>8535</v>
      </c>
      <c r="R813" s="330"/>
      <c r="S813" s="768">
        <v>42760.0</v>
      </c>
      <c r="T813" s="601">
        <v>43095.0</v>
      </c>
      <c r="U813" s="765" t="s">
        <v>8536</v>
      </c>
      <c r="V813" s="770">
        <v>3851.0</v>
      </c>
      <c r="W813" s="601">
        <v>43119.0</v>
      </c>
      <c r="X813" s="252" t="s">
        <v>8528</v>
      </c>
      <c r="Y813" s="253">
        <v>1.86043944E8</v>
      </c>
      <c r="Z813" s="330"/>
      <c r="AA813" s="330"/>
      <c r="AB813" s="330"/>
      <c r="AC813" s="253" t="s">
        <v>284</v>
      </c>
    </row>
    <row r="814" ht="15.75" customHeight="1">
      <c r="A814" s="764">
        <v>43068.0</v>
      </c>
      <c r="B814" s="1004" t="s">
        <v>326</v>
      </c>
      <c r="C814" s="765">
        <v>1615884.0</v>
      </c>
      <c r="D814" s="765" t="s">
        <v>8537</v>
      </c>
      <c r="E814" s="765" t="s">
        <v>6374</v>
      </c>
      <c r="F814" s="253">
        <v>10.0</v>
      </c>
      <c r="G814" s="254">
        <v>438.0</v>
      </c>
      <c r="H814" s="581">
        <f t="shared" si="9"/>
        <v>4380</v>
      </c>
      <c r="I814" s="256" t="s">
        <v>3474</v>
      </c>
      <c r="J814" s="363" t="s">
        <v>3774</v>
      </c>
      <c r="K814" s="258">
        <v>43090.0</v>
      </c>
      <c r="L814" s="258">
        <v>43088.0</v>
      </c>
      <c r="M814" s="333" t="s">
        <v>3775</v>
      </c>
      <c r="N814" s="310" t="s">
        <v>8538</v>
      </c>
      <c r="O814" s="268">
        <v>4042.5</v>
      </c>
      <c r="P814" s="330"/>
      <c r="Q814" s="422" t="s">
        <v>2207</v>
      </c>
      <c r="R814" s="330"/>
      <c r="S814" s="768">
        <v>43136.0</v>
      </c>
      <c r="T814" s="769">
        <v>43091.0</v>
      </c>
      <c r="U814" s="765" t="s">
        <v>8539</v>
      </c>
      <c r="V814" s="772">
        <v>128623.0</v>
      </c>
      <c r="W814" s="601">
        <v>43138.0</v>
      </c>
      <c r="X814" s="266" t="s">
        <v>8448</v>
      </c>
      <c r="Y814" s="253">
        <v>8.12337368679E11</v>
      </c>
      <c r="Z814" s="330"/>
      <c r="AA814" s="330"/>
      <c r="AB814" s="330"/>
      <c r="AC814" s="253" t="s">
        <v>284</v>
      </c>
    </row>
    <row r="815" ht="15.75" customHeight="1">
      <c r="A815" s="764">
        <v>43068.0</v>
      </c>
      <c r="B815" s="1004" t="s">
        <v>326</v>
      </c>
      <c r="C815" s="765">
        <v>1615884.0</v>
      </c>
      <c r="D815" s="765" t="s">
        <v>8537</v>
      </c>
      <c r="E815" s="765" t="s">
        <v>7325</v>
      </c>
      <c r="F815" s="253">
        <v>10.0</v>
      </c>
      <c r="G815" s="254">
        <v>48.0</v>
      </c>
      <c r="H815" s="581">
        <f t="shared" si="9"/>
        <v>480</v>
      </c>
      <c r="I815" s="256" t="s">
        <v>3474</v>
      </c>
      <c r="J815" s="363" t="s">
        <v>3774</v>
      </c>
      <c r="K815" s="258">
        <v>43090.0</v>
      </c>
      <c r="L815" s="258">
        <v>43088.0</v>
      </c>
      <c r="M815" s="333" t="s">
        <v>45</v>
      </c>
      <c r="N815" s="310" t="s">
        <v>8540</v>
      </c>
      <c r="O815" s="268">
        <v>577.5</v>
      </c>
      <c r="P815" s="310">
        <v>17331.0</v>
      </c>
      <c r="Q815" s="310" t="s">
        <v>6346</v>
      </c>
      <c r="R815" s="330"/>
      <c r="S815" s="631">
        <v>43105.0</v>
      </c>
      <c r="T815" s="769">
        <v>43076.0</v>
      </c>
      <c r="U815" s="765" t="s">
        <v>8541</v>
      </c>
      <c r="V815" s="772">
        <v>17331.0</v>
      </c>
      <c r="W815" s="601">
        <v>43109.0</v>
      </c>
      <c r="X815" s="266" t="s">
        <v>8448</v>
      </c>
      <c r="Y815" s="253">
        <v>8.12337368679E11</v>
      </c>
      <c r="Z815" s="330"/>
      <c r="AA815" s="330"/>
      <c r="AB815" s="330"/>
      <c r="AC815" s="253" t="s">
        <v>284</v>
      </c>
    </row>
    <row r="816" ht="15.75" customHeight="1">
      <c r="A816" s="764">
        <v>43068.0</v>
      </c>
      <c r="B816" s="1004" t="s">
        <v>326</v>
      </c>
      <c r="C816" s="765">
        <v>1615884.0</v>
      </c>
      <c r="D816" s="765" t="s">
        <v>8537</v>
      </c>
      <c r="E816" s="765" t="s">
        <v>53</v>
      </c>
      <c r="F816" s="253">
        <v>10.0</v>
      </c>
      <c r="G816" s="254">
        <v>31.0</v>
      </c>
      <c r="H816" s="581">
        <f t="shared" si="9"/>
        <v>310</v>
      </c>
      <c r="I816" s="266" t="s">
        <v>3474</v>
      </c>
      <c r="J816" s="269" t="s">
        <v>3774</v>
      </c>
      <c r="K816" s="258">
        <v>43090.0</v>
      </c>
      <c r="L816" s="258">
        <v>43088.0</v>
      </c>
      <c r="M816" s="403" t="s">
        <v>3775</v>
      </c>
      <c r="N816" s="310" t="s">
        <v>8538</v>
      </c>
      <c r="O816" s="268">
        <v>226.8</v>
      </c>
      <c r="P816" s="330"/>
      <c r="Q816" s="597" t="s">
        <v>2207</v>
      </c>
      <c r="R816" s="330"/>
      <c r="S816" s="768">
        <v>43136.0</v>
      </c>
      <c r="T816" s="769">
        <v>43091.0</v>
      </c>
      <c r="U816" s="765" t="s">
        <v>8539</v>
      </c>
      <c r="V816" s="765" t="s">
        <v>8542</v>
      </c>
      <c r="W816" s="601">
        <v>43138.0</v>
      </c>
      <c r="X816" s="266" t="s">
        <v>8448</v>
      </c>
      <c r="Y816" s="253">
        <v>8.12337368679E11</v>
      </c>
      <c r="Z816" s="330"/>
      <c r="AA816" s="330"/>
      <c r="AB816" s="330"/>
      <c r="AC816" s="253" t="s">
        <v>284</v>
      </c>
    </row>
    <row r="817" ht="15.75" customHeight="1">
      <c r="A817" s="764">
        <v>43068.0</v>
      </c>
      <c r="B817" s="1004" t="s">
        <v>326</v>
      </c>
      <c r="C817" s="765">
        <v>1615884.0</v>
      </c>
      <c r="D817" s="765" t="s">
        <v>8537</v>
      </c>
      <c r="E817" s="765" t="s">
        <v>59</v>
      </c>
      <c r="F817" s="253">
        <v>10.0</v>
      </c>
      <c r="G817" s="254">
        <v>4.0</v>
      </c>
      <c r="H817" s="581">
        <f t="shared" si="9"/>
        <v>40</v>
      </c>
      <c r="I817" s="256" t="s">
        <v>3474</v>
      </c>
      <c r="J817" s="269" t="s">
        <v>3774</v>
      </c>
      <c r="K817" s="258">
        <v>43090.0</v>
      </c>
      <c r="L817" s="258">
        <v>43088.0</v>
      </c>
      <c r="M817" s="333" t="s">
        <v>3775</v>
      </c>
      <c r="N817" s="310" t="s">
        <v>8538</v>
      </c>
      <c r="O817" s="268">
        <v>21.0</v>
      </c>
      <c r="P817" s="330"/>
      <c r="Q817" s="597" t="s">
        <v>2207</v>
      </c>
      <c r="R817" s="330"/>
      <c r="S817" s="768">
        <v>43136.0</v>
      </c>
      <c r="T817" s="769">
        <v>43091.0</v>
      </c>
      <c r="U817" s="765" t="s">
        <v>8539</v>
      </c>
      <c r="V817" s="765" t="s">
        <v>8542</v>
      </c>
      <c r="W817" s="601">
        <v>43138.0</v>
      </c>
      <c r="X817" s="266" t="s">
        <v>8448</v>
      </c>
      <c r="Y817" s="253">
        <v>8.12337368679E11</v>
      </c>
      <c r="Z817" s="330"/>
      <c r="AA817" s="330"/>
      <c r="AB817" s="330"/>
      <c r="AC817" s="253" t="s">
        <v>284</v>
      </c>
    </row>
    <row r="818" ht="15.75" customHeight="1">
      <c r="A818" s="764">
        <v>43068.0</v>
      </c>
      <c r="B818" s="1004" t="s">
        <v>229</v>
      </c>
      <c r="C818" s="765"/>
      <c r="D818" s="252" t="s">
        <v>8543</v>
      </c>
      <c r="E818" s="252" t="s">
        <v>462</v>
      </c>
      <c r="F818" s="253">
        <v>51.0</v>
      </c>
      <c r="G818" s="254">
        <v>407.4</v>
      </c>
      <c r="H818" s="581">
        <f t="shared" si="9"/>
        <v>20777.4</v>
      </c>
      <c r="I818" s="256" t="s">
        <v>171</v>
      </c>
      <c r="J818" s="256" t="s">
        <v>90</v>
      </c>
      <c r="K818" s="258">
        <v>43083.0</v>
      </c>
      <c r="L818" s="258">
        <v>43083.0</v>
      </c>
      <c r="M818" s="333" t="s">
        <v>90</v>
      </c>
      <c r="N818" s="310" t="s">
        <v>8544</v>
      </c>
      <c r="O818" s="268">
        <v>19010.25</v>
      </c>
      <c r="P818" s="330"/>
      <c r="Q818" s="340" t="s">
        <v>94</v>
      </c>
      <c r="R818" s="330"/>
      <c r="S818" s="330"/>
      <c r="T818" s="769">
        <v>43083.0</v>
      </c>
      <c r="U818" s="765" t="s">
        <v>8545</v>
      </c>
      <c r="V818" s="772">
        <v>587114.0</v>
      </c>
      <c r="W818" s="601">
        <v>43126.0</v>
      </c>
      <c r="X818" s="765" t="s">
        <v>8546</v>
      </c>
      <c r="Y818" s="330"/>
      <c r="Z818" s="765" t="s">
        <v>7837</v>
      </c>
      <c r="AA818" s="1111">
        <v>623737.0</v>
      </c>
      <c r="AB818" s="330" t="s">
        <v>8547</v>
      </c>
      <c r="AC818" s="253" t="s">
        <v>377</v>
      </c>
    </row>
    <row r="819" ht="15.75" customHeight="1">
      <c r="A819" s="764">
        <v>43068.0</v>
      </c>
      <c r="B819" s="1004" t="s">
        <v>229</v>
      </c>
      <c r="C819" s="765"/>
      <c r="D819" s="252" t="s">
        <v>8543</v>
      </c>
      <c r="E819" s="252" t="s">
        <v>3765</v>
      </c>
      <c r="F819" s="253">
        <v>2.0</v>
      </c>
      <c r="G819" s="466">
        <v>336.0</v>
      </c>
      <c r="H819" s="581">
        <f t="shared" si="9"/>
        <v>672</v>
      </c>
      <c r="I819" s="256" t="s">
        <v>171</v>
      </c>
      <c r="J819" s="256" t="s">
        <v>90</v>
      </c>
      <c r="K819" s="258">
        <v>43083.0</v>
      </c>
      <c r="L819" s="258">
        <v>43083.0</v>
      </c>
      <c r="M819" s="333" t="s">
        <v>90</v>
      </c>
      <c r="N819" s="310" t="s">
        <v>8544</v>
      </c>
      <c r="O819" s="268">
        <v>602.7</v>
      </c>
      <c r="P819" s="330"/>
      <c r="Q819" s="340" t="s">
        <v>94</v>
      </c>
      <c r="R819" s="330"/>
      <c r="S819" s="330"/>
      <c r="T819" s="769">
        <v>43083.0</v>
      </c>
      <c r="U819" s="765" t="s">
        <v>8545</v>
      </c>
      <c r="V819" s="765" t="s">
        <v>8548</v>
      </c>
      <c r="W819" s="601">
        <v>43126.0</v>
      </c>
      <c r="X819" s="765" t="s">
        <v>8546</v>
      </c>
      <c r="Y819" s="330"/>
      <c r="Z819" s="765" t="s">
        <v>7837</v>
      </c>
      <c r="AA819" s="1111">
        <v>20174.0</v>
      </c>
      <c r="AB819" s="330" t="s">
        <v>8547</v>
      </c>
      <c r="AC819" s="253" t="s">
        <v>377</v>
      </c>
    </row>
    <row r="820" ht="15.75" customHeight="1">
      <c r="A820" s="764">
        <v>43068.0</v>
      </c>
      <c r="B820" s="1004" t="s">
        <v>229</v>
      </c>
      <c r="C820" s="765"/>
      <c r="D820" s="252" t="s">
        <v>8549</v>
      </c>
      <c r="E820" s="252" t="s">
        <v>462</v>
      </c>
      <c r="F820" s="253">
        <v>8.0</v>
      </c>
      <c r="G820" s="254">
        <v>407.4</v>
      </c>
      <c r="H820" s="846">
        <f t="shared" si="9"/>
        <v>3259.2</v>
      </c>
      <c r="I820" s="256" t="s">
        <v>171</v>
      </c>
      <c r="J820" s="266" t="s">
        <v>90</v>
      </c>
      <c r="K820" s="258">
        <v>43076.0</v>
      </c>
      <c r="L820" s="258">
        <v>43076.0</v>
      </c>
      <c r="M820" s="333" t="s">
        <v>90</v>
      </c>
      <c r="N820" s="310" t="s">
        <v>8550</v>
      </c>
      <c r="O820" s="268">
        <v>2982.0</v>
      </c>
      <c r="P820" s="330"/>
      <c r="Q820" s="340" t="s">
        <v>94</v>
      </c>
      <c r="R820" s="330"/>
      <c r="S820" s="330"/>
      <c r="T820" s="769">
        <v>43076.0</v>
      </c>
      <c r="U820" s="765" t="s">
        <v>8551</v>
      </c>
      <c r="V820" s="774">
        <v>89281.0</v>
      </c>
      <c r="W820" s="601">
        <v>43126.0</v>
      </c>
      <c r="X820" s="765" t="s">
        <v>8552</v>
      </c>
      <c r="Y820" s="330"/>
      <c r="Z820" s="765" t="s">
        <v>8553</v>
      </c>
      <c r="AA820" s="404">
        <v>97776.0</v>
      </c>
      <c r="AB820" s="330" t="s">
        <v>8554</v>
      </c>
      <c r="AC820" s="253" t="s">
        <v>377</v>
      </c>
    </row>
    <row r="821" ht="15.75" customHeight="1">
      <c r="A821" s="764">
        <v>43068.0</v>
      </c>
      <c r="B821" s="1004" t="s">
        <v>373</v>
      </c>
      <c r="C821" s="765">
        <v>2.01711280022E11</v>
      </c>
      <c r="D821" s="252" t="s">
        <v>8555</v>
      </c>
      <c r="E821" s="252" t="s">
        <v>8556</v>
      </c>
      <c r="F821" s="307">
        <v>2.0</v>
      </c>
      <c r="G821" s="254">
        <v>117.6</v>
      </c>
      <c r="H821" s="806">
        <f t="shared" si="9"/>
        <v>235.2</v>
      </c>
      <c r="I821" s="256" t="s">
        <v>43</v>
      </c>
      <c r="J821" s="266" t="s">
        <v>90</v>
      </c>
      <c r="K821" s="258">
        <v>43075.0</v>
      </c>
      <c r="L821" s="258">
        <v>43075.0</v>
      </c>
      <c r="M821" s="592" t="s">
        <v>90</v>
      </c>
      <c r="N821" s="310" t="s">
        <v>8557</v>
      </c>
      <c r="O821" s="268">
        <v>218.4</v>
      </c>
      <c r="P821" s="330"/>
      <c r="Q821" s="340" t="s">
        <v>94</v>
      </c>
      <c r="R821" s="330"/>
      <c r="S821" s="330"/>
      <c r="T821" s="769">
        <v>43075.0</v>
      </c>
      <c r="U821" s="765" t="s">
        <v>8558</v>
      </c>
      <c r="V821" s="772">
        <v>18799.0</v>
      </c>
      <c r="W821" s="601">
        <v>43126.0</v>
      </c>
      <c r="X821" s="765" t="s">
        <v>8559</v>
      </c>
      <c r="Y821" s="330"/>
      <c r="Z821" s="602" t="s">
        <v>8560</v>
      </c>
      <c r="AA821" s="404">
        <v>7058.0</v>
      </c>
      <c r="AB821" s="330" t="s">
        <v>8561</v>
      </c>
      <c r="AC821" s="253" t="s">
        <v>284</v>
      </c>
    </row>
    <row r="822" ht="15.75" customHeight="1">
      <c r="A822" s="764">
        <v>43068.0</v>
      </c>
      <c r="B822" s="597" t="s">
        <v>7314</v>
      </c>
      <c r="C822" s="765">
        <v>7.000134407E9</v>
      </c>
      <c r="D822" s="252" t="s">
        <v>8562</v>
      </c>
      <c r="E822" s="252" t="s">
        <v>4085</v>
      </c>
      <c r="F822" s="253">
        <v>4.0</v>
      </c>
      <c r="G822" s="254">
        <v>177.0</v>
      </c>
      <c r="H822" s="846">
        <f t="shared" si="9"/>
        <v>708</v>
      </c>
      <c r="I822" s="256" t="s">
        <v>43</v>
      </c>
      <c r="J822" s="403" t="s">
        <v>3623</v>
      </c>
      <c r="K822" s="258">
        <v>43074.0</v>
      </c>
      <c r="L822" s="258">
        <v>43073.0</v>
      </c>
      <c r="M822" s="333" t="s">
        <v>3593</v>
      </c>
      <c r="N822" s="252" t="s">
        <v>8563</v>
      </c>
      <c r="O822" s="598"/>
      <c r="P822" s="1112">
        <v>24493.0</v>
      </c>
      <c r="Q822" s="320" t="s">
        <v>2080</v>
      </c>
      <c r="R822" s="330"/>
      <c r="S822" s="810">
        <v>43159.0</v>
      </c>
      <c r="T822" s="769">
        <v>43070.0</v>
      </c>
      <c r="U822" s="765" t="s">
        <v>8564</v>
      </c>
      <c r="V822" s="772">
        <v>37077.0</v>
      </c>
      <c r="W822" s="258">
        <v>43159.0</v>
      </c>
      <c r="X822" s="266" t="s">
        <v>8565</v>
      </c>
      <c r="Y822" s="253">
        <v>5.412984463E9</v>
      </c>
      <c r="Z822" s="330"/>
      <c r="AA822" s="330"/>
      <c r="AB822" s="330"/>
      <c r="AC822" s="253" t="s">
        <v>284</v>
      </c>
    </row>
    <row r="823" ht="15.75" customHeight="1">
      <c r="A823" s="764">
        <v>43068.0</v>
      </c>
      <c r="B823" s="597" t="s">
        <v>7314</v>
      </c>
      <c r="C823" s="765">
        <v>7.000134407E9</v>
      </c>
      <c r="D823" s="252" t="s">
        <v>8562</v>
      </c>
      <c r="E823" s="252" t="s">
        <v>4093</v>
      </c>
      <c r="F823" s="253">
        <v>5.0</v>
      </c>
      <c r="G823" s="254">
        <v>73.0</v>
      </c>
      <c r="H823" s="846">
        <f t="shared" si="9"/>
        <v>365</v>
      </c>
      <c r="I823" s="256" t="s">
        <v>43</v>
      </c>
      <c r="J823" s="403" t="s">
        <v>3623</v>
      </c>
      <c r="K823" s="258">
        <v>43074.0</v>
      </c>
      <c r="L823" s="258">
        <v>43073.0</v>
      </c>
      <c r="M823" s="333" t="s">
        <v>3593</v>
      </c>
      <c r="N823" s="252" t="s">
        <v>8563</v>
      </c>
      <c r="O823" s="598"/>
      <c r="P823" s="1112">
        <v>12583.2</v>
      </c>
      <c r="Q823" s="320" t="s">
        <v>2080</v>
      </c>
      <c r="R823" s="330"/>
      <c r="S823" s="810">
        <v>43159.0</v>
      </c>
      <c r="T823" s="769">
        <v>43070.0</v>
      </c>
      <c r="U823" s="765" t="s">
        <v>8564</v>
      </c>
      <c r="V823" s="765" t="s">
        <v>5928</v>
      </c>
      <c r="W823" s="258">
        <v>43159.0</v>
      </c>
      <c r="X823" s="266" t="s">
        <v>8565</v>
      </c>
      <c r="Y823" s="253">
        <v>5.412984463E9</v>
      </c>
      <c r="Z823" s="330"/>
      <c r="AA823" s="330"/>
      <c r="AB823" s="330"/>
      <c r="AC823" s="253" t="s">
        <v>284</v>
      </c>
    </row>
    <row r="824" ht="15.75" customHeight="1">
      <c r="A824" s="764">
        <v>43069.0</v>
      </c>
      <c r="B824" s="1004" t="s">
        <v>1745</v>
      </c>
      <c r="C824" s="778" t="s">
        <v>8566</v>
      </c>
      <c r="D824" s="765" t="s">
        <v>8567</v>
      </c>
      <c r="E824" s="765" t="s">
        <v>6367</v>
      </c>
      <c r="F824" s="253">
        <v>20.0</v>
      </c>
      <c r="G824" s="254">
        <f>75+29+5</f>
        <v>109</v>
      </c>
      <c r="H824" s="846">
        <f t="shared" si="9"/>
        <v>2180</v>
      </c>
      <c r="I824" s="256" t="s">
        <v>3474</v>
      </c>
      <c r="J824" s="369" t="s">
        <v>8568</v>
      </c>
      <c r="K824" s="258">
        <v>43090.0</v>
      </c>
      <c r="L824" s="258">
        <v>43087.0</v>
      </c>
      <c r="M824" s="253" t="s">
        <v>6298</v>
      </c>
      <c r="N824" s="310" t="s">
        <v>8569</v>
      </c>
      <c r="O824" s="598"/>
      <c r="P824" s="330"/>
      <c r="Q824" s="597"/>
      <c r="R824" s="330"/>
      <c r="S824" s="330"/>
      <c r="T824" s="769">
        <v>43084.0</v>
      </c>
      <c r="U824" s="765" t="s">
        <v>8570</v>
      </c>
      <c r="V824" s="772">
        <v>27045.0</v>
      </c>
      <c r="W824" s="766"/>
      <c r="X824" s="252" t="s">
        <v>8571</v>
      </c>
      <c r="Y824" s="253">
        <v>1.94438016E8</v>
      </c>
      <c r="Z824" s="330"/>
      <c r="AA824" s="330"/>
      <c r="AB824" s="330"/>
      <c r="AC824" s="253" t="s">
        <v>284</v>
      </c>
    </row>
    <row r="825" ht="15.75" customHeight="1">
      <c r="A825" s="764">
        <v>43069.0</v>
      </c>
      <c r="B825" s="1004" t="s">
        <v>1745</v>
      </c>
      <c r="C825" s="778" t="s">
        <v>8566</v>
      </c>
      <c r="D825" s="765" t="s">
        <v>8567</v>
      </c>
      <c r="E825" s="765" t="s">
        <v>5431</v>
      </c>
      <c r="F825" s="253">
        <v>20.0</v>
      </c>
      <c r="G825" s="254">
        <v>13.0</v>
      </c>
      <c r="H825" s="846">
        <f t="shared" si="9"/>
        <v>260</v>
      </c>
      <c r="I825" s="256" t="s">
        <v>3474</v>
      </c>
      <c r="J825" s="369" t="s">
        <v>8568</v>
      </c>
      <c r="K825" s="258">
        <v>43090.0</v>
      </c>
      <c r="L825" s="258">
        <v>43087.0</v>
      </c>
      <c r="M825" s="253" t="s">
        <v>6298</v>
      </c>
      <c r="N825" s="310" t="s">
        <v>8569</v>
      </c>
      <c r="O825" s="598"/>
      <c r="P825" s="330"/>
      <c r="Q825" s="597"/>
      <c r="R825" s="330"/>
      <c r="S825" s="330"/>
      <c r="T825" s="769">
        <v>43084.0</v>
      </c>
      <c r="U825" s="765" t="s">
        <v>8570</v>
      </c>
      <c r="V825" s="765" t="s">
        <v>8572</v>
      </c>
      <c r="W825" s="766"/>
      <c r="X825" s="252" t="s">
        <v>8571</v>
      </c>
      <c r="Y825" s="253">
        <v>1.94438016E8</v>
      </c>
      <c r="Z825" s="330"/>
      <c r="AA825" s="330"/>
      <c r="AB825" s="330"/>
      <c r="AC825" s="253" t="s">
        <v>284</v>
      </c>
    </row>
    <row r="826" ht="15.75" customHeight="1">
      <c r="A826" s="764">
        <v>43073.0</v>
      </c>
      <c r="B826" s="1004" t="s">
        <v>3506</v>
      </c>
      <c r="C826" s="765" t="s">
        <v>8573</v>
      </c>
      <c r="D826" s="252" t="s">
        <v>8574</v>
      </c>
      <c r="E826" s="252" t="s">
        <v>8575</v>
      </c>
      <c r="F826" s="253">
        <v>50.0</v>
      </c>
      <c r="G826" s="254">
        <v>174.5</v>
      </c>
      <c r="H826" s="846">
        <f t="shared" si="9"/>
        <v>8725</v>
      </c>
      <c r="I826" s="256" t="s">
        <v>171</v>
      </c>
      <c r="J826" s="363" t="s">
        <v>3509</v>
      </c>
      <c r="K826" s="258">
        <v>43090.0</v>
      </c>
      <c r="L826" s="258">
        <v>43089.0</v>
      </c>
      <c r="M826" s="333" t="s">
        <v>3510</v>
      </c>
      <c r="N826" s="310" t="s">
        <v>8576</v>
      </c>
      <c r="O826" s="268">
        <v>8295.0</v>
      </c>
      <c r="P826" s="330"/>
      <c r="Q826" s="310" t="s">
        <v>3512</v>
      </c>
      <c r="R826" s="330"/>
      <c r="S826" s="330"/>
      <c r="T826" s="771">
        <v>43091.0</v>
      </c>
      <c r="U826" s="252" t="s">
        <v>8577</v>
      </c>
      <c r="V826" s="774">
        <v>248312.0</v>
      </c>
      <c r="W826" s="601">
        <v>43083.0</v>
      </c>
      <c r="X826" s="765" t="s">
        <v>8578</v>
      </c>
      <c r="Y826" s="253" t="s">
        <v>8579</v>
      </c>
      <c r="Z826" s="330"/>
      <c r="AA826" s="330"/>
      <c r="AB826" s="330"/>
      <c r="AC826" s="330"/>
    </row>
    <row r="827" ht="15.75" customHeight="1">
      <c r="A827" s="764">
        <v>43073.0</v>
      </c>
      <c r="B827" s="1004" t="s">
        <v>326</v>
      </c>
      <c r="C827" s="778" t="s">
        <v>8580</v>
      </c>
      <c r="D827" s="765" t="s">
        <v>8581</v>
      </c>
      <c r="E827" s="765" t="s">
        <v>8582</v>
      </c>
      <c r="F827" s="253">
        <v>2.0</v>
      </c>
      <c r="G827" s="254">
        <v>235.0</v>
      </c>
      <c r="H827" s="846">
        <f t="shared" si="9"/>
        <v>470</v>
      </c>
      <c r="I827" s="256" t="s">
        <v>3474</v>
      </c>
      <c r="J827" s="363" t="s">
        <v>3774</v>
      </c>
      <c r="K827" s="258">
        <v>43090.0</v>
      </c>
      <c r="L827" s="258">
        <v>43082.0</v>
      </c>
      <c r="M827" s="333" t="s">
        <v>3593</v>
      </c>
      <c r="N827" s="310" t="s">
        <v>8583</v>
      </c>
      <c r="O827" s="598"/>
      <c r="P827" s="579">
        <v>14104.0</v>
      </c>
      <c r="Q827" s="310" t="s">
        <v>2080</v>
      </c>
      <c r="R827" s="330"/>
      <c r="S827" s="810">
        <v>43159.0</v>
      </c>
      <c r="T827" s="771">
        <v>43081.0</v>
      </c>
      <c r="U827" s="252" t="s">
        <v>8584</v>
      </c>
      <c r="V827" s="1113">
        <v>14104.0</v>
      </c>
      <c r="W827" s="258">
        <v>43159.0</v>
      </c>
      <c r="X827" s="266" t="s">
        <v>8448</v>
      </c>
      <c r="Y827" s="253">
        <v>8.12337368679E11</v>
      </c>
      <c r="Z827" s="330"/>
      <c r="AA827" s="330"/>
      <c r="AB827" s="330"/>
      <c r="AC827" s="253" t="s">
        <v>284</v>
      </c>
    </row>
    <row r="828" ht="15.75" customHeight="1">
      <c r="A828" s="764">
        <v>43073.0</v>
      </c>
      <c r="B828" s="597" t="s">
        <v>7314</v>
      </c>
      <c r="C828" s="765">
        <v>7.000134513E9</v>
      </c>
      <c r="D828" s="252" t="s">
        <v>8585</v>
      </c>
      <c r="E828" s="252" t="s">
        <v>3728</v>
      </c>
      <c r="F828" s="253">
        <v>4.0</v>
      </c>
      <c r="G828" s="254">
        <v>39.0</v>
      </c>
      <c r="H828" s="846">
        <f t="shared" si="9"/>
        <v>156</v>
      </c>
      <c r="I828" s="256" t="s">
        <v>43</v>
      </c>
      <c r="J828" s="777" t="s">
        <v>3623</v>
      </c>
      <c r="K828" s="258">
        <v>43083.0</v>
      </c>
      <c r="L828" s="258">
        <v>43081.0</v>
      </c>
      <c r="M828" s="333" t="s">
        <v>3593</v>
      </c>
      <c r="N828" s="310" t="s">
        <v>8586</v>
      </c>
      <c r="O828" s="598"/>
      <c r="P828" s="579">
        <v>4376.0</v>
      </c>
      <c r="Q828" s="310" t="s">
        <v>2080</v>
      </c>
      <c r="R828" s="330"/>
      <c r="S828" s="810">
        <v>43159.0</v>
      </c>
      <c r="T828" s="769">
        <v>43080.0</v>
      </c>
      <c r="U828" s="253" t="s">
        <v>8587</v>
      </c>
      <c r="V828" s="772">
        <v>47233.0</v>
      </c>
      <c r="W828" s="258">
        <v>43159.0</v>
      </c>
      <c r="X828" s="266" t="s">
        <v>8588</v>
      </c>
      <c r="Y828" s="253">
        <v>3.748570206E9</v>
      </c>
      <c r="Z828" s="330"/>
      <c r="AA828" s="330"/>
      <c r="AB828" s="330"/>
      <c r="AC828" s="253" t="s">
        <v>284</v>
      </c>
    </row>
    <row r="829" ht="15.75" customHeight="1">
      <c r="A829" s="764">
        <v>43073.0</v>
      </c>
      <c r="B829" s="597" t="s">
        <v>7314</v>
      </c>
      <c r="C829" s="765">
        <v>7.000134513E9</v>
      </c>
      <c r="D829" s="252" t="s">
        <v>8585</v>
      </c>
      <c r="E829" s="252" t="s">
        <v>6968</v>
      </c>
      <c r="F829" s="253">
        <v>2.0</v>
      </c>
      <c r="G829" s="254">
        <v>110.0</v>
      </c>
      <c r="H829" s="846">
        <f t="shared" si="9"/>
        <v>220</v>
      </c>
      <c r="I829" s="256" t="s">
        <v>43</v>
      </c>
      <c r="J829" s="777" t="s">
        <v>3623</v>
      </c>
      <c r="K829" s="258">
        <v>43083.0</v>
      </c>
      <c r="L829" s="258">
        <v>43081.0</v>
      </c>
      <c r="M829" s="333" t="s">
        <v>3593</v>
      </c>
      <c r="N829" s="310" t="s">
        <v>8586</v>
      </c>
      <c r="O829" s="598"/>
      <c r="P829" s="579">
        <v>6430.0</v>
      </c>
      <c r="Q829" s="310" t="s">
        <v>2080</v>
      </c>
      <c r="R829" s="330"/>
      <c r="S829" s="810">
        <v>43159.0</v>
      </c>
      <c r="T829" s="769">
        <v>43080.0</v>
      </c>
      <c r="U829" s="253" t="s">
        <v>8587</v>
      </c>
      <c r="V829" s="772" t="s">
        <v>8589</v>
      </c>
      <c r="W829" s="258">
        <v>43159.0</v>
      </c>
      <c r="X829" s="266" t="s">
        <v>8588</v>
      </c>
      <c r="Y829" s="253">
        <v>3.748570206E9</v>
      </c>
      <c r="Z829" s="330"/>
      <c r="AA829" s="330"/>
      <c r="AB829" s="330"/>
      <c r="AC829" s="253" t="s">
        <v>284</v>
      </c>
    </row>
    <row r="830" ht="15.75" customHeight="1">
      <c r="A830" s="764">
        <v>43073.0</v>
      </c>
      <c r="B830" s="597" t="s">
        <v>7314</v>
      </c>
      <c r="C830" s="765">
        <v>7.000134513E9</v>
      </c>
      <c r="D830" s="252" t="s">
        <v>8585</v>
      </c>
      <c r="E830" s="252" t="s">
        <v>3720</v>
      </c>
      <c r="F830" s="253">
        <v>4.0</v>
      </c>
      <c r="G830" s="254">
        <v>5.0</v>
      </c>
      <c r="H830" s="846">
        <f t="shared" si="9"/>
        <v>20</v>
      </c>
      <c r="I830" s="256" t="s">
        <v>43</v>
      </c>
      <c r="J830" s="777" t="s">
        <v>3623</v>
      </c>
      <c r="K830" s="258">
        <v>43083.0</v>
      </c>
      <c r="L830" s="258">
        <v>43081.0</v>
      </c>
      <c r="M830" s="333" t="s">
        <v>3593</v>
      </c>
      <c r="N830" s="310" t="s">
        <v>8586</v>
      </c>
      <c r="O830" s="598"/>
      <c r="P830" s="579">
        <v>567.0</v>
      </c>
      <c r="Q830" s="310" t="s">
        <v>2080</v>
      </c>
      <c r="R830" s="330"/>
      <c r="S830" s="810">
        <v>43159.0</v>
      </c>
      <c r="T830" s="769">
        <v>43080.0</v>
      </c>
      <c r="U830" s="253" t="s">
        <v>8587</v>
      </c>
      <c r="V830" s="772" t="s">
        <v>8589</v>
      </c>
      <c r="W830" s="258">
        <v>43159.0</v>
      </c>
      <c r="X830" s="266" t="s">
        <v>8588</v>
      </c>
      <c r="Y830" s="253">
        <v>3.748570206E9</v>
      </c>
      <c r="Z830" s="330"/>
      <c r="AA830" s="330"/>
      <c r="AB830" s="330"/>
      <c r="AC830" s="253" t="s">
        <v>284</v>
      </c>
    </row>
    <row r="831" ht="15.75" customHeight="1">
      <c r="A831" s="764">
        <v>43073.0</v>
      </c>
      <c r="B831" s="597" t="s">
        <v>7314</v>
      </c>
      <c r="C831" s="765">
        <v>7.000134513E9</v>
      </c>
      <c r="D831" s="252" t="s">
        <v>8585</v>
      </c>
      <c r="E831" s="252" t="s">
        <v>3724</v>
      </c>
      <c r="F831" s="253">
        <v>4.0</v>
      </c>
      <c r="G831" s="254">
        <v>8.5</v>
      </c>
      <c r="H831" s="846">
        <f t="shared" si="9"/>
        <v>34</v>
      </c>
      <c r="I831" s="256" t="s">
        <v>43</v>
      </c>
      <c r="J831" s="333" t="s">
        <v>3623</v>
      </c>
      <c r="K831" s="258">
        <v>43083.0</v>
      </c>
      <c r="L831" s="258">
        <v>43081.0</v>
      </c>
      <c r="M831" s="333" t="s">
        <v>3593</v>
      </c>
      <c r="N831" s="310" t="s">
        <v>8586</v>
      </c>
      <c r="O831" s="598"/>
      <c r="P831" s="579">
        <v>815.0</v>
      </c>
      <c r="Q831" s="310" t="s">
        <v>2080</v>
      </c>
      <c r="R831" s="330"/>
      <c r="S831" s="810">
        <v>43159.0</v>
      </c>
      <c r="T831" s="769">
        <v>43080.0</v>
      </c>
      <c r="U831" s="253" t="s">
        <v>8587</v>
      </c>
      <c r="V831" s="772" t="s">
        <v>8589</v>
      </c>
      <c r="W831" s="258">
        <v>43159.0</v>
      </c>
      <c r="X831" s="266" t="s">
        <v>8588</v>
      </c>
      <c r="Y831" s="253">
        <v>3.748570206E9</v>
      </c>
      <c r="Z831" s="330"/>
      <c r="AA831" s="330"/>
      <c r="AB831" s="330"/>
      <c r="AC831" s="253" t="s">
        <v>284</v>
      </c>
    </row>
    <row r="832" ht="15.75" customHeight="1">
      <c r="A832" s="764">
        <v>43073.0</v>
      </c>
      <c r="B832" s="597" t="s">
        <v>7314</v>
      </c>
      <c r="C832" s="765">
        <v>7.000134513E9</v>
      </c>
      <c r="D832" s="252" t="s">
        <v>8585</v>
      </c>
      <c r="E832" s="252" t="s">
        <v>3726</v>
      </c>
      <c r="F832" s="253">
        <v>4.0</v>
      </c>
      <c r="G832" s="254">
        <v>250.0</v>
      </c>
      <c r="H832" s="846">
        <f t="shared" si="9"/>
        <v>1000</v>
      </c>
      <c r="I832" s="256" t="s">
        <v>43</v>
      </c>
      <c r="J832" s="403" t="s">
        <v>3623</v>
      </c>
      <c r="K832" s="258">
        <v>43083.0</v>
      </c>
      <c r="L832" s="258">
        <v>43081.0</v>
      </c>
      <c r="M832" s="333" t="s">
        <v>3593</v>
      </c>
      <c r="N832" s="310" t="s">
        <v>8586</v>
      </c>
      <c r="O832" s="598"/>
      <c r="P832" s="579">
        <v>28493.0</v>
      </c>
      <c r="Q832" s="310" t="s">
        <v>2080</v>
      </c>
      <c r="R832" s="330"/>
      <c r="S832" s="810">
        <v>43159.0</v>
      </c>
      <c r="T832" s="769">
        <v>43080.0</v>
      </c>
      <c r="U832" s="253" t="s">
        <v>8587</v>
      </c>
      <c r="V832" s="772" t="s">
        <v>8589</v>
      </c>
      <c r="W832" s="258">
        <v>43159.0</v>
      </c>
      <c r="X832" s="266" t="s">
        <v>8588</v>
      </c>
      <c r="Y832" s="253">
        <v>3.748570206E9</v>
      </c>
      <c r="Z832" s="330"/>
      <c r="AA832" s="330"/>
      <c r="AB832" s="330"/>
      <c r="AC832" s="253" t="s">
        <v>284</v>
      </c>
    </row>
    <row r="833" ht="15.75" customHeight="1">
      <c r="A833" s="764">
        <v>43073.0</v>
      </c>
      <c r="B833" s="1114" t="s">
        <v>7314</v>
      </c>
      <c r="C833" s="895">
        <v>7.000134513E9</v>
      </c>
      <c r="D833" s="368" t="s">
        <v>8585</v>
      </c>
      <c r="E833" s="368" t="s">
        <v>3727</v>
      </c>
      <c r="F833" s="253">
        <v>4.0</v>
      </c>
      <c r="G833" s="254">
        <v>55.0</v>
      </c>
      <c r="H833" s="846">
        <f t="shared" si="9"/>
        <v>220</v>
      </c>
      <c r="I833" s="807" t="s">
        <v>43</v>
      </c>
      <c r="J833" s="777" t="s">
        <v>3623</v>
      </c>
      <c r="K833" s="258">
        <v>43083.0</v>
      </c>
      <c r="L833" s="258">
        <v>43081.0</v>
      </c>
      <c r="M833" s="333" t="s">
        <v>3593</v>
      </c>
      <c r="N833" s="310" t="s">
        <v>8586</v>
      </c>
      <c r="O833" s="598"/>
      <c r="P833" s="579">
        <v>6552.0</v>
      </c>
      <c r="Q833" s="320" t="s">
        <v>2080</v>
      </c>
      <c r="R833" s="330"/>
      <c r="S833" s="810">
        <v>43159.0</v>
      </c>
      <c r="T833" s="769">
        <v>43080.0</v>
      </c>
      <c r="U833" s="253" t="s">
        <v>8587</v>
      </c>
      <c r="V833" s="772" t="s">
        <v>8589</v>
      </c>
      <c r="W833" s="258">
        <v>43159.0</v>
      </c>
      <c r="X833" s="266" t="s">
        <v>8588</v>
      </c>
      <c r="Y833" s="253">
        <v>3.748570206E9</v>
      </c>
      <c r="Z833" s="330"/>
      <c r="AA833" s="330"/>
      <c r="AB833" s="330"/>
      <c r="AC833" s="253" t="s">
        <v>284</v>
      </c>
    </row>
    <row r="834" ht="15.75" customHeight="1">
      <c r="A834" s="764">
        <v>43074.0</v>
      </c>
      <c r="B834" s="1004" t="s">
        <v>621</v>
      </c>
      <c r="C834" s="765"/>
      <c r="D834" s="765" t="s">
        <v>8590</v>
      </c>
      <c r="E834" s="765" t="s">
        <v>8591</v>
      </c>
      <c r="F834" s="253">
        <v>4.0</v>
      </c>
      <c r="G834" s="254">
        <v>360.0</v>
      </c>
      <c r="H834" s="846">
        <f t="shared" si="9"/>
        <v>1440</v>
      </c>
      <c r="I834" s="256" t="s">
        <v>3474</v>
      </c>
      <c r="J834" s="256" t="s">
        <v>90</v>
      </c>
      <c r="K834" s="258">
        <v>43083.0</v>
      </c>
      <c r="L834" s="258">
        <v>43083.0</v>
      </c>
      <c r="M834" s="333" t="s">
        <v>90</v>
      </c>
      <c r="N834" s="310" t="s">
        <v>8592</v>
      </c>
      <c r="O834" s="268">
        <v>1260.0</v>
      </c>
      <c r="P834" s="330"/>
      <c r="Q834" s="340" t="s">
        <v>94</v>
      </c>
      <c r="R834" s="330"/>
      <c r="S834" s="330"/>
      <c r="T834" s="769">
        <v>43083.0</v>
      </c>
      <c r="U834" s="765" t="s">
        <v>8593</v>
      </c>
      <c r="V834" s="772">
        <v>80465.0</v>
      </c>
      <c r="W834" s="601">
        <v>43126.0</v>
      </c>
      <c r="X834" s="765" t="s">
        <v>8594</v>
      </c>
      <c r="Y834" s="253" t="s">
        <v>8595</v>
      </c>
      <c r="Z834" s="765" t="s">
        <v>8596</v>
      </c>
      <c r="AA834" s="1111">
        <v>45383.0</v>
      </c>
      <c r="AB834" s="253" t="s">
        <v>2891</v>
      </c>
      <c r="AC834" s="253" t="s">
        <v>377</v>
      </c>
    </row>
    <row r="835" ht="15.75" customHeight="1">
      <c r="A835" s="764">
        <v>43074.0</v>
      </c>
      <c r="B835" s="1004" t="s">
        <v>621</v>
      </c>
      <c r="C835" s="765"/>
      <c r="D835" s="765" t="s">
        <v>8590</v>
      </c>
      <c r="E835" s="765" t="s">
        <v>3628</v>
      </c>
      <c r="F835" s="253">
        <v>8.0</v>
      </c>
      <c r="G835" s="254">
        <v>183.0</v>
      </c>
      <c r="H835" s="846">
        <f t="shared" si="9"/>
        <v>1464</v>
      </c>
      <c r="I835" s="256" t="s">
        <v>3474</v>
      </c>
      <c r="J835" s="256" t="s">
        <v>90</v>
      </c>
      <c r="K835" s="258">
        <v>43083.0</v>
      </c>
      <c r="L835" s="258">
        <v>43083.0</v>
      </c>
      <c r="M835" s="333" t="s">
        <v>90</v>
      </c>
      <c r="N835" s="310" t="s">
        <v>8592</v>
      </c>
      <c r="O835" s="268">
        <v>1428.0</v>
      </c>
      <c r="P835" s="330"/>
      <c r="Q835" s="340" t="s">
        <v>94</v>
      </c>
      <c r="R835" s="330"/>
      <c r="S835" s="330"/>
      <c r="T835" s="769">
        <v>43083.0</v>
      </c>
      <c r="U835" s="765" t="s">
        <v>8593</v>
      </c>
      <c r="V835" s="772" t="s">
        <v>8597</v>
      </c>
      <c r="W835" s="601">
        <v>43126.0</v>
      </c>
      <c r="X835" s="765" t="s">
        <v>8594</v>
      </c>
      <c r="Y835" s="253" t="s">
        <v>8595</v>
      </c>
      <c r="Z835" s="765" t="s">
        <v>8596</v>
      </c>
      <c r="AA835" s="1111">
        <v>46139.0</v>
      </c>
      <c r="AB835" s="253" t="s">
        <v>2891</v>
      </c>
      <c r="AC835" s="253" t="s">
        <v>377</v>
      </c>
    </row>
    <row r="836" ht="15.75" customHeight="1">
      <c r="A836" s="764">
        <v>43076.0</v>
      </c>
      <c r="B836" s="1004" t="s">
        <v>101</v>
      </c>
      <c r="C836" s="765" t="s">
        <v>8598</v>
      </c>
      <c r="D836" s="765" t="s">
        <v>8599</v>
      </c>
      <c r="E836" s="765" t="s">
        <v>7024</v>
      </c>
      <c r="F836" s="253">
        <v>27.0</v>
      </c>
      <c r="G836" s="254">
        <v>6.0</v>
      </c>
      <c r="H836" s="846">
        <f t="shared" ref="H836:H850" si="10">F836*G836</f>
        <v>162</v>
      </c>
      <c r="I836" s="256" t="s">
        <v>3474</v>
      </c>
      <c r="J836" s="369" t="s">
        <v>3739</v>
      </c>
      <c r="K836" s="258">
        <v>43094.0</v>
      </c>
      <c r="L836" s="258">
        <v>43094.0</v>
      </c>
      <c r="M836" s="333" t="s">
        <v>1439</v>
      </c>
      <c r="N836" s="310" t="s">
        <v>8600</v>
      </c>
      <c r="O836" s="268">
        <v>141.75</v>
      </c>
      <c r="P836" s="330"/>
      <c r="Q836" s="320" t="s">
        <v>1976</v>
      </c>
      <c r="R836" s="330"/>
      <c r="S836" s="810">
        <v>43131.0</v>
      </c>
      <c r="T836" s="769">
        <v>43090.0</v>
      </c>
      <c r="U836" s="765" t="s">
        <v>8601</v>
      </c>
      <c r="V836" s="772">
        <v>731917.0</v>
      </c>
      <c r="W836" s="601">
        <v>43144.0</v>
      </c>
      <c r="X836" s="252" t="s">
        <v>8482</v>
      </c>
      <c r="Y836" s="253">
        <v>9.287082022E9</v>
      </c>
      <c r="Z836" s="330"/>
      <c r="AA836" s="330"/>
      <c r="AB836" s="330"/>
      <c r="AC836" s="253" t="s">
        <v>284</v>
      </c>
    </row>
    <row r="837" ht="15.75" customHeight="1">
      <c r="A837" s="764">
        <v>43076.0</v>
      </c>
      <c r="B837" s="1004" t="s">
        <v>101</v>
      </c>
      <c r="C837" s="765" t="s">
        <v>8598</v>
      </c>
      <c r="D837" s="765" t="s">
        <v>8599</v>
      </c>
      <c r="E837" s="765" t="s">
        <v>8602</v>
      </c>
      <c r="F837" s="253">
        <v>27.0</v>
      </c>
      <c r="G837" s="254">
        <v>847.0</v>
      </c>
      <c r="H837" s="846">
        <f t="shared" si="10"/>
        <v>22869</v>
      </c>
      <c r="I837" s="256" t="s">
        <v>3474</v>
      </c>
      <c r="J837" s="369" t="s">
        <v>3739</v>
      </c>
      <c r="K837" s="258">
        <v>43094.0</v>
      </c>
      <c r="L837" s="258">
        <v>43094.0</v>
      </c>
      <c r="M837" s="333" t="s">
        <v>1439</v>
      </c>
      <c r="N837" s="310" t="s">
        <v>8600</v>
      </c>
      <c r="O837" s="268">
        <v>23247.0</v>
      </c>
      <c r="P837" s="330"/>
      <c r="Q837" s="320" t="s">
        <v>1976</v>
      </c>
      <c r="R837" s="330"/>
      <c r="S837" s="810">
        <v>43131.0</v>
      </c>
      <c r="T837" s="769">
        <v>43090.0</v>
      </c>
      <c r="U837" s="765" t="s">
        <v>8601</v>
      </c>
      <c r="V837" s="765" t="s">
        <v>8603</v>
      </c>
      <c r="W837" s="601">
        <v>43144.0</v>
      </c>
      <c r="X837" s="252" t="s">
        <v>8482</v>
      </c>
      <c r="Y837" s="253">
        <v>9.287082022E9</v>
      </c>
      <c r="Z837" s="330"/>
      <c r="AA837" s="330"/>
      <c r="AB837" s="330"/>
      <c r="AC837" s="253" t="s">
        <v>284</v>
      </c>
    </row>
    <row r="838" ht="15.75" customHeight="1">
      <c r="A838" s="764">
        <v>43076.0</v>
      </c>
      <c r="B838" s="1004" t="s">
        <v>101</v>
      </c>
      <c r="C838" s="765" t="s">
        <v>8598</v>
      </c>
      <c r="D838" s="765" t="s">
        <v>8599</v>
      </c>
      <c r="E838" s="765" t="s">
        <v>7030</v>
      </c>
      <c r="F838" s="253">
        <v>27.0</v>
      </c>
      <c r="G838" s="254">
        <f>G837*10%</f>
        <v>84.7</v>
      </c>
      <c r="H838" s="846">
        <f t="shared" si="10"/>
        <v>2286.9</v>
      </c>
      <c r="I838" s="256" t="s">
        <v>3474</v>
      </c>
      <c r="J838" s="369" t="s">
        <v>3739</v>
      </c>
      <c r="K838" s="258">
        <v>43094.0</v>
      </c>
      <c r="L838" s="258">
        <v>43094.0</v>
      </c>
      <c r="M838" s="333" t="s">
        <v>1439</v>
      </c>
      <c r="N838" s="310" t="s">
        <v>8600</v>
      </c>
      <c r="O838" s="267" t="s">
        <v>8604</v>
      </c>
      <c r="P838" s="330"/>
      <c r="Q838" s="320" t="s">
        <v>1976</v>
      </c>
      <c r="R838" s="330"/>
      <c r="S838" s="810">
        <v>43131.0</v>
      </c>
      <c r="T838" s="769">
        <v>43090.0</v>
      </c>
      <c r="U838" s="765" t="s">
        <v>8601</v>
      </c>
      <c r="V838" s="765" t="s">
        <v>8603</v>
      </c>
      <c r="W838" s="601">
        <v>43144.0</v>
      </c>
      <c r="X838" s="252" t="s">
        <v>8482</v>
      </c>
      <c r="Y838" s="253">
        <v>9.287082022E9</v>
      </c>
      <c r="Z838" s="330"/>
      <c r="AA838" s="330"/>
      <c r="AB838" s="330"/>
      <c r="AC838" s="253" t="s">
        <v>284</v>
      </c>
    </row>
    <row r="839" ht="15.75" customHeight="1">
      <c r="A839" s="764">
        <v>43076.0</v>
      </c>
      <c r="B839" s="1004" t="s">
        <v>101</v>
      </c>
      <c r="C839" s="765" t="s">
        <v>8598</v>
      </c>
      <c r="D839" s="765" t="s">
        <v>8599</v>
      </c>
      <c r="E839" s="765" t="s">
        <v>6932</v>
      </c>
      <c r="F839" s="253">
        <v>27.0</v>
      </c>
      <c r="G839" s="254">
        <v>41.0</v>
      </c>
      <c r="H839" s="846">
        <f t="shared" si="10"/>
        <v>1107</v>
      </c>
      <c r="I839" s="256" t="s">
        <v>3474</v>
      </c>
      <c r="J839" s="369" t="s">
        <v>3739</v>
      </c>
      <c r="K839" s="258">
        <v>43094.0</v>
      </c>
      <c r="L839" s="258">
        <v>43094.0</v>
      </c>
      <c r="M839" s="333" t="s">
        <v>1439</v>
      </c>
      <c r="N839" s="310" t="s">
        <v>8600</v>
      </c>
      <c r="O839" s="268">
        <v>992.25</v>
      </c>
      <c r="P839" s="330"/>
      <c r="Q839" s="320" t="s">
        <v>1976</v>
      </c>
      <c r="R839" s="330"/>
      <c r="S839" s="810">
        <v>43131.0</v>
      </c>
      <c r="T839" s="769">
        <v>43090.0</v>
      </c>
      <c r="U839" s="765" t="s">
        <v>8601</v>
      </c>
      <c r="V839" s="765" t="s">
        <v>8603</v>
      </c>
      <c r="W839" s="601">
        <v>43144.0</v>
      </c>
      <c r="X839" s="252" t="s">
        <v>8482</v>
      </c>
      <c r="Y839" s="253">
        <v>9.287082022E9</v>
      </c>
      <c r="Z839" s="330"/>
      <c r="AA839" s="330"/>
      <c r="AB839" s="330"/>
      <c r="AC839" s="253" t="s">
        <v>284</v>
      </c>
    </row>
    <row r="840" ht="15.75" customHeight="1">
      <c r="A840" s="764">
        <v>43076.0</v>
      </c>
      <c r="B840" s="1004" t="s">
        <v>101</v>
      </c>
      <c r="C840" s="765" t="s">
        <v>8605</v>
      </c>
      <c r="D840" s="252" t="s">
        <v>8606</v>
      </c>
      <c r="E840" s="252" t="s">
        <v>8607</v>
      </c>
      <c r="F840" s="307">
        <v>29.0</v>
      </c>
      <c r="G840" s="338">
        <v>291.0</v>
      </c>
      <c r="H840" s="846">
        <f t="shared" si="10"/>
        <v>8439</v>
      </c>
      <c r="I840" s="256" t="s">
        <v>3474</v>
      </c>
      <c r="J840" s="369" t="s">
        <v>3739</v>
      </c>
      <c r="K840" s="258">
        <v>43097.0</v>
      </c>
      <c r="L840" s="258">
        <v>43090.0</v>
      </c>
      <c r="M840" s="403" t="s">
        <v>2028</v>
      </c>
      <c r="N840" s="310" t="s">
        <v>8608</v>
      </c>
      <c r="O840" s="598"/>
      <c r="P840" s="579">
        <v>239337.0</v>
      </c>
      <c r="Q840" s="578" t="s">
        <v>2030</v>
      </c>
      <c r="R840" s="330"/>
      <c r="S840" s="768">
        <v>43136.0</v>
      </c>
      <c r="T840" s="769">
        <v>43089.0</v>
      </c>
      <c r="U840" s="765" t="s">
        <v>8609</v>
      </c>
      <c r="V840" s="774">
        <v>255843.0</v>
      </c>
      <c r="W840" s="601">
        <v>43136.0</v>
      </c>
      <c r="X840" s="252" t="s">
        <v>8610</v>
      </c>
      <c r="Y840" s="253">
        <v>7.911796815E9</v>
      </c>
      <c r="Z840" s="330"/>
      <c r="AA840" s="330"/>
      <c r="AB840" s="330"/>
      <c r="AC840" s="253" t="s">
        <v>284</v>
      </c>
    </row>
    <row r="841" ht="15.75" customHeight="1">
      <c r="A841" s="764">
        <v>43076.0</v>
      </c>
      <c r="B841" s="1004" t="s">
        <v>101</v>
      </c>
      <c r="C841" s="765" t="s">
        <v>8605</v>
      </c>
      <c r="D841" s="252" t="s">
        <v>8611</v>
      </c>
      <c r="E841" s="252" t="s">
        <v>8612</v>
      </c>
      <c r="F841" s="307">
        <v>29.0</v>
      </c>
      <c r="G841" s="793">
        <v>110.0</v>
      </c>
      <c r="H841" s="846">
        <f t="shared" si="10"/>
        <v>3190</v>
      </c>
      <c r="I841" s="256" t="s">
        <v>3474</v>
      </c>
      <c r="J841" s="369" t="s">
        <v>3739</v>
      </c>
      <c r="K841" s="258">
        <v>43097.0</v>
      </c>
      <c r="L841" s="258">
        <v>43090.0</v>
      </c>
      <c r="M841" s="592" t="s">
        <v>7811</v>
      </c>
      <c r="N841" s="310" t="s">
        <v>8613</v>
      </c>
      <c r="O841" s="268">
        <v>2770.95</v>
      </c>
      <c r="P841" s="330">
        <v>88862.0</v>
      </c>
      <c r="Q841" s="340" t="s">
        <v>7814</v>
      </c>
      <c r="R841" s="330"/>
      <c r="S841" s="330"/>
      <c r="T841" s="769">
        <v>43090.0</v>
      </c>
      <c r="U841" s="765" t="s">
        <v>8614</v>
      </c>
      <c r="V841" s="774">
        <v>88862.0</v>
      </c>
      <c r="W841" s="601">
        <v>43088.0</v>
      </c>
      <c r="X841" s="252" t="s">
        <v>8610</v>
      </c>
      <c r="Y841" s="253">
        <v>7.911796815E9</v>
      </c>
      <c r="Z841" s="330"/>
      <c r="AA841" s="330"/>
      <c r="AB841" s="330"/>
      <c r="AC841" s="253" t="s">
        <v>284</v>
      </c>
    </row>
    <row r="842" ht="15.75" customHeight="1">
      <c r="A842" s="764">
        <v>43076.0</v>
      </c>
      <c r="B842" s="1004" t="s">
        <v>101</v>
      </c>
      <c r="C842" s="765" t="s">
        <v>8615</v>
      </c>
      <c r="D842" s="252" t="s">
        <v>8616</v>
      </c>
      <c r="E842" s="252" t="s">
        <v>8617</v>
      </c>
      <c r="F842" s="307">
        <v>2.0</v>
      </c>
      <c r="G842" s="793">
        <v>291.0</v>
      </c>
      <c r="H842" s="846">
        <f t="shared" si="10"/>
        <v>582</v>
      </c>
      <c r="I842" s="256" t="s">
        <v>3474</v>
      </c>
      <c r="J842" s="369" t="s">
        <v>3568</v>
      </c>
      <c r="K842" s="258">
        <v>43097.0</v>
      </c>
      <c r="L842" s="258">
        <v>43090.0</v>
      </c>
      <c r="M842" s="1073" t="s">
        <v>2028</v>
      </c>
      <c r="N842" s="310" t="s">
        <v>8608</v>
      </c>
      <c r="O842" s="598"/>
      <c r="P842" s="579">
        <v>16506.0</v>
      </c>
      <c r="Q842" s="340" t="s">
        <v>2030</v>
      </c>
      <c r="R842" s="330"/>
      <c r="S842" s="768">
        <v>43136.0</v>
      </c>
      <c r="T842" s="769">
        <v>43089.0</v>
      </c>
      <c r="U842" s="765" t="s">
        <v>8609</v>
      </c>
      <c r="V842" s="765" t="s">
        <v>8618</v>
      </c>
      <c r="W842" s="601">
        <v>43136.0</v>
      </c>
      <c r="X842" s="765" t="s">
        <v>8369</v>
      </c>
      <c r="Y842" s="253" t="s">
        <v>8370</v>
      </c>
      <c r="Z842" s="330"/>
      <c r="AA842" s="330"/>
      <c r="AB842" s="330"/>
      <c r="AC842" s="253" t="s">
        <v>284</v>
      </c>
    </row>
    <row r="843" ht="15.75" customHeight="1">
      <c r="A843" s="764">
        <v>43076.0</v>
      </c>
      <c r="B843" s="1004" t="s">
        <v>101</v>
      </c>
      <c r="C843" s="765" t="s">
        <v>8615</v>
      </c>
      <c r="D843" s="252" t="s">
        <v>8619</v>
      </c>
      <c r="E843" s="252" t="s">
        <v>8612</v>
      </c>
      <c r="F843" s="307">
        <v>2.0</v>
      </c>
      <c r="G843" s="793">
        <v>110.0</v>
      </c>
      <c r="H843" s="846">
        <f t="shared" si="10"/>
        <v>220</v>
      </c>
      <c r="I843" s="256" t="s">
        <v>3474</v>
      </c>
      <c r="J843" s="369" t="s">
        <v>3568</v>
      </c>
      <c r="K843" s="258">
        <v>43097.0</v>
      </c>
      <c r="L843" s="258">
        <v>43090.0</v>
      </c>
      <c r="M843" s="253" t="s">
        <v>7811</v>
      </c>
      <c r="N843" s="310" t="s">
        <v>8613</v>
      </c>
      <c r="O843" s="268">
        <v>191.1</v>
      </c>
      <c r="P843" s="331" t="s">
        <v>8620</v>
      </c>
      <c r="Q843" s="578" t="s">
        <v>7814</v>
      </c>
      <c r="R843" s="330"/>
      <c r="S843" s="330"/>
      <c r="T843" s="769">
        <v>43090.0</v>
      </c>
      <c r="U843" s="765" t="s">
        <v>8614</v>
      </c>
      <c r="V843" s="765" t="s">
        <v>8621</v>
      </c>
      <c r="W843" s="601">
        <v>43088.0</v>
      </c>
      <c r="X843" s="765" t="s">
        <v>8369</v>
      </c>
      <c r="Y843" s="1115" t="s">
        <v>8370</v>
      </c>
      <c r="Z843" s="330"/>
      <c r="AA843" s="330"/>
      <c r="AB843" s="330"/>
      <c r="AC843" s="253" t="s">
        <v>284</v>
      </c>
    </row>
    <row r="844" ht="15.75" customHeight="1">
      <c r="A844" s="764">
        <v>43076.0</v>
      </c>
      <c r="B844" s="1004" t="s">
        <v>101</v>
      </c>
      <c r="C844" s="765" t="s">
        <v>8605</v>
      </c>
      <c r="D844" s="252" t="s">
        <v>8622</v>
      </c>
      <c r="E844" s="252" t="s">
        <v>7130</v>
      </c>
      <c r="F844" s="307">
        <v>29.0</v>
      </c>
      <c r="G844" s="793">
        <v>62.0</v>
      </c>
      <c r="H844" s="846">
        <f t="shared" si="10"/>
        <v>1798</v>
      </c>
      <c r="I844" s="256" t="s">
        <v>3474</v>
      </c>
      <c r="J844" s="369" t="s">
        <v>3739</v>
      </c>
      <c r="K844" s="258">
        <v>43097.0</v>
      </c>
      <c r="L844" s="258">
        <v>43088.0</v>
      </c>
      <c r="M844" s="333" t="s">
        <v>2170</v>
      </c>
      <c r="N844" s="310" t="s">
        <v>8623</v>
      </c>
      <c r="O844" s="268">
        <v>1589.49</v>
      </c>
      <c r="P844" s="330">
        <v>50973.0</v>
      </c>
      <c r="Q844" s="320" t="s">
        <v>2172</v>
      </c>
      <c r="R844" s="330"/>
      <c r="S844" s="330"/>
      <c r="T844" s="769">
        <v>43087.0</v>
      </c>
      <c r="U844" s="765" t="s">
        <v>8624</v>
      </c>
      <c r="V844" s="774">
        <v>50973.0</v>
      </c>
      <c r="W844" s="601">
        <v>43084.0</v>
      </c>
      <c r="X844" s="252" t="s">
        <v>8610</v>
      </c>
      <c r="Y844" s="253">
        <v>7.911796815E9</v>
      </c>
      <c r="Z844" s="330"/>
      <c r="AA844" s="330"/>
      <c r="AB844" s="330"/>
      <c r="AC844" s="253" t="s">
        <v>284</v>
      </c>
    </row>
    <row r="845" ht="15.75" customHeight="1">
      <c r="A845" s="764">
        <v>43076.0</v>
      </c>
      <c r="B845" s="1004" t="s">
        <v>101</v>
      </c>
      <c r="C845" s="765" t="s">
        <v>8615</v>
      </c>
      <c r="D845" s="252" t="s">
        <v>8625</v>
      </c>
      <c r="E845" s="252" t="s">
        <v>7130</v>
      </c>
      <c r="F845" s="307">
        <v>2.0</v>
      </c>
      <c r="G845" s="793">
        <v>62.0</v>
      </c>
      <c r="H845" s="846">
        <f t="shared" si="10"/>
        <v>124</v>
      </c>
      <c r="I845" s="256" t="s">
        <v>3474</v>
      </c>
      <c r="J845" s="369" t="s">
        <v>3568</v>
      </c>
      <c r="K845" s="258">
        <v>43097.0</v>
      </c>
      <c r="L845" s="258">
        <v>43088.0</v>
      </c>
      <c r="M845" s="1073" t="s">
        <v>2170</v>
      </c>
      <c r="N845" s="310" t="s">
        <v>8623</v>
      </c>
      <c r="O845" s="268">
        <v>109.62</v>
      </c>
      <c r="P845" s="331" t="s">
        <v>8626</v>
      </c>
      <c r="Q845" s="320" t="s">
        <v>2172</v>
      </c>
      <c r="R845" s="330"/>
      <c r="S845" s="330"/>
      <c r="T845" s="769">
        <v>43087.0</v>
      </c>
      <c r="U845" s="765" t="s">
        <v>8624</v>
      </c>
      <c r="V845" s="765" t="s">
        <v>8627</v>
      </c>
      <c r="W845" s="601">
        <v>43084.0</v>
      </c>
      <c r="X845" s="765" t="s">
        <v>8369</v>
      </c>
      <c r="Y845" s="253" t="s">
        <v>8370</v>
      </c>
      <c r="Z845" s="330"/>
      <c r="AA845" s="330"/>
      <c r="AB845" s="330"/>
      <c r="AC845" s="253" t="s">
        <v>284</v>
      </c>
    </row>
    <row r="846" ht="15.75" customHeight="1">
      <c r="A846" s="764">
        <v>43076.0</v>
      </c>
      <c r="B846" s="1004" t="s">
        <v>101</v>
      </c>
      <c r="C846" s="765" t="s">
        <v>8598</v>
      </c>
      <c r="D846" s="765" t="s">
        <v>8599</v>
      </c>
      <c r="E846" s="765" t="s">
        <v>8628</v>
      </c>
      <c r="F846" s="253">
        <v>27.0</v>
      </c>
      <c r="G846" s="325">
        <v>98.0</v>
      </c>
      <c r="H846" s="846">
        <f t="shared" si="10"/>
        <v>2646</v>
      </c>
      <c r="I846" s="256" t="s">
        <v>3474</v>
      </c>
      <c r="J846" s="369" t="s">
        <v>3739</v>
      </c>
      <c r="K846" s="258">
        <v>43094.0</v>
      </c>
      <c r="L846" s="258">
        <v>43084.0</v>
      </c>
      <c r="M846" s="253" t="s">
        <v>1981</v>
      </c>
      <c r="N846" s="310" t="s">
        <v>8629</v>
      </c>
      <c r="O846" s="268">
        <v>2506.14</v>
      </c>
      <c r="P846" s="330"/>
      <c r="Q846" s="604" t="s">
        <v>3906</v>
      </c>
      <c r="R846" s="330"/>
      <c r="S846" s="330"/>
      <c r="T846" s="769">
        <v>43082.0</v>
      </c>
      <c r="U846" s="765" t="s">
        <v>8630</v>
      </c>
      <c r="V846" s="772">
        <v>75229.0</v>
      </c>
      <c r="W846" s="601">
        <v>43152.0</v>
      </c>
      <c r="X846" s="252" t="s">
        <v>8482</v>
      </c>
      <c r="Y846" s="264">
        <v>9.287082022E9</v>
      </c>
      <c r="Z846" s="330"/>
      <c r="AA846" s="330"/>
      <c r="AB846" s="330"/>
      <c r="AC846" s="253" t="s">
        <v>284</v>
      </c>
    </row>
    <row r="847" ht="15.75" customHeight="1">
      <c r="A847" s="764">
        <v>43087.0</v>
      </c>
      <c r="B847" s="1004" t="s">
        <v>101</v>
      </c>
      <c r="C847" s="765" t="s">
        <v>8631</v>
      </c>
      <c r="D847" s="422" t="s">
        <v>8632</v>
      </c>
      <c r="E847" s="422" t="s">
        <v>8633</v>
      </c>
      <c r="F847" s="253">
        <v>2.0</v>
      </c>
      <c r="G847" s="254">
        <v>489.0</v>
      </c>
      <c r="H847" s="846">
        <f t="shared" si="10"/>
        <v>978</v>
      </c>
      <c r="I847" s="256" t="s">
        <v>3474</v>
      </c>
      <c r="J847" s="369" t="s">
        <v>3568</v>
      </c>
      <c r="K847" s="258">
        <v>43097.0</v>
      </c>
      <c r="L847" s="258">
        <v>43096.0</v>
      </c>
      <c r="M847" s="333" t="s">
        <v>2028</v>
      </c>
      <c r="N847" s="310" t="s">
        <v>8634</v>
      </c>
      <c r="O847" s="598"/>
      <c r="P847" s="637">
        <v>27720.0</v>
      </c>
      <c r="Q847" s="340" t="s">
        <v>2030</v>
      </c>
      <c r="R847" s="330"/>
      <c r="S847" s="768">
        <v>43136.0</v>
      </c>
      <c r="T847" s="769">
        <v>43095.0</v>
      </c>
      <c r="U847" s="765" t="s">
        <v>8635</v>
      </c>
      <c r="V847" s="774">
        <v>27720.0</v>
      </c>
      <c r="W847" s="601">
        <v>43136.0</v>
      </c>
      <c r="X847" s="765" t="s">
        <v>8369</v>
      </c>
      <c r="Y847" s="253" t="s">
        <v>8370</v>
      </c>
      <c r="Z847" s="330"/>
      <c r="AA847" s="330"/>
      <c r="AB847" s="330"/>
      <c r="AC847" s="253" t="s">
        <v>284</v>
      </c>
    </row>
    <row r="848" ht="15.75" customHeight="1">
      <c r="A848" s="764">
        <v>43087.0</v>
      </c>
      <c r="B848" s="1004" t="s">
        <v>101</v>
      </c>
      <c r="C848" s="765" t="s">
        <v>8631</v>
      </c>
      <c r="D848" s="422" t="s">
        <v>8636</v>
      </c>
      <c r="E848" s="422" t="s">
        <v>8637</v>
      </c>
      <c r="F848" s="253">
        <v>2.0</v>
      </c>
      <c r="G848" s="254">
        <v>352.0</v>
      </c>
      <c r="H848" s="846">
        <f t="shared" si="10"/>
        <v>704</v>
      </c>
      <c r="I848" s="256" t="s">
        <v>3474</v>
      </c>
      <c r="J848" s="369" t="s">
        <v>3568</v>
      </c>
      <c r="K848" s="258">
        <v>43097.0</v>
      </c>
      <c r="L848" s="258">
        <v>43091.0</v>
      </c>
      <c r="M848" s="333" t="s">
        <v>2026</v>
      </c>
      <c r="N848" s="310" t="s">
        <v>8638</v>
      </c>
      <c r="O848" s="268">
        <v>598.5</v>
      </c>
      <c r="P848" s="330"/>
      <c r="Q848" s="320" t="s">
        <v>6346</v>
      </c>
      <c r="R848" s="330"/>
      <c r="S848" s="600"/>
      <c r="T848" s="769">
        <v>43088.0</v>
      </c>
      <c r="U848" s="765" t="s">
        <v>8639</v>
      </c>
      <c r="V848" s="774">
        <v>17958.0</v>
      </c>
      <c r="W848" s="601">
        <v>43138.0</v>
      </c>
      <c r="X848" s="765" t="s">
        <v>8369</v>
      </c>
      <c r="Y848" s="253" t="s">
        <v>8370</v>
      </c>
      <c r="Z848" s="330"/>
      <c r="AA848" s="330"/>
      <c r="AB848" s="330"/>
      <c r="AC848" s="253" t="s">
        <v>284</v>
      </c>
    </row>
    <row r="849" ht="15.75" customHeight="1">
      <c r="A849" s="764">
        <v>43087.0</v>
      </c>
      <c r="B849" s="1004" t="s">
        <v>101</v>
      </c>
      <c r="C849" s="765" t="s">
        <v>8631</v>
      </c>
      <c r="D849" s="422" t="s">
        <v>8632</v>
      </c>
      <c r="E849" s="422" t="s">
        <v>8640</v>
      </c>
      <c r="F849" s="253">
        <v>2.0</v>
      </c>
      <c r="G849" s="254">
        <v>98.0</v>
      </c>
      <c r="H849" s="846">
        <f t="shared" si="10"/>
        <v>196</v>
      </c>
      <c r="I849" s="256" t="s">
        <v>3474</v>
      </c>
      <c r="J849" s="369" t="s">
        <v>3568</v>
      </c>
      <c r="K849" s="258">
        <v>43097.0</v>
      </c>
      <c r="L849" s="258">
        <v>43089.0</v>
      </c>
      <c r="M849" s="333" t="s">
        <v>179</v>
      </c>
      <c r="N849" s="310" t="s">
        <v>8641</v>
      </c>
      <c r="O849" s="598"/>
      <c r="P849" s="330"/>
      <c r="Q849" s="597"/>
      <c r="R849" s="330"/>
      <c r="S849" s="330"/>
      <c r="T849" s="766"/>
      <c r="U849" s="766"/>
      <c r="V849" s="766"/>
      <c r="W849" s="1037"/>
      <c r="X849" s="765" t="s">
        <v>8369</v>
      </c>
      <c r="Y849" s="253" t="s">
        <v>8370</v>
      </c>
      <c r="Z849" s="330"/>
      <c r="AA849" s="330"/>
      <c r="AB849" s="330"/>
      <c r="AC849" s="253" t="s">
        <v>284</v>
      </c>
    </row>
    <row r="850" ht="15.75" customHeight="1">
      <c r="A850" s="764">
        <v>43089.0</v>
      </c>
      <c r="B850" s="1004" t="s">
        <v>6919</v>
      </c>
      <c r="C850" s="252" t="s">
        <v>8642</v>
      </c>
      <c r="D850" s="310" t="s">
        <v>8432</v>
      </c>
      <c r="E850" s="310" t="s">
        <v>8643</v>
      </c>
      <c r="F850" s="253">
        <v>8.0</v>
      </c>
      <c r="G850" s="254">
        <v>103.3</v>
      </c>
      <c r="H850" s="846">
        <f t="shared" si="10"/>
        <v>826.4</v>
      </c>
      <c r="I850" s="256" t="s">
        <v>171</v>
      </c>
      <c r="J850" s="369" t="s">
        <v>628</v>
      </c>
      <c r="K850" s="258">
        <v>43096.0</v>
      </c>
      <c r="L850" s="258">
        <v>43095.0</v>
      </c>
      <c r="M850" s="253" t="s">
        <v>8644</v>
      </c>
      <c r="N850" s="310" t="s">
        <v>8645</v>
      </c>
      <c r="O850" s="598"/>
      <c r="P850" s="310">
        <v>24121.0</v>
      </c>
      <c r="Q850" s="1116" t="s">
        <v>8646</v>
      </c>
      <c r="R850" s="330"/>
      <c r="S850" s="330"/>
      <c r="T850" s="769">
        <v>43095.0</v>
      </c>
      <c r="U850" s="765" t="s">
        <v>8647</v>
      </c>
      <c r="V850" s="774">
        <v>24121.0</v>
      </c>
      <c r="W850" s="601">
        <v>43105.0</v>
      </c>
      <c r="X850" s="765" t="s">
        <v>8648</v>
      </c>
      <c r="Y850" s="330" t="s">
        <v>8649</v>
      </c>
      <c r="Z850" s="765"/>
      <c r="AA850" s="1111">
        <v>26040.0</v>
      </c>
      <c r="AB850" s="330" t="s">
        <v>8650</v>
      </c>
      <c r="AC850" s="253" t="s">
        <v>377</v>
      </c>
    </row>
    <row r="851" ht="15.75" customHeight="1">
      <c r="A851" s="204"/>
      <c r="B851" s="649"/>
      <c r="C851" s="148"/>
      <c r="D851" s="148"/>
      <c r="E851" s="148"/>
      <c r="F851" s="54"/>
      <c r="G851" s="1105"/>
      <c r="H851" s="1117"/>
      <c r="I851" s="27"/>
      <c r="J851" s="63"/>
      <c r="K851" s="44"/>
      <c r="L851" s="76"/>
      <c r="M851" s="31"/>
      <c r="N851" s="41"/>
      <c r="O851" s="611"/>
      <c r="P851" s="150"/>
      <c r="Q851" s="23"/>
      <c r="R851" s="76"/>
      <c r="S851" s="76"/>
      <c r="T851" s="937"/>
      <c r="U851" s="937"/>
      <c r="V851" s="937"/>
      <c r="W851" s="1106"/>
      <c r="X851" s="1106"/>
      <c r="Y851" s="76"/>
      <c r="Z851" s="148"/>
      <c r="AA851" s="76"/>
      <c r="AB851" s="76"/>
      <c r="AC851" s="76"/>
    </row>
    <row r="852" ht="15.75" customHeight="1">
      <c r="A852" s="204"/>
      <c r="B852" s="649"/>
      <c r="C852" s="148"/>
      <c r="D852" s="148"/>
      <c r="E852" s="148"/>
      <c r="F852" s="54"/>
      <c r="G852" s="1105"/>
      <c r="H852" s="1117"/>
      <c r="I852" s="27"/>
      <c r="J852" s="63"/>
      <c r="K852" s="44"/>
      <c r="L852" s="76"/>
      <c r="M852" s="31"/>
      <c r="N852" s="41"/>
      <c r="O852" s="611"/>
      <c r="P852" s="150"/>
      <c r="Q852" s="23"/>
      <c r="R852" s="76"/>
      <c r="S852" s="76"/>
      <c r="T852" s="937"/>
      <c r="U852" s="937"/>
      <c r="V852" s="937"/>
      <c r="W852" s="1106"/>
      <c r="X852" s="1106"/>
      <c r="Y852" s="76"/>
      <c r="Z852" s="148"/>
      <c r="AA852" s="76"/>
      <c r="AB852" s="76"/>
      <c r="AC852" s="76"/>
    </row>
    <row r="853" ht="15.75" customHeight="1">
      <c r="A853" s="204"/>
      <c r="B853" s="649"/>
      <c r="C853" s="148"/>
      <c r="D853" s="148"/>
      <c r="E853" s="148"/>
      <c r="F853" s="54"/>
      <c r="G853" s="1105"/>
      <c r="H853" s="1117"/>
      <c r="I853" s="27"/>
      <c r="J853" s="63"/>
      <c r="K853" s="44"/>
      <c r="L853" s="76"/>
      <c r="M853" s="31"/>
      <c r="N853" s="41"/>
      <c r="O853" s="611"/>
      <c r="P853" s="150"/>
      <c r="Q853" s="23"/>
      <c r="R853" s="76"/>
      <c r="S853" s="76"/>
      <c r="T853" s="937"/>
      <c r="U853" s="937"/>
      <c r="V853" s="937"/>
      <c r="W853" s="1106"/>
      <c r="X853" s="1106"/>
      <c r="Y853" s="76"/>
      <c r="Z853" s="148"/>
      <c r="AA853" s="76"/>
      <c r="AB853" s="76"/>
      <c r="AC853" s="76"/>
    </row>
    <row r="854" ht="15.75" customHeight="1">
      <c r="A854" s="204"/>
      <c r="B854" s="649"/>
      <c r="C854" s="148"/>
      <c r="D854" s="148"/>
      <c r="E854" s="148"/>
      <c r="F854" s="54"/>
      <c r="G854" s="1105"/>
      <c r="H854" s="1117"/>
      <c r="I854" s="27"/>
      <c r="J854" s="63"/>
      <c r="K854" s="44"/>
      <c r="L854" s="76"/>
      <c r="M854" s="31"/>
      <c r="N854" s="41"/>
      <c r="O854" s="611"/>
      <c r="P854" s="150"/>
      <c r="Q854" s="23"/>
      <c r="R854" s="76"/>
      <c r="S854" s="76"/>
      <c r="T854" s="937"/>
      <c r="U854" s="937"/>
      <c r="V854" s="937"/>
      <c r="W854" s="1106"/>
      <c r="X854" s="1106"/>
      <c r="Y854" s="76"/>
      <c r="Z854" s="148"/>
      <c r="AA854" s="76"/>
      <c r="AB854" s="76"/>
      <c r="AC854" s="76"/>
    </row>
    <row r="855" ht="15.75" customHeight="1">
      <c r="A855" s="204"/>
      <c r="B855" s="649"/>
      <c r="C855" s="148"/>
      <c r="D855" s="148"/>
      <c r="E855" s="148"/>
      <c r="F855" s="54"/>
      <c r="G855" s="1105"/>
      <c r="H855" s="1117"/>
      <c r="I855" s="27"/>
      <c r="J855" s="63"/>
      <c r="K855" s="44"/>
      <c r="L855" s="76"/>
      <c r="M855" s="31"/>
      <c r="N855" s="41"/>
      <c r="O855" s="611"/>
      <c r="P855" s="150"/>
      <c r="Q855" s="23"/>
      <c r="R855" s="76"/>
      <c r="S855" s="76"/>
      <c r="T855" s="937"/>
      <c r="U855" s="937"/>
      <c r="V855" s="937"/>
      <c r="W855" s="1106"/>
      <c r="X855" s="1106"/>
      <c r="Y855" s="76"/>
      <c r="Z855" s="148"/>
      <c r="AA855" s="76"/>
      <c r="AB855" s="76"/>
      <c r="AC855" s="76"/>
    </row>
    <row r="856" ht="15.75" customHeight="1">
      <c r="A856" s="204"/>
      <c r="B856" s="649"/>
      <c r="C856" s="148"/>
      <c r="D856" s="148"/>
      <c r="E856" s="148"/>
      <c r="F856" s="54"/>
      <c r="G856" s="1105"/>
      <c r="H856" s="1117"/>
      <c r="I856" s="27"/>
      <c r="J856" s="63"/>
      <c r="K856" s="44"/>
      <c r="L856" s="76"/>
      <c r="M856" s="31"/>
      <c r="N856" s="41"/>
      <c r="O856" s="611"/>
      <c r="P856" s="150"/>
      <c r="Q856" s="23"/>
      <c r="R856" s="76"/>
      <c r="S856" s="76"/>
      <c r="T856" s="937"/>
      <c r="U856" s="937"/>
      <c r="V856" s="937"/>
      <c r="W856" s="1106"/>
      <c r="X856" s="1106"/>
      <c r="Y856" s="76"/>
      <c r="Z856" s="148"/>
      <c r="AA856" s="76"/>
      <c r="AB856" s="76"/>
      <c r="AC856" s="76"/>
    </row>
    <row r="857" ht="15.75" customHeight="1">
      <c r="A857" s="204"/>
      <c r="B857" s="649"/>
      <c r="C857" s="148"/>
      <c r="D857" s="148"/>
      <c r="E857" s="148"/>
      <c r="F857" s="54"/>
      <c r="G857" s="1105"/>
      <c r="H857" s="1117"/>
      <c r="I857" s="27"/>
      <c r="J857" s="63"/>
      <c r="K857" s="44"/>
      <c r="L857" s="76"/>
      <c r="M857" s="31"/>
      <c r="N857" s="41"/>
      <c r="O857" s="611"/>
      <c r="P857" s="150"/>
      <c r="Q857" s="23"/>
      <c r="R857" s="76"/>
      <c r="S857" s="76"/>
      <c r="T857" s="937"/>
      <c r="U857" s="937"/>
      <c r="V857" s="937"/>
      <c r="W857" s="1106"/>
      <c r="X857" s="1106"/>
      <c r="Y857" s="76"/>
      <c r="Z857" s="148"/>
      <c r="AA857" s="76"/>
      <c r="AB857" s="76"/>
      <c r="AC857" s="76"/>
    </row>
    <row r="858" ht="15.75" customHeight="1">
      <c r="A858" s="204"/>
      <c r="B858" s="649"/>
      <c r="C858" s="148"/>
      <c r="D858" s="148"/>
      <c r="E858" s="148"/>
      <c r="F858" s="54"/>
      <c r="G858" s="1105"/>
      <c r="H858" s="1117"/>
      <c r="I858" s="27"/>
      <c r="J858" s="63"/>
      <c r="K858" s="44"/>
      <c r="L858" s="76"/>
      <c r="M858" s="31"/>
      <c r="N858" s="41"/>
      <c r="O858" s="611"/>
      <c r="P858" s="150"/>
      <c r="Q858" s="23"/>
      <c r="R858" s="76"/>
      <c r="S858" s="76"/>
      <c r="T858" s="937"/>
      <c r="U858" s="937"/>
      <c r="V858" s="937"/>
      <c r="W858" s="1106"/>
      <c r="X858" s="1106"/>
      <c r="Y858" s="76"/>
      <c r="Z858" s="148"/>
      <c r="AA858" s="76"/>
      <c r="AB858" s="76"/>
      <c r="AC858" s="76"/>
    </row>
    <row r="859" ht="15.75" customHeight="1">
      <c r="A859" s="204"/>
      <c r="B859" s="649"/>
      <c r="C859" s="148"/>
      <c r="D859" s="148"/>
      <c r="E859" s="148"/>
      <c r="F859" s="54"/>
      <c r="G859" s="1105"/>
      <c r="H859" s="1117"/>
      <c r="I859" s="27"/>
      <c r="J859" s="63"/>
      <c r="K859" s="44"/>
      <c r="L859" s="76"/>
      <c r="M859" s="31"/>
      <c r="N859" s="41"/>
      <c r="O859" s="611"/>
      <c r="P859" s="150"/>
      <c r="Q859" s="23"/>
      <c r="R859" s="76"/>
      <c r="S859" s="76"/>
      <c r="T859" s="937"/>
      <c r="U859" s="937"/>
      <c r="V859" s="937"/>
      <c r="W859" s="1106"/>
      <c r="X859" s="1106"/>
      <c r="Y859" s="76"/>
      <c r="Z859" s="148"/>
      <c r="AA859" s="76"/>
      <c r="AB859" s="76"/>
      <c r="AC859" s="76"/>
    </row>
    <row r="860" ht="15.75" customHeight="1">
      <c r="A860" s="204"/>
      <c r="B860" s="649"/>
      <c r="C860" s="148"/>
      <c r="D860" s="148"/>
      <c r="E860" s="148"/>
      <c r="F860" s="54"/>
      <c r="G860" s="1105"/>
      <c r="H860" s="352"/>
      <c r="I860" s="27"/>
      <c r="J860" s="63"/>
      <c r="K860" s="44"/>
      <c r="L860" s="76"/>
      <c r="M860" s="31"/>
      <c r="N860" s="41"/>
      <c r="O860" s="611"/>
      <c r="P860" s="150"/>
      <c r="Q860" s="23"/>
      <c r="R860" s="76"/>
      <c r="S860" s="76"/>
      <c r="T860" s="937"/>
      <c r="U860" s="937"/>
      <c r="V860" s="937"/>
      <c r="W860" s="1106"/>
      <c r="X860" s="1106"/>
      <c r="Y860" s="76"/>
      <c r="Z860" s="148"/>
      <c r="AA860" s="76"/>
      <c r="AB860" s="76"/>
      <c r="AC860" s="76"/>
    </row>
    <row r="861" ht="15.75" customHeight="1">
      <c r="A861" s="205"/>
      <c r="B861" s="518"/>
      <c r="C861" s="148"/>
      <c r="D861" s="148"/>
      <c r="E861" s="148"/>
      <c r="F861" s="54"/>
      <c r="G861" s="1105"/>
      <c r="H861" s="352"/>
      <c r="I861" s="49"/>
      <c r="J861" s="63"/>
      <c r="K861" s="44"/>
      <c r="L861" s="76"/>
      <c r="M861" s="58"/>
      <c r="N861" s="41"/>
      <c r="O861" s="611"/>
      <c r="P861" s="150"/>
      <c r="Q861" s="32"/>
      <c r="R861" s="76"/>
      <c r="S861" s="76"/>
      <c r="T861" s="937"/>
      <c r="U861" s="937"/>
      <c r="V861" s="937"/>
      <c r="W861" s="1106"/>
      <c r="X861" s="1106"/>
      <c r="Y861" s="76"/>
      <c r="Z861" s="76"/>
      <c r="AA861" s="76"/>
      <c r="AB861" s="76"/>
      <c r="AC861" s="76"/>
    </row>
    <row r="862" ht="15.75" customHeight="1">
      <c r="A862" s="54"/>
      <c r="B862" s="150"/>
      <c r="C862" s="76"/>
      <c r="D862" s="76"/>
      <c r="E862" s="76"/>
      <c r="F862" s="54"/>
      <c r="G862" s="464"/>
      <c r="H862" s="76"/>
      <c r="I862" s="54"/>
      <c r="J862" s="54"/>
      <c r="K862" s="54"/>
      <c r="L862" s="76"/>
      <c r="M862" s="54"/>
      <c r="N862" s="76"/>
      <c r="O862" s="464"/>
      <c r="P862" s="76"/>
      <c r="Q862" s="76"/>
      <c r="R862" s="76"/>
      <c r="S862" s="76"/>
      <c r="T862" s="76"/>
      <c r="U862" s="76"/>
      <c r="V862" s="76"/>
      <c r="W862" s="54"/>
      <c r="X862" s="54"/>
      <c r="Y862" s="76"/>
      <c r="Z862" s="76"/>
      <c r="AA862" s="76"/>
      <c r="AB862" s="76"/>
      <c r="AC862" s="76"/>
    </row>
    <row r="863" ht="15.75" customHeight="1">
      <c r="A863" s="153"/>
      <c r="B863" s="1118"/>
      <c r="C863" s="241"/>
      <c r="D863" s="57"/>
      <c r="E863" s="1119"/>
      <c r="F863" s="228"/>
      <c r="G863" s="1120"/>
      <c r="H863" s="1121">
        <f>SUM(H2:H860)</f>
        <v>1731232.354</v>
      </c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</row>
    <row r="864" ht="15.75" customHeight="1">
      <c r="A864" s="57"/>
      <c r="B864" s="1118"/>
      <c r="C864" s="241"/>
      <c r="D864" s="57"/>
      <c r="E864" s="57"/>
      <c r="F864" s="228"/>
      <c r="G864" s="1120"/>
      <c r="H864" s="226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</row>
    <row r="865" ht="15.75" customHeight="1">
      <c r="A865" s="57"/>
      <c r="B865" s="1118"/>
      <c r="C865" s="241"/>
      <c r="D865" s="57"/>
      <c r="E865" s="57"/>
      <c r="F865" s="228"/>
      <c r="G865" s="1120"/>
      <c r="H865" s="226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</row>
    <row r="866" ht="15.75" customHeight="1">
      <c r="A866" s="57"/>
      <c r="B866" s="1118"/>
      <c r="C866" s="241"/>
      <c r="D866" s="57"/>
      <c r="E866" s="57"/>
      <c r="F866" s="228"/>
      <c r="G866" s="1120"/>
      <c r="H866" s="226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</row>
    <row r="867" ht="15.75" customHeight="1">
      <c r="A867" s="57"/>
      <c r="B867" s="1118"/>
      <c r="C867" s="241"/>
      <c r="D867" s="57"/>
      <c r="E867" s="57"/>
      <c r="F867" s="228"/>
      <c r="G867" s="1120"/>
      <c r="H867" s="91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</row>
    <row r="868" ht="15.75" customHeight="1">
      <c r="A868" s="57"/>
      <c r="B868" s="952" t="s">
        <v>8651</v>
      </c>
      <c r="C868" s="241"/>
      <c r="D868" s="57"/>
      <c r="E868" s="57"/>
      <c r="F868" s="228"/>
      <c r="G868" s="1120"/>
      <c r="H868" s="226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</row>
    <row r="869" ht="15.75" customHeight="1">
      <c r="A869" s="54"/>
      <c r="B869" s="150" t="s">
        <v>264</v>
      </c>
      <c r="C869" s="148" t="s">
        <v>265</v>
      </c>
      <c r="D869" s="57"/>
      <c r="E869" s="57"/>
      <c r="F869" s="228"/>
      <c r="G869" s="1120"/>
      <c r="H869" s="226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</row>
    <row r="870" ht="15.75" customHeight="1">
      <c r="A870" s="54" t="s">
        <v>267</v>
      </c>
      <c r="B870" s="518">
        <v>31.9</v>
      </c>
      <c r="C870" s="148">
        <v>31.5</v>
      </c>
      <c r="D870" s="57"/>
      <c r="E870" s="57"/>
      <c r="F870" s="228"/>
      <c r="G870" s="1120"/>
      <c r="H870" s="226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</row>
    <row r="871" ht="15.75" customHeight="1">
      <c r="A871" s="54" t="s">
        <v>268</v>
      </c>
      <c r="B871" s="518">
        <v>31.0</v>
      </c>
      <c r="C871" s="148">
        <v>30.7</v>
      </c>
      <c r="D871" s="57"/>
      <c r="E871" s="57"/>
      <c r="F871" s="228"/>
      <c r="G871" s="1120"/>
      <c r="H871" s="226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</row>
    <row r="872" ht="15.75" customHeight="1">
      <c r="A872" s="54" t="s">
        <v>269</v>
      </c>
      <c r="B872" s="518">
        <v>31.0</v>
      </c>
      <c r="C872" s="148">
        <v>30.3</v>
      </c>
      <c r="D872" s="57"/>
      <c r="E872" s="57"/>
      <c r="F872" s="228"/>
      <c r="G872" s="1120"/>
      <c r="H872" s="226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</row>
    <row r="873" ht="15.75" customHeight="1">
      <c r="A873" s="54" t="s">
        <v>270</v>
      </c>
      <c r="B873" s="246">
        <v>30.6</v>
      </c>
      <c r="C873" s="148">
        <v>30.3</v>
      </c>
      <c r="D873" s="57"/>
      <c r="E873" s="57"/>
      <c r="F873" s="228"/>
      <c r="G873" s="1120"/>
      <c r="H873" s="226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</row>
    <row r="874" ht="15.75" customHeight="1">
      <c r="A874" s="54" t="s">
        <v>271</v>
      </c>
      <c r="B874" s="246">
        <v>30.0</v>
      </c>
      <c r="C874" s="148">
        <v>30.2</v>
      </c>
      <c r="D874" s="57"/>
      <c r="E874" s="57"/>
      <c r="F874" s="228"/>
      <c r="G874" s="1120"/>
      <c r="H874" s="226"/>
      <c r="I874" s="57"/>
      <c r="J874" s="57"/>
      <c r="K874" s="57"/>
      <c r="L874" s="57"/>
      <c r="M874" s="57"/>
      <c r="N874" s="57"/>
      <c r="O874" s="91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</row>
    <row r="875" ht="15.75" customHeight="1">
      <c r="A875" s="54" t="s">
        <v>272</v>
      </c>
      <c r="B875" s="246">
        <v>30.1</v>
      </c>
      <c r="C875" s="148">
        <v>30.3</v>
      </c>
      <c r="D875" s="57"/>
      <c r="E875" s="57"/>
      <c r="F875" s="228"/>
      <c r="G875" s="1120"/>
      <c r="H875" s="226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</row>
    <row r="876" ht="15.75" customHeight="1">
      <c r="A876" s="54" t="s">
        <v>273</v>
      </c>
      <c r="B876" s="246">
        <v>30.6</v>
      </c>
      <c r="C876" s="148">
        <v>30.4</v>
      </c>
      <c r="D876" s="57"/>
      <c r="E876" s="57"/>
      <c r="F876" s="228"/>
      <c r="G876" s="1120"/>
      <c r="H876" s="226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</row>
    <row r="877" ht="15.75" customHeight="1">
      <c r="A877" s="54" t="s">
        <v>274</v>
      </c>
      <c r="B877" s="246">
        <v>30.2</v>
      </c>
      <c r="C877" s="148">
        <v>30.3</v>
      </c>
      <c r="D877" s="57"/>
      <c r="E877" s="57"/>
      <c r="F877" s="228"/>
      <c r="G877" s="1120"/>
      <c r="H877" s="226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</row>
    <row r="878" ht="15.75" customHeight="1">
      <c r="A878" s="54" t="s">
        <v>275</v>
      </c>
      <c r="B878" s="246">
        <v>30.15</v>
      </c>
      <c r="C878" s="953">
        <v>30.3</v>
      </c>
      <c r="D878" s="57"/>
      <c r="E878" s="57"/>
      <c r="F878" s="228"/>
      <c r="G878" s="1120"/>
      <c r="H878" s="226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</row>
    <row r="879" ht="15.75" customHeight="1">
      <c r="A879" s="54" t="s">
        <v>276</v>
      </c>
      <c r="B879" s="246">
        <v>30.3</v>
      </c>
      <c r="C879" s="148">
        <v>30.3</v>
      </c>
      <c r="D879" s="57"/>
      <c r="E879" s="57"/>
      <c r="F879" s="228"/>
      <c r="G879" s="1120"/>
      <c r="H879" s="226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</row>
    <row r="880" ht="15.75" customHeight="1">
      <c r="A880" s="54" t="s">
        <v>277</v>
      </c>
      <c r="B880" s="246">
        <v>30.17</v>
      </c>
      <c r="C880" s="246">
        <v>30.0</v>
      </c>
      <c r="D880" s="57"/>
      <c r="E880" s="57"/>
      <c r="F880" s="228"/>
      <c r="G880" s="1120"/>
      <c r="H880" s="226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</row>
    <row r="881" ht="15.75" customHeight="1">
      <c r="A881" s="54" t="s">
        <v>278</v>
      </c>
      <c r="B881" s="246">
        <v>30.12</v>
      </c>
      <c r="C881" s="148">
        <v>30.0</v>
      </c>
      <c r="D881" s="57"/>
      <c r="E881" s="57"/>
      <c r="F881" s="228"/>
      <c r="G881" s="1120"/>
      <c r="H881" s="226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</row>
    <row r="882" ht="15.75" customHeight="1">
      <c r="A882" s="57"/>
      <c r="B882" s="1118"/>
      <c r="C882" s="241"/>
      <c r="D882" s="57"/>
      <c r="E882" s="57"/>
      <c r="F882" s="228"/>
      <c r="G882" s="1120"/>
      <c r="H882" s="226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</row>
    <row r="883" ht="15.75" customHeight="1">
      <c r="A883" s="57"/>
      <c r="B883" s="1118"/>
      <c r="C883" s="241"/>
      <c r="D883" s="57"/>
      <c r="E883" s="57"/>
      <c r="F883" s="228"/>
      <c r="G883" s="1120"/>
      <c r="H883" s="226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</row>
    <row r="884" ht="15.75" customHeight="1">
      <c r="A884" s="57"/>
      <c r="B884" s="1118"/>
      <c r="C884" s="241"/>
      <c r="D884" s="57"/>
      <c r="E884" s="57"/>
      <c r="F884" s="228"/>
      <c r="G884" s="1120"/>
      <c r="H884" s="226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</row>
    <row r="885" ht="15.75" customHeight="1">
      <c r="A885" s="57"/>
      <c r="B885" s="1118"/>
      <c r="C885" s="241"/>
      <c r="D885" s="57"/>
      <c r="E885" s="57"/>
      <c r="F885" s="228"/>
      <c r="G885" s="1120"/>
      <c r="H885" s="226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</row>
    <row r="886" ht="15.75" customHeight="1">
      <c r="A886" s="57"/>
      <c r="B886" s="1118"/>
      <c r="C886" s="241"/>
      <c r="D886" s="57"/>
      <c r="E886" s="57"/>
      <c r="F886" s="228"/>
      <c r="G886" s="1120"/>
      <c r="H886" s="226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</row>
    <row r="887" ht="15.75" customHeight="1">
      <c r="A887" s="57"/>
      <c r="B887" s="1118"/>
      <c r="C887" s="241"/>
      <c r="D887" s="57"/>
      <c r="E887" s="57"/>
      <c r="F887" s="228"/>
      <c r="G887" s="1120"/>
      <c r="H887" s="226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</row>
    <row r="888" ht="15.75" customHeight="1">
      <c r="A888" s="57"/>
      <c r="B888" s="1118"/>
      <c r="C888" s="241"/>
      <c r="D888" s="57"/>
      <c r="E888" s="57"/>
      <c r="F888" s="228"/>
      <c r="G888" s="1120"/>
      <c r="H888" s="226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</row>
    <row r="889" ht="15.75" customHeight="1">
      <c r="A889" s="57"/>
      <c r="B889" s="1118"/>
      <c r="C889" s="241"/>
      <c r="D889" s="57"/>
      <c r="E889" s="57"/>
      <c r="F889" s="228"/>
      <c r="G889" s="1120"/>
      <c r="H889" s="226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</row>
    <row r="890" ht="15.75" customHeight="1">
      <c r="A890" s="57"/>
      <c r="B890" s="1118"/>
      <c r="C890" s="241"/>
      <c r="D890" s="57"/>
      <c r="E890" s="57"/>
      <c r="F890" s="228"/>
      <c r="G890" s="1120"/>
      <c r="H890" s="226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</row>
    <row r="891" ht="15.75" customHeight="1">
      <c r="A891" s="57"/>
      <c r="B891" s="1118"/>
      <c r="C891" s="241"/>
      <c r="D891" s="57"/>
      <c r="E891" s="57"/>
      <c r="F891" s="228"/>
      <c r="G891" s="1120"/>
      <c r="H891" s="226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</row>
    <row r="892" ht="15.75" customHeight="1">
      <c r="A892" s="57"/>
      <c r="B892" s="1118"/>
      <c r="C892" s="241"/>
      <c r="D892" s="57"/>
      <c r="E892" s="57"/>
      <c r="F892" s="228"/>
      <c r="G892" s="1120"/>
      <c r="H892" s="226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</row>
    <row r="893" ht="15.75" customHeight="1">
      <c r="A893" s="57"/>
      <c r="B893" s="1118"/>
      <c r="C893" s="241"/>
      <c r="D893" s="57"/>
      <c r="E893" s="57"/>
      <c r="F893" s="228"/>
      <c r="G893" s="1120"/>
      <c r="H893" s="226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</row>
    <row r="894" ht="15.75" customHeight="1">
      <c r="A894" s="57"/>
      <c r="B894" s="1118"/>
      <c r="C894" s="241"/>
      <c r="D894" s="57"/>
      <c r="E894" s="57"/>
      <c r="F894" s="228"/>
      <c r="G894" s="1120"/>
      <c r="H894" s="226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</row>
    <row r="895" ht="15.75" customHeight="1">
      <c r="A895" s="57"/>
      <c r="B895" s="1118"/>
      <c r="C895" s="241"/>
      <c r="D895" s="57"/>
      <c r="E895" s="57"/>
      <c r="F895" s="228"/>
      <c r="G895" s="1120"/>
      <c r="H895" s="226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</row>
    <row r="896" ht="15.75" customHeight="1">
      <c r="A896" s="57"/>
      <c r="B896" s="1118"/>
      <c r="C896" s="241"/>
      <c r="D896" s="57"/>
      <c r="E896" s="57"/>
      <c r="F896" s="228"/>
      <c r="G896" s="1120"/>
      <c r="H896" s="226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</row>
    <row r="897" ht="15.75" customHeight="1">
      <c r="A897" s="57"/>
      <c r="B897" s="1118"/>
      <c r="C897" s="241"/>
      <c r="D897" s="57"/>
      <c r="E897" s="57"/>
      <c r="F897" s="228"/>
      <c r="G897" s="1120"/>
      <c r="H897" s="226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</row>
    <row r="898" ht="15.75" customHeight="1">
      <c r="A898" s="57"/>
      <c r="B898" s="1118"/>
      <c r="C898" s="241"/>
      <c r="D898" s="57"/>
      <c r="E898" s="57"/>
      <c r="F898" s="228"/>
      <c r="G898" s="1120"/>
      <c r="H898" s="226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</row>
    <row r="899" ht="15.75" customHeight="1">
      <c r="A899" s="57"/>
      <c r="B899" s="1118"/>
      <c r="C899" s="241"/>
      <c r="D899" s="57"/>
      <c r="E899" s="57"/>
      <c r="F899" s="228"/>
      <c r="G899" s="1120"/>
      <c r="H899" s="226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</row>
    <row r="900" ht="15.75" customHeight="1">
      <c r="A900" s="57"/>
      <c r="B900" s="1118"/>
      <c r="C900" s="241"/>
      <c r="D900" s="57"/>
      <c r="E900" s="57"/>
      <c r="F900" s="228"/>
      <c r="G900" s="1120"/>
      <c r="H900" s="226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</row>
    <row r="901" ht="15.75" customHeight="1">
      <c r="A901" s="57"/>
      <c r="B901" s="1118"/>
      <c r="C901" s="241"/>
      <c r="D901" s="57"/>
      <c r="E901" s="57"/>
      <c r="F901" s="228"/>
      <c r="G901" s="1120"/>
      <c r="H901" s="226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</row>
    <row r="902" ht="15.75" customHeight="1">
      <c r="A902" s="57"/>
      <c r="B902" s="1118"/>
      <c r="C902" s="241"/>
      <c r="D902" s="57"/>
      <c r="E902" s="57"/>
      <c r="F902" s="228"/>
      <c r="G902" s="1120"/>
      <c r="H902" s="226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</row>
    <row r="903" ht="15.75" customHeight="1">
      <c r="A903" s="57"/>
      <c r="B903" s="1118"/>
      <c r="C903" s="241"/>
      <c r="D903" s="57"/>
      <c r="E903" s="57"/>
      <c r="F903" s="228"/>
      <c r="G903" s="1120"/>
      <c r="H903" s="226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</row>
    <row r="904" ht="15.75" customHeight="1">
      <c r="A904" s="57"/>
      <c r="B904" s="1118"/>
      <c r="C904" s="241"/>
      <c r="D904" s="57"/>
      <c r="E904" s="57"/>
      <c r="F904" s="228"/>
      <c r="G904" s="1120"/>
      <c r="H904" s="226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</row>
    <row r="905" ht="15.75" customHeight="1">
      <c r="A905" s="57"/>
      <c r="B905" s="1118"/>
      <c r="C905" s="241"/>
      <c r="D905" s="57"/>
      <c r="E905" s="57"/>
      <c r="F905" s="228"/>
      <c r="G905" s="1120"/>
      <c r="H905" s="226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</row>
    <row r="906" ht="15.75" customHeight="1">
      <c r="A906" s="57"/>
      <c r="B906" s="1118"/>
      <c r="C906" s="241"/>
      <c r="D906" s="57"/>
      <c r="E906" s="57"/>
      <c r="F906" s="228"/>
      <c r="G906" s="1120"/>
      <c r="H906" s="226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</row>
    <row r="907" ht="15.75" customHeight="1">
      <c r="A907" s="57"/>
      <c r="B907" s="1118"/>
      <c r="C907" s="241"/>
      <c r="D907" s="57"/>
      <c r="E907" s="57"/>
      <c r="F907" s="228"/>
      <c r="G907" s="1120"/>
      <c r="H907" s="226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</row>
    <row r="908" ht="15.75" customHeight="1">
      <c r="A908" s="57"/>
      <c r="B908" s="1118"/>
      <c r="C908" s="241"/>
      <c r="D908" s="57"/>
      <c r="E908" s="57"/>
      <c r="F908" s="228"/>
      <c r="G908" s="1120"/>
      <c r="H908" s="226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</row>
    <row r="909" ht="15.75" customHeight="1">
      <c r="A909" s="57"/>
      <c r="B909" s="1118"/>
      <c r="C909" s="241"/>
      <c r="D909" s="57"/>
      <c r="E909" s="57"/>
      <c r="F909" s="228"/>
      <c r="G909" s="1120"/>
      <c r="H909" s="226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</row>
    <row r="910" ht="15.75" customHeight="1">
      <c r="A910" s="57"/>
      <c r="B910" s="1118"/>
      <c r="C910" s="241"/>
      <c r="D910" s="57"/>
      <c r="E910" s="57"/>
      <c r="F910" s="228"/>
      <c r="G910" s="1120"/>
      <c r="H910" s="226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</row>
    <row r="911" ht="15.75" customHeight="1">
      <c r="A911" s="57"/>
      <c r="B911" s="1118"/>
      <c r="C911" s="241"/>
      <c r="D911" s="57"/>
      <c r="E911" s="57"/>
      <c r="F911" s="228"/>
      <c r="G911" s="1120"/>
      <c r="H911" s="226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</row>
    <row r="912" ht="15.75" customHeight="1">
      <c r="A912" s="57"/>
      <c r="B912" s="1118"/>
      <c r="C912" s="241"/>
      <c r="D912" s="57"/>
      <c r="E912" s="57"/>
      <c r="F912" s="228"/>
      <c r="G912" s="1120"/>
      <c r="H912" s="226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</row>
    <row r="913" ht="15.75" customHeight="1">
      <c r="A913" s="57"/>
      <c r="B913" s="1118"/>
      <c r="C913" s="241"/>
      <c r="D913" s="57"/>
      <c r="E913" s="57"/>
      <c r="F913" s="228"/>
      <c r="G913" s="1120"/>
      <c r="H913" s="226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</row>
    <row r="914" ht="15.75" customHeight="1">
      <c r="A914" s="57"/>
      <c r="B914" s="1118"/>
      <c r="C914" s="241"/>
      <c r="D914" s="57"/>
      <c r="E914" s="57"/>
      <c r="F914" s="228"/>
      <c r="G914" s="1120"/>
      <c r="H914" s="226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</row>
    <row r="915" ht="15.75" customHeight="1">
      <c r="A915" s="57"/>
      <c r="B915" s="1118"/>
      <c r="C915" s="241"/>
      <c r="D915" s="57"/>
      <c r="E915" s="57"/>
      <c r="F915" s="228"/>
      <c r="G915" s="1120"/>
      <c r="H915" s="226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</row>
    <row r="916" ht="15.75" customHeight="1">
      <c r="A916" s="57"/>
      <c r="B916" s="1118"/>
      <c r="C916" s="241"/>
      <c r="D916" s="57"/>
      <c r="E916" s="57"/>
      <c r="F916" s="228"/>
      <c r="G916" s="1120"/>
      <c r="H916" s="226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</row>
    <row r="917" ht="15.75" customHeight="1">
      <c r="A917" s="57"/>
      <c r="B917" s="1118"/>
      <c r="C917" s="241"/>
      <c r="D917" s="57"/>
      <c r="E917" s="57"/>
      <c r="F917" s="228"/>
      <c r="G917" s="1120"/>
      <c r="H917" s="226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</row>
    <row r="918" ht="15.75" customHeight="1">
      <c r="A918" s="57"/>
      <c r="B918" s="1118"/>
      <c r="C918" s="241"/>
      <c r="D918" s="57"/>
      <c r="E918" s="57"/>
      <c r="F918" s="228"/>
      <c r="G918" s="1120"/>
      <c r="H918" s="226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</row>
    <row r="919" ht="15.75" customHeight="1">
      <c r="A919" s="57"/>
      <c r="B919" s="1118"/>
      <c r="C919" s="241"/>
      <c r="D919" s="57"/>
      <c r="E919" s="57"/>
      <c r="F919" s="228"/>
      <c r="G919" s="1120"/>
      <c r="H919" s="226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</row>
    <row r="920" ht="15.75" customHeight="1">
      <c r="A920" s="57"/>
      <c r="B920" s="1118"/>
      <c r="C920" s="241"/>
      <c r="D920" s="57"/>
      <c r="E920" s="57"/>
      <c r="F920" s="228"/>
      <c r="G920" s="1120"/>
      <c r="H920" s="226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</row>
    <row r="921" ht="15.75" customHeight="1">
      <c r="A921" s="57"/>
      <c r="B921" s="1118"/>
      <c r="C921" s="241"/>
      <c r="D921" s="57"/>
      <c r="E921" s="57"/>
      <c r="F921" s="228"/>
      <c r="G921" s="1120"/>
      <c r="H921" s="226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</row>
    <row r="922" ht="15.75" customHeight="1">
      <c r="A922" s="57"/>
      <c r="B922" s="1118"/>
      <c r="C922" s="241"/>
      <c r="D922" s="57"/>
      <c r="E922" s="57"/>
      <c r="F922" s="228"/>
      <c r="G922" s="1120"/>
      <c r="H922" s="226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</row>
    <row r="923" ht="15.75" customHeight="1">
      <c r="A923" s="57"/>
      <c r="B923" s="1118"/>
      <c r="C923" s="241"/>
      <c r="D923" s="57"/>
      <c r="E923" s="57"/>
      <c r="F923" s="228"/>
      <c r="G923" s="1120"/>
      <c r="H923" s="226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</row>
    <row r="924" ht="15.75" customHeight="1">
      <c r="A924" s="57"/>
      <c r="B924" s="1118"/>
      <c r="C924" s="241"/>
      <c r="D924" s="57"/>
      <c r="E924" s="57"/>
      <c r="F924" s="228"/>
      <c r="G924" s="1120"/>
      <c r="H924" s="226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</row>
    <row r="925" ht="15.75" customHeight="1">
      <c r="A925" s="57"/>
      <c r="B925" s="1118"/>
      <c r="C925" s="241"/>
      <c r="D925" s="57"/>
      <c r="E925" s="57"/>
      <c r="F925" s="228"/>
      <c r="G925" s="1120"/>
      <c r="H925" s="226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</row>
    <row r="926" ht="15.75" customHeight="1">
      <c r="A926" s="57"/>
      <c r="B926" s="1118"/>
      <c r="C926" s="241"/>
      <c r="D926" s="57"/>
      <c r="E926" s="57"/>
      <c r="F926" s="228"/>
      <c r="G926" s="1120"/>
      <c r="H926" s="226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</row>
    <row r="927" ht="15.75" customHeight="1">
      <c r="A927" s="57"/>
      <c r="B927" s="1118"/>
      <c r="C927" s="241"/>
      <c r="D927" s="57"/>
      <c r="E927" s="57"/>
      <c r="F927" s="228"/>
      <c r="G927" s="1120"/>
      <c r="H927" s="226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</row>
    <row r="928" ht="15.75" customHeight="1">
      <c r="A928" s="57"/>
      <c r="B928" s="1118"/>
      <c r="C928" s="241"/>
      <c r="D928" s="57"/>
      <c r="E928" s="57"/>
      <c r="F928" s="228"/>
      <c r="G928" s="1120"/>
      <c r="H928" s="226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</row>
    <row r="929" ht="15.75" customHeight="1">
      <c r="A929" s="57"/>
      <c r="B929" s="1118"/>
      <c r="C929" s="241"/>
      <c r="D929" s="57"/>
      <c r="E929" s="57"/>
      <c r="F929" s="228"/>
      <c r="G929" s="1120"/>
      <c r="H929" s="226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</row>
    <row r="930" ht="15.75" customHeight="1">
      <c r="A930" s="57"/>
      <c r="B930" s="1118"/>
      <c r="C930" s="241"/>
      <c r="D930" s="57"/>
      <c r="E930" s="57"/>
      <c r="F930" s="228"/>
      <c r="G930" s="1120"/>
      <c r="H930" s="226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</row>
    <row r="931" ht="15.75" customHeight="1">
      <c r="A931" s="57"/>
      <c r="B931" s="1118"/>
      <c r="C931" s="241"/>
      <c r="D931" s="57"/>
      <c r="E931" s="57"/>
      <c r="F931" s="228"/>
      <c r="G931" s="1120"/>
      <c r="H931" s="226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</row>
    <row r="932" ht="15.75" customHeight="1">
      <c r="A932" s="57"/>
      <c r="B932" s="1118"/>
      <c r="C932" s="241"/>
      <c r="D932" s="57"/>
      <c r="E932" s="57"/>
      <c r="F932" s="228"/>
      <c r="G932" s="1120"/>
      <c r="H932" s="226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</row>
    <row r="933" ht="15.75" customHeight="1">
      <c r="A933" s="57"/>
      <c r="B933" s="1118"/>
      <c r="C933" s="241"/>
      <c r="D933" s="57"/>
      <c r="E933" s="57"/>
      <c r="F933" s="228"/>
      <c r="G933" s="1120"/>
      <c r="H933" s="226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</row>
    <row r="934" ht="15.75" customHeight="1">
      <c r="A934" s="57"/>
      <c r="B934" s="1118"/>
      <c r="C934" s="241"/>
      <c r="D934" s="57"/>
      <c r="E934" s="57"/>
      <c r="F934" s="228"/>
      <c r="G934" s="1120"/>
      <c r="H934" s="226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</row>
    <row r="935" ht="15.75" customHeight="1">
      <c r="A935" s="57"/>
      <c r="B935" s="1118"/>
      <c r="C935" s="241"/>
      <c r="D935" s="57"/>
      <c r="E935" s="57"/>
      <c r="F935" s="228"/>
      <c r="G935" s="1120"/>
      <c r="H935" s="226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</row>
    <row r="936" ht="15.75" customHeight="1">
      <c r="A936" s="57"/>
      <c r="B936" s="1118"/>
      <c r="C936" s="241"/>
      <c r="D936" s="57"/>
      <c r="E936" s="57"/>
      <c r="F936" s="228"/>
      <c r="G936" s="1120"/>
      <c r="H936" s="226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</row>
    <row r="937" ht="15.75" customHeight="1">
      <c r="A937" s="57"/>
      <c r="B937" s="1118"/>
      <c r="C937" s="241"/>
      <c r="D937" s="57"/>
      <c r="E937" s="57"/>
      <c r="F937" s="228"/>
      <c r="G937" s="1120"/>
      <c r="H937" s="226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</row>
    <row r="938" ht="15.75" customHeight="1">
      <c r="A938" s="57"/>
      <c r="B938" s="1118"/>
      <c r="C938" s="241"/>
      <c r="D938" s="57"/>
      <c r="E938" s="57"/>
      <c r="F938" s="228"/>
      <c r="G938" s="1120"/>
      <c r="H938" s="226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</row>
    <row r="939" ht="15.75" customHeight="1">
      <c r="A939" s="57"/>
      <c r="B939" s="1118"/>
      <c r="C939" s="241"/>
      <c r="D939" s="57"/>
      <c r="E939" s="57"/>
      <c r="F939" s="228"/>
      <c r="G939" s="1120"/>
      <c r="H939" s="226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</row>
    <row r="940" ht="15.75" customHeight="1">
      <c r="A940" s="57"/>
      <c r="B940" s="1118"/>
      <c r="C940" s="241"/>
      <c r="D940" s="57"/>
      <c r="E940" s="57"/>
      <c r="F940" s="228"/>
      <c r="G940" s="1120"/>
      <c r="H940" s="226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</row>
    <row r="941" ht="15.75" customHeight="1">
      <c r="A941" s="57"/>
      <c r="B941" s="1118"/>
      <c r="C941" s="241"/>
      <c r="D941" s="57"/>
      <c r="E941" s="57"/>
      <c r="F941" s="228"/>
      <c r="G941" s="1120"/>
      <c r="H941" s="226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</row>
    <row r="942" ht="15.75" customHeight="1">
      <c r="A942" s="57"/>
      <c r="B942" s="1118"/>
      <c r="C942" s="241"/>
      <c r="D942" s="57"/>
      <c r="E942" s="57"/>
      <c r="F942" s="228"/>
      <c r="G942" s="1120"/>
      <c r="H942" s="226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</row>
    <row r="943" ht="15.75" customHeight="1">
      <c r="A943" s="57"/>
      <c r="B943" s="1118"/>
      <c r="C943" s="241"/>
      <c r="D943" s="57"/>
      <c r="E943" s="57"/>
      <c r="F943" s="228"/>
      <c r="G943" s="1120"/>
      <c r="H943" s="226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</row>
    <row r="944" ht="15.75" customHeight="1">
      <c r="A944" s="57"/>
      <c r="B944" s="1118"/>
      <c r="C944" s="241"/>
      <c r="D944" s="57"/>
      <c r="E944" s="57"/>
      <c r="F944" s="228"/>
      <c r="G944" s="1120"/>
      <c r="H944" s="226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</row>
    <row r="945" ht="15.75" customHeight="1">
      <c r="A945" s="57"/>
      <c r="B945" s="1118"/>
      <c r="C945" s="241"/>
      <c r="D945" s="57"/>
      <c r="E945" s="57"/>
      <c r="F945" s="228"/>
      <c r="G945" s="1120"/>
      <c r="H945" s="226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</row>
    <row r="946" ht="15.75" customHeight="1">
      <c r="A946" s="57"/>
      <c r="B946" s="1118"/>
      <c r="C946" s="241"/>
      <c r="D946" s="57"/>
      <c r="E946" s="57"/>
      <c r="F946" s="228"/>
      <c r="G946" s="1120"/>
      <c r="H946" s="226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</row>
    <row r="947" ht="15.75" customHeight="1">
      <c r="A947" s="57"/>
      <c r="B947" s="1118"/>
      <c r="C947" s="241"/>
      <c r="D947" s="57"/>
      <c r="E947" s="57"/>
      <c r="F947" s="228"/>
      <c r="G947" s="1120"/>
      <c r="H947" s="226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</row>
    <row r="948" ht="15.75" customHeight="1">
      <c r="A948" s="57"/>
      <c r="B948" s="1118"/>
      <c r="C948" s="241"/>
      <c r="D948" s="57"/>
      <c r="E948" s="57"/>
      <c r="F948" s="228"/>
      <c r="G948" s="1120"/>
      <c r="H948" s="226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</row>
    <row r="949" ht="15.75" customHeight="1">
      <c r="A949" s="57"/>
      <c r="B949" s="1118"/>
      <c r="C949" s="241"/>
      <c r="D949" s="57"/>
      <c r="E949" s="57"/>
      <c r="F949" s="228"/>
      <c r="G949" s="1120"/>
      <c r="H949" s="226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</row>
    <row r="950" ht="15.75" customHeight="1">
      <c r="A950" s="57"/>
      <c r="B950" s="1118"/>
      <c r="C950" s="241"/>
      <c r="D950" s="57"/>
      <c r="E950" s="57"/>
      <c r="F950" s="228"/>
      <c r="G950" s="1120"/>
      <c r="H950" s="226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</row>
    <row r="951" ht="15.75" customHeight="1">
      <c r="A951" s="57"/>
      <c r="B951" s="1118"/>
      <c r="C951" s="241"/>
      <c r="D951" s="57"/>
      <c r="E951" s="57"/>
      <c r="F951" s="228"/>
      <c r="G951" s="1120"/>
      <c r="H951" s="226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</row>
    <row r="952" ht="15.75" customHeight="1">
      <c r="A952" s="57"/>
      <c r="B952" s="1118"/>
      <c r="C952" s="241"/>
      <c r="D952" s="57"/>
      <c r="E952" s="57"/>
      <c r="F952" s="228"/>
      <c r="G952" s="1120"/>
      <c r="H952" s="226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</row>
    <row r="953" ht="15.75" customHeight="1">
      <c r="A953" s="57"/>
      <c r="B953" s="1118"/>
      <c r="C953" s="241"/>
      <c r="D953" s="57"/>
      <c r="E953" s="57"/>
      <c r="F953" s="228"/>
      <c r="G953" s="1120"/>
      <c r="H953" s="226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</row>
    <row r="954" ht="15.75" customHeight="1">
      <c r="A954" s="57"/>
      <c r="B954" s="1118"/>
      <c r="C954" s="241"/>
      <c r="D954" s="57"/>
      <c r="E954" s="57"/>
      <c r="F954" s="228"/>
      <c r="G954" s="1120"/>
      <c r="H954" s="226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</row>
    <row r="955" ht="15.75" customHeight="1">
      <c r="A955" s="57"/>
      <c r="B955" s="1118"/>
      <c r="C955" s="241"/>
      <c r="D955" s="57"/>
      <c r="E955" s="57"/>
      <c r="F955" s="228"/>
      <c r="G955" s="1120"/>
      <c r="H955" s="226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</row>
    <row r="956" ht="15.75" customHeight="1">
      <c r="A956" s="57"/>
      <c r="B956" s="1118"/>
      <c r="C956" s="241"/>
      <c r="D956" s="57"/>
      <c r="E956" s="57"/>
      <c r="F956" s="228"/>
      <c r="G956" s="1120"/>
      <c r="H956" s="226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</row>
    <row r="957" ht="15.75" customHeight="1">
      <c r="A957" s="57"/>
      <c r="B957" s="1118"/>
      <c r="C957" s="241"/>
      <c r="D957" s="57"/>
      <c r="E957" s="57"/>
      <c r="F957" s="228"/>
      <c r="G957" s="1120"/>
      <c r="H957" s="226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</row>
    <row r="958" ht="15.75" customHeight="1">
      <c r="A958" s="57"/>
      <c r="B958" s="1118"/>
      <c r="C958" s="241"/>
      <c r="D958" s="57"/>
      <c r="E958" s="57"/>
      <c r="F958" s="228"/>
      <c r="G958" s="1120"/>
      <c r="H958" s="226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</row>
    <row r="959" ht="15.75" customHeight="1">
      <c r="A959" s="57"/>
      <c r="B959" s="1118"/>
      <c r="C959" s="241"/>
      <c r="D959" s="57"/>
      <c r="E959" s="57"/>
      <c r="F959" s="228"/>
      <c r="G959" s="1120"/>
      <c r="H959" s="226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</row>
    <row r="960" ht="15.75" customHeight="1">
      <c r="A960" s="57"/>
      <c r="B960" s="1118"/>
      <c r="C960" s="241"/>
      <c r="D960" s="57"/>
      <c r="E960" s="57"/>
      <c r="F960" s="228"/>
      <c r="G960" s="1120"/>
      <c r="H960" s="226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</row>
    <row r="961" ht="15.75" customHeight="1">
      <c r="A961" s="57"/>
      <c r="B961" s="1118"/>
      <c r="C961" s="241"/>
      <c r="D961" s="57"/>
      <c r="E961" s="57"/>
      <c r="F961" s="228"/>
      <c r="G961" s="1120"/>
      <c r="H961" s="226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</row>
    <row r="962" ht="15.75" customHeight="1">
      <c r="A962" s="57"/>
      <c r="B962" s="1118"/>
      <c r="C962" s="241"/>
      <c r="D962" s="57"/>
      <c r="E962" s="57"/>
      <c r="F962" s="228"/>
      <c r="G962" s="1120"/>
      <c r="H962" s="226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</row>
    <row r="963" ht="15.75" customHeight="1">
      <c r="A963" s="57"/>
      <c r="B963" s="1118"/>
      <c r="C963" s="241"/>
      <c r="D963" s="57"/>
      <c r="E963" s="57"/>
      <c r="F963" s="228"/>
      <c r="G963" s="1120"/>
      <c r="H963" s="226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</row>
    <row r="964" ht="15.75" customHeight="1">
      <c r="A964" s="57"/>
      <c r="B964" s="1118"/>
      <c r="C964" s="241"/>
      <c r="D964" s="57"/>
      <c r="E964" s="57"/>
      <c r="F964" s="228"/>
      <c r="G964" s="1120"/>
      <c r="H964" s="226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</row>
    <row r="965" ht="15.75" customHeight="1">
      <c r="A965" s="57"/>
      <c r="B965" s="1118"/>
      <c r="C965" s="241"/>
      <c r="D965" s="57"/>
      <c r="E965" s="57"/>
      <c r="F965" s="228"/>
      <c r="G965" s="1120"/>
      <c r="H965" s="226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</row>
    <row r="966" ht="15.75" customHeight="1">
      <c r="A966" s="57"/>
      <c r="B966" s="1118"/>
      <c r="C966" s="241"/>
      <c r="D966" s="57"/>
      <c r="E966" s="57"/>
      <c r="F966" s="228"/>
      <c r="G966" s="1120"/>
      <c r="H966" s="226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</row>
    <row r="967" ht="15.75" customHeight="1">
      <c r="A967" s="57"/>
      <c r="B967" s="1118"/>
      <c r="C967" s="241"/>
      <c r="D967" s="57"/>
      <c r="E967" s="57"/>
      <c r="F967" s="228"/>
      <c r="G967" s="1120"/>
      <c r="H967" s="226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</row>
    <row r="968" ht="15.75" customHeight="1">
      <c r="A968" s="57"/>
      <c r="B968" s="1118"/>
      <c r="C968" s="241"/>
      <c r="D968" s="57"/>
      <c r="E968" s="57"/>
      <c r="F968" s="228"/>
      <c r="G968" s="1120"/>
      <c r="H968" s="226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</row>
    <row r="969" ht="15.75" customHeight="1">
      <c r="A969" s="57"/>
      <c r="B969" s="1118"/>
      <c r="C969" s="241"/>
      <c r="D969" s="57"/>
      <c r="E969" s="57"/>
      <c r="F969" s="228"/>
      <c r="G969" s="1120"/>
      <c r="H969" s="226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</row>
    <row r="970" ht="15.75" customHeight="1">
      <c r="A970" s="57"/>
      <c r="B970" s="1118"/>
      <c r="C970" s="241"/>
      <c r="D970" s="57"/>
      <c r="E970" s="57"/>
      <c r="F970" s="228"/>
      <c r="G970" s="1120"/>
      <c r="H970" s="226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</row>
    <row r="971" ht="15.75" customHeight="1">
      <c r="A971" s="57"/>
      <c r="B971" s="1118"/>
      <c r="C971" s="241"/>
      <c r="D971" s="57"/>
      <c r="E971" s="57"/>
      <c r="F971" s="228"/>
      <c r="G971" s="1120"/>
      <c r="H971" s="226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</row>
    <row r="972" ht="15.75" customHeight="1">
      <c r="A972" s="57"/>
      <c r="B972" s="1118"/>
      <c r="C972" s="241"/>
      <c r="D972" s="57"/>
      <c r="E972" s="57"/>
      <c r="F972" s="228"/>
      <c r="G972" s="1120"/>
      <c r="H972" s="226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</row>
    <row r="973" ht="15.75" customHeight="1">
      <c r="A973" s="57"/>
      <c r="B973" s="1118"/>
      <c r="C973" s="241"/>
      <c r="D973" s="57"/>
      <c r="E973" s="57"/>
      <c r="F973" s="228"/>
      <c r="G973" s="1120"/>
      <c r="H973" s="226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</row>
    <row r="974" ht="15.75" customHeight="1">
      <c r="A974" s="57"/>
      <c r="B974" s="1118"/>
      <c r="C974" s="241"/>
      <c r="D974" s="57"/>
      <c r="E974" s="57"/>
      <c r="F974" s="228"/>
      <c r="G974" s="1120"/>
      <c r="H974" s="226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</row>
    <row r="975" ht="15.75" customHeight="1">
      <c r="A975" s="57"/>
      <c r="B975" s="1118"/>
      <c r="C975" s="241"/>
      <c r="D975" s="57"/>
      <c r="E975" s="57"/>
      <c r="F975" s="228"/>
      <c r="G975" s="1120"/>
      <c r="H975" s="226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</row>
    <row r="976" ht="15.75" customHeight="1">
      <c r="A976" s="57"/>
      <c r="B976" s="1118"/>
      <c r="C976" s="241"/>
      <c r="D976" s="57"/>
      <c r="E976" s="57"/>
      <c r="F976" s="228"/>
      <c r="G976" s="1120"/>
      <c r="H976" s="226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</row>
    <row r="977" ht="15.75" customHeight="1">
      <c r="A977" s="57"/>
      <c r="B977" s="1118"/>
      <c r="C977" s="241"/>
      <c r="D977" s="57"/>
      <c r="E977" s="57"/>
      <c r="F977" s="228"/>
      <c r="G977" s="1120"/>
      <c r="H977" s="226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</row>
    <row r="978" ht="15.75" customHeight="1">
      <c r="A978" s="57"/>
      <c r="B978" s="1118"/>
      <c r="C978" s="241"/>
      <c r="D978" s="57"/>
      <c r="E978" s="57"/>
      <c r="F978" s="228"/>
      <c r="G978" s="1120"/>
      <c r="H978" s="226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</row>
    <row r="979" ht="15.75" customHeight="1">
      <c r="A979" s="57"/>
      <c r="B979" s="1118"/>
      <c r="C979" s="241"/>
      <c r="D979" s="57"/>
      <c r="E979" s="57"/>
      <c r="F979" s="228"/>
      <c r="G979" s="1120"/>
      <c r="H979" s="226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</row>
    <row r="980" ht="15.75" customHeight="1">
      <c r="A980" s="57"/>
      <c r="B980" s="1118"/>
      <c r="C980" s="241"/>
      <c r="D980" s="57"/>
      <c r="E980" s="57"/>
      <c r="F980" s="228"/>
      <c r="G980" s="1120"/>
      <c r="H980" s="226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</row>
    <row r="981" ht="15.75" customHeight="1">
      <c r="A981" s="57"/>
      <c r="B981" s="1118"/>
      <c r="C981" s="241"/>
      <c r="D981" s="57"/>
      <c r="E981" s="57"/>
      <c r="F981" s="228"/>
      <c r="G981" s="1120"/>
      <c r="H981" s="226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</row>
    <row r="982" ht="15.75" customHeight="1">
      <c r="A982" s="57"/>
      <c r="B982" s="1118"/>
      <c r="C982" s="241"/>
      <c r="D982" s="57"/>
      <c r="E982" s="57"/>
      <c r="F982" s="228"/>
      <c r="G982" s="1120"/>
      <c r="H982" s="226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</row>
    <row r="983" ht="15.75" customHeight="1">
      <c r="A983" s="57"/>
      <c r="B983" s="1118"/>
      <c r="C983" s="241"/>
      <c r="D983" s="57"/>
      <c r="E983" s="57"/>
      <c r="F983" s="228"/>
      <c r="G983" s="1120"/>
      <c r="H983" s="226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</row>
    <row r="984" ht="15.75" customHeight="1">
      <c r="A984" s="57"/>
      <c r="B984" s="1118"/>
      <c r="C984" s="241"/>
      <c r="D984" s="57"/>
      <c r="E984" s="57"/>
      <c r="F984" s="228"/>
      <c r="G984" s="1120"/>
      <c r="H984" s="226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</row>
    <row r="985" ht="15.75" customHeight="1">
      <c r="A985" s="57"/>
      <c r="B985" s="1118"/>
      <c r="C985" s="241"/>
      <c r="D985" s="57"/>
      <c r="E985" s="57"/>
      <c r="F985" s="228"/>
      <c r="G985" s="1120"/>
      <c r="H985" s="226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</row>
    <row r="986" ht="15.75" customHeight="1">
      <c r="A986" s="57"/>
      <c r="B986" s="1118"/>
      <c r="C986" s="241"/>
      <c r="D986" s="57"/>
      <c r="E986" s="57"/>
      <c r="F986" s="228"/>
      <c r="G986" s="1120"/>
      <c r="H986" s="226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</row>
    <row r="987" ht="15.75" customHeight="1">
      <c r="A987" s="57"/>
      <c r="B987" s="1118"/>
      <c r="C987" s="241"/>
      <c r="D987" s="57"/>
      <c r="E987" s="57"/>
      <c r="F987" s="228"/>
      <c r="G987" s="1120"/>
      <c r="H987" s="226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</row>
    <row r="988" ht="15.75" customHeight="1">
      <c r="A988" s="57"/>
      <c r="B988" s="1118"/>
      <c r="C988" s="241"/>
      <c r="D988" s="57"/>
      <c r="E988" s="57"/>
      <c r="F988" s="228"/>
      <c r="G988" s="1120"/>
      <c r="H988" s="226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</row>
    <row r="989" ht="15.75" customHeight="1">
      <c r="A989" s="57"/>
      <c r="B989" s="1118"/>
      <c r="C989" s="241"/>
      <c r="D989" s="57"/>
      <c r="E989" s="57"/>
      <c r="F989" s="228"/>
      <c r="G989" s="1120"/>
      <c r="H989" s="226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</row>
    <row r="990" ht="15.75" customHeight="1">
      <c r="A990" s="57"/>
      <c r="B990" s="1118"/>
      <c r="C990" s="241"/>
      <c r="D990" s="57"/>
      <c r="E990" s="57"/>
      <c r="F990" s="228"/>
      <c r="G990" s="1120"/>
      <c r="H990" s="226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</row>
    <row r="991" ht="15.75" customHeight="1">
      <c r="A991" s="57"/>
      <c r="B991" s="1118"/>
      <c r="C991" s="241"/>
      <c r="D991" s="57"/>
      <c r="E991" s="57"/>
      <c r="F991" s="228"/>
      <c r="G991" s="1120"/>
      <c r="H991" s="226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</row>
    <row r="992" ht="15.75" customHeight="1">
      <c r="A992" s="57"/>
      <c r="B992" s="1118"/>
      <c r="C992" s="241"/>
      <c r="D992" s="57"/>
      <c r="E992" s="57"/>
      <c r="F992" s="228"/>
      <c r="G992" s="1120"/>
      <c r="H992" s="226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</row>
    <row r="993" ht="15.75" customHeight="1">
      <c r="A993" s="57"/>
      <c r="B993" s="1118"/>
      <c r="C993" s="241"/>
      <c r="D993" s="57"/>
      <c r="E993" s="57"/>
      <c r="F993" s="228"/>
      <c r="G993" s="1120"/>
      <c r="H993" s="226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</row>
    <row r="994" ht="15.75" customHeight="1">
      <c r="A994" s="57"/>
      <c r="B994" s="1118"/>
      <c r="C994" s="241"/>
      <c r="D994" s="57"/>
      <c r="E994" s="57"/>
      <c r="F994" s="228"/>
      <c r="G994" s="1120"/>
      <c r="H994" s="226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</row>
    <row r="995" ht="15.75" customHeight="1">
      <c r="A995" s="57"/>
      <c r="B995" s="1118"/>
      <c r="C995" s="241"/>
      <c r="D995" s="57"/>
      <c r="E995" s="57"/>
      <c r="F995" s="228"/>
      <c r="G995" s="1120"/>
      <c r="H995" s="226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</row>
    <row r="996" ht="15.75" customHeight="1">
      <c r="A996" s="57"/>
      <c r="B996" s="1118"/>
      <c r="C996" s="241"/>
      <c r="D996" s="57"/>
      <c r="E996" s="57"/>
      <c r="F996" s="228"/>
      <c r="G996" s="1120"/>
      <c r="H996" s="226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</row>
    <row r="997" ht="15.75" customHeight="1">
      <c r="A997" s="57"/>
      <c r="B997" s="1118"/>
      <c r="C997" s="241"/>
      <c r="D997" s="57"/>
      <c r="E997" s="57"/>
      <c r="F997" s="228"/>
      <c r="G997" s="1120"/>
      <c r="H997" s="226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</row>
    <row r="998" ht="15.75" customHeight="1">
      <c r="A998" s="57"/>
      <c r="B998" s="1118"/>
      <c r="C998" s="241"/>
      <c r="D998" s="57"/>
      <c r="E998" s="57"/>
      <c r="F998" s="228"/>
      <c r="G998" s="1120"/>
      <c r="H998" s="226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</row>
    <row r="999" ht="15.75" customHeight="1">
      <c r="A999" s="57"/>
      <c r="B999" s="1118"/>
      <c r="C999" s="241"/>
      <c r="D999" s="57"/>
      <c r="E999" s="57"/>
      <c r="F999" s="228"/>
      <c r="G999" s="1120"/>
      <c r="H999" s="226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</row>
    <row r="1000" ht="15.75" customHeight="1">
      <c r="A1000" s="57"/>
      <c r="B1000" s="1118"/>
      <c r="C1000" s="241"/>
      <c r="D1000" s="57"/>
      <c r="E1000" s="57"/>
      <c r="F1000" s="228"/>
      <c r="G1000" s="1120"/>
      <c r="H1000" s="226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</row>
    <row r="1001" ht="15.75" customHeight="1">
      <c r="A1001" s="57"/>
      <c r="B1001" s="1118"/>
      <c r="C1001" s="241"/>
      <c r="D1001" s="57"/>
      <c r="E1001" s="57"/>
      <c r="F1001" s="228"/>
      <c r="G1001" s="1120"/>
      <c r="H1001" s="226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</row>
    <row r="1002" ht="15.75" customHeight="1">
      <c r="A1002" s="57"/>
      <c r="B1002" s="1118"/>
      <c r="C1002" s="241"/>
      <c r="D1002" s="57"/>
      <c r="E1002" s="57"/>
      <c r="F1002" s="228"/>
      <c r="G1002" s="1120"/>
      <c r="H1002" s="226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</row>
    <row r="1003" ht="15.75" customHeight="1">
      <c r="A1003" s="57"/>
      <c r="B1003" s="1118"/>
      <c r="C1003" s="241"/>
      <c r="D1003" s="57"/>
      <c r="E1003" s="57"/>
      <c r="F1003" s="228"/>
      <c r="G1003" s="1120"/>
      <c r="H1003" s="226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</row>
    <row r="1004" ht="15.75" customHeight="1">
      <c r="A1004" s="57"/>
      <c r="B1004" s="1118"/>
      <c r="C1004" s="241"/>
      <c r="D1004" s="57"/>
      <c r="E1004" s="57"/>
      <c r="F1004" s="228"/>
      <c r="G1004" s="1120"/>
      <c r="H1004" s="226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</row>
    <row r="1005" ht="15.75" customHeight="1">
      <c r="A1005" s="57"/>
      <c r="B1005" s="1118"/>
      <c r="C1005" s="241"/>
      <c r="D1005" s="57"/>
      <c r="E1005" s="57"/>
      <c r="F1005" s="228"/>
      <c r="G1005" s="1120"/>
      <c r="H1005" s="226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</row>
    <row r="1006" ht="15.75" customHeight="1">
      <c r="A1006" s="57"/>
      <c r="B1006" s="1118"/>
      <c r="C1006" s="241"/>
      <c r="D1006" s="57"/>
      <c r="E1006" s="57"/>
      <c r="F1006" s="228"/>
      <c r="G1006" s="1120"/>
      <c r="H1006" s="226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  <c r="AC1006" s="57"/>
    </row>
    <row r="1007" ht="15.75" customHeight="1">
      <c r="A1007" s="57"/>
      <c r="B1007" s="1118"/>
      <c r="C1007" s="241"/>
      <c r="D1007" s="57"/>
      <c r="E1007" s="57"/>
      <c r="F1007" s="228"/>
      <c r="G1007" s="1120"/>
      <c r="H1007" s="226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57"/>
    </row>
    <row r="1008" ht="15.75" customHeight="1">
      <c r="A1008" s="57"/>
      <c r="B1008" s="1118"/>
      <c r="C1008" s="241"/>
      <c r="D1008" s="57"/>
      <c r="E1008" s="57"/>
      <c r="F1008" s="228"/>
      <c r="G1008" s="1120"/>
      <c r="H1008" s="226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  <c r="AC1008" s="57"/>
    </row>
    <row r="1009" ht="15.75" customHeight="1">
      <c r="A1009" s="57"/>
      <c r="B1009" s="1118"/>
      <c r="C1009" s="241"/>
      <c r="D1009" s="57"/>
      <c r="E1009" s="57"/>
      <c r="F1009" s="228"/>
      <c r="G1009" s="1120"/>
      <c r="H1009" s="226"/>
      <c r="I1009" s="57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  <c r="AA1009" s="57"/>
      <c r="AB1009" s="57"/>
      <c r="AC1009" s="57"/>
    </row>
    <row r="1010" ht="15.75" customHeight="1">
      <c r="A1010" s="57"/>
      <c r="B1010" s="1118"/>
      <c r="C1010" s="241"/>
      <c r="D1010" s="57"/>
      <c r="E1010" s="57"/>
      <c r="F1010" s="228"/>
      <c r="G1010" s="1120"/>
      <c r="H1010" s="226"/>
      <c r="I1010" s="57"/>
      <c r="J1010" s="57"/>
      <c r="K1010" s="57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57"/>
      <c r="AA1010" s="57"/>
      <c r="AB1010" s="57"/>
      <c r="AC1010" s="57"/>
    </row>
    <row r="1011" ht="15.75" customHeight="1">
      <c r="A1011" s="57"/>
      <c r="B1011" s="1118"/>
      <c r="C1011" s="241"/>
      <c r="D1011" s="57"/>
      <c r="E1011" s="57"/>
      <c r="F1011" s="228"/>
      <c r="G1011" s="1120"/>
      <c r="H1011" s="226"/>
      <c r="I1011" s="57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  <c r="AB1011" s="57"/>
      <c r="AC1011" s="57"/>
    </row>
    <row r="1012" ht="15.75" customHeight="1">
      <c r="A1012" s="57"/>
      <c r="B1012" s="1118"/>
      <c r="C1012" s="241"/>
      <c r="D1012" s="57"/>
      <c r="E1012" s="57"/>
      <c r="F1012" s="228"/>
      <c r="G1012" s="1120"/>
      <c r="H1012" s="226"/>
      <c r="I1012" s="57"/>
      <c r="J1012" s="57"/>
      <c r="K1012" s="57"/>
      <c r="L1012" s="57"/>
      <c r="M1012" s="57"/>
      <c r="N1012" s="57"/>
      <c r="O1012" s="57"/>
      <c r="P1012" s="57"/>
      <c r="Q1012" s="57"/>
      <c r="R1012" s="57"/>
      <c r="S1012" s="57"/>
      <c r="T1012" s="57"/>
      <c r="U1012" s="57"/>
      <c r="V1012" s="57"/>
      <c r="W1012" s="57"/>
      <c r="X1012" s="57"/>
      <c r="Y1012" s="57"/>
      <c r="Z1012" s="57"/>
      <c r="AA1012" s="57"/>
      <c r="AB1012" s="57"/>
      <c r="AC1012" s="57"/>
    </row>
    <row r="1013" ht="15.75" customHeight="1">
      <c r="A1013" s="57"/>
      <c r="B1013" s="1118"/>
      <c r="C1013" s="241"/>
      <c r="D1013" s="57"/>
      <c r="E1013" s="57"/>
      <c r="F1013" s="228"/>
      <c r="G1013" s="1120"/>
      <c r="H1013" s="226"/>
      <c r="I1013" s="57"/>
      <c r="J1013" s="57"/>
      <c r="K1013" s="57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  <c r="Z1013" s="57"/>
      <c r="AA1013" s="57"/>
      <c r="AB1013" s="57"/>
      <c r="AC1013" s="57"/>
    </row>
    <row r="1014" ht="15.75" customHeight="1">
      <c r="A1014" s="57"/>
      <c r="B1014" s="1118"/>
      <c r="C1014" s="241"/>
      <c r="D1014" s="57"/>
      <c r="E1014" s="57"/>
      <c r="F1014" s="228"/>
      <c r="G1014" s="1120"/>
      <c r="H1014" s="226"/>
      <c r="I1014" s="57"/>
      <c r="J1014" s="57"/>
      <c r="K1014" s="57"/>
      <c r="L1014" s="57"/>
      <c r="M1014" s="57"/>
      <c r="N1014" s="57"/>
      <c r="O1014" s="57"/>
      <c r="P1014" s="57"/>
      <c r="Q1014" s="57"/>
      <c r="R1014" s="57"/>
      <c r="S1014" s="57"/>
      <c r="T1014" s="57"/>
      <c r="U1014" s="57"/>
      <c r="V1014" s="57"/>
      <c r="W1014" s="57"/>
      <c r="X1014" s="57"/>
      <c r="Y1014" s="57"/>
      <c r="Z1014" s="57"/>
      <c r="AA1014" s="57"/>
      <c r="AB1014" s="57"/>
      <c r="AC1014" s="57"/>
    </row>
    <row r="1015" ht="15.75" customHeight="1">
      <c r="A1015" s="57"/>
      <c r="B1015" s="1118"/>
      <c r="C1015" s="241"/>
      <c r="D1015" s="57"/>
      <c r="E1015" s="57"/>
      <c r="F1015" s="228"/>
      <c r="G1015" s="1120"/>
      <c r="H1015" s="226"/>
      <c r="I1015" s="57"/>
      <c r="J1015" s="57"/>
      <c r="K1015" s="57"/>
      <c r="L1015" s="57"/>
      <c r="M1015" s="57"/>
      <c r="N1015" s="57"/>
      <c r="O1015" s="57"/>
      <c r="P1015" s="57"/>
      <c r="Q1015" s="57"/>
      <c r="R1015" s="57"/>
      <c r="S1015" s="57"/>
      <c r="T1015" s="57"/>
      <c r="U1015" s="57"/>
      <c r="V1015" s="57"/>
      <c r="W1015" s="57"/>
      <c r="X1015" s="57"/>
      <c r="Y1015" s="57"/>
      <c r="Z1015" s="57"/>
      <c r="AA1015" s="57"/>
      <c r="AB1015" s="57"/>
      <c r="AC1015" s="57"/>
    </row>
    <row r="1016" ht="15.75" customHeight="1">
      <c r="A1016" s="57"/>
      <c r="B1016" s="1118"/>
      <c r="C1016" s="241"/>
      <c r="D1016" s="57"/>
      <c r="E1016" s="57"/>
      <c r="F1016" s="228"/>
      <c r="G1016" s="1120"/>
      <c r="H1016" s="226"/>
      <c r="I1016" s="57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  <c r="AA1016" s="57"/>
      <c r="AB1016" s="57"/>
      <c r="AC1016" s="57"/>
    </row>
    <row r="1017" ht="15.75" customHeight="1">
      <c r="A1017" s="57"/>
      <c r="B1017" s="1118"/>
      <c r="C1017" s="241"/>
      <c r="D1017" s="57"/>
      <c r="E1017" s="57"/>
      <c r="F1017" s="228"/>
      <c r="G1017" s="1120"/>
      <c r="H1017" s="226"/>
      <c r="I1017" s="57"/>
      <c r="J1017" s="57"/>
      <c r="K1017" s="57"/>
      <c r="L1017" s="57"/>
      <c r="M1017" s="57"/>
      <c r="N1017" s="57"/>
      <c r="O1017" s="57"/>
      <c r="P1017" s="57"/>
      <c r="Q1017" s="57"/>
      <c r="R1017" s="57"/>
      <c r="S1017" s="57"/>
      <c r="T1017" s="57"/>
      <c r="U1017" s="57"/>
      <c r="V1017" s="57"/>
      <c r="W1017" s="57"/>
      <c r="X1017" s="57"/>
      <c r="Y1017" s="57"/>
      <c r="Z1017" s="57"/>
      <c r="AA1017" s="57"/>
      <c r="AB1017" s="57"/>
      <c r="AC1017" s="57"/>
    </row>
    <row r="1018" ht="15.75" customHeight="1">
      <c r="A1018" s="57"/>
      <c r="B1018" s="1118"/>
      <c r="C1018" s="241"/>
      <c r="D1018" s="57"/>
      <c r="E1018" s="57"/>
      <c r="F1018" s="228"/>
      <c r="G1018" s="1120"/>
      <c r="H1018" s="226"/>
      <c r="I1018" s="57"/>
      <c r="J1018" s="57"/>
      <c r="K1018" s="57"/>
      <c r="L1018" s="57"/>
      <c r="M1018" s="57"/>
      <c r="N1018" s="57"/>
      <c r="O1018" s="57"/>
      <c r="P1018" s="57"/>
      <c r="Q1018" s="57"/>
      <c r="R1018" s="57"/>
      <c r="S1018" s="57"/>
      <c r="T1018" s="57"/>
      <c r="U1018" s="57"/>
      <c r="V1018" s="57"/>
      <c r="W1018" s="57"/>
      <c r="X1018" s="57"/>
      <c r="Y1018" s="57"/>
      <c r="Z1018" s="57"/>
      <c r="AA1018" s="57"/>
      <c r="AB1018" s="57"/>
      <c r="AC1018" s="57"/>
    </row>
    <row r="1019" ht="15.75" customHeight="1">
      <c r="A1019" s="57"/>
      <c r="B1019" s="1118"/>
      <c r="C1019" s="241"/>
      <c r="D1019" s="57"/>
      <c r="E1019" s="57"/>
      <c r="F1019" s="228"/>
      <c r="G1019" s="1120"/>
      <c r="H1019" s="226"/>
      <c r="I1019" s="57"/>
      <c r="J1019" s="57"/>
      <c r="K1019" s="57"/>
      <c r="L1019" s="57"/>
      <c r="M1019" s="57"/>
      <c r="N1019" s="57"/>
      <c r="O1019" s="57"/>
      <c r="P1019" s="57"/>
      <c r="Q1019" s="57"/>
      <c r="R1019" s="57"/>
      <c r="S1019" s="57"/>
      <c r="T1019" s="57"/>
      <c r="U1019" s="57"/>
      <c r="V1019" s="57"/>
      <c r="W1019" s="57"/>
      <c r="X1019" s="57"/>
      <c r="Y1019" s="57"/>
      <c r="Z1019" s="57"/>
      <c r="AA1019" s="57"/>
      <c r="AB1019" s="57"/>
      <c r="AC1019" s="57"/>
    </row>
    <row r="1020" ht="15.75" customHeight="1">
      <c r="A1020" s="57"/>
      <c r="B1020" s="1118"/>
      <c r="C1020" s="241"/>
      <c r="D1020" s="57"/>
      <c r="E1020" s="57"/>
      <c r="F1020" s="228"/>
      <c r="G1020" s="1120"/>
      <c r="H1020" s="226"/>
      <c r="I1020" s="57"/>
      <c r="J1020" s="57"/>
      <c r="K1020" s="57"/>
      <c r="L1020" s="57"/>
      <c r="M1020" s="57"/>
      <c r="N1020" s="57"/>
      <c r="O1020" s="57"/>
      <c r="P1020" s="57"/>
      <c r="Q1020" s="57"/>
      <c r="R1020" s="57"/>
      <c r="S1020" s="57"/>
      <c r="T1020" s="57"/>
      <c r="U1020" s="57"/>
      <c r="V1020" s="57"/>
      <c r="W1020" s="57"/>
      <c r="X1020" s="57"/>
      <c r="Y1020" s="57"/>
      <c r="Z1020" s="57"/>
      <c r="AA1020" s="57"/>
      <c r="AB1020" s="57"/>
      <c r="AC1020" s="57"/>
    </row>
    <row r="1021" ht="15.75" customHeight="1">
      <c r="A1021" s="57"/>
      <c r="B1021" s="1118"/>
      <c r="C1021" s="241"/>
      <c r="D1021" s="57"/>
      <c r="E1021" s="57"/>
      <c r="F1021" s="228"/>
      <c r="G1021" s="1120"/>
      <c r="H1021" s="226"/>
      <c r="I1021" s="57"/>
      <c r="J1021" s="57"/>
      <c r="K1021" s="57"/>
      <c r="L1021" s="57"/>
      <c r="M1021" s="57"/>
      <c r="N1021" s="57"/>
      <c r="O1021" s="57"/>
      <c r="P1021" s="57"/>
      <c r="Q1021" s="57"/>
      <c r="R1021" s="57"/>
      <c r="S1021" s="57"/>
      <c r="T1021" s="57"/>
      <c r="U1021" s="57"/>
      <c r="V1021" s="57"/>
      <c r="W1021" s="57"/>
      <c r="X1021" s="57"/>
      <c r="Y1021" s="57"/>
      <c r="Z1021" s="57"/>
      <c r="AA1021" s="57"/>
      <c r="AB1021" s="57"/>
      <c r="AC1021" s="57"/>
    </row>
    <row r="1022" ht="15.75" customHeight="1">
      <c r="A1022" s="57"/>
      <c r="B1022" s="1118"/>
      <c r="C1022" s="241"/>
      <c r="D1022" s="57"/>
      <c r="E1022" s="57"/>
      <c r="F1022" s="228"/>
      <c r="G1022" s="1120"/>
      <c r="H1022" s="226"/>
      <c r="I1022" s="57"/>
      <c r="J1022" s="57"/>
      <c r="K1022" s="57"/>
      <c r="L1022" s="57"/>
      <c r="M1022" s="57"/>
      <c r="N1022" s="57"/>
      <c r="O1022" s="57"/>
      <c r="P1022" s="57"/>
      <c r="Q1022" s="57"/>
      <c r="R1022" s="57"/>
      <c r="S1022" s="57"/>
      <c r="T1022" s="57"/>
      <c r="U1022" s="57"/>
      <c r="V1022" s="57"/>
      <c r="W1022" s="57"/>
      <c r="X1022" s="57"/>
      <c r="Y1022" s="57"/>
      <c r="Z1022" s="57"/>
      <c r="AA1022" s="57"/>
      <c r="AB1022" s="57"/>
      <c r="AC1022" s="57"/>
    </row>
    <row r="1023" ht="15.75" customHeight="1">
      <c r="A1023" s="57"/>
      <c r="B1023" s="1118"/>
      <c r="C1023" s="241"/>
      <c r="D1023" s="57"/>
      <c r="E1023" s="57"/>
      <c r="F1023" s="228"/>
      <c r="G1023" s="1120"/>
      <c r="H1023" s="226"/>
      <c r="I1023" s="57"/>
      <c r="J1023" s="57"/>
      <c r="K1023" s="57"/>
      <c r="L1023" s="57"/>
      <c r="M1023" s="57"/>
      <c r="N1023" s="57"/>
      <c r="O1023" s="57"/>
      <c r="P1023" s="57"/>
      <c r="Q1023" s="57"/>
      <c r="R1023" s="57"/>
      <c r="S1023" s="57"/>
      <c r="T1023" s="57"/>
      <c r="U1023" s="57"/>
      <c r="V1023" s="57"/>
      <c r="W1023" s="57"/>
      <c r="X1023" s="57"/>
      <c r="Y1023" s="57"/>
      <c r="Z1023" s="57"/>
      <c r="AA1023" s="57"/>
      <c r="AB1023" s="57"/>
      <c r="AC1023" s="57"/>
    </row>
    <row r="1024" ht="15.75" customHeight="1">
      <c r="A1024" s="57"/>
      <c r="B1024" s="1118"/>
      <c r="C1024" s="241"/>
      <c r="D1024" s="57"/>
      <c r="E1024" s="57"/>
      <c r="F1024" s="228"/>
      <c r="G1024" s="1120"/>
      <c r="H1024" s="226"/>
      <c r="I1024" s="57"/>
      <c r="J1024" s="57"/>
      <c r="K1024" s="57"/>
      <c r="L1024" s="57"/>
      <c r="M1024" s="57"/>
      <c r="N1024" s="57"/>
      <c r="O1024" s="57"/>
      <c r="P1024" s="57"/>
      <c r="Q1024" s="57"/>
      <c r="R1024" s="57"/>
      <c r="S1024" s="57"/>
      <c r="T1024" s="57"/>
      <c r="U1024" s="57"/>
      <c r="V1024" s="57"/>
      <c r="W1024" s="57"/>
      <c r="X1024" s="57"/>
      <c r="Y1024" s="57"/>
      <c r="Z1024" s="57"/>
      <c r="AA1024" s="57"/>
      <c r="AB1024" s="57"/>
      <c r="AC1024" s="57"/>
    </row>
    <row r="1025" ht="15.75" customHeight="1">
      <c r="A1025" s="57"/>
      <c r="B1025" s="1118"/>
      <c r="C1025" s="241"/>
      <c r="D1025" s="57"/>
      <c r="E1025" s="57"/>
      <c r="F1025" s="228"/>
      <c r="G1025" s="1120"/>
      <c r="H1025" s="226"/>
      <c r="I1025" s="57"/>
      <c r="J1025" s="57"/>
      <c r="K1025" s="57"/>
      <c r="L1025" s="57"/>
      <c r="M1025" s="57"/>
      <c r="N1025" s="57"/>
      <c r="O1025" s="57"/>
      <c r="P1025" s="57"/>
      <c r="Q1025" s="57"/>
      <c r="R1025" s="57"/>
      <c r="S1025" s="57"/>
      <c r="T1025" s="57"/>
      <c r="U1025" s="57"/>
      <c r="V1025" s="57"/>
      <c r="W1025" s="57"/>
      <c r="X1025" s="57"/>
      <c r="Y1025" s="57"/>
      <c r="Z1025" s="57"/>
      <c r="AA1025" s="57"/>
      <c r="AB1025" s="57"/>
      <c r="AC1025" s="57"/>
    </row>
    <row r="1026" ht="15.75" customHeight="1">
      <c r="A1026" s="57"/>
      <c r="B1026" s="1118"/>
      <c r="C1026" s="241"/>
      <c r="D1026" s="57"/>
      <c r="E1026" s="57"/>
      <c r="F1026" s="228"/>
      <c r="G1026" s="1120"/>
      <c r="H1026" s="226"/>
      <c r="I1026" s="57"/>
      <c r="J1026" s="57"/>
      <c r="K1026" s="57"/>
      <c r="L1026" s="57"/>
      <c r="M1026" s="57"/>
      <c r="N1026" s="57"/>
      <c r="O1026" s="57"/>
      <c r="P1026" s="57"/>
      <c r="Q1026" s="57"/>
      <c r="R1026" s="57"/>
      <c r="S1026" s="57"/>
      <c r="T1026" s="57"/>
      <c r="U1026" s="57"/>
      <c r="V1026" s="57"/>
      <c r="W1026" s="57"/>
      <c r="X1026" s="57"/>
      <c r="Y1026" s="57"/>
      <c r="Z1026" s="57"/>
      <c r="AA1026" s="57"/>
      <c r="AB1026" s="57"/>
      <c r="AC1026" s="57"/>
    </row>
    <row r="1027" ht="15.75" customHeight="1">
      <c r="A1027" s="57"/>
      <c r="B1027" s="1118"/>
      <c r="C1027" s="241"/>
      <c r="D1027" s="57"/>
      <c r="E1027" s="57"/>
      <c r="F1027" s="228"/>
      <c r="G1027" s="1120"/>
      <c r="H1027" s="226"/>
      <c r="I1027" s="57"/>
      <c r="J1027" s="57"/>
      <c r="K1027" s="57"/>
      <c r="L1027" s="57"/>
      <c r="M1027" s="57"/>
      <c r="N1027" s="57"/>
      <c r="O1027" s="57"/>
      <c r="P1027" s="57"/>
      <c r="Q1027" s="57"/>
      <c r="R1027" s="57"/>
      <c r="S1027" s="57"/>
      <c r="T1027" s="57"/>
      <c r="U1027" s="57"/>
      <c r="V1027" s="57"/>
      <c r="W1027" s="57"/>
      <c r="X1027" s="57"/>
      <c r="Y1027" s="57"/>
      <c r="Z1027" s="57"/>
      <c r="AA1027" s="57"/>
      <c r="AB1027" s="57"/>
      <c r="AC1027" s="57"/>
    </row>
    <row r="1028" ht="15.75" customHeight="1">
      <c r="A1028" s="57"/>
      <c r="B1028" s="1118"/>
      <c r="C1028" s="241"/>
      <c r="D1028" s="57"/>
      <c r="E1028" s="57"/>
      <c r="F1028" s="228"/>
      <c r="G1028" s="1120"/>
      <c r="H1028" s="226"/>
      <c r="I1028" s="57"/>
      <c r="J1028" s="57"/>
      <c r="K1028" s="57"/>
      <c r="L1028" s="57"/>
      <c r="M1028" s="57"/>
      <c r="N1028" s="57"/>
      <c r="O1028" s="57"/>
      <c r="P1028" s="57"/>
      <c r="Q1028" s="57"/>
      <c r="R1028" s="57"/>
      <c r="S1028" s="57"/>
      <c r="T1028" s="57"/>
      <c r="U1028" s="57"/>
      <c r="V1028" s="57"/>
      <c r="W1028" s="57"/>
      <c r="X1028" s="57"/>
      <c r="Y1028" s="57"/>
      <c r="Z1028" s="57"/>
      <c r="AA1028" s="57"/>
      <c r="AB1028" s="57"/>
      <c r="AC1028" s="57"/>
    </row>
    <row r="1029" ht="15.75" customHeight="1">
      <c r="A1029" s="57"/>
      <c r="B1029" s="1118"/>
      <c r="C1029" s="241"/>
      <c r="D1029" s="57"/>
      <c r="E1029" s="57"/>
      <c r="F1029" s="228"/>
      <c r="G1029" s="1120"/>
      <c r="H1029" s="226"/>
      <c r="I1029" s="57"/>
      <c r="J1029" s="57"/>
      <c r="K1029" s="57"/>
      <c r="L1029" s="57"/>
      <c r="M1029" s="57"/>
      <c r="N1029" s="57"/>
      <c r="O1029" s="57"/>
      <c r="P1029" s="57"/>
      <c r="Q1029" s="57"/>
      <c r="R1029" s="57"/>
      <c r="S1029" s="57"/>
      <c r="T1029" s="57"/>
      <c r="U1029" s="57"/>
      <c r="V1029" s="57"/>
      <c r="W1029" s="57"/>
      <c r="X1029" s="57"/>
      <c r="Y1029" s="57"/>
      <c r="Z1029" s="57"/>
      <c r="AA1029" s="57"/>
      <c r="AB1029" s="57"/>
      <c r="AC1029" s="57"/>
    </row>
    <row r="1030" ht="15.75" customHeight="1">
      <c r="A1030" s="57"/>
      <c r="B1030" s="1118"/>
      <c r="C1030" s="241"/>
      <c r="D1030" s="57"/>
      <c r="E1030" s="57"/>
      <c r="F1030" s="228"/>
      <c r="G1030" s="1120"/>
      <c r="H1030" s="226"/>
      <c r="I1030" s="57"/>
      <c r="J1030" s="57"/>
      <c r="K1030" s="57"/>
      <c r="L1030" s="57"/>
      <c r="M1030" s="57"/>
      <c r="N1030" s="57"/>
      <c r="O1030" s="57"/>
      <c r="P1030" s="57"/>
      <c r="Q1030" s="57"/>
      <c r="R1030" s="57"/>
      <c r="S1030" s="57"/>
      <c r="T1030" s="57"/>
      <c r="U1030" s="57"/>
      <c r="V1030" s="57"/>
      <c r="W1030" s="57"/>
      <c r="X1030" s="57"/>
      <c r="Y1030" s="57"/>
      <c r="Z1030" s="57"/>
      <c r="AA1030" s="57"/>
      <c r="AB1030" s="57"/>
      <c r="AC1030" s="57"/>
    </row>
    <row r="1031" ht="15.75" customHeight="1">
      <c r="A1031" s="57"/>
      <c r="B1031" s="1118"/>
      <c r="C1031" s="241"/>
      <c r="D1031" s="57"/>
      <c r="E1031" s="57"/>
      <c r="F1031" s="228"/>
      <c r="G1031" s="1120"/>
      <c r="H1031" s="226"/>
      <c r="I1031" s="57"/>
      <c r="J1031" s="57"/>
      <c r="K1031" s="57"/>
      <c r="L1031" s="57"/>
      <c r="M1031" s="57"/>
      <c r="N1031" s="57"/>
      <c r="O1031" s="57"/>
      <c r="P1031" s="57"/>
      <c r="Q1031" s="57"/>
      <c r="R1031" s="57"/>
      <c r="S1031" s="57"/>
      <c r="T1031" s="57"/>
      <c r="U1031" s="57"/>
      <c r="V1031" s="57"/>
      <c r="W1031" s="57"/>
      <c r="X1031" s="57"/>
      <c r="Y1031" s="57"/>
      <c r="Z1031" s="57"/>
      <c r="AA1031" s="57"/>
      <c r="AB1031" s="57"/>
      <c r="AC1031" s="57"/>
    </row>
    <row r="1032" ht="15.75" customHeight="1">
      <c r="A1032" s="57"/>
      <c r="B1032" s="1118"/>
      <c r="C1032" s="241"/>
      <c r="D1032" s="57"/>
      <c r="E1032" s="57"/>
      <c r="F1032" s="228"/>
      <c r="G1032" s="1120"/>
      <c r="H1032" s="226"/>
      <c r="I1032" s="57"/>
      <c r="J1032" s="57"/>
      <c r="K1032" s="57"/>
      <c r="L1032" s="57"/>
      <c r="M1032" s="57"/>
      <c r="N1032" s="57"/>
      <c r="O1032" s="57"/>
      <c r="P1032" s="57"/>
      <c r="Q1032" s="57"/>
      <c r="R1032" s="57"/>
      <c r="S1032" s="57"/>
      <c r="T1032" s="57"/>
      <c r="U1032" s="57"/>
      <c r="V1032" s="57"/>
      <c r="W1032" s="57"/>
      <c r="X1032" s="57"/>
      <c r="Y1032" s="57"/>
      <c r="Z1032" s="57"/>
      <c r="AA1032" s="57"/>
      <c r="AB1032" s="57"/>
      <c r="AC1032" s="57"/>
    </row>
    <row r="1033" ht="15.75" customHeight="1">
      <c r="A1033" s="57"/>
      <c r="B1033" s="1118"/>
      <c r="C1033" s="241"/>
      <c r="D1033" s="57"/>
      <c r="E1033" s="57"/>
      <c r="F1033" s="228"/>
      <c r="G1033" s="1120"/>
      <c r="H1033" s="226"/>
      <c r="I1033" s="57"/>
      <c r="J1033" s="57"/>
      <c r="K1033" s="57"/>
      <c r="L1033" s="57"/>
      <c r="M1033" s="57"/>
      <c r="N1033" s="57"/>
      <c r="O1033" s="57"/>
      <c r="P1033" s="57"/>
      <c r="Q1033" s="57"/>
      <c r="R1033" s="57"/>
      <c r="S1033" s="57"/>
      <c r="T1033" s="57"/>
      <c r="U1033" s="57"/>
      <c r="V1033" s="57"/>
      <c r="W1033" s="57"/>
      <c r="X1033" s="57"/>
      <c r="Y1033" s="57"/>
      <c r="Z1033" s="57"/>
      <c r="AA1033" s="57"/>
      <c r="AB1033" s="57"/>
      <c r="AC1033" s="57"/>
    </row>
    <row r="1034" ht="15.75" customHeight="1">
      <c r="A1034" s="57"/>
      <c r="B1034" s="1118"/>
      <c r="C1034" s="241"/>
      <c r="D1034" s="57"/>
      <c r="E1034" s="57"/>
      <c r="F1034" s="228"/>
      <c r="G1034" s="1120"/>
      <c r="H1034" s="226"/>
      <c r="I1034" s="57"/>
      <c r="J1034" s="57"/>
      <c r="K1034" s="57"/>
      <c r="L1034" s="57"/>
      <c r="M1034" s="57"/>
      <c r="N1034" s="57"/>
      <c r="O1034" s="57"/>
      <c r="P1034" s="57"/>
      <c r="Q1034" s="57"/>
      <c r="R1034" s="57"/>
      <c r="S1034" s="57"/>
      <c r="T1034" s="57"/>
      <c r="U1034" s="57"/>
      <c r="V1034" s="57"/>
      <c r="W1034" s="57"/>
      <c r="X1034" s="57"/>
      <c r="Y1034" s="57"/>
      <c r="Z1034" s="57"/>
      <c r="AA1034" s="57"/>
      <c r="AB1034" s="57"/>
      <c r="AC1034" s="57"/>
    </row>
    <row r="1035" ht="15.75" customHeight="1">
      <c r="A1035" s="57"/>
      <c r="B1035" s="1118"/>
      <c r="C1035" s="241"/>
      <c r="D1035" s="57"/>
      <c r="E1035" s="57"/>
      <c r="F1035" s="228"/>
      <c r="G1035" s="1120"/>
      <c r="H1035" s="226"/>
      <c r="I1035" s="57"/>
      <c r="J1035" s="57"/>
      <c r="K1035" s="57"/>
      <c r="L1035" s="57"/>
      <c r="M1035" s="57"/>
      <c r="N1035" s="57"/>
      <c r="O1035" s="57"/>
      <c r="P1035" s="57"/>
      <c r="Q1035" s="57"/>
      <c r="R1035" s="57"/>
      <c r="S1035" s="57"/>
      <c r="T1035" s="57"/>
      <c r="U1035" s="57"/>
      <c r="V1035" s="57"/>
      <c r="W1035" s="57"/>
      <c r="X1035" s="57"/>
      <c r="Y1035" s="57"/>
      <c r="Z1035" s="57"/>
      <c r="AA1035" s="57"/>
      <c r="AB1035" s="57"/>
      <c r="AC1035" s="57"/>
    </row>
    <row r="1036" ht="15.75" customHeight="1">
      <c r="A1036" s="57"/>
      <c r="B1036" s="1118"/>
      <c r="C1036" s="241"/>
      <c r="D1036" s="57"/>
      <c r="E1036" s="57"/>
      <c r="F1036" s="228"/>
      <c r="G1036" s="1120"/>
      <c r="H1036" s="226"/>
      <c r="I1036" s="57"/>
      <c r="J1036" s="57"/>
      <c r="K1036" s="57"/>
      <c r="L1036" s="57"/>
      <c r="M1036" s="57"/>
      <c r="N1036" s="57"/>
      <c r="O1036" s="57"/>
      <c r="P1036" s="57"/>
      <c r="Q1036" s="57"/>
      <c r="R1036" s="57"/>
      <c r="S1036" s="57"/>
      <c r="T1036" s="57"/>
      <c r="U1036" s="57"/>
      <c r="V1036" s="57"/>
      <c r="W1036" s="57"/>
      <c r="X1036" s="57"/>
      <c r="Y1036" s="57"/>
      <c r="Z1036" s="57"/>
      <c r="AA1036" s="57"/>
      <c r="AB1036" s="57"/>
      <c r="AC1036" s="57"/>
    </row>
    <row r="1037" ht="15.75" customHeight="1">
      <c r="A1037" s="57"/>
      <c r="B1037" s="1118"/>
      <c r="C1037" s="241"/>
      <c r="D1037" s="57"/>
      <c r="E1037" s="57"/>
      <c r="F1037" s="228"/>
      <c r="G1037" s="1120"/>
      <c r="H1037" s="226"/>
      <c r="I1037" s="57"/>
      <c r="J1037" s="57"/>
      <c r="K1037" s="57"/>
      <c r="L1037" s="57"/>
      <c r="M1037" s="57"/>
      <c r="N1037" s="57"/>
      <c r="O1037" s="57"/>
      <c r="P1037" s="57"/>
      <c r="Q1037" s="57"/>
      <c r="R1037" s="57"/>
      <c r="S1037" s="57"/>
      <c r="T1037" s="57"/>
      <c r="U1037" s="57"/>
      <c r="V1037" s="57"/>
      <c r="W1037" s="57"/>
      <c r="X1037" s="57"/>
      <c r="Y1037" s="57"/>
      <c r="Z1037" s="57"/>
      <c r="AA1037" s="57"/>
      <c r="AB1037" s="57"/>
      <c r="AC1037" s="57"/>
    </row>
    <row r="1038" ht="15.75" customHeight="1">
      <c r="A1038" s="57"/>
      <c r="B1038" s="1118"/>
      <c r="C1038" s="241"/>
      <c r="D1038" s="57"/>
      <c r="E1038" s="57"/>
      <c r="F1038" s="228"/>
      <c r="G1038" s="1120"/>
      <c r="H1038" s="226"/>
      <c r="I1038" s="57"/>
      <c r="J1038" s="57"/>
      <c r="K1038" s="57"/>
      <c r="L1038" s="57"/>
      <c r="M1038" s="57"/>
      <c r="N1038" s="57"/>
      <c r="O1038" s="57"/>
      <c r="P1038" s="57"/>
      <c r="Q1038" s="57"/>
      <c r="R1038" s="57"/>
      <c r="S1038" s="57"/>
      <c r="T1038" s="57"/>
      <c r="U1038" s="57"/>
      <c r="V1038" s="57"/>
      <c r="W1038" s="57"/>
      <c r="X1038" s="57"/>
      <c r="Y1038" s="57"/>
      <c r="Z1038" s="57"/>
      <c r="AA1038" s="57"/>
      <c r="AB1038" s="57"/>
      <c r="AC1038" s="57"/>
    </row>
    <row r="1039" ht="15.75" customHeight="1">
      <c r="A1039" s="57"/>
      <c r="B1039" s="1118"/>
      <c r="C1039" s="241"/>
      <c r="D1039" s="57"/>
      <c r="E1039" s="57"/>
      <c r="F1039" s="228"/>
      <c r="G1039" s="1120"/>
      <c r="H1039" s="226"/>
      <c r="I1039" s="57"/>
      <c r="J1039" s="57"/>
      <c r="K1039" s="57"/>
      <c r="L1039" s="57"/>
      <c r="M1039" s="57"/>
      <c r="N1039" s="57"/>
      <c r="O1039" s="57"/>
      <c r="P1039" s="57"/>
      <c r="Q1039" s="57"/>
      <c r="R1039" s="57"/>
      <c r="S1039" s="57"/>
      <c r="T1039" s="57"/>
      <c r="U1039" s="57"/>
      <c r="V1039" s="57"/>
      <c r="W1039" s="57"/>
      <c r="X1039" s="57"/>
      <c r="Y1039" s="57"/>
      <c r="Z1039" s="57"/>
      <c r="AA1039" s="57"/>
      <c r="AB1039" s="57"/>
      <c r="AC1039" s="57"/>
    </row>
    <row r="1040" ht="15.75" customHeight="1">
      <c r="A1040" s="57"/>
      <c r="B1040" s="1118"/>
      <c r="C1040" s="241"/>
      <c r="D1040" s="57"/>
      <c r="E1040" s="57"/>
      <c r="F1040" s="228"/>
      <c r="G1040" s="1120"/>
      <c r="H1040" s="226"/>
      <c r="I1040" s="57"/>
      <c r="J1040" s="57"/>
      <c r="K1040" s="57"/>
      <c r="L1040" s="57"/>
      <c r="M1040" s="57"/>
      <c r="N1040" s="57"/>
      <c r="O1040" s="57"/>
      <c r="P1040" s="57"/>
      <c r="Q1040" s="57"/>
      <c r="R1040" s="57"/>
      <c r="S1040" s="57"/>
      <c r="T1040" s="57"/>
      <c r="U1040" s="57"/>
      <c r="V1040" s="57"/>
      <c r="W1040" s="57"/>
      <c r="X1040" s="57"/>
      <c r="Y1040" s="57"/>
      <c r="Z1040" s="57"/>
      <c r="AA1040" s="57"/>
      <c r="AB1040" s="57"/>
      <c r="AC1040" s="57"/>
    </row>
    <row r="1041" ht="15.75" customHeight="1">
      <c r="A1041" s="57"/>
      <c r="B1041" s="1118"/>
      <c r="C1041" s="241"/>
      <c r="D1041" s="57"/>
      <c r="E1041" s="57"/>
      <c r="F1041" s="228"/>
      <c r="G1041" s="1120"/>
      <c r="H1041" s="226"/>
      <c r="I1041" s="57"/>
      <c r="J1041" s="57"/>
      <c r="K1041" s="57"/>
      <c r="L1041" s="57"/>
      <c r="M1041" s="57"/>
      <c r="N1041" s="57"/>
      <c r="O1041" s="57"/>
      <c r="P1041" s="57"/>
      <c r="Q1041" s="57"/>
      <c r="R1041" s="57"/>
      <c r="S1041" s="57"/>
      <c r="T1041" s="57"/>
      <c r="U1041" s="57"/>
      <c r="V1041" s="57"/>
      <c r="W1041" s="57"/>
      <c r="X1041" s="57"/>
      <c r="Y1041" s="57"/>
      <c r="Z1041" s="57"/>
      <c r="AA1041" s="57"/>
      <c r="AB1041" s="57"/>
      <c r="AC1041" s="57"/>
    </row>
    <row r="1042" ht="15.75" customHeight="1">
      <c r="A1042" s="57"/>
      <c r="B1042" s="1118"/>
      <c r="C1042" s="241"/>
      <c r="D1042" s="57"/>
      <c r="E1042" s="57"/>
      <c r="F1042" s="228"/>
      <c r="G1042" s="1120"/>
      <c r="H1042" s="226"/>
      <c r="I1042" s="57"/>
      <c r="J1042" s="57"/>
      <c r="K1042" s="57"/>
      <c r="L1042" s="57"/>
      <c r="M1042" s="57"/>
      <c r="N1042" s="57"/>
      <c r="O1042" s="57"/>
      <c r="P1042" s="57"/>
      <c r="Q1042" s="57"/>
      <c r="R1042" s="57"/>
      <c r="S1042" s="57"/>
      <c r="T1042" s="57"/>
      <c r="U1042" s="57"/>
      <c r="V1042" s="57"/>
      <c r="W1042" s="57"/>
      <c r="X1042" s="57"/>
      <c r="Y1042" s="57"/>
      <c r="Z1042" s="57"/>
      <c r="AA1042" s="57"/>
      <c r="AB1042" s="57"/>
      <c r="AC1042" s="57"/>
    </row>
    <row r="1043" ht="15.75" customHeight="1">
      <c r="A1043" s="57"/>
      <c r="B1043" s="1118"/>
      <c r="C1043" s="241"/>
      <c r="D1043" s="57"/>
      <c r="E1043" s="57"/>
      <c r="F1043" s="228"/>
      <c r="G1043" s="1120"/>
      <c r="H1043" s="226"/>
      <c r="I1043" s="57"/>
      <c r="J1043" s="57"/>
      <c r="K1043" s="57"/>
      <c r="L1043" s="57"/>
      <c r="M1043" s="57"/>
      <c r="N1043" s="57"/>
      <c r="O1043" s="57"/>
      <c r="P1043" s="57"/>
      <c r="Q1043" s="57"/>
      <c r="R1043" s="57"/>
      <c r="S1043" s="57"/>
      <c r="T1043" s="57"/>
      <c r="U1043" s="57"/>
      <c r="V1043" s="57"/>
      <c r="W1043" s="57"/>
      <c r="X1043" s="57"/>
      <c r="Y1043" s="57"/>
      <c r="Z1043" s="57"/>
      <c r="AA1043" s="57"/>
      <c r="AB1043" s="57"/>
      <c r="AC1043" s="57"/>
    </row>
    <row r="1044" ht="15.75" customHeight="1">
      <c r="A1044" s="57"/>
      <c r="B1044" s="1118"/>
      <c r="C1044" s="241"/>
      <c r="D1044" s="57"/>
      <c r="E1044" s="57"/>
      <c r="F1044" s="228"/>
      <c r="G1044" s="1120"/>
      <c r="H1044" s="226"/>
      <c r="I1044" s="57"/>
      <c r="J1044" s="57"/>
      <c r="K1044" s="57"/>
      <c r="L1044" s="57"/>
      <c r="M1044" s="57"/>
      <c r="N1044" s="57"/>
      <c r="O1044" s="57"/>
      <c r="P1044" s="57"/>
      <c r="Q1044" s="57"/>
      <c r="R1044" s="57"/>
      <c r="S1044" s="57"/>
      <c r="T1044" s="57"/>
      <c r="U1044" s="57"/>
      <c r="V1044" s="57"/>
      <c r="W1044" s="57"/>
      <c r="X1044" s="57"/>
      <c r="Y1044" s="57"/>
      <c r="Z1044" s="57"/>
      <c r="AA1044" s="57"/>
      <c r="AB1044" s="57"/>
      <c r="AC1044" s="57"/>
    </row>
    <row r="1045" ht="15.75" customHeight="1">
      <c r="A1045" s="57"/>
      <c r="B1045" s="1118"/>
      <c r="C1045" s="241"/>
      <c r="D1045" s="57"/>
      <c r="E1045" s="57"/>
      <c r="F1045" s="228"/>
      <c r="G1045" s="1120"/>
      <c r="H1045" s="226"/>
      <c r="I1045" s="57"/>
      <c r="J1045" s="57"/>
      <c r="K1045" s="57"/>
      <c r="L1045" s="57"/>
      <c r="M1045" s="57"/>
      <c r="N1045" s="57"/>
      <c r="O1045" s="57"/>
      <c r="P1045" s="57"/>
      <c r="Q1045" s="57"/>
      <c r="R1045" s="57"/>
      <c r="S1045" s="57"/>
      <c r="T1045" s="57"/>
      <c r="U1045" s="57"/>
      <c r="V1045" s="57"/>
      <c r="W1045" s="57"/>
      <c r="X1045" s="57"/>
      <c r="Y1045" s="57"/>
      <c r="Z1045" s="57"/>
      <c r="AA1045" s="57"/>
      <c r="AB1045" s="57"/>
      <c r="AC1045" s="57"/>
    </row>
    <row r="1046" ht="15.75" customHeight="1">
      <c r="A1046" s="57"/>
      <c r="B1046" s="1118"/>
      <c r="C1046" s="241"/>
      <c r="D1046" s="57"/>
      <c r="E1046" s="57"/>
      <c r="F1046" s="228"/>
      <c r="G1046" s="1120"/>
      <c r="H1046" s="226"/>
      <c r="I1046" s="57"/>
      <c r="J1046" s="57"/>
      <c r="K1046" s="57"/>
      <c r="L1046" s="57"/>
      <c r="M1046" s="57"/>
      <c r="N1046" s="57"/>
      <c r="O1046" s="57"/>
      <c r="P1046" s="57"/>
      <c r="Q1046" s="57"/>
      <c r="R1046" s="57"/>
      <c r="S1046" s="57"/>
      <c r="T1046" s="57"/>
      <c r="U1046" s="57"/>
      <c r="V1046" s="57"/>
      <c r="W1046" s="57"/>
      <c r="X1046" s="57"/>
      <c r="Y1046" s="57"/>
      <c r="Z1046" s="57"/>
      <c r="AA1046" s="57"/>
      <c r="AB1046" s="57"/>
      <c r="AC1046" s="57"/>
    </row>
    <row r="1047" ht="15.75" customHeight="1">
      <c r="A1047" s="57"/>
      <c r="B1047" s="1118"/>
      <c r="C1047" s="241"/>
      <c r="D1047" s="57"/>
      <c r="E1047" s="57"/>
      <c r="F1047" s="228"/>
      <c r="G1047" s="1120"/>
      <c r="H1047" s="226"/>
      <c r="I1047" s="57"/>
      <c r="J1047" s="57"/>
      <c r="K1047" s="57"/>
      <c r="L1047" s="57"/>
      <c r="M1047" s="57"/>
      <c r="N1047" s="57"/>
      <c r="O1047" s="57"/>
      <c r="P1047" s="57"/>
      <c r="Q1047" s="57"/>
      <c r="R1047" s="57"/>
      <c r="S1047" s="57"/>
      <c r="T1047" s="57"/>
      <c r="U1047" s="57"/>
      <c r="V1047" s="57"/>
      <c r="W1047" s="57"/>
      <c r="X1047" s="57"/>
      <c r="Y1047" s="57"/>
      <c r="Z1047" s="57"/>
      <c r="AA1047" s="57"/>
      <c r="AB1047" s="57"/>
      <c r="AC1047" s="57"/>
    </row>
    <row r="1048" ht="15.75" customHeight="1">
      <c r="A1048" s="57"/>
      <c r="B1048" s="1118"/>
      <c r="C1048" s="241"/>
      <c r="D1048" s="57"/>
      <c r="E1048" s="57"/>
      <c r="F1048" s="228"/>
      <c r="G1048" s="1120"/>
      <c r="H1048" s="226"/>
      <c r="I1048" s="57"/>
      <c r="J1048" s="57"/>
      <c r="K1048" s="57"/>
      <c r="L1048" s="57"/>
      <c r="M1048" s="57"/>
      <c r="N1048" s="57"/>
      <c r="O1048" s="57"/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57"/>
      <c r="AA1048" s="57"/>
      <c r="AB1048" s="57"/>
      <c r="AC1048" s="57"/>
    </row>
    <row r="1049" ht="15.75" customHeight="1">
      <c r="A1049" s="57"/>
      <c r="B1049" s="1118"/>
      <c r="C1049" s="241"/>
      <c r="D1049" s="57"/>
      <c r="E1049" s="57"/>
      <c r="F1049" s="228"/>
      <c r="G1049" s="1120"/>
      <c r="H1049" s="226"/>
      <c r="I1049" s="57"/>
      <c r="J1049" s="57"/>
      <c r="K1049" s="57"/>
      <c r="L1049" s="57"/>
      <c r="M1049" s="57"/>
      <c r="N1049" s="57"/>
      <c r="O1049" s="57"/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57"/>
      <c r="AA1049" s="57"/>
      <c r="AB1049" s="57"/>
      <c r="AC1049" s="57"/>
    </row>
    <row r="1050" ht="15.75" customHeight="1">
      <c r="A1050" s="57"/>
      <c r="B1050" s="1118"/>
      <c r="C1050" s="241"/>
      <c r="D1050" s="57"/>
      <c r="E1050" s="57"/>
      <c r="F1050" s="228"/>
      <c r="G1050" s="1120"/>
      <c r="H1050" s="226"/>
      <c r="I1050" s="57"/>
      <c r="J1050" s="57"/>
      <c r="K1050" s="57"/>
      <c r="L1050" s="57"/>
      <c r="M1050" s="57"/>
      <c r="N1050" s="57"/>
      <c r="O1050" s="57"/>
      <c r="P1050" s="57"/>
      <c r="Q1050" s="57"/>
      <c r="R1050" s="57"/>
      <c r="S1050" s="57"/>
      <c r="T1050" s="57"/>
      <c r="U1050" s="57"/>
      <c r="V1050" s="57"/>
      <c r="W1050" s="57"/>
      <c r="X1050" s="57"/>
      <c r="Y1050" s="57"/>
      <c r="Z1050" s="57"/>
      <c r="AA1050" s="57"/>
      <c r="AB1050" s="57"/>
      <c r="AC1050" s="57"/>
    </row>
    <row r="1051" ht="15.75" customHeight="1">
      <c r="A1051" s="57"/>
      <c r="B1051" s="1118"/>
      <c r="C1051" s="241"/>
      <c r="D1051" s="57"/>
      <c r="E1051" s="57"/>
      <c r="F1051" s="228"/>
      <c r="G1051" s="1120"/>
      <c r="H1051" s="226"/>
      <c r="I1051" s="57"/>
      <c r="J1051" s="57"/>
      <c r="K1051" s="57"/>
      <c r="L1051" s="57"/>
      <c r="M1051" s="57"/>
      <c r="N1051" s="57"/>
      <c r="O1051" s="57"/>
      <c r="P1051" s="57"/>
      <c r="Q1051" s="57"/>
      <c r="R1051" s="57"/>
      <c r="S1051" s="57"/>
      <c r="T1051" s="57"/>
      <c r="U1051" s="57"/>
      <c r="V1051" s="57"/>
      <c r="W1051" s="57"/>
      <c r="X1051" s="57"/>
      <c r="Y1051" s="57"/>
      <c r="Z1051" s="57"/>
      <c r="AA1051" s="57"/>
      <c r="AB1051" s="57"/>
      <c r="AC1051" s="57"/>
    </row>
    <row r="1052" ht="15.75" customHeight="1">
      <c r="A1052" s="57"/>
      <c r="B1052" s="1118"/>
      <c r="C1052" s="241"/>
      <c r="D1052" s="57"/>
      <c r="E1052" s="57"/>
      <c r="F1052" s="228"/>
      <c r="G1052" s="1120"/>
      <c r="H1052" s="226"/>
      <c r="I1052" s="57"/>
      <c r="J1052" s="57"/>
      <c r="K1052" s="57"/>
      <c r="L1052" s="57"/>
      <c r="M1052" s="57"/>
      <c r="N1052" s="57"/>
      <c r="O1052" s="57"/>
      <c r="P1052" s="57"/>
      <c r="Q1052" s="57"/>
      <c r="R1052" s="57"/>
      <c r="S1052" s="57"/>
      <c r="T1052" s="57"/>
      <c r="U1052" s="57"/>
      <c r="V1052" s="57"/>
      <c r="W1052" s="57"/>
      <c r="X1052" s="57"/>
      <c r="Y1052" s="57"/>
      <c r="Z1052" s="57"/>
      <c r="AA1052" s="57"/>
      <c r="AB1052" s="57"/>
      <c r="AC1052" s="57"/>
    </row>
    <row r="1053" ht="15.75" customHeight="1">
      <c r="A1053" s="57"/>
      <c r="B1053" s="1118"/>
      <c r="C1053" s="241"/>
      <c r="D1053" s="57"/>
      <c r="E1053" s="57"/>
      <c r="F1053" s="228"/>
      <c r="G1053" s="1120"/>
      <c r="H1053" s="226"/>
      <c r="I1053" s="57"/>
      <c r="J1053" s="57"/>
      <c r="K1053" s="57"/>
      <c r="L1053" s="57"/>
      <c r="M1053" s="57"/>
      <c r="N1053" s="57"/>
      <c r="O1053" s="57"/>
      <c r="P1053" s="57"/>
      <c r="Q1053" s="57"/>
      <c r="R1053" s="57"/>
      <c r="S1053" s="57"/>
      <c r="T1053" s="57"/>
      <c r="U1053" s="57"/>
      <c r="V1053" s="57"/>
      <c r="W1053" s="57"/>
      <c r="X1053" s="57"/>
      <c r="Y1053" s="57"/>
      <c r="Z1053" s="57"/>
      <c r="AA1053" s="57"/>
      <c r="AB1053" s="57"/>
      <c r="AC1053" s="57"/>
    </row>
    <row r="1054" ht="15.75" customHeight="1">
      <c r="A1054" s="57"/>
      <c r="B1054" s="1118"/>
      <c r="C1054" s="241"/>
      <c r="D1054" s="57"/>
      <c r="E1054" s="57"/>
      <c r="F1054" s="228"/>
      <c r="G1054" s="1120"/>
      <c r="H1054" s="226"/>
      <c r="I1054" s="57"/>
      <c r="J1054" s="57"/>
      <c r="K1054" s="57"/>
      <c r="L1054" s="57"/>
      <c r="M1054" s="57"/>
      <c r="N1054" s="57"/>
      <c r="O1054" s="57"/>
      <c r="P1054" s="57"/>
      <c r="Q1054" s="57"/>
      <c r="R1054" s="57"/>
      <c r="S1054" s="57"/>
      <c r="T1054" s="57"/>
      <c r="U1054" s="57"/>
      <c r="V1054" s="57"/>
      <c r="W1054" s="57"/>
      <c r="X1054" s="57"/>
      <c r="Y1054" s="57"/>
      <c r="Z1054" s="57"/>
      <c r="AA1054" s="57"/>
      <c r="AB1054" s="57"/>
      <c r="AC1054" s="57"/>
    </row>
    <row r="1055" ht="15.75" customHeight="1">
      <c r="A1055" s="57"/>
      <c r="B1055" s="1118"/>
      <c r="C1055" s="241"/>
      <c r="D1055" s="57"/>
      <c r="E1055" s="57"/>
      <c r="F1055" s="228"/>
      <c r="G1055" s="1120"/>
      <c r="H1055" s="226"/>
      <c r="I1055" s="57"/>
      <c r="J1055" s="57"/>
      <c r="K1055" s="57"/>
      <c r="L1055" s="57"/>
      <c r="M1055" s="57"/>
      <c r="N1055" s="57"/>
      <c r="O1055" s="57"/>
      <c r="P1055" s="57"/>
      <c r="Q1055" s="57"/>
      <c r="R1055" s="57"/>
      <c r="S1055" s="57"/>
      <c r="T1055" s="57"/>
      <c r="U1055" s="57"/>
      <c r="V1055" s="57"/>
      <c r="W1055" s="57"/>
      <c r="X1055" s="57"/>
      <c r="Y1055" s="57"/>
      <c r="Z1055" s="57"/>
      <c r="AA1055" s="57"/>
      <c r="AB1055" s="57"/>
      <c r="AC1055" s="57"/>
    </row>
    <row r="1056" ht="15.75" customHeight="1">
      <c r="A1056" s="57"/>
      <c r="B1056" s="1118"/>
      <c r="C1056" s="241"/>
      <c r="D1056" s="57"/>
      <c r="E1056" s="57"/>
      <c r="F1056" s="228"/>
      <c r="G1056" s="1120"/>
      <c r="H1056" s="226"/>
      <c r="I1056" s="57"/>
      <c r="J1056" s="57"/>
      <c r="K1056" s="57"/>
      <c r="L1056" s="57"/>
      <c r="M1056" s="57"/>
      <c r="N1056" s="57"/>
      <c r="O1056" s="57"/>
      <c r="P1056" s="57"/>
      <c r="Q1056" s="57"/>
      <c r="R1056" s="57"/>
      <c r="S1056" s="57"/>
      <c r="T1056" s="57"/>
      <c r="U1056" s="57"/>
      <c r="V1056" s="57"/>
      <c r="W1056" s="57"/>
      <c r="X1056" s="57"/>
      <c r="Y1056" s="57"/>
      <c r="Z1056" s="57"/>
      <c r="AA1056" s="57"/>
      <c r="AB1056" s="57"/>
      <c r="AC1056" s="57"/>
    </row>
    <row r="1057" ht="15.75" customHeight="1">
      <c r="A1057" s="57"/>
      <c r="B1057" s="1118"/>
      <c r="C1057" s="241"/>
      <c r="D1057" s="57"/>
      <c r="E1057" s="57"/>
      <c r="F1057" s="228"/>
      <c r="G1057" s="1120"/>
      <c r="H1057" s="226"/>
      <c r="I1057" s="57"/>
      <c r="J1057" s="57"/>
      <c r="K1057" s="57"/>
      <c r="L1057" s="57"/>
      <c r="M1057" s="57"/>
      <c r="N1057" s="57"/>
      <c r="O1057" s="57"/>
      <c r="P1057" s="57"/>
      <c r="Q1057" s="57"/>
      <c r="R1057" s="57"/>
      <c r="S1057" s="57"/>
      <c r="T1057" s="57"/>
      <c r="U1057" s="57"/>
      <c r="V1057" s="57"/>
      <c r="W1057" s="57"/>
      <c r="X1057" s="57"/>
      <c r="Y1057" s="57"/>
      <c r="Z1057" s="57"/>
      <c r="AA1057" s="57"/>
      <c r="AB1057" s="57"/>
      <c r="AC1057" s="57"/>
    </row>
    <row r="1058" ht="15.75" customHeight="1">
      <c r="A1058" s="57"/>
      <c r="B1058" s="1118"/>
      <c r="C1058" s="241"/>
      <c r="D1058" s="57"/>
      <c r="E1058" s="57"/>
      <c r="F1058" s="228"/>
      <c r="G1058" s="1120"/>
      <c r="H1058" s="226"/>
      <c r="I1058" s="57"/>
      <c r="J1058" s="57"/>
      <c r="K1058" s="57"/>
      <c r="L1058" s="57"/>
      <c r="M1058" s="57"/>
      <c r="N1058" s="57"/>
      <c r="O1058" s="57"/>
      <c r="P1058" s="57"/>
      <c r="Q1058" s="57"/>
      <c r="R1058" s="57"/>
      <c r="S1058" s="57"/>
      <c r="T1058" s="57"/>
      <c r="U1058" s="57"/>
      <c r="V1058" s="57"/>
      <c r="W1058" s="57"/>
      <c r="X1058" s="57"/>
      <c r="Y1058" s="57"/>
      <c r="Z1058" s="57"/>
      <c r="AA1058" s="57"/>
      <c r="AB1058" s="57"/>
      <c r="AC1058" s="57"/>
    </row>
    <row r="1059" ht="15.75" customHeight="1">
      <c r="A1059" s="57"/>
      <c r="B1059" s="1118"/>
      <c r="C1059" s="241"/>
      <c r="D1059" s="57"/>
      <c r="E1059" s="57"/>
      <c r="F1059" s="228"/>
      <c r="G1059" s="1120"/>
      <c r="H1059" s="226"/>
      <c r="I1059" s="57"/>
      <c r="J1059" s="57"/>
      <c r="K1059" s="57"/>
      <c r="L1059" s="57"/>
      <c r="M1059" s="57"/>
      <c r="N1059" s="57"/>
      <c r="O1059" s="57"/>
      <c r="P1059" s="57"/>
      <c r="Q1059" s="57"/>
      <c r="R1059" s="57"/>
      <c r="S1059" s="57"/>
      <c r="T1059" s="57"/>
      <c r="U1059" s="57"/>
      <c r="V1059" s="57"/>
      <c r="W1059" s="57"/>
      <c r="X1059" s="57"/>
      <c r="Y1059" s="57"/>
      <c r="Z1059" s="57"/>
      <c r="AA1059" s="57"/>
      <c r="AB1059" s="57"/>
      <c r="AC1059" s="57"/>
    </row>
    <row r="1060" ht="15.75" customHeight="1">
      <c r="A1060" s="57"/>
      <c r="B1060" s="1118"/>
      <c r="C1060" s="241"/>
      <c r="D1060" s="57"/>
      <c r="E1060" s="57"/>
      <c r="F1060" s="228"/>
      <c r="G1060" s="1120"/>
      <c r="H1060" s="226"/>
      <c r="I1060" s="57"/>
      <c r="J1060" s="57"/>
      <c r="K1060" s="57"/>
      <c r="L1060" s="57"/>
      <c r="M1060" s="57"/>
      <c r="N1060" s="57"/>
      <c r="O1060" s="57"/>
      <c r="P1060" s="57"/>
      <c r="Q1060" s="57"/>
      <c r="R1060" s="57"/>
      <c r="S1060" s="57"/>
      <c r="T1060" s="57"/>
      <c r="U1060" s="57"/>
      <c r="V1060" s="57"/>
      <c r="W1060" s="57"/>
      <c r="X1060" s="57"/>
      <c r="Y1060" s="57"/>
      <c r="Z1060" s="57"/>
      <c r="AA1060" s="57"/>
      <c r="AB1060" s="57"/>
      <c r="AC1060" s="57"/>
    </row>
    <row r="1061" ht="15.75" customHeight="1">
      <c r="A1061" s="57"/>
      <c r="B1061" s="1118"/>
      <c r="C1061" s="241"/>
      <c r="D1061" s="57"/>
      <c r="E1061" s="57"/>
      <c r="F1061" s="228"/>
      <c r="G1061" s="1120"/>
      <c r="H1061" s="226"/>
      <c r="I1061" s="57"/>
      <c r="J1061" s="57"/>
      <c r="K1061" s="57"/>
      <c r="L1061" s="57"/>
      <c r="M1061" s="57"/>
      <c r="N1061" s="57"/>
      <c r="O1061" s="57"/>
      <c r="P1061" s="57"/>
      <c r="Q1061" s="57"/>
      <c r="R1061" s="57"/>
      <c r="S1061" s="57"/>
      <c r="T1061" s="57"/>
      <c r="U1061" s="57"/>
      <c r="V1061" s="57"/>
      <c r="W1061" s="57"/>
      <c r="X1061" s="57"/>
      <c r="Y1061" s="57"/>
      <c r="Z1061" s="57"/>
      <c r="AA1061" s="57"/>
      <c r="AB1061" s="57"/>
      <c r="AC1061" s="57"/>
    </row>
    <row r="1062" ht="15.75" customHeight="1">
      <c r="A1062" s="57"/>
      <c r="B1062" s="1118"/>
      <c r="C1062" s="241"/>
      <c r="D1062" s="57"/>
      <c r="E1062" s="57"/>
      <c r="F1062" s="228"/>
      <c r="G1062" s="1120"/>
      <c r="H1062" s="226"/>
      <c r="I1062" s="57"/>
      <c r="J1062" s="57"/>
      <c r="K1062" s="57"/>
      <c r="L1062" s="57"/>
      <c r="M1062" s="57"/>
      <c r="N1062" s="57"/>
      <c r="O1062" s="57"/>
      <c r="P1062" s="57"/>
      <c r="Q1062" s="57"/>
      <c r="R1062" s="57"/>
      <c r="S1062" s="57"/>
      <c r="T1062" s="57"/>
      <c r="U1062" s="57"/>
      <c r="V1062" s="57"/>
      <c r="W1062" s="57"/>
      <c r="X1062" s="57"/>
      <c r="Y1062" s="57"/>
      <c r="Z1062" s="57"/>
      <c r="AA1062" s="57"/>
      <c r="AB1062" s="57"/>
      <c r="AC1062" s="57"/>
    </row>
    <row r="1063" ht="15.75" customHeight="1">
      <c r="A1063" s="57"/>
      <c r="B1063" s="1118"/>
      <c r="C1063" s="241"/>
      <c r="D1063" s="57"/>
      <c r="E1063" s="57"/>
      <c r="F1063" s="228"/>
      <c r="G1063" s="1120"/>
      <c r="H1063" s="226"/>
      <c r="I1063" s="57"/>
      <c r="J1063" s="57"/>
      <c r="K1063" s="57"/>
      <c r="L1063" s="57"/>
      <c r="M1063" s="57"/>
      <c r="N1063" s="57"/>
      <c r="O1063" s="57"/>
      <c r="P1063" s="57"/>
      <c r="Q1063" s="57"/>
      <c r="R1063" s="57"/>
      <c r="S1063" s="57"/>
      <c r="T1063" s="57"/>
      <c r="U1063" s="57"/>
      <c r="V1063" s="57"/>
      <c r="W1063" s="57"/>
      <c r="X1063" s="57"/>
      <c r="Y1063" s="57"/>
      <c r="Z1063" s="57"/>
      <c r="AA1063" s="57"/>
      <c r="AB1063" s="57"/>
      <c r="AC1063" s="57"/>
    </row>
    <row r="1064" ht="15.75" customHeight="1">
      <c r="A1064" s="57"/>
      <c r="B1064" s="1118"/>
      <c r="C1064" s="241"/>
      <c r="D1064" s="57"/>
      <c r="E1064" s="57"/>
      <c r="F1064" s="228"/>
      <c r="G1064" s="1120"/>
      <c r="H1064" s="226"/>
      <c r="I1064" s="57"/>
      <c r="J1064" s="57"/>
      <c r="K1064" s="57"/>
      <c r="L1064" s="57"/>
      <c r="M1064" s="57"/>
      <c r="N1064" s="57"/>
      <c r="O1064" s="57"/>
      <c r="P1064" s="57"/>
      <c r="Q1064" s="57"/>
      <c r="R1064" s="57"/>
      <c r="S1064" s="57"/>
      <c r="T1064" s="57"/>
      <c r="U1064" s="57"/>
      <c r="V1064" s="57"/>
      <c r="W1064" s="57"/>
      <c r="X1064" s="57"/>
      <c r="Y1064" s="57"/>
      <c r="Z1064" s="57"/>
      <c r="AA1064" s="57"/>
      <c r="AB1064" s="57"/>
      <c r="AC1064" s="57"/>
    </row>
    <row r="1065" ht="15.75" customHeight="1">
      <c r="A1065" s="57"/>
      <c r="B1065" s="1118"/>
      <c r="C1065" s="241"/>
      <c r="D1065" s="57"/>
      <c r="E1065" s="57"/>
      <c r="F1065" s="228"/>
      <c r="G1065" s="1120"/>
      <c r="H1065" s="226"/>
      <c r="I1065" s="57"/>
      <c r="J1065" s="57"/>
      <c r="K1065" s="57"/>
      <c r="L1065" s="57"/>
      <c r="M1065" s="57"/>
      <c r="N1065" s="57"/>
      <c r="O1065" s="57"/>
      <c r="P1065" s="57"/>
      <c r="Q1065" s="57"/>
      <c r="R1065" s="57"/>
      <c r="S1065" s="57"/>
      <c r="T1065" s="57"/>
      <c r="U1065" s="57"/>
      <c r="V1065" s="57"/>
      <c r="W1065" s="57"/>
      <c r="X1065" s="57"/>
      <c r="Y1065" s="57"/>
      <c r="Z1065" s="57"/>
      <c r="AA1065" s="57"/>
      <c r="AB1065" s="57"/>
      <c r="AC1065" s="57"/>
    </row>
    <row r="1066" ht="15.75" customHeight="1">
      <c r="A1066" s="57"/>
      <c r="B1066" s="1118"/>
      <c r="C1066" s="241"/>
      <c r="D1066" s="57"/>
      <c r="E1066" s="57"/>
      <c r="F1066" s="228"/>
      <c r="G1066" s="1120"/>
      <c r="H1066" s="226"/>
      <c r="I1066" s="57"/>
      <c r="J1066" s="57"/>
      <c r="K1066" s="57"/>
      <c r="L1066" s="57"/>
      <c r="M1066" s="57"/>
      <c r="N1066" s="57"/>
      <c r="O1066" s="57"/>
      <c r="P1066" s="57"/>
      <c r="Q1066" s="57"/>
      <c r="R1066" s="57"/>
      <c r="S1066" s="57"/>
      <c r="T1066" s="57"/>
      <c r="U1066" s="57"/>
      <c r="V1066" s="57"/>
      <c r="W1066" s="57"/>
      <c r="X1066" s="57"/>
      <c r="Y1066" s="57"/>
      <c r="Z1066" s="57"/>
      <c r="AA1066" s="57"/>
      <c r="AB1066" s="57"/>
      <c r="AC1066" s="57"/>
    </row>
    <row r="1067" ht="15.75" customHeight="1">
      <c r="A1067" s="57"/>
      <c r="B1067" s="1118"/>
      <c r="C1067" s="241"/>
      <c r="D1067" s="57"/>
      <c r="E1067" s="57"/>
      <c r="F1067" s="228"/>
      <c r="G1067" s="1120"/>
      <c r="H1067" s="226"/>
      <c r="I1067" s="57"/>
      <c r="J1067" s="57"/>
      <c r="K1067" s="57"/>
      <c r="L1067" s="57"/>
      <c r="M1067" s="57"/>
      <c r="N1067" s="57"/>
      <c r="O1067" s="57"/>
      <c r="P1067" s="57"/>
      <c r="Q1067" s="57"/>
      <c r="R1067" s="57"/>
      <c r="S1067" s="57"/>
      <c r="T1067" s="57"/>
      <c r="U1067" s="57"/>
      <c r="V1067" s="57"/>
      <c r="W1067" s="57"/>
      <c r="X1067" s="57"/>
      <c r="Y1067" s="57"/>
      <c r="Z1067" s="57"/>
      <c r="AA1067" s="57"/>
      <c r="AB1067" s="57"/>
      <c r="AC1067" s="57"/>
    </row>
    <row r="1068" ht="15.75" customHeight="1">
      <c r="A1068" s="57"/>
      <c r="B1068" s="1118"/>
      <c r="C1068" s="241"/>
      <c r="D1068" s="57"/>
      <c r="E1068" s="57"/>
      <c r="F1068" s="228"/>
      <c r="G1068" s="1120"/>
      <c r="H1068" s="226"/>
      <c r="I1068" s="57"/>
      <c r="J1068" s="57"/>
      <c r="K1068" s="57"/>
      <c r="L1068" s="57"/>
      <c r="M1068" s="57"/>
      <c r="N1068" s="57"/>
      <c r="O1068" s="57"/>
      <c r="P1068" s="57"/>
      <c r="Q1068" s="57"/>
      <c r="R1068" s="57"/>
      <c r="S1068" s="57"/>
      <c r="T1068" s="57"/>
      <c r="U1068" s="57"/>
      <c r="V1068" s="57"/>
      <c r="W1068" s="57"/>
      <c r="X1068" s="57"/>
      <c r="Y1068" s="57"/>
      <c r="Z1068" s="57"/>
      <c r="AA1068" s="57"/>
      <c r="AB1068" s="57"/>
      <c r="AC1068" s="57"/>
    </row>
    <row r="1069" ht="15.75" customHeight="1">
      <c r="A1069" s="57"/>
      <c r="B1069" s="1118"/>
      <c r="C1069" s="241"/>
      <c r="D1069" s="57"/>
      <c r="E1069" s="57"/>
      <c r="F1069" s="228"/>
      <c r="G1069" s="1120"/>
      <c r="H1069" s="226"/>
      <c r="I1069" s="57"/>
      <c r="J1069" s="57"/>
      <c r="K1069" s="57"/>
      <c r="L1069" s="57"/>
      <c r="M1069" s="57"/>
      <c r="N1069" s="57"/>
      <c r="O1069" s="57"/>
      <c r="P1069" s="57"/>
      <c r="Q1069" s="57"/>
      <c r="R1069" s="57"/>
      <c r="S1069" s="57"/>
      <c r="T1069" s="57"/>
      <c r="U1069" s="57"/>
      <c r="V1069" s="57"/>
      <c r="W1069" s="57"/>
      <c r="X1069" s="57"/>
      <c r="Y1069" s="57"/>
      <c r="Z1069" s="57"/>
      <c r="AA1069" s="57"/>
      <c r="AB1069" s="57"/>
      <c r="AC1069" s="57"/>
    </row>
    <row r="1070" ht="15.75" customHeight="1">
      <c r="A1070" s="57"/>
      <c r="B1070" s="1118"/>
      <c r="C1070" s="241"/>
      <c r="D1070" s="57"/>
      <c r="E1070" s="57"/>
      <c r="F1070" s="228"/>
      <c r="G1070" s="1120"/>
      <c r="H1070" s="226"/>
      <c r="I1070" s="57"/>
      <c r="J1070" s="57"/>
      <c r="K1070" s="57"/>
      <c r="L1070" s="57"/>
      <c r="M1070" s="57"/>
      <c r="N1070" s="57"/>
      <c r="O1070" s="57"/>
      <c r="P1070" s="57"/>
      <c r="Q1070" s="57"/>
      <c r="R1070" s="57"/>
      <c r="S1070" s="57"/>
      <c r="T1070" s="57"/>
      <c r="U1070" s="57"/>
      <c r="V1070" s="57"/>
      <c r="W1070" s="57"/>
      <c r="X1070" s="57"/>
      <c r="Y1070" s="57"/>
      <c r="Z1070" s="57"/>
      <c r="AA1070" s="57"/>
      <c r="AB1070" s="57"/>
      <c r="AC1070" s="57"/>
    </row>
    <row r="1071" ht="15.75" customHeight="1">
      <c r="A1071" s="57"/>
      <c r="B1071" s="1118"/>
      <c r="C1071" s="241"/>
      <c r="D1071" s="57"/>
      <c r="E1071" s="57"/>
      <c r="F1071" s="228"/>
      <c r="G1071" s="1120"/>
      <c r="H1071" s="226"/>
      <c r="I1071" s="57"/>
      <c r="J1071" s="57"/>
      <c r="K1071" s="57"/>
      <c r="L1071" s="57"/>
      <c r="M1071" s="57"/>
      <c r="N1071" s="57"/>
      <c r="O1071" s="57"/>
      <c r="P1071" s="57"/>
      <c r="Q1071" s="57"/>
      <c r="R1071" s="57"/>
      <c r="S1071" s="57"/>
      <c r="T1071" s="57"/>
      <c r="U1071" s="57"/>
      <c r="V1071" s="57"/>
      <c r="W1071" s="57"/>
      <c r="X1071" s="57"/>
      <c r="Y1071" s="57"/>
      <c r="Z1071" s="57"/>
      <c r="AA1071" s="57"/>
      <c r="AB1071" s="57"/>
      <c r="AC1071" s="57"/>
    </row>
    <row r="1072" ht="15.75" customHeight="1">
      <c r="A1072" s="57"/>
      <c r="B1072" s="1118"/>
      <c r="C1072" s="241"/>
      <c r="D1072" s="57"/>
      <c r="E1072" s="57"/>
      <c r="F1072" s="228"/>
      <c r="G1072" s="1120"/>
      <c r="H1072" s="226"/>
      <c r="I1072" s="57"/>
      <c r="J1072" s="57"/>
      <c r="K1072" s="57"/>
      <c r="L1072" s="57"/>
      <c r="M1072" s="57"/>
      <c r="N1072" s="57"/>
      <c r="O1072" s="57"/>
      <c r="P1072" s="57"/>
      <c r="Q1072" s="57"/>
      <c r="R1072" s="57"/>
      <c r="S1072" s="57"/>
      <c r="T1072" s="57"/>
      <c r="U1072" s="57"/>
      <c r="V1072" s="57"/>
      <c r="W1072" s="57"/>
      <c r="X1072" s="57"/>
      <c r="Y1072" s="57"/>
      <c r="Z1072" s="57"/>
      <c r="AA1072" s="57"/>
      <c r="AB1072" s="57"/>
      <c r="AC1072" s="57"/>
    </row>
    <row r="1073" ht="15.75" customHeight="1">
      <c r="A1073" s="57"/>
      <c r="B1073" s="1118"/>
      <c r="C1073" s="241"/>
      <c r="D1073" s="57"/>
      <c r="E1073" s="57"/>
      <c r="F1073" s="228"/>
      <c r="G1073" s="1120"/>
      <c r="H1073" s="226"/>
      <c r="I1073" s="57"/>
      <c r="J1073" s="57"/>
      <c r="K1073" s="57"/>
      <c r="L1073" s="57"/>
      <c r="M1073" s="57"/>
      <c r="N1073" s="57"/>
      <c r="O1073" s="57"/>
      <c r="P1073" s="57"/>
      <c r="Q1073" s="57"/>
      <c r="R1073" s="57"/>
      <c r="S1073" s="57"/>
      <c r="T1073" s="57"/>
      <c r="U1073" s="57"/>
      <c r="V1073" s="57"/>
      <c r="W1073" s="57"/>
      <c r="X1073" s="57"/>
      <c r="Y1073" s="57"/>
      <c r="Z1073" s="57"/>
      <c r="AA1073" s="57"/>
      <c r="AB1073" s="57"/>
      <c r="AC1073" s="57"/>
    </row>
    <row r="1074" ht="15.75" customHeight="1">
      <c r="A1074" s="57"/>
      <c r="B1074" s="1118"/>
      <c r="C1074" s="241"/>
      <c r="D1074" s="57"/>
      <c r="E1074" s="57"/>
      <c r="F1074" s="228"/>
      <c r="G1074" s="1120"/>
      <c r="H1074" s="226"/>
      <c r="I1074" s="57"/>
      <c r="J1074" s="57"/>
      <c r="K1074" s="57"/>
      <c r="L1074" s="57"/>
      <c r="M1074" s="57"/>
      <c r="N1074" s="57"/>
      <c r="O1074" s="57"/>
      <c r="P1074" s="57"/>
      <c r="Q1074" s="57"/>
      <c r="R1074" s="57"/>
      <c r="S1074" s="57"/>
      <c r="T1074" s="57"/>
      <c r="U1074" s="57"/>
      <c r="V1074" s="57"/>
      <c r="W1074" s="57"/>
      <c r="X1074" s="57"/>
      <c r="Y1074" s="57"/>
      <c r="Z1074" s="57"/>
      <c r="AA1074" s="57"/>
      <c r="AB1074" s="57"/>
      <c r="AC1074" s="57"/>
    </row>
    <row r="1075" ht="15.75" customHeight="1">
      <c r="A1075" s="57"/>
      <c r="B1075" s="1118"/>
      <c r="C1075" s="241"/>
      <c r="D1075" s="57"/>
      <c r="E1075" s="57"/>
      <c r="F1075" s="228"/>
      <c r="G1075" s="1120"/>
      <c r="H1075" s="226"/>
      <c r="I1075" s="57"/>
      <c r="J1075" s="57"/>
      <c r="K1075" s="57"/>
      <c r="L1075" s="57"/>
      <c r="M1075" s="57"/>
      <c r="N1075" s="57"/>
      <c r="O1075" s="57"/>
      <c r="P1075" s="57"/>
      <c r="Q1075" s="57"/>
      <c r="R1075" s="57"/>
      <c r="S1075" s="57"/>
      <c r="T1075" s="57"/>
      <c r="U1075" s="57"/>
      <c r="V1075" s="57"/>
      <c r="W1075" s="57"/>
      <c r="X1075" s="57"/>
      <c r="Y1075" s="57"/>
      <c r="Z1075" s="57"/>
      <c r="AA1075" s="57"/>
      <c r="AB1075" s="57"/>
      <c r="AC1075" s="57"/>
    </row>
    <row r="1076" ht="15.75" customHeight="1">
      <c r="A1076" s="57"/>
      <c r="B1076" s="1118"/>
      <c r="C1076" s="241"/>
      <c r="D1076" s="57"/>
      <c r="E1076" s="57"/>
      <c r="F1076" s="228"/>
      <c r="G1076" s="1120"/>
      <c r="H1076" s="226"/>
      <c r="I1076" s="57"/>
      <c r="J1076" s="57"/>
      <c r="K1076" s="57"/>
      <c r="L1076" s="57"/>
      <c r="M1076" s="57"/>
      <c r="N1076" s="57"/>
      <c r="O1076" s="57"/>
      <c r="P1076" s="57"/>
      <c r="Q1076" s="57"/>
      <c r="R1076" s="57"/>
      <c r="S1076" s="57"/>
      <c r="T1076" s="57"/>
      <c r="U1076" s="57"/>
      <c r="V1076" s="57"/>
      <c r="W1076" s="57"/>
      <c r="X1076" s="57"/>
      <c r="Y1076" s="57"/>
      <c r="Z1076" s="57"/>
      <c r="AA1076" s="57"/>
      <c r="AB1076" s="57"/>
      <c r="AC1076" s="57"/>
    </row>
    <row r="1077" ht="15.75" customHeight="1">
      <c r="A1077" s="57"/>
      <c r="B1077" s="1118"/>
      <c r="C1077" s="241"/>
      <c r="D1077" s="57"/>
      <c r="E1077" s="57"/>
      <c r="F1077" s="228"/>
      <c r="G1077" s="1120"/>
      <c r="H1077" s="226"/>
      <c r="I1077" s="57"/>
      <c r="J1077" s="57"/>
      <c r="K1077" s="57"/>
      <c r="L1077" s="57"/>
      <c r="M1077" s="57"/>
      <c r="N1077" s="57"/>
      <c r="O1077" s="57"/>
      <c r="P1077" s="57"/>
      <c r="Q1077" s="57"/>
      <c r="R1077" s="57"/>
      <c r="S1077" s="57"/>
      <c r="T1077" s="57"/>
      <c r="U1077" s="57"/>
      <c r="V1077" s="57"/>
      <c r="W1077" s="57"/>
      <c r="X1077" s="57"/>
      <c r="Y1077" s="57"/>
      <c r="Z1077" s="57"/>
      <c r="AA1077" s="57"/>
      <c r="AB1077" s="57"/>
      <c r="AC1077" s="57"/>
    </row>
    <row r="1078" ht="15.75" customHeight="1">
      <c r="A1078" s="57"/>
      <c r="B1078" s="1118"/>
      <c r="C1078" s="241"/>
      <c r="D1078" s="57"/>
      <c r="E1078" s="57"/>
      <c r="F1078" s="228"/>
      <c r="G1078" s="1120"/>
      <c r="H1078" s="226"/>
      <c r="I1078" s="57"/>
      <c r="J1078" s="57"/>
      <c r="K1078" s="57"/>
      <c r="L1078" s="57"/>
      <c r="M1078" s="57"/>
      <c r="N1078" s="57"/>
      <c r="O1078" s="57"/>
      <c r="P1078" s="57"/>
      <c r="Q1078" s="57"/>
      <c r="R1078" s="57"/>
      <c r="S1078" s="57"/>
      <c r="T1078" s="57"/>
      <c r="U1078" s="57"/>
      <c r="V1078" s="57"/>
      <c r="W1078" s="57"/>
      <c r="X1078" s="57"/>
      <c r="Y1078" s="57"/>
      <c r="Z1078" s="57"/>
      <c r="AA1078" s="57"/>
      <c r="AB1078" s="57"/>
      <c r="AC1078" s="57"/>
    </row>
    <row r="1079" ht="15.75" customHeight="1">
      <c r="A1079" s="57"/>
      <c r="B1079" s="1118"/>
      <c r="C1079" s="241"/>
      <c r="D1079" s="57"/>
      <c r="E1079" s="57"/>
      <c r="F1079" s="228"/>
      <c r="G1079" s="1120"/>
      <c r="H1079" s="226"/>
      <c r="I1079" s="57"/>
      <c r="J1079" s="57"/>
      <c r="K1079" s="57"/>
      <c r="L1079" s="57"/>
      <c r="M1079" s="57"/>
      <c r="N1079" s="57"/>
      <c r="O1079" s="57"/>
      <c r="P1079" s="57"/>
      <c r="Q1079" s="57"/>
      <c r="R1079" s="57"/>
      <c r="S1079" s="57"/>
      <c r="T1079" s="57"/>
      <c r="U1079" s="57"/>
      <c r="V1079" s="57"/>
      <c r="W1079" s="57"/>
      <c r="X1079" s="57"/>
      <c r="Y1079" s="57"/>
      <c r="Z1079" s="57"/>
      <c r="AA1079" s="57"/>
      <c r="AB1079" s="57"/>
      <c r="AC1079" s="57"/>
    </row>
    <row r="1080" ht="15.75" customHeight="1">
      <c r="A1080" s="57"/>
      <c r="B1080" s="1118"/>
      <c r="C1080" s="241"/>
      <c r="D1080" s="57"/>
      <c r="E1080" s="57"/>
      <c r="F1080" s="228"/>
      <c r="G1080" s="1120"/>
      <c r="H1080" s="226"/>
      <c r="I1080" s="57"/>
      <c r="J1080" s="57"/>
      <c r="K1080" s="57"/>
      <c r="L1080" s="57"/>
      <c r="M1080" s="57"/>
      <c r="N1080" s="57"/>
      <c r="O1080" s="57"/>
      <c r="P1080" s="57"/>
      <c r="Q1080" s="57"/>
      <c r="R1080" s="57"/>
      <c r="S1080" s="57"/>
      <c r="T1080" s="57"/>
      <c r="U1080" s="57"/>
      <c r="V1080" s="57"/>
      <c r="W1080" s="57"/>
      <c r="X1080" s="57"/>
      <c r="Y1080" s="57"/>
      <c r="Z1080" s="57"/>
      <c r="AA1080" s="57"/>
      <c r="AB1080" s="57"/>
      <c r="AC1080" s="57"/>
    </row>
    <row r="1081" ht="15.75" customHeight="1">
      <c r="A1081" s="57"/>
      <c r="B1081" s="1118"/>
      <c r="C1081" s="241"/>
      <c r="D1081" s="57"/>
      <c r="E1081" s="57"/>
      <c r="F1081" s="228"/>
      <c r="G1081" s="1120"/>
      <c r="H1081" s="226"/>
      <c r="I1081" s="57"/>
      <c r="J1081" s="57"/>
      <c r="K1081" s="57"/>
      <c r="L1081" s="57"/>
      <c r="M1081" s="57"/>
      <c r="N1081" s="57"/>
      <c r="O1081" s="57"/>
      <c r="P1081" s="57"/>
      <c r="Q1081" s="57"/>
      <c r="R1081" s="57"/>
      <c r="S1081" s="57"/>
      <c r="T1081" s="57"/>
      <c r="U1081" s="57"/>
      <c r="V1081" s="57"/>
      <c r="W1081" s="57"/>
      <c r="X1081" s="57"/>
      <c r="Y1081" s="57"/>
      <c r="Z1081" s="57"/>
      <c r="AA1081" s="57"/>
      <c r="AB1081" s="57"/>
      <c r="AC1081" s="57"/>
    </row>
  </sheetData>
  <autoFilter ref="$A$1:$AC$850"/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 outlineLevelRow="1"/>
  <cols>
    <col customWidth="1" min="1" max="1" width="18.0"/>
    <col customWidth="1" min="2" max="2" width="15.71"/>
    <col customWidth="1" min="3" max="3" width="15.0"/>
    <col customWidth="1" min="4" max="4" width="20.71"/>
    <col customWidth="1" min="5" max="5" width="26.29"/>
    <col customWidth="1" min="6" max="6" width="9.14"/>
    <col customWidth="1" min="7" max="7" width="13.71"/>
    <col customWidth="1" min="8" max="8" width="13.43"/>
    <col customWidth="1" min="9" max="9" width="11.86"/>
    <col customWidth="1" min="10" max="10" width="15.14"/>
    <col customWidth="1" min="11" max="11" width="16.43"/>
    <col customWidth="1" min="12" max="12" width="17.43"/>
    <col customWidth="1" min="13" max="13" width="18.14"/>
    <col customWidth="1" min="14" max="15" width="16.43"/>
    <col customWidth="1" min="16" max="16" width="17.86"/>
    <col customWidth="1" min="17" max="17" width="18.57"/>
    <col customWidth="1" min="18" max="18" width="15.14"/>
    <col customWidth="1" min="19" max="19" width="14.57"/>
    <col customWidth="1" min="20" max="20" width="19.71"/>
    <col customWidth="1" min="21" max="21" width="13.86"/>
    <col customWidth="1" min="22" max="22" width="16.29"/>
    <col customWidth="1" min="23" max="23" width="16.57"/>
    <col customWidth="1" min="24" max="24" width="19.71"/>
    <col customWidth="1" min="25" max="25" width="16.29"/>
    <col customWidth="1" min="26" max="26" width="13.43"/>
    <col customWidth="1" min="27" max="27" width="16.57"/>
    <col customWidth="1" min="28" max="28" width="13.43"/>
  </cols>
  <sheetData>
    <row r="1" ht="15.75" customHeight="1">
      <c r="A1" s="752" t="s">
        <v>3462</v>
      </c>
      <c r="B1" s="1122" t="s">
        <v>3463</v>
      </c>
      <c r="C1" s="1" t="s">
        <v>2</v>
      </c>
      <c r="D1" s="1123" t="s">
        <v>3</v>
      </c>
      <c r="E1" s="1122" t="s">
        <v>4</v>
      </c>
      <c r="F1" s="1123" t="s">
        <v>5</v>
      </c>
      <c r="G1" s="1124" t="s">
        <v>5973</v>
      </c>
      <c r="H1" s="1124" t="s">
        <v>5974</v>
      </c>
      <c r="I1" s="1123" t="s">
        <v>8</v>
      </c>
      <c r="J1" s="1122" t="s">
        <v>9</v>
      </c>
      <c r="K1" s="957" t="s">
        <v>10</v>
      </c>
      <c r="L1" s="575" t="s">
        <v>8652</v>
      </c>
      <c r="M1" s="760" t="s">
        <v>12</v>
      </c>
      <c r="N1" s="1125" t="s">
        <v>8653</v>
      </c>
      <c r="O1" s="1126" t="s">
        <v>5977</v>
      </c>
      <c r="P1" s="1126" t="s">
        <v>5978</v>
      </c>
      <c r="Q1" s="1127" t="s">
        <v>5979</v>
      </c>
      <c r="R1" s="1128" t="s">
        <v>5980</v>
      </c>
      <c r="S1" s="1129" t="s">
        <v>5981</v>
      </c>
      <c r="T1" s="1130" t="s">
        <v>20</v>
      </c>
      <c r="U1" s="1130" t="s">
        <v>21</v>
      </c>
      <c r="V1" s="1130" t="s">
        <v>5982</v>
      </c>
      <c r="W1" s="1130" t="s">
        <v>23</v>
      </c>
      <c r="X1" s="1130" t="s">
        <v>5983</v>
      </c>
      <c r="Y1" s="1130" t="s">
        <v>8654</v>
      </c>
      <c r="Z1" s="1130" t="s">
        <v>8655</v>
      </c>
      <c r="AA1" s="1130" t="s">
        <v>8656</v>
      </c>
      <c r="AB1" s="1131" t="s">
        <v>29</v>
      </c>
    </row>
    <row r="2" ht="15.75" customHeight="1">
      <c r="A2" s="776">
        <v>42410.0</v>
      </c>
      <c r="B2" s="597" t="s">
        <v>326</v>
      </c>
      <c r="C2" s="265">
        <v>3020099.0</v>
      </c>
      <c r="D2" s="265" t="s">
        <v>8657</v>
      </c>
      <c r="E2" s="597" t="s">
        <v>4414</v>
      </c>
      <c r="F2" s="320">
        <v>1.0</v>
      </c>
      <c r="G2" s="773">
        <v>607.0</v>
      </c>
      <c r="H2" s="466">
        <f t="shared" ref="H2:H3" si="1">G2*F2</f>
        <v>607</v>
      </c>
      <c r="I2" s="256" t="s">
        <v>171</v>
      </c>
      <c r="J2" s="333" t="s">
        <v>3774</v>
      </c>
      <c r="K2" s="832">
        <v>42425.0</v>
      </c>
      <c r="L2" s="832">
        <v>42423.0</v>
      </c>
      <c r="M2" s="333" t="s">
        <v>3775</v>
      </c>
      <c r="N2" s="265" t="s">
        <v>8658</v>
      </c>
      <c r="O2" s="265"/>
      <c r="P2" s="773">
        <v>19910.0</v>
      </c>
      <c r="Q2" s="265" t="s">
        <v>2207</v>
      </c>
      <c r="R2" s="1132"/>
      <c r="S2" s="1133">
        <v>42459.0</v>
      </c>
      <c r="T2" s="1132">
        <v>42422.0</v>
      </c>
      <c r="U2" s="1134" t="s">
        <v>8659</v>
      </c>
      <c r="V2" s="1135">
        <v>20791.0</v>
      </c>
      <c r="W2" s="1132">
        <v>42460.0</v>
      </c>
      <c r="X2" s="265" t="s">
        <v>8660</v>
      </c>
      <c r="Y2" s="388"/>
      <c r="Z2" s="1136"/>
      <c r="AA2" s="1136"/>
      <c r="AB2" s="1136" t="s">
        <v>8661</v>
      </c>
    </row>
    <row r="3" ht="15.75" customHeight="1">
      <c r="A3" s="776">
        <v>42410.0</v>
      </c>
      <c r="B3" s="599" t="s">
        <v>326</v>
      </c>
      <c r="C3" s="1004">
        <v>3020099.0</v>
      </c>
      <c r="D3" s="320" t="s">
        <v>8657</v>
      </c>
      <c r="E3" s="599" t="s">
        <v>4419</v>
      </c>
      <c r="F3" s="1137">
        <v>1.0</v>
      </c>
      <c r="G3" s="1137">
        <v>27.0</v>
      </c>
      <c r="H3" s="466">
        <f t="shared" si="1"/>
        <v>27</v>
      </c>
      <c r="I3" s="256" t="s">
        <v>171</v>
      </c>
      <c r="J3" s="333" t="s">
        <v>3774</v>
      </c>
      <c r="K3" s="832">
        <v>42425.0</v>
      </c>
      <c r="L3" s="832">
        <v>42423.0</v>
      </c>
      <c r="M3" s="333" t="s">
        <v>3775</v>
      </c>
      <c r="N3" s="265" t="s">
        <v>8658</v>
      </c>
      <c r="O3" s="773"/>
      <c r="P3" s="1138">
        <v>881.0</v>
      </c>
      <c r="Q3" s="320" t="s">
        <v>2207</v>
      </c>
      <c r="R3" s="388"/>
      <c r="S3" s="1139">
        <v>42459.0</v>
      </c>
      <c r="T3" s="1132">
        <v>42422.0</v>
      </c>
      <c r="U3" s="265" t="s">
        <v>8659</v>
      </c>
      <c r="V3" s="1135" t="s">
        <v>8662</v>
      </c>
      <c r="W3" s="1132">
        <v>42460.0</v>
      </c>
      <c r="X3" s="320" t="s">
        <v>8663</v>
      </c>
      <c r="Y3" s="1140"/>
      <c r="Z3" s="1140"/>
      <c r="AA3" s="1140"/>
      <c r="AB3" s="1141" t="s">
        <v>8661</v>
      </c>
    </row>
    <row r="4" ht="15.75" customHeight="1">
      <c r="A4" s="764">
        <v>42223.0</v>
      </c>
      <c r="B4" s="599" t="s">
        <v>6548</v>
      </c>
      <c r="C4" s="1004"/>
      <c r="D4" s="388" t="s">
        <v>8664</v>
      </c>
      <c r="E4" s="844" t="s">
        <v>8665</v>
      </c>
      <c r="F4" s="1137">
        <v>2.0</v>
      </c>
      <c r="G4" s="1137">
        <v>60.0</v>
      </c>
      <c r="H4" s="773">
        <f t="shared" ref="H4:H6" si="2">F4*G4</f>
        <v>120</v>
      </c>
      <c r="I4" s="256" t="s">
        <v>171</v>
      </c>
      <c r="J4" s="333" t="s">
        <v>6317</v>
      </c>
      <c r="K4" s="1142"/>
      <c r="L4" s="832">
        <v>42230.0</v>
      </c>
      <c r="M4" s="269" t="s">
        <v>8666</v>
      </c>
      <c r="N4" s="1004" t="s">
        <v>8667</v>
      </c>
      <c r="O4" s="388"/>
      <c r="P4" s="1137">
        <v>2100.0</v>
      </c>
      <c r="Q4" s="388" t="s">
        <v>8668</v>
      </c>
      <c r="R4" s="388"/>
      <c r="S4" s="1143">
        <v>42226.0</v>
      </c>
      <c r="T4" s="1143">
        <v>42228.0</v>
      </c>
      <c r="U4" s="388" t="s">
        <v>8669</v>
      </c>
      <c r="V4" s="845">
        <v>2314.0</v>
      </c>
      <c r="W4" s="1144">
        <v>42226.0</v>
      </c>
      <c r="X4" s="388"/>
      <c r="Y4" s="388"/>
      <c r="Z4" s="388"/>
      <c r="AA4" s="388"/>
      <c r="AB4" s="1140" t="s">
        <v>284</v>
      </c>
    </row>
    <row r="5" ht="15.75" customHeight="1">
      <c r="A5" s="764">
        <v>42223.0</v>
      </c>
      <c r="B5" s="599" t="s">
        <v>6548</v>
      </c>
      <c r="C5" s="1004"/>
      <c r="D5" s="388" t="s">
        <v>8664</v>
      </c>
      <c r="E5" s="844" t="s">
        <v>8670</v>
      </c>
      <c r="F5" s="1137">
        <v>2.0</v>
      </c>
      <c r="G5" s="1137">
        <v>60.0</v>
      </c>
      <c r="H5" s="773">
        <f t="shared" si="2"/>
        <v>120</v>
      </c>
      <c r="I5" s="256" t="s">
        <v>171</v>
      </c>
      <c r="J5" s="333" t="s">
        <v>6317</v>
      </c>
      <c r="K5" s="1142"/>
      <c r="L5" s="832">
        <v>42230.0</v>
      </c>
      <c r="M5" s="269" t="s">
        <v>8666</v>
      </c>
      <c r="N5" s="1004" t="s">
        <v>8667</v>
      </c>
      <c r="O5" s="388"/>
      <c r="P5" s="1137">
        <v>4135.0</v>
      </c>
      <c r="Q5" s="388" t="s">
        <v>8668</v>
      </c>
      <c r="R5" s="388"/>
      <c r="S5" s="1143">
        <v>42226.0</v>
      </c>
      <c r="T5" s="1143">
        <v>42228.0</v>
      </c>
      <c r="U5" s="388" t="s">
        <v>8669</v>
      </c>
      <c r="V5" s="845">
        <v>4556.0</v>
      </c>
      <c r="W5" s="1144">
        <v>42226.0</v>
      </c>
      <c r="X5" s="388"/>
      <c r="Y5" s="388"/>
      <c r="Z5" s="388"/>
      <c r="AA5" s="388"/>
      <c r="AB5" s="1140" t="s">
        <v>284</v>
      </c>
    </row>
    <row r="6" ht="15.75" customHeight="1">
      <c r="A6" s="764">
        <v>42223.0</v>
      </c>
      <c r="B6" s="599" t="s">
        <v>6548</v>
      </c>
      <c r="C6" s="1004"/>
      <c r="D6" s="388" t="s">
        <v>8664</v>
      </c>
      <c r="E6" s="599" t="s">
        <v>8671</v>
      </c>
      <c r="F6" s="1137">
        <v>1.0</v>
      </c>
      <c r="G6" s="1137">
        <v>0.0</v>
      </c>
      <c r="H6" s="773">
        <f t="shared" si="2"/>
        <v>0</v>
      </c>
      <c r="I6" s="256" t="s">
        <v>171</v>
      </c>
      <c r="J6" s="824"/>
      <c r="K6" s="1142"/>
      <c r="L6" s="388"/>
      <c r="M6" s="269"/>
      <c r="N6" s="388"/>
      <c r="O6" s="388"/>
      <c r="P6" s="1137">
        <v>1220.0</v>
      </c>
      <c r="Q6" s="388" t="s">
        <v>8668</v>
      </c>
      <c r="R6" s="388"/>
      <c r="S6" s="1143">
        <v>42226.0</v>
      </c>
      <c r="T6" s="1143">
        <v>42228.0</v>
      </c>
      <c r="U6" s="388" t="s">
        <v>8669</v>
      </c>
      <c r="V6" s="845">
        <v>1200.0</v>
      </c>
      <c r="W6" s="1144">
        <v>42226.0</v>
      </c>
      <c r="X6" s="388"/>
      <c r="Y6" s="388"/>
      <c r="Z6" s="388"/>
      <c r="AA6" s="388"/>
      <c r="AB6" s="1140" t="s">
        <v>284</v>
      </c>
    </row>
    <row r="7" ht="15.75" customHeight="1">
      <c r="A7" s="776">
        <v>42459.0</v>
      </c>
      <c r="B7" s="340" t="s">
        <v>8672</v>
      </c>
      <c r="C7" s="1004"/>
      <c r="D7" s="320" t="s">
        <v>8673</v>
      </c>
      <c r="E7" s="599" t="s">
        <v>8674</v>
      </c>
      <c r="F7" s="773">
        <v>1.0</v>
      </c>
      <c r="G7" s="773">
        <v>1151.85</v>
      </c>
      <c r="H7" s="466">
        <f>G7*F7</f>
        <v>1151.85</v>
      </c>
      <c r="I7" s="256" t="s">
        <v>8675</v>
      </c>
      <c r="J7" s="333" t="s">
        <v>6067</v>
      </c>
      <c r="K7" s="832">
        <v>42523.0</v>
      </c>
      <c r="L7" s="832">
        <v>42516.0</v>
      </c>
      <c r="M7" s="333" t="s">
        <v>90</v>
      </c>
      <c r="N7" s="265" t="s">
        <v>8676</v>
      </c>
      <c r="O7" s="773">
        <v>921.38</v>
      </c>
      <c r="P7" s="388"/>
      <c r="Q7" s="320" t="s">
        <v>6081</v>
      </c>
      <c r="R7" s="388"/>
      <c r="S7" s="1145">
        <v>42590.0</v>
      </c>
      <c r="T7" s="1132">
        <v>42516.0</v>
      </c>
      <c r="U7" s="265" t="s">
        <v>8677</v>
      </c>
      <c r="V7" s="1135">
        <v>30000.0</v>
      </c>
      <c r="W7" s="832">
        <v>42590.0</v>
      </c>
      <c r="X7" s="320" t="s">
        <v>8678</v>
      </c>
      <c r="Y7" s="388" t="s">
        <v>8679</v>
      </c>
      <c r="Z7" s="1146">
        <v>37580.0</v>
      </c>
      <c r="AA7" s="388" t="s">
        <v>8680</v>
      </c>
      <c r="AB7" s="1141"/>
    </row>
    <row r="8" ht="15.75" customHeight="1">
      <c r="A8" s="764">
        <v>42328.0</v>
      </c>
      <c r="B8" s="599" t="s">
        <v>1000</v>
      </c>
      <c r="C8" s="1004" t="s">
        <v>8681</v>
      </c>
      <c r="D8" s="388" t="s">
        <v>8682</v>
      </c>
      <c r="E8" s="599" t="s">
        <v>8683</v>
      </c>
      <c r="F8" s="388">
        <v>13.0</v>
      </c>
      <c r="G8" s="388">
        <v>296.0</v>
      </c>
      <c r="H8" s="1147">
        <f t="shared" ref="H8:H22" si="3">F8*G8</f>
        <v>3848</v>
      </c>
      <c r="I8" s="256" t="s">
        <v>171</v>
      </c>
      <c r="J8" s="333" t="s">
        <v>8684</v>
      </c>
      <c r="K8" s="832">
        <v>42377.0</v>
      </c>
      <c r="L8" s="832">
        <v>42366.0</v>
      </c>
      <c r="M8" s="269" t="s">
        <v>90</v>
      </c>
      <c r="N8" s="320" t="s">
        <v>8685</v>
      </c>
      <c r="O8" s="773">
        <v>3630.9</v>
      </c>
      <c r="P8" s="388"/>
      <c r="Q8" s="320" t="s">
        <v>6081</v>
      </c>
      <c r="R8" s="388"/>
      <c r="S8" s="1137"/>
      <c r="T8" s="1139">
        <v>42366.0</v>
      </c>
      <c r="U8" s="388" t="s">
        <v>8686</v>
      </c>
      <c r="V8" s="845">
        <v>93835.0</v>
      </c>
      <c r="W8" s="1139">
        <v>42398.0</v>
      </c>
      <c r="X8" s="388" t="s">
        <v>8687</v>
      </c>
      <c r="Y8" s="1140"/>
      <c r="Z8" s="1140"/>
      <c r="AA8" s="1140"/>
      <c r="AB8" s="388" t="s">
        <v>284</v>
      </c>
    </row>
    <row r="9" ht="15.75" customHeight="1">
      <c r="A9" s="764">
        <v>42328.0</v>
      </c>
      <c r="B9" s="599" t="s">
        <v>1000</v>
      </c>
      <c r="C9" s="1004" t="s">
        <v>8681</v>
      </c>
      <c r="D9" s="388" t="s">
        <v>8682</v>
      </c>
      <c r="E9" s="604" t="s">
        <v>7613</v>
      </c>
      <c r="F9" s="388">
        <v>14.0</v>
      </c>
      <c r="G9" s="388">
        <v>129.0</v>
      </c>
      <c r="H9" s="1147">
        <f t="shared" si="3"/>
        <v>1806</v>
      </c>
      <c r="I9" s="256" t="s">
        <v>171</v>
      </c>
      <c r="J9" s="333" t="s">
        <v>8684</v>
      </c>
      <c r="K9" s="832">
        <v>42377.0</v>
      </c>
      <c r="L9" s="832">
        <v>42010.0</v>
      </c>
      <c r="M9" s="269" t="s">
        <v>3593</v>
      </c>
      <c r="N9" s="388" t="s">
        <v>8688</v>
      </c>
      <c r="O9" s="388"/>
      <c r="P9" s="320">
        <v>54655.0</v>
      </c>
      <c r="Q9" s="388" t="s">
        <v>8689</v>
      </c>
      <c r="R9" s="388"/>
      <c r="S9" s="1143">
        <v>42465.0</v>
      </c>
      <c r="T9" s="1139">
        <v>42375.0</v>
      </c>
      <c r="U9" s="388" t="s">
        <v>8690</v>
      </c>
      <c r="V9" s="845">
        <v>54655.0</v>
      </c>
      <c r="W9" s="1139">
        <v>42466.0</v>
      </c>
      <c r="X9" s="388" t="s">
        <v>8687</v>
      </c>
      <c r="Y9" s="1140"/>
      <c r="Z9" s="1140"/>
      <c r="AA9" s="1140"/>
      <c r="AB9" s="388" t="s">
        <v>284</v>
      </c>
    </row>
    <row r="10" ht="15.75" customHeight="1">
      <c r="A10" s="764">
        <v>42335.0</v>
      </c>
      <c r="B10" s="340" t="s">
        <v>77</v>
      </c>
      <c r="C10" s="1004">
        <v>690.0</v>
      </c>
      <c r="D10" s="320" t="s">
        <v>8691</v>
      </c>
      <c r="E10" s="578" t="s">
        <v>8692</v>
      </c>
      <c r="F10" s="388">
        <v>150.0</v>
      </c>
      <c r="G10" s="388">
        <v>2.25</v>
      </c>
      <c r="H10" s="1147">
        <f t="shared" si="3"/>
        <v>337.5</v>
      </c>
      <c r="I10" s="256" t="s">
        <v>171</v>
      </c>
      <c r="J10" s="269" t="s">
        <v>8693</v>
      </c>
      <c r="K10" s="832">
        <v>42384.0</v>
      </c>
      <c r="L10" s="832">
        <v>42354.0</v>
      </c>
      <c r="M10" s="269" t="s">
        <v>3769</v>
      </c>
      <c r="N10" s="388" t="s">
        <v>8694</v>
      </c>
      <c r="O10" s="388"/>
      <c r="P10" s="320">
        <v>8347.0</v>
      </c>
      <c r="Q10" s="388" t="s">
        <v>186</v>
      </c>
      <c r="R10" s="388"/>
      <c r="S10" s="1143">
        <v>42405.0</v>
      </c>
      <c r="T10" s="1139">
        <v>42352.0</v>
      </c>
      <c r="U10" s="388" t="s">
        <v>8695</v>
      </c>
      <c r="V10" s="592" t="s">
        <v>8696</v>
      </c>
      <c r="W10" s="1139">
        <v>42397.0</v>
      </c>
      <c r="X10" s="320" t="s">
        <v>8697</v>
      </c>
      <c r="Y10" s="1140"/>
      <c r="Z10" s="1140"/>
      <c r="AA10" s="1140"/>
      <c r="AB10" s="388" t="s">
        <v>284</v>
      </c>
    </row>
    <row r="11" ht="15.75" customHeight="1">
      <c r="A11" s="764">
        <v>42335.0</v>
      </c>
      <c r="B11" s="340" t="s">
        <v>77</v>
      </c>
      <c r="C11" s="765">
        <v>690.0</v>
      </c>
      <c r="D11" s="320" t="s">
        <v>8691</v>
      </c>
      <c r="E11" s="340" t="s">
        <v>6637</v>
      </c>
      <c r="F11" s="388">
        <v>145.0</v>
      </c>
      <c r="G11" s="388">
        <v>86.0</v>
      </c>
      <c r="H11" s="1147">
        <f t="shared" si="3"/>
        <v>12470</v>
      </c>
      <c r="I11" s="256" t="s">
        <v>171</v>
      </c>
      <c r="J11" s="269" t="s">
        <v>8693</v>
      </c>
      <c r="K11" s="832">
        <v>42384.0</v>
      </c>
      <c r="L11" s="832">
        <v>42376.0</v>
      </c>
      <c r="M11" s="269" t="s">
        <v>3489</v>
      </c>
      <c r="N11" s="388" t="s">
        <v>8698</v>
      </c>
      <c r="O11" s="388"/>
      <c r="P11" s="1088">
        <v>396337.0</v>
      </c>
      <c r="Q11" s="388" t="s">
        <v>8699</v>
      </c>
      <c r="R11" s="388"/>
      <c r="S11" s="1143">
        <v>42352.0</v>
      </c>
      <c r="T11" s="1144">
        <v>42376.0</v>
      </c>
      <c r="U11" s="388" t="s">
        <v>8700</v>
      </c>
      <c r="V11" s="845">
        <v>396337.0</v>
      </c>
      <c r="W11" s="1148">
        <v>42375.0</v>
      </c>
      <c r="X11" s="320" t="s">
        <v>8697</v>
      </c>
      <c r="Y11" s="1140"/>
      <c r="Z11" s="1140"/>
      <c r="AA11" s="1140"/>
      <c r="AB11" s="388" t="s">
        <v>284</v>
      </c>
    </row>
    <row r="12" ht="15.75" customHeight="1">
      <c r="A12" s="764">
        <v>42335.0</v>
      </c>
      <c r="B12" s="340" t="s">
        <v>77</v>
      </c>
      <c r="C12" s="1004">
        <v>690.0</v>
      </c>
      <c r="D12" s="320" t="s">
        <v>8691</v>
      </c>
      <c r="E12" s="320" t="s">
        <v>6644</v>
      </c>
      <c r="F12" s="388">
        <v>290.0</v>
      </c>
      <c r="G12" s="388">
        <v>2.0</v>
      </c>
      <c r="H12" s="1147">
        <f t="shared" si="3"/>
        <v>580</v>
      </c>
      <c r="I12" s="256" t="s">
        <v>171</v>
      </c>
      <c r="J12" s="269" t="s">
        <v>8693</v>
      </c>
      <c r="K12" s="832">
        <v>42384.0</v>
      </c>
      <c r="L12" s="832">
        <v>42354.0</v>
      </c>
      <c r="M12" s="269" t="s">
        <v>3769</v>
      </c>
      <c r="N12" s="388" t="s">
        <v>8694</v>
      </c>
      <c r="O12" s="388"/>
      <c r="P12" s="320">
        <v>15530.0</v>
      </c>
      <c r="Q12" s="388" t="s">
        <v>186</v>
      </c>
      <c r="R12" s="388"/>
      <c r="S12" s="1143">
        <v>42405.0</v>
      </c>
      <c r="T12" s="1139">
        <v>42352.0</v>
      </c>
      <c r="U12" s="388" t="s">
        <v>8695</v>
      </c>
      <c r="V12" s="845">
        <v>23877.0</v>
      </c>
      <c r="W12" s="1139">
        <v>42397.0</v>
      </c>
      <c r="X12" s="320" t="s">
        <v>8697</v>
      </c>
      <c r="Y12" s="1140"/>
      <c r="Z12" s="1140"/>
      <c r="AA12" s="1140"/>
      <c r="AB12" s="388" t="s">
        <v>284</v>
      </c>
    </row>
    <row r="13" ht="15.75" customHeight="1">
      <c r="A13" s="776">
        <v>42354.0</v>
      </c>
      <c r="B13" s="340" t="s">
        <v>5985</v>
      </c>
      <c r="C13" s="1004"/>
      <c r="D13" s="320" t="s">
        <v>8701</v>
      </c>
      <c r="E13" s="340" t="s">
        <v>8702</v>
      </c>
      <c r="F13" s="773">
        <v>1.0</v>
      </c>
      <c r="G13" s="466">
        <v>1000.0</v>
      </c>
      <c r="H13" s="1147">
        <f t="shared" si="3"/>
        <v>1000</v>
      </c>
      <c r="I13" s="256" t="s">
        <v>171</v>
      </c>
      <c r="J13" s="333" t="s">
        <v>8703</v>
      </c>
      <c r="K13" s="832">
        <v>42397.0</v>
      </c>
      <c r="L13" s="832">
        <v>42395.0</v>
      </c>
      <c r="M13" s="333"/>
      <c r="N13" s="265"/>
      <c r="O13" s="388"/>
      <c r="P13" s="1149"/>
      <c r="Q13" s="320"/>
      <c r="R13" s="388" t="s">
        <v>8704</v>
      </c>
      <c r="S13" s="1139"/>
      <c r="T13" s="1150"/>
      <c r="U13" s="1136"/>
      <c r="V13" s="1151"/>
      <c r="W13" s="1150"/>
      <c r="X13" s="320" t="s">
        <v>8705</v>
      </c>
      <c r="Y13" s="1140"/>
      <c r="Z13" s="1152"/>
      <c r="AA13" s="1141"/>
      <c r="AB13" s="1140" t="s">
        <v>5992</v>
      </c>
    </row>
    <row r="14" ht="15.75" customHeight="1">
      <c r="A14" s="764">
        <v>42340.0</v>
      </c>
      <c r="B14" s="599" t="s">
        <v>101</v>
      </c>
      <c r="C14" s="1004" t="s">
        <v>8706</v>
      </c>
      <c r="D14" s="388" t="s">
        <v>8707</v>
      </c>
      <c r="E14" s="604" t="s">
        <v>8671</v>
      </c>
      <c r="F14" s="331">
        <v>1.0</v>
      </c>
      <c r="G14" s="1137">
        <v>179.0</v>
      </c>
      <c r="H14" s="1147">
        <f t="shared" si="3"/>
        <v>179</v>
      </c>
      <c r="I14" s="256" t="s">
        <v>171</v>
      </c>
      <c r="J14" s="333" t="s">
        <v>8708</v>
      </c>
      <c r="K14" s="832">
        <v>42380.0</v>
      </c>
      <c r="L14" s="388"/>
      <c r="M14" s="333" t="s">
        <v>2032</v>
      </c>
      <c r="N14" s="265"/>
      <c r="O14" s="773"/>
      <c r="P14" s="320">
        <v>4564.0</v>
      </c>
      <c r="Q14" s="388" t="s">
        <v>2033</v>
      </c>
      <c r="R14" s="388"/>
      <c r="S14" s="1139">
        <v>42405.0</v>
      </c>
      <c r="T14" s="1132">
        <v>42387.0</v>
      </c>
      <c r="U14" s="265" t="s">
        <v>8709</v>
      </c>
      <c r="V14" s="1135">
        <v>6390.0</v>
      </c>
      <c r="W14" s="1148">
        <v>42397.0</v>
      </c>
      <c r="X14" s="388"/>
      <c r="Y14" s="1141"/>
      <c r="Z14" s="1153"/>
      <c r="AA14" s="1140"/>
      <c r="AB14" s="1140" t="s">
        <v>284</v>
      </c>
    </row>
    <row r="15" ht="15.75" customHeight="1">
      <c r="A15" s="764">
        <v>42342.0</v>
      </c>
      <c r="B15" s="599" t="s">
        <v>101</v>
      </c>
      <c r="C15" s="1004" t="s">
        <v>8710</v>
      </c>
      <c r="D15" s="388" t="s">
        <v>8711</v>
      </c>
      <c r="E15" s="604" t="s">
        <v>8712</v>
      </c>
      <c r="F15" s="331">
        <v>1.0</v>
      </c>
      <c r="G15" s="1137">
        <v>1267.0</v>
      </c>
      <c r="H15" s="1147">
        <f t="shared" si="3"/>
        <v>1267</v>
      </c>
      <c r="I15" s="256" t="s">
        <v>171</v>
      </c>
      <c r="J15" s="333" t="s">
        <v>8708</v>
      </c>
      <c r="K15" s="832">
        <v>42398.0</v>
      </c>
      <c r="L15" s="832">
        <v>42398.0</v>
      </c>
      <c r="M15" s="269" t="s">
        <v>1439</v>
      </c>
      <c r="N15" s="265" t="s">
        <v>8713</v>
      </c>
      <c r="O15" s="773"/>
      <c r="P15" s="320">
        <f>1197*32.688</f>
        <v>39127.536</v>
      </c>
      <c r="Q15" s="388" t="s">
        <v>8714</v>
      </c>
      <c r="R15" s="388"/>
      <c r="S15" s="1139">
        <v>42382.0</v>
      </c>
      <c r="T15" s="1132">
        <v>42396.0</v>
      </c>
      <c r="U15" s="320" t="s">
        <v>8715</v>
      </c>
      <c r="V15" s="1135">
        <v>72765.0</v>
      </c>
      <c r="W15" s="1139">
        <v>42373.0</v>
      </c>
      <c r="X15" s="388" t="s">
        <v>8716</v>
      </c>
      <c r="Y15" s="1140"/>
      <c r="Z15" s="1153"/>
      <c r="AA15" s="1140"/>
      <c r="AB15" s="1140" t="s">
        <v>8661</v>
      </c>
    </row>
    <row r="16" ht="15.75" customHeight="1">
      <c r="A16" s="764">
        <v>42342.0</v>
      </c>
      <c r="B16" s="599" t="s">
        <v>101</v>
      </c>
      <c r="C16" s="1004" t="s">
        <v>8710</v>
      </c>
      <c r="D16" s="388" t="s">
        <v>8711</v>
      </c>
      <c r="E16" s="320" t="s">
        <v>6305</v>
      </c>
      <c r="F16" s="330">
        <v>1.0</v>
      </c>
      <c r="G16" s="388">
        <v>62.0</v>
      </c>
      <c r="H16" s="1147">
        <f t="shared" si="3"/>
        <v>62</v>
      </c>
      <c r="I16" s="256" t="s">
        <v>171</v>
      </c>
      <c r="J16" s="333" t="s">
        <v>8708</v>
      </c>
      <c r="K16" s="832">
        <v>42398.0</v>
      </c>
      <c r="L16" s="832">
        <v>42398.0</v>
      </c>
      <c r="M16" s="269" t="s">
        <v>6935</v>
      </c>
      <c r="N16" s="1004" t="s">
        <v>8717</v>
      </c>
      <c r="O16" s="388"/>
      <c r="P16" s="773">
        <v>1234.0</v>
      </c>
      <c r="Q16" s="320" t="s">
        <v>8718</v>
      </c>
      <c r="R16" s="388"/>
      <c r="S16" s="1139">
        <v>42374.0</v>
      </c>
      <c r="T16" s="1144">
        <v>42374.0</v>
      </c>
      <c r="U16" s="388" t="s">
        <v>8719</v>
      </c>
      <c r="V16" s="845">
        <v>2468.0</v>
      </c>
      <c r="W16" s="1143">
        <v>42373.0</v>
      </c>
      <c r="X16" s="388" t="s">
        <v>8716</v>
      </c>
      <c r="Y16" s="1140"/>
      <c r="Z16" s="1140"/>
      <c r="AA16" s="1140"/>
      <c r="AB16" s="1140" t="s">
        <v>8661</v>
      </c>
    </row>
    <row r="17" ht="15.75" customHeight="1">
      <c r="A17" s="764">
        <v>42342.0</v>
      </c>
      <c r="B17" s="599" t="s">
        <v>101</v>
      </c>
      <c r="C17" s="1004" t="s">
        <v>8710</v>
      </c>
      <c r="D17" s="388" t="s">
        <v>8711</v>
      </c>
      <c r="E17" s="310" t="s">
        <v>6295</v>
      </c>
      <c r="F17" s="330">
        <v>1.0</v>
      </c>
      <c r="G17" s="388">
        <v>38.0</v>
      </c>
      <c r="H17" s="1147">
        <f t="shared" si="3"/>
        <v>38</v>
      </c>
      <c r="I17" s="256" t="s">
        <v>171</v>
      </c>
      <c r="J17" s="333" t="s">
        <v>8708</v>
      </c>
      <c r="K17" s="832">
        <v>42398.0</v>
      </c>
      <c r="L17" s="832">
        <v>42398.0</v>
      </c>
      <c r="M17" s="269" t="s">
        <v>1439</v>
      </c>
      <c r="N17" s="265" t="s">
        <v>8713</v>
      </c>
      <c r="O17" s="388"/>
      <c r="P17" s="773">
        <f>35*1.05*32.688</f>
        <v>1201.284</v>
      </c>
      <c r="Q17" s="388" t="s">
        <v>8714</v>
      </c>
      <c r="R17" s="388"/>
      <c r="S17" s="1139">
        <v>42382.0</v>
      </c>
      <c r="T17" s="1144">
        <v>42396.0</v>
      </c>
      <c r="U17" s="320" t="s">
        <v>8715</v>
      </c>
      <c r="V17" s="845" t="s">
        <v>8720</v>
      </c>
      <c r="W17" s="1143">
        <v>42373.0</v>
      </c>
      <c r="X17" s="388" t="s">
        <v>8716</v>
      </c>
      <c r="Y17" s="1140"/>
      <c r="Z17" s="1140"/>
      <c r="AA17" s="1140"/>
      <c r="AB17" s="1140" t="s">
        <v>8661</v>
      </c>
    </row>
    <row r="18" ht="15.75" customHeight="1">
      <c r="A18" s="776">
        <v>42601.0</v>
      </c>
      <c r="B18" s="340" t="s">
        <v>3546</v>
      </c>
      <c r="C18" s="265"/>
      <c r="D18" s="320" t="s">
        <v>8721</v>
      </c>
      <c r="E18" s="578" t="s">
        <v>8722</v>
      </c>
      <c r="F18" s="581">
        <v>2.0</v>
      </c>
      <c r="G18" s="773">
        <v>1017.0</v>
      </c>
      <c r="H18" s="325">
        <f t="shared" si="3"/>
        <v>2034</v>
      </c>
      <c r="I18" s="1063" t="s">
        <v>3474</v>
      </c>
      <c r="J18" s="333" t="s">
        <v>8723</v>
      </c>
      <c r="K18" s="832">
        <v>42613.0</v>
      </c>
      <c r="L18" s="832">
        <v>42608.0</v>
      </c>
      <c r="M18" s="333" t="s">
        <v>6287</v>
      </c>
      <c r="N18" s="265" t="s">
        <v>8724</v>
      </c>
      <c r="O18" s="773">
        <v>1986.6</v>
      </c>
      <c r="P18" s="320">
        <v>62995.0</v>
      </c>
      <c r="Q18" s="388" t="s">
        <v>2043</v>
      </c>
      <c r="R18" s="388"/>
      <c r="S18" s="1145">
        <v>42620.0</v>
      </c>
      <c r="T18" s="1132">
        <v>42606.0</v>
      </c>
      <c r="U18" s="265" t="s">
        <v>8725</v>
      </c>
      <c r="V18" s="1135">
        <v>62995.0</v>
      </c>
      <c r="W18" s="832">
        <v>42619.0</v>
      </c>
      <c r="X18" s="265" t="s">
        <v>8726</v>
      </c>
      <c r="Y18" s="1141"/>
      <c r="Z18" s="1152"/>
      <c r="AA18" s="1141"/>
      <c r="AB18" s="388" t="s">
        <v>284</v>
      </c>
    </row>
    <row r="19" ht="15.75" customHeight="1">
      <c r="A19" s="764">
        <v>42342.0</v>
      </c>
      <c r="B19" s="599" t="s">
        <v>101</v>
      </c>
      <c r="C19" s="1004" t="s">
        <v>8727</v>
      </c>
      <c r="D19" s="388" t="s">
        <v>8728</v>
      </c>
      <c r="E19" s="320" t="s">
        <v>6305</v>
      </c>
      <c r="F19" s="388">
        <v>1.0</v>
      </c>
      <c r="G19" s="388">
        <v>62.0</v>
      </c>
      <c r="H19" s="1147">
        <f t="shared" si="3"/>
        <v>62</v>
      </c>
      <c r="I19" s="256" t="s">
        <v>171</v>
      </c>
      <c r="J19" s="333" t="s">
        <v>8708</v>
      </c>
      <c r="K19" s="832">
        <v>42398.0</v>
      </c>
      <c r="L19" s="832">
        <v>42398.0</v>
      </c>
      <c r="M19" s="269" t="s">
        <v>6935</v>
      </c>
      <c r="N19" s="1004" t="s">
        <v>8717</v>
      </c>
      <c r="O19" s="466"/>
      <c r="P19" s="1086">
        <v>1234.0</v>
      </c>
      <c r="Q19" s="320" t="s">
        <v>8718</v>
      </c>
      <c r="R19" s="388"/>
      <c r="S19" s="1139">
        <v>42374.0</v>
      </c>
      <c r="T19" s="1144">
        <v>42374.0</v>
      </c>
      <c r="U19" s="388" t="s">
        <v>8719</v>
      </c>
      <c r="V19" s="845" t="s">
        <v>8729</v>
      </c>
      <c r="W19" s="1143">
        <v>42373.0</v>
      </c>
      <c r="X19" s="388" t="s">
        <v>8716</v>
      </c>
      <c r="Y19" s="1140"/>
      <c r="Z19" s="1154"/>
      <c r="AA19" s="1140"/>
      <c r="AB19" s="1140" t="s">
        <v>8661</v>
      </c>
    </row>
    <row r="20" ht="15.75" customHeight="1">
      <c r="A20" s="764">
        <v>42342.0</v>
      </c>
      <c r="B20" s="599" t="s">
        <v>101</v>
      </c>
      <c r="C20" s="1004" t="s">
        <v>8727</v>
      </c>
      <c r="D20" s="388" t="s">
        <v>8728</v>
      </c>
      <c r="E20" s="320" t="s">
        <v>6295</v>
      </c>
      <c r="F20" s="388">
        <v>1.0</v>
      </c>
      <c r="G20" s="388">
        <v>38.0</v>
      </c>
      <c r="H20" s="1147">
        <f t="shared" si="3"/>
        <v>38</v>
      </c>
      <c r="I20" s="256" t="s">
        <v>171</v>
      </c>
      <c r="J20" s="333" t="s">
        <v>8708</v>
      </c>
      <c r="K20" s="832">
        <v>42398.0</v>
      </c>
      <c r="L20" s="832">
        <v>42398.0</v>
      </c>
      <c r="M20" s="269" t="s">
        <v>1439</v>
      </c>
      <c r="N20" s="1004" t="s">
        <v>8730</v>
      </c>
      <c r="O20" s="388"/>
      <c r="P20" s="773">
        <f>35*1.05*32.688</f>
        <v>1201.284</v>
      </c>
      <c r="Q20" s="388" t="s">
        <v>8714</v>
      </c>
      <c r="R20" s="388"/>
      <c r="S20" s="1139">
        <v>42382.0</v>
      </c>
      <c r="T20" s="1144">
        <v>42396.0</v>
      </c>
      <c r="U20" s="320" t="s">
        <v>8715</v>
      </c>
      <c r="V20" s="845" t="s">
        <v>8720</v>
      </c>
      <c r="W20" s="1143">
        <v>42373.0</v>
      </c>
      <c r="X20" s="388" t="s">
        <v>8716</v>
      </c>
      <c r="Y20" s="1140"/>
      <c r="Z20" s="1140"/>
      <c r="AA20" s="1140"/>
      <c r="AB20" s="1140" t="s">
        <v>8661</v>
      </c>
    </row>
    <row r="21" ht="15.75" customHeight="1">
      <c r="A21" s="764">
        <v>42347.0</v>
      </c>
      <c r="B21" s="340" t="s">
        <v>3506</v>
      </c>
      <c r="C21" s="1004" t="s">
        <v>8731</v>
      </c>
      <c r="D21" s="340" t="s">
        <v>8732</v>
      </c>
      <c r="E21" s="340" t="s">
        <v>8733</v>
      </c>
      <c r="F21" s="773">
        <v>105.0</v>
      </c>
      <c r="G21" s="773">
        <v>197.0</v>
      </c>
      <c r="H21" s="1147">
        <f t="shared" si="3"/>
        <v>20685</v>
      </c>
      <c r="I21" s="256" t="s">
        <v>171</v>
      </c>
      <c r="J21" s="599" t="s">
        <v>3509</v>
      </c>
      <c r="K21" s="832">
        <v>42384.0</v>
      </c>
      <c r="L21" s="832">
        <v>42383.0</v>
      </c>
      <c r="M21" s="333" t="s">
        <v>90</v>
      </c>
      <c r="N21" s="265" t="s">
        <v>8734</v>
      </c>
      <c r="O21" s="773">
        <v>19348.875</v>
      </c>
      <c r="P21" s="1149"/>
      <c r="Q21" s="320" t="s">
        <v>6081</v>
      </c>
      <c r="R21" s="388"/>
      <c r="S21" s="1139"/>
      <c r="T21" s="1132">
        <v>42383.0</v>
      </c>
      <c r="U21" s="265" t="s">
        <v>8735</v>
      </c>
      <c r="V21" s="1135">
        <v>828482.0</v>
      </c>
      <c r="W21" s="1132">
        <v>42398.0</v>
      </c>
      <c r="X21" s="320" t="s">
        <v>8736</v>
      </c>
      <c r="Y21" s="1140"/>
      <c r="Z21" s="1152"/>
      <c r="AA21" s="1141"/>
      <c r="AB21" s="1140" t="s">
        <v>284</v>
      </c>
    </row>
    <row r="22" ht="15.75" customHeight="1">
      <c r="A22" s="764">
        <v>42347.0</v>
      </c>
      <c r="B22" s="340" t="s">
        <v>3506</v>
      </c>
      <c r="C22" s="1004" t="s">
        <v>8737</v>
      </c>
      <c r="D22" s="340" t="s">
        <v>8732</v>
      </c>
      <c r="E22" s="340" t="s">
        <v>8738</v>
      </c>
      <c r="F22" s="773">
        <v>20.0</v>
      </c>
      <c r="G22" s="773">
        <v>391.0</v>
      </c>
      <c r="H22" s="1147">
        <f t="shared" si="3"/>
        <v>7820</v>
      </c>
      <c r="I22" s="256" t="s">
        <v>171</v>
      </c>
      <c r="J22" s="599" t="s">
        <v>3509</v>
      </c>
      <c r="K22" s="832">
        <v>42384.0</v>
      </c>
      <c r="L22" s="832">
        <v>42383.0</v>
      </c>
      <c r="M22" s="333" t="s">
        <v>90</v>
      </c>
      <c r="N22" s="265" t="s">
        <v>8734</v>
      </c>
      <c r="O22" s="773">
        <v>7308.0</v>
      </c>
      <c r="P22" s="1149"/>
      <c r="Q22" s="320" t="s">
        <v>6081</v>
      </c>
      <c r="R22" s="388"/>
      <c r="S22" s="1139"/>
      <c r="T22" s="1132">
        <v>42383.0</v>
      </c>
      <c r="U22" s="265" t="s">
        <v>8735</v>
      </c>
      <c r="V22" s="1135" t="s">
        <v>8739</v>
      </c>
      <c r="W22" s="1132">
        <v>42398.0</v>
      </c>
      <c r="X22" s="320" t="s">
        <v>8736</v>
      </c>
      <c r="Y22" s="1140"/>
      <c r="Z22" s="1152"/>
      <c r="AA22" s="1141"/>
      <c r="AB22" s="1140" t="s">
        <v>284</v>
      </c>
    </row>
    <row r="23" ht="15.75" customHeight="1">
      <c r="A23" s="764">
        <v>42627.0</v>
      </c>
      <c r="B23" s="599" t="s">
        <v>3546</v>
      </c>
      <c r="C23" s="1004"/>
      <c r="D23" s="388" t="s">
        <v>8740</v>
      </c>
      <c r="E23" s="340" t="s">
        <v>8722</v>
      </c>
      <c r="F23" s="388">
        <v>2.0</v>
      </c>
      <c r="G23" s="388">
        <v>1017.0</v>
      </c>
      <c r="H23" s="1155">
        <f>G23*F23</f>
        <v>2034</v>
      </c>
      <c r="I23" s="256" t="s">
        <v>3474</v>
      </c>
      <c r="J23" s="333" t="s">
        <v>8723</v>
      </c>
      <c r="K23" s="832">
        <v>42670.0</v>
      </c>
      <c r="L23" s="832">
        <v>42669.0</v>
      </c>
      <c r="M23" s="333" t="s">
        <v>6287</v>
      </c>
      <c r="N23" s="388" t="s">
        <v>8741</v>
      </c>
      <c r="O23" s="320">
        <v>1974.0</v>
      </c>
      <c r="P23" s="320">
        <v>62536.0</v>
      </c>
      <c r="Q23" s="388" t="s">
        <v>2043</v>
      </c>
      <c r="R23" s="388"/>
      <c r="S23" s="1133">
        <v>42682.0</v>
      </c>
      <c r="T23" s="1144">
        <v>42668.0</v>
      </c>
      <c r="U23" s="388" t="s">
        <v>8742</v>
      </c>
      <c r="V23" s="845">
        <v>62536.0</v>
      </c>
      <c r="W23" s="592"/>
      <c r="X23" s="320" t="s">
        <v>8743</v>
      </c>
      <c r="Y23" s="388"/>
      <c r="Z23" s="388"/>
      <c r="AA23" s="388"/>
      <c r="AB23" s="388" t="s">
        <v>284</v>
      </c>
    </row>
    <row r="24" ht="15.75" customHeight="1">
      <c r="A24" s="776">
        <v>42354.0</v>
      </c>
      <c r="B24" s="340" t="s">
        <v>5985</v>
      </c>
      <c r="C24" s="1004"/>
      <c r="D24" s="320" t="s">
        <v>8701</v>
      </c>
      <c r="E24" s="340" t="s">
        <v>8744</v>
      </c>
      <c r="F24" s="773">
        <v>1000.0</v>
      </c>
      <c r="G24" s="466">
        <v>34.46</v>
      </c>
      <c r="H24" s="1147">
        <f t="shared" ref="H24:H27" si="4">F24*G24</f>
        <v>34460</v>
      </c>
      <c r="I24" s="256" t="s">
        <v>171</v>
      </c>
      <c r="J24" s="333" t="s">
        <v>8703</v>
      </c>
      <c r="K24" s="832">
        <v>42377.0</v>
      </c>
      <c r="L24" s="832">
        <v>42376.0</v>
      </c>
      <c r="M24" s="333"/>
      <c r="N24" s="265"/>
      <c r="O24" s="388"/>
      <c r="P24" s="1149"/>
      <c r="Q24" s="320"/>
      <c r="R24" s="388" t="s">
        <v>8704</v>
      </c>
      <c r="S24" s="1139"/>
      <c r="T24" s="1150"/>
      <c r="U24" s="1136"/>
      <c r="V24" s="1151"/>
      <c r="W24" s="1150"/>
      <c r="X24" s="320" t="s">
        <v>8745</v>
      </c>
      <c r="Y24" s="1140"/>
      <c r="Z24" s="1152"/>
      <c r="AA24" s="1141"/>
      <c r="AB24" s="1140" t="s">
        <v>5992</v>
      </c>
    </row>
    <row r="25" ht="15.75" customHeight="1">
      <c r="A25" s="776">
        <v>42354.0</v>
      </c>
      <c r="B25" s="340" t="s">
        <v>5985</v>
      </c>
      <c r="C25" s="1004"/>
      <c r="D25" s="320" t="s">
        <v>8701</v>
      </c>
      <c r="E25" s="340" t="s">
        <v>8744</v>
      </c>
      <c r="F25" s="773">
        <v>20.0</v>
      </c>
      <c r="G25" s="466">
        <v>0.0</v>
      </c>
      <c r="H25" s="1147">
        <f t="shared" si="4"/>
        <v>0</v>
      </c>
      <c r="I25" s="256" t="s">
        <v>171</v>
      </c>
      <c r="J25" s="333" t="s">
        <v>8703</v>
      </c>
      <c r="K25" s="832">
        <v>42377.0</v>
      </c>
      <c r="L25" s="832">
        <v>42376.0</v>
      </c>
      <c r="M25" s="333"/>
      <c r="N25" s="265"/>
      <c r="O25" s="388"/>
      <c r="P25" s="1149"/>
      <c r="Q25" s="320"/>
      <c r="R25" s="388" t="s">
        <v>8704</v>
      </c>
      <c r="S25" s="1139"/>
      <c r="T25" s="1150"/>
      <c r="U25" s="1136"/>
      <c r="V25" s="1151"/>
      <c r="W25" s="1150"/>
      <c r="X25" s="320" t="s">
        <v>8745</v>
      </c>
      <c r="Y25" s="1140"/>
      <c r="Z25" s="1152"/>
      <c r="AA25" s="1141"/>
      <c r="AB25" s="1140" t="s">
        <v>5992</v>
      </c>
    </row>
    <row r="26" ht="15.75" customHeight="1">
      <c r="A26" s="776">
        <v>42354.0</v>
      </c>
      <c r="B26" s="340" t="s">
        <v>5985</v>
      </c>
      <c r="C26" s="1004"/>
      <c r="D26" s="320" t="s">
        <v>8701</v>
      </c>
      <c r="E26" s="340" t="s">
        <v>8744</v>
      </c>
      <c r="F26" s="773">
        <v>1000.0</v>
      </c>
      <c r="G26" s="466">
        <v>34.46</v>
      </c>
      <c r="H26" s="1147">
        <f t="shared" si="4"/>
        <v>34460</v>
      </c>
      <c r="I26" s="256" t="s">
        <v>171</v>
      </c>
      <c r="J26" s="333" t="s">
        <v>8703</v>
      </c>
      <c r="K26" s="832">
        <v>42397.0</v>
      </c>
      <c r="L26" s="832">
        <v>42395.0</v>
      </c>
      <c r="M26" s="333"/>
      <c r="N26" s="265"/>
      <c r="O26" s="388"/>
      <c r="P26" s="1149"/>
      <c r="Q26" s="320"/>
      <c r="R26" s="388" t="s">
        <v>8704</v>
      </c>
      <c r="S26" s="1139"/>
      <c r="T26" s="1150"/>
      <c r="U26" s="1136"/>
      <c r="V26" s="1151"/>
      <c r="W26" s="1150"/>
      <c r="X26" s="320" t="s">
        <v>8705</v>
      </c>
      <c r="Y26" s="1140"/>
      <c r="Z26" s="1152"/>
      <c r="AA26" s="1141"/>
      <c r="AB26" s="1140" t="s">
        <v>5992</v>
      </c>
    </row>
    <row r="27" ht="15.75" customHeight="1">
      <c r="A27" s="776">
        <v>42354.0</v>
      </c>
      <c r="B27" s="340" t="s">
        <v>5985</v>
      </c>
      <c r="C27" s="1004"/>
      <c r="D27" s="320" t="s">
        <v>8701</v>
      </c>
      <c r="E27" s="340" t="s">
        <v>8744</v>
      </c>
      <c r="F27" s="773">
        <v>20.0</v>
      </c>
      <c r="G27" s="466">
        <v>0.0</v>
      </c>
      <c r="H27" s="1147">
        <f t="shared" si="4"/>
        <v>0</v>
      </c>
      <c r="I27" s="256" t="s">
        <v>171</v>
      </c>
      <c r="J27" s="333" t="s">
        <v>8703</v>
      </c>
      <c r="K27" s="832">
        <v>42397.0</v>
      </c>
      <c r="L27" s="832">
        <v>42395.0</v>
      </c>
      <c r="M27" s="403"/>
      <c r="N27" s="265"/>
      <c r="O27" s="388"/>
      <c r="P27" s="1149"/>
      <c r="Q27" s="320"/>
      <c r="R27" s="388" t="s">
        <v>8704</v>
      </c>
      <c r="S27" s="1139"/>
      <c r="T27" s="1150"/>
      <c r="U27" s="1136"/>
      <c r="V27" s="1151"/>
      <c r="W27" s="1150"/>
      <c r="X27" s="320" t="s">
        <v>8705</v>
      </c>
      <c r="Y27" s="1140"/>
      <c r="Z27" s="1152"/>
      <c r="AA27" s="1141"/>
      <c r="AB27" s="1140" t="s">
        <v>5992</v>
      </c>
    </row>
    <row r="28" ht="15.75" customHeight="1">
      <c r="A28" s="764">
        <v>42627.0</v>
      </c>
      <c r="B28" s="599" t="s">
        <v>3546</v>
      </c>
      <c r="C28" s="1004"/>
      <c r="D28" s="388" t="s">
        <v>8746</v>
      </c>
      <c r="E28" s="340" t="s">
        <v>8722</v>
      </c>
      <c r="F28" s="388">
        <v>4.0</v>
      </c>
      <c r="G28" s="388">
        <v>1017.0</v>
      </c>
      <c r="H28" s="1155">
        <f>G28*F28</f>
        <v>4068</v>
      </c>
      <c r="I28" s="1063" t="s">
        <v>3474</v>
      </c>
      <c r="J28" s="333" t="s">
        <v>8723</v>
      </c>
      <c r="K28" s="832">
        <v>42684.0</v>
      </c>
      <c r="L28" s="832">
        <v>42681.0</v>
      </c>
      <c r="M28" s="333" t="s">
        <v>6287</v>
      </c>
      <c r="N28" s="388" t="s">
        <v>8741</v>
      </c>
      <c r="O28" s="320">
        <v>3948.0</v>
      </c>
      <c r="P28" s="320">
        <v>124243.0</v>
      </c>
      <c r="Q28" s="388" t="s">
        <v>2043</v>
      </c>
      <c r="R28" s="1140"/>
      <c r="S28" s="1133">
        <v>42692.0</v>
      </c>
      <c r="T28" s="1132">
        <v>42678.0</v>
      </c>
      <c r="U28" s="265" t="s">
        <v>8747</v>
      </c>
      <c r="V28" s="1135">
        <v>124243.0</v>
      </c>
      <c r="W28" s="1148">
        <v>42695.0</v>
      </c>
      <c r="X28" s="265" t="s">
        <v>8748</v>
      </c>
      <c r="Y28" s="388"/>
      <c r="Z28" s="388"/>
      <c r="AA28" s="388"/>
      <c r="AB28" s="388"/>
    </row>
    <row r="29" ht="15.75" customHeight="1">
      <c r="A29" s="776">
        <v>42359.0</v>
      </c>
      <c r="B29" s="340" t="s">
        <v>8749</v>
      </c>
      <c r="C29" s="1004" t="s">
        <v>8750</v>
      </c>
      <c r="D29" s="320" t="s">
        <v>8751</v>
      </c>
      <c r="E29" s="599" t="s">
        <v>8752</v>
      </c>
      <c r="F29" s="1137">
        <v>1.0</v>
      </c>
      <c r="G29" s="1137">
        <f>97*1.05</f>
        <v>101.85</v>
      </c>
      <c r="H29" s="1147">
        <f t="shared" ref="H29:H30" si="5">F29*G29</f>
        <v>101.85</v>
      </c>
      <c r="I29" s="256" t="s">
        <v>171</v>
      </c>
      <c r="J29" s="333" t="s">
        <v>233</v>
      </c>
      <c r="K29" s="832">
        <v>42383.0</v>
      </c>
      <c r="L29" s="832"/>
      <c r="M29" s="333" t="s">
        <v>90</v>
      </c>
      <c r="N29" s="265" t="s">
        <v>8753</v>
      </c>
      <c r="O29" s="320">
        <v>89.25</v>
      </c>
      <c r="P29" s="1149"/>
      <c r="Q29" s="320" t="s">
        <v>6081</v>
      </c>
      <c r="R29" s="388"/>
      <c r="S29" s="1139"/>
      <c r="T29" s="1132">
        <v>42383.0</v>
      </c>
      <c r="U29" s="265" t="s">
        <v>8754</v>
      </c>
      <c r="V29" s="1135">
        <v>2945.0</v>
      </c>
      <c r="W29" s="1132">
        <v>42398.0</v>
      </c>
      <c r="X29" s="320" t="s">
        <v>8755</v>
      </c>
      <c r="Y29" s="388" t="s">
        <v>8756</v>
      </c>
      <c r="Z29" s="1149">
        <v>3402.0</v>
      </c>
      <c r="AA29" s="320" t="s">
        <v>8757</v>
      </c>
      <c r="AB29" s="1140"/>
    </row>
    <row r="30" ht="15.75" customHeight="1">
      <c r="A30" s="776">
        <v>42362.0</v>
      </c>
      <c r="B30" s="599" t="s">
        <v>3871</v>
      </c>
      <c r="C30" s="1004"/>
      <c r="D30" s="320" t="s">
        <v>8758</v>
      </c>
      <c r="E30" s="599" t="s">
        <v>8759</v>
      </c>
      <c r="F30" s="388">
        <v>35.0</v>
      </c>
      <c r="G30" s="388">
        <v>92.0</v>
      </c>
      <c r="H30" s="1147">
        <f t="shared" si="5"/>
        <v>3220</v>
      </c>
      <c r="I30" s="256" t="s">
        <v>3874</v>
      </c>
      <c r="J30" s="599" t="s">
        <v>8760</v>
      </c>
      <c r="K30" s="1148">
        <v>42390.0</v>
      </c>
      <c r="L30" s="832">
        <v>42375.0</v>
      </c>
      <c r="M30" s="269" t="s">
        <v>90</v>
      </c>
      <c r="N30" s="320" t="s">
        <v>8761</v>
      </c>
      <c r="O30" s="773">
        <v>3013.5</v>
      </c>
      <c r="P30" s="388"/>
      <c r="Q30" s="320" t="s">
        <v>6081</v>
      </c>
      <c r="R30" s="388"/>
      <c r="S30" s="592"/>
      <c r="T30" s="1148">
        <v>42374.0</v>
      </c>
      <c r="U30" s="388" t="s">
        <v>8762</v>
      </c>
      <c r="V30" s="845">
        <v>87205.0</v>
      </c>
      <c r="W30" s="1139">
        <v>42398.0</v>
      </c>
      <c r="X30" s="388" t="s">
        <v>8763</v>
      </c>
      <c r="Y30" s="1140"/>
      <c r="Z30" s="1140"/>
      <c r="AA30" s="1140"/>
      <c r="AB30" s="388" t="s">
        <v>284</v>
      </c>
    </row>
    <row r="31" ht="15.75" customHeight="1">
      <c r="A31" s="776">
        <v>42387.0</v>
      </c>
      <c r="B31" s="599" t="s">
        <v>6548</v>
      </c>
      <c r="C31" s="1004"/>
      <c r="D31" s="388" t="s">
        <v>8764</v>
      </c>
      <c r="E31" s="340" t="s">
        <v>8765</v>
      </c>
      <c r="F31" s="320">
        <v>3.0</v>
      </c>
      <c r="G31" s="1086">
        <v>6962.0</v>
      </c>
      <c r="H31" s="466">
        <f>G31*F31</f>
        <v>20886</v>
      </c>
      <c r="I31" s="256" t="s">
        <v>171</v>
      </c>
      <c r="J31" s="333" t="s">
        <v>8766</v>
      </c>
      <c r="K31" s="832">
        <v>42544.0</v>
      </c>
      <c r="L31" s="832">
        <v>42531.0</v>
      </c>
      <c r="M31" s="333" t="s">
        <v>8767</v>
      </c>
      <c r="N31" s="265" t="s">
        <v>8768</v>
      </c>
      <c r="O31" s="1156"/>
      <c r="P31" s="1138">
        <v>680626.0</v>
      </c>
      <c r="Q31" s="320" t="s">
        <v>8769</v>
      </c>
      <c r="R31" s="388" t="s">
        <v>8770</v>
      </c>
      <c r="S31" s="1139">
        <v>42487.0</v>
      </c>
      <c r="T31" s="1132">
        <v>42529.0</v>
      </c>
      <c r="U31" s="265" t="s">
        <v>8771</v>
      </c>
      <c r="V31" s="1135">
        <v>673442.0</v>
      </c>
      <c r="W31" s="1132">
        <v>42529.0</v>
      </c>
      <c r="X31" s="320" t="s">
        <v>8772</v>
      </c>
      <c r="Y31" s="1140"/>
      <c r="Z31" s="1140"/>
      <c r="AA31" s="1140"/>
      <c r="AB31" s="1141" t="s">
        <v>8773</v>
      </c>
    </row>
    <row r="32" ht="15.75" customHeight="1">
      <c r="A32" s="764">
        <v>42376.0</v>
      </c>
      <c r="B32" s="340" t="s">
        <v>77</v>
      </c>
      <c r="C32" s="1004">
        <v>6.0</v>
      </c>
      <c r="D32" s="388" t="s">
        <v>8774</v>
      </c>
      <c r="E32" s="599" t="s">
        <v>8775</v>
      </c>
      <c r="F32" s="1137">
        <v>45.0</v>
      </c>
      <c r="G32" s="325">
        <v>1.9</v>
      </c>
      <c r="H32" s="1147">
        <f t="shared" ref="H32:H42" si="6">F32*G32</f>
        <v>85.5</v>
      </c>
      <c r="I32" s="256" t="s">
        <v>171</v>
      </c>
      <c r="J32" s="269" t="s">
        <v>8693</v>
      </c>
      <c r="K32" s="832">
        <v>42384.0</v>
      </c>
      <c r="L32" s="832">
        <v>42384.0</v>
      </c>
      <c r="M32" s="269" t="s">
        <v>3769</v>
      </c>
      <c r="N32" s="1004" t="s">
        <v>8776</v>
      </c>
      <c r="O32" s="388"/>
      <c r="P32" s="1157">
        <v>2504.0</v>
      </c>
      <c r="Q32" s="388" t="s">
        <v>2131</v>
      </c>
      <c r="R32" s="388"/>
      <c r="S32" s="1139">
        <v>42434.0</v>
      </c>
      <c r="T32" s="1132">
        <v>42383.0</v>
      </c>
      <c r="U32" s="265" t="s">
        <v>8777</v>
      </c>
      <c r="V32" s="1135">
        <v>5576.0</v>
      </c>
      <c r="W32" s="1144">
        <v>42436.0</v>
      </c>
      <c r="X32" s="320" t="s">
        <v>8697</v>
      </c>
      <c r="Y32" s="1140"/>
      <c r="Z32" s="1153"/>
      <c r="AA32" s="1140"/>
      <c r="AB32" s="388" t="s">
        <v>8661</v>
      </c>
    </row>
    <row r="33" ht="15.75" customHeight="1">
      <c r="A33" s="764">
        <v>42376.0</v>
      </c>
      <c r="B33" s="340" t="s">
        <v>77</v>
      </c>
      <c r="C33" s="1004">
        <v>6.0</v>
      </c>
      <c r="D33" s="388" t="s">
        <v>8774</v>
      </c>
      <c r="E33" s="599" t="s">
        <v>8778</v>
      </c>
      <c r="F33" s="1137">
        <v>45.0</v>
      </c>
      <c r="G33" s="325">
        <v>2.25</v>
      </c>
      <c r="H33" s="1147">
        <f t="shared" si="6"/>
        <v>101.25</v>
      </c>
      <c r="I33" s="256" t="s">
        <v>171</v>
      </c>
      <c r="J33" s="269" t="s">
        <v>8693</v>
      </c>
      <c r="K33" s="832">
        <v>42384.0</v>
      </c>
      <c r="L33" s="832">
        <v>42384.0</v>
      </c>
      <c r="M33" s="269" t="s">
        <v>3769</v>
      </c>
      <c r="N33" s="1004" t="s">
        <v>8776</v>
      </c>
      <c r="O33" s="388"/>
      <c r="P33" s="1157">
        <v>3071.0</v>
      </c>
      <c r="Q33" s="388" t="s">
        <v>2131</v>
      </c>
      <c r="R33" s="388"/>
      <c r="S33" s="1139">
        <v>42434.0</v>
      </c>
      <c r="T33" s="1132">
        <v>42383.0</v>
      </c>
      <c r="U33" s="265" t="s">
        <v>8777</v>
      </c>
      <c r="V33" s="1135" t="s">
        <v>8779</v>
      </c>
      <c r="W33" s="1144">
        <v>42436.0</v>
      </c>
      <c r="X33" s="320" t="s">
        <v>8697</v>
      </c>
      <c r="Y33" s="1140"/>
      <c r="Z33" s="1153"/>
      <c r="AA33" s="1140"/>
      <c r="AB33" s="388" t="s">
        <v>8661</v>
      </c>
    </row>
    <row r="34" ht="15.75" customHeight="1">
      <c r="A34" s="764">
        <v>42376.0</v>
      </c>
      <c r="B34" s="340" t="s">
        <v>77</v>
      </c>
      <c r="C34" s="1004">
        <v>6.0</v>
      </c>
      <c r="D34" s="388" t="s">
        <v>8774</v>
      </c>
      <c r="E34" s="599" t="s">
        <v>8780</v>
      </c>
      <c r="F34" s="1137">
        <v>2.0</v>
      </c>
      <c r="G34" s="325">
        <v>122.0</v>
      </c>
      <c r="H34" s="1147">
        <f t="shared" si="6"/>
        <v>244</v>
      </c>
      <c r="I34" s="256" t="s">
        <v>171</v>
      </c>
      <c r="J34" s="269" t="s">
        <v>8693</v>
      </c>
      <c r="K34" s="1148">
        <v>42390.0</v>
      </c>
      <c r="L34" s="832">
        <v>42388.0</v>
      </c>
      <c r="M34" s="269" t="s">
        <v>8781</v>
      </c>
      <c r="N34" s="1004" t="s">
        <v>8782</v>
      </c>
      <c r="O34" s="388"/>
      <c r="P34" s="773">
        <f>220*1.05*33</f>
        <v>7623</v>
      </c>
      <c r="Q34" s="388" t="s">
        <v>8783</v>
      </c>
      <c r="R34" s="388"/>
      <c r="S34" s="1139">
        <v>42387.0</v>
      </c>
      <c r="T34" s="1132">
        <v>42387.0</v>
      </c>
      <c r="U34" s="265" t="s">
        <v>8784</v>
      </c>
      <c r="V34" s="1135">
        <v>7970.0</v>
      </c>
      <c r="W34" s="1144">
        <v>42387.0</v>
      </c>
      <c r="X34" s="320" t="s">
        <v>8785</v>
      </c>
      <c r="Y34" s="1140"/>
      <c r="Z34" s="1153"/>
      <c r="AA34" s="1140"/>
      <c r="AB34" s="388" t="s">
        <v>8661</v>
      </c>
    </row>
    <row r="35" ht="15.75" customHeight="1">
      <c r="A35" s="764">
        <v>42376.0</v>
      </c>
      <c r="B35" s="340" t="s">
        <v>77</v>
      </c>
      <c r="C35" s="1004">
        <v>6.0</v>
      </c>
      <c r="D35" s="388" t="s">
        <v>8774</v>
      </c>
      <c r="E35" s="599" t="s">
        <v>8786</v>
      </c>
      <c r="F35" s="1137">
        <v>2.0</v>
      </c>
      <c r="G35" s="325">
        <v>7.0</v>
      </c>
      <c r="H35" s="1147">
        <f t="shared" si="6"/>
        <v>14</v>
      </c>
      <c r="I35" s="256" t="s">
        <v>171</v>
      </c>
      <c r="J35" s="269" t="s">
        <v>8693</v>
      </c>
      <c r="K35" s="1148">
        <v>42390.0</v>
      </c>
      <c r="L35" s="832">
        <v>42388.0</v>
      </c>
      <c r="M35" s="269" t="s">
        <v>8781</v>
      </c>
      <c r="N35" s="1004" t="s">
        <v>8782</v>
      </c>
      <c r="O35" s="388"/>
      <c r="P35" s="773">
        <f>10*1.05*33</f>
        <v>346.5</v>
      </c>
      <c r="Q35" s="388" t="s">
        <v>8783</v>
      </c>
      <c r="R35" s="388"/>
      <c r="S35" s="1139">
        <v>42387.0</v>
      </c>
      <c r="T35" s="1132">
        <v>42387.0</v>
      </c>
      <c r="U35" s="265" t="s">
        <v>8784</v>
      </c>
      <c r="V35" s="1135" t="s">
        <v>8787</v>
      </c>
      <c r="W35" s="1144">
        <v>42387.0</v>
      </c>
      <c r="X35" s="320" t="s">
        <v>8785</v>
      </c>
      <c r="Y35" s="1140"/>
      <c r="Z35" s="1153"/>
      <c r="AA35" s="1140"/>
      <c r="AB35" s="388" t="s">
        <v>8661</v>
      </c>
    </row>
    <row r="36" ht="15.75" customHeight="1">
      <c r="A36" s="764">
        <v>42376.0</v>
      </c>
      <c r="B36" s="340" t="s">
        <v>77</v>
      </c>
      <c r="C36" s="1004"/>
      <c r="D36" s="388" t="s">
        <v>8788</v>
      </c>
      <c r="E36" s="599" t="s">
        <v>8789</v>
      </c>
      <c r="F36" s="1137">
        <v>45.0</v>
      </c>
      <c r="G36" s="325">
        <v>6.45</v>
      </c>
      <c r="H36" s="1147">
        <f t="shared" si="6"/>
        <v>290.25</v>
      </c>
      <c r="I36" s="256" t="s">
        <v>171</v>
      </c>
      <c r="J36" s="269" t="s">
        <v>8693</v>
      </c>
      <c r="K36" s="1148">
        <v>42390.0</v>
      </c>
      <c r="L36" s="832">
        <v>42389.0</v>
      </c>
      <c r="M36" s="269" t="s">
        <v>3769</v>
      </c>
      <c r="N36" s="1004" t="s">
        <v>8790</v>
      </c>
      <c r="O36" s="388"/>
      <c r="P36" s="773">
        <v>8033.0</v>
      </c>
      <c r="Q36" s="388" t="s">
        <v>2131</v>
      </c>
      <c r="R36" s="388"/>
      <c r="S36" s="1139">
        <v>42434.0</v>
      </c>
      <c r="T36" s="1132">
        <v>42388.0</v>
      </c>
      <c r="U36" s="265" t="s">
        <v>8791</v>
      </c>
      <c r="V36" s="1135">
        <v>8033.0</v>
      </c>
      <c r="W36" s="1144">
        <v>42436.0</v>
      </c>
      <c r="X36" s="320" t="s">
        <v>8785</v>
      </c>
      <c r="Y36" s="1140"/>
      <c r="Z36" s="1153"/>
      <c r="AA36" s="1140"/>
      <c r="AB36" s="388" t="s">
        <v>8661</v>
      </c>
    </row>
    <row r="37" ht="15.75" customHeight="1">
      <c r="A37" s="764">
        <v>42376.0</v>
      </c>
      <c r="B37" s="340" t="s">
        <v>5985</v>
      </c>
      <c r="C37" s="1004"/>
      <c r="D37" s="388" t="s">
        <v>8792</v>
      </c>
      <c r="E37" s="599" t="s">
        <v>8793</v>
      </c>
      <c r="F37" s="1137">
        <v>1.0</v>
      </c>
      <c r="G37" s="325">
        <v>1300.0</v>
      </c>
      <c r="H37" s="1147">
        <f t="shared" si="6"/>
        <v>1300</v>
      </c>
      <c r="I37" s="256" t="s">
        <v>171</v>
      </c>
      <c r="J37" s="333" t="s">
        <v>8703</v>
      </c>
      <c r="K37" s="832">
        <v>42397.0</v>
      </c>
      <c r="L37" s="1139">
        <v>42387.0</v>
      </c>
      <c r="M37" s="269" t="s">
        <v>8794</v>
      </c>
      <c r="N37" s="1004"/>
      <c r="O37" s="388"/>
      <c r="P37" s="773">
        <v>37403.0</v>
      </c>
      <c r="Q37" s="388" t="s">
        <v>8795</v>
      </c>
      <c r="R37" s="388"/>
      <c r="S37" s="1139">
        <v>42405.0</v>
      </c>
      <c r="T37" s="1132">
        <v>42390.0</v>
      </c>
      <c r="U37" s="265" t="s">
        <v>8796</v>
      </c>
      <c r="V37" s="1135">
        <v>37403.0</v>
      </c>
      <c r="W37" s="1144">
        <v>42397.0</v>
      </c>
      <c r="X37" s="320" t="s">
        <v>8745</v>
      </c>
      <c r="Y37" s="388"/>
      <c r="Z37" s="1153"/>
      <c r="AA37" s="1140"/>
      <c r="AB37" s="1140" t="s">
        <v>284</v>
      </c>
    </row>
    <row r="38" ht="15.75" customHeight="1">
      <c r="A38" s="764">
        <v>42376.0</v>
      </c>
      <c r="B38" s="340" t="s">
        <v>5985</v>
      </c>
      <c r="C38" s="1004"/>
      <c r="D38" s="388" t="s">
        <v>8792</v>
      </c>
      <c r="E38" s="599" t="s">
        <v>8797</v>
      </c>
      <c r="F38" s="1137">
        <v>1.0</v>
      </c>
      <c r="G38" s="325">
        <v>1360.0</v>
      </c>
      <c r="H38" s="1147">
        <f t="shared" si="6"/>
        <v>1360</v>
      </c>
      <c r="I38" s="256" t="s">
        <v>171</v>
      </c>
      <c r="J38" s="333" t="s">
        <v>8703</v>
      </c>
      <c r="K38" s="832">
        <v>42397.0</v>
      </c>
      <c r="L38" s="1139">
        <v>42397.0</v>
      </c>
      <c r="M38" s="269" t="s">
        <v>8794</v>
      </c>
      <c r="N38" s="1004"/>
      <c r="O38" s="388"/>
      <c r="P38" s="773">
        <v>35351.0</v>
      </c>
      <c r="Q38" s="388" t="s">
        <v>8795</v>
      </c>
      <c r="R38" s="388"/>
      <c r="S38" s="1139">
        <v>42433.0</v>
      </c>
      <c r="T38" s="1132">
        <v>42423.0</v>
      </c>
      <c r="U38" s="265" t="s">
        <v>8798</v>
      </c>
      <c r="V38" s="1135">
        <v>35351.0</v>
      </c>
      <c r="W38" s="1144">
        <v>42436.0</v>
      </c>
      <c r="X38" s="320" t="s">
        <v>8705</v>
      </c>
      <c r="Y38" s="1140"/>
      <c r="Z38" s="1153"/>
      <c r="AA38" s="1140"/>
      <c r="AB38" s="1140" t="s">
        <v>284</v>
      </c>
    </row>
    <row r="39" ht="15.75" customHeight="1">
      <c r="A39" s="764">
        <v>42376.0</v>
      </c>
      <c r="B39" s="599" t="s">
        <v>101</v>
      </c>
      <c r="C39" s="1004"/>
      <c r="D39" s="388" t="s">
        <v>8799</v>
      </c>
      <c r="E39" s="599" t="s">
        <v>8800</v>
      </c>
      <c r="F39" s="1137">
        <v>1.0</v>
      </c>
      <c r="G39" s="325">
        <v>50.0</v>
      </c>
      <c r="H39" s="1147">
        <f t="shared" si="6"/>
        <v>50</v>
      </c>
      <c r="I39" s="256" t="s">
        <v>171</v>
      </c>
      <c r="J39" s="333" t="s">
        <v>8708</v>
      </c>
      <c r="K39" s="832">
        <v>42380.0</v>
      </c>
      <c r="L39" s="388"/>
      <c r="M39" s="333" t="s">
        <v>2032</v>
      </c>
      <c r="N39" s="1004"/>
      <c r="O39" s="388"/>
      <c r="P39" s="773">
        <v>1826.0</v>
      </c>
      <c r="Q39" s="388" t="s">
        <v>2033</v>
      </c>
      <c r="R39" s="388"/>
      <c r="S39" s="1139">
        <v>42405.0</v>
      </c>
      <c r="T39" s="1132">
        <v>42387.0</v>
      </c>
      <c r="U39" s="265" t="s">
        <v>8709</v>
      </c>
      <c r="V39" s="1135" t="s">
        <v>8801</v>
      </c>
      <c r="W39" s="832">
        <v>42397.0</v>
      </c>
      <c r="X39" s="388" t="s">
        <v>8802</v>
      </c>
      <c r="Y39" s="1140"/>
      <c r="Z39" s="1153"/>
      <c r="AA39" s="1140"/>
      <c r="AB39" s="1140"/>
    </row>
    <row r="40" ht="15.75" customHeight="1">
      <c r="A40" s="764">
        <v>42376.0</v>
      </c>
      <c r="B40" s="340" t="s">
        <v>77</v>
      </c>
      <c r="C40" s="1004"/>
      <c r="D40" s="320" t="s">
        <v>8803</v>
      </c>
      <c r="E40" s="599" t="s">
        <v>8804</v>
      </c>
      <c r="F40" s="1137">
        <v>1.0</v>
      </c>
      <c r="G40" s="325">
        <v>0.0</v>
      </c>
      <c r="H40" s="1147">
        <f t="shared" si="6"/>
        <v>0</v>
      </c>
      <c r="I40" s="256" t="s">
        <v>171</v>
      </c>
      <c r="J40" s="269"/>
      <c r="K40" s="832">
        <v>42457.0</v>
      </c>
      <c r="L40" s="388"/>
      <c r="M40" s="269"/>
      <c r="N40" s="1004"/>
      <c r="O40" s="388"/>
      <c r="P40" s="773"/>
      <c r="Q40" s="388"/>
      <c r="R40" s="388"/>
      <c r="S40" s="1139"/>
      <c r="T40" s="1150"/>
      <c r="U40" s="1136"/>
      <c r="V40" s="1151"/>
      <c r="W40" s="1158"/>
      <c r="X40" s="320" t="s">
        <v>6443</v>
      </c>
      <c r="Y40" s="1140"/>
      <c r="Z40" s="1153"/>
      <c r="AA40" s="1140"/>
      <c r="AB40" s="1140"/>
    </row>
    <row r="41" ht="15.75" customHeight="1">
      <c r="A41" s="764">
        <v>42376.0</v>
      </c>
      <c r="B41" s="340" t="s">
        <v>77</v>
      </c>
      <c r="C41" s="1004"/>
      <c r="D41" s="320" t="s">
        <v>8803</v>
      </c>
      <c r="E41" s="599" t="s">
        <v>8805</v>
      </c>
      <c r="F41" s="1137">
        <v>1.0</v>
      </c>
      <c r="G41" s="325">
        <v>0.0</v>
      </c>
      <c r="H41" s="1147">
        <f t="shared" si="6"/>
        <v>0</v>
      </c>
      <c r="I41" s="256" t="s">
        <v>171</v>
      </c>
      <c r="J41" s="269"/>
      <c r="K41" s="832">
        <v>42457.0</v>
      </c>
      <c r="L41" s="388"/>
      <c r="M41" s="269"/>
      <c r="N41" s="1004"/>
      <c r="O41" s="388"/>
      <c r="P41" s="773"/>
      <c r="Q41" s="388"/>
      <c r="R41" s="388"/>
      <c r="S41" s="1139"/>
      <c r="T41" s="1150"/>
      <c r="U41" s="1136"/>
      <c r="V41" s="1151"/>
      <c r="W41" s="1158"/>
      <c r="X41" s="320" t="s">
        <v>6443</v>
      </c>
      <c r="Y41" s="1140"/>
      <c r="Z41" s="1153"/>
      <c r="AA41" s="1140"/>
      <c r="AB41" s="1140"/>
    </row>
    <row r="42" ht="15.75" customHeight="1">
      <c r="A42" s="764">
        <v>42376.0</v>
      </c>
      <c r="B42" s="340" t="s">
        <v>77</v>
      </c>
      <c r="C42" s="1004"/>
      <c r="D42" s="320" t="s">
        <v>8803</v>
      </c>
      <c r="E42" s="599" t="s">
        <v>8806</v>
      </c>
      <c r="F42" s="1137">
        <v>1.0</v>
      </c>
      <c r="G42" s="325">
        <v>0.0</v>
      </c>
      <c r="H42" s="1147">
        <f t="shared" si="6"/>
        <v>0</v>
      </c>
      <c r="I42" s="256" t="s">
        <v>171</v>
      </c>
      <c r="J42" s="269"/>
      <c r="K42" s="832">
        <v>42457.0</v>
      </c>
      <c r="L42" s="388"/>
      <c r="M42" s="269"/>
      <c r="N42" s="1004"/>
      <c r="O42" s="388"/>
      <c r="P42" s="773"/>
      <c r="Q42" s="388"/>
      <c r="R42" s="388"/>
      <c r="S42" s="1139"/>
      <c r="T42" s="1150"/>
      <c r="U42" s="1136"/>
      <c r="V42" s="1151"/>
      <c r="W42" s="1158"/>
      <c r="X42" s="320" t="s">
        <v>6443</v>
      </c>
      <c r="Y42" s="1140"/>
      <c r="Z42" s="1153"/>
      <c r="AA42" s="1140"/>
      <c r="AB42" s="1140"/>
    </row>
    <row r="43" ht="15.75" customHeight="1">
      <c r="A43" s="764">
        <v>42382.0</v>
      </c>
      <c r="B43" s="340" t="s">
        <v>77</v>
      </c>
      <c r="C43" s="1004"/>
      <c r="D43" s="388" t="s">
        <v>8807</v>
      </c>
      <c r="E43" s="599" t="s">
        <v>8808</v>
      </c>
      <c r="F43" s="1137">
        <v>10.0</v>
      </c>
      <c r="G43" s="325">
        <v>23.3</v>
      </c>
      <c r="H43" s="466">
        <f t="shared" ref="H43:H58" si="7">G43*F43</f>
        <v>233</v>
      </c>
      <c r="I43" s="256" t="s">
        <v>171</v>
      </c>
      <c r="J43" s="269" t="s">
        <v>316</v>
      </c>
      <c r="K43" s="832">
        <v>42437.0</v>
      </c>
      <c r="L43" s="1145">
        <v>42436.0</v>
      </c>
      <c r="M43" s="269" t="s">
        <v>4102</v>
      </c>
      <c r="N43" s="256" t="s">
        <v>3103</v>
      </c>
      <c r="O43" s="388"/>
      <c r="P43" s="773">
        <v>7277.0</v>
      </c>
      <c r="Q43" s="265" t="s">
        <v>8809</v>
      </c>
      <c r="R43" s="388"/>
      <c r="S43" s="1139">
        <v>42433.0</v>
      </c>
      <c r="T43" s="1132">
        <v>42433.0</v>
      </c>
      <c r="U43" s="265" t="s">
        <v>8810</v>
      </c>
      <c r="V43" s="1135">
        <v>7277.0</v>
      </c>
      <c r="W43" s="1144">
        <v>42433.0</v>
      </c>
      <c r="X43" s="320" t="s">
        <v>8811</v>
      </c>
      <c r="Y43" s="1140"/>
      <c r="Z43" s="1153"/>
      <c r="AA43" s="1140"/>
      <c r="AB43" s="1140"/>
    </row>
    <row r="44" ht="15.75" customHeight="1">
      <c r="A44" s="764">
        <v>42382.0</v>
      </c>
      <c r="B44" s="340" t="s">
        <v>77</v>
      </c>
      <c r="C44" s="1004"/>
      <c r="D44" s="388" t="s">
        <v>8812</v>
      </c>
      <c r="E44" s="599" t="s">
        <v>8808</v>
      </c>
      <c r="F44" s="1137">
        <v>90.0</v>
      </c>
      <c r="G44" s="325">
        <v>23.3</v>
      </c>
      <c r="H44" s="466">
        <f t="shared" si="7"/>
        <v>2097</v>
      </c>
      <c r="I44" s="256" t="s">
        <v>171</v>
      </c>
      <c r="J44" s="269" t="s">
        <v>316</v>
      </c>
      <c r="K44" s="832">
        <v>42499.0</v>
      </c>
      <c r="L44" s="1133">
        <v>42496.0</v>
      </c>
      <c r="M44" s="269" t="s">
        <v>4102</v>
      </c>
      <c r="N44" s="256" t="s">
        <v>8813</v>
      </c>
      <c r="O44" s="388"/>
      <c r="P44" s="773">
        <v>64080.0</v>
      </c>
      <c r="Q44" s="265" t="s">
        <v>8809</v>
      </c>
      <c r="R44" s="388"/>
      <c r="S44" s="1139"/>
      <c r="T44" s="1132">
        <v>42496.0</v>
      </c>
      <c r="U44" s="320" t="s">
        <v>8814</v>
      </c>
      <c r="V44" s="1135">
        <v>64079.0</v>
      </c>
      <c r="W44" s="1144">
        <v>42494.0</v>
      </c>
      <c r="X44" s="320" t="s">
        <v>8815</v>
      </c>
      <c r="Y44" s="1140"/>
      <c r="Z44" s="1153"/>
      <c r="AA44" s="1140"/>
      <c r="AB44" s="1140"/>
    </row>
    <row r="45" ht="15.75" customHeight="1">
      <c r="A45" s="764">
        <v>42383.0</v>
      </c>
      <c r="B45" s="599" t="s">
        <v>1204</v>
      </c>
      <c r="C45" s="1004" t="s">
        <v>8816</v>
      </c>
      <c r="D45" s="388" t="s">
        <v>8817</v>
      </c>
      <c r="E45" s="599" t="s">
        <v>8818</v>
      </c>
      <c r="F45" s="1137">
        <v>2.0</v>
      </c>
      <c r="G45" s="325">
        <v>732.0</v>
      </c>
      <c r="H45" s="466">
        <f t="shared" si="7"/>
        <v>1464</v>
      </c>
      <c r="I45" s="256" t="s">
        <v>171</v>
      </c>
      <c r="J45" s="269" t="s">
        <v>8819</v>
      </c>
      <c r="K45" s="832">
        <v>42404.0</v>
      </c>
      <c r="L45" s="1145">
        <v>42402.0</v>
      </c>
      <c r="M45" s="269" t="s">
        <v>3593</v>
      </c>
      <c r="N45" s="1004" t="s">
        <v>8820</v>
      </c>
      <c r="O45" s="388"/>
      <c r="P45" s="773">
        <v>45982.0</v>
      </c>
      <c r="Q45" s="388" t="s">
        <v>8689</v>
      </c>
      <c r="R45" s="388"/>
      <c r="S45" s="1139">
        <v>42495.0</v>
      </c>
      <c r="T45" s="1132">
        <v>42401.0</v>
      </c>
      <c r="U45" s="265" t="s">
        <v>8821</v>
      </c>
      <c r="V45" s="1135">
        <v>46962.0</v>
      </c>
      <c r="W45" s="1158">
        <v>42475.0</v>
      </c>
      <c r="X45" s="320" t="s">
        <v>8822</v>
      </c>
      <c r="Y45" s="1140"/>
      <c r="Z45" s="1153"/>
      <c r="AA45" s="1140"/>
      <c r="AB45" s="388" t="s">
        <v>8661</v>
      </c>
    </row>
    <row r="46" ht="15.75" customHeight="1">
      <c r="A46" s="764">
        <v>42383.0</v>
      </c>
      <c r="B46" s="599" t="s">
        <v>1204</v>
      </c>
      <c r="C46" s="1004" t="s">
        <v>8816</v>
      </c>
      <c r="D46" s="388" t="s">
        <v>8817</v>
      </c>
      <c r="E46" s="599" t="s">
        <v>8823</v>
      </c>
      <c r="F46" s="1137">
        <v>2.0</v>
      </c>
      <c r="G46" s="325">
        <v>36.0</v>
      </c>
      <c r="H46" s="466">
        <f t="shared" si="7"/>
        <v>72</v>
      </c>
      <c r="I46" s="256" t="s">
        <v>171</v>
      </c>
      <c r="J46" s="269" t="s">
        <v>8819</v>
      </c>
      <c r="K46" s="832">
        <v>42404.0</v>
      </c>
      <c r="L46" s="1145">
        <v>42402.0</v>
      </c>
      <c r="M46" s="269" t="s">
        <v>3593</v>
      </c>
      <c r="N46" s="1004" t="s">
        <v>8820</v>
      </c>
      <c r="O46" s="388"/>
      <c r="P46" s="773">
        <v>812.0</v>
      </c>
      <c r="Q46" s="388" t="s">
        <v>8689</v>
      </c>
      <c r="R46" s="388"/>
      <c r="S46" s="1139">
        <v>42495.0</v>
      </c>
      <c r="T46" s="1132">
        <v>42401.0</v>
      </c>
      <c r="U46" s="265" t="s">
        <v>8821</v>
      </c>
      <c r="V46" s="1135" t="s">
        <v>8824</v>
      </c>
      <c r="W46" s="1158">
        <v>42475.0</v>
      </c>
      <c r="X46" s="320" t="s">
        <v>8822</v>
      </c>
      <c r="Y46" s="1140"/>
      <c r="Z46" s="1153"/>
      <c r="AA46" s="1140"/>
      <c r="AB46" s="388" t="s">
        <v>8661</v>
      </c>
    </row>
    <row r="47" ht="15.75" customHeight="1">
      <c r="A47" s="764">
        <v>42383.0</v>
      </c>
      <c r="B47" s="599" t="s">
        <v>1204</v>
      </c>
      <c r="C47" s="1004" t="s">
        <v>8816</v>
      </c>
      <c r="D47" s="388" t="s">
        <v>8817</v>
      </c>
      <c r="E47" s="599" t="s">
        <v>8825</v>
      </c>
      <c r="F47" s="1137">
        <v>2.0</v>
      </c>
      <c r="G47" s="325">
        <v>3.0</v>
      </c>
      <c r="H47" s="466">
        <f t="shared" si="7"/>
        <v>6</v>
      </c>
      <c r="I47" s="256" t="s">
        <v>171</v>
      </c>
      <c r="J47" s="269" t="s">
        <v>8819</v>
      </c>
      <c r="K47" s="832">
        <v>42404.0</v>
      </c>
      <c r="L47" s="1145">
        <v>42402.0</v>
      </c>
      <c r="M47" s="269" t="s">
        <v>3593</v>
      </c>
      <c r="N47" s="1004" t="s">
        <v>8820</v>
      </c>
      <c r="O47" s="388"/>
      <c r="P47" s="773">
        <v>168.0</v>
      </c>
      <c r="Q47" s="388" t="s">
        <v>8689</v>
      </c>
      <c r="R47" s="388"/>
      <c r="S47" s="1139">
        <v>42495.0</v>
      </c>
      <c r="T47" s="1132">
        <v>42401.0</v>
      </c>
      <c r="U47" s="265" t="s">
        <v>8821</v>
      </c>
      <c r="V47" s="1135" t="s">
        <v>8824</v>
      </c>
      <c r="W47" s="1144">
        <v>42475.0</v>
      </c>
      <c r="X47" s="320" t="s">
        <v>8822</v>
      </c>
      <c r="Y47" s="1140"/>
      <c r="Z47" s="1153"/>
      <c r="AA47" s="1140"/>
      <c r="AB47" s="388" t="s">
        <v>8661</v>
      </c>
    </row>
    <row r="48" ht="15.75" customHeight="1">
      <c r="A48" s="776">
        <v>42384.0</v>
      </c>
      <c r="B48" s="340" t="s">
        <v>631</v>
      </c>
      <c r="C48" s="265" t="s">
        <v>8826</v>
      </c>
      <c r="D48" s="320" t="s">
        <v>8827</v>
      </c>
      <c r="E48" s="340" t="s">
        <v>6662</v>
      </c>
      <c r="F48" s="773">
        <v>3.0</v>
      </c>
      <c r="G48" s="773">
        <v>86.1</v>
      </c>
      <c r="H48" s="466">
        <f t="shared" si="7"/>
        <v>258.3</v>
      </c>
      <c r="I48" s="256" t="s">
        <v>8828</v>
      </c>
      <c r="J48" s="269" t="s">
        <v>90</v>
      </c>
      <c r="K48" s="832">
        <v>42394.0</v>
      </c>
      <c r="L48" s="388"/>
      <c r="M48" s="269" t="s">
        <v>90</v>
      </c>
      <c r="N48" s="265" t="s">
        <v>8829</v>
      </c>
      <c r="O48" s="320">
        <v>226.8</v>
      </c>
      <c r="P48" s="773"/>
      <c r="Q48" s="320" t="s">
        <v>6081</v>
      </c>
      <c r="R48" s="388"/>
      <c r="S48" s="1139"/>
      <c r="T48" s="1132">
        <v>42390.0</v>
      </c>
      <c r="U48" s="265" t="s">
        <v>8830</v>
      </c>
      <c r="V48" s="1135">
        <v>22684.0</v>
      </c>
      <c r="W48" s="1144">
        <v>42398.0</v>
      </c>
      <c r="X48" s="320" t="s">
        <v>8831</v>
      </c>
      <c r="Y48" s="599" t="s">
        <v>8832</v>
      </c>
      <c r="Z48" s="1159">
        <v>27412.0</v>
      </c>
      <c r="AA48" s="388" t="s">
        <v>8833</v>
      </c>
      <c r="AB48" s="388"/>
    </row>
    <row r="49" ht="15.75" customHeight="1">
      <c r="A49" s="776">
        <v>42384.0</v>
      </c>
      <c r="B49" s="340" t="s">
        <v>631</v>
      </c>
      <c r="C49" s="265" t="s">
        <v>8826</v>
      </c>
      <c r="D49" s="320" t="s">
        <v>8827</v>
      </c>
      <c r="E49" s="340" t="s">
        <v>8834</v>
      </c>
      <c r="F49" s="773">
        <v>3.0</v>
      </c>
      <c r="G49" s="773">
        <v>185.85</v>
      </c>
      <c r="H49" s="466">
        <f t="shared" si="7"/>
        <v>557.55</v>
      </c>
      <c r="I49" s="256" t="s">
        <v>8828</v>
      </c>
      <c r="J49" s="269" t="s">
        <v>90</v>
      </c>
      <c r="K49" s="832">
        <v>42394.0</v>
      </c>
      <c r="L49" s="388"/>
      <c r="M49" s="269" t="s">
        <v>90</v>
      </c>
      <c r="N49" s="265" t="s">
        <v>8829</v>
      </c>
      <c r="O49" s="320">
        <v>450.45</v>
      </c>
      <c r="P49" s="773"/>
      <c r="Q49" s="320" t="s">
        <v>6081</v>
      </c>
      <c r="R49" s="388"/>
      <c r="S49" s="1139"/>
      <c r="T49" s="1132">
        <v>42390.0</v>
      </c>
      <c r="U49" s="265" t="s">
        <v>8830</v>
      </c>
      <c r="V49" s="1135" t="s">
        <v>8835</v>
      </c>
      <c r="W49" s="1144">
        <v>42398.0</v>
      </c>
      <c r="X49" s="320" t="s">
        <v>8836</v>
      </c>
      <c r="Y49" s="599" t="s">
        <v>8832</v>
      </c>
      <c r="Z49" s="1159" t="s">
        <v>8836</v>
      </c>
      <c r="AA49" s="388" t="s">
        <v>8833</v>
      </c>
      <c r="AB49" s="388"/>
    </row>
    <row r="50" ht="15.75" customHeight="1">
      <c r="A50" s="764">
        <v>42387.0</v>
      </c>
      <c r="B50" s="599" t="s">
        <v>101</v>
      </c>
      <c r="C50" s="1004" t="s">
        <v>8837</v>
      </c>
      <c r="D50" s="388" t="s">
        <v>8838</v>
      </c>
      <c r="E50" s="599" t="s">
        <v>8839</v>
      </c>
      <c r="F50" s="1137">
        <v>10.0</v>
      </c>
      <c r="G50" s="325">
        <v>141.0</v>
      </c>
      <c r="H50" s="466">
        <f t="shared" si="7"/>
        <v>1410</v>
      </c>
      <c r="I50" s="256" t="s">
        <v>171</v>
      </c>
      <c r="J50" s="333" t="s">
        <v>8708</v>
      </c>
      <c r="K50" s="832">
        <v>42398.0</v>
      </c>
      <c r="L50" s="832">
        <v>42397.0</v>
      </c>
      <c r="M50" s="269" t="s">
        <v>3593</v>
      </c>
      <c r="N50" s="1004" t="s">
        <v>8840</v>
      </c>
      <c r="O50" s="388"/>
      <c r="P50" s="773">
        <v>45392.0</v>
      </c>
      <c r="Q50" s="388" t="s">
        <v>8689</v>
      </c>
      <c r="R50" s="388"/>
      <c r="S50" s="1139">
        <v>42526.0</v>
      </c>
      <c r="T50" s="1132">
        <v>42396.0</v>
      </c>
      <c r="U50" s="265" t="s">
        <v>8841</v>
      </c>
      <c r="V50" s="1135">
        <v>45392.0</v>
      </c>
      <c r="W50" s="1144">
        <v>42475.0</v>
      </c>
      <c r="X50" s="388" t="s">
        <v>8716</v>
      </c>
      <c r="Y50" s="1140"/>
      <c r="Z50" s="1153"/>
      <c r="AA50" s="1140"/>
      <c r="AB50" s="1140" t="s">
        <v>8661</v>
      </c>
    </row>
    <row r="51" ht="15.75" customHeight="1">
      <c r="A51" s="764">
        <v>42387.0</v>
      </c>
      <c r="B51" s="599" t="s">
        <v>6587</v>
      </c>
      <c r="C51" s="765">
        <v>1.6000006E7</v>
      </c>
      <c r="D51" s="330" t="s">
        <v>8842</v>
      </c>
      <c r="E51" s="578" t="s">
        <v>6590</v>
      </c>
      <c r="F51" s="581">
        <v>5.0</v>
      </c>
      <c r="G51" s="267">
        <v>321.0</v>
      </c>
      <c r="H51" s="325">
        <f t="shared" si="7"/>
        <v>1605</v>
      </c>
      <c r="I51" s="256" t="s">
        <v>8675</v>
      </c>
      <c r="J51" s="333" t="s">
        <v>8708</v>
      </c>
      <c r="K51" s="832">
        <v>42397.0</v>
      </c>
      <c r="L51" s="1145">
        <v>42395.0</v>
      </c>
      <c r="M51" s="333" t="s">
        <v>90</v>
      </c>
      <c r="N51" s="265" t="s">
        <v>8843</v>
      </c>
      <c r="O51" s="773">
        <v>1396.5</v>
      </c>
      <c r="P51" s="388"/>
      <c r="Q51" s="320" t="s">
        <v>6081</v>
      </c>
      <c r="R51" s="388"/>
      <c r="S51" s="1139"/>
      <c r="T51" s="1132">
        <v>42395.0</v>
      </c>
      <c r="U51" s="265" t="s">
        <v>8844</v>
      </c>
      <c r="V51" s="1135">
        <v>46776.0</v>
      </c>
      <c r="W51" s="1132">
        <v>42398.0</v>
      </c>
      <c r="X51" s="320" t="s">
        <v>8845</v>
      </c>
      <c r="Y51" s="1140"/>
      <c r="Z51" s="1140"/>
      <c r="AA51" s="1140"/>
      <c r="AB51" s="1141"/>
    </row>
    <row r="52" ht="15.75" customHeight="1">
      <c r="A52" s="764">
        <v>42387.0</v>
      </c>
      <c r="B52" s="599" t="s">
        <v>6587</v>
      </c>
      <c r="C52" s="765">
        <v>1.6000006E7</v>
      </c>
      <c r="D52" s="330" t="s">
        <v>8846</v>
      </c>
      <c r="E52" s="604" t="s">
        <v>8847</v>
      </c>
      <c r="F52" s="581">
        <v>1.0</v>
      </c>
      <c r="G52" s="267">
        <v>55.0</v>
      </c>
      <c r="H52" s="466">
        <f t="shared" si="7"/>
        <v>55</v>
      </c>
      <c r="I52" s="256" t="s">
        <v>8675</v>
      </c>
      <c r="J52" s="333" t="s">
        <v>8708</v>
      </c>
      <c r="K52" s="832">
        <v>42397.0</v>
      </c>
      <c r="L52" s="832"/>
      <c r="M52" s="333" t="s">
        <v>2032</v>
      </c>
      <c r="N52" s="265"/>
      <c r="O52" s="1156"/>
      <c r="P52" s="773">
        <v>3665.0</v>
      </c>
      <c r="Q52" s="388" t="s">
        <v>2033</v>
      </c>
      <c r="R52" s="388"/>
      <c r="S52" s="1139">
        <v>42433.0</v>
      </c>
      <c r="T52" s="1132">
        <v>42405.0</v>
      </c>
      <c r="U52" s="265" t="s">
        <v>8848</v>
      </c>
      <c r="V52" s="1135">
        <v>28344.0</v>
      </c>
      <c r="W52" s="832">
        <v>42436.0</v>
      </c>
      <c r="X52" s="1141"/>
      <c r="Y52" s="1140"/>
      <c r="Z52" s="1140"/>
      <c r="AA52" s="1140"/>
      <c r="AB52" s="1141" t="s">
        <v>284</v>
      </c>
    </row>
    <row r="53" ht="15.75" customHeight="1">
      <c r="A53" s="776">
        <v>42387.0</v>
      </c>
      <c r="B53" s="340" t="s">
        <v>8749</v>
      </c>
      <c r="C53" s="765" t="s">
        <v>8849</v>
      </c>
      <c r="D53" s="330" t="s">
        <v>8850</v>
      </c>
      <c r="E53" s="604" t="s">
        <v>8752</v>
      </c>
      <c r="F53" s="581">
        <v>5.0</v>
      </c>
      <c r="G53" s="267">
        <v>101.85</v>
      </c>
      <c r="H53" s="466">
        <f t="shared" si="7"/>
        <v>509.25</v>
      </c>
      <c r="I53" s="256" t="s">
        <v>171</v>
      </c>
      <c r="J53" s="269" t="s">
        <v>90</v>
      </c>
      <c r="K53" s="832">
        <v>42394.0</v>
      </c>
      <c r="L53" s="832"/>
      <c r="M53" s="333" t="s">
        <v>90</v>
      </c>
      <c r="N53" s="265" t="s">
        <v>8851</v>
      </c>
      <c r="O53" s="773">
        <v>446.25</v>
      </c>
      <c r="P53" s="388"/>
      <c r="Q53" s="320" t="s">
        <v>6081</v>
      </c>
      <c r="R53" s="388"/>
      <c r="S53" s="1139"/>
      <c r="T53" s="1132">
        <v>42389.0</v>
      </c>
      <c r="U53" s="265" t="s">
        <v>8852</v>
      </c>
      <c r="V53" s="1135">
        <v>14726.0</v>
      </c>
      <c r="W53" s="1132">
        <v>42398.0</v>
      </c>
      <c r="X53" s="320" t="s">
        <v>8853</v>
      </c>
      <c r="Y53" s="388" t="s">
        <v>8832</v>
      </c>
      <c r="Z53" s="388">
        <v>17111.0</v>
      </c>
      <c r="AA53" s="388" t="s">
        <v>8833</v>
      </c>
      <c r="AB53" s="1141"/>
    </row>
    <row r="54" ht="15.75" customHeight="1">
      <c r="A54" s="776">
        <v>42387.0</v>
      </c>
      <c r="B54" s="599" t="s">
        <v>6548</v>
      </c>
      <c r="C54" s="765"/>
      <c r="D54" s="330" t="s">
        <v>8764</v>
      </c>
      <c r="E54" s="578" t="s">
        <v>8854</v>
      </c>
      <c r="F54" s="310">
        <v>1.0</v>
      </c>
      <c r="G54" s="268">
        <v>2900.0</v>
      </c>
      <c r="H54" s="466">
        <f t="shared" si="7"/>
        <v>2900</v>
      </c>
      <c r="I54" s="256" t="s">
        <v>171</v>
      </c>
      <c r="J54" s="333" t="s">
        <v>8766</v>
      </c>
      <c r="K54" s="832">
        <v>42544.0</v>
      </c>
      <c r="L54" s="832">
        <v>42485.0</v>
      </c>
      <c r="M54" s="333" t="s">
        <v>6552</v>
      </c>
      <c r="N54" s="265" t="s">
        <v>8855</v>
      </c>
      <c r="O54" s="773"/>
      <c r="P54" s="320">
        <f>(76000+3800)*1.05</f>
        <v>83790</v>
      </c>
      <c r="Q54" s="599" t="s">
        <v>6553</v>
      </c>
      <c r="R54" s="388" t="s">
        <v>8770</v>
      </c>
      <c r="S54" s="1145">
        <v>42526.0</v>
      </c>
      <c r="T54" s="1132">
        <v>42507.0</v>
      </c>
      <c r="U54" s="265" t="s">
        <v>8856</v>
      </c>
      <c r="V54" s="1135">
        <v>83790.0</v>
      </c>
      <c r="W54" s="1132">
        <v>42523.0</v>
      </c>
      <c r="X54" s="320" t="s">
        <v>8772</v>
      </c>
      <c r="Y54" s="1140"/>
      <c r="Z54" s="1140"/>
      <c r="AA54" s="1140"/>
      <c r="AB54" s="1141" t="s">
        <v>8773</v>
      </c>
    </row>
    <row r="55" ht="15.75" customHeight="1">
      <c r="A55" s="764">
        <v>42387.0</v>
      </c>
      <c r="B55" s="599" t="s">
        <v>6548</v>
      </c>
      <c r="C55" s="765"/>
      <c r="D55" s="330" t="s">
        <v>8764</v>
      </c>
      <c r="E55" s="578" t="s">
        <v>8857</v>
      </c>
      <c r="F55" s="310">
        <v>2.0</v>
      </c>
      <c r="G55" s="268">
        <v>700.0</v>
      </c>
      <c r="H55" s="466">
        <f t="shared" si="7"/>
        <v>1400</v>
      </c>
      <c r="I55" s="256" t="s">
        <v>171</v>
      </c>
      <c r="J55" s="333" t="s">
        <v>8766</v>
      </c>
      <c r="K55" s="832">
        <v>42544.0</v>
      </c>
      <c r="L55" s="832"/>
      <c r="M55" s="333"/>
      <c r="N55" s="265"/>
      <c r="O55" s="773"/>
      <c r="P55" s="388"/>
      <c r="Q55" s="320"/>
      <c r="R55" s="388" t="s">
        <v>8770</v>
      </c>
      <c r="S55" s="1139"/>
      <c r="T55" s="1132"/>
      <c r="U55" s="265"/>
      <c r="V55" s="1135"/>
      <c r="W55" s="1132"/>
      <c r="X55" s="320" t="s">
        <v>8772</v>
      </c>
      <c r="Y55" s="1140"/>
      <c r="Z55" s="1140"/>
      <c r="AA55" s="1140"/>
      <c r="AB55" s="1141" t="s">
        <v>8773</v>
      </c>
    </row>
    <row r="56" ht="15.75" customHeight="1">
      <c r="A56" s="764">
        <v>42387.0</v>
      </c>
      <c r="B56" s="599" t="s">
        <v>6548</v>
      </c>
      <c r="C56" s="765"/>
      <c r="D56" s="330" t="s">
        <v>8764</v>
      </c>
      <c r="E56" s="578" t="s">
        <v>8858</v>
      </c>
      <c r="F56" s="310">
        <v>3.0</v>
      </c>
      <c r="G56" s="268">
        <v>555.0</v>
      </c>
      <c r="H56" s="466">
        <f t="shared" si="7"/>
        <v>1665</v>
      </c>
      <c r="I56" s="256" t="s">
        <v>171</v>
      </c>
      <c r="J56" s="333" t="s">
        <v>8766</v>
      </c>
      <c r="K56" s="832">
        <v>42544.0</v>
      </c>
      <c r="L56" s="832">
        <v>42433.0</v>
      </c>
      <c r="M56" s="333" t="s">
        <v>8859</v>
      </c>
      <c r="N56" s="265" t="s">
        <v>8860</v>
      </c>
      <c r="O56" s="773"/>
      <c r="P56" s="320">
        <f>48000*1.05</f>
        <v>50400</v>
      </c>
      <c r="Q56" s="310" t="s">
        <v>8861</v>
      </c>
      <c r="R56" s="388" t="s">
        <v>8770</v>
      </c>
      <c r="S56" s="1139">
        <v>42394.0</v>
      </c>
      <c r="T56" s="1132">
        <v>42433.0</v>
      </c>
      <c r="U56" s="265" t="s">
        <v>8862</v>
      </c>
      <c r="V56" s="1135">
        <v>72450.0</v>
      </c>
      <c r="W56" s="1132">
        <v>42394.0</v>
      </c>
      <c r="X56" s="320" t="s">
        <v>8772</v>
      </c>
      <c r="Y56" s="1140"/>
      <c r="Z56" s="1140"/>
      <c r="AA56" s="1140"/>
      <c r="AB56" s="1141" t="s">
        <v>8773</v>
      </c>
    </row>
    <row r="57" ht="15.75" customHeight="1">
      <c r="A57" s="776">
        <v>42387.0</v>
      </c>
      <c r="B57" s="599" t="s">
        <v>6548</v>
      </c>
      <c r="C57" s="765"/>
      <c r="D57" s="330" t="s">
        <v>8764</v>
      </c>
      <c r="E57" s="578" t="s">
        <v>8863</v>
      </c>
      <c r="F57" s="310">
        <v>3.0</v>
      </c>
      <c r="G57" s="268">
        <v>244.0</v>
      </c>
      <c r="H57" s="466">
        <f t="shared" si="7"/>
        <v>732</v>
      </c>
      <c r="I57" s="256" t="s">
        <v>171</v>
      </c>
      <c r="J57" s="333" t="s">
        <v>8766</v>
      </c>
      <c r="K57" s="832">
        <v>42544.0</v>
      </c>
      <c r="L57" s="832">
        <v>42433.0</v>
      </c>
      <c r="M57" s="333" t="s">
        <v>8859</v>
      </c>
      <c r="N57" s="265" t="s">
        <v>8860</v>
      </c>
      <c r="O57" s="773"/>
      <c r="P57" s="320">
        <f>21000*1.05</f>
        <v>22050</v>
      </c>
      <c r="Q57" s="310" t="s">
        <v>8861</v>
      </c>
      <c r="R57" s="388" t="s">
        <v>8770</v>
      </c>
      <c r="S57" s="1139">
        <v>42394.0</v>
      </c>
      <c r="T57" s="1132">
        <v>42433.0</v>
      </c>
      <c r="U57" s="265" t="s">
        <v>8862</v>
      </c>
      <c r="V57" s="1135" t="s">
        <v>8864</v>
      </c>
      <c r="W57" s="1132">
        <v>42394.0</v>
      </c>
      <c r="X57" s="320" t="s">
        <v>8772</v>
      </c>
      <c r="Y57" s="1140"/>
      <c r="Z57" s="1140"/>
      <c r="AA57" s="1140"/>
      <c r="AB57" s="1141" t="s">
        <v>8773</v>
      </c>
    </row>
    <row r="58" ht="15.75" customHeight="1">
      <c r="A58" s="764">
        <v>42387.0</v>
      </c>
      <c r="B58" s="599" t="s">
        <v>6548</v>
      </c>
      <c r="C58" s="765"/>
      <c r="D58" s="330" t="s">
        <v>8764</v>
      </c>
      <c r="E58" s="578" t="s">
        <v>8865</v>
      </c>
      <c r="F58" s="310">
        <v>1.0</v>
      </c>
      <c r="G58" s="268">
        <v>1000.0</v>
      </c>
      <c r="H58" s="466">
        <f t="shared" si="7"/>
        <v>1000</v>
      </c>
      <c r="I58" s="256" t="s">
        <v>171</v>
      </c>
      <c r="J58" s="333" t="s">
        <v>8766</v>
      </c>
      <c r="K58" s="832">
        <v>42544.0</v>
      </c>
      <c r="L58" s="832">
        <v>42515.0</v>
      </c>
      <c r="M58" s="333" t="s">
        <v>6552</v>
      </c>
      <c r="N58" s="265" t="s">
        <v>8866</v>
      </c>
      <c r="O58" s="773"/>
      <c r="P58" s="320">
        <f>22000*1.05</f>
        <v>23100</v>
      </c>
      <c r="Q58" s="599" t="s">
        <v>6553</v>
      </c>
      <c r="R58" s="388" t="s">
        <v>8770</v>
      </c>
      <c r="S58" s="1145">
        <v>42526.0</v>
      </c>
      <c r="T58" s="1132">
        <v>42507.0</v>
      </c>
      <c r="U58" s="265" t="s">
        <v>8867</v>
      </c>
      <c r="V58" s="1135">
        <v>23100.0</v>
      </c>
      <c r="W58" s="1132">
        <v>42523.0</v>
      </c>
      <c r="X58" s="320" t="s">
        <v>8772</v>
      </c>
      <c r="Y58" s="1140"/>
      <c r="Z58" s="1140"/>
      <c r="AA58" s="1140"/>
      <c r="AB58" s="1141" t="s">
        <v>8773</v>
      </c>
    </row>
    <row r="59" ht="15.75" customHeight="1">
      <c r="A59" s="764">
        <v>42328.0</v>
      </c>
      <c r="B59" s="599" t="s">
        <v>1000</v>
      </c>
      <c r="C59" s="765" t="s">
        <v>8681</v>
      </c>
      <c r="D59" s="330" t="s">
        <v>8682</v>
      </c>
      <c r="E59" s="604" t="s">
        <v>8868</v>
      </c>
      <c r="F59" s="330">
        <v>10.0</v>
      </c>
      <c r="G59" s="330">
        <v>3546.0</v>
      </c>
      <c r="H59" s="1147">
        <f>F59*G59</f>
        <v>35460</v>
      </c>
      <c r="I59" s="256" t="s">
        <v>171</v>
      </c>
      <c r="J59" s="333" t="s">
        <v>8684</v>
      </c>
      <c r="K59" s="832">
        <v>42377.0</v>
      </c>
      <c r="L59" s="832">
        <v>42376.0</v>
      </c>
      <c r="M59" s="269" t="s">
        <v>2034</v>
      </c>
      <c r="N59" s="388" t="s">
        <v>8869</v>
      </c>
      <c r="O59" s="388"/>
      <c r="P59" s="320">
        <v>1018500.0</v>
      </c>
      <c r="Q59" s="388" t="s">
        <v>6086</v>
      </c>
      <c r="R59" s="388"/>
      <c r="S59" s="1143">
        <v>42374.0</v>
      </c>
      <c r="T59" s="1139">
        <v>42376.0</v>
      </c>
      <c r="U59" s="388" t="s">
        <v>8870</v>
      </c>
      <c r="V59" s="845">
        <v>1018500.0</v>
      </c>
      <c r="W59" s="1139">
        <v>42374.0</v>
      </c>
      <c r="X59" s="388" t="s">
        <v>8687</v>
      </c>
      <c r="Y59" s="1140"/>
      <c r="Z59" s="1140"/>
      <c r="AA59" s="1140"/>
      <c r="AB59" s="388" t="s">
        <v>284</v>
      </c>
    </row>
    <row r="60" ht="15.75" customHeight="1">
      <c r="A60" s="764">
        <v>42387.0</v>
      </c>
      <c r="B60" s="599" t="s">
        <v>6548</v>
      </c>
      <c r="C60" s="765"/>
      <c r="D60" s="330" t="s">
        <v>8764</v>
      </c>
      <c r="E60" s="578" t="s">
        <v>8871</v>
      </c>
      <c r="F60" s="310">
        <v>1.0</v>
      </c>
      <c r="G60" s="1086">
        <v>2000.0</v>
      </c>
      <c r="H60" s="466">
        <f t="shared" ref="H60:H141" si="8">G60*F60</f>
        <v>2000</v>
      </c>
      <c r="I60" s="256" t="s">
        <v>171</v>
      </c>
      <c r="J60" s="333" t="s">
        <v>8766</v>
      </c>
      <c r="K60" s="832">
        <v>42544.0</v>
      </c>
      <c r="L60" s="832"/>
      <c r="M60" s="333"/>
      <c r="N60" s="265"/>
      <c r="O60" s="773"/>
      <c r="P60" s="388"/>
      <c r="Q60" s="320"/>
      <c r="R60" s="388" t="s">
        <v>8770</v>
      </c>
      <c r="S60" s="1139"/>
      <c r="T60" s="1150"/>
      <c r="U60" s="1136"/>
      <c r="V60" s="1151"/>
      <c r="W60" s="1150"/>
      <c r="X60" s="320" t="s">
        <v>8772</v>
      </c>
      <c r="Y60" s="1140"/>
      <c r="Z60" s="1140"/>
      <c r="AA60" s="1140"/>
      <c r="AB60" s="1141" t="s">
        <v>8773</v>
      </c>
    </row>
    <row r="61" ht="15.75" customHeight="1">
      <c r="A61" s="258">
        <v>42387.0</v>
      </c>
      <c r="B61" s="604" t="s">
        <v>6548</v>
      </c>
      <c r="C61" s="765"/>
      <c r="D61" s="330" t="s">
        <v>8764</v>
      </c>
      <c r="E61" s="578" t="s">
        <v>8872</v>
      </c>
      <c r="F61" s="310">
        <v>1.0</v>
      </c>
      <c r="G61" s="267">
        <v>390.0</v>
      </c>
      <c r="H61" s="466">
        <f t="shared" si="8"/>
        <v>390</v>
      </c>
      <c r="I61" s="256" t="s">
        <v>171</v>
      </c>
      <c r="J61" s="333" t="s">
        <v>8766</v>
      </c>
      <c r="K61" s="832">
        <v>42544.0</v>
      </c>
      <c r="L61" s="832"/>
      <c r="M61" s="333"/>
      <c r="N61" s="265"/>
      <c r="O61" s="773"/>
      <c r="P61" s="388"/>
      <c r="Q61" s="320"/>
      <c r="R61" s="388" t="s">
        <v>8770</v>
      </c>
      <c r="S61" s="1139"/>
      <c r="T61" s="1150"/>
      <c r="U61" s="1136"/>
      <c r="V61" s="1151"/>
      <c r="W61" s="1150"/>
      <c r="X61" s="320" t="s">
        <v>8772</v>
      </c>
      <c r="Y61" s="1140"/>
      <c r="Z61" s="1140"/>
      <c r="AA61" s="1140"/>
      <c r="AB61" s="1141" t="s">
        <v>8773</v>
      </c>
    </row>
    <row r="62" ht="15.75" customHeight="1">
      <c r="A62" s="266" t="s">
        <v>8873</v>
      </c>
      <c r="B62" s="604" t="s">
        <v>229</v>
      </c>
      <c r="C62" s="765"/>
      <c r="D62" s="310" t="s">
        <v>8874</v>
      </c>
      <c r="E62" s="604" t="s">
        <v>462</v>
      </c>
      <c r="F62" s="331">
        <v>10.0</v>
      </c>
      <c r="G62" s="581">
        <v>449.4</v>
      </c>
      <c r="H62" s="466">
        <f t="shared" si="8"/>
        <v>4494</v>
      </c>
      <c r="I62" s="256" t="s">
        <v>171</v>
      </c>
      <c r="J62" s="269" t="s">
        <v>90</v>
      </c>
      <c r="K62" s="832">
        <v>42401.0</v>
      </c>
      <c r="L62" s="832"/>
      <c r="M62" s="333" t="s">
        <v>90</v>
      </c>
      <c r="N62" s="265" t="s">
        <v>8875</v>
      </c>
      <c r="O62" s="773">
        <v>4063.5</v>
      </c>
      <c r="P62" s="388"/>
      <c r="Q62" s="320" t="s">
        <v>6081</v>
      </c>
      <c r="R62" s="388"/>
      <c r="S62" s="1139"/>
      <c r="T62" s="1132">
        <v>42401.0</v>
      </c>
      <c r="U62" s="265" t="s">
        <v>8876</v>
      </c>
      <c r="V62" s="1135">
        <v>129347.0</v>
      </c>
      <c r="W62" s="1132">
        <v>42453.0</v>
      </c>
      <c r="X62" s="320" t="s">
        <v>8877</v>
      </c>
      <c r="Y62" s="388" t="s">
        <v>8878</v>
      </c>
      <c r="Z62" s="1146">
        <v>150549.0</v>
      </c>
      <c r="AA62" s="388" t="s">
        <v>8879</v>
      </c>
      <c r="AB62" s="320"/>
    </row>
    <row r="63" ht="15.75" customHeight="1">
      <c r="A63" s="258">
        <v>42391.0</v>
      </c>
      <c r="B63" s="340" t="s">
        <v>8749</v>
      </c>
      <c r="C63" s="765" t="s">
        <v>8880</v>
      </c>
      <c r="D63" s="310" t="s">
        <v>8881</v>
      </c>
      <c r="E63" s="330" t="s">
        <v>8752</v>
      </c>
      <c r="F63" s="581">
        <v>2.0</v>
      </c>
      <c r="G63" s="466">
        <v>101.85</v>
      </c>
      <c r="H63" s="466">
        <f t="shared" si="8"/>
        <v>203.7</v>
      </c>
      <c r="I63" s="256" t="s">
        <v>171</v>
      </c>
      <c r="J63" s="269" t="s">
        <v>90</v>
      </c>
      <c r="K63" s="832">
        <v>42404.0</v>
      </c>
      <c r="L63" s="832"/>
      <c r="M63" s="333" t="s">
        <v>90</v>
      </c>
      <c r="N63" s="265" t="s">
        <v>8882</v>
      </c>
      <c r="O63" s="773">
        <v>178.5</v>
      </c>
      <c r="P63" s="388"/>
      <c r="Q63" s="320" t="s">
        <v>6081</v>
      </c>
      <c r="R63" s="388"/>
      <c r="S63" s="1139"/>
      <c r="T63" s="1132">
        <v>42403.0</v>
      </c>
      <c r="U63" s="265" t="s">
        <v>8883</v>
      </c>
      <c r="V63" s="1135">
        <v>7030.0</v>
      </c>
      <c r="W63" s="1132">
        <v>42453.0</v>
      </c>
      <c r="X63" s="320" t="s">
        <v>8884</v>
      </c>
      <c r="Y63" s="599" t="s">
        <v>8885</v>
      </c>
      <c r="Z63" s="1146">
        <v>8035.0</v>
      </c>
      <c r="AA63" s="1137" t="s">
        <v>8886</v>
      </c>
      <c r="AB63" s="1141"/>
    </row>
    <row r="64" ht="15.75" customHeight="1">
      <c r="A64" s="258">
        <v>42391.0</v>
      </c>
      <c r="B64" s="340" t="s">
        <v>8749</v>
      </c>
      <c r="C64" s="765" t="s">
        <v>8880</v>
      </c>
      <c r="D64" s="310" t="s">
        <v>8881</v>
      </c>
      <c r="E64" s="330" t="s">
        <v>8887</v>
      </c>
      <c r="F64" s="581">
        <v>1.0</v>
      </c>
      <c r="G64" s="466">
        <v>35.7</v>
      </c>
      <c r="H64" s="466">
        <f t="shared" si="8"/>
        <v>35.7</v>
      </c>
      <c r="I64" s="256" t="s">
        <v>171</v>
      </c>
      <c r="J64" s="269" t="s">
        <v>90</v>
      </c>
      <c r="K64" s="832">
        <v>42404.0</v>
      </c>
      <c r="L64" s="832"/>
      <c r="M64" s="333" t="s">
        <v>90</v>
      </c>
      <c r="N64" s="265" t="s">
        <v>8882</v>
      </c>
      <c r="O64" s="773">
        <v>31.5</v>
      </c>
      <c r="P64" s="388"/>
      <c r="Q64" s="320" t="s">
        <v>6081</v>
      </c>
      <c r="R64" s="388"/>
      <c r="S64" s="1139"/>
      <c r="T64" s="1132">
        <v>42403.0</v>
      </c>
      <c r="U64" s="265" t="s">
        <v>8883</v>
      </c>
      <c r="V64" s="1135" t="s">
        <v>8836</v>
      </c>
      <c r="W64" s="1132">
        <v>42453.0</v>
      </c>
      <c r="X64" s="320" t="s">
        <v>8884</v>
      </c>
      <c r="Y64" s="599" t="s">
        <v>8885</v>
      </c>
      <c r="Z64" s="1159" t="s">
        <v>8888</v>
      </c>
      <c r="AA64" s="1137" t="s">
        <v>8886</v>
      </c>
      <c r="AB64" s="1141"/>
    </row>
    <row r="65" ht="15.75" customHeight="1">
      <c r="A65" s="764">
        <v>42391.0</v>
      </c>
      <c r="B65" s="340" t="s">
        <v>3506</v>
      </c>
      <c r="C65" s="765"/>
      <c r="D65" s="631" t="s">
        <v>8889</v>
      </c>
      <c r="E65" s="330" t="s">
        <v>8890</v>
      </c>
      <c r="F65" s="581">
        <v>1.0</v>
      </c>
      <c r="G65" s="466">
        <v>0.0</v>
      </c>
      <c r="H65" s="466">
        <f t="shared" si="8"/>
        <v>0</v>
      </c>
      <c r="I65" s="256" t="s">
        <v>171</v>
      </c>
      <c r="J65" s="333" t="s">
        <v>8891</v>
      </c>
      <c r="K65" s="832">
        <v>42422.0</v>
      </c>
      <c r="L65" s="832"/>
      <c r="M65" s="333"/>
      <c r="N65" s="265"/>
      <c r="O65" s="773"/>
      <c r="P65" s="388"/>
      <c r="Q65" s="320"/>
      <c r="R65" s="388"/>
      <c r="S65" s="1139"/>
      <c r="T65" s="1150"/>
      <c r="U65" s="1136"/>
      <c r="V65" s="1151"/>
      <c r="W65" s="1150"/>
      <c r="X65" s="1141"/>
      <c r="Y65" s="1140"/>
      <c r="Z65" s="1154"/>
      <c r="AA65" s="1140"/>
      <c r="AB65" s="1141"/>
    </row>
    <row r="66" ht="15.75" customHeight="1">
      <c r="A66" s="764">
        <v>42391.0</v>
      </c>
      <c r="B66" s="578" t="s">
        <v>3506</v>
      </c>
      <c r="C66" s="765"/>
      <c r="D66" s="631" t="s">
        <v>8889</v>
      </c>
      <c r="E66" s="330" t="s">
        <v>8892</v>
      </c>
      <c r="F66" s="581">
        <v>1.0</v>
      </c>
      <c r="G66" s="267">
        <v>0.0</v>
      </c>
      <c r="H66" s="466">
        <f t="shared" si="8"/>
        <v>0</v>
      </c>
      <c r="I66" s="256" t="s">
        <v>171</v>
      </c>
      <c r="J66" s="333" t="s">
        <v>8891</v>
      </c>
      <c r="K66" s="832">
        <v>42422.0</v>
      </c>
      <c r="L66" s="832"/>
      <c r="M66" s="333"/>
      <c r="N66" s="265"/>
      <c r="O66" s="773"/>
      <c r="P66" s="388"/>
      <c r="Q66" s="320"/>
      <c r="R66" s="388"/>
      <c r="S66" s="1139"/>
      <c r="T66" s="1150"/>
      <c r="U66" s="1136"/>
      <c r="V66" s="1151"/>
      <c r="W66" s="1150"/>
      <c r="X66" s="1141"/>
      <c r="Y66" s="1140"/>
      <c r="Z66" s="1154"/>
      <c r="AA66" s="1140"/>
      <c r="AB66" s="1141"/>
    </row>
    <row r="67" ht="15.75" customHeight="1">
      <c r="A67" s="776">
        <v>42394.0</v>
      </c>
      <c r="B67" s="599" t="s">
        <v>101</v>
      </c>
      <c r="C67" s="765" t="s">
        <v>8893</v>
      </c>
      <c r="D67" s="310" t="s">
        <v>8894</v>
      </c>
      <c r="E67" s="578" t="s">
        <v>8895</v>
      </c>
      <c r="F67" s="581">
        <v>12.0</v>
      </c>
      <c r="G67" s="466">
        <v>387.0</v>
      </c>
      <c r="H67" s="466">
        <f t="shared" si="8"/>
        <v>4644</v>
      </c>
      <c r="I67" s="256" t="s">
        <v>171</v>
      </c>
      <c r="J67" s="333" t="s">
        <v>8708</v>
      </c>
      <c r="K67" s="832">
        <v>42398.0</v>
      </c>
      <c r="L67" s="832">
        <v>42398.0</v>
      </c>
      <c r="M67" s="333" t="s">
        <v>2336</v>
      </c>
      <c r="N67" s="265" t="s">
        <v>8896</v>
      </c>
      <c r="O67" s="773"/>
      <c r="P67" s="320">
        <v>138600.0</v>
      </c>
      <c r="Q67" s="320" t="s">
        <v>2338</v>
      </c>
      <c r="R67" s="388"/>
      <c r="S67" s="1139">
        <v>42395.0</v>
      </c>
      <c r="T67" s="1132">
        <v>42398.0</v>
      </c>
      <c r="U67" s="265" t="s">
        <v>8897</v>
      </c>
      <c r="V67" s="1135">
        <v>138600.0</v>
      </c>
      <c r="W67" s="1132">
        <v>42395.0</v>
      </c>
      <c r="X67" s="388" t="s">
        <v>8716</v>
      </c>
      <c r="Y67" s="1140"/>
      <c r="Z67" s="1140"/>
      <c r="AA67" s="1140"/>
      <c r="AB67" s="1141" t="s">
        <v>8661</v>
      </c>
    </row>
    <row r="68" ht="15.75" customHeight="1">
      <c r="A68" s="776">
        <v>42396.0</v>
      </c>
      <c r="B68" s="340" t="s">
        <v>8749</v>
      </c>
      <c r="C68" s="765" t="s">
        <v>8898</v>
      </c>
      <c r="D68" s="310" t="s">
        <v>8899</v>
      </c>
      <c r="E68" s="330" t="s">
        <v>8752</v>
      </c>
      <c r="F68" s="581">
        <v>1.0</v>
      </c>
      <c r="G68" s="466">
        <v>101.85</v>
      </c>
      <c r="H68" s="466">
        <f t="shared" si="8"/>
        <v>101.85</v>
      </c>
      <c r="I68" s="256" t="s">
        <v>171</v>
      </c>
      <c r="J68" s="269" t="s">
        <v>90</v>
      </c>
      <c r="K68" s="832">
        <v>42404.0</v>
      </c>
      <c r="L68" s="832"/>
      <c r="M68" s="333" t="s">
        <v>90</v>
      </c>
      <c r="N68" s="265" t="s">
        <v>8900</v>
      </c>
      <c r="O68" s="773">
        <v>89.25</v>
      </c>
      <c r="P68" s="388"/>
      <c r="Q68" s="320" t="s">
        <v>6081</v>
      </c>
      <c r="R68" s="388"/>
      <c r="S68" s="1139"/>
      <c r="T68" s="1132">
        <v>42403.0</v>
      </c>
      <c r="U68" s="265" t="s">
        <v>8901</v>
      </c>
      <c r="V68" s="1135">
        <v>2988.0</v>
      </c>
      <c r="W68" s="1132">
        <v>42453.0</v>
      </c>
      <c r="X68" s="320" t="s">
        <v>8902</v>
      </c>
      <c r="Y68" s="599" t="s">
        <v>8885</v>
      </c>
      <c r="Z68" s="1146">
        <v>20509.0</v>
      </c>
      <c r="AA68" s="1137" t="s">
        <v>8886</v>
      </c>
      <c r="AB68" s="1141"/>
    </row>
    <row r="69" ht="15.75" customHeight="1">
      <c r="A69" s="776">
        <v>42396.0</v>
      </c>
      <c r="B69" s="599" t="s">
        <v>101</v>
      </c>
      <c r="C69" s="765"/>
      <c r="D69" s="310" t="s">
        <v>8903</v>
      </c>
      <c r="E69" s="604" t="s">
        <v>8904</v>
      </c>
      <c r="F69" s="581">
        <v>1.0</v>
      </c>
      <c r="G69" s="466">
        <v>823.0</v>
      </c>
      <c r="H69" s="466">
        <f t="shared" si="8"/>
        <v>823</v>
      </c>
      <c r="I69" s="256" t="s">
        <v>171</v>
      </c>
      <c r="J69" s="333" t="s">
        <v>8708</v>
      </c>
      <c r="K69" s="832">
        <v>42398.0</v>
      </c>
      <c r="L69" s="832"/>
      <c r="M69" s="333" t="s">
        <v>2032</v>
      </c>
      <c r="N69" s="265"/>
      <c r="O69" s="773"/>
      <c r="P69" s="320">
        <v>24679.0</v>
      </c>
      <c r="Q69" s="388" t="s">
        <v>2033</v>
      </c>
      <c r="R69" s="388"/>
      <c r="S69" s="1139">
        <v>42433.0</v>
      </c>
      <c r="T69" s="1132">
        <v>42405.0</v>
      </c>
      <c r="U69" s="265" t="s">
        <v>8848</v>
      </c>
      <c r="V69" s="1135" t="s">
        <v>8905</v>
      </c>
      <c r="W69" s="1132">
        <v>42436.0</v>
      </c>
      <c r="X69" s="388" t="s">
        <v>8716</v>
      </c>
      <c r="Y69" s="1140"/>
      <c r="Z69" s="1140"/>
      <c r="AA69" s="1140"/>
      <c r="AB69" s="1141" t="s">
        <v>8661</v>
      </c>
    </row>
    <row r="70" ht="15.75" customHeight="1">
      <c r="A70" s="776">
        <v>42397.0</v>
      </c>
      <c r="B70" s="340" t="s">
        <v>77</v>
      </c>
      <c r="C70" s="765">
        <v>65.0</v>
      </c>
      <c r="D70" s="310" t="s">
        <v>8906</v>
      </c>
      <c r="E70" s="602" t="s">
        <v>362</v>
      </c>
      <c r="F70" s="581">
        <v>44.0</v>
      </c>
      <c r="G70" s="466">
        <v>20.0</v>
      </c>
      <c r="H70" s="466">
        <f t="shared" si="8"/>
        <v>880</v>
      </c>
      <c r="I70" s="256" t="s">
        <v>171</v>
      </c>
      <c r="J70" s="269" t="s">
        <v>316</v>
      </c>
      <c r="K70" s="832">
        <v>42426.0</v>
      </c>
      <c r="L70" s="832">
        <v>42418.0</v>
      </c>
      <c r="M70" s="333" t="s">
        <v>6287</v>
      </c>
      <c r="N70" s="265" t="s">
        <v>8907</v>
      </c>
      <c r="O70" s="773"/>
      <c r="P70" s="1138">
        <v>26753.0</v>
      </c>
      <c r="Q70" s="320" t="s">
        <v>8908</v>
      </c>
      <c r="R70" s="388"/>
      <c r="S70" s="1139">
        <v>42436.0</v>
      </c>
      <c r="T70" s="1132">
        <v>42418.0</v>
      </c>
      <c r="U70" s="265" t="s">
        <v>8909</v>
      </c>
      <c r="V70" s="1135">
        <v>26753.0</v>
      </c>
      <c r="W70" s="1132">
        <v>42436.0</v>
      </c>
      <c r="X70" s="320" t="s">
        <v>8910</v>
      </c>
      <c r="Y70" s="1140"/>
      <c r="Z70" s="1140"/>
      <c r="AA70" s="1140"/>
      <c r="AB70" s="320" t="s">
        <v>8661</v>
      </c>
    </row>
    <row r="71" ht="15.75" customHeight="1">
      <c r="A71" s="776">
        <v>42397.0</v>
      </c>
      <c r="B71" s="340" t="s">
        <v>77</v>
      </c>
      <c r="C71" s="765">
        <v>65.0</v>
      </c>
      <c r="D71" s="310" t="s">
        <v>8911</v>
      </c>
      <c r="E71" s="602" t="s">
        <v>362</v>
      </c>
      <c r="F71" s="581">
        <v>56.0</v>
      </c>
      <c r="G71" s="267">
        <v>20.0</v>
      </c>
      <c r="H71" s="466">
        <f t="shared" si="8"/>
        <v>1120</v>
      </c>
      <c r="I71" s="256" t="s">
        <v>171</v>
      </c>
      <c r="J71" s="269" t="s">
        <v>316</v>
      </c>
      <c r="K71" s="832">
        <v>42437.0</v>
      </c>
      <c r="L71" s="832">
        <v>42433.0</v>
      </c>
      <c r="M71" s="333" t="s">
        <v>6287</v>
      </c>
      <c r="N71" s="265" t="s">
        <v>8907</v>
      </c>
      <c r="O71" s="773"/>
      <c r="P71" s="1138">
        <f>17.4*56*1.05*33.2</f>
        <v>33967.584</v>
      </c>
      <c r="Q71" s="320" t="s">
        <v>8908</v>
      </c>
      <c r="R71" s="388"/>
      <c r="S71" s="1139">
        <v>42447.0</v>
      </c>
      <c r="T71" s="1132">
        <v>42432.0</v>
      </c>
      <c r="U71" s="265" t="s">
        <v>8912</v>
      </c>
      <c r="V71" s="1135">
        <v>33968.0</v>
      </c>
      <c r="W71" s="1132">
        <v>42447.0</v>
      </c>
      <c r="X71" s="320" t="s">
        <v>8811</v>
      </c>
      <c r="Y71" s="1140"/>
      <c r="Z71" s="1140"/>
      <c r="AA71" s="1140"/>
      <c r="AB71" s="320" t="s">
        <v>8661</v>
      </c>
    </row>
    <row r="72" ht="15.75" customHeight="1">
      <c r="A72" s="776">
        <v>42397.0</v>
      </c>
      <c r="B72" s="340" t="s">
        <v>77</v>
      </c>
      <c r="C72" s="765">
        <v>65.0</v>
      </c>
      <c r="D72" s="310" t="s">
        <v>8913</v>
      </c>
      <c r="E72" s="578" t="s">
        <v>8914</v>
      </c>
      <c r="F72" s="581">
        <v>4.0</v>
      </c>
      <c r="G72" s="466">
        <v>6.7</v>
      </c>
      <c r="H72" s="466">
        <f t="shared" si="8"/>
        <v>26.8</v>
      </c>
      <c r="I72" s="256" t="s">
        <v>171</v>
      </c>
      <c r="J72" s="269" t="s">
        <v>316</v>
      </c>
      <c r="K72" s="832">
        <v>42426.0</v>
      </c>
      <c r="L72" s="832">
        <v>42424.0</v>
      </c>
      <c r="M72" s="333" t="s">
        <v>2039</v>
      </c>
      <c r="N72" s="265" t="s">
        <v>8915</v>
      </c>
      <c r="O72" s="773"/>
      <c r="P72" s="320">
        <v>462.0</v>
      </c>
      <c r="Q72" s="320" t="s">
        <v>2194</v>
      </c>
      <c r="R72" s="388"/>
      <c r="S72" s="1139">
        <v>42434.0</v>
      </c>
      <c r="T72" s="1132">
        <v>42419.0</v>
      </c>
      <c r="U72" s="265" t="s">
        <v>8916</v>
      </c>
      <c r="V72" s="1135">
        <v>462.0</v>
      </c>
      <c r="W72" s="1132">
        <v>42436.0</v>
      </c>
      <c r="X72" s="320" t="s">
        <v>8910</v>
      </c>
      <c r="Y72" s="1140"/>
      <c r="Z72" s="1140"/>
      <c r="AA72" s="1140"/>
      <c r="AB72" s="320" t="s">
        <v>8661</v>
      </c>
    </row>
    <row r="73" ht="15.75" customHeight="1">
      <c r="A73" s="776">
        <v>42398.0</v>
      </c>
      <c r="B73" s="340" t="s">
        <v>8749</v>
      </c>
      <c r="C73" s="765" t="s">
        <v>8917</v>
      </c>
      <c r="D73" s="310" t="s">
        <v>8918</v>
      </c>
      <c r="E73" s="330" t="s">
        <v>8752</v>
      </c>
      <c r="F73" s="581">
        <v>5.0</v>
      </c>
      <c r="G73" s="466">
        <v>101.85</v>
      </c>
      <c r="H73" s="466">
        <f t="shared" si="8"/>
        <v>509.25</v>
      </c>
      <c r="I73" s="256" t="s">
        <v>171</v>
      </c>
      <c r="J73" s="269" t="s">
        <v>90</v>
      </c>
      <c r="K73" s="832">
        <v>42404.0</v>
      </c>
      <c r="L73" s="832"/>
      <c r="M73" s="333" t="s">
        <v>90</v>
      </c>
      <c r="N73" s="265" t="s">
        <v>8919</v>
      </c>
      <c r="O73" s="773">
        <v>446.25</v>
      </c>
      <c r="P73" s="388"/>
      <c r="Q73" s="320" t="s">
        <v>6081</v>
      </c>
      <c r="R73" s="388"/>
      <c r="S73" s="1139"/>
      <c r="T73" s="1132">
        <v>42403.0</v>
      </c>
      <c r="U73" s="265" t="s">
        <v>8920</v>
      </c>
      <c r="V73" s="1135">
        <v>14938.0</v>
      </c>
      <c r="W73" s="1132">
        <v>42453.0</v>
      </c>
      <c r="X73" s="320" t="s">
        <v>8902</v>
      </c>
      <c r="Y73" s="599" t="s">
        <v>8885</v>
      </c>
      <c r="Z73" s="1137" t="s">
        <v>8921</v>
      </c>
      <c r="AA73" s="1137" t="s">
        <v>8886</v>
      </c>
      <c r="AB73" s="1141"/>
    </row>
    <row r="74" ht="15.75" customHeight="1">
      <c r="A74" s="776">
        <v>42402.0</v>
      </c>
      <c r="B74" s="340" t="s">
        <v>101</v>
      </c>
      <c r="C74" s="765" t="s">
        <v>8922</v>
      </c>
      <c r="D74" s="310" t="s">
        <v>8923</v>
      </c>
      <c r="E74" s="578" t="s">
        <v>6329</v>
      </c>
      <c r="F74" s="581">
        <v>6.0</v>
      </c>
      <c r="G74" s="466">
        <v>123.0</v>
      </c>
      <c r="H74" s="466">
        <f t="shared" si="8"/>
        <v>738</v>
      </c>
      <c r="I74" s="256" t="s">
        <v>171</v>
      </c>
      <c r="J74" s="333" t="s">
        <v>8708</v>
      </c>
      <c r="K74" s="832">
        <v>42422.0</v>
      </c>
      <c r="L74" s="832">
        <v>42419.0</v>
      </c>
      <c r="M74" s="269" t="s">
        <v>3593</v>
      </c>
      <c r="N74" s="265" t="s">
        <v>8924</v>
      </c>
      <c r="O74" s="773"/>
      <c r="P74" s="320">
        <v>22195.0</v>
      </c>
      <c r="Q74" s="320" t="s">
        <v>8689</v>
      </c>
      <c r="R74" s="388"/>
      <c r="S74" s="1145">
        <v>42495.0</v>
      </c>
      <c r="T74" s="1132">
        <v>42418.0</v>
      </c>
      <c r="U74" s="265" t="s">
        <v>8925</v>
      </c>
      <c r="V74" s="1135">
        <v>22195.0</v>
      </c>
      <c r="W74" s="1132">
        <v>42494.0</v>
      </c>
      <c r="X74" s="320" t="s">
        <v>8926</v>
      </c>
      <c r="Y74" s="1140"/>
      <c r="Z74" s="1140"/>
      <c r="AA74" s="1140"/>
      <c r="AB74" s="1141" t="s">
        <v>8661</v>
      </c>
    </row>
    <row r="75" ht="15.75" customHeight="1">
      <c r="A75" s="776">
        <v>42402.0</v>
      </c>
      <c r="B75" s="340" t="s">
        <v>101</v>
      </c>
      <c r="C75" s="765"/>
      <c r="D75" s="310" t="s">
        <v>8927</v>
      </c>
      <c r="E75" s="604" t="s">
        <v>8928</v>
      </c>
      <c r="F75" s="331">
        <v>1.0</v>
      </c>
      <c r="G75" s="1137">
        <v>49.0</v>
      </c>
      <c r="H75" s="466">
        <f t="shared" si="8"/>
        <v>49</v>
      </c>
      <c r="I75" s="256" t="s">
        <v>171</v>
      </c>
      <c r="J75" s="333" t="s">
        <v>8708</v>
      </c>
      <c r="K75" s="832">
        <v>42422.0</v>
      </c>
      <c r="L75" s="832">
        <v>42422.0</v>
      </c>
      <c r="M75" s="333" t="s">
        <v>2032</v>
      </c>
      <c r="N75" s="265"/>
      <c r="O75" s="773"/>
      <c r="P75" s="773">
        <v>0.0</v>
      </c>
      <c r="Q75" s="388" t="s">
        <v>2033</v>
      </c>
      <c r="R75" s="388"/>
      <c r="S75" s="1139"/>
      <c r="T75" s="1150"/>
      <c r="U75" s="1136"/>
      <c r="V75" s="1151"/>
      <c r="W75" s="1132">
        <v>42433.0</v>
      </c>
      <c r="X75" s="320" t="s">
        <v>8926</v>
      </c>
      <c r="Y75" s="1140"/>
      <c r="Z75" s="1140"/>
      <c r="AA75" s="1140"/>
      <c r="AB75" s="1141" t="s">
        <v>8661</v>
      </c>
    </row>
    <row r="76" ht="15.75" customHeight="1">
      <c r="A76" s="776">
        <v>42402.0</v>
      </c>
      <c r="B76" s="599" t="s">
        <v>326</v>
      </c>
      <c r="C76" s="765">
        <v>3020040.0</v>
      </c>
      <c r="D76" s="310" t="s">
        <v>8929</v>
      </c>
      <c r="E76" s="604" t="s">
        <v>8930</v>
      </c>
      <c r="F76" s="331">
        <v>1.0</v>
      </c>
      <c r="G76" s="1137">
        <v>607.0</v>
      </c>
      <c r="H76" s="466">
        <f t="shared" si="8"/>
        <v>607</v>
      </c>
      <c r="I76" s="256" t="s">
        <v>171</v>
      </c>
      <c r="J76" s="333" t="s">
        <v>3774</v>
      </c>
      <c r="K76" s="832">
        <v>42422.0</v>
      </c>
      <c r="L76" s="832">
        <v>42417.0</v>
      </c>
      <c r="M76" s="333" t="s">
        <v>3775</v>
      </c>
      <c r="N76" s="265" t="s">
        <v>8931</v>
      </c>
      <c r="O76" s="773"/>
      <c r="P76" s="1138">
        <v>19846.0</v>
      </c>
      <c r="Q76" s="320" t="s">
        <v>2207</v>
      </c>
      <c r="R76" s="388"/>
      <c r="S76" s="1139">
        <v>42460.0</v>
      </c>
      <c r="T76" s="1132">
        <v>42417.0</v>
      </c>
      <c r="U76" s="265" t="s">
        <v>8932</v>
      </c>
      <c r="V76" s="1135">
        <v>20724.0</v>
      </c>
      <c r="W76" s="1132">
        <v>42460.0</v>
      </c>
      <c r="X76" s="320" t="s">
        <v>8933</v>
      </c>
      <c r="Y76" s="1140"/>
      <c r="Z76" s="1140"/>
      <c r="AA76" s="1140"/>
      <c r="AB76" s="1141" t="s">
        <v>8661</v>
      </c>
    </row>
    <row r="77" ht="15.75" customHeight="1">
      <c r="A77" s="776">
        <v>42402.0</v>
      </c>
      <c r="B77" s="599" t="s">
        <v>326</v>
      </c>
      <c r="C77" s="765">
        <v>3020040.0</v>
      </c>
      <c r="D77" s="310" t="s">
        <v>8929</v>
      </c>
      <c r="E77" s="604" t="s">
        <v>4419</v>
      </c>
      <c r="F77" s="331">
        <v>1.0</v>
      </c>
      <c r="G77" s="1137">
        <v>27.0</v>
      </c>
      <c r="H77" s="466">
        <f t="shared" si="8"/>
        <v>27</v>
      </c>
      <c r="I77" s="256" t="s">
        <v>171</v>
      </c>
      <c r="J77" s="333" t="s">
        <v>3774</v>
      </c>
      <c r="K77" s="832">
        <v>42422.0</v>
      </c>
      <c r="L77" s="832">
        <v>42417.0</v>
      </c>
      <c r="M77" s="333" t="s">
        <v>3775</v>
      </c>
      <c r="N77" s="265" t="s">
        <v>8931</v>
      </c>
      <c r="O77" s="773"/>
      <c r="P77" s="1138">
        <v>878.0</v>
      </c>
      <c r="Q77" s="320" t="s">
        <v>2207</v>
      </c>
      <c r="R77" s="388"/>
      <c r="S77" s="1139">
        <v>42460.0</v>
      </c>
      <c r="T77" s="1132">
        <v>42417.0</v>
      </c>
      <c r="U77" s="265" t="s">
        <v>8932</v>
      </c>
      <c r="V77" s="1135" t="s">
        <v>8934</v>
      </c>
      <c r="W77" s="1132">
        <v>42460.0</v>
      </c>
      <c r="X77" s="320" t="s">
        <v>8933</v>
      </c>
      <c r="Y77" s="1140"/>
      <c r="Z77" s="1140"/>
      <c r="AA77" s="1140"/>
      <c r="AB77" s="320" t="s">
        <v>8661</v>
      </c>
    </row>
    <row r="78" ht="15.75" customHeight="1">
      <c r="A78" s="776">
        <v>42403.0</v>
      </c>
      <c r="B78" s="340" t="s">
        <v>673</v>
      </c>
      <c r="C78" s="765"/>
      <c r="D78" s="310" t="s">
        <v>8935</v>
      </c>
      <c r="E78" s="310" t="s">
        <v>8936</v>
      </c>
      <c r="F78" s="581">
        <v>4.0</v>
      </c>
      <c r="G78" s="466">
        <v>923.0</v>
      </c>
      <c r="H78" s="466">
        <f t="shared" si="8"/>
        <v>3692</v>
      </c>
      <c r="I78" s="256" t="s">
        <v>171</v>
      </c>
      <c r="J78" s="269" t="s">
        <v>8937</v>
      </c>
      <c r="K78" s="832">
        <v>42422.0</v>
      </c>
      <c r="L78" s="832">
        <v>42416.0</v>
      </c>
      <c r="M78" s="333" t="s">
        <v>90</v>
      </c>
      <c r="N78" s="265" t="s">
        <v>8938</v>
      </c>
      <c r="O78" s="773">
        <v>3486.0</v>
      </c>
      <c r="P78" s="388"/>
      <c r="Q78" s="320" t="s">
        <v>6081</v>
      </c>
      <c r="R78" s="388"/>
      <c r="S78" s="1139"/>
      <c r="T78" s="1132">
        <v>42415.0</v>
      </c>
      <c r="U78" s="265" t="s">
        <v>8939</v>
      </c>
      <c r="V78" s="1135">
        <v>120071.0</v>
      </c>
      <c r="W78" s="1132">
        <v>42453.0</v>
      </c>
      <c r="X78" s="320" t="s">
        <v>8940</v>
      </c>
      <c r="Y78" s="1140"/>
      <c r="Z78" s="1140"/>
      <c r="AA78" s="1140"/>
      <c r="AB78" s="320" t="s">
        <v>284</v>
      </c>
    </row>
    <row r="79" ht="15.75" customHeight="1">
      <c r="A79" s="776">
        <v>42403.0</v>
      </c>
      <c r="B79" s="340" t="s">
        <v>673</v>
      </c>
      <c r="C79" s="765"/>
      <c r="D79" s="310" t="s">
        <v>8935</v>
      </c>
      <c r="E79" s="578" t="s">
        <v>8941</v>
      </c>
      <c r="F79" s="581">
        <v>4.0</v>
      </c>
      <c r="G79" s="466">
        <v>103.0</v>
      </c>
      <c r="H79" s="466">
        <f t="shared" si="8"/>
        <v>412</v>
      </c>
      <c r="I79" s="256" t="s">
        <v>171</v>
      </c>
      <c r="J79" s="269" t="s">
        <v>8937</v>
      </c>
      <c r="K79" s="832">
        <v>42422.0</v>
      </c>
      <c r="L79" s="832">
        <v>42416.0</v>
      </c>
      <c r="M79" s="333" t="s">
        <v>90</v>
      </c>
      <c r="N79" s="265" t="s">
        <v>8938</v>
      </c>
      <c r="O79" s="773">
        <v>390.6</v>
      </c>
      <c r="P79" s="388"/>
      <c r="Q79" s="320" t="s">
        <v>6081</v>
      </c>
      <c r="R79" s="388"/>
      <c r="S79" s="1139"/>
      <c r="T79" s="1132">
        <v>42415.0</v>
      </c>
      <c r="U79" s="265" t="s">
        <v>8939</v>
      </c>
      <c r="V79" s="1135" t="s">
        <v>8942</v>
      </c>
      <c r="W79" s="1132">
        <v>42453.0</v>
      </c>
      <c r="X79" s="320" t="s">
        <v>8940</v>
      </c>
      <c r="Y79" s="1140"/>
      <c r="Z79" s="1140"/>
      <c r="AA79" s="1140"/>
      <c r="AB79" s="320" t="s">
        <v>284</v>
      </c>
    </row>
    <row r="80" ht="15.75" customHeight="1">
      <c r="A80" s="776">
        <v>42404.0</v>
      </c>
      <c r="B80" s="340" t="s">
        <v>77</v>
      </c>
      <c r="C80" s="765"/>
      <c r="D80" s="310" t="s">
        <v>8943</v>
      </c>
      <c r="E80" s="578" t="s">
        <v>8778</v>
      </c>
      <c r="F80" s="581">
        <v>110.0</v>
      </c>
      <c r="G80" s="466">
        <v>2.25</v>
      </c>
      <c r="H80" s="466">
        <f t="shared" si="8"/>
        <v>247.5</v>
      </c>
      <c r="I80" s="256" t="s">
        <v>171</v>
      </c>
      <c r="J80" s="269" t="s">
        <v>316</v>
      </c>
      <c r="K80" s="832">
        <v>42426.0</v>
      </c>
      <c r="L80" s="832">
        <v>42426.0</v>
      </c>
      <c r="M80" s="333" t="s">
        <v>3769</v>
      </c>
      <c r="N80" s="265" t="s">
        <v>8944</v>
      </c>
      <c r="O80" s="773"/>
      <c r="P80" s="320">
        <v>7508.0</v>
      </c>
      <c r="Q80" s="388" t="s">
        <v>2131</v>
      </c>
      <c r="R80" s="388"/>
      <c r="S80" s="1145">
        <v>42495.0</v>
      </c>
      <c r="T80" s="1132">
        <v>42425.0</v>
      </c>
      <c r="U80" s="265" t="s">
        <v>8945</v>
      </c>
      <c r="V80" s="1135">
        <v>13629.0</v>
      </c>
      <c r="W80" s="1132">
        <v>42496.0</v>
      </c>
      <c r="X80" s="320" t="s">
        <v>8910</v>
      </c>
      <c r="Y80" s="1140"/>
      <c r="Z80" s="1140"/>
      <c r="AA80" s="1140"/>
      <c r="AB80" s="320" t="s">
        <v>8661</v>
      </c>
    </row>
    <row r="81" ht="15.75" customHeight="1">
      <c r="A81" s="776">
        <v>42404.0</v>
      </c>
      <c r="B81" s="340" t="s">
        <v>77</v>
      </c>
      <c r="C81" s="765"/>
      <c r="D81" s="310" t="s">
        <v>8943</v>
      </c>
      <c r="E81" s="578" t="s">
        <v>8775</v>
      </c>
      <c r="F81" s="581">
        <v>110.0</v>
      </c>
      <c r="G81" s="466">
        <v>1.9</v>
      </c>
      <c r="H81" s="466">
        <f t="shared" si="8"/>
        <v>209</v>
      </c>
      <c r="I81" s="256" t="s">
        <v>171</v>
      </c>
      <c r="J81" s="269" t="s">
        <v>316</v>
      </c>
      <c r="K81" s="832">
        <v>42426.0</v>
      </c>
      <c r="L81" s="832">
        <v>42426.0</v>
      </c>
      <c r="M81" s="333" t="s">
        <v>3769</v>
      </c>
      <c r="N81" s="265" t="s">
        <v>8944</v>
      </c>
      <c r="O81" s="773"/>
      <c r="P81" s="320">
        <v>6121.0</v>
      </c>
      <c r="Q81" s="388" t="s">
        <v>2131</v>
      </c>
      <c r="R81" s="388"/>
      <c r="S81" s="1145">
        <v>42495.0</v>
      </c>
      <c r="T81" s="1132">
        <v>42425.0</v>
      </c>
      <c r="U81" s="265" t="s">
        <v>8945</v>
      </c>
      <c r="V81" s="1135" t="s">
        <v>8946</v>
      </c>
      <c r="W81" s="1132">
        <v>42496.0</v>
      </c>
      <c r="X81" s="320" t="s">
        <v>8910</v>
      </c>
      <c r="Y81" s="1140"/>
      <c r="Z81" s="1140"/>
      <c r="AA81" s="1140"/>
      <c r="AB81" s="320" t="s">
        <v>8661</v>
      </c>
    </row>
    <row r="82" ht="15.75" customHeight="1">
      <c r="A82" s="258">
        <v>42404.0</v>
      </c>
      <c r="B82" s="578" t="s">
        <v>8749</v>
      </c>
      <c r="C82" s="422" t="s">
        <v>8947</v>
      </c>
      <c r="D82" s="310" t="s">
        <v>8948</v>
      </c>
      <c r="E82" s="330" t="s">
        <v>8752</v>
      </c>
      <c r="F82" s="581">
        <v>2.0</v>
      </c>
      <c r="G82" s="267">
        <v>101.85</v>
      </c>
      <c r="H82" s="267">
        <f t="shared" si="8"/>
        <v>203.7</v>
      </c>
      <c r="I82" s="266" t="s">
        <v>171</v>
      </c>
      <c r="J82" s="403" t="s">
        <v>90</v>
      </c>
      <c r="K82" s="258">
        <v>42418.0</v>
      </c>
      <c r="L82" s="258"/>
      <c r="M82" s="403" t="s">
        <v>90</v>
      </c>
      <c r="N82" s="252" t="s">
        <v>8949</v>
      </c>
      <c r="O82" s="581">
        <v>178.5</v>
      </c>
      <c r="P82" s="330"/>
      <c r="Q82" s="310" t="s">
        <v>6081</v>
      </c>
      <c r="R82" s="330"/>
      <c r="S82" s="631"/>
      <c r="T82" s="771">
        <v>42415.0</v>
      </c>
      <c r="U82" s="252" t="s">
        <v>8950</v>
      </c>
      <c r="V82" s="1030">
        <v>5935.0</v>
      </c>
      <c r="W82" s="771">
        <v>42453.0</v>
      </c>
      <c r="X82" s="310" t="s">
        <v>8951</v>
      </c>
      <c r="Y82" s="1160" t="s">
        <v>8952</v>
      </c>
      <c r="Z82" s="791">
        <v>6777.0</v>
      </c>
      <c r="AA82" s="330" t="s">
        <v>8953</v>
      </c>
      <c r="AB82" s="310"/>
    </row>
    <row r="83" ht="15.75" customHeight="1">
      <c r="A83" s="258">
        <v>42410.0</v>
      </c>
      <c r="B83" s="340" t="s">
        <v>8749</v>
      </c>
      <c r="C83" s="765" t="s">
        <v>8954</v>
      </c>
      <c r="D83" s="310" t="s">
        <v>8955</v>
      </c>
      <c r="E83" s="330" t="s">
        <v>8752</v>
      </c>
      <c r="F83" s="581">
        <v>2.0</v>
      </c>
      <c r="G83" s="466">
        <v>101.85</v>
      </c>
      <c r="H83" s="466">
        <f t="shared" si="8"/>
        <v>203.7</v>
      </c>
      <c r="I83" s="256" t="s">
        <v>171</v>
      </c>
      <c r="J83" s="333" t="s">
        <v>90</v>
      </c>
      <c r="K83" s="832">
        <v>42417.0</v>
      </c>
      <c r="L83" s="832"/>
      <c r="M83" s="333" t="s">
        <v>90</v>
      </c>
      <c r="N83" s="265" t="s">
        <v>8956</v>
      </c>
      <c r="O83" s="773">
        <v>178.5</v>
      </c>
      <c r="P83" s="388"/>
      <c r="Q83" s="320" t="s">
        <v>6081</v>
      </c>
      <c r="R83" s="388"/>
      <c r="S83" s="1139"/>
      <c r="T83" s="1132">
        <v>42416.0</v>
      </c>
      <c r="U83" s="265" t="s">
        <v>8957</v>
      </c>
      <c r="V83" s="1135">
        <v>5935.0</v>
      </c>
      <c r="W83" s="1132">
        <v>42453.0</v>
      </c>
      <c r="X83" s="320" t="s">
        <v>8958</v>
      </c>
      <c r="Y83" s="599" t="s">
        <v>8959</v>
      </c>
      <c r="Z83" s="1146">
        <v>6759.0</v>
      </c>
      <c r="AA83" s="388" t="s">
        <v>8953</v>
      </c>
      <c r="AB83" s="320"/>
    </row>
    <row r="84" ht="15.75" customHeight="1">
      <c r="A84" s="776">
        <v>42414.0</v>
      </c>
      <c r="B84" s="340" t="s">
        <v>101</v>
      </c>
      <c r="C84" s="765" t="s">
        <v>8960</v>
      </c>
      <c r="D84" s="310" t="s">
        <v>8961</v>
      </c>
      <c r="E84" s="310" t="s">
        <v>8962</v>
      </c>
      <c r="F84" s="330">
        <v>2.0</v>
      </c>
      <c r="G84" s="388">
        <v>575.0</v>
      </c>
      <c r="H84" s="466">
        <f t="shared" si="8"/>
        <v>1150</v>
      </c>
      <c r="I84" s="256" t="s">
        <v>171</v>
      </c>
      <c r="J84" s="333" t="s">
        <v>8708</v>
      </c>
      <c r="K84" s="832">
        <v>42426.0</v>
      </c>
      <c r="L84" s="832">
        <v>42426.0</v>
      </c>
      <c r="M84" s="266" t="s">
        <v>1439</v>
      </c>
      <c r="N84" s="265" t="s">
        <v>8963</v>
      </c>
      <c r="O84" s="773"/>
      <c r="P84" s="320">
        <v>36232.56</v>
      </c>
      <c r="Q84" s="388" t="s">
        <v>8714</v>
      </c>
      <c r="R84" s="388"/>
      <c r="S84" s="1139">
        <v>42433.0</v>
      </c>
      <c r="T84" s="1132">
        <v>42425.0</v>
      </c>
      <c r="U84" s="265" t="s">
        <v>8964</v>
      </c>
      <c r="V84" s="1135">
        <v>42504.0</v>
      </c>
      <c r="W84" s="1144">
        <v>42433.0</v>
      </c>
      <c r="X84" s="320" t="s">
        <v>8965</v>
      </c>
      <c r="Y84" s="1140"/>
      <c r="Z84" s="1140"/>
      <c r="AA84" s="1140"/>
      <c r="AB84" s="320" t="s">
        <v>8661</v>
      </c>
    </row>
    <row r="85" ht="15.75" customHeight="1">
      <c r="A85" s="776">
        <v>42414.0</v>
      </c>
      <c r="B85" s="340" t="s">
        <v>101</v>
      </c>
      <c r="C85" s="765" t="s">
        <v>8960</v>
      </c>
      <c r="D85" s="310" t="s">
        <v>8961</v>
      </c>
      <c r="E85" s="310" t="s">
        <v>6301</v>
      </c>
      <c r="F85" s="330">
        <v>2.0</v>
      </c>
      <c r="G85" s="388">
        <v>380.0</v>
      </c>
      <c r="H85" s="466">
        <f t="shared" si="8"/>
        <v>760</v>
      </c>
      <c r="I85" s="256" t="s">
        <v>171</v>
      </c>
      <c r="J85" s="333" t="s">
        <v>8708</v>
      </c>
      <c r="K85" s="832">
        <v>42426.0</v>
      </c>
      <c r="L85" s="832">
        <v>42422.0</v>
      </c>
      <c r="M85" s="333" t="s">
        <v>8966</v>
      </c>
      <c r="N85" s="265" t="s">
        <v>8967</v>
      </c>
      <c r="O85" s="773"/>
      <c r="P85" s="320">
        <f>735*33.52</f>
        <v>24637.2</v>
      </c>
      <c r="Q85" s="320" t="s">
        <v>8968</v>
      </c>
      <c r="R85" s="388"/>
      <c r="S85" s="1139">
        <v>42416.0</v>
      </c>
      <c r="T85" s="1132">
        <v>42419.0</v>
      </c>
      <c r="U85" s="265" t="s">
        <v>8969</v>
      </c>
      <c r="V85" s="1135">
        <v>24637.0</v>
      </c>
      <c r="W85" s="832">
        <v>42416.0</v>
      </c>
      <c r="X85" s="320" t="s">
        <v>8965</v>
      </c>
      <c r="Y85" s="1140"/>
      <c r="Z85" s="1140"/>
      <c r="AA85" s="1140"/>
      <c r="AB85" s="320" t="s">
        <v>8661</v>
      </c>
    </row>
    <row r="86" ht="15.75" customHeight="1">
      <c r="A86" s="776">
        <v>42414.0</v>
      </c>
      <c r="B86" s="340" t="s">
        <v>101</v>
      </c>
      <c r="C86" s="765" t="s">
        <v>8960</v>
      </c>
      <c r="D86" s="310" t="s">
        <v>8961</v>
      </c>
      <c r="E86" s="310" t="s">
        <v>8970</v>
      </c>
      <c r="F86" s="330">
        <v>2.0</v>
      </c>
      <c r="G86" s="388">
        <v>62.0</v>
      </c>
      <c r="H86" s="466">
        <f t="shared" si="8"/>
        <v>124</v>
      </c>
      <c r="I86" s="256" t="s">
        <v>171</v>
      </c>
      <c r="J86" s="333" t="s">
        <v>8708</v>
      </c>
      <c r="K86" s="832">
        <v>42426.0</v>
      </c>
      <c r="L86" s="832">
        <v>42418.0</v>
      </c>
      <c r="M86" s="269" t="s">
        <v>6935</v>
      </c>
      <c r="N86" s="265" t="s">
        <v>8971</v>
      </c>
      <c r="O86" s="773"/>
      <c r="P86" s="320">
        <f>2350*1.05</f>
        <v>2467.5</v>
      </c>
      <c r="Q86" s="320" t="s">
        <v>8718</v>
      </c>
      <c r="R86" s="388"/>
      <c r="S86" s="1139">
        <v>42416.0</v>
      </c>
      <c r="T86" s="1132">
        <v>42417.0</v>
      </c>
      <c r="U86" s="265" t="s">
        <v>8972</v>
      </c>
      <c r="V86" s="1135">
        <v>8255.0</v>
      </c>
      <c r="W86" s="1132">
        <v>42416.0</v>
      </c>
      <c r="X86" s="320" t="s">
        <v>8965</v>
      </c>
      <c r="Y86" s="1140"/>
      <c r="Z86" s="1140"/>
      <c r="AA86" s="1140"/>
      <c r="AB86" s="320" t="s">
        <v>8661</v>
      </c>
    </row>
    <row r="87" ht="15.75" customHeight="1">
      <c r="A87" s="776">
        <v>42414.0</v>
      </c>
      <c r="B87" s="340" t="s">
        <v>101</v>
      </c>
      <c r="C87" s="765" t="s">
        <v>8960</v>
      </c>
      <c r="D87" s="310" t="s">
        <v>8961</v>
      </c>
      <c r="E87" s="310" t="s">
        <v>6295</v>
      </c>
      <c r="F87" s="330">
        <v>2.0</v>
      </c>
      <c r="G87" s="388">
        <v>38.0</v>
      </c>
      <c r="H87" s="466">
        <f t="shared" si="8"/>
        <v>76</v>
      </c>
      <c r="I87" s="256" t="s">
        <v>171</v>
      </c>
      <c r="J87" s="333" t="s">
        <v>8708</v>
      </c>
      <c r="K87" s="832">
        <v>42426.0</v>
      </c>
      <c r="L87" s="832">
        <v>42426.0</v>
      </c>
      <c r="M87" s="266" t="s">
        <v>1439</v>
      </c>
      <c r="N87" s="265" t="s">
        <v>8963</v>
      </c>
      <c r="O87" s="773"/>
      <c r="P87" s="320">
        <v>2438.73</v>
      </c>
      <c r="Q87" s="388" t="s">
        <v>8714</v>
      </c>
      <c r="R87" s="388"/>
      <c r="S87" s="1139">
        <v>42433.0</v>
      </c>
      <c r="T87" s="1150"/>
      <c r="U87" s="265" t="s">
        <v>8964</v>
      </c>
      <c r="V87" s="1135" t="s">
        <v>8973</v>
      </c>
      <c r="W87" s="1144">
        <v>42433.0</v>
      </c>
      <c r="X87" s="320" t="s">
        <v>8965</v>
      </c>
      <c r="Y87" s="1140"/>
      <c r="Z87" s="1140"/>
      <c r="AA87" s="1140"/>
      <c r="AB87" s="320" t="s">
        <v>8661</v>
      </c>
    </row>
    <row r="88" ht="15.75" customHeight="1">
      <c r="A88" s="776">
        <v>42414.0</v>
      </c>
      <c r="B88" s="340" t="s">
        <v>101</v>
      </c>
      <c r="C88" s="765" t="s">
        <v>8960</v>
      </c>
      <c r="D88" s="310" t="s">
        <v>8961</v>
      </c>
      <c r="E88" s="310" t="s">
        <v>8974</v>
      </c>
      <c r="F88" s="330">
        <v>2.0</v>
      </c>
      <c r="G88" s="388">
        <v>30.0</v>
      </c>
      <c r="H88" s="466">
        <f t="shared" si="8"/>
        <v>60</v>
      </c>
      <c r="I88" s="256" t="s">
        <v>171</v>
      </c>
      <c r="J88" s="333" t="s">
        <v>8708</v>
      </c>
      <c r="K88" s="832">
        <v>42426.0</v>
      </c>
      <c r="L88" s="832">
        <v>42426.0</v>
      </c>
      <c r="M88" s="266" t="s">
        <v>1439</v>
      </c>
      <c r="N88" s="265" t="s">
        <v>8963</v>
      </c>
      <c r="O88" s="773"/>
      <c r="P88" s="320">
        <v>1741.95</v>
      </c>
      <c r="Q88" s="388" t="s">
        <v>8714</v>
      </c>
      <c r="R88" s="388"/>
      <c r="S88" s="1139">
        <v>42433.0</v>
      </c>
      <c r="T88" s="1150"/>
      <c r="U88" s="265" t="s">
        <v>8964</v>
      </c>
      <c r="V88" s="1135" t="s">
        <v>8973</v>
      </c>
      <c r="W88" s="1144">
        <v>42433.0</v>
      </c>
      <c r="X88" s="320" t="s">
        <v>8965</v>
      </c>
      <c r="Y88" s="1140"/>
      <c r="Z88" s="1140"/>
      <c r="AA88" s="1140"/>
      <c r="AB88" s="320" t="s">
        <v>8661</v>
      </c>
    </row>
    <row r="89" ht="15.75" customHeight="1">
      <c r="A89" s="776">
        <v>42414.0</v>
      </c>
      <c r="B89" s="340" t="s">
        <v>101</v>
      </c>
      <c r="C89" s="765" t="s">
        <v>8960</v>
      </c>
      <c r="D89" s="310" t="s">
        <v>8961</v>
      </c>
      <c r="E89" s="310" t="s">
        <v>8975</v>
      </c>
      <c r="F89" s="330">
        <v>2.0</v>
      </c>
      <c r="G89" s="388">
        <v>30.0</v>
      </c>
      <c r="H89" s="466">
        <f t="shared" si="8"/>
        <v>60</v>
      </c>
      <c r="I89" s="256" t="s">
        <v>171</v>
      </c>
      <c r="J89" s="333" t="s">
        <v>8708</v>
      </c>
      <c r="K89" s="832">
        <v>42426.0</v>
      </c>
      <c r="L89" s="832">
        <v>42426.0</v>
      </c>
      <c r="M89" s="266" t="s">
        <v>1439</v>
      </c>
      <c r="N89" s="265" t="s">
        <v>8963</v>
      </c>
      <c r="O89" s="773"/>
      <c r="P89" s="320">
        <v>2090.34</v>
      </c>
      <c r="Q89" s="388" t="s">
        <v>8714</v>
      </c>
      <c r="R89" s="388"/>
      <c r="S89" s="1139">
        <v>42433.0</v>
      </c>
      <c r="T89" s="1150"/>
      <c r="U89" s="265" t="s">
        <v>8964</v>
      </c>
      <c r="V89" s="1135" t="s">
        <v>8973</v>
      </c>
      <c r="W89" s="1144">
        <v>42433.0</v>
      </c>
      <c r="X89" s="320" t="s">
        <v>8965</v>
      </c>
      <c r="Y89" s="1140"/>
      <c r="Z89" s="1140"/>
      <c r="AA89" s="1140"/>
      <c r="AB89" s="320" t="s">
        <v>8661</v>
      </c>
    </row>
    <row r="90" ht="15.75" customHeight="1">
      <c r="A90" s="776">
        <v>42414.0</v>
      </c>
      <c r="B90" s="340" t="s">
        <v>101</v>
      </c>
      <c r="C90" s="765" t="s">
        <v>8960</v>
      </c>
      <c r="D90" s="310" t="s">
        <v>8961</v>
      </c>
      <c r="E90" s="578" t="s">
        <v>8976</v>
      </c>
      <c r="F90" s="330">
        <v>2.0</v>
      </c>
      <c r="G90" s="466">
        <v>94.0</v>
      </c>
      <c r="H90" s="466">
        <f t="shared" si="8"/>
        <v>188</v>
      </c>
      <c r="I90" s="256" t="s">
        <v>171</v>
      </c>
      <c r="J90" s="333" t="s">
        <v>8708</v>
      </c>
      <c r="K90" s="832">
        <v>42426.0</v>
      </c>
      <c r="L90" s="832">
        <v>42418.0</v>
      </c>
      <c r="M90" s="269" t="s">
        <v>6935</v>
      </c>
      <c r="N90" s="265" t="s">
        <v>8971</v>
      </c>
      <c r="O90" s="773"/>
      <c r="P90" s="320">
        <f>5512*1.05</f>
        <v>5787.6</v>
      </c>
      <c r="Q90" s="320" t="s">
        <v>8718</v>
      </c>
      <c r="R90" s="388"/>
      <c r="S90" s="1139">
        <v>42416.0</v>
      </c>
      <c r="T90" s="1132">
        <v>42417.0</v>
      </c>
      <c r="U90" s="265" t="s">
        <v>8972</v>
      </c>
      <c r="V90" s="1135" t="s">
        <v>8977</v>
      </c>
      <c r="W90" s="1132">
        <v>42416.0</v>
      </c>
      <c r="X90" s="320" t="s">
        <v>8965</v>
      </c>
      <c r="Y90" s="1140"/>
      <c r="Z90" s="1140"/>
      <c r="AA90" s="1140"/>
      <c r="AB90" s="320" t="s">
        <v>8661</v>
      </c>
    </row>
    <row r="91" ht="15.75" customHeight="1">
      <c r="A91" s="776">
        <v>42414.0</v>
      </c>
      <c r="B91" s="340" t="s">
        <v>673</v>
      </c>
      <c r="C91" s="765"/>
      <c r="D91" s="310" t="s">
        <v>8978</v>
      </c>
      <c r="E91" s="578" t="s">
        <v>8979</v>
      </c>
      <c r="F91" s="581">
        <v>2.0</v>
      </c>
      <c r="G91" s="466">
        <v>347.0</v>
      </c>
      <c r="H91" s="466">
        <f t="shared" si="8"/>
        <v>694</v>
      </c>
      <c r="I91" s="256" t="s">
        <v>171</v>
      </c>
      <c r="J91" s="269" t="s">
        <v>8937</v>
      </c>
      <c r="K91" s="832">
        <v>42422.0</v>
      </c>
      <c r="L91" s="832">
        <v>42417.0</v>
      </c>
      <c r="M91" s="333" t="s">
        <v>90</v>
      </c>
      <c r="N91" s="265" t="s">
        <v>8980</v>
      </c>
      <c r="O91" s="773">
        <v>642.6</v>
      </c>
      <c r="P91" s="388"/>
      <c r="Q91" s="320" t="s">
        <v>6081</v>
      </c>
      <c r="R91" s="388"/>
      <c r="S91" s="1139"/>
      <c r="T91" s="1132">
        <v>42417.0</v>
      </c>
      <c r="U91" s="265" t="s">
        <v>8981</v>
      </c>
      <c r="V91" s="1135">
        <v>21366.0</v>
      </c>
      <c r="W91" s="1132">
        <v>42453.0</v>
      </c>
      <c r="X91" s="320" t="s">
        <v>8940</v>
      </c>
      <c r="Y91" s="1140"/>
      <c r="Z91" s="1140"/>
      <c r="AA91" s="1140"/>
      <c r="AB91" s="320" t="s">
        <v>284</v>
      </c>
    </row>
    <row r="92" ht="15.75" customHeight="1">
      <c r="A92" s="776">
        <v>42414.0</v>
      </c>
      <c r="B92" s="340" t="s">
        <v>101</v>
      </c>
      <c r="C92" s="765" t="s">
        <v>8960</v>
      </c>
      <c r="D92" s="310" t="s">
        <v>8982</v>
      </c>
      <c r="E92" s="578" t="s">
        <v>6297</v>
      </c>
      <c r="F92" s="330">
        <v>3.0</v>
      </c>
      <c r="G92" s="466">
        <v>237.0</v>
      </c>
      <c r="H92" s="466">
        <f t="shared" si="8"/>
        <v>711</v>
      </c>
      <c r="I92" s="256" t="s">
        <v>171</v>
      </c>
      <c r="J92" s="333" t="s">
        <v>8708</v>
      </c>
      <c r="K92" s="832">
        <v>42446.0</v>
      </c>
      <c r="L92" s="832">
        <v>42444.0</v>
      </c>
      <c r="M92" s="403" t="s">
        <v>6298</v>
      </c>
      <c r="N92" s="265" t="s">
        <v>8983</v>
      </c>
      <c r="O92" s="773"/>
      <c r="P92" s="320">
        <f>180*3*33.02*1.05</f>
        <v>18722.34</v>
      </c>
      <c r="Q92" s="320" t="s">
        <v>2148</v>
      </c>
      <c r="R92" s="388" t="s">
        <v>8984</v>
      </c>
      <c r="S92" s="1145">
        <v>42433.0</v>
      </c>
      <c r="T92" s="1132">
        <v>42443.0</v>
      </c>
      <c r="U92" s="265" t="s">
        <v>8985</v>
      </c>
      <c r="V92" s="1135">
        <v>18723.0</v>
      </c>
      <c r="W92" s="1132">
        <v>42436.0</v>
      </c>
      <c r="X92" s="320" t="s">
        <v>8986</v>
      </c>
      <c r="Y92" s="1140"/>
      <c r="Z92" s="1140"/>
      <c r="AA92" s="1140"/>
      <c r="AB92" s="320" t="s">
        <v>284</v>
      </c>
    </row>
    <row r="93" ht="15.75" customHeight="1">
      <c r="A93" s="776">
        <v>42415.0</v>
      </c>
      <c r="B93" s="340" t="s">
        <v>1000</v>
      </c>
      <c r="C93" s="765" t="s">
        <v>8987</v>
      </c>
      <c r="D93" s="310" t="s">
        <v>8988</v>
      </c>
      <c r="E93" s="578" t="s">
        <v>8989</v>
      </c>
      <c r="F93" s="581">
        <v>1.0</v>
      </c>
      <c r="G93" s="466">
        <v>588.0</v>
      </c>
      <c r="H93" s="466">
        <f t="shared" si="8"/>
        <v>588</v>
      </c>
      <c r="I93" s="256" t="s">
        <v>171</v>
      </c>
      <c r="J93" s="333" t="s">
        <v>8684</v>
      </c>
      <c r="K93" s="832">
        <v>42422.0</v>
      </c>
      <c r="L93" s="832">
        <v>42417.0</v>
      </c>
      <c r="M93" s="333" t="s">
        <v>3593</v>
      </c>
      <c r="N93" s="265" t="s">
        <v>8990</v>
      </c>
      <c r="O93" s="773"/>
      <c r="P93" s="320">
        <v>18139.0</v>
      </c>
      <c r="Q93" s="320" t="s">
        <v>8991</v>
      </c>
      <c r="R93" s="388"/>
      <c r="S93" s="1139">
        <v>42495.0</v>
      </c>
      <c r="T93" s="1132">
        <v>42416.0</v>
      </c>
      <c r="U93" s="265" t="s">
        <v>8992</v>
      </c>
      <c r="V93" s="1135">
        <v>18139.0</v>
      </c>
      <c r="W93" s="1132">
        <v>42494.0</v>
      </c>
      <c r="X93" s="320" t="s">
        <v>8993</v>
      </c>
      <c r="Y93" s="1140"/>
      <c r="Z93" s="1140"/>
      <c r="AA93" s="1140"/>
      <c r="AB93" s="320" t="s">
        <v>284</v>
      </c>
    </row>
    <row r="94" ht="15.75" customHeight="1">
      <c r="A94" s="776">
        <v>42415.0</v>
      </c>
      <c r="B94" s="340" t="s">
        <v>101</v>
      </c>
      <c r="C94" s="765" t="s">
        <v>8994</v>
      </c>
      <c r="D94" s="310" t="s">
        <v>8995</v>
      </c>
      <c r="E94" s="602" t="s">
        <v>8996</v>
      </c>
      <c r="F94" s="331">
        <v>6.0</v>
      </c>
      <c r="G94" s="1137">
        <v>357.0</v>
      </c>
      <c r="H94" s="466">
        <f t="shared" si="8"/>
        <v>2142</v>
      </c>
      <c r="I94" s="256" t="s">
        <v>171</v>
      </c>
      <c r="J94" s="333" t="s">
        <v>8708</v>
      </c>
      <c r="K94" s="832">
        <v>42433.0</v>
      </c>
      <c r="L94" s="832">
        <v>42432.0</v>
      </c>
      <c r="M94" s="269" t="s">
        <v>2034</v>
      </c>
      <c r="N94" s="265" t="s">
        <v>8997</v>
      </c>
      <c r="O94" s="1156"/>
      <c r="P94" s="320">
        <v>69300.0</v>
      </c>
      <c r="Q94" s="320" t="s">
        <v>6086</v>
      </c>
      <c r="R94" s="388"/>
      <c r="S94" s="1139">
        <v>42495.0</v>
      </c>
      <c r="T94" s="1132">
        <v>42431.0</v>
      </c>
      <c r="U94" s="265" t="s">
        <v>8998</v>
      </c>
      <c r="V94" s="1135">
        <v>69300.0</v>
      </c>
      <c r="W94" s="1132">
        <v>42485.0</v>
      </c>
      <c r="X94" s="320" t="s">
        <v>8999</v>
      </c>
      <c r="Y94" s="1140"/>
      <c r="Z94" s="1140"/>
      <c r="AA94" s="1140"/>
      <c r="AB94" s="320" t="s">
        <v>284</v>
      </c>
    </row>
    <row r="95" ht="15.75" customHeight="1">
      <c r="A95" s="776">
        <v>42417.0</v>
      </c>
      <c r="B95" s="599" t="s">
        <v>9000</v>
      </c>
      <c r="C95" s="765">
        <v>7.000119302E9</v>
      </c>
      <c r="D95" s="310" t="s">
        <v>9001</v>
      </c>
      <c r="E95" s="578" t="s">
        <v>9002</v>
      </c>
      <c r="F95" s="581">
        <v>18.0</v>
      </c>
      <c r="G95" s="466">
        <v>130.0</v>
      </c>
      <c r="H95" s="466">
        <f t="shared" si="8"/>
        <v>2340</v>
      </c>
      <c r="I95" s="256" t="s">
        <v>171</v>
      </c>
      <c r="J95" s="269" t="s">
        <v>6278</v>
      </c>
      <c r="K95" s="832">
        <v>42430.0</v>
      </c>
      <c r="L95" s="832">
        <v>42426.0</v>
      </c>
      <c r="M95" s="333" t="s">
        <v>3593</v>
      </c>
      <c r="N95" s="265" t="s">
        <v>9003</v>
      </c>
      <c r="O95" s="1156"/>
      <c r="P95" s="1088">
        <v>72633.0</v>
      </c>
      <c r="Q95" s="320" t="s">
        <v>8689</v>
      </c>
      <c r="R95" s="388"/>
      <c r="S95" s="1139">
        <v>42526.0</v>
      </c>
      <c r="T95" s="1132">
        <v>42426.0</v>
      </c>
      <c r="U95" s="265" t="s">
        <v>9004</v>
      </c>
      <c r="V95" s="1135">
        <v>240011.0</v>
      </c>
      <c r="W95" s="1132">
        <v>42494.0</v>
      </c>
      <c r="X95" s="320" t="s">
        <v>9005</v>
      </c>
      <c r="Y95" s="1140"/>
      <c r="Z95" s="1140"/>
      <c r="AA95" s="1140"/>
      <c r="AB95" s="320" t="s">
        <v>284</v>
      </c>
    </row>
    <row r="96" ht="15.75" customHeight="1">
      <c r="A96" s="776">
        <v>42417.0</v>
      </c>
      <c r="B96" s="599" t="s">
        <v>9000</v>
      </c>
      <c r="C96" s="765">
        <v>7.000119302E9</v>
      </c>
      <c r="D96" s="310" t="s">
        <v>9001</v>
      </c>
      <c r="E96" s="578" t="s">
        <v>9006</v>
      </c>
      <c r="F96" s="581">
        <v>18.0</v>
      </c>
      <c r="G96" s="466">
        <v>49.0</v>
      </c>
      <c r="H96" s="466">
        <f t="shared" si="8"/>
        <v>882</v>
      </c>
      <c r="I96" s="256" t="s">
        <v>171</v>
      </c>
      <c r="J96" s="269" t="s">
        <v>6278</v>
      </c>
      <c r="K96" s="832">
        <v>42430.0</v>
      </c>
      <c r="L96" s="832">
        <v>42426.0</v>
      </c>
      <c r="M96" s="333" t="s">
        <v>3593</v>
      </c>
      <c r="N96" s="265" t="s">
        <v>9003</v>
      </c>
      <c r="O96" s="773"/>
      <c r="P96" s="1088">
        <v>29484.0</v>
      </c>
      <c r="Q96" s="320" t="s">
        <v>8689</v>
      </c>
      <c r="R96" s="388"/>
      <c r="S96" s="1139">
        <v>42526.0</v>
      </c>
      <c r="T96" s="1132">
        <v>42426.0</v>
      </c>
      <c r="U96" s="265" t="s">
        <v>9004</v>
      </c>
      <c r="V96" s="1135" t="s">
        <v>9007</v>
      </c>
      <c r="W96" s="1132">
        <v>42494.0</v>
      </c>
      <c r="X96" s="320" t="s">
        <v>9005</v>
      </c>
      <c r="Y96" s="1140"/>
      <c r="Z96" s="1140"/>
      <c r="AA96" s="1140"/>
      <c r="AB96" s="320" t="s">
        <v>284</v>
      </c>
    </row>
    <row r="97" ht="15.75" customHeight="1">
      <c r="A97" s="776">
        <v>42417.0</v>
      </c>
      <c r="B97" s="599" t="s">
        <v>9000</v>
      </c>
      <c r="C97" s="765">
        <v>7.000119302E9</v>
      </c>
      <c r="D97" s="310" t="s">
        <v>9001</v>
      </c>
      <c r="E97" s="578" t="s">
        <v>9008</v>
      </c>
      <c r="F97" s="581">
        <v>18.0</v>
      </c>
      <c r="G97" s="466">
        <v>246.0</v>
      </c>
      <c r="H97" s="466">
        <f t="shared" si="8"/>
        <v>4428</v>
      </c>
      <c r="I97" s="256" t="s">
        <v>171</v>
      </c>
      <c r="J97" s="269" t="s">
        <v>6278</v>
      </c>
      <c r="K97" s="832">
        <v>42430.0</v>
      </c>
      <c r="L97" s="832">
        <v>42426.0</v>
      </c>
      <c r="M97" s="333" t="s">
        <v>3593</v>
      </c>
      <c r="N97" s="265" t="s">
        <v>9003</v>
      </c>
      <c r="O97" s="773"/>
      <c r="P97" s="1088">
        <v>137894.0</v>
      </c>
      <c r="Q97" s="320" t="s">
        <v>8689</v>
      </c>
      <c r="R97" s="388"/>
      <c r="S97" s="1139">
        <v>42526.0</v>
      </c>
      <c r="T97" s="1132">
        <v>42426.0</v>
      </c>
      <c r="U97" s="265" t="s">
        <v>9004</v>
      </c>
      <c r="V97" s="1135" t="s">
        <v>9007</v>
      </c>
      <c r="W97" s="1132">
        <v>42494.0</v>
      </c>
      <c r="X97" s="320" t="s">
        <v>9005</v>
      </c>
      <c r="Y97" s="1140"/>
      <c r="Z97" s="1140"/>
      <c r="AA97" s="1140"/>
      <c r="AB97" s="320" t="s">
        <v>284</v>
      </c>
    </row>
    <row r="98" ht="15.75" customHeight="1">
      <c r="A98" s="776">
        <v>42417.0</v>
      </c>
      <c r="B98" s="599" t="s">
        <v>9000</v>
      </c>
      <c r="C98" s="765">
        <v>7.000119302E9</v>
      </c>
      <c r="D98" s="310" t="s">
        <v>9009</v>
      </c>
      <c r="E98" s="578" t="s">
        <v>9002</v>
      </c>
      <c r="F98" s="581">
        <v>6.0</v>
      </c>
      <c r="G98" s="466">
        <v>130.0</v>
      </c>
      <c r="H98" s="466">
        <f t="shared" si="8"/>
        <v>780</v>
      </c>
      <c r="I98" s="256" t="s">
        <v>171</v>
      </c>
      <c r="J98" s="269" t="s">
        <v>6278</v>
      </c>
      <c r="K98" s="832">
        <v>42436.0</v>
      </c>
      <c r="L98" s="850">
        <v>42433.0</v>
      </c>
      <c r="M98" s="333" t="s">
        <v>3593</v>
      </c>
      <c r="N98" s="265" t="s">
        <v>9003</v>
      </c>
      <c r="O98" s="773"/>
      <c r="P98" s="1088">
        <f>3843*1.05*6</f>
        <v>24210.9</v>
      </c>
      <c r="Q98" s="320" t="s">
        <v>8689</v>
      </c>
      <c r="R98" s="388"/>
      <c r="S98" s="1139">
        <v>42526.0</v>
      </c>
      <c r="T98" s="1132">
        <v>42432.0</v>
      </c>
      <c r="U98" s="265" t="s">
        <v>9010</v>
      </c>
      <c r="V98" s="1135">
        <v>80004.0</v>
      </c>
      <c r="W98" s="1132">
        <v>42494.0</v>
      </c>
      <c r="X98" s="320" t="s">
        <v>9011</v>
      </c>
      <c r="Y98" s="1140"/>
      <c r="Z98" s="1140"/>
      <c r="AA98" s="1140"/>
      <c r="AB98" s="320" t="s">
        <v>284</v>
      </c>
    </row>
    <row r="99" ht="15.75" customHeight="1">
      <c r="A99" s="776">
        <v>42417.0</v>
      </c>
      <c r="B99" s="599" t="s">
        <v>9000</v>
      </c>
      <c r="C99" s="765">
        <v>7.000119302E9</v>
      </c>
      <c r="D99" s="310" t="s">
        <v>9009</v>
      </c>
      <c r="E99" s="578" t="s">
        <v>9006</v>
      </c>
      <c r="F99" s="581">
        <v>6.0</v>
      </c>
      <c r="G99" s="466">
        <v>49.0</v>
      </c>
      <c r="H99" s="466">
        <f t="shared" si="8"/>
        <v>294</v>
      </c>
      <c r="I99" s="256" t="s">
        <v>171</v>
      </c>
      <c r="J99" s="269" t="s">
        <v>6278</v>
      </c>
      <c r="K99" s="832">
        <v>42436.0</v>
      </c>
      <c r="L99" s="850">
        <v>42433.0</v>
      </c>
      <c r="M99" s="333" t="s">
        <v>3593</v>
      </c>
      <c r="N99" s="265" t="s">
        <v>9003</v>
      </c>
      <c r="O99" s="773"/>
      <c r="P99" s="1088">
        <f>1560*6*1.05</f>
        <v>9828</v>
      </c>
      <c r="Q99" s="320" t="s">
        <v>8689</v>
      </c>
      <c r="R99" s="388"/>
      <c r="S99" s="1139">
        <v>42526.0</v>
      </c>
      <c r="T99" s="1132">
        <v>42432.0</v>
      </c>
      <c r="U99" s="265" t="s">
        <v>9010</v>
      </c>
      <c r="V99" s="1135" t="s">
        <v>9012</v>
      </c>
      <c r="W99" s="1132">
        <v>42494.0</v>
      </c>
      <c r="X99" s="320" t="s">
        <v>9011</v>
      </c>
      <c r="Y99" s="1140"/>
      <c r="Z99" s="1140"/>
      <c r="AA99" s="1140"/>
      <c r="AB99" s="320" t="s">
        <v>284</v>
      </c>
    </row>
    <row r="100" ht="15.75" customHeight="1">
      <c r="A100" s="776">
        <v>42417.0</v>
      </c>
      <c r="B100" s="599" t="s">
        <v>9000</v>
      </c>
      <c r="C100" s="765">
        <v>7.000119302E9</v>
      </c>
      <c r="D100" s="310" t="s">
        <v>9009</v>
      </c>
      <c r="E100" s="578" t="s">
        <v>9008</v>
      </c>
      <c r="F100" s="581">
        <v>6.0</v>
      </c>
      <c r="G100" s="466">
        <v>246.0</v>
      </c>
      <c r="H100" s="466">
        <f t="shared" si="8"/>
        <v>1476</v>
      </c>
      <c r="I100" s="256" t="s">
        <v>171</v>
      </c>
      <c r="J100" s="269" t="s">
        <v>6278</v>
      </c>
      <c r="K100" s="832">
        <v>42436.0</v>
      </c>
      <c r="L100" s="850">
        <v>42433.0</v>
      </c>
      <c r="M100" s="333" t="s">
        <v>3593</v>
      </c>
      <c r="N100" s="265" t="s">
        <v>9003</v>
      </c>
      <c r="O100" s="773"/>
      <c r="P100" s="1088">
        <f>7296*6*1.05</f>
        <v>45964.8</v>
      </c>
      <c r="Q100" s="320" t="s">
        <v>8689</v>
      </c>
      <c r="R100" s="388"/>
      <c r="S100" s="1139">
        <v>42526.0</v>
      </c>
      <c r="T100" s="1132">
        <v>42432.0</v>
      </c>
      <c r="U100" s="265" t="s">
        <v>9010</v>
      </c>
      <c r="V100" s="1135" t="s">
        <v>9012</v>
      </c>
      <c r="W100" s="1132">
        <v>42494.0</v>
      </c>
      <c r="X100" s="320" t="s">
        <v>9011</v>
      </c>
      <c r="Y100" s="1140"/>
      <c r="Z100" s="1140"/>
      <c r="AA100" s="1140"/>
      <c r="AB100" s="320" t="s">
        <v>284</v>
      </c>
    </row>
    <row r="101" ht="15.75" customHeight="1">
      <c r="A101" s="776">
        <v>42418.0</v>
      </c>
      <c r="B101" s="340" t="s">
        <v>101</v>
      </c>
      <c r="C101" s="765" t="s">
        <v>9013</v>
      </c>
      <c r="D101" s="310" t="s">
        <v>9014</v>
      </c>
      <c r="E101" s="578" t="s">
        <v>9015</v>
      </c>
      <c r="F101" s="581">
        <v>1.0</v>
      </c>
      <c r="G101" s="466">
        <v>474.0</v>
      </c>
      <c r="H101" s="466">
        <f t="shared" si="8"/>
        <v>474</v>
      </c>
      <c r="I101" s="256" t="s">
        <v>171</v>
      </c>
      <c r="J101" s="333" t="s">
        <v>8708</v>
      </c>
      <c r="K101" s="832">
        <v>42422.0</v>
      </c>
      <c r="L101" s="850">
        <v>42422.0</v>
      </c>
      <c r="M101" s="266" t="s">
        <v>1439</v>
      </c>
      <c r="N101" s="265" t="s">
        <v>9016</v>
      </c>
      <c r="O101" s="773"/>
      <c r="P101" s="1088">
        <v>14700.0</v>
      </c>
      <c r="Q101" s="388" t="s">
        <v>8714</v>
      </c>
      <c r="R101" s="388"/>
      <c r="S101" s="1139">
        <v>42433.0</v>
      </c>
      <c r="T101" s="1132">
        <v>42419.0</v>
      </c>
      <c r="U101" s="265" t="s">
        <v>9017</v>
      </c>
      <c r="V101" s="1135">
        <v>16433.0</v>
      </c>
      <c r="W101" s="1144">
        <v>42433.0</v>
      </c>
      <c r="X101" s="320" t="s">
        <v>8926</v>
      </c>
      <c r="Y101" s="1140"/>
      <c r="Z101" s="1140"/>
      <c r="AA101" s="1140"/>
      <c r="AB101" s="320" t="s">
        <v>8661</v>
      </c>
    </row>
    <row r="102" ht="15.75" customHeight="1">
      <c r="A102" s="776">
        <v>42418.0</v>
      </c>
      <c r="B102" s="340" t="s">
        <v>101</v>
      </c>
      <c r="C102" s="765" t="s">
        <v>9013</v>
      </c>
      <c r="D102" s="310" t="s">
        <v>9014</v>
      </c>
      <c r="E102" s="578" t="s">
        <v>9018</v>
      </c>
      <c r="F102" s="581">
        <v>1.0</v>
      </c>
      <c r="G102" s="466">
        <v>38.0</v>
      </c>
      <c r="H102" s="466">
        <f t="shared" si="8"/>
        <v>38</v>
      </c>
      <c r="I102" s="256" t="s">
        <v>171</v>
      </c>
      <c r="J102" s="333" t="s">
        <v>8708</v>
      </c>
      <c r="K102" s="832">
        <v>42422.0</v>
      </c>
      <c r="L102" s="850">
        <v>42422.0</v>
      </c>
      <c r="M102" s="266" t="s">
        <v>1439</v>
      </c>
      <c r="N102" s="265" t="s">
        <v>9016</v>
      </c>
      <c r="O102" s="773"/>
      <c r="P102" s="320">
        <v>840.0</v>
      </c>
      <c r="Q102" s="388" t="s">
        <v>8714</v>
      </c>
      <c r="R102" s="388"/>
      <c r="S102" s="1139">
        <v>42433.0</v>
      </c>
      <c r="T102" s="1132">
        <v>42419.0</v>
      </c>
      <c r="U102" s="265" t="s">
        <v>9017</v>
      </c>
      <c r="V102" s="1135" t="s">
        <v>9019</v>
      </c>
      <c r="W102" s="1144">
        <v>42433.0</v>
      </c>
      <c r="X102" s="320" t="s">
        <v>8926</v>
      </c>
      <c r="Y102" s="1140"/>
      <c r="Z102" s="1140"/>
      <c r="AA102" s="1140"/>
      <c r="AB102" s="320" t="s">
        <v>8661</v>
      </c>
    </row>
    <row r="103" ht="15.75" customHeight="1">
      <c r="A103" s="776">
        <v>42418.0</v>
      </c>
      <c r="B103" s="340" t="s">
        <v>101</v>
      </c>
      <c r="C103" s="765" t="s">
        <v>9013</v>
      </c>
      <c r="D103" s="310" t="s">
        <v>9014</v>
      </c>
      <c r="E103" s="578" t="s">
        <v>9020</v>
      </c>
      <c r="F103" s="581">
        <v>1.0</v>
      </c>
      <c r="G103" s="466">
        <v>27.0</v>
      </c>
      <c r="H103" s="466">
        <f t="shared" si="8"/>
        <v>27</v>
      </c>
      <c r="I103" s="256" t="s">
        <v>171</v>
      </c>
      <c r="J103" s="333" t="s">
        <v>8708</v>
      </c>
      <c r="K103" s="832">
        <v>42422.0</v>
      </c>
      <c r="L103" s="850">
        <v>42422.0</v>
      </c>
      <c r="M103" s="266" t="s">
        <v>1439</v>
      </c>
      <c r="N103" s="265" t="s">
        <v>9016</v>
      </c>
      <c r="O103" s="773"/>
      <c r="P103" s="320">
        <v>714.0</v>
      </c>
      <c r="Q103" s="388" t="s">
        <v>8714</v>
      </c>
      <c r="R103" s="388"/>
      <c r="S103" s="1139">
        <v>42433.0</v>
      </c>
      <c r="T103" s="1132">
        <v>42419.0</v>
      </c>
      <c r="U103" s="265" t="s">
        <v>9017</v>
      </c>
      <c r="V103" s="1135" t="s">
        <v>9019</v>
      </c>
      <c r="W103" s="1144">
        <v>42433.0</v>
      </c>
      <c r="X103" s="320" t="s">
        <v>8926</v>
      </c>
      <c r="Y103" s="1140"/>
      <c r="Z103" s="1140"/>
      <c r="AA103" s="1140"/>
      <c r="AB103" s="320" t="s">
        <v>8661</v>
      </c>
    </row>
    <row r="104" ht="15.75" customHeight="1">
      <c r="A104" s="776">
        <v>42418.0</v>
      </c>
      <c r="B104" s="340" t="s">
        <v>101</v>
      </c>
      <c r="C104" s="765" t="s">
        <v>9013</v>
      </c>
      <c r="D104" s="310" t="s">
        <v>9014</v>
      </c>
      <c r="E104" s="578" t="s">
        <v>9021</v>
      </c>
      <c r="F104" s="581">
        <v>1.0</v>
      </c>
      <c r="G104" s="466">
        <v>7.0</v>
      </c>
      <c r="H104" s="466">
        <f t="shared" si="8"/>
        <v>7</v>
      </c>
      <c r="I104" s="256" t="s">
        <v>171</v>
      </c>
      <c r="J104" s="333" t="s">
        <v>8708</v>
      </c>
      <c r="K104" s="832">
        <v>42422.0</v>
      </c>
      <c r="L104" s="850">
        <v>42422.0</v>
      </c>
      <c r="M104" s="266" t="s">
        <v>1439</v>
      </c>
      <c r="N104" s="265" t="s">
        <v>9016</v>
      </c>
      <c r="O104" s="773"/>
      <c r="P104" s="320">
        <v>179.0</v>
      </c>
      <c r="Q104" s="388" t="s">
        <v>8714</v>
      </c>
      <c r="R104" s="388"/>
      <c r="S104" s="1139">
        <v>42433.0</v>
      </c>
      <c r="T104" s="1132">
        <v>42419.0</v>
      </c>
      <c r="U104" s="265" t="s">
        <v>9017</v>
      </c>
      <c r="V104" s="1135" t="s">
        <v>9019</v>
      </c>
      <c r="W104" s="1144">
        <v>42433.0</v>
      </c>
      <c r="X104" s="320" t="s">
        <v>8926</v>
      </c>
      <c r="Y104" s="1140"/>
      <c r="Z104" s="1140"/>
      <c r="AA104" s="1140"/>
      <c r="AB104" s="320" t="s">
        <v>8661</v>
      </c>
    </row>
    <row r="105" ht="15.75" customHeight="1">
      <c r="A105" s="776">
        <v>42418.0</v>
      </c>
      <c r="B105" s="340" t="s">
        <v>101</v>
      </c>
      <c r="C105" s="765" t="s">
        <v>9022</v>
      </c>
      <c r="D105" s="310" t="s">
        <v>9023</v>
      </c>
      <c r="E105" s="578" t="s">
        <v>9024</v>
      </c>
      <c r="F105" s="581">
        <v>1.0</v>
      </c>
      <c r="G105" s="466">
        <v>405.0</v>
      </c>
      <c r="H105" s="466">
        <f t="shared" si="8"/>
        <v>405</v>
      </c>
      <c r="I105" s="256" t="s">
        <v>171</v>
      </c>
      <c r="J105" s="333" t="s">
        <v>8708</v>
      </c>
      <c r="K105" s="832">
        <v>42439.0</v>
      </c>
      <c r="L105" s="832">
        <v>42438.0</v>
      </c>
      <c r="M105" s="266" t="s">
        <v>1439</v>
      </c>
      <c r="N105" s="265" t="s">
        <v>9025</v>
      </c>
      <c r="O105" s="773"/>
      <c r="P105" s="1088">
        <v>12474.0</v>
      </c>
      <c r="Q105" s="388" t="s">
        <v>8714</v>
      </c>
      <c r="R105" s="388"/>
      <c r="S105" s="1139">
        <v>42433.0</v>
      </c>
      <c r="T105" s="1132">
        <v>42437.0</v>
      </c>
      <c r="U105" s="265" t="s">
        <v>9026</v>
      </c>
      <c r="V105" s="1135">
        <v>14207.0</v>
      </c>
      <c r="W105" s="1144">
        <v>42433.0</v>
      </c>
      <c r="X105" s="320" t="s">
        <v>9027</v>
      </c>
      <c r="Y105" s="1140"/>
      <c r="Z105" s="1140"/>
      <c r="AA105" s="1140"/>
      <c r="AB105" s="320" t="s">
        <v>284</v>
      </c>
    </row>
    <row r="106" ht="15.75" customHeight="1">
      <c r="A106" s="776">
        <v>42418.0</v>
      </c>
      <c r="B106" s="340" t="s">
        <v>101</v>
      </c>
      <c r="C106" s="765" t="s">
        <v>9022</v>
      </c>
      <c r="D106" s="310" t="s">
        <v>9023</v>
      </c>
      <c r="E106" s="578" t="s">
        <v>9018</v>
      </c>
      <c r="F106" s="581">
        <v>1.0</v>
      </c>
      <c r="G106" s="466">
        <v>38.0</v>
      </c>
      <c r="H106" s="466">
        <f t="shared" si="8"/>
        <v>38</v>
      </c>
      <c r="I106" s="256" t="s">
        <v>171</v>
      </c>
      <c r="J106" s="333" t="s">
        <v>8708</v>
      </c>
      <c r="K106" s="832">
        <v>42439.0</v>
      </c>
      <c r="L106" s="832">
        <v>42438.0</v>
      </c>
      <c r="M106" s="266" t="s">
        <v>1439</v>
      </c>
      <c r="N106" s="265" t="s">
        <v>9025</v>
      </c>
      <c r="O106" s="773"/>
      <c r="P106" s="320">
        <v>840.0</v>
      </c>
      <c r="Q106" s="388" t="s">
        <v>8714</v>
      </c>
      <c r="R106" s="388"/>
      <c r="S106" s="1139">
        <v>42433.0</v>
      </c>
      <c r="T106" s="1132">
        <v>42437.0</v>
      </c>
      <c r="U106" s="265" t="s">
        <v>9026</v>
      </c>
      <c r="V106" s="1135" t="s">
        <v>9028</v>
      </c>
      <c r="W106" s="1144">
        <v>42433.0</v>
      </c>
      <c r="X106" s="320" t="s">
        <v>9027</v>
      </c>
      <c r="Y106" s="1140"/>
      <c r="Z106" s="1140"/>
      <c r="AA106" s="1140"/>
      <c r="AB106" s="320" t="s">
        <v>284</v>
      </c>
    </row>
    <row r="107" ht="15.75" customHeight="1">
      <c r="A107" s="776">
        <v>42418.0</v>
      </c>
      <c r="B107" s="340" t="s">
        <v>101</v>
      </c>
      <c r="C107" s="765" t="s">
        <v>9022</v>
      </c>
      <c r="D107" s="310" t="s">
        <v>9023</v>
      </c>
      <c r="E107" s="578" t="s">
        <v>9020</v>
      </c>
      <c r="F107" s="581">
        <v>1.0</v>
      </c>
      <c r="G107" s="466">
        <v>27.0</v>
      </c>
      <c r="H107" s="466">
        <f t="shared" si="8"/>
        <v>27</v>
      </c>
      <c r="I107" s="256" t="s">
        <v>171</v>
      </c>
      <c r="J107" s="333" t="s">
        <v>8708</v>
      </c>
      <c r="K107" s="832">
        <v>42439.0</v>
      </c>
      <c r="L107" s="832">
        <v>42438.0</v>
      </c>
      <c r="M107" s="266" t="s">
        <v>1439</v>
      </c>
      <c r="N107" s="265" t="s">
        <v>9025</v>
      </c>
      <c r="O107" s="773"/>
      <c r="P107" s="320">
        <v>714.0</v>
      </c>
      <c r="Q107" s="388" t="s">
        <v>8714</v>
      </c>
      <c r="R107" s="388"/>
      <c r="S107" s="1139">
        <v>42433.0</v>
      </c>
      <c r="T107" s="1132">
        <v>42437.0</v>
      </c>
      <c r="U107" s="265" t="s">
        <v>9026</v>
      </c>
      <c r="V107" s="1135" t="s">
        <v>9028</v>
      </c>
      <c r="W107" s="1144">
        <v>42433.0</v>
      </c>
      <c r="X107" s="320" t="s">
        <v>9027</v>
      </c>
      <c r="Y107" s="1140"/>
      <c r="Z107" s="1140"/>
      <c r="AA107" s="1140"/>
      <c r="AB107" s="320" t="s">
        <v>284</v>
      </c>
    </row>
    <row r="108" ht="15.75" customHeight="1">
      <c r="A108" s="776">
        <v>42418.0</v>
      </c>
      <c r="B108" s="340" t="s">
        <v>101</v>
      </c>
      <c r="C108" s="765" t="s">
        <v>9022</v>
      </c>
      <c r="D108" s="310" t="s">
        <v>9023</v>
      </c>
      <c r="E108" s="578" t="s">
        <v>9021</v>
      </c>
      <c r="F108" s="581">
        <v>1.0</v>
      </c>
      <c r="G108" s="466">
        <v>7.0</v>
      </c>
      <c r="H108" s="466">
        <f t="shared" si="8"/>
        <v>7</v>
      </c>
      <c r="I108" s="256" t="s">
        <v>171</v>
      </c>
      <c r="J108" s="333" t="s">
        <v>8708</v>
      </c>
      <c r="K108" s="832">
        <v>42439.0</v>
      </c>
      <c r="L108" s="832">
        <v>42438.0</v>
      </c>
      <c r="M108" s="266" t="s">
        <v>1439</v>
      </c>
      <c r="N108" s="265" t="s">
        <v>9025</v>
      </c>
      <c r="O108" s="773"/>
      <c r="P108" s="320">
        <v>179.0</v>
      </c>
      <c r="Q108" s="388" t="s">
        <v>8714</v>
      </c>
      <c r="R108" s="388"/>
      <c r="S108" s="1139">
        <v>42433.0</v>
      </c>
      <c r="T108" s="1132">
        <v>42437.0</v>
      </c>
      <c r="U108" s="265" t="s">
        <v>9026</v>
      </c>
      <c r="V108" s="1135" t="s">
        <v>9028</v>
      </c>
      <c r="W108" s="1144">
        <v>42433.0</v>
      </c>
      <c r="X108" s="320" t="s">
        <v>9027</v>
      </c>
      <c r="Y108" s="1140"/>
      <c r="Z108" s="1140"/>
      <c r="AA108" s="1140"/>
      <c r="AB108" s="320" t="s">
        <v>284</v>
      </c>
    </row>
    <row r="109" ht="15.75" customHeight="1">
      <c r="A109" s="776">
        <v>42418.0</v>
      </c>
      <c r="B109" s="340" t="s">
        <v>77</v>
      </c>
      <c r="C109" s="765">
        <v>55.0</v>
      </c>
      <c r="D109" s="310" t="s">
        <v>9029</v>
      </c>
      <c r="E109" s="578" t="s">
        <v>9030</v>
      </c>
      <c r="F109" s="581">
        <v>2.0</v>
      </c>
      <c r="G109" s="466">
        <v>146.0</v>
      </c>
      <c r="H109" s="466">
        <f t="shared" si="8"/>
        <v>292</v>
      </c>
      <c r="I109" s="256" t="s">
        <v>171</v>
      </c>
      <c r="J109" s="269" t="s">
        <v>316</v>
      </c>
      <c r="K109" s="832">
        <v>42457.0</v>
      </c>
      <c r="L109" s="832">
        <v>42451.0</v>
      </c>
      <c r="M109" s="333" t="s">
        <v>9031</v>
      </c>
      <c r="N109" s="265" t="s">
        <v>9032</v>
      </c>
      <c r="O109" s="773"/>
      <c r="P109" s="320">
        <f>283.5*32.9</f>
        <v>9327.15</v>
      </c>
      <c r="Q109" s="320" t="s">
        <v>9033</v>
      </c>
      <c r="R109" s="388"/>
      <c r="S109" s="1139">
        <v>42447.0</v>
      </c>
      <c r="T109" s="1132">
        <v>42450.0</v>
      </c>
      <c r="U109" s="265" t="s">
        <v>9034</v>
      </c>
      <c r="V109" s="1135">
        <v>9328.0</v>
      </c>
      <c r="W109" s="1132">
        <v>42447.0</v>
      </c>
      <c r="X109" s="320" t="s">
        <v>9035</v>
      </c>
      <c r="Y109" s="1140"/>
      <c r="Z109" s="1140"/>
      <c r="AA109" s="1140"/>
      <c r="AB109" s="320" t="s">
        <v>284</v>
      </c>
    </row>
    <row r="110" ht="15.75" customHeight="1">
      <c r="A110" s="776">
        <v>42418.0</v>
      </c>
      <c r="B110" s="340" t="s">
        <v>77</v>
      </c>
      <c r="C110" s="765">
        <v>132.0</v>
      </c>
      <c r="D110" s="310" t="s">
        <v>9036</v>
      </c>
      <c r="E110" s="578" t="s">
        <v>9037</v>
      </c>
      <c r="F110" s="581">
        <v>10.0</v>
      </c>
      <c r="G110" s="466">
        <v>3.0</v>
      </c>
      <c r="H110" s="466">
        <f t="shared" si="8"/>
        <v>30</v>
      </c>
      <c r="I110" s="256" t="s">
        <v>171</v>
      </c>
      <c r="J110" s="269" t="s">
        <v>316</v>
      </c>
      <c r="K110" s="832">
        <v>42426.0</v>
      </c>
      <c r="L110" s="832">
        <v>42424.0</v>
      </c>
      <c r="M110" s="333" t="s">
        <v>1998</v>
      </c>
      <c r="N110" s="265" t="s">
        <v>9038</v>
      </c>
      <c r="O110" s="773"/>
      <c r="P110" s="320">
        <v>872.0</v>
      </c>
      <c r="Q110" s="320" t="s">
        <v>2000</v>
      </c>
      <c r="R110" s="388"/>
      <c r="S110" s="1139">
        <v>42452.0</v>
      </c>
      <c r="T110" s="1132">
        <v>42423.0</v>
      </c>
      <c r="U110" s="265" t="s">
        <v>9039</v>
      </c>
      <c r="V110" s="1135">
        <v>872.0</v>
      </c>
      <c r="W110" s="1132">
        <v>42436.0</v>
      </c>
      <c r="X110" s="320" t="s">
        <v>8910</v>
      </c>
      <c r="Y110" s="1140"/>
      <c r="Z110" s="1140"/>
      <c r="AA110" s="1140"/>
      <c r="AB110" s="320" t="s">
        <v>8661</v>
      </c>
    </row>
    <row r="111" ht="15.75" customHeight="1">
      <c r="A111" s="776">
        <v>42421.0</v>
      </c>
      <c r="B111" s="578" t="s">
        <v>8749</v>
      </c>
      <c r="C111" s="765" t="s">
        <v>9040</v>
      </c>
      <c r="D111" s="310" t="s">
        <v>9041</v>
      </c>
      <c r="E111" s="330" t="s">
        <v>8752</v>
      </c>
      <c r="F111" s="581">
        <v>1.0</v>
      </c>
      <c r="G111" s="466">
        <v>101.85</v>
      </c>
      <c r="H111" s="466">
        <f t="shared" si="8"/>
        <v>101.85</v>
      </c>
      <c r="I111" s="256" t="s">
        <v>171</v>
      </c>
      <c r="J111" s="333" t="s">
        <v>90</v>
      </c>
      <c r="K111" s="832">
        <v>42425.0</v>
      </c>
      <c r="L111" s="832"/>
      <c r="M111" s="333" t="s">
        <v>90</v>
      </c>
      <c r="N111" s="265" t="s">
        <v>9042</v>
      </c>
      <c r="O111" s="773">
        <v>89.25</v>
      </c>
      <c r="P111" s="388"/>
      <c r="Q111" s="320" t="s">
        <v>6081</v>
      </c>
      <c r="R111" s="388"/>
      <c r="S111" s="1139"/>
      <c r="T111" s="1132">
        <v>42423.0</v>
      </c>
      <c r="U111" s="265" t="s">
        <v>9043</v>
      </c>
      <c r="V111" s="1135">
        <v>2942.0</v>
      </c>
      <c r="W111" s="1132">
        <v>42453.0</v>
      </c>
      <c r="X111" s="320" t="s">
        <v>9044</v>
      </c>
      <c r="Y111" s="599" t="s">
        <v>9045</v>
      </c>
      <c r="Z111" s="388">
        <v>6596.0</v>
      </c>
      <c r="AA111" s="1140"/>
      <c r="AB111" s="1141"/>
    </row>
    <row r="112" ht="15.75" customHeight="1">
      <c r="A112" s="776">
        <v>42422.0</v>
      </c>
      <c r="B112" s="578" t="s">
        <v>8749</v>
      </c>
      <c r="C112" s="765" t="s">
        <v>9046</v>
      </c>
      <c r="D112" s="310" t="s">
        <v>9047</v>
      </c>
      <c r="E112" s="330" t="s">
        <v>9048</v>
      </c>
      <c r="F112" s="581">
        <v>3.0</v>
      </c>
      <c r="G112" s="466">
        <v>32.13</v>
      </c>
      <c r="H112" s="466">
        <f t="shared" si="8"/>
        <v>96.39</v>
      </c>
      <c r="I112" s="256" t="s">
        <v>171</v>
      </c>
      <c r="J112" s="333" t="s">
        <v>90</v>
      </c>
      <c r="K112" s="832">
        <v>42425.0</v>
      </c>
      <c r="L112" s="832"/>
      <c r="M112" s="333" t="s">
        <v>90</v>
      </c>
      <c r="N112" s="265" t="s">
        <v>9049</v>
      </c>
      <c r="O112" s="773">
        <v>81.9</v>
      </c>
      <c r="P112" s="388"/>
      <c r="Q112" s="320" t="s">
        <v>6081</v>
      </c>
      <c r="R112" s="388"/>
      <c r="S112" s="1139"/>
      <c r="T112" s="1132">
        <v>42424.0</v>
      </c>
      <c r="U112" s="265" t="s">
        <v>9050</v>
      </c>
      <c r="V112" s="1135">
        <v>2700.0</v>
      </c>
      <c r="W112" s="1132">
        <v>42453.0</v>
      </c>
      <c r="X112" s="320" t="s">
        <v>9044</v>
      </c>
      <c r="Y112" s="599" t="s">
        <v>9045</v>
      </c>
      <c r="Z112" s="1137" t="s">
        <v>9051</v>
      </c>
      <c r="AA112" s="1140"/>
      <c r="AB112" s="1141"/>
    </row>
    <row r="113" ht="15.75" customHeight="1">
      <c r="A113" s="764">
        <v>42424.0</v>
      </c>
      <c r="B113" s="599" t="s">
        <v>54</v>
      </c>
      <c r="C113" s="765" t="s">
        <v>9052</v>
      </c>
      <c r="D113" s="330" t="s">
        <v>9053</v>
      </c>
      <c r="E113" s="578" t="s">
        <v>9054</v>
      </c>
      <c r="F113" s="331">
        <v>15.0</v>
      </c>
      <c r="G113" s="325">
        <v>150.15</v>
      </c>
      <c r="H113" s="466">
        <f t="shared" si="8"/>
        <v>2252.25</v>
      </c>
      <c r="I113" s="256" t="s">
        <v>8675</v>
      </c>
      <c r="J113" s="269" t="s">
        <v>90</v>
      </c>
      <c r="K113" s="832">
        <v>42450.0</v>
      </c>
      <c r="L113" s="832"/>
      <c r="M113" s="333" t="s">
        <v>90</v>
      </c>
      <c r="N113" s="265" t="s">
        <v>9055</v>
      </c>
      <c r="O113" s="773">
        <v>2016.0</v>
      </c>
      <c r="P113" s="388"/>
      <c r="Q113" s="320" t="s">
        <v>6081</v>
      </c>
      <c r="R113" s="388"/>
      <c r="S113" s="1139"/>
      <c r="T113" s="1132">
        <v>42450.0</v>
      </c>
      <c r="U113" s="265" t="s">
        <v>9056</v>
      </c>
      <c r="V113" s="1135">
        <v>62413.0</v>
      </c>
      <c r="W113" s="1132">
        <v>42453.0</v>
      </c>
      <c r="X113" s="320" t="s">
        <v>9057</v>
      </c>
      <c r="Y113" s="388" t="s">
        <v>9058</v>
      </c>
      <c r="Z113" s="1146">
        <v>73243.0</v>
      </c>
      <c r="AA113" s="388"/>
      <c r="AB113" s="320" t="s">
        <v>284</v>
      </c>
    </row>
    <row r="114" ht="15.75" customHeight="1">
      <c r="A114" s="776">
        <v>42425.0</v>
      </c>
      <c r="B114" s="599" t="s">
        <v>6246</v>
      </c>
      <c r="C114" s="765"/>
      <c r="D114" s="310" t="s">
        <v>9059</v>
      </c>
      <c r="E114" s="578" t="s">
        <v>9060</v>
      </c>
      <c r="F114" s="581">
        <v>2.0</v>
      </c>
      <c r="G114" s="466">
        <v>253.0</v>
      </c>
      <c r="H114" s="466">
        <f t="shared" si="8"/>
        <v>506</v>
      </c>
      <c r="I114" s="256" t="s">
        <v>171</v>
      </c>
      <c r="J114" s="333" t="s">
        <v>9061</v>
      </c>
      <c r="K114" s="832">
        <v>42457.0</v>
      </c>
      <c r="L114" s="832">
        <v>42453.0</v>
      </c>
      <c r="M114" s="333" t="s">
        <v>90</v>
      </c>
      <c r="N114" s="265" t="s">
        <v>9062</v>
      </c>
      <c r="O114" s="773">
        <v>614.25</v>
      </c>
      <c r="P114" s="388"/>
      <c r="Q114" s="320" t="s">
        <v>6081</v>
      </c>
      <c r="R114" s="388"/>
      <c r="S114" s="1139"/>
      <c r="T114" s="1132">
        <v>42453.0</v>
      </c>
      <c r="U114" s="265" t="s">
        <v>9063</v>
      </c>
      <c r="V114" s="1135">
        <v>32359.0</v>
      </c>
      <c r="W114" s="1132">
        <v>42471.0</v>
      </c>
      <c r="X114" s="320" t="s">
        <v>9064</v>
      </c>
      <c r="Y114" s="1140"/>
      <c r="Z114" s="1140"/>
      <c r="AA114" s="1140"/>
      <c r="AB114" s="320" t="s">
        <v>284</v>
      </c>
    </row>
    <row r="115" ht="15.75" customHeight="1">
      <c r="A115" s="776">
        <v>42425.0</v>
      </c>
      <c r="B115" s="599" t="s">
        <v>6246</v>
      </c>
      <c r="C115" s="765"/>
      <c r="D115" s="310" t="s">
        <v>9059</v>
      </c>
      <c r="E115" s="578" t="s">
        <v>9065</v>
      </c>
      <c r="F115" s="581">
        <v>2.0</v>
      </c>
      <c r="G115" s="466">
        <v>88.0</v>
      </c>
      <c r="H115" s="466">
        <f t="shared" si="8"/>
        <v>176</v>
      </c>
      <c r="I115" s="256" t="s">
        <v>171</v>
      </c>
      <c r="J115" s="333" t="s">
        <v>9061</v>
      </c>
      <c r="K115" s="832">
        <v>42457.0</v>
      </c>
      <c r="L115" s="832">
        <v>42453.0</v>
      </c>
      <c r="M115" s="333" t="s">
        <v>90</v>
      </c>
      <c r="N115" s="265" t="s">
        <v>9062</v>
      </c>
      <c r="O115" s="773">
        <v>184.8</v>
      </c>
      <c r="P115" s="388"/>
      <c r="Q115" s="320" t="s">
        <v>6081</v>
      </c>
      <c r="R115" s="388"/>
      <c r="S115" s="1139"/>
      <c r="T115" s="1132">
        <v>42453.0</v>
      </c>
      <c r="U115" s="265" t="s">
        <v>9063</v>
      </c>
      <c r="V115" s="1135" t="s">
        <v>9066</v>
      </c>
      <c r="W115" s="1132">
        <v>42471.0</v>
      </c>
      <c r="X115" s="320" t="s">
        <v>9064</v>
      </c>
      <c r="Y115" s="1140"/>
      <c r="Z115" s="1140"/>
      <c r="AA115" s="1140"/>
      <c r="AB115" s="320" t="s">
        <v>284</v>
      </c>
    </row>
    <row r="116" ht="15.75" customHeight="1">
      <c r="A116" s="776">
        <v>42425.0</v>
      </c>
      <c r="B116" s="599" t="s">
        <v>6246</v>
      </c>
      <c r="C116" s="765"/>
      <c r="D116" s="310" t="s">
        <v>9059</v>
      </c>
      <c r="E116" s="578" t="s">
        <v>9067</v>
      </c>
      <c r="F116" s="581">
        <v>3.0</v>
      </c>
      <c r="G116" s="466">
        <v>64.5</v>
      </c>
      <c r="H116" s="466">
        <f t="shared" si="8"/>
        <v>193.5</v>
      </c>
      <c r="I116" s="256" t="s">
        <v>171</v>
      </c>
      <c r="J116" s="333" t="s">
        <v>9061</v>
      </c>
      <c r="K116" s="832">
        <v>42457.0</v>
      </c>
      <c r="L116" s="832">
        <v>42453.0</v>
      </c>
      <c r="M116" s="333" t="s">
        <v>90</v>
      </c>
      <c r="N116" s="265" t="s">
        <v>9062</v>
      </c>
      <c r="O116" s="773">
        <v>189.0</v>
      </c>
      <c r="P116" s="388"/>
      <c r="Q116" s="320" t="s">
        <v>6081</v>
      </c>
      <c r="R116" s="388"/>
      <c r="S116" s="1139"/>
      <c r="T116" s="1132">
        <v>42453.0</v>
      </c>
      <c r="U116" s="265" t="s">
        <v>9063</v>
      </c>
      <c r="V116" s="1135" t="s">
        <v>9066</v>
      </c>
      <c r="W116" s="1132">
        <v>42471.0</v>
      </c>
      <c r="X116" s="320" t="s">
        <v>9064</v>
      </c>
      <c r="Y116" s="1140"/>
      <c r="Z116" s="1140"/>
      <c r="AA116" s="1140"/>
      <c r="AB116" s="320" t="s">
        <v>284</v>
      </c>
    </row>
    <row r="117" ht="15.75" customHeight="1">
      <c r="A117" s="776">
        <v>42430.0</v>
      </c>
      <c r="B117" s="599" t="s">
        <v>101</v>
      </c>
      <c r="C117" s="765" t="s">
        <v>9068</v>
      </c>
      <c r="D117" s="310" t="s">
        <v>9069</v>
      </c>
      <c r="E117" s="578" t="s">
        <v>6637</v>
      </c>
      <c r="F117" s="581">
        <v>1.0</v>
      </c>
      <c r="G117" s="466">
        <v>99.0</v>
      </c>
      <c r="H117" s="466">
        <f t="shared" si="8"/>
        <v>99</v>
      </c>
      <c r="I117" s="256" t="s">
        <v>171</v>
      </c>
      <c r="J117" s="333" t="s">
        <v>8708</v>
      </c>
      <c r="K117" s="832">
        <v>42433.0</v>
      </c>
      <c r="L117" s="850">
        <v>42433.0</v>
      </c>
      <c r="M117" s="333" t="s">
        <v>3489</v>
      </c>
      <c r="N117" s="265" t="s">
        <v>9070</v>
      </c>
      <c r="O117" s="773"/>
      <c r="P117" s="320">
        <v>2781.0</v>
      </c>
      <c r="Q117" s="388" t="s">
        <v>9071</v>
      </c>
      <c r="R117" s="388"/>
      <c r="S117" s="1139"/>
      <c r="T117" s="1132">
        <v>42432.0</v>
      </c>
      <c r="U117" s="265" t="s">
        <v>9072</v>
      </c>
      <c r="V117" s="1135">
        <v>2781.0</v>
      </c>
      <c r="W117" s="832">
        <v>42433.0</v>
      </c>
      <c r="X117" s="320" t="s">
        <v>8999</v>
      </c>
      <c r="Y117" s="1140"/>
      <c r="Z117" s="1140"/>
      <c r="AA117" s="1140"/>
      <c r="AB117" s="320" t="s">
        <v>284</v>
      </c>
    </row>
    <row r="118" ht="15.75" customHeight="1">
      <c r="A118" s="776">
        <v>42430.0</v>
      </c>
      <c r="B118" s="599" t="s">
        <v>101</v>
      </c>
      <c r="C118" s="765" t="s">
        <v>9068</v>
      </c>
      <c r="D118" s="310" t="s">
        <v>9069</v>
      </c>
      <c r="E118" s="310" t="s">
        <v>6644</v>
      </c>
      <c r="F118" s="581">
        <v>2.0</v>
      </c>
      <c r="G118" s="466">
        <v>2.0</v>
      </c>
      <c r="H118" s="466">
        <f t="shared" si="8"/>
        <v>4</v>
      </c>
      <c r="I118" s="256" t="s">
        <v>171</v>
      </c>
      <c r="J118" s="333" t="s">
        <v>8708</v>
      </c>
      <c r="K118" s="832">
        <v>42433.0</v>
      </c>
      <c r="L118" s="850">
        <v>42433.0</v>
      </c>
      <c r="M118" s="333" t="s">
        <v>3769</v>
      </c>
      <c r="N118" s="265" t="s">
        <v>9073</v>
      </c>
      <c r="O118" s="773"/>
      <c r="P118" s="320">
        <v>116.0</v>
      </c>
      <c r="Q118" s="320" t="s">
        <v>2131</v>
      </c>
      <c r="R118" s="388"/>
      <c r="S118" s="1139">
        <v>42495.0</v>
      </c>
      <c r="T118" s="1132">
        <v>42432.0</v>
      </c>
      <c r="U118" s="265" t="s">
        <v>9074</v>
      </c>
      <c r="V118" s="1135">
        <v>390.0</v>
      </c>
      <c r="W118" s="1132">
        <v>42496.0</v>
      </c>
      <c r="X118" s="320" t="s">
        <v>8999</v>
      </c>
      <c r="Y118" s="1140"/>
      <c r="Z118" s="1140"/>
      <c r="AA118" s="1140"/>
      <c r="AB118" s="320" t="s">
        <v>284</v>
      </c>
    </row>
    <row r="119" ht="15.75" customHeight="1">
      <c r="A119" s="776">
        <v>42430.0</v>
      </c>
      <c r="B119" s="599" t="s">
        <v>101</v>
      </c>
      <c r="C119" s="765" t="s">
        <v>9068</v>
      </c>
      <c r="D119" s="310" t="s">
        <v>9069</v>
      </c>
      <c r="E119" s="578" t="s">
        <v>9075</v>
      </c>
      <c r="F119" s="581">
        <v>1.0</v>
      </c>
      <c r="G119" s="466">
        <v>3.0</v>
      </c>
      <c r="H119" s="466">
        <f t="shared" si="8"/>
        <v>3</v>
      </c>
      <c r="I119" s="256" t="s">
        <v>171</v>
      </c>
      <c r="J119" s="333" t="s">
        <v>8708</v>
      </c>
      <c r="K119" s="832">
        <v>42433.0</v>
      </c>
      <c r="L119" s="850">
        <v>42433.0</v>
      </c>
      <c r="M119" s="333" t="s">
        <v>3769</v>
      </c>
      <c r="N119" s="265" t="s">
        <v>9073</v>
      </c>
      <c r="O119" s="773"/>
      <c r="P119" s="320">
        <v>68.0</v>
      </c>
      <c r="Q119" s="320" t="s">
        <v>2131</v>
      </c>
      <c r="R119" s="388"/>
      <c r="S119" s="1139">
        <v>42495.0</v>
      </c>
      <c r="T119" s="1132">
        <v>42432.0</v>
      </c>
      <c r="U119" s="265" t="s">
        <v>9074</v>
      </c>
      <c r="V119" s="1135" t="s">
        <v>9076</v>
      </c>
      <c r="W119" s="1132">
        <v>42496.0</v>
      </c>
      <c r="X119" s="320" t="s">
        <v>8999</v>
      </c>
      <c r="Y119" s="1140"/>
      <c r="Z119" s="1140"/>
      <c r="AA119" s="1140"/>
      <c r="AB119" s="320" t="s">
        <v>284</v>
      </c>
    </row>
    <row r="120" ht="15.75" customHeight="1">
      <c r="A120" s="776">
        <v>42430.0</v>
      </c>
      <c r="B120" s="599" t="s">
        <v>101</v>
      </c>
      <c r="C120" s="765" t="s">
        <v>9068</v>
      </c>
      <c r="D120" s="310" t="s">
        <v>9069</v>
      </c>
      <c r="E120" s="604" t="s">
        <v>9077</v>
      </c>
      <c r="F120" s="581">
        <v>1.0</v>
      </c>
      <c r="G120" s="466">
        <v>7.0</v>
      </c>
      <c r="H120" s="466">
        <f t="shared" si="8"/>
        <v>7</v>
      </c>
      <c r="I120" s="256" t="s">
        <v>171</v>
      </c>
      <c r="J120" s="333" t="s">
        <v>8708</v>
      </c>
      <c r="K120" s="832">
        <v>42433.0</v>
      </c>
      <c r="L120" s="850">
        <v>42433.0</v>
      </c>
      <c r="M120" s="333" t="s">
        <v>3769</v>
      </c>
      <c r="N120" s="265" t="s">
        <v>9073</v>
      </c>
      <c r="O120" s="773"/>
      <c r="P120" s="320">
        <v>206.0</v>
      </c>
      <c r="Q120" s="320" t="s">
        <v>2131</v>
      </c>
      <c r="R120" s="388"/>
      <c r="S120" s="1139">
        <v>42495.0</v>
      </c>
      <c r="T120" s="1132">
        <v>42432.0</v>
      </c>
      <c r="U120" s="265" t="s">
        <v>9074</v>
      </c>
      <c r="V120" s="1135" t="s">
        <v>9076</v>
      </c>
      <c r="W120" s="1132">
        <v>42496.0</v>
      </c>
      <c r="X120" s="320" t="s">
        <v>8999</v>
      </c>
      <c r="Y120" s="1140"/>
      <c r="Z120" s="1140"/>
      <c r="AA120" s="1140"/>
      <c r="AB120" s="320" t="s">
        <v>284</v>
      </c>
    </row>
    <row r="121" ht="15.75" customHeight="1">
      <c r="A121" s="776">
        <v>42430.0</v>
      </c>
      <c r="B121" s="599" t="s">
        <v>101</v>
      </c>
      <c r="C121" s="765" t="s">
        <v>9068</v>
      </c>
      <c r="D121" s="310" t="s">
        <v>9069</v>
      </c>
      <c r="E121" s="578" t="s">
        <v>9078</v>
      </c>
      <c r="F121" s="581">
        <v>1.0</v>
      </c>
      <c r="G121" s="466">
        <v>36.0</v>
      </c>
      <c r="H121" s="466">
        <f t="shared" si="8"/>
        <v>36</v>
      </c>
      <c r="I121" s="256" t="s">
        <v>171</v>
      </c>
      <c r="J121" s="333" t="s">
        <v>8708</v>
      </c>
      <c r="K121" s="832">
        <v>42433.0</v>
      </c>
      <c r="L121" s="832"/>
      <c r="M121" s="333"/>
      <c r="N121" s="265"/>
      <c r="O121" s="773"/>
      <c r="P121" s="388"/>
      <c r="Q121" s="320"/>
      <c r="R121" s="388"/>
      <c r="S121" s="1139"/>
      <c r="T121" s="1150"/>
      <c r="U121" s="1136"/>
      <c r="V121" s="1151"/>
      <c r="W121" s="1150"/>
      <c r="X121" s="320" t="s">
        <v>8999</v>
      </c>
      <c r="Y121" s="1140"/>
      <c r="Z121" s="1140"/>
      <c r="AA121" s="1140"/>
      <c r="AB121" s="320" t="s">
        <v>284</v>
      </c>
    </row>
    <row r="122" ht="15.75" customHeight="1">
      <c r="A122" s="776">
        <v>42431.0</v>
      </c>
      <c r="B122" s="340" t="s">
        <v>3506</v>
      </c>
      <c r="C122" s="765" t="s">
        <v>9079</v>
      </c>
      <c r="D122" s="310" t="s">
        <v>9080</v>
      </c>
      <c r="E122" s="330" t="s">
        <v>9081</v>
      </c>
      <c r="F122" s="581">
        <v>30.0</v>
      </c>
      <c r="G122" s="466">
        <v>183.8</v>
      </c>
      <c r="H122" s="466">
        <f t="shared" si="8"/>
        <v>5514</v>
      </c>
      <c r="I122" s="256" t="s">
        <v>171</v>
      </c>
      <c r="J122" s="599" t="s">
        <v>3509</v>
      </c>
      <c r="K122" s="832">
        <v>42457.0</v>
      </c>
      <c r="L122" s="832">
        <v>42453.0</v>
      </c>
      <c r="M122" s="333" t="s">
        <v>90</v>
      </c>
      <c r="N122" s="265" t="s">
        <v>9082</v>
      </c>
      <c r="O122" s="773">
        <v>5528.25</v>
      </c>
      <c r="P122" s="388"/>
      <c r="Q122" s="320" t="s">
        <v>6081</v>
      </c>
      <c r="R122" s="388"/>
      <c r="S122" s="1139"/>
      <c r="T122" s="1132">
        <v>42452.0</v>
      </c>
      <c r="U122" s="265" t="s">
        <v>9083</v>
      </c>
      <c r="V122" s="1161" t="s">
        <v>9084</v>
      </c>
      <c r="W122" s="1132">
        <v>42471.0</v>
      </c>
      <c r="X122" s="320" t="s">
        <v>9085</v>
      </c>
      <c r="Y122" s="1140"/>
      <c r="Z122" s="1140"/>
      <c r="AA122" s="1140"/>
      <c r="AB122" s="340" t="s">
        <v>9086</v>
      </c>
    </row>
    <row r="123" ht="15.75" customHeight="1">
      <c r="A123" s="776">
        <v>42431.0</v>
      </c>
      <c r="B123" s="340" t="s">
        <v>3506</v>
      </c>
      <c r="C123" s="765" t="s">
        <v>9079</v>
      </c>
      <c r="D123" s="310" t="s">
        <v>9087</v>
      </c>
      <c r="E123" s="330" t="s">
        <v>9081</v>
      </c>
      <c r="F123" s="581">
        <v>70.0</v>
      </c>
      <c r="G123" s="466">
        <v>183.8</v>
      </c>
      <c r="H123" s="466">
        <f t="shared" si="8"/>
        <v>12866</v>
      </c>
      <c r="I123" s="256" t="s">
        <v>171</v>
      </c>
      <c r="J123" s="599" t="s">
        <v>3509</v>
      </c>
      <c r="K123" s="832">
        <v>42457.0</v>
      </c>
      <c r="L123" s="832">
        <v>42453.0</v>
      </c>
      <c r="M123" s="333" t="s">
        <v>90</v>
      </c>
      <c r="N123" s="265" t="s">
        <v>9088</v>
      </c>
      <c r="O123" s="773">
        <v>12899.25</v>
      </c>
      <c r="P123" s="388"/>
      <c r="Q123" s="320" t="s">
        <v>6081</v>
      </c>
      <c r="R123" s="388"/>
      <c r="S123" s="1139"/>
      <c r="T123" s="1132">
        <v>42452.0</v>
      </c>
      <c r="U123" s="265" t="s">
        <v>9089</v>
      </c>
      <c r="V123" s="1135" t="s">
        <v>9090</v>
      </c>
      <c r="W123" s="1132">
        <v>42471.0</v>
      </c>
      <c r="X123" s="320" t="s">
        <v>9085</v>
      </c>
      <c r="Y123" s="1140"/>
      <c r="Z123" s="1140"/>
      <c r="AA123" s="1140"/>
      <c r="AB123" s="340" t="s">
        <v>9086</v>
      </c>
    </row>
    <row r="124" ht="15.75" customHeight="1">
      <c r="A124" s="1162" t="s">
        <v>9091</v>
      </c>
      <c r="B124" s="599" t="s">
        <v>229</v>
      </c>
      <c r="C124" s="765"/>
      <c r="D124" s="310" t="s">
        <v>9092</v>
      </c>
      <c r="E124" s="604" t="s">
        <v>462</v>
      </c>
      <c r="F124" s="331">
        <v>20.0</v>
      </c>
      <c r="G124" s="581">
        <v>449.4</v>
      </c>
      <c r="H124" s="466">
        <f t="shared" si="8"/>
        <v>8988</v>
      </c>
      <c r="I124" s="256" t="s">
        <v>171</v>
      </c>
      <c r="J124" s="269" t="s">
        <v>90</v>
      </c>
      <c r="K124" s="832">
        <v>42440.0</v>
      </c>
      <c r="L124" s="832"/>
      <c r="M124" s="333" t="s">
        <v>90</v>
      </c>
      <c r="N124" s="265" t="s">
        <v>9093</v>
      </c>
      <c r="O124" s="773">
        <v>8127.0</v>
      </c>
      <c r="P124" s="388"/>
      <c r="Q124" s="320" t="s">
        <v>6081</v>
      </c>
      <c r="R124" s="388"/>
      <c r="S124" s="1139"/>
      <c r="T124" s="1132">
        <v>42440.0</v>
      </c>
      <c r="U124" s="265" t="s">
        <v>9094</v>
      </c>
      <c r="V124" s="1135">
        <v>253478.0</v>
      </c>
      <c r="W124" s="1132">
        <v>42453.0</v>
      </c>
      <c r="X124" s="320" t="s">
        <v>9095</v>
      </c>
      <c r="Y124" s="1140" t="s">
        <v>9096</v>
      </c>
      <c r="Z124" s="1140">
        <v>291121.0</v>
      </c>
      <c r="AA124" s="1140" t="s">
        <v>9097</v>
      </c>
      <c r="AB124" s="1141"/>
    </row>
    <row r="125" ht="15.75" customHeight="1">
      <c r="A125" s="776">
        <v>42433.0</v>
      </c>
      <c r="B125" s="340" t="s">
        <v>3506</v>
      </c>
      <c r="C125" s="765"/>
      <c r="D125" s="310" t="s">
        <v>9098</v>
      </c>
      <c r="E125" s="330" t="s">
        <v>9081</v>
      </c>
      <c r="F125" s="581">
        <v>100.0</v>
      </c>
      <c r="G125" s="466">
        <v>189.1</v>
      </c>
      <c r="H125" s="466">
        <f t="shared" si="8"/>
        <v>18910</v>
      </c>
      <c r="I125" s="256" t="s">
        <v>171</v>
      </c>
      <c r="J125" s="340" t="s">
        <v>3509</v>
      </c>
      <c r="K125" s="832">
        <v>42478.0</v>
      </c>
      <c r="L125" s="832">
        <v>42472.0</v>
      </c>
      <c r="M125" s="333" t="s">
        <v>90</v>
      </c>
      <c r="N125" s="265" t="s">
        <v>9099</v>
      </c>
      <c r="O125" s="773">
        <v>18427.5</v>
      </c>
      <c r="P125" s="388"/>
      <c r="Q125" s="320" t="s">
        <v>6081</v>
      </c>
      <c r="R125" s="388"/>
      <c r="S125" s="1139"/>
      <c r="T125" s="1132">
        <v>42472.0</v>
      </c>
      <c r="U125" s="265" t="s">
        <v>9100</v>
      </c>
      <c r="V125" s="1135">
        <v>561246.0</v>
      </c>
      <c r="W125" s="1132">
        <v>42494.0</v>
      </c>
      <c r="X125" s="320" t="s">
        <v>9101</v>
      </c>
      <c r="Y125" s="1140"/>
      <c r="Z125" s="1140"/>
      <c r="AA125" s="1140"/>
      <c r="AB125" s="340" t="s">
        <v>284</v>
      </c>
    </row>
    <row r="126" ht="15.75" customHeight="1">
      <c r="A126" s="776">
        <v>42434.0</v>
      </c>
      <c r="B126" s="599" t="s">
        <v>101</v>
      </c>
      <c r="C126" s="765"/>
      <c r="D126" s="765" t="s">
        <v>9102</v>
      </c>
      <c r="E126" s="330" t="s">
        <v>9103</v>
      </c>
      <c r="F126" s="581">
        <v>1.0</v>
      </c>
      <c r="G126" s="466">
        <v>157.0</v>
      </c>
      <c r="H126" s="466">
        <f t="shared" si="8"/>
        <v>157</v>
      </c>
      <c r="I126" s="256" t="s">
        <v>171</v>
      </c>
      <c r="J126" s="333" t="s">
        <v>8708</v>
      </c>
      <c r="K126" s="832">
        <v>42433.0</v>
      </c>
      <c r="L126" s="832"/>
      <c r="M126" s="333" t="s">
        <v>2032</v>
      </c>
      <c r="N126" s="265"/>
      <c r="O126" s="773"/>
      <c r="P126" s="320">
        <v>3929.0</v>
      </c>
      <c r="Q126" s="388" t="s">
        <v>2033</v>
      </c>
      <c r="R126" s="388"/>
      <c r="S126" s="1139">
        <v>42459.0</v>
      </c>
      <c r="T126" s="1132">
        <v>42429.0</v>
      </c>
      <c r="U126" s="265" t="s">
        <v>9104</v>
      </c>
      <c r="V126" s="1135">
        <v>6162.0</v>
      </c>
      <c r="W126" s="1132">
        <v>42460.0</v>
      </c>
      <c r="X126" s="320" t="s">
        <v>9027</v>
      </c>
      <c r="Y126" s="1140"/>
      <c r="Z126" s="1140"/>
      <c r="AA126" s="1140"/>
      <c r="AB126" s="1141" t="s">
        <v>284</v>
      </c>
    </row>
    <row r="127" ht="15.75" customHeight="1">
      <c r="A127" s="776">
        <v>42434.0</v>
      </c>
      <c r="B127" s="599" t="s">
        <v>101</v>
      </c>
      <c r="C127" s="765"/>
      <c r="D127" s="765" t="s">
        <v>9105</v>
      </c>
      <c r="E127" s="330" t="s">
        <v>9106</v>
      </c>
      <c r="F127" s="581">
        <v>1.0</v>
      </c>
      <c r="G127" s="466">
        <v>39.0</v>
      </c>
      <c r="H127" s="466">
        <f t="shared" si="8"/>
        <v>39</v>
      </c>
      <c r="I127" s="256" t="s">
        <v>171</v>
      </c>
      <c r="J127" s="333" t="s">
        <v>8708</v>
      </c>
      <c r="K127" s="832">
        <v>42433.0</v>
      </c>
      <c r="L127" s="832"/>
      <c r="M127" s="333" t="s">
        <v>2032</v>
      </c>
      <c r="N127" s="265"/>
      <c r="O127" s="773"/>
      <c r="P127" s="320">
        <v>2233.0</v>
      </c>
      <c r="Q127" s="388" t="s">
        <v>2033</v>
      </c>
      <c r="R127" s="388"/>
      <c r="S127" s="1139">
        <v>42459.0</v>
      </c>
      <c r="T127" s="1132">
        <v>42429.0</v>
      </c>
      <c r="U127" s="265" t="s">
        <v>9104</v>
      </c>
      <c r="V127" s="1135" t="s">
        <v>9107</v>
      </c>
      <c r="W127" s="1132">
        <v>42460.0</v>
      </c>
      <c r="X127" s="320" t="s">
        <v>9027</v>
      </c>
      <c r="Y127" s="1140"/>
      <c r="Z127" s="1140"/>
      <c r="AA127" s="1140"/>
      <c r="AB127" s="1141" t="s">
        <v>284</v>
      </c>
    </row>
    <row r="128" ht="15.75" customHeight="1">
      <c r="A128" s="776">
        <v>42434.0</v>
      </c>
      <c r="B128" s="599" t="s">
        <v>101</v>
      </c>
      <c r="C128" s="765"/>
      <c r="D128" s="310" t="s">
        <v>9108</v>
      </c>
      <c r="E128" s="578" t="s">
        <v>9109</v>
      </c>
      <c r="F128" s="581">
        <v>1.0</v>
      </c>
      <c r="G128" s="466">
        <v>147.0</v>
      </c>
      <c r="H128" s="466">
        <f t="shared" si="8"/>
        <v>147</v>
      </c>
      <c r="I128" s="256" t="s">
        <v>171</v>
      </c>
      <c r="J128" s="333" t="s">
        <v>8708</v>
      </c>
      <c r="K128" s="832">
        <v>42433.0</v>
      </c>
      <c r="L128" s="832"/>
      <c r="M128" s="333" t="s">
        <v>2032</v>
      </c>
      <c r="N128" s="265"/>
      <c r="O128" s="773"/>
      <c r="P128" s="320">
        <v>4035.0</v>
      </c>
      <c r="Q128" s="388" t="s">
        <v>2033</v>
      </c>
      <c r="R128" s="388"/>
      <c r="S128" s="1145">
        <v>42470.0</v>
      </c>
      <c r="T128" s="1132">
        <v>42440.0</v>
      </c>
      <c r="U128" s="265" t="s">
        <v>9110</v>
      </c>
      <c r="V128" s="1135">
        <v>5182.0</v>
      </c>
      <c r="W128" s="1150"/>
      <c r="X128" s="320" t="s">
        <v>9027</v>
      </c>
      <c r="Y128" s="1140"/>
      <c r="Z128" s="1140"/>
      <c r="AA128" s="1140"/>
      <c r="AB128" s="1141" t="s">
        <v>284</v>
      </c>
    </row>
    <row r="129" ht="15.75" customHeight="1">
      <c r="A129" s="776">
        <v>42437.0</v>
      </c>
      <c r="B129" s="599" t="s">
        <v>1000</v>
      </c>
      <c r="C129" s="765" t="s">
        <v>9111</v>
      </c>
      <c r="D129" s="310" t="s">
        <v>9112</v>
      </c>
      <c r="E129" s="578" t="s">
        <v>9113</v>
      </c>
      <c r="F129" s="581">
        <v>1.0</v>
      </c>
      <c r="G129" s="466">
        <v>265.0</v>
      </c>
      <c r="H129" s="466">
        <f t="shared" si="8"/>
        <v>265</v>
      </c>
      <c r="I129" s="256" t="s">
        <v>171</v>
      </c>
      <c r="J129" s="333" t="s">
        <v>8684</v>
      </c>
      <c r="K129" s="832">
        <v>42439.0</v>
      </c>
      <c r="L129" s="832">
        <v>42438.0</v>
      </c>
      <c r="M129" s="333" t="s">
        <v>9114</v>
      </c>
      <c r="N129" s="265" t="s">
        <v>9115</v>
      </c>
      <c r="O129" s="773"/>
      <c r="P129" s="320">
        <f>262.5*33.01</f>
        <v>8665.125</v>
      </c>
      <c r="Q129" s="320" t="s">
        <v>9116</v>
      </c>
      <c r="R129" s="388"/>
      <c r="S129" s="1139">
        <v>42437.0</v>
      </c>
      <c r="T129" s="1132">
        <v>42437.0</v>
      </c>
      <c r="U129" s="265" t="s">
        <v>9117</v>
      </c>
      <c r="V129" s="1135">
        <v>8666.0</v>
      </c>
      <c r="W129" s="832">
        <v>42437.0</v>
      </c>
      <c r="X129" s="320" t="s">
        <v>9118</v>
      </c>
      <c r="Y129" s="1140"/>
      <c r="Z129" s="1140"/>
      <c r="AA129" s="1140"/>
      <c r="AB129" s="320" t="s">
        <v>284</v>
      </c>
    </row>
    <row r="130" ht="15.75" customHeight="1">
      <c r="A130" s="776">
        <v>42437.0</v>
      </c>
      <c r="B130" s="599" t="s">
        <v>1000</v>
      </c>
      <c r="C130" s="765"/>
      <c r="D130" s="310" t="s">
        <v>9119</v>
      </c>
      <c r="E130" s="578" t="s">
        <v>9120</v>
      </c>
      <c r="F130" s="581">
        <v>1.0</v>
      </c>
      <c r="G130" s="466">
        <v>30.0</v>
      </c>
      <c r="H130" s="466">
        <f t="shared" si="8"/>
        <v>30</v>
      </c>
      <c r="I130" s="256" t="s">
        <v>171</v>
      </c>
      <c r="J130" s="333" t="s">
        <v>8684</v>
      </c>
      <c r="K130" s="832">
        <v>42439.0</v>
      </c>
      <c r="L130" s="832">
        <v>42438.0</v>
      </c>
      <c r="M130" s="333" t="s">
        <v>9121</v>
      </c>
      <c r="N130" s="265" t="s">
        <v>9122</v>
      </c>
      <c r="O130" s="773"/>
      <c r="P130" s="320">
        <v>893.0</v>
      </c>
      <c r="Q130" s="320" t="s">
        <v>9123</v>
      </c>
      <c r="R130" s="388"/>
      <c r="S130" s="1139">
        <v>42437.0</v>
      </c>
      <c r="T130" s="1132">
        <v>42438.0</v>
      </c>
      <c r="U130" s="265" t="s">
        <v>9124</v>
      </c>
      <c r="V130" s="1135">
        <v>893.0</v>
      </c>
      <c r="W130" s="1133">
        <v>42437.0</v>
      </c>
      <c r="X130" s="320" t="s">
        <v>9118</v>
      </c>
      <c r="Y130" s="1140"/>
      <c r="Z130" s="1140"/>
      <c r="AA130" s="1140"/>
      <c r="AB130" s="320" t="s">
        <v>578</v>
      </c>
    </row>
    <row r="131" ht="15.75" customHeight="1">
      <c r="A131" s="776">
        <v>42439.0</v>
      </c>
      <c r="B131" s="599" t="s">
        <v>101</v>
      </c>
      <c r="C131" s="765"/>
      <c r="D131" s="310" t="s">
        <v>9125</v>
      </c>
      <c r="E131" s="578" t="s">
        <v>9126</v>
      </c>
      <c r="F131" s="581">
        <v>1.0</v>
      </c>
      <c r="G131" s="466">
        <v>51.0</v>
      </c>
      <c r="H131" s="466">
        <f t="shared" si="8"/>
        <v>51</v>
      </c>
      <c r="I131" s="256" t="s">
        <v>171</v>
      </c>
      <c r="J131" s="333" t="s">
        <v>8708</v>
      </c>
      <c r="K131" s="832">
        <v>42439.0</v>
      </c>
      <c r="L131" s="832"/>
      <c r="M131" s="333" t="s">
        <v>2032</v>
      </c>
      <c r="N131" s="265"/>
      <c r="O131" s="773"/>
      <c r="P131" s="320">
        <v>1676.0</v>
      </c>
      <c r="Q131" s="388" t="s">
        <v>2033</v>
      </c>
      <c r="R131" s="388"/>
      <c r="S131" s="1145">
        <v>42477.0</v>
      </c>
      <c r="T131" s="1132">
        <v>42447.0</v>
      </c>
      <c r="U131" s="265" t="s">
        <v>9127</v>
      </c>
      <c r="V131" s="1135">
        <v>1676.0</v>
      </c>
      <c r="W131" s="832">
        <v>42471.0</v>
      </c>
      <c r="X131" s="320" t="s">
        <v>9027</v>
      </c>
      <c r="Y131" s="1140"/>
      <c r="Z131" s="1140"/>
      <c r="AA131" s="1140"/>
      <c r="AB131" s="1141" t="s">
        <v>284</v>
      </c>
    </row>
    <row r="132" ht="15.75" customHeight="1">
      <c r="A132" s="1162" t="s">
        <v>9128</v>
      </c>
      <c r="B132" s="340" t="s">
        <v>229</v>
      </c>
      <c r="C132" s="765"/>
      <c r="D132" s="310" t="s">
        <v>9129</v>
      </c>
      <c r="E132" s="604" t="s">
        <v>9130</v>
      </c>
      <c r="F132" s="581">
        <v>1.0</v>
      </c>
      <c r="G132" s="466">
        <v>0.0</v>
      </c>
      <c r="H132" s="466">
        <f t="shared" si="8"/>
        <v>0</v>
      </c>
      <c r="I132" s="256" t="s">
        <v>171</v>
      </c>
      <c r="J132" s="333"/>
      <c r="K132" s="832">
        <v>42453.0</v>
      </c>
      <c r="L132" s="832">
        <v>42452.0</v>
      </c>
      <c r="M132" s="333"/>
      <c r="N132" s="265"/>
      <c r="O132" s="773"/>
      <c r="P132" s="388"/>
      <c r="Q132" s="320"/>
      <c r="R132" s="388"/>
      <c r="S132" s="1139"/>
      <c r="T132" s="1150"/>
      <c r="U132" s="1136"/>
      <c r="V132" s="1151"/>
      <c r="W132" s="1163"/>
      <c r="X132" s="1141"/>
      <c r="Y132" s="1140"/>
      <c r="Z132" s="1140"/>
      <c r="AA132" s="1140"/>
      <c r="AB132" s="1141" t="s">
        <v>9131</v>
      </c>
    </row>
    <row r="133" ht="15.75" customHeight="1">
      <c r="A133" s="1162" t="s">
        <v>9132</v>
      </c>
      <c r="B133" s="340" t="s">
        <v>229</v>
      </c>
      <c r="C133" s="765"/>
      <c r="D133" s="310" t="s">
        <v>9129</v>
      </c>
      <c r="E133" s="604" t="s">
        <v>9133</v>
      </c>
      <c r="F133" s="581">
        <v>1.0</v>
      </c>
      <c r="G133" s="466">
        <v>0.0</v>
      </c>
      <c r="H133" s="466">
        <f t="shared" si="8"/>
        <v>0</v>
      </c>
      <c r="I133" s="256" t="s">
        <v>171</v>
      </c>
      <c r="J133" s="333"/>
      <c r="K133" s="832">
        <v>42453.0</v>
      </c>
      <c r="L133" s="832">
        <v>42452.0</v>
      </c>
      <c r="M133" s="333"/>
      <c r="N133" s="265"/>
      <c r="O133" s="773"/>
      <c r="P133" s="388"/>
      <c r="Q133" s="320"/>
      <c r="R133" s="388"/>
      <c r="S133" s="1139"/>
      <c r="T133" s="1150"/>
      <c r="U133" s="1136"/>
      <c r="V133" s="1151"/>
      <c r="W133" s="1163"/>
      <c r="X133" s="1141"/>
      <c r="Y133" s="1140"/>
      <c r="Z133" s="1140"/>
      <c r="AA133" s="1140"/>
      <c r="AB133" s="1141" t="s">
        <v>9131</v>
      </c>
    </row>
    <row r="134" ht="15.75" customHeight="1">
      <c r="A134" s="1162" t="s">
        <v>9134</v>
      </c>
      <c r="B134" s="340" t="s">
        <v>229</v>
      </c>
      <c r="C134" s="765"/>
      <c r="D134" s="310" t="s">
        <v>9129</v>
      </c>
      <c r="E134" s="604" t="s">
        <v>9135</v>
      </c>
      <c r="F134" s="581">
        <v>1.0</v>
      </c>
      <c r="G134" s="466">
        <v>0.0</v>
      </c>
      <c r="H134" s="466">
        <f t="shared" si="8"/>
        <v>0</v>
      </c>
      <c r="I134" s="256" t="s">
        <v>171</v>
      </c>
      <c r="J134" s="333"/>
      <c r="K134" s="832">
        <v>42453.0</v>
      </c>
      <c r="L134" s="832">
        <v>42452.0</v>
      </c>
      <c r="M134" s="333"/>
      <c r="N134" s="265"/>
      <c r="O134" s="773"/>
      <c r="P134" s="388"/>
      <c r="Q134" s="320"/>
      <c r="R134" s="388"/>
      <c r="S134" s="1139"/>
      <c r="T134" s="1150"/>
      <c r="U134" s="1136"/>
      <c r="V134" s="1151"/>
      <c r="W134" s="1163"/>
      <c r="X134" s="1141"/>
      <c r="Y134" s="1140"/>
      <c r="Z134" s="1140"/>
      <c r="AA134" s="1140"/>
      <c r="AB134" s="1141" t="s">
        <v>9131</v>
      </c>
    </row>
    <row r="135" ht="15.75" customHeight="1">
      <c r="A135" s="776">
        <v>42443.0</v>
      </c>
      <c r="B135" s="340" t="s">
        <v>3506</v>
      </c>
      <c r="C135" s="765"/>
      <c r="D135" s="578" t="s">
        <v>9136</v>
      </c>
      <c r="E135" s="578" t="s">
        <v>6079</v>
      </c>
      <c r="F135" s="581">
        <v>10.0</v>
      </c>
      <c r="G135" s="466">
        <v>375.4</v>
      </c>
      <c r="H135" s="466">
        <f t="shared" si="8"/>
        <v>3754</v>
      </c>
      <c r="I135" s="256" t="s">
        <v>171</v>
      </c>
      <c r="J135" s="340" t="s">
        <v>3509</v>
      </c>
      <c r="K135" s="832">
        <v>42478.0</v>
      </c>
      <c r="L135" s="832">
        <v>42457.0</v>
      </c>
      <c r="M135" s="333" t="s">
        <v>90</v>
      </c>
      <c r="N135" s="265" t="s">
        <v>9137</v>
      </c>
      <c r="O135" s="773">
        <v>3475.5</v>
      </c>
      <c r="P135" s="388"/>
      <c r="Q135" s="320" t="s">
        <v>6081</v>
      </c>
      <c r="R135" s="388"/>
      <c r="S135" s="1139"/>
      <c r="T135" s="1132">
        <v>42457.0</v>
      </c>
      <c r="U135" s="265" t="s">
        <v>9138</v>
      </c>
      <c r="V135" s="1135">
        <v>105570.0</v>
      </c>
      <c r="W135" s="832">
        <v>42471.0</v>
      </c>
      <c r="X135" s="320" t="s">
        <v>9101</v>
      </c>
      <c r="Y135" s="1140"/>
      <c r="Z135" s="1140"/>
      <c r="AA135" s="1140"/>
      <c r="AB135" s="340" t="s">
        <v>284</v>
      </c>
    </row>
    <row r="136" ht="15.75" customHeight="1">
      <c r="A136" s="776">
        <v>42444.0</v>
      </c>
      <c r="B136" s="340" t="s">
        <v>631</v>
      </c>
      <c r="C136" s="765" t="s">
        <v>9139</v>
      </c>
      <c r="D136" s="310" t="s">
        <v>9140</v>
      </c>
      <c r="E136" s="578" t="s">
        <v>4269</v>
      </c>
      <c r="F136" s="581">
        <v>80.0</v>
      </c>
      <c r="G136" s="466">
        <v>164.85</v>
      </c>
      <c r="H136" s="466">
        <f t="shared" si="8"/>
        <v>13188</v>
      </c>
      <c r="I136" s="256" t="s">
        <v>171</v>
      </c>
      <c r="J136" s="333" t="s">
        <v>9141</v>
      </c>
      <c r="K136" s="832">
        <v>42457.0</v>
      </c>
      <c r="L136" s="832">
        <v>42453.0</v>
      </c>
      <c r="M136" s="333" t="s">
        <v>2034</v>
      </c>
      <c r="N136" s="265" t="s">
        <v>9142</v>
      </c>
      <c r="O136" s="773"/>
      <c r="P136" s="320">
        <v>399252.0</v>
      </c>
      <c r="Q136" s="320" t="s">
        <v>9143</v>
      </c>
      <c r="R136" s="388"/>
      <c r="S136" s="1139">
        <v>42495.0</v>
      </c>
      <c r="T136" s="1132">
        <v>42452.0</v>
      </c>
      <c r="U136" s="265" t="s">
        <v>9144</v>
      </c>
      <c r="V136" s="1135">
        <v>399252.0</v>
      </c>
      <c r="W136" s="1132">
        <v>42485.0</v>
      </c>
      <c r="X136" s="320" t="s">
        <v>9145</v>
      </c>
      <c r="Y136" s="1140" t="s">
        <v>9146</v>
      </c>
      <c r="Z136" s="1154">
        <v>430192.0</v>
      </c>
      <c r="AA136" s="1140" t="s">
        <v>9147</v>
      </c>
      <c r="AB136" s="1141"/>
    </row>
    <row r="137" ht="15.75" customHeight="1">
      <c r="A137" s="776">
        <v>42444.0</v>
      </c>
      <c r="B137" s="340" t="s">
        <v>631</v>
      </c>
      <c r="C137" s="765" t="s">
        <v>9139</v>
      </c>
      <c r="D137" s="310" t="s">
        <v>9148</v>
      </c>
      <c r="E137" s="578" t="s">
        <v>4269</v>
      </c>
      <c r="F137" s="581">
        <v>90.0</v>
      </c>
      <c r="G137" s="466">
        <v>164.85</v>
      </c>
      <c r="H137" s="466">
        <f t="shared" si="8"/>
        <v>14836.5</v>
      </c>
      <c r="I137" s="256" t="s">
        <v>171</v>
      </c>
      <c r="J137" s="333" t="s">
        <v>9141</v>
      </c>
      <c r="K137" s="832">
        <v>42471.0</v>
      </c>
      <c r="L137" s="832">
        <v>42468.0</v>
      </c>
      <c r="M137" s="333" t="s">
        <v>2034</v>
      </c>
      <c r="N137" s="265" t="s">
        <v>9142</v>
      </c>
      <c r="O137" s="773"/>
      <c r="P137" s="320">
        <v>449159.0</v>
      </c>
      <c r="Q137" s="320" t="s">
        <v>9143</v>
      </c>
      <c r="R137" s="388"/>
      <c r="S137" s="1139"/>
      <c r="T137" s="1132">
        <v>42467.0</v>
      </c>
      <c r="U137" s="320" t="s">
        <v>9149</v>
      </c>
      <c r="V137" s="1135">
        <v>449159.0</v>
      </c>
      <c r="W137" s="832">
        <v>42529.0</v>
      </c>
      <c r="X137" s="320" t="s">
        <v>9150</v>
      </c>
      <c r="Y137" s="388" t="s">
        <v>9151</v>
      </c>
      <c r="Z137" s="1146">
        <v>481000.0</v>
      </c>
      <c r="AA137" s="388" t="s">
        <v>9152</v>
      </c>
      <c r="AB137" s="1141"/>
    </row>
    <row r="138" ht="15.75" customHeight="1">
      <c r="A138" s="776">
        <v>42446.0</v>
      </c>
      <c r="B138" s="340" t="s">
        <v>101</v>
      </c>
      <c r="C138" s="765"/>
      <c r="D138" s="310" t="s">
        <v>9153</v>
      </c>
      <c r="E138" s="578" t="s">
        <v>9154</v>
      </c>
      <c r="F138" s="581">
        <v>1.0</v>
      </c>
      <c r="G138" s="466">
        <v>77.0</v>
      </c>
      <c r="H138" s="466">
        <f t="shared" si="8"/>
        <v>77</v>
      </c>
      <c r="I138" s="256" t="s">
        <v>171</v>
      </c>
      <c r="J138" s="333" t="s">
        <v>8708</v>
      </c>
      <c r="K138" s="832">
        <v>42446.0</v>
      </c>
      <c r="L138" s="832"/>
      <c r="M138" s="333"/>
      <c r="N138" s="265"/>
      <c r="O138" s="773"/>
      <c r="P138" s="320">
        <v>2678.0</v>
      </c>
      <c r="Q138" s="320"/>
      <c r="R138" s="388"/>
      <c r="S138" s="1145">
        <v>42484.0</v>
      </c>
      <c r="T138" s="1132">
        <v>42454.0</v>
      </c>
      <c r="U138" s="265" t="s">
        <v>9155</v>
      </c>
      <c r="V138" s="1135">
        <v>2678.0</v>
      </c>
      <c r="W138" s="832">
        <v>42471.0</v>
      </c>
      <c r="X138" s="320" t="s">
        <v>8986</v>
      </c>
      <c r="Y138" s="1140"/>
      <c r="Z138" s="1140"/>
      <c r="AA138" s="1140"/>
      <c r="AB138" s="1141" t="s">
        <v>284</v>
      </c>
    </row>
    <row r="139" ht="15.75" customHeight="1">
      <c r="A139" s="776">
        <v>42446.0</v>
      </c>
      <c r="B139" s="340" t="s">
        <v>4754</v>
      </c>
      <c r="C139" s="765"/>
      <c r="D139" s="310" t="s">
        <v>9156</v>
      </c>
      <c r="E139" s="578" t="s">
        <v>9157</v>
      </c>
      <c r="F139" s="581">
        <v>8.0</v>
      </c>
      <c r="G139" s="466">
        <v>47.0</v>
      </c>
      <c r="H139" s="466">
        <f t="shared" si="8"/>
        <v>376</v>
      </c>
      <c r="I139" s="1063" t="s">
        <v>3474</v>
      </c>
      <c r="J139" s="333" t="s">
        <v>8708</v>
      </c>
      <c r="K139" s="832">
        <v>42453.0</v>
      </c>
      <c r="L139" s="832">
        <v>42451.0</v>
      </c>
      <c r="M139" s="333" t="s">
        <v>3775</v>
      </c>
      <c r="N139" s="265" t="s">
        <v>9158</v>
      </c>
      <c r="O139" s="773"/>
      <c r="P139" s="320">
        <v>6552.0</v>
      </c>
      <c r="Q139" s="320" t="s">
        <v>6376</v>
      </c>
      <c r="R139" s="388"/>
      <c r="S139" s="1145">
        <v>42490.0</v>
      </c>
      <c r="T139" s="1132">
        <v>42451.0</v>
      </c>
      <c r="U139" s="265" t="s">
        <v>9159</v>
      </c>
      <c r="V139" s="1135">
        <v>6552.0</v>
      </c>
      <c r="W139" s="832">
        <v>42516.0</v>
      </c>
      <c r="X139" s="320" t="s">
        <v>9160</v>
      </c>
      <c r="Y139" s="1140"/>
      <c r="Z139" s="1140"/>
      <c r="AA139" s="1140"/>
      <c r="AB139" s="320" t="s">
        <v>8661</v>
      </c>
    </row>
    <row r="140" ht="15.75" customHeight="1">
      <c r="A140" s="776">
        <v>42446.0</v>
      </c>
      <c r="B140" s="340" t="s">
        <v>4754</v>
      </c>
      <c r="C140" s="765"/>
      <c r="D140" s="310" t="s">
        <v>9156</v>
      </c>
      <c r="E140" s="578" t="s">
        <v>9161</v>
      </c>
      <c r="F140" s="581">
        <v>1.0</v>
      </c>
      <c r="G140" s="466">
        <v>135.0</v>
      </c>
      <c r="H140" s="466">
        <f t="shared" si="8"/>
        <v>135</v>
      </c>
      <c r="I140" s="1063" t="s">
        <v>3474</v>
      </c>
      <c r="J140" s="333" t="s">
        <v>8708</v>
      </c>
      <c r="K140" s="832">
        <v>42453.0</v>
      </c>
      <c r="L140" s="832"/>
      <c r="M140" s="333" t="s">
        <v>2032</v>
      </c>
      <c r="N140" s="265"/>
      <c r="O140" s="773"/>
      <c r="P140" s="388">
        <v>2470.0</v>
      </c>
      <c r="Q140" s="320" t="s">
        <v>2033</v>
      </c>
      <c r="R140" s="388"/>
      <c r="S140" s="1145">
        <v>42490.0</v>
      </c>
      <c r="T140" s="1132">
        <v>42460.0</v>
      </c>
      <c r="U140" s="265" t="s">
        <v>9162</v>
      </c>
      <c r="V140" s="1135">
        <v>2470.0</v>
      </c>
      <c r="W140" s="832">
        <v>42471.0</v>
      </c>
      <c r="X140" s="320" t="s">
        <v>9160</v>
      </c>
      <c r="Y140" s="1140"/>
      <c r="Z140" s="1140"/>
      <c r="AA140" s="1140"/>
      <c r="AB140" s="320" t="s">
        <v>8661</v>
      </c>
    </row>
    <row r="141" ht="15.75" customHeight="1">
      <c r="A141" s="776">
        <v>42447.0</v>
      </c>
      <c r="B141" s="340" t="s">
        <v>1204</v>
      </c>
      <c r="C141" s="765" t="s">
        <v>9163</v>
      </c>
      <c r="D141" s="310" t="s">
        <v>9164</v>
      </c>
      <c r="E141" s="578" t="s">
        <v>9165</v>
      </c>
      <c r="F141" s="581">
        <v>250.0</v>
      </c>
      <c r="G141" s="466">
        <v>14.9</v>
      </c>
      <c r="H141" s="466">
        <f t="shared" si="8"/>
        <v>3725</v>
      </c>
      <c r="I141" s="256" t="s">
        <v>43</v>
      </c>
      <c r="J141" s="333" t="s">
        <v>9166</v>
      </c>
      <c r="K141" s="832">
        <v>42502.0</v>
      </c>
      <c r="L141" s="832">
        <v>42494.0</v>
      </c>
      <c r="M141" s="333" t="s">
        <v>2508</v>
      </c>
      <c r="N141" s="265" t="s">
        <v>9167</v>
      </c>
      <c r="O141" s="773"/>
      <c r="P141" s="320">
        <v>120750.0</v>
      </c>
      <c r="Q141" s="320" t="s">
        <v>2510</v>
      </c>
      <c r="R141" s="388"/>
      <c r="S141" s="1145">
        <v>42526.0</v>
      </c>
      <c r="T141" s="265" t="s">
        <v>9168</v>
      </c>
      <c r="U141" s="265" t="s">
        <v>9169</v>
      </c>
      <c r="V141" s="1135" t="s">
        <v>9170</v>
      </c>
      <c r="W141" s="832">
        <v>42527.0</v>
      </c>
      <c r="X141" s="265" t="s">
        <v>9171</v>
      </c>
      <c r="Y141" s="1140"/>
      <c r="Z141" s="1140"/>
      <c r="AA141" s="1140"/>
      <c r="AB141" s="320" t="s">
        <v>284</v>
      </c>
    </row>
    <row r="142" ht="15.75" customHeight="1">
      <c r="A142" s="796">
        <v>42447.0</v>
      </c>
      <c r="B142" s="340" t="s">
        <v>77</v>
      </c>
      <c r="C142" s="276">
        <v>256.0</v>
      </c>
      <c r="D142" s="798" t="s">
        <v>9172</v>
      </c>
      <c r="E142" s="1164" t="s">
        <v>9173</v>
      </c>
      <c r="F142" s="858">
        <v>4.0</v>
      </c>
      <c r="G142" s="834">
        <v>226.0</v>
      </c>
      <c r="H142" s="834"/>
      <c r="I142" s="282" t="s">
        <v>171</v>
      </c>
      <c r="J142" s="283" t="s">
        <v>316</v>
      </c>
      <c r="K142" s="835"/>
      <c r="L142" s="835"/>
      <c r="M142" s="283" t="s">
        <v>9174</v>
      </c>
      <c r="N142" s="783" t="s">
        <v>9175</v>
      </c>
      <c r="O142" s="930"/>
      <c r="P142" s="1165">
        <f>853*32.506</f>
        <v>27727.618</v>
      </c>
      <c r="Q142" s="800" t="s">
        <v>9116</v>
      </c>
      <c r="R142" s="800"/>
      <c r="S142" s="1166"/>
      <c r="T142" s="1167"/>
      <c r="U142" s="1168"/>
      <c r="V142" s="1169"/>
      <c r="W142" s="1170"/>
      <c r="X142" s="1171"/>
      <c r="Y142" s="1171"/>
      <c r="Z142" s="1171"/>
      <c r="AA142" s="1171"/>
      <c r="AB142" s="800"/>
    </row>
    <row r="143" ht="15.75" customHeight="1">
      <c r="A143" s="776">
        <v>42448.0</v>
      </c>
      <c r="B143" s="599" t="s">
        <v>101</v>
      </c>
      <c r="C143" s="765" t="s">
        <v>9176</v>
      </c>
      <c r="D143" s="310" t="s">
        <v>9177</v>
      </c>
      <c r="E143" s="604" t="s">
        <v>3567</v>
      </c>
      <c r="F143" s="330">
        <v>12.0</v>
      </c>
      <c r="G143" s="388">
        <v>80.0</v>
      </c>
      <c r="H143" s="466">
        <f t="shared" ref="H143:H187" si="9">G143*F143</f>
        <v>960</v>
      </c>
      <c r="I143" s="266" t="s">
        <v>171</v>
      </c>
      <c r="J143" s="333" t="s">
        <v>8708</v>
      </c>
      <c r="K143" s="832">
        <v>42478.0</v>
      </c>
      <c r="L143" s="832">
        <v>42471.0</v>
      </c>
      <c r="M143" s="333" t="s">
        <v>2034</v>
      </c>
      <c r="N143" s="265" t="s">
        <v>9167</v>
      </c>
      <c r="O143" s="773"/>
      <c r="P143" s="320">
        <v>30240.0</v>
      </c>
      <c r="Q143" s="320" t="s">
        <v>2036</v>
      </c>
      <c r="R143" s="388"/>
      <c r="S143" s="1145">
        <v>42526.0</v>
      </c>
      <c r="T143" s="1132">
        <v>42471.0</v>
      </c>
      <c r="U143" s="265" t="s">
        <v>9178</v>
      </c>
      <c r="V143" s="1135">
        <v>97965.0</v>
      </c>
      <c r="W143" s="832">
        <v>42529.0</v>
      </c>
      <c r="X143" s="310" t="s">
        <v>9179</v>
      </c>
      <c r="Y143" s="1140"/>
      <c r="Z143" s="1140"/>
      <c r="AA143" s="1140"/>
      <c r="AB143" s="1141" t="s">
        <v>284</v>
      </c>
    </row>
    <row r="144" ht="15.75" customHeight="1">
      <c r="A144" s="776">
        <v>42448.0</v>
      </c>
      <c r="B144" s="599" t="s">
        <v>101</v>
      </c>
      <c r="C144" s="765" t="s">
        <v>9176</v>
      </c>
      <c r="D144" s="310" t="s">
        <v>9177</v>
      </c>
      <c r="E144" s="604" t="s">
        <v>3573</v>
      </c>
      <c r="F144" s="330">
        <v>12.0</v>
      </c>
      <c r="G144" s="388">
        <v>60.0</v>
      </c>
      <c r="H144" s="466">
        <f t="shared" si="9"/>
        <v>720</v>
      </c>
      <c r="I144" s="256" t="s">
        <v>171</v>
      </c>
      <c r="J144" s="333" t="s">
        <v>8708</v>
      </c>
      <c r="K144" s="832">
        <v>42478.0</v>
      </c>
      <c r="L144" s="832">
        <v>42471.0</v>
      </c>
      <c r="M144" s="333" t="s">
        <v>2034</v>
      </c>
      <c r="N144" s="265" t="s">
        <v>9167</v>
      </c>
      <c r="O144" s="773"/>
      <c r="P144" s="320">
        <v>22680.0</v>
      </c>
      <c r="Q144" s="320" t="s">
        <v>2036</v>
      </c>
      <c r="R144" s="388"/>
      <c r="S144" s="1145">
        <v>42526.0</v>
      </c>
      <c r="T144" s="1132">
        <v>42471.0</v>
      </c>
      <c r="U144" s="265" t="s">
        <v>9178</v>
      </c>
      <c r="V144" s="1135" t="s">
        <v>9180</v>
      </c>
      <c r="W144" s="832">
        <v>42529.0</v>
      </c>
      <c r="X144" s="320" t="s">
        <v>9179</v>
      </c>
      <c r="Y144" s="1140"/>
      <c r="Z144" s="1140"/>
      <c r="AA144" s="1140"/>
      <c r="AB144" s="1141" t="s">
        <v>284</v>
      </c>
    </row>
    <row r="145" ht="15.75" customHeight="1">
      <c r="A145" s="776">
        <v>42448.0</v>
      </c>
      <c r="B145" s="599" t="s">
        <v>101</v>
      </c>
      <c r="C145" s="765" t="s">
        <v>9176</v>
      </c>
      <c r="D145" s="310" t="s">
        <v>9177</v>
      </c>
      <c r="E145" s="604" t="s">
        <v>3575</v>
      </c>
      <c r="F145" s="330">
        <v>12.0</v>
      </c>
      <c r="G145" s="388">
        <v>116.0</v>
      </c>
      <c r="H145" s="466">
        <f t="shared" si="9"/>
        <v>1392</v>
      </c>
      <c r="I145" s="256" t="s">
        <v>171</v>
      </c>
      <c r="J145" s="333" t="s">
        <v>8708</v>
      </c>
      <c r="K145" s="832">
        <v>42478.0</v>
      </c>
      <c r="L145" s="832">
        <v>42471.0</v>
      </c>
      <c r="M145" s="333" t="s">
        <v>2034</v>
      </c>
      <c r="N145" s="265" t="s">
        <v>9167</v>
      </c>
      <c r="O145" s="773"/>
      <c r="P145" s="320">
        <v>44100.0</v>
      </c>
      <c r="Q145" s="320" t="s">
        <v>2036</v>
      </c>
      <c r="R145" s="388"/>
      <c r="S145" s="768">
        <v>42526.0</v>
      </c>
      <c r="T145" s="1132">
        <v>42471.0</v>
      </c>
      <c r="U145" s="265" t="s">
        <v>9178</v>
      </c>
      <c r="V145" s="1135" t="s">
        <v>9180</v>
      </c>
      <c r="W145" s="832">
        <v>42529.0</v>
      </c>
      <c r="X145" s="320" t="s">
        <v>9179</v>
      </c>
      <c r="Y145" s="1140"/>
      <c r="Z145" s="1140"/>
      <c r="AA145" s="1140"/>
      <c r="AB145" s="1141" t="s">
        <v>284</v>
      </c>
    </row>
    <row r="146" ht="15.75" customHeight="1">
      <c r="A146" s="776">
        <v>42448.0</v>
      </c>
      <c r="B146" s="599" t="s">
        <v>101</v>
      </c>
      <c r="C146" s="765" t="s">
        <v>9176</v>
      </c>
      <c r="D146" s="310" t="s">
        <v>9177</v>
      </c>
      <c r="E146" s="604" t="s">
        <v>3576</v>
      </c>
      <c r="F146" s="330">
        <v>12.0</v>
      </c>
      <c r="G146" s="388">
        <v>2.0</v>
      </c>
      <c r="H146" s="466">
        <f t="shared" si="9"/>
        <v>24</v>
      </c>
      <c r="I146" s="256" t="s">
        <v>171</v>
      </c>
      <c r="J146" s="333" t="s">
        <v>8708</v>
      </c>
      <c r="K146" s="832">
        <v>42478.0</v>
      </c>
      <c r="L146" s="832">
        <v>42471.0</v>
      </c>
      <c r="M146" s="333" t="s">
        <v>9181</v>
      </c>
      <c r="N146" s="265"/>
      <c r="O146" s="773"/>
      <c r="P146" s="388"/>
      <c r="Q146" s="320"/>
      <c r="R146" s="320" t="s">
        <v>6724</v>
      </c>
      <c r="S146" s="631"/>
      <c r="T146" s="320" t="s">
        <v>6724</v>
      </c>
      <c r="U146" s="1136"/>
      <c r="V146" s="1151"/>
      <c r="W146" s="1163"/>
      <c r="X146" s="320" t="s">
        <v>9179</v>
      </c>
      <c r="Y146" s="1140"/>
      <c r="Z146" s="1140"/>
      <c r="AA146" s="1140"/>
      <c r="AB146" s="1141" t="s">
        <v>284</v>
      </c>
    </row>
    <row r="147" ht="15.75" customHeight="1">
      <c r="A147" s="776">
        <v>42448.0</v>
      </c>
      <c r="B147" s="599" t="s">
        <v>101</v>
      </c>
      <c r="C147" s="765" t="s">
        <v>9176</v>
      </c>
      <c r="D147" s="310" t="s">
        <v>9177</v>
      </c>
      <c r="E147" s="604" t="s">
        <v>3578</v>
      </c>
      <c r="F147" s="330">
        <v>12.0</v>
      </c>
      <c r="G147" s="388">
        <v>2.5</v>
      </c>
      <c r="H147" s="466">
        <f t="shared" si="9"/>
        <v>30</v>
      </c>
      <c r="I147" s="256" t="s">
        <v>171</v>
      </c>
      <c r="J147" s="333" t="s">
        <v>8708</v>
      </c>
      <c r="K147" s="832">
        <v>42478.0</v>
      </c>
      <c r="L147" s="832">
        <v>42471.0</v>
      </c>
      <c r="M147" s="333" t="s">
        <v>2034</v>
      </c>
      <c r="N147" s="265" t="s">
        <v>9182</v>
      </c>
      <c r="O147" s="773"/>
      <c r="P147" s="320">
        <v>3780.0</v>
      </c>
      <c r="Q147" s="320" t="s">
        <v>2036</v>
      </c>
      <c r="R147" s="388" t="s">
        <v>6727</v>
      </c>
      <c r="S147" s="631"/>
      <c r="T147" s="388" t="s">
        <v>6727</v>
      </c>
      <c r="U147" s="1136"/>
      <c r="V147" s="1151"/>
      <c r="W147" s="832">
        <v>42529.0</v>
      </c>
      <c r="X147" s="320" t="s">
        <v>9179</v>
      </c>
      <c r="Y147" s="1140"/>
      <c r="Z147" s="1140"/>
      <c r="AA147" s="1140"/>
      <c r="AB147" s="1141" t="s">
        <v>284</v>
      </c>
    </row>
    <row r="148" ht="15.75" customHeight="1">
      <c r="A148" s="776">
        <v>42448.0</v>
      </c>
      <c r="B148" s="599" t="s">
        <v>101</v>
      </c>
      <c r="C148" s="765" t="s">
        <v>9176</v>
      </c>
      <c r="D148" s="310" t="s">
        <v>9177</v>
      </c>
      <c r="E148" s="604" t="s">
        <v>3580</v>
      </c>
      <c r="F148" s="330">
        <v>12.0</v>
      </c>
      <c r="G148" s="388">
        <v>4.0</v>
      </c>
      <c r="H148" s="466">
        <f t="shared" si="9"/>
        <v>48</v>
      </c>
      <c r="I148" s="256" t="s">
        <v>171</v>
      </c>
      <c r="J148" s="333" t="s">
        <v>8708</v>
      </c>
      <c r="K148" s="832">
        <v>42478.0</v>
      </c>
      <c r="L148" s="832">
        <v>42471.0</v>
      </c>
      <c r="M148" s="333" t="s">
        <v>2034</v>
      </c>
      <c r="N148" s="265" t="s">
        <v>9167</v>
      </c>
      <c r="O148" s="773"/>
      <c r="P148" s="320">
        <v>945.0</v>
      </c>
      <c r="Q148" s="320" t="s">
        <v>2036</v>
      </c>
      <c r="R148" s="330"/>
      <c r="S148" s="1145">
        <v>42526.0</v>
      </c>
      <c r="T148" s="771">
        <v>42471.0</v>
      </c>
      <c r="U148" s="265" t="s">
        <v>9178</v>
      </c>
      <c r="V148" s="1135" t="s">
        <v>9180</v>
      </c>
      <c r="W148" s="832">
        <v>42529.0</v>
      </c>
      <c r="X148" s="320" t="s">
        <v>9179</v>
      </c>
      <c r="Y148" s="1140"/>
      <c r="Z148" s="1140"/>
      <c r="AA148" s="1140"/>
      <c r="AB148" s="1141" t="s">
        <v>284</v>
      </c>
    </row>
    <row r="149" ht="15.75" customHeight="1">
      <c r="A149" s="776">
        <v>42448.0</v>
      </c>
      <c r="B149" s="599" t="s">
        <v>101</v>
      </c>
      <c r="C149" s="765" t="s">
        <v>9176</v>
      </c>
      <c r="D149" s="310" t="s">
        <v>9177</v>
      </c>
      <c r="E149" s="604" t="s">
        <v>3581</v>
      </c>
      <c r="F149" s="330">
        <v>12.0</v>
      </c>
      <c r="G149" s="388">
        <v>8.0</v>
      </c>
      <c r="H149" s="466">
        <f t="shared" si="9"/>
        <v>96</v>
      </c>
      <c r="I149" s="256" t="s">
        <v>171</v>
      </c>
      <c r="J149" s="333" t="s">
        <v>8708</v>
      </c>
      <c r="K149" s="832">
        <v>42478.0</v>
      </c>
      <c r="L149" s="832">
        <v>42471.0</v>
      </c>
      <c r="M149" s="333" t="s">
        <v>9183</v>
      </c>
      <c r="N149" s="265"/>
      <c r="O149" s="773"/>
      <c r="P149" s="388">
        <v>2500.0</v>
      </c>
      <c r="Q149" s="320"/>
      <c r="R149" s="388"/>
      <c r="S149" s="1139"/>
      <c r="T149" s="265" t="s">
        <v>5701</v>
      </c>
      <c r="U149" s="265" t="s">
        <v>5701</v>
      </c>
      <c r="V149" s="265" t="s">
        <v>5701</v>
      </c>
      <c r="W149" s="832"/>
      <c r="X149" s="320" t="s">
        <v>9179</v>
      </c>
      <c r="Y149" s="1140"/>
      <c r="Z149" s="1140"/>
      <c r="AA149" s="1140"/>
      <c r="AB149" s="1141" t="s">
        <v>284</v>
      </c>
    </row>
    <row r="150" ht="15.75" customHeight="1">
      <c r="A150" s="776">
        <v>42448.0</v>
      </c>
      <c r="B150" s="599" t="s">
        <v>101</v>
      </c>
      <c r="C150" s="765"/>
      <c r="D150" s="310" t="s">
        <v>9184</v>
      </c>
      <c r="E150" s="578" t="s">
        <v>9185</v>
      </c>
      <c r="F150" s="330">
        <v>1.0</v>
      </c>
      <c r="G150" s="466">
        <v>1575.0</v>
      </c>
      <c r="H150" s="466">
        <f t="shared" si="9"/>
        <v>1575</v>
      </c>
      <c r="I150" s="256" t="s">
        <v>171</v>
      </c>
      <c r="J150" s="333" t="s">
        <v>8708</v>
      </c>
      <c r="K150" s="832">
        <v>42478.0</v>
      </c>
      <c r="L150" s="832"/>
      <c r="M150" s="333"/>
      <c r="N150" s="265"/>
      <c r="O150" s="773"/>
      <c r="P150" s="1088">
        <v>43868.0</v>
      </c>
      <c r="Q150" s="320"/>
      <c r="R150" s="388"/>
      <c r="S150" s="768">
        <v>42512.0</v>
      </c>
      <c r="T150" s="1132">
        <v>42482.0</v>
      </c>
      <c r="U150" s="265" t="s">
        <v>9186</v>
      </c>
      <c r="V150" s="1135">
        <v>43868.0</v>
      </c>
      <c r="W150" s="832">
        <v>42494.0</v>
      </c>
      <c r="X150" s="320" t="s">
        <v>9179</v>
      </c>
      <c r="Y150" s="1140"/>
      <c r="Z150" s="1140"/>
      <c r="AA150" s="1140"/>
      <c r="AB150" s="1141" t="s">
        <v>284</v>
      </c>
    </row>
    <row r="151" ht="15.75" customHeight="1">
      <c r="A151" s="776">
        <v>42448.0</v>
      </c>
      <c r="B151" s="340" t="s">
        <v>631</v>
      </c>
      <c r="C151" s="765" t="s">
        <v>9187</v>
      </c>
      <c r="D151" s="310" t="s">
        <v>9188</v>
      </c>
      <c r="E151" s="578" t="s">
        <v>9189</v>
      </c>
      <c r="F151" s="581">
        <v>3.0</v>
      </c>
      <c r="G151" s="466">
        <v>84.0</v>
      </c>
      <c r="H151" s="466">
        <f t="shared" si="9"/>
        <v>252</v>
      </c>
      <c r="I151" s="256" t="s">
        <v>171</v>
      </c>
      <c r="J151" s="333" t="s">
        <v>90</v>
      </c>
      <c r="K151" s="832">
        <v>42452.0</v>
      </c>
      <c r="L151" s="832"/>
      <c r="M151" s="333" t="s">
        <v>90</v>
      </c>
      <c r="N151" s="265" t="s">
        <v>9190</v>
      </c>
      <c r="O151" s="773">
        <v>236.25</v>
      </c>
      <c r="P151" s="388"/>
      <c r="Q151" s="320" t="s">
        <v>6081</v>
      </c>
      <c r="R151" s="388"/>
      <c r="S151" s="1139"/>
      <c r="T151" s="1132">
        <v>42452.0</v>
      </c>
      <c r="U151" s="265" t="s">
        <v>9191</v>
      </c>
      <c r="V151" s="1135">
        <v>7737.0</v>
      </c>
      <c r="W151" s="832">
        <v>42471.0</v>
      </c>
      <c r="X151" s="320" t="s">
        <v>9192</v>
      </c>
      <c r="Y151" s="388" t="s">
        <v>9193</v>
      </c>
      <c r="Z151" s="1146">
        <v>8166.0</v>
      </c>
      <c r="AA151" s="388" t="s">
        <v>9147</v>
      </c>
      <c r="AB151" s="1141"/>
    </row>
    <row r="152" ht="15.75" customHeight="1">
      <c r="A152" s="776">
        <v>42451.0</v>
      </c>
      <c r="B152" s="340" t="s">
        <v>416</v>
      </c>
      <c r="C152" s="765" t="s">
        <v>9194</v>
      </c>
      <c r="D152" s="310" t="s">
        <v>9195</v>
      </c>
      <c r="E152" s="578" t="s">
        <v>9196</v>
      </c>
      <c r="F152" s="581">
        <v>1.0</v>
      </c>
      <c r="G152" s="466">
        <v>379.0</v>
      </c>
      <c r="H152" s="466">
        <f t="shared" si="9"/>
        <v>379</v>
      </c>
      <c r="I152" s="256" t="s">
        <v>171</v>
      </c>
      <c r="J152" s="333" t="s">
        <v>9197</v>
      </c>
      <c r="K152" s="832">
        <v>42474.0</v>
      </c>
      <c r="L152" s="832">
        <v>42473.0</v>
      </c>
      <c r="M152" s="333"/>
      <c r="N152" s="265"/>
      <c r="O152" s="773"/>
      <c r="P152" s="664"/>
      <c r="Q152" s="320"/>
      <c r="R152" s="388" t="s">
        <v>9198</v>
      </c>
      <c r="S152" s="1139"/>
      <c r="T152" s="1150"/>
      <c r="U152" s="388" t="s">
        <v>9198</v>
      </c>
      <c r="V152" s="388" t="s">
        <v>9198</v>
      </c>
      <c r="W152" s="1163"/>
      <c r="X152" s="320" t="s">
        <v>9199</v>
      </c>
      <c r="Y152" s="1140"/>
      <c r="Z152" s="388"/>
      <c r="AA152" s="1140"/>
      <c r="AB152" s="1141" t="s">
        <v>8661</v>
      </c>
    </row>
    <row r="153" ht="15.75" customHeight="1">
      <c r="A153" s="776">
        <v>42451.0</v>
      </c>
      <c r="B153" s="340" t="s">
        <v>416</v>
      </c>
      <c r="C153" s="765" t="s">
        <v>9200</v>
      </c>
      <c r="D153" s="310" t="s">
        <v>9195</v>
      </c>
      <c r="E153" s="578" t="s">
        <v>9201</v>
      </c>
      <c r="F153" s="581">
        <v>1.0</v>
      </c>
      <c r="G153" s="466">
        <v>45.0</v>
      </c>
      <c r="H153" s="466">
        <f t="shared" si="9"/>
        <v>45</v>
      </c>
      <c r="I153" s="256" t="s">
        <v>171</v>
      </c>
      <c r="J153" s="333" t="s">
        <v>9197</v>
      </c>
      <c r="K153" s="832">
        <v>42474.0</v>
      </c>
      <c r="L153" s="832">
        <v>42473.0</v>
      </c>
      <c r="M153" s="333"/>
      <c r="N153" s="265"/>
      <c r="O153" s="773"/>
      <c r="P153" s="388"/>
      <c r="Q153" s="320"/>
      <c r="R153" s="388" t="s">
        <v>9198</v>
      </c>
      <c r="S153" s="1139"/>
      <c r="T153" s="1150"/>
      <c r="U153" s="388" t="s">
        <v>9198</v>
      </c>
      <c r="V153" s="388" t="s">
        <v>9198</v>
      </c>
      <c r="W153" s="1163"/>
      <c r="X153" s="320" t="s">
        <v>9199</v>
      </c>
      <c r="Y153" s="1140"/>
      <c r="Z153" s="388"/>
      <c r="AA153" s="1140"/>
      <c r="AB153" s="1141" t="s">
        <v>8661</v>
      </c>
    </row>
    <row r="154" ht="15.75" customHeight="1">
      <c r="A154" s="776">
        <v>42451.0</v>
      </c>
      <c r="B154" s="340" t="s">
        <v>416</v>
      </c>
      <c r="C154" s="765" t="s">
        <v>9194</v>
      </c>
      <c r="D154" s="310" t="s">
        <v>9195</v>
      </c>
      <c r="E154" s="578" t="s">
        <v>9202</v>
      </c>
      <c r="F154" s="581">
        <v>1.0</v>
      </c>
      <c r="G154" s="466">
        <v>25.0</v>
      </c>
      <c r="H154" s="466">
        <f t="shared" si="9"/>
        <v>25</v>
      </c>
      <c r="I154" s="256" t="s">
        <v>171</v>
      </c>
      <c r="J154" s="333" t="s">
        <v>9197</v>
      </c>
      <c r="K154" s="832">
        <v>42474.0</v>
      </c>
      <c r="L154" s="832">
        <v>42473.0</v>
      </c>
      <c r="M154" s="333"/>
      <c r="N154" s="265"/>
      <c r="O154" s="773"/>
      <c r="P154" s="320">
        <v>250.0</v>
      </c>
      <c r="Q154" s="320"/>
      <c r="R154" s="388"/>
      <c r="S154" s="1139"/>
      <c r="T154" s="1132">
        <v>42475.0</v>
      </c>
      <c r="U154" s="265" t="s">
        <v>9203</v>
      </c>
      <c r="V154" s="256">
        <v>250.0</v>
      </c>
      <c r="W154" s="832">
        <v>42475.0</v>
      </c>
      <c r="X154" s="320" t="s">
        <v>9199</v>
      </c>
      <c r="Y154" s="1140"/>
      <c r="Z154" s="1140"/>
      <c r="AA154" s="1140"/>
      <c r="AB154" s="1141" t="s">
        <v>8661</v>
      </c>
    </row>
    <row r="155" ht="15.75" customHeight="1">
      <c r="A155" s="776">
        <v>42452.0</v>
      </c>
      <c r="B155" s="599" t="s">
        <v>3871</v>
      </c>
      <c r="C155" s="765" t="s">
        <v>9204</v>
      </c>
      <c r="D155" s="310" t="s">
        <v>9205</v>
      </c>
      <c r="E155" s="578" t="s">
        <v>3877</v>
      </c>
      <c r="F155" s="581">
        <v>4.0</v>
      </c>
      <c r="G155" s="466">
        <v>147.0</v>
      </c>
      <c r="H155" s="466">
        <f t="shared" si="9"/>
        <v>588</v>
      </c>
      <c r="I155" s="256" t="s">
        <v>3874</v>
      </c>
      <c r="J155" s="333" t="s">
        <v>9206</v>
      </c>
      <c r="K155" s="832">
        <v>42461.0</v>
      </c>
      <c r="L155" s="832">
        <v>42457.0</v>
      </c>
      <c r="M155" s="333" t="s">
        <v>90</v>
      </c>
      <c r="N155" s="265" t="s">
        <v>9207</v>
      </c>
      <c r="O155" s="773">
        <v>432.6</v>
      </c>
      <c r="P155" s="388"/>
      <c r="Q155" s="320" t="s">
        <v>6081</v>
      </c>
      <c r="R155" s="388"/>
      <c r="S155" s="1139"/>
      <c r="T155" s="1132">
        <v>42457.0</v>
      </c>
      <c r="U155" s="265" t="s">
        <v>9208</v>
      </c>
      <c r="V155" s="1135">
        <v>14168.0</v>
      </c>
      <c r="W155" s="832">
        <v>42471.0</v>
      </c>
      <c r="X155" s="320" t="s">
        <v>9209</v>
      </c>
      <c r="Y155" s="1140"/>
      <c r="Z155" s="1140"/>
      <c r="AA155" s="1140"/>
      <c r="AB155" s="320" t="s">
        <v>284</v>
      </c>
    </row>
    <row r="156" ht="15.75" customHeight="1">
      <c r="A156" s="776">
        <v>42453.0</v>
      </c>
      <c r="B156" s="340" t="s">
        <v>5188</v>
      </c>
      <c r="C156" s="765" t="s">
        <v>9210</v>
      </c>
      <c r="D156" s="310" t="s">
        <v>9211</v>
      </c>
      <c r="E156" s="578" t="s">
        <v>7951</v>
      </c>
      <c r="F156" s="581">
        <v>15.0</v>
      </c>
      <c r="G156" s="466">
        <f>9.4*1.05</f>
        <v>9.87</v>
      </c>
      <c r="H156" s="466">
        <f t="shared" si="9"/>
        <v>148.05</v>
      </c>
      <c r="I156" s="1063" t="s">
        <v>3474</v>
      </c>
      <c r="J156" s="333" t="s">
        <v>6067</v>
      </c>
      <c r="K156" s="832">
        <v>42474.0</v>
      </c>
      <c r="L156" s="832">
        <v>42472.0</v>
      </c>
      <c r="M156" s="333" t="s">
        <v>2508</v>
      </c>
      <c r="N156" s="320" t="s">
        <v>9212</v>
      </c>
      <c r="O156" s="773"/>
      <c r="P156" s="773">
        <v>3780.0</v>
      </c>
      <c r="Q156" s="320" t="s">
        <v>9213</v>
      </c>
      <c r="R156" s="388"/>
      <c r="S156" s="1145">
        <v>42526.0</v>
      </c>
      <c r="T156" s="1132">
        <v>42471.0</v>
      </c>
      <c r="U156" s="265" t="s">
        <v>9214</v>
      </c>
      <c r="V156" s="1135">
        <v>25499.0</v>
      </c>
      <c r="W156" s="832">
        <v>42527.0</v>
      </c>
      <c r="X156" s="320" t="s">
        <v>9215</v>
      </c>
      <c r="Y156" s="599" t="s">
        <v>9216</v>
      </c>
      <c r="Z156" s="1146">
        <v>27900.0</v>
      </c>
      <c r="AA156" s="388" t="s">
        <v>9217</v>
      </c>
      <c r="AB156" s="1141"/>
    </row>
    <row r="157" ht="15.75" customHeight="1">
      <c r="A157" s="776">
        <v>42453.0</v>
      </c>
      <c r="B157" s="340" t="s">
        <v>5188</v>
      </c>
      <c r="C157" s="765" t="s">
        <v>9210</v>
      </c>
      <c r="D157" s="310" t="s">
        <v>9211</v>
      </c>
      <c r="E157" s="578" t="s">
        <v>9218</v>
      </c>
      <c r="F157" s="581">
        <v>15.0</v>
      </c>
      <c r="G157" s="466">
        <f>37*1.05</f>
        <v>38.85</v>
      </c>
      <c r="H157" s="466">
        <f t="shared" si="9"/>
        <v>582.75</v>
      </c>
      <c r="I157" s="1063" t="s">
        <v>3474</v>
      </c>
      <c r="J157" s="333" t="s">
        <v>6067</v>
      </c>
      <c r="K157" s="832">
        <v>42474.0</v>
      </c>
      <c r="L157" s="832">
        <v>42472.0</v>
      </c>
      <c r="M157" s="333" t="s">
        <v>2508</v>
      </c>
      <c r="N157" s="320" t="s">
        <v>9212</v>
      </c>
      <c r="O157" s="773"/>
      <c r="P157" s="773">
        <v>17939.0</v>
      </c>
      <c r="Q157" s="320" t="s">
        <v>9213</v>
      </c>
      <c r="R157" s="388"/>
      <c r="S157" s="1145">
        <v>42526.0</v>
      </c>
      <c r="T157" s="1132">
        <v>42471.0</v>
      </c>
      <c r="U157" s="265" t="s">
        <v>9214</v>
      </c>
      <c r="V157" s="1135" t="s">
        <v>9219</v>
      </c>
      <c r="W157" s="832">
        <v>42527.0</v>
      </c>
      <c r="X157" s="320" t="s">
        <v>9215</v>
      </c>
      <c r="Y157" s="599" t="s">
        <v>9216</v>
      </c>
      <c r="Z157" s="1137" t="s">
        <v>9219</v>
      </c>
      <c r="AA157" s="388" t="s">
        <v>9217</v>
      </c>
      <c r="AB157" s="1141"/>
    </row>
    <row r="158" ht="15.75" customHeight="1">
      <c r="A158" s="776">
        <v>42453.0</v>
      </c>
      <c r="B158" s="340" t="s">
        <v>5188</v>
      </c>
      <c r="C158" s="765" t="s">
        <v>9210</v>
      </c>
      <c r="D158" s="310" t="s">
        <v>9211</v>
      </c>
      <c r="E158" s="578" t="s">
        <v>7472</v>
      </c>
      <c r="F158" s="581">
        <v>15.0</v>
      </c>
      <c r="G158" s="466">
        <f>8.4*1.05</f>
        <v>8.82</v>
      </c>
      <c r="H158" s="466">
        <f t="shared" si="9"/>
        <v>132.3</v>
      </c>
      <c r="I158" s="1063" t="s">
        <v>3474</v>
      </c>
      <c r="J158" s="333" t="s">
        <v>6067</v>
      </c>
      <c r="K158" s="832">
        <v>42474.0</v>
      </c>
      <c r="L158" s="832">
        <v>42472.0</v>
      </c>
      <c r="M158" s="333" t="s">
        <v>2508</v>
      </c>
      <c r="N158" s="320" t="s">
        <v>9212</v>
      </c>
      <c r="O158" s="773"/>
      <c r="P158" s="773">
        <v>3780.0</v>
      </c>
      <c r="Q158" s="320" t="s">
        <v>9213</v>
      </c>
      <c r="R158" s="388"/>
      <c r="S158" s="1145">
        <v>42526.0</v>
      </c>
      <c r="T158" s="1132">
        <v>42471.0</v>
      </c>
      <c r="U158" s="265" t="s">
        <v>9214</v>
      </c>
      <c r="V158" s="1135" t="s">
        <v>9219</v>
      </c>
      <c r="W158" s="832">
        <v>42527.0</v>
      </c>
      <c r="X158" s="320" t="s">
        <v>9215</v>
      </c>
      <c r="Y158" s="599" t="s">
        <v>9216</v>
      </c>
      <c r="Z158" s="1137" t="s">
        <v>9219</v>
      </c>
      <c r="AA158" s="388" t="s">
        <v>9217</v>
      </c>
      <c r="AB158" s="1141"/>
    </row>
    <row r="159" ht="15.75" customHeight="1">
      <c r="A159" s="776">
        <v>42453.0</v>
      </c>
      <c r="B159" s="340" t="s">
        <v>5188</v>
      </c>
      <c r="C159" s="765" t="s">
        <v>9210</v>
      </c>
      <c r="D159" s="310" t="s">
        <v>9211</v>
      </c>
      <c r="E159" s="578" t="s">
        <v>7465</v>
      </c>
      <c r="F159" s="581">
        <v>20.0</v>
      </c>
      <c r="G159" s="466">
        <f>11*1.05</f>
        <v>11.55</v>
      </c>
      <c r="H159" s="466">
        <f t="shared" si="9"/>
        <v>231</v>
      </c>
      <c r="I159" s="1063" t="s">
        <v>3474</v>
      </c>
      <c r="J159" s="333" t="s">
        <v>9220</v>
      </c>
      <c r="K159" s="832">
        <v>42488.0</v>
      </c>
      <c r="L159" s="832">
        <v>42482.0</v>
      </c>
      <c r="M159" s="333" t="s">
        <v>2508</v>
      </c>
      <c r="N159" s="320" t="s">
        <v>9212</v>
      </c>
      <c r="O159" s="773"/>
      <c r="P159" s="773">
        <v>7119.0</v>
      </c>
      <c r="Q159" s="320" t="s">
        <v>9213</v>
      </c>
      <c r="R159" s="388"/>
      <c r="S159" s="1145">
        <v>42526.0</v>
      </c>
      <c r="T159" s="1132">
        <v>42481.0</v>
      </c>
      <c r="U159" s="265" t="s">
        <v>9221</v>
      </c>
      <c r="V159" s="1135">
        <v>7119.0</v>
      </c>
      <c r="W159" s="832">
        <v>42527.0</v>
      </c>
      <c r="X159" s="320" t="s">
        <v>9222</v>
      </c>
      <c r="Y159" s="599" t="s">
        <v>9223</v>
      </c>
      <c r="Z159" s="1146">
        <v>13729.0</v>
      </c>
      <c r="AA159" s="388" t="s">
        <v>9217</v>
      </c>
      <c r="AB159" s="1141"/>
    </row>
    <row r="160" ht="15.75" customHeight="1">
      <c r="A160" s="776">
        <v>42453.0</v>
      </c>
      <c r="B160" s="340" t="s">
        <v>5188</v>
      </c>
      <c r="C160" s="765" t="s">
        <v>9210</v>
      </c>
      <c r="D160" s="310" t="s">
        <v>9211</v>
      </c>
      <c r="E160" s="578" t="s">
        <v>9224</v>
      </c>
      <c r="F160" s="581">
        <v>10.0</v>
      </c>
      <c r="G160" s="466">
        <f>18.5*1.05</f>
        <v>19.425</v>
      </c>
      <c r="H160" s="466">
        <f t="shared" si="9"/>
        <v>194.25</v>
      </c>
      <c r="I160" s="1063" t="s">
        <v>3474</v>
      </c>
      <c r="J160" s="333" t="s">
        <v>9220</v>
      </c>
      <c r="K160" s="832">
        <v>42488.0</v>
      </c>
      <c r="L160" s="832">
        <v>42486.0</v>
      </c>
      <c r="M160" s="333" t="s">
        <v>2508</v>
      </c>
      <c r="N160" s="320" t="s">
        <v>9212</v>
      </c>
      <c r="O160" s="773"/>
      <c r="P160" s="773">
        <v>5985.0</v>
      </c>
      <c r="Q160" s="320" t="s">
        <v>9213</v>
      </c>
      <c r="R160" s="388"/>
      <c r="S160" s="1145">
        <v>42526.0</v>
      </c>
      <c r="T160" s="1132">
        <v>42481.0</v>
      </c>
      <c r="U160" s="265" t="s">
        <v>9225</v>
      </c>
      <c r="V160" s="1135">
        <v>5985.0</v>
      </c>
      <c r="W160" s="832">
        <v>42527.0</v>
      </c>
      <c r="X160" s="320" t="s">
        <v>9222</v>
      </c>
      <c r="Y160" s="599" t="s">
        <v>9223</v>
      </c>
      <c r="Z160" s="1137" t="s">
        <v>9226</v>
      </c>
      <c r="AA160" s="388" t="s">
        <v>9217</v>
      </c>
      <c r="AB160" s="1141"/>
    </row>
    <row r="161" ht="15.75" customHeight="1">
      <c r="A161" s="776">
        <v>42453.0</v>
      </c>
      <c r="B161" s="340" t="s">
        <v>5188</v>
      </c>
      <c r="C161" s="765" t="s">
        <v>9227</v>
      </c>
      <c r="D161" s="310" t="s">
        <v>9228</v>
      </c>
      <c r="E161" s="578" t="s">
        <v>7465</v>
      </c>
      <c r="F161" s="581">
        <v>10.0</v>
      </c>
      <c r="G161" s="466">
        <f>11*1.05</f>
        <v>11.55</v>
      </c>
      <c r="H161" s="466">
        <f t="shared" si="9"/>
        <v>115.5</v>
      </c>
      <c r="I161" s="1063" t="s">
        <v>3474</v>
      </c>
      <c r="J161" s="333" t="s">
        <v>6067</v>
      </c>
      <c r="K161" s="832">
        <v>42474.0</v>
      </c>
      <c r="L161" s="832">
        <v>42472.0</v>
      </c>
      <c r="M161" s="333" t="s">
        <v>2508</v>
      </c>
      <c r="N161" s="320" t="s">
        <v>9229</v>
      </c>
      <c r="O161" s="773"/>
      <c r="P161" s="773">
        <v>3560.0</v>
      </c>
      <c r="Q161" s="320" t="s">
        <v>9213</v>
      </c>
      <c r="R161" s="388"/>
      <c r="S161" s="1145">
        <v>42526.0</v>
      </c>
      <c r="T161" s="1132">
        <v>42471.0</v>
      </c>
      <c r="U161" s="265" t="s">
        <v>9230</v>
      </c>
      <c r="V161" s="1135">
        <v>12059.0</v>
      </c>
      <c r="W161" s="832">
        <v>42527.0</v>
      </c>
      <c r="X161" s="320" t="s">
        <v>9231</v>
      </c>
      <c r="Y161" s="599" t="s">
        <v>9216</v>
      </c>
      <c r="Z161" s="1146">
        <v>13034.0</v>
      </c>
      <c r="AA161" s="388" t="s">
        <v>9217</v>
      </c>
      <c r="AB161" s="1141"/>
    </row>
    <row r="162" ht="15.75" customHeight="1">
      <c r="A162" s="776">
        <v>42453.0</v>
      </c>
      <c r="B162" s="340" t="s">
        <v>5188</v>
      </c>
      <c r="C162" s="765" t="s">
        <v>9227</v>
      </c>
      <c r="D162" s="310" t="s">
        <v>9228</v>
      </c>
      <c r="E162" s="578" t="s">
        <v>7951</v>
      </c>
      <c r="F162" s="581">
        <v>5.0</v>
      </c>
      <c r="G162" s="466">
        <f>9.4*1.05</f>
        <v>9.87</v>
      </c>
      <c r="H162" s="466">
        <f t="shared" si="9"/>
        <v>49.35</v>
      </c>
      <c r="I162" s="1063" t="s">
        <v>3474</v>
      </c>
      <c r="J162" s="333" t="s">
        <v>6067</v>
      </c>
      <c r="K162" s="832">
        <v>42474.0</v>
      </c>
      <c r="L162" s="832">
        <v>42472.0</v>
      </c>
      <c r="M162" s="333" t="s">
        <v>2508</v>
      </c>
      <c r="N162" s="320" t="s">
        <v>9229</v>
      </c>
      <c r="O162" s="773"/>
      <c r="P162" s="773">
        <v>1260.0</v>
      </c>
      <c r="Q162" s="320" t="s">
        <v>9213</v>
      </c>
      <c r="R162" s="388"/>
      <c r="S162" s="1145">
        <v>42526.0</v>
      </c>
      <c r="T162" s="1132">
        <v>42471.0</v>
      </c>
      <c r="U162" s="265" t="s">
        <v>9230</v>
      </c>
      <c r="V162" s="1135" t="s">
        <v>9232</v>
      </c>
      <c r="W162" s="832">
        <v>42527.0</v>
      </c>
      <c r="X162" s="320" t="s">
        <v>9231</v>
      </c>
      <c r="Y162" s="599" t="s">
        <v>9216</v>
      </c>
      <c r="Z162" s="1149" t="s">
        <v>9232</v>
      </c>
      <c r="AA162" s="388" t="s">
        <v>9217</v>
      </c>
      <c r="AB162" s="1141"/>
    </row>
    <row r="163" ht="15.75" customHeight="1">
      <c r="A163" s="776">
        <v>42453.0</v>
      </c>
      <c r="B163" s="340" t="s">
        <v>5188</v>
      </c>
      <c r="C163" s="765" t="s">
        <v>9227</v>
      </c>
      <c r="D163" s="310" t="s">
        <v>9228</v>
      </c>
      <c r="E163" s="578" t="s">
        <v>9218</v>
      </c>
      <c r="F163" s="581">
        <v>5.0</v>
      </c>
      <c r="G163" s="466">
        <f>37*1.05</f>
        <v>38.85</v>
      </c>
      <c r="H163" s="466">
        <f t="shared" si="9"/>
        <v>194.25</v>
      </c>
      <c r="I163" s="1063" t="s">
        <v>3474</v>
      </c>
      <c r="J163" s="333" t="s">
        <v>6067</v>
      </c>
      <c r="K163" s="832">
        <v>42474.0</v>
      </c>
      <c r="L163" s="832">
        <v>42472.0</v>
      </c>
      <c r="M163" s="333" t="s">
        <v>2508</v>
      </c>
      <c r="N163" s="320" t="s">
        <v>9229</v>
      </c>
      <c r="O163" s="773"/>
      <c r="P163" s="773">
        <v>5980.0</v>
      </c>
      <c r="Q163" s="320" t="s">
        <v>9213</v>
      </c>
      <c r="R163" s="388"/>
      <c r="S163" s="1145">
        <v>42526.0</v>
      </c>
      <c r="T163" s="1132">
        <v>42471.0</v>
      </c>
      <c r="U163" s="265" t="s">
        <v>9230</v>
      </c>
      <c r="V163" s="1135" t="s">
        <v>9232</v>
      </c>
      <c r="W163" s="832">
        <v>42527.0</v>
      </c>
      <c r="X163" s="320" t="s">
        <v>9231</v>
      </c>
      <c r="Y163" s="599" t="s">
        <v>9216</v>
      </c>
      <c r="Z163" s="1149" t="s">
        <v>9232</v>
      </c>
      <c r="AA163" s="388" t="s">
        <v>9217</v>
      </c>
      <c r="AB163" s="1141"/>
    </row>
    <row r="164" ht="15.75" customHeight="1">
      <c r="A164" s="776">
        <v>42453.0</v>
      </c>
      <c r="B164" s="340" t="s">
        <v>5188</v>
      </c>
      <c r="C164" s="765" t="s">
        <v>9227</v>
      </c>
      <c r="D164" s="310" t="s">
        <v>9228</v>
      </c>
      <c r="E164" s="578" t="s">
        <v>7472</v>
      </c>
      <c r="F164" s="581">
        <v>5.0</v>
      </c>
      <c r="G164" s="466">
        <f>8.4*1.05</f>
        <v>8.82</v>
      </c>
      <c r="H164" s="466">
        <f t="shared" si="9"/>
        <v>44.1</v>
      </c>
      <c r="I164" s="1063" t="s">
        <v>3474</v>
      </c>
      <c r="J164" s="333" t="s">
        <v>6067</v>
      </c>
      <c r="K164" s="832">
        <v>42474.0</v>
      </c>
      <c r="L164" s="832">
        <v>42472.0</v>
      </c>
      <c r="M164" s="333" t="s">
        <v>2508</v>
      </c>
      <c r="N164" s="320" t="s">
        <v>9229</v>
      </c>
      <c r="O164" s="773"/>
      <c r="P164" s="773">
        <v>1260.0</v>
      </c>
      <c r="Q164" s="320" t="s">
        <v>9213</v>
      </c>
      <c r="R164" s="388"/>
      <c r="S164" s="1145">
        <v>42526.0</v>
      </c>
      <c r="T164" s="1132">
        <v>42471.0</v>
      </c>
      <c r="U164" s="265" t="s">
        <v>9230</v>
      </c>
      <c r="V164" s="1135" t="s">
        <v>9232</v>
      </c>
      <c r="W164" s="832">
        <v>42527.0</v>
      </c>
      <c r="X164" s="320" t="s">
        <v>9231</v>
      </c>
      <c r="Y164" s="599" t="s">
        <v>9216</v>
      </c>
      <c r="Z164" s="1149" t="s">
        <v>9232</v>
      </c>
      <c r="AA164" s="388" t="s">
        <v>9217</v>
      </c>
      <c r="AB164" s="1141"/>
    </row>
    <row r="165" ht="15.75" customHeight="1">
      <c r="A165" s="776">
        <v>42454.0</v>
      </c>
      <c r="B165" s="340" t="s">
        <v>631</v>
      </c>
      <c r="C165" s="765" t="s">
        <v>9233</v>
      </c>
      <c r="D165" s="252" t="s">
        <v>9234</v>
      </c>
      <c r="E165" s="578" t="s">
        <v>9235</v>
      </c>
      <c r="F165" s="581">
        <v>3.0</v>
      </c>
      <c r="G165" s="466">
        <v>185.85</v>
      </c>
      <c r="H165" s="466">
        <f t="shared" si="9"/>
        <v>557.55</v>
      </c>
      <c r="I165" s="256" t="s">
        <v>171</v>
      </c>
      <c r="J165" s="333" t="s">
        <v>90</v>
      </c>
      <c r="K165" s="832">
        <v>42461.0</v>
      </c>
      <c r="L165" s="256"/>
      <c r="M165" s="333" t="s">
        <v>90</v>
      </c>
      <c r="N165" s="265" t="s">
        <v>9236</v>
      </c>
      <c r="O165" s="773">
        <v>450.45</v>
      </c>
      <c r="P165" s="388"/>
      <c r="Q165" s="320" t="s">
        <v>6081</v>
      </c>
      <c r="R165" s="388"/>
      <c r="S165" s="1139"/>
      <c r="T165" s="1132">
        <v>42461.0</v>
      </c>
      <c r="U165" s="265" t="s">
        <v>9237</v>
      </c>
      <c r="V165" s="1135">
        <v>22058.0</v>
      </c>
      <c r="W165" s="832">
        <v>42471.0</v>
      </c>
      <c r="X165" s="320" t="s">
        <v>9238</v>
      </c>
      <c r="Y165" s="388" t="s">
        <v>9239</v>
      </c>
      <c r="Z165" s="1146">
        <v>26258.0</v>
      </c>
      <c r="AA165" s="388" t="s">
        <v>9240</v>
      </c>
      <c r="AB165" s="1141"/>
    </row>
    <row r="166" ht="15.75" customHeight="1">
      <c r="A166" s="776">
        <v>42454.0</v>
      </c>
      <c r="B166" s="340" t="s">
        <v>631</v>
      </c>
      <c r="C166" s="765" t="s">
        <v>9233</v>
      </c>
      <c r="D166" s="252" t="s">
        <v>9234</v>
      </c>
      <c r="E166" s="578" t="s">
        <v>9241</v>
      </c>
      <c r="F166" s="581">
        <v>3.0</v>
      </c>
      <c r="G166" s="466">
        <v>86.1</v>
      </c>
      <c r="H166" s="466">
        <f t="shared" si="9"/>
        <v>258.3</v>
      </c>
      <c r="I166" s="256" t="s">
        <v>171</v>
      </c>
      <c r="J166" s="333" t="s">
        <v>90</v>
      </c>
      <c r="K166" s="832">
        <v>42461.0</v>
      </c>
      <c r="L166" s="832"/>
      <c r="M166" s="333" t="s">
        <v>90</v>
      </c>
      <c r="N166" s="265" t="s">
        <v>9236</v>
      </c>
      <c r="O166" s="773">
        <v>226.8</v>
      </c>
      <c r="P166" s="388"/>
      <c r="Q166" s="320" t="s">
        <v>6081</v>
      </c>
      <c r="R166" s="388"/>
      <c r="S166" s="1139"/>
      <c r="T166" s="1132">
        <v>42461.0</v>
      </c>
      <c r="U166" s="265" t="s">
        <v>9237</v>
      </c>
      <c r="V166" s="1135" t="s">
        <v>9242</v>
      </c>
      <c r="W166" s="832">
        <v>42471.0</v>
      </c>
      <c r="X166" s="320" t="s">
        <v>9238</v>
      </c>
      <c r="Y166" s="388" t="s">
        <v>9239</v>
      </c>
      <c r="Z166" s="1137" t="s">
        <v>9243</v>
      </c>
      <c r="AA166" s="388" t="s">
        <v>9240</v>
      </c>
      <c r="AB166" s="1141"/>
    </row>
    <row r="167" ht="15.75" customHeight="1">
      <c r="A167" s="776">
        <v>42457.0</v>
      </c>
      <c r="B167" s="340" t="s">
        <v>631</v>
      </c>
      <c r="C167" s="765"/>
      <c r="D167" s="310" t="s">
        <v>9244</v>
      </c>
      <c r="E167" s="578" t="s">
        <v>9245</v>
      </c>
      <c r="F167" s="581">
        <v>1.0</v>
      </c>
      <c r="G167" s="466">
        <v>0.0</v>
      </c>
      <c r="H167" s="466">
        <f t="shared" si="9"/>
        <v>0</v>
      </c>
      <c r="I167" s="256" t="s">
        <v>171</v>
      </c>
      <c r="J167" s="333" t="s">
        <v>6067</v>
      </c>
      <c r="K167" s="832">
        <v>42475.0</v>
      </c>
      <c r="L167" s="832"/>
      <c r="M167" s="333"/>
      <c r="N167" s="265"/>
      <c r="O167" s="773"/>
      <c r="P167" s="388"/>
      <c r="Q167" s="320"/>
      <c r="R167" s="388"/>
      <c r="S167" s="1139"/>
      <c r="T167" s="320" t="s">
        <v>9246</v>
      </c>
      <c r="U167" s="320" t="s">
        <v>9246</v>
      </c>
      <c r="V167" s="320" t="s">
        <v>9246</v>
      </c>
      <c r="W167" s="1163"/>
      <c r="X167" s="1163"/>
      <c r="Y167" s="1163"/>
      <c r="Z167" s="388"/>
      <c r="AA167" s="388"/>
      <c r="AB167" s="1141"/>
    </row>
    <row r="168" ht="15.75" customHeight="1">
      <c r="A168" s="776">
        <v>42457.0</v>
      </c>
      <c r="B168" s="340" t="s">
        <v>631</v>
      </c>
      <c r="C168" s="765"/>
      <c r="D168" s="310" t="s">
        <v>9244</v>
      </c>
      <c r="E168" s="578" t="s">
        <v>9247</v>
      </c>
      <c r="F168" s="581">
        <v>1.0</v>
      </c>
      <c r="G168" s="466">
        <v>0.0</v>
      </c>
      <c r="H168" s="466">
        <f t="shared" si="9"/>
        <v>0</v>
      </c>
      <c r="I168" s="256" t="s">
        <v>171</v>
      </c>
      <c r="J168" s="333" t="s">
        <v>6067</v>
      </c>
      <c r="K168" s="832">
        <v>42475.0</v>
      </c>
      <c r="L168" s="832"/>
      <c r="M168" s="333"/>
      <c r="N168" s="265"/>
      <c r="O168" s="773"/>
      <c r="P168" s="388"/>
      <c r="Q168" s="320"/>
      <c r="R168" s="388"/>
      <c r="S168" s="1139"/>
      <c r="T168" s="320" t="s">
        <v>9246</v>
      </c>
      <c r="U168" s="320" t="s">
        <v>9246</v>
      </c>
      <c r="V168" s="320" t="s">
        <v>9246</v>
      </c>
      <c r="W168" s="1163"/>
      <c r="X168" s="1163"/>
      <c r="Y168" s="1163"/>
      <c r="Z168" s="1140"/>
      <c r="AA168" s="1140"/>
      <c r="AB168" s="1141"/>
    </row>
    <row r="169" ht="15.75" customHeight="1">
      <c r="A169" s="776">
        <v>42457.0</v>
      </c>
      <c r="B169" s="340" t="s">
        <v>631</v>
      </c>
      <c r="C169" s="765"/>
      <c r="D169" s="310" t="s">
        <v>9244</v>
      </c>
      <c r="E169" s="578" t="s">
        <v>9248</v>
      </c>
      <c r="F169" s="581">
        <v>1.0</v>
      </c>
      <c r="G169" s="466">
        <v>0.0</v>
      </c>
      <c r="H169" s="466">
        <f t="shared" si="9"/>
        <v>0</v>
      </c>
      <c r="I169" s="256" t="s">
        <v>171</v>
      </c>
      <c r="J169" s="333" t="s">
        <v>6067</v>
      </c>
      <c r="K169" s="832">
        <v>42475.0</v>
      </c>
      <c r="L169" s="832"/>
      <c r="M169" s="333"/>
      <c r="N169" s="265"/>
      <c r="O169" s="773"/>
      <c r="P169" s="388"/>
      <c r="Q169" s="320"/>
      <c r="R169" s="388"/>
      <c r="S169" s="1139"/>
      <c r="T169" s="320" t="s">
        <v>9246</v>
      </c>
      <c r="U169" s="320" t="s">
        <v>9246</v>
      </c>
      <c r="V169" s="320" t="s">
        <v>9246</v>
      </c>
      <c r="W169" s="1163"/>
      <c r="X169" s="1163"/>
      <c r="Y169" s="1163"/>
      <c r="Z169" s="1140"/>
      <c r="AA169" s="1140"/>
      <c r="AB169" s="1141"/>
    </row>
    <row r="170" ht="15.75" customHeight="1">
      <c r="A170" s="776">
        <v>42458.0</v>
      </c>
      <c r="B170" s="340" t="s">
        <v>229</v>
      </c>
      <c r="C170" s="765"/>
      <c r="D170" s="310" t="s">
        <v>9249</v>
      </c>
      <c r="E170" s="604" t="s">
        <v>462</v>
      </c>
      <c r="F170" s="581">
        <v>25.0</v>
      </c>
      <c r="G170" s="773">
        <v>449.4</v>
      </c>
      <c r="H170" s="466">
        <f t="shared" si="9"/>
        <v>11235</v>
      </c>
      <c r="I170" s="256" t="s">
        <v>171</v>
      </c>
      <c r="J170" s="269" t="s">
        <v>90</v>
      </c>
      <c r="K170" s="832">
        <v>42467.0</v>
      </c>
      <c r="L170" s="832"/>
      <c r="M170" s="333" t="s">
        <v>90</v>
      </c>
      <c r="N170" s="265" t="s">
        <v>9250</v>
      </c>
      <c r="O170" s="773">
        <v>10158.75</v>
      </c>
      <c r="P170" s="388"/>
      <c r="Q170" s="320" t="s">
        <v>6081</v>
      </c>
      <c r="R170" s="388"/>
      <c r="S170" s="1139"/>
      <c r="T170" s="1132">
        <v>42466.0</v>
      </c>
      <c r="U170" s="265" t="s">
        <v>9251</v>
      </c>
      <c r="V170" s="1135">
        <v>314626.0</v>
      </c>
      <c r="W170" s="832">
        <v>42494.0</v>
      </c>
      <c r="X170" s="320" t="s">
        <v>9252</v>
      </c>
      <c r="Y170" s="388" t="s">
        <v>9253</v>
      </c>
      <c r="Z170" s="1146">
        <v>364340.0</v>
      </c>
      <c r="AA170" s="388" t="s">
        <v>9254</v>
      </c>
      <c r="AB170" s="1141"/>
    </row>
    <row r="171" ht="15.75" customHeight="1">
      <c r="A171" s="776">
        <v>42534.0</v>
      </c>
      <c r="B171" s="340" t="s">
        <v>5073</v>
      </c>
      <c r="C171" s="765" t="s">
        <v>9255</v>
      </c>
      <c r="D171" s="310" t="s">
        <v>9256</v>
      </c>
      <c r="E171" s="578" t="s">
        <v>9257</v>
      </c>
      <c r="F171" s="581">
        <v>20.0</v>
      </c>
      <c r="G171" s="466">
        <v>3511.0</v>
      </c>
      <c r="H171" s="466">
        <f t="shared" si="9"/>
        <v>70220</v>
      </c>
      <c r="I171" s="256" t="s">
        <v>3474</v>
      </c>
      <c r="J171" s="333" t="s">
        <v>8684</v>
      </c>
      <c r="K171" s="832">
        <v>42604.0</v>
      </c>
      <c r="L171" s="832">
        <v>42572.0</v>
      </c>
      <c r="M171" s="333" t="s">
        <v>2034</v>
      </c>
      <c r="N171" s="265" t="s">
        <v>9258</v>
      </c>
      <c r="O171" s="773"/>
      <c r="P171" s="320">
        <v>2010750.0</v>
      </c>
      <c r="Q171" s="320" t="s">
        <v>2036</v>
      </c>
      <c r="R171" s="388"/>
      <c r="S171" s="1145">
        <v>42611.0</v>
      </c>
      <c r="T171" s="1132">
        <v>42572.0</v>
      </c>
      <c r="U171" s="265" t="s">
        <v>9259</v>
      </c>
      <c r="V171" s="1135">
        <v>2010750.0</v>
      </c>
      <c r="W171" s="832">
        <v>42608.0</v>
      </c>
      <c r="X171" s="320" t="s">
        <v>9260</v>
      </c>
      <c r="Y171" s="1140"/>
      <c r="Z171" s="1140"/>
      <c r="AA171" s="1140"/>
      <c r="AB171" s="320" t="s">
        <v>284</v>
      </c>
    </row>
    <row r="172" ht="15.75" customHeight="1">
      <c r="A172" s="776">
        <v>42461.0</v>
      </c>
      <c r="B172" s="340" t="s">
        <v>3506</v>
      </c>
      <c r="C172" s="765"/>
      <c r="D172" s="310" t="s">
        <v>9261</v>
      </c>
      <c r="E172" s="330" t="s">
        <v>9081</v>
      </c>
      <c r="F172" s="581">
        <v>100.0</v>
      </c>
      <c r="G172" s="267">
        <v>189.1</v>
      </c>
      <c r="H172" s="466">
        <f t="shared" si="9"/>
        <v>18910</v>
      </c>
      <c r="I172" s="256" t="s">
        <v>171</v>
      </c>
      <c r="J172" s="340" t="s">
        <v>3509</v>
      </c>
      <c r="K172" s="832">
        <v>42478.0</v>
      </c>
      <c r="L172" s="832">
        <v>42472.0</v>
      </c>
      <c r="M172" s="333" t="s">
        <v>90</v>
      </c>
      <c r="N172" s="265" t="s">
        <v>9262</v>
      </c>
      <c r="O172" s="773">
        <v>17482.5</v>
      </c>
      <c r="P172" s="388"/>
      <c r="Q172" s="320" t="s">
        <v>6081</v>
      </c>
      <c r="R172" s="388"/>
      <c r="S172" s="1139"/>
      <c r="T172" s="1132">
        <v>42472.0</v>
      </c>
      <c r="U172" s="265" t="s">
        <v>9263</v>
      </c>
      <c r="V172" s="1135">
        <v>530817.0</v>
      </c>
      <c r="W172" s="1132">
        <v>42494.0</v>
      </c>
      <c r="X172" s="320" t="s">
        <v>9101</v>
      </c>
      <c r="Y172" s="1140"/>
      <c r="Z172" s="1140"/>
      <c r="AA172" s="1140"/>
      <c r="AB172" s="340" t="s">
        <v>284</v>
      </c>
    </row>
    <row r="173" ht="15.75" customHeight="1">
      <c r="A173" s="776">
        <v>42461.0</v>
      </c>
      <c r="B173" s="340" t="s">
        <v>3506</v>
      </c>
      <c r="C173" s="765"/>
      <c r="D173" s="578" t="s">
        <v>9264</v>
      </c>
      <c r="E173" s="578" t="s">
        <v>6079</v>
      </c>
      <c r="F173" s="581">
        <v>10.0</v>
      </c>
      <c r="G173" s="267">
        <v>375.4</v>
      </c>
      <c r="H173" s="466">
        <f t="shared" si="9"/>
        <v>3754</v>
      </c>
      <c r="I173" s="256" t="s">
        <v>171</v>
      </c>
      <c r="J173" s="340" t="s">
        <v>3509</v>
      </c>
      <c r="K173" s="832">
        <v>42478.0</v>
      </c>
      <c r="L173" s="832">
        <v>42472.0</v>
      </c>
      <c r="M173" s="333" t="s">
        <v>90</v>
      </c>
      <c r="N173" s="265" t="s">
        <v>9265</v>
      </c>
      <c r="O173" s="773">
        <v>3475.5</v>
      </c>
      <c r="P173" s="664"/>
      <c r="Q173" s="320" t="s">
        <v>6081</v>
      </c>
      <c r="R173" s="388"/>
      <c r="S173" s="1139"/>
      <c r="T173" s="1132">
        <v>42472.0</v>
      </c>
      <c r="U173" s="265" t="s">
        <v>9266</v>
      </c>
      <c r="V173" s="1135">
        <v>103797.0</v>
      </c>
      <c r="W173" s="1132">
        <v>42494.0</v>
      </c>
      <c r="X173" s="320" t="s">
        <v>9101</v>
      </c>
      <c r="Y173" s="1140"/>
      <c r="Z173" s="1140"/>
      <c r="AA173" s="1140"/>
      <c r="AB173" s="340" t="s">
        <v>284</v>
      </c>
    </row>
    <row r="174" ht="15.75" customHeight="1">
      <c r="A174" s="776">
        <v>42461.0</v>
      </c>
      <c r="B174" s="599" t="s">
        <v>101</v>
      </c>
      <c r="C174" s="765" t="s">
        <v>9267</v>
      </c>
      <c r="D174" s="310" t="s">
        <v>9268</v>
      </c>
      <c r="E174" s="578" t="s">
        <v>8996</v>
      </c>
      <c r="F174" s="581">
        <v>4.0</v>
      </c>
      <c r="G174" s="466">
        <v>357.0</v>
      </c>
      <c r="H174" s="466">
        <f t="shared" si="9"/>
        <v>1428</v>
      </c>
      <c r="I174" s="256" t="s">
        <v>171</v>
      </c>
      <c r="J174" s="333" t="s">
        <v>8708</v>
      </c>
      <c r="K174" s="832">
        <v>42485.0</v>
      </c>
      <c r="L174" s="832">
        <v>42478.0</v>
      </c>
      <c r="M174" s="333" t="s">
        <v>2034</v>
      </c>
      <c r="N174" s="320" t="s">
        <v>9269</v>
      </c>
      <c r="O174" s="773"/>
      <c r="P174" s="320">
        <v>46200.0</v>
      </c>
      <c r="Q174" s="320" t="s">
        <v>2036</v>
      </c>
      <c r="R174" s="388"/>
      <c r="S174" s="1139"/>
      <c r="T174" s="1132">
        <v>42475.0</v>
      </c>
      <c r="U174" s="265" t="s">
        <v>9270</v>
      </c>
      <c r="V174" s="1135">
        <v>51030.0</v>
      </c>
      <c r="W174" s="832">
        <v>42529.0</v>
      </c>
      <c r="X174" s="320" t="s">
        <v>9271</v>
      </c>
      <c r="Y174" s="1140"/>
      <c r="Z174" s="1140"/>
      <c r="AA174" s="1140"/>
      <c r="AB174" s="1141"/>
    </row>
    <row r="175" ht="15.75" customHeight="1">
      <c r="A175" s="776">
        <v>42461.0</v>
      </c>
      <c r="B175" s="599" t="s">
        <v>101</v>
      </c>
      <c r="C175" s="765" t="s">
        <v>9267</v>
      </c>
      <c r="D175" s="310" t="s">
        <v>9268</v>
      </c>
      <c r="E175" s="578" t="s">
        <v>9272</v>
      </c>
      <c r="F175" s="581">
        <v>4.0</v>
      </c>
      <c r="G175" s="466">
        <v>41.0</v>
      </c>
      <c r="H175" s="466">
        <f t="shared" si="9"/>
        <v>164</v>
      </c>
      <c r="I175" s="256" t="s">
        <v>171</v>
      </c>
      <c r="J175" s="333" t="s">
        <v>8708</v>
      </c>
      <c r="K175" s="832">
        <v>42485.0</v>
      </c>
      <c r="L175" s="832">
        <v>42478.0</v>
      </c>
      <c r="M175" s="333" t="s">
        <v>2034</v>
      </c>
      <c r="N175" s="320" t="s">
        <v>9269</v>
      </c>
      <c r="O175" s="773"/>
      <c r="P175" s="320">
        <v>4830.0</v>
      </c>
      <c r="Q175" s="320" t="s">
        <v>2036</v>
      </c>
      <c r="R175" s="388"/>
      <c r="S175" s="1139"/>
      <c r="T175" s="1132">
        <v>42475.0</v>
      </c>
      <c r="U175" s="265" t="s">
        <v>9270</v>
      </c>
      <c r="V175" s="1135" t="s">
        <v>9273</v>
      </c>
      <c r="W175" s="832">
        <v>42529.0</v>
      </c>
      <c r="X175" s="320" t="s">
        <v>9271</v>
      </c>
      <c r="Y175" s="1140"/>
      <c r="Z175" s="1140"/>
      <c r="AA175" s="1140"/>
      <c r="AB175" s="1141"/>
    </row>
    <row r="176" ht="15.75" customHeight="1">
      <c r="A176" s="776">
        <v>42461.0</v>
      </c>
      <c r="B176" s="340" t="s">
        <v>101</v>
      </c>
      <c r="C176" s="765"/>
      <c r="D176" s="310" t="s">
        <v>9274</v>
      </c>
      <c r="E176" s="578" t="s">
        <v>9275</v>
      </c>
      <c r="F176" s="581">
        <v>1.0</v>
      </c>
      <c r="G176" s="466">
        <v>128.0</v>
      </c>
      <c r="H176" s="466">
        <f t="shared" si="9"/>
        <v>128</v>
      </c>
      <c r="I176" s="256" t="s">
        <v>171</v>
      </c>
      <c r="J176" s="333" t="s">
        <v>8708</v>
      </c>
      <c r="K176" s="832">
        <v>42485.0</v>
      </c>
      <c r="L176" s="823"/>
      <c r="M176" s="333" t="s">
        <v>2032</v>
      </c>
      <c r="N176" s="265"/>
      <c r="O176" s="773"/>
      <c r="P176" s="320">
        <v>6653.0</v>
      </c>
      <c r="Q176" s="388" t="s">
        <v>2033</v>
      </c>
      <c r="R176" s="388"/>
      <c r="S176" s="1145">
        <v>42520.0</v>
      </c>
      <c r="T176" s="1132">
        <v>42490.0</v>
      </c>
      <c r="U176" s="265" t="s">
        <v>9276</v>
      </c>
      <c r="V176" s="1135">
        <v>11135.0</v>
      </c>
      <c r="W176" s="832">
        <v>42527.0</v>
      </c>
      <c r="X176" s="320" t="s">
        <v>9271</v>
      </c>
      <c r="Y176" s="1140"/>
      <c r="Z176" s="1140"/>
      <c r="AA176" s="1140"/>
      <c r="AB176" s="1141"/>
    </row>
    <row r="177" ht="15.75" customHeight="1">
      <c r="A177" s="776">
        <v>42461.0</v>
      </c>
      <c r="B177" s="340" t="s">
        <v>77</v>
      </c>
      <c r="C177" s="765">
        <v>290.0</v>
      </c>
      <c r="D177" s="310" t="s">
        <v>9277</v>
      </c>
      <c r="E177" s="578" t="s">
        <v>9278</v>
      </c>
      <c r="F177" s="581">
        <v>1.0</v>
      </c>
      <c r="G177" s="267">
        <v>65.0</v>
      </c>
      <c r="H177" s="466">
        <f t="shared" si="9"/>
        <v>65</v>
      </c>
      <c r="I177" s="256" t="s">
        <v>171</v>
      </c>
      <c r="J177" s="333" t="s">
        <v>1098</v>
      </c>
      <c r="K177" s="832">
        <v>42478.0</v>
      </c>
      <c r="L177" s="832">
        <v>42474.0</v>
      </c>
      <c r="M177" s="333" t="s">
        <v>1998</v>
      </c>
      <c r="N177" s="265" t="s">
        <v>9279</v>
      </c>
      <c r="O177" s="773">
        <v>57.75</v>
      </c>
      <c r="P177" s="388"/>
      <c r="Q177" s="320" t="s">
        <v>2000</v>
      </c>
      <c r="R177" s="388"/>
      <c r="S177" s="1145">
        <v>42526.0</v>
      </c>
      <c r="T177" s="1132">
        <v>42474.0</v>
      </c>
      <c r="U177" s="265" t="s">
        <v>9280</v>
      </c>
      <c r="V177" s="1135">
        <v>1871.0</v>
      </c>
      <c r="W177" s="832">
        <v>42527.0</v>
      </c>
      <c r="X177" s="265" t="s">
        <v>9281</v>
      </c>
      <c r="Y177" s="1140"/>
      <c r="Z177" s="1140"/>
      <c r="AA177" s="1140"/>
      <c r="AB177" s="320" t="s">
        <v>284</v>
      </c>
    </row>
    <row r="178" ht="15.75" customHeight="1">
      <c r="A178" s="776">
        <v>42466.0</v>
      </c>
      <c r="B178" s="340" t="s">
        <v>326</v>
      </c>
      <c r="C178" s="765">
        <v>3020359.0</v>
      </c>
      <c r="D178" s="310" t="s">
        <v>9282</v>
      </c>
      <c r="E178" s="578" t="s">
        <v>8930</v>
      </c>
      <c r="F178" s="581">
        <v>1.0</v>
      </c>
      <c r="G178" s="267">
        <v>607.0</v>
      </c>
      <c r="H178" s="466">
        <f t="shared" si="9"/>
        <v>607</v>
      </c>
      <c r="I178" s="256" t="s">
        <v>3474</v>
      </c>
      <c r="J178" s="333" t="s">
        <v>3774</v>
      </c>
      <c r="K178" s="832">
        <v>42502.0</v>
      </c>
      <c r="L178" s="832">
        <v>42493.0</v>
      </c>
      <c r="M178" s="333" t="s">
        <v>3775</v>
      </c>
      <c r="N178" s="265" t="s">
        <v>9283</v>
      </c>
      <c r="O178" s="773">
        <v>593.25</v>
      </c>
      <c r="P178" s="388"/>
      <c r="Q178" s="320" t="s">
        <v>6376</v>
      </c>
      <c r="R178" s="388"/>
      <c r="S178" s="1145">
        <v>42526.0</v>
      </c>
      <c r="T178" s="1132">
        <v>42489.0</v>
      </c>
      <c r="U178" s="265" t="s">
        <v>9284</v>
      </c>
      <c r="V178" s="1135">
        <v>19997.0</v>
      </c>
      <c r="W178" s="832">
        <v>42527.0</v>
      </c>
      <c r="X178" s="252" t="s">
        <v>9285</v>
      </c>
      <c r="Y178" s="1140"/>
      <c r="Z178" s="1140"/>
      <c r="AA178" s="1140"/>
      <c r="AB178" s="1141" t="s">
        <v>8661</v>
      </c>
    </row>
    <row r="179" ht="15.75" customHeight="1">
      <c r="A179" s="776">
        <v>42466.0</v>
      </c>
      <c r="B179" s="340" t="s">
        <v>326</v>
      </c>
      <c r="C179" s="765">
        <v>3020359.0</v>
      </c>
      <c r="D179" s="310" t="s">
        <v>9282</v>
      </c>
      <c r="E179" s="578" t="s">
        <v>4419</v>
      </c>
      <c r="F179" s="581">
        <v>1.0</v>
      </c>
      <c r="G179" s="267">
        <v>27.0</v>
      </c>
      <c r="H179" s="466">
        <f t="shared" si="9"/>
        <v>27</v>
      </c>
      <c r="I179" s="256" t="s">
        <v>3474</v>
      </c>
      <c r="J179" s="333" t="s">
        <v>3774</v>
      </c>
      <c r="K179" s="832">
        <v>42502.0</v>
      </c>
      <c r="L179" s="832">
        <v>42493.0</v>
      </c>
      <c r="M179" s="333" t="s">
        <v>3775</v>
      </c>
      <c r="N179" s="265" t="s">
        <v>9286</v>
      </c>
      <c r="O179" s="773">
        <v>26.25</v>
      </c>
      <c r="P179" s="388"/>
      <c r="Q179" s="320" t="s">
        <v>6376</v>
      </c>
      <c r="R179" s="388"/>
      <c r="S179" s="1145">
        <v>42526.0</v>
      </c>
      <c r="T179" s="1132">
        <v>42489.0</v>
      </c>
      <c r="U179" s="265" t="s">
        <v>9284</v>
      </c>
      <c r="V179" s="1135" t="s">
        <v>9287</v>
      </c>
      <c r="W179" s="832">
        <v>42527.0</v>
      </c>
      <c r="X179" s="252" t="s">
        <v>9285</v>
      </c>
      <c r="Y179" s="1140"/>
      <c r="Z179" s="1140"/>
      <c r="AA179" s="1140"/>
      <c r="AB179" s="1141" t="s">
        <v>8661</v>
      </c>
    </row>
    <row r="180" ht="15.75" customHeight="1">
      <c r="A180" s="776">
        <v>42466.0</v>
      </c>
      <c r="B180" s="340" t="s">
        <v>326</v>
      </c>
      <c r="C180" s="765">
        <v>3020359.0</v>
      </c>
      <c r="D180" s="310" t="s">
        <v>9288</v>
      </c>
      <c r="E180" s="578" t="s">
        <v>8930</v>
      </c>
      <c r="F180" s="581">
        <v>4.0</v>
      </c>
      <c r="G180" s="267">
        <v>607.0</v>
      </c>
      <c r="H180" s="466">
        <f t="shared" si="9"/>
        <v>2428</v>
      </c>
      <c r="I180" s="256" t="s">
        <v>3474</v>
      </c>
      <c r="J180" s="333" t="s">
        <v>3774</v>
      </c>
      <c r="K180" s="832">
        <v>42529.0</v>
      </c>
      <c r="L180" s="832">
        <v>42529.0</v>
      </c>
      <c r="M180" s="333" t="s">
        <v>3775</v>
      </c>
      <c r="N180" s="265" t="s">
        <v>9289</v>
      </c>
      <c r="O180" s="773">
        <v>2373.0</v>
      </c>
      <c r="P180" s="664"/>
      <c r="Q180" s="320" t="s">
        <v>6376</v>
      </c>
      <c r="R180" s="388"/>
      <c r="S180" s="1145">
        <v>42587.0</v>
      </c>
      <c r="T180" s="771">
        <v>42528.0</v>
      </c>
      <c r="U180" s="252" t="s">
        <v>9290</v>
      </c>
      <c r="V180" s="774">
        <v>80550.0</v>
      </c>
      <c r="W180" s="832">
        <v>42565.0</v>
      </c>
      <c r="X180" s="252" t="s">
        <v>9291</v>
      </c>
      <c r="Y180" s="1140"/>
      <c r="Z180" s="1140"/>
      <c r="AA180" s="1140"/>
      <c r="AB180" s="1141" t="s">
        <v>284</v>
      </c>
    </row>
    <row r="181" ht="15.75" customHeight="1">
      <c r="A181" s="776">
        <v>42466.0</v>
      </c>
      <c r="B181" s="340" t="s">
        <v>326</v>
      </c>
      <c r="C181" s="765">
        <v>3020359.0</v>
      </c>
      <c r="D181" s="310" t="s">
        <v>9288</v>
      </c>
      <c r="E181" s="578" t="s">
        <v>4419</v>
      </c>
      <c r="F181" s="581">
        <v>4.0</v>
      </c>
      <c r="G181" s="267">
        <v>27.0</v>
      </c>
      <c r="H181" s="466">
        <f t="shared" si="9"/>
        <v>108</v>
      </c>
      <c r="I181" s="256" t="s">
        <v>3474</v>
      </c>
      <c r="J181" s="333" t="s">
        <v>3774</v>
      </c>
      <c r="K181" s="832">
        <v>42529.0</v>
      </c>
      <c r="L181" s="832">
        <v>42529.0</v>
      </c>
      <c r="M181" s="333" t="s">
        <v>3775</v>
      </c>
      <c r="N181" s="265" t="s">
        <v>9289</v>
      </c>
      <c r="O181" s="773">
        <v>105.0</v>
      </c>
      <c r="P181" s="664"/>
      <c r="Q181" s="320" t="s">
        <v>6376</v>
      </c>
      <c r="R181" s="388"/>
      <c r="S181" s="1145">
        <v>42587.0</v>
      </c>
      <c r="T181" s="771">
        <v>42528.0</v>
      </c>
      <c r="U181" s="252" t="s">
        <v>9290</v>
      </c>
      <c r="V181" s="774" t="s">
        <v>9292</v>
      </c>
      <c r="W181" s="832">
        <v>42565.0</v>
      </c>
      <c r="X181" s="252" t="s">
        <v>9291</v>
      </c>
      <c r="Y181" s="1140"/>
      <c r="Z181" s="1140"/>
      <c r="AA181" s="1140"/>
      <c r="AB181" s="1141" t="s">
        <v>284</v>
      </c>
    </row>
    <row r="182" ht="15.75" customHeight="1">
      <c r="A182" s="776">
        <v>42466.0</v>
      </c>
      <c r="B182" s="340" t="s">
        <v>1000</v>
      </c>
      <c r="C182" s="765" t="s">
        <v>9293</v>
      </c>
      <c r="D182" s="310" t="s">
        <v>9294</v>
      </c>
      <c r="E182" s="578" t="s">
        <v>9295</v>
      </c>
      <c r="F182" s="581">
        <v>1.0</v>
      </c>
      <c r="G182" s="267">
        <v>130.0</v>
      </c>
      <c r="H182" s="466">
        <f t="shared" si="9"/>
        <v>130</v>
      </c>
      <c r="I182" s="256" t="s">
        <v>3474</v>
      </c>
      <c r="J182" s="333" t="s">
        <v>8684</v>
      </c>
      <c r="K182" s="832">
        <v>42478.0</v>
      </c>
      <c r="L182" s="832">
        <v>42468.0</v>
      </c>
      <c r="M182" s="333" t="s">
        <v>6120</v>
      </c>
      <c r="N182" s="310" t="s">
        <v>9296</v>
      </c>
      <c r="O182" s="773"/>
      <c r="P182" s="320">
        <v>3918.6</v>
      </c>
      <c r="Q182" s="320" t="s">
        <v>8689</v>
      </c>
      <c r="R182" s="388"/>
      <c r="S182" s="1145">
        <v>42556.0</v>
      </c>
      <c r="T182" s="1132">
        <v>42467.0</v>
      </c>
      <c r="U182" s="265" t="s">
        <v>9297</v>
      </c>
      <c r="V182" s="1135">
        <v>3919.0</v>
      </c>
      <c r="W182" s="832">
        <v>42529.0</v>
      </c>
      <c r="X182" s="265" t="s">
        <v>9298</v>
      </c>
      <c r="Y182" s="1140"/>
      <c r="Z182" s="1140"/>
      <c r="AA182" s="1140"/>
      <c r="AB182" s="320" t="s">
        <v>284</v>
      </c>
    </row>
    <row r="183" ht="15.75" customHeight="1">
      <c r="A183" s="776">
        <v>42466.0</v>
      </c>
      <c r="B183" s="340" t="s">
        <v>77</v>
      </c>
      <c r="C183" s="765"/>
      <c r="D183" s="310" t="s">
        <v>9299</v>
      </c>
      <c r="E183" s="310" t="s">
        <v>9300</v>
      </c>
      <c r="F183" s="581">
        <v>1.0</v>
      </c>
      <c r="G183" s="267">
        <v>558.0</v>
      </c>
      <c r="H183" s="466">
        <f t="shared" si="9"/>
        <v>558</v>
      </c>
      <c r="I183" s="256" t="s">
        <v>171</v>
      </c>
      <c r="J183" s="333" t="s">
        <v>1098</v>
      </c>
      <c r="K183" s="832">
        <v>42572.0</v>
      </c>
      <c r="L183" s="256"/>
      <c r="M183" s="403" t="s">
        <v>6298</v>
      </c>
      <c r="N183" s="265" t="s">
        <v>3717</v>
      </c>
      <c r="O183" s="773"/>
      <c r="P183" s="388"/>
      <c r="Q183" s="310"/>
      <c r="R183" s="310" t="s">
        <v>9301</v>
      </c>
      <c r="S183" s="1139"/>
      <c r="T183" s="310" t="s">
        <v>9301</v>
      </c>
      <c r="U183" s="310" t="s">
        <v>9301</v>
      </c>
      <c r="V183" s="310" t="s">
        <v>9301</v>
      </c>
      <c r="W183" s="832"/>
      <c r="X183" s="320" t="s">
        <v>9302</v>
      </c>
      <c r="Y183" s="1140"/>
      <c r="Z183" s="1140"/>
      <c r="AA183" s="1140"/>
      <c r="AB183" s="320" t="s">
        <v>284</v>
      </c>
    </row>
    <row r="184" ht="15.75" customHeight="1">
      <c r="A184" s="776">
        <v>42466.0</v>
      </c>
      <c r="B184" s="340" t="s">
        <v>77</v>
      </c>
      <c r="C184" s="765"/>
      <c r="D184" s="310" t="s">
        <v>9303</v>
      </c>
      <c r="E184" s="310" t="s">
        <v>9304</v>
      </c>
      <c r="F184" s="581">
        <v>1.0</v>
      </c>
      <c r="G184" s="267">
        <v>166.0</v>
      </c>
      <c r="H184" s="466">
        <f t="shared" si="9"/>
        <v>166</v>
      </c>
      <c r="I184" s="256" t="s">
        <v>171</v>
      </c>
      <c r="J184" s="333" t="s">
        <v>316</v>
      </c>
      <c r="K184" s="258">
        <v>42541.0</v>
      </c>
      <c r="L184" s="256" t="s">
        <v>9305</v>
      </c>
      <c r="M184" s="333" t="s">
        <v>9306</v>
      </c>
      <c r="N184" s="265" t="s">
        <v>3717</v>
      </c>
      <c r="O184" s="1156"/>
      <c r="P184" s="664"/>
      <c r="Q184" s="330"/>
      <c r="R184" s="310" t="s">
        <v>9301</v>
      </c>
      <c r="S184" s="1139"/>
      <c r="T184" s="310" t="s">
        <v>9301</v>
      </c>
      <c r="U184" s="310" t="s">
        <v>9301</v>
      </c>
      <c r="V184" s="310" t="s">
        <v>9301</v>
      </c>
      <c r="W184" s="310"/>
      <c r="X184" s="320" t="s">
        <v>9307</v>
      </c>
      <c r="Y184" s="1140"/>
      <c r="Z184" s="1140"/>
      <c r="AA184" s="1140"/>
      <c r="AB184" s="320" t="s">
        <v>284</v>
      </c>
    </row>
    <row r="185" ht="15.75" customHeight="1">
      <c r="A185" s="776">
        <v>42466.0</v>
      </c>
      <c r="B185" s="340" t="s">
        <v>77</v>
      </c>
      <c r="C185" s="765"/>
      <c r="D185" s="310" t="s">
        <v>9308</v>
      </c>
      <c r="E185" s="310" t="s">
        <v>9309</v>
      </c>
      <c r="F185" s="581">
        <v>1.0</v>
      </c>
      <c r="G185" s="267">
        <v>85.0</v>
      </c>
      <c r="H185" s="466">
        <f t="shared" si="9"/>
        <v>85</v>
      </c>
      <c r="I185" s="256" t="s">
        <v>171</v>
      </c>
      <c r="J185" s="333" t="s">
        <v>316</v>
      </c>
      <c r="K185" s="258">
        <v>42541.0</v>
      </c>
      <c r="L185" s="256" t="s">
        <v>9310</v>
      </c>
      <c r="M185" s="256" t="s">
        <v>9311</v>
      </c>
      <c r="N185" s="320" t="s">
        <v>9312</v>
      </c>
      <c r="O185" s="1156"/>
      <c r="P185" s="320">
        <v>2194.5</v>
      </c>
      <c r="Q185" s="765" t="s">
        <v>9313</v>
      </c>
      <c r="R185" s="330"/>
      <c r="S185" s="1139"/>
      <c r="T185" s="310" t="s">
        <v>5701</v>
      </c>
      <c r="U185" s="310" t="s">
        <v>5701</v>
      </c>
      <c r="V185" s="310" t="s">
        <v>5701</v>
      </c>
      <c r="W185" s="832">
        <v>42474.0</v>
      </c>
      <c r="X185" s="320" t="s">
        <v>9307</v>
      </c>
      <c r="Y185" s="1140"/>
      <c r="Z185" s="1140"/>
      <c r="AA185" s="1140"/>
      <c r="AB185" s="320" t="s">
        <v>284</v>
      </c>
    </row>
    <row r="186" ht="15.75" customHeight="1">
      <c r="A186" s="776">
        <v>42466.0</v>
      </c>
      <c r="B186" s="340" t="s">
        <v>77</v>
      </c>
      <c r="C186" s="765"/>
      <c r="D186" s="310" t="s">
        <v>9314</v>
      </c>
      <c r="E186" s="578" t="s">
        <v>9315</v>
      </c>
      <c r="F186" s="581">
        <v>1.0</v>
      </c>
      <c r="G186" s="267">
        <v>20.0</v>
      </c>
      <c r="H186" s="466">
        <f t="shared" si="9"/>
        <v>20</v>
      </c>
      <c r="I186" s="256" t="s">
        <v>171</v>
      </c>
      <c r="J186" s="333" t="s">
        <v>316</v>
      </c>
      <c r="K186" s="258">
        <v>42541.0</v>
      </c>
      <c r="L186" s="1142"/>
      <c r="M186" s="403" t="s">
        <v>6298</v>
      </c>
      <c r="N186" s="320" t="s">
        <v>9316</v>
      </c>
      <c r="O186" s="773"/>
      <c r="P186" s="320">
        <v>340.0</v>
      </c>
      <c r="Q186" s="320" t="s">
        <v>2148</v>
      </c>
      <c r="R186" s="388"/>
      <c r="S186" s="1139"/>
      <c r="T186" s="310" t="s">
        <v>5701</v>
      </c>
      <c r="U186" s="310" t="s">
        <v>5701</v>
      </c>
      <c r="V186" s="310" t="s">
        <v>5701</v>
      </c>
      <c r="W186" s="832">
        <v>42572.0</v>
      </c>
      <c r="X186" s="320" t="s">
        <v>9307</v>
      </c>
      <c r="Y186" s="1140"/>
      <c r="Z186" s="1140"/>
      <c r="AA186" s="1140"/>
      <c r="AB186" s="320" t="s">
        <v>284</v>
      </c>
    </row>
    <row r="187" ht="15.75" customHeight="1">
      <c r="A187" s="776">
        <v>42467.0</v>
      </c>
      <c r="B187" s="340" t="s">
        <v>9317</v>
      </c>
      <c r="C187" s="778" t="s">
        <v>9318</v>
      </c>
      <c r="D187" s="310" t="s">
        <v>9319</v>
      </c>
      <c r="E187" s="578" t="s">
        <v>9320</v>
      </c>
      <c r="F187" s="581">
        <v>10.0</v>
      </c>
      <c r="G187" s="267">
        <v>169.0</v>
      </c>
      <c r="H187" s="466">
        <f t="shared" si="9"/>
        <v>1690</v>
      </c>
      <c r="I187" s="779" t="s">
        <v>3474</v>
      </c>
      <c r="J187" s="333" t="s">
        <v>8708</v>
      </c>
      <c r="K187" s="832">
        <v>42481.0</v>
      </c>
      <c r="L187" s="832">
        <v>42478.0</v>
      </c>
      <c r="M187" s="333" t="s">
        <v>3593</v>
      </c>
      <c r="N187" s="265" t="s">
        <v>9321</v>
      </c>
      <c r="O187" s="773"/>
      <c r="P187" s="320">
        <v>55083.0</v>
      </c>
      <c r="Q187" s="320" t="s">
        <v>8689</v>
      </c>
      <c r="R187" s="388"/>
      <c r="S187" s="1145">
        <v>42526.0</v>
      </c>
      <c r="T187" s="1132">
        <v>42478.0</v>
      </c>
      <c r="U187" s="265" t="s">
        <v>9322</v>
      </c>
      <c r="V187" s="1135">
        <v>55083.0</v>
      </c>
      <c r="W187" s="832">
        <v>42529.0</v>
      </c>
      <c r="X187" s="320" t="s">
        <v>9323</v>
      </c>
      <c r="Y187" s="1140"/>
      <c r="Z187" s="1140"/>
      <c r="AA187" s="1140"/>
      <c r="AB187" s="320" t="s">
        <v>284</v>
      </c>
    </row>
    <row r="188" ht="15.75" customHeight="1">
      <c r="A188" s="776">
        <v>42467.0</v>
      </c>
      <c r="B188" s="340" t="s">
        <v>9317</v>
      </c>
      <c r="C188" s="778" t="s">
        <v>9318</v>
      </c>
      <c r="D188" s="310" t="s">
        <v>9319</v>
      </c>
      <c r="E188" s="578" t="s">
        <v>347</v>
      </c>
      <c r="F188" s="581">
        <v>1.0</v>
      </c>
      <c r="G188" s="466">
        <v>1.0</v>
      </c>
      <c r="H188" s="466">
        <v>158.0</v>
      </c>
      <c r="I188" s="779" t="s">
        <v>3474</v>
      </c>
      <c r="J188" s="333" t="s">
        <v>8708</v>
      </c>
      <c r="K188" s="832">
        <v>42481.0</v>
      </c>
      <c r="L188" s="832"/>
      <c r="M188" s="333" t="s">
        <v>2032</v>
      </c>
      <c r="N188" s="265"/>
      <c r="O188" s="773"/>
      <c r="P188" s="320">
        <v>4482.0</v>
      </c>
      <c r="Q188" s="388" t="s">
        <v>2033</v>
      </c>
      <c r="R188" s="388"/>
      <c r="S188" s="1145">
        <v>42520.0</v>
      </c>
      <c r="T188" s="1132">
        <v>42490.0</v>
      </c>
      <c r="U188" s="265" t="s">
        <v>9276</v>
      </c>
      <c r="V188" s="1135" t="s">
        <v>9324</v>
      </c>
      <c r="W188" s="832">
        <v>42527.0</v>
      </c>
      <c r="X188" s="320" t="s">
        <v>9323</v>
      </c>
      <c r="Y188" s="1140"/>
      <c r="Z188" s="1140"/>
      <c r="AA188" s="1140"/>
      <c r="AB188" s="320" t="s">
        <v>284</v>
      </c>
    </row>
    <row r="189" ht="15.75" customHeight="1">
      <c r="A189" s="776">
        <v>42467.0</v>
      </c>
      <c r="B189" s="340" t="s">
        <v>77</v>
      </c>
      <c r="C189" s="765">
        <v>299.0</v>
      </c>
      <c r="D189" s="310" t="s">
        <v>9325</v>
      </c>
      <c r="E189" s="578" t="s">
        <v>9326</v>
      </c>
      <c r="F189" s="581">
        <v>30.0</v>
      </c>
      <c r="G189" s="466">
        <v>300.0</v>
      </c>
      <c r="H189" s="466">
        <f t="shared" ref="H189:H201" si="10">G189*F189</f>
        <v>9000</v>
      </c>
      <c r="I189" s="256" t="s">
        <v>171</v>
      </c>
      <c r="J189" s="333" t="s">
        <v>316</v>
      </c>
      <c r="K189" s="832">
        <v>42493.0</v>
      </c>
      <c r="L189" s="832">
        <v>42486.0</v>
      </c>
      <c r="M189" s="333" t="s">
        <v>1998</v>
      </c>
      <c r="N189" s="265" t="s">
        <v>9327</v>
      </c>
      <c r="O189" s="773">
        <v>8190.0</v>
      </c>
      <c r="P189" s="388"/>
      <c r="Q189" s="320" t="s">
        <v>2000</v>
      </c>
      <c r="R189" s="388"/>
      <c r="S189" s="1145">
        <v>42526.0</v>
      </c>
      <c r="T189" s="1132">
        <v>42489.0</v>
      </c>
      <c r="U189" s="265" t="s">
        <v>9328</v>
      </c>
      <c r="V189" s="1135">
        <v>264005.0</v>
      </c>
      <c r="W189" s="832">
        <v>42527.0</v>
      </c>
      <c r="X189" s="320" t="s">
        <v>9329</v>
      </c>
      <c r="Y189" s="1140"/>
      <c r="Z189" s="1140"/>
      <c r="AA189" s="1140"/>
      <c r="AB189" s="320" t="s">
        <v>284</v>
      </c>
    </row>
    <row r="190" ht="15.75" customHeight="1">
      <c r="A190" s="776">
        <v>42467.0</v>
      </c>
      <c r="B190" s="578" t="s">
        <v>8749</v>
      </c>
      <c r="C190" s="765" t="s">
        <v>9330</v>
      </c>
      <c r="D190" s="310" t="s">
        <v>9331</v>
      </c>
      <c r="E190" s="330" t="s">
        <v>6249</v>
      </c>
      <c r="F190" s="581">
        <v>1.0</v>
      </c>
      <c r="G190" s="267">
        <v>61.95</v>
      </c>
      <c r="H190" s="466">
        <f t="shared" si="10"/>
        <v>61.95</v>
      </c>
      <c r="I190" s="256" t="s">
        <v>43</v>
      </c>
      <c r="J190" s="333" t="s">
        <v>90</v>
      </c>
      <c r="K190" s="832">
        <v>42474.0</v>
      </c>
      <c r="L190" s="832"/>
      <c r="M190" s="333" t="s">
        <v>90</v>
      </c>
      <c r="N190" s="265" t="s">
        <v>9332</v>
      </c>
      <c r="O190" s="773">
        <v>54.6</v>
      </c>
      <c r="P190" s="388"/>
      <c r="Q190" s="320" t="s">
        <v>6081</v>
      </c>
      <c r="R190" s="388"/>
      <c r="S190" s="1139"/>
      <c r="T190" s="1132">
        <v>42472.0</v>
      </c>
      <c r="U190" s="265" t="s">
        <v>9333</v>
      </c>
      <c r="V190" s="1134">
        <v>1758.0</v>
      </c>
      <c r="W190" s="832">
        <v>42527.0</v>
      </c>
      <c r="X190" s="320" t="s">
        <v>9334</v>
      </c>
      <c r="Y190" s="388" t="s">
        <v>9335</v>
      </c>
      <c r="Z190" s="1146">
        <v>2002.0</v>
      </c>
      <c r="AA190" s="388" t="s">
        <v>9336</v>
      </c>
      <c r="AB190" s="320"/>
    </row>
    <row r="191" ht="15.75" customHeight="1">
      <c r="A191" s="776">
        <v>42468.0</v>
      </c>
      <c r="B191" s="340" t="s">
        <v>7587</v>
      </c>
      <c r="C191" s="765"/>
      <c r="D191" s="310" t="s">
        <v>9337</v>
      </c>
      <c r="E191" s="310" t="s">
        <v>5244</v>
      </c>
      <c r="F191" s="581">
        <v>2.0</v>
      </c>
      <c r="G191" s="267">
        <v>106.0</v>
      </c>
      <c r="H191" s="466">
        <f t="shared" si="10"/>
        <v>212</v>
      </c>
      <c r="I191" s="256" t="s">
        <v>171</v>
      </c>
      <c r="J191" s="333" t="s">
        <v>9338</v>
      </c>
      <c r="K191" s="832">
        <v>42485.0</v>
      </c>
      <c r="L191" s="832">
        <v>42475.0</v>
      </c>
      <c r="M191" s="333" t="s">
        <v>3840</v>
      </c>
      <c r="N191" s="310" t="s">
        <v>9339</v>
      </c>
      <c r="O191" s="773"/>
      <c r="P191" s="320">
        <v>6510.0</v>
      </c>
      <c r="Q191" s="388" t="s">
        <v>3842</v>
      </c>
      <c r="R191" s="388"/>
      <c r="S191" s="1145">
        <v>42526.0</v>
      </c>
      <c r="T191" s="1132">
        <v>42474.0</v>
      </c>
      <c r="U191" s="265" t="s">
        <v>9340</v>
      </c>
      <c r="V191" s="1134">
        <v>26670.0</v>
      </c>
      <c r="W191" s="832">
        <v>42527.0</v>
      </c>
      <c r="X191" s="320" t="s">
        <v>9341</v>
      </c>
      <c r="Y191" s="1140"/>
      <c r="Z191" s="1140"/>
      <c r="AA191" s="1140"/>
      <c r="AB191" s="1141" t="s">
        <v>284</v>
      </c>
    </row>
    <row r="192" ht="15.75" customHeight="1">
      <c r="A192" s="776">
        <v>42468.0</v>
      </c>
      <c r="B192" s="340" t="s">
        <v>7587</v>
      </c>
      <c r="C192" s="765"/>
      <c r="D192" s="310" t="s">
        <v>9337</v>
      </c>
      <c r="E192" s="310" t="s">
        <v>5248</v>
      </c>
      <c r="F192" s="581">
        <v>2.0</v>
      </c>
      <c r="G192" s="267">
        <v>240.0</v>
      </c>
      <c r="H192" s="466">
        <f t="shared" si="10"/>
        <v>480</v>
      </c>
      <c r="I192" s="256" t="s">
        <v>171</v>
      </c>
      <c r="J192" s="333" t="s">
        <v>9338</v>
      </c>
      <c r="K192" s="832">
        <v>42485.0</v>
      </c>
      <c r="L192" s="832">
        <v>42475.0</v>
      </c>
      <c r="M192" s="333" t="s">
        <v>3840</v>
      </c>
      <c r="N192" s="310" t="s">
        <v>9339</v>
      </c>
      <c r="O192" s="773"/>
      <c r="P192" s="320">
        <v>15120.0</v>
      </c>
      <c r="Q192" s="388" t="s">
        <v>3842</v>
      </c>
      <c r="R192" s="388"/>
      <c r="S192" s="1145">
        <v>42526.0</v>
      </c>
      <c r="T192" s="1132">
        <v>42474.0</v>
      </c>
      <c r="U192" s="265" t="s">
        <v>9340</v>
      </c>
      <c r="V192" s="1134" t="s">
        <v>9342</v>
      </c>
      <c r="W192" s="832">
        <v>42527.0</v>
      </c>
      <c r="X192" s="320" t="s">
        <v>9341</v>
      </c>
      <c r="Y192" s="1140"/>
      <c r="Z192" s="1140"/>
      <c r="AA192" s="1140"/>
      <c r="AB192" s="1141" t="s">
        <v>284</v>
      </c>
    </row>
    <row r="193" ht="15.75" customHeight="1">
      <c r="A193" s="776">
        <v>42468.0</v>
      </c>
      <c r="B193" s="340" t="s">
        <v>7587</v>
      </c>
      <c r="C193" s="765"/>
      <c r="D193" s="310" t="s">
        <v>9337</v>
      </c>
      <c r="E193" s="310" t="s">
        <v>5250</v>
      </c>
      <c r="F193" s="581">
        <v>2.0</v>
      </c>
      <c r="G193" s="267">
        <v>82.0</v>
      </c>
      <c r="H193" s="466">
        <f t="shared" si="10"/>
        <v>164</v>
      </c>
      <c r="I193" s="256" t="s">
        <v>171</v>
      </c>
      <c r="J193" s="333" t="s">
        <v>9338</v>
      </c>
      <c r="K193" s="832">
        <v>42485.0</v>
      </c>
      <c r="L193" s="832">
        <v>42475.0</v>
      </c>
      <c r="M193" s="333" t="s">
        <v>3840</v>
      </c>
      <c r="N193" s="310" t="s">
        <v>9339</v>
      </c>
      <c r="O193" s="773"/>
      <c r="P193" s="320">
        <v>5040.0</v>
      </c>
      <c r="Q193" s="388" t="s">
        <v>3842</v>
      </c>
      <c r="R193" s="388"/>
      <c r="S193" s="1145">
        <v>42526.0</v>
      </c>
      <c r="T193" s="1132">
        <v>42474.0</v>
      </c>
      <c r="U193" s="265" t="s">
        <v>9340</v>
      </c>
      <c r="V193" s="1134" t="s">
        <v>9342</v>
      </c>
      <c r="W193" s="832">
        <v>42527.0</v>
      </c>
      <c r="X193" s="320" t="s">
        <v>9341</v>
      </c>
      <c r="Y193" s="1140"/>
      <c r="Z193" s="1140"/>
      <c r="AA193" s="1140"/>
      <c r="AB193" s="1141" t="s">
        <v>284</v>
      </c>
    </row>
    <row r="194" ht="15.75" customHeight="1">
      <c r="A194" s="776">
        <v>42468.0</v>
      </c>
      <c r="B194" s="340" t="s">
        <v>1204</v>
      </c>
      <c r="C194" s="765" t="s">
        <v>9343</v>
      </c>
      <c r="D194" s="310" t="s">
        <v>9344</v>
      </c>
      <c r="E194" s="578" t="s">
        <v>9165</v>
      </c>
      <c r="F194" s="581">
        <v>140.0</v>
      </c>
      <c r="G194" s="466">
        <v>14.9</v>
      </c>
      <c r="H194" s="466">
        <f t="shared" si="10"/>
        <v>2086</v>
      </c>
      <c r="I194" s="266" t="s">
        <v>43</v>
      </c>
      <c r="J194" s="333" t="s">
        <v>9166</v>
      </c>
      <c r="K194" s="832">
        <v>42502.0</v>
      </c>
      <c r="L194" s="832">
        <v>42499.0</v>
      </c>
      <c r="M194" s="333" t="s">
        <v>2508</v>
      </c>
      <c r="N194" s="265" t="s">
        <v>9345</v>
      </c>
      <c r="O194" s="773"/>
      <c r="P194" s="320">
        <v>67620.0</v>
      </c>
      <c r="Q194" s="320" t="s">
        <v>2510</v>
      </c>
      <c r="R194" s="388"/>
      <c r="S194" s="1145">
        <v>42526.0</v>
      </c>
      <c r="T194" s="1132">
        <v>42499.0</v>
      </c>
      <c r="U194" s="265" t="s">
        <v>9346</v>
      </c>
      <c r="V194" s="1135">
        <v>101430.0</v>
      </c>
      <c r="W194" s="832">
        <v>42527.0</v>
      </c>
      <c r="X194" s="252" t="s">
        <v>9171</v>
      </c>
      <c r="Y194" s="1140"/>
      <c r="Z194" s="1140"/>
      <c r="AA194" s="1140"/>
      <c r="AB194" s="320" t="s">
        <v>284</v>
      </c>
    </row>
    <row r="195" ht="15.75" customHeight="1">
      <c r="A195" s="776">
        <v>42468.0</v>
      </c>
      <c r="B195" s="340" t="s">
        <v>1204</v>
      </c>
      <c r="C195" s="765" t="s">
        <v>9343</v>
      </c>
      <c r="D195" s="310" t="s">
        <v>9347</v>
      </c>
      <c r="E195" s="578" t="s">
        <v>9165</v>
      </c>
      <c r="F195" s="581">
        <v>110.0</v>
      </c>
      <c r="G195" s="267">
        <v>14.9</v>
      </c>
      <c r="H195" s="466">
        <f t="shared" si="10"/>
        <v>1639</v>
      </c>
      <c r="I195" s="266" t="s">
        <v>43</v>
      </c>
      <c r="J195" s="333" t="s">
        <v>934</v>
      </c>
      <c r="K195" s="832">
        <v>42513.0</v>
      </c>
      <c r="L195" s="832">
        <v>42501.0</v>
      </c>
      <c r="M195" s="333" t="s">
        <v>2508</v>
      </c>
      <c r="N195" s="265" t="s">
        <v>9345</v>
      </c>
      <c r="O195" s="773"/>
      <c r="P195" s="320">
        <v>53130.0</v>
      </c>
      <c r="Q195" s="320" t="s">
        <v>2510</v>
      </c>
      <c r="R195" s="388"/>
      <c r="S195" s="1145">
        <v>42526.0</v>
      </c>
      <c r="T195" s="1132">
        <v>42502.0</v>
      </c>
      <c r="U195" s="265" t="s">
        <v>9348</v>
      </c>
      <c r="V195" s="1135">
        <v>53130.0</v>
      </c>
      <c r="W195" s="832">
        <v>42527.0</v>
      </c>
      <c r="X195" s="320" t="s">
        <v>9349</v>
      </c>
      <c r="Y195" s="1140"/>
      <c r="Z195" s="1140"/>
      <c r="AA195" s="1140"/>
      <c r="AB195" s="320" t="s">
        <v>284</v>
      </c>
    </row>
    <row r="196" ht="15.75" customHeight="1">
      <c r="A196" s="776">
        <v>42468.0</v>
      </c>
      <c r="B196" s="340" t="s">
        <v>1000</v>
      </c>
      <c r="C196" s="765" t="s">
        <v>9350</v>
      </c>
      <c r="D196" s="310" t="s">
        <v>9351</v>
      </c>
      <c r="E196" s="578" t="s">
        <v>9352</v>
      </c>
      <c r="F196" s="581">
        <v>1.0</v>
      </c>
      <c r="G196" s="466">
        <v>141.0</v>
      </c>
      <c r="H196" s="466">
        <f t="shared" si="10"/>
        <v>141</v>
      </c>
      <c r="I196" s="256" t="s">
        <v>3474</v>
      </c>
      <c r="J196" s="333" t="s">
        <v>8684</v>
      </c>
      <c r="K196" s="832">
        <v>42516.0</v>
      </c>
      <c r="L196" s="832">
        <v>42510.0</v>
      </c>
      <c r="M196" s="333" t="s">
        <v>6120</v>
      </c>
      <c r="N196" s="265" t="s">
        <v>9353</v>
      </c>
      <c r="O196" s="773"/>
      <c r="P196" s="320">
        <v>4326.0</v>
      </c>
      <c r="Q196" s="320" t="s">
        <v>8689</v>
      </c>
      <c r="R196" s="388"/>
      <c r="S196" s="768">
        <v>42526.0</v>
      </c>
      <c r="T196" s="1132">
        <v>42510.0</v>
      </c>
      <c r="U196" s="265" t="s">
        <v>9354</v>
      </c>
      <c r="V196" s="1135">
        <v>4326.0</v>
      </c>
      <c r="W196" s="832">
        <v>42557.0</v>
      </c>
      <c r="X196" s="320" t="s">
        <v>9355</v>
      </c>
      <c r="Y196" s="1140"/>
      <c r="Z196" s="1140"/>
      <c r="AA196" s="1140"/>
      <c r="AB196" s="320" t="s">
        <v>284</v>
      </c>
    </row>
    <row r="197" ht="15.75" customHeight="1">
      <c r="A197" s="776">
        <v>42548.0</v>
      </c>
      <c r="B197" s="340" t="s">
        <v>5073</v>
      </c>
      <c r="C197" s="765" t="s">
        <v>9356</v>
      </c>
      <c r="D197" s="310" t="s">
        <v>9357</v>
      </c>
      <c r="E197" s="578" t="s">
        <v>8868</v>
      </c>
      <c r="F197" s="581">
        <v>7.0</v>
      </c>
      <c r="G197" s="466">
        <v>3511.0</v>
      </c>
      <c r="H197" s="466">
        <f t="shared" si="10"/>
        <v>24577</v>
      </c>
      <c r="I197" s="256" t="s">
        <v>3474</v>
      </c>
      <c r="J197" s="333" t="s">
        <v>8684</v>
      </c>
      <c r="K197" s="832">
        <v>42604.0</v>
      </c>
      <c r="L197" s="832">
        <v>42601.0</v>
      </c>
      <c r="M197" s="403" t="s">
        <v>2034</v>
      </c>
      <c r="N197" s="265" t="s">
        <v>9358</v>
      </c>
      <c r="O197" s="773"/>
      <c r="P197" s="320">
        <v>703763.0</v>
      </c>
      <c r="Q197" s="320" t="s">
        <v>2036</v>
      </c>
      <c r="R197" s="388"/>
      <c r="S197" s="1145">
        <v>42611.0</v>
      </c>
      <c r="T197" s="1132">
        <v>42600.0</v>
      </c>
      <c r="U197" s="320" t="s">
        <v>9359</v>
      </c>
      <c r="V197" s="1135">
        <v>703763.0</v>
      </c>
      <c r="W197" s="832">
        <v>42608.0</v>
      </c>
      <c r="X197" s="320" t="s">
        <v>9260</v>
      </c>
      <c r="Y197" s="1140"/>
      <c r="Z197" s="1140"/>
      <c r="AA197" s="1140"/>
      <c r="AB197" s="320" t="s">
        <v>284</v>
      </c>
    </row>
    <row r="198" ht="15.75" customHeight="1">
      <c r="A198" s="776">
        <v>42468.0</v>
      </c>
      <c r="B198" s="340" t="s">
        <v>101</v>
      </c>
      <c r="C198" s="765" t="s">
        <v>9360</v>
      </c>
      <c r="D198" s="310" t="s">
        <v>9361</v>
      </c>
      <c r="E198" s="310" t="s">
        <v>6305</v>
      </c>
      <c r="F198" s="581">
        <v>6.0</v>
      </c>
      <c r="G198" s="466">
        <v>62.0</v>
      </c>
      <c r="H198" s="466">
        <f t="shared" si="10"/>
        <v>372</v>
      </c>
      <c r="I198" s="256" t="s">
        <v>171</v>
      </c>
      <c r="J198" s="333" t="s">
        <v>8708</v>
      </c>
      <c r="K198" s="832">
        <v>42485.0</v>
      </c>
      <c r="L198" s="256" t="s">
        <v>9362</v>
      </c>
      <c r="M198" s="403" t="s">
        <v>2170</v>
      </c>
      <c r="N198" s="265" t="s">
        <v>9363</v>
      </c>
      <c r="O198" s="773"/>
      <c r="P198" s="320">
        <v>6596.1</v>
      </c>
      <c r="Q198" s="320" t="s">
        <v>2172</v>
      </c>
      <c r="R198" s="388"/>
      <c r="S198" s="1145">
        <v>42474.0</v>
      </c>
      <c r="T198" s="1132">
        <v>42475.0</v>
      </c>
      <c r="U198" s="265" t="s">
        <v>9364</v>
      </c>
      <c r="V198" s="1135">
        <v>6596.0</v>
      </c>
      <c r="W198" s="832">
        <v>42474.0</v>
      </c>
      <c r="X198" s="320" t="s">
        <v>9271</v>
      </c>
      <c r="Y198" s="1140"/>
      <c r="Z198" s="1140"/>
      <c r="AA198" s="1140"/>
      <c r="AB198" s="1141"/>
    </row>
    <row r="199" ht="15.75" customHeight="1">
      <c r="A199" s="776">
        <v>42468.0</v>
      </c>
      <c r="B199" s="340" t="s">
        <v>101</v>
      </c>
      <c r="C199" s="765" t="s">
        <v>9360</v>
      </c>
      <c r="D199" s="310" t="s">
        <v>9361</v>
      </c>
      <c r="E199" s="604" t="s">
        <v>8839</v>
      </c>
      <c r="F199" s="331">
        <v>10.0</v>
      </c>
      <c r="G199" s="325">
        <v>141.0</v>
      </c>
      <c r="H199" s="466">
        <f t="shared" si="10"/>
        <v>1410</v>
      </c>
      <c r="I199" s="256" t="s">
        <v>171</v>
      </c>
      <c r="J199" s="333" t="s">
        <v>8708</v>
      </c>
      <c r="K199" s="832">
        <v>42485.0</v>
      </c>
      <c r="L199" s="832">
        <v>42478.0</v>
      </c>
      <c r="M199" s="333" t="s">
        <v>3593</v>
      </c>
      <c r="N199" s="265" t="s">
        <v>9365</v>
      </c>
      <c r="O199" s="773"/>
      <c r="P199" s="320">
        <v>45392.0</v>
      </c>
      <c r="Q199" s="320" t="s">
        <v>8689</v>
      </c>
      <c r="R199" s="388"/>
      <c r="S199" s="1139"/>
      <c r="T199" s="1132">
        <v>42478.0</v>
      </c>
      <c r="U199" s="265" t="s">
        <v>9366</v>
      </c>
      <c r="V199" s="1135">
        <v>45392.0</v>
      </c>
      <c r="W199" s="832">
        <v>42529.0</v>
      </c>
      <c r="X199" s="320" t="s">
        <v>9271</v>
      </c>
      <c r="Y199" s="1140"/>
      <c r="Z199" s="1140"/>
      <c r="AA199" s="1140"/>
      <c r="AB199" s="1141"/>
    </row>
    <row r="200" ht="15.75" customHeight="1">
      <c r="A200" s="776">
        <v>42468.0</v>
      </c>
      <c r="B200" s="340" t="s">
        <v>101</v>
      </c>
      <c r="C200" s="765" t="s">
        <v>9367</v>
      </c>
      <c r="D200" s="310" t="s">
        <v>9368</v>
      </c>
      <c r="E200" s="578" t="s">
        <v>9369</v>
      </c>
      <c r="F200" s="581">
        <v>5.0</v>
      </c>
      <c r="G200" s="466">
        <v>321.0</v>
      </c>
      <c r="H200" s="466">
        <f t="shared" si="10"/>
        <v>1605</v>
      </c>
      <c r="I200" s="256" t="s">
        <v>171</v>
      </c>
      <c r="J200" s="333" t="s">
        <v>8708</v>
      </c>
      <c r="K200" s="832">
        <v>42478.0</v>
      </c>
      <c r="L200" s="832">
        <v>42475.0</v>
      </c>
      <c r="M200" s="333" t="s">
        <v>2028</v>
      </c>
      <c r="N200" s="265" t="s">
        <v>9370</v>
      </c>
      <c r="O200" s="773"/>
      <c r="P200" s="320">
        <v>61069.0</v>
      </c>
      <c r="Q200" s="320" t="s">
        <v>9371</v>
      </c>
      <c r="R200" s="388"/>
      <c r="S200" s="1145">
        <v>42474.0</v>
      </c>
      <c r="T200" s="1132">
        <v>42474.0</v>
      </c>
      <c r="U200" s="265" t="s">
        <v>9372</v>
      </c>
      <c r="V200" s="1135">
        <v>61068.0</v>
      </c>
      <c r="W200" s="832">
        <v>42474.0</v>
      </c>
      <c r="X200" s="320" t="s">
        <v>9179</v>
      </c>
      <c r="Y200" s="1140"/>
      <c r="Z200" s="1140"/>
      <c r="AA200" s="1140"/>
      <c r="AB200" s="1141" t="s">
        <v>284</v>
      </c>
    </row>
    <row r="201" ht="15.75" customHeight="1">
      <c r="A201" s="776">
        <v>42468.0</v>
      </c>
      <c r="B201" s="340" t="s">
        <v>101</v>
      </c>
      <c r="C201" s="765" t="s">
        <v>9367</v>
      </c>
      <c r="D201" s="310" t="s">
        <v>9368</v>
      </c>
      <c r="E201" s="578" t="s">
        <v>9373</v>
      </c>
      <c r="F201" s="581">
        <v>5.0</v>
      </c>
      <c r="G201" s="466">
        <v>57.0</v>
      </c>
      <c r="H201" s="466">
        <f t="shared" si="10"/>
        <v>285</v>
      </c>
      <c r="I201" s="256" t="s">
        <v>171</v>
      </c>
      <c r="J201" s="333" t="s">
        <v>8708</v>
      </c>
      <c r="K201" s="832">
        <v>42478.0</v>
      </c>
      <c r="L201" s="832">
        <v>42475.0</v>
      </c>
      <c r="M201" s="333" t="s">
        <v>2028</v>
      </c>
      <c r="N201" s="265" t="s">
        <v>9370</v>
      </c>
      <c r="O201" s="581"/>
      <c r="P201" s="330"/>
      <c r="Q201" s="310" t="s">
        <v>9371</v>
      </c>
      <c r="R201" s="388"/>
      <c r="S201" s="1139"/>
      <c r="T201" s="1132">
        <v>42474.0</v>
      </c>
      <c r="U201" s="265" t="s">
        <v>9372</v>
      </c>
      <c r="V201" s="1135" t="s">
        <v>9374</v>
      </c>
      <c r="W201" s="832"/>
      <c r="X201" s="320" t="s">
        <v>9179</v>
      </c>
      <c r="Y201" s="1140"/>
      <c r="Z201" s="1140"/>
      <c r="AA201" s="1140"/>
      <c r="AB201" s="1141" t="s">
        <v>284</v>
      </c>
    </row>
    <row r="202" ht="15.75" customHeight="1">
      <c r="A202" s="776">
        <v>42468.0</v>
      </c>
      <c r="B202" s="340" t="s">
        <v>101</v>
      </c>
      <c r="C202" s="765" t="s">
        <v>9367</v>
      </c>
      <c r="D202" s="310" t="s">
        <v>9375</v>
      </c>
      <c r="E202" s="578" t="s">
        <v>9376</v>
      </c>
      <c r="F202" s="581">
        <v>1.0</v>
      </c>
      <c r="G202" s="466">
        <v>262.0</v>
      </c>
      <c r="H202" s="466">
        <v>247.0</v>
      </c>
      <c r="I202" s="256" t="s">
        <v>171</v>
      </c>
      <c r="J202" s="333" t="s">
        <v>8708</v>
      </c>
      <c r="K202" s="832">
        <v>42478.0</v>
      </c>
      <c r="L202" s="1142"/>
      <c r="M202" s="333" t="s">
        <v>2032</v>
      </c>
      <c r="N202" s="265"/>
      <c r="O202" s="581"/>
      <c r="P202" s="579">
        <v>43868.0</v>
      </c>
      <c r="Q202" s="330" t="s">
        <v>9377</v>
      </c>
      <c r="R202" s="388"/>
      <c r="S202" s="1139"/>
      <c r="T202" s="1132">
        <v>42482.0</v>
      </c>
      <c r="U202" s="265" t="s">
        <v>9186</v>
      </c>
      <c r="V202" s="1135">
        <v>43868.0</v>
      </c>
      <c r="W202" s="832">
        <v>42494.0</v>
      </c>
      <c r="X202" s="320" t="s">
        <v>9179</v>
      </c>
      <c r="Y202" s="1140"/>
      <c r="Z202" s="1140"/>
      <c r="AA202" s="1140"/>
      <c r="AB202" s="1141" t="s">
        <v>284</v>
      </c>
    </row>
    <row r="203" ht="15.75" customHeight="1">
      <c r="A203" s="776">
        <v>42468.0</v>
      </c>
      <c r="B203" s="340" t="s">
        <v>101</v>
      </c>
      <c r="C203" s="765" t="s">
        <v>9378</v>
      </c>
      <c r="D203" s="310" t="s">
        <v>9379</v>
      </c>
      <c r="E203" s="578" t="s">
        <v>6637</v>
      </c>
      <c r="F203" s="581">
        <v>1.0</v>
      </c>
      <c r="G203" s="466">
        <v>99.0</v>
      </c>
      <c r="H203" s="466">
        <f t="shared" ref="H203:H245" si="11">G203*F203</f>
        <v>99</v>
      </c>
      <c r="I203" s="256" t="s">
        <v>171</v>
      </c>
      <c r="J203" s="333" t="s">
        <v>8708</v>
      </c>
      <c r="K203" s="832">
        <v>42478.0</v>
      </c>
      <c r="L203" s="832">
        <v>42475.0</v>
      </c>
      <c r="M203" s="333" t="s">
        <v>3489</v>
      </c>
      <c r="N203" s="265" t="s">
        <v>9380</v>
      </c>
      <c r="O203" s="581"/>
      <c r="P203" s="310">
        <v>2892.0</v>
      </c>
      <c r="Q203" s="330" t="s">
        <v>9071</v>
      </c>
      <c r="R203" s="388"/>
      <c r="S203" s="1145">
        <v>42474.0</v>
      </c>
      <c r="T203" s="1132">
        <v>42475.0</v>
      </c>
      <c r="U203" s="265" t="s">
        <v>9381</v>
      </c>
      <c r="V203" s="1135">
        <v>2892.0</v>
      </c>
      <c r="W203" s="832">
        <v>42474.0</v>
      </c>
      <c r="X203" s="320" t="s">
        <v>9179</v>
      </c>
      <c r="Y203" s="1140"/>
      <c r="Z203" s="1140"/>
      <c r="AA203" s="1140"/>
      <c r="AB203" s="1141" t="s">
        <v>284</v>
      </c>
    </row>
    <row r="204" ht="15.75" customHeight="1">
      <c r="A204" s="776">
        <v>42468.0</v>
      </c>
      <c r="B204" s="340" t="s">
        <v>101</v>
      </c>
      <c r="C204" s="765" t="s">
        <v>9378</v>
      </c>
      <c r="D204" s="310" t="s">
        <v>9379</v>
      </c>
      <c r="E204" s="310" t="s">
        <v>6644</v>
      </c>
      <c r="F204" s="581">
        <v>2.0</v>
      </c>
      <c r="G204" s="466">
        <v>2.0</v>
      </c>
      <c r="H204" s="466">
        <f t="shared" si="11"/>
        <v>4</v>
      </c>
      <c r="I204" s="256" t="s">
        <v>171</v>
      </c>
      <c r="J204" s="333" t="s">
        <v>8708</v>
      </c>
      <c r="K204" s="832">
        <v>42478.0</v>
      </c>
      <c r="L204" s="832">
        <v>42475.0</v>
      </c>
      <c r="M204" s="333" t="s">
        <v>3769</v>
      </c>
      <c r="N204" s="265" t="s">
        <v>9382</v>
      </c>
      <c r="O204" s="581"/>
      <c r="P204" s="330"/>
      <c r="Q204" s="310"/>
      <c r="R204" s="388"/>
      <c r="S204" s="1139"/>
      <c r="T204" s="265" t="s">
        <v>9382</v>
      </c>
      <c r="U204" s="265" t="s">
        <v>9382</v>
      </c>
      <c r="V204" s="265" t="s">
        <v>9382</v>
      </c>
      <c r="W204" s="1163"/>
      <c r="X204" s="320" t="s">
        <v>9179</v>
      </c>
      <c r="Y204" s="1140"/>
      <c r="Z204" s="1140"/>
      <c r="AA204" s="1140"/>
      <c r="AB204" s="1141" t="s">
        <v>284</v>
      </c>
    </row>
    <row r="205" ht="15.75" customHeight="1">
      <c r="A205" s="776">
        <v>42468.0</v>
      </c>
      <c r="B205" s="340" t="s">
        <v>101</v>
      </c>
      <c r="C205" s="765" t="s">
        <v>9378</v>
      </c>
      <c r="D205" s="310" t="s">
        <v>9379</v>
      </c>
      <c r="E205" s="578" t="s">
        <v>9075</v>
      </c>
      <c r="F205" s="581">
        <v>1.0</v>
      </c>
      <c r="G205" s="466">
        <v>3.0</v>
      </c>
      <c r="H205" s="466">
        <f t="shared" si="11"/>
        <v>3</v>
      </c>
      <c r="I205" s="256" t="s">
        <v>171</v>
      </c>
      <c r="J205" s="333" t="s">
        <v>8708</v>
      </c>
      <c r="K205" s="832">
        <v>42478.0</v>
      </c>
      <c r="L205" s="832">
        <v>42475.0</v>
      </c>
      <c r="M205" s="333" t="s">
        <v>3769</v>
      </c>
      <c r="N205" s="265" t="s">
        <v>9382</v>
      </c>
      <c r="O205" s="581"/>
      <c r="P205" s="330"/>
      <c r="Q205" s="310"/>
      <c r="R205" s="388"/>
      <c r="S205" s="1139"/>
      <c r="T205" s="265" t="s">
        <v>9382</v>
      </c>
      <c r="U205" s="265" t="s">
        <v>9382</v>
      </c>
      <c r="V205" s="265" t="s">
        <v>9382</v>
      </c>
      <c r="W205" s="1163"/>
      <c r="X205" s="320" t="s">
        <v>9179</v>
      </c>
      <c r="Y205" s="1140"/>
      <c r="Z205" s="1140"/>
      <c r="AA205" s="1140"/>
      <c r="AB205" s="1141" t="s">
        <v>284</v>
      </c>
    </row>
    <row r="206" ht="15.75" customHeight="1">
      <c r="A206" s="776">
        <v>42468.0</v>
      </c>
      <c r="B206" s="340" t="s">
        <v>101</v>
      </c>
      <c r="C206" s="765" t="s">
        <v>9378</v>
      </c>
      <c r="D206" s="310" t="s">
        <v>9379</v>
      </c>
      <c r="E206" s="604" t="s">
        <v>9077</v>
      </c>
      <c r="F206" s="581">
        <v>1.0</v>
      </c>
      <c r="G206" s="466">
        <v>7.0</v>
      </c>
      <c r="H206" s="466">
        <f t="shared" si="11"/>
        <v>7</v>
      </c>
      <c r="I206" s="256" t="s">
        <v>171</v>
      </c>
      <c r="J206" s="333" t="s">
        <v>8708</v>
      </c>
      <c r="K206" s="832">
        <v>42478.0</v>
      </c>
      <c r="L206" s="832">
        <v>42475.0</v>
      </c>
      <c r="M206" s="333" t="s">
        <v>3769</v>
      </c>
      <c r="N206" s="265" t="s">
        <v>9383</v>
      </c>
      <c r="O206" s="773"/>
      <c r="P206" s="320">
        <v>200.0</v>
      </c>
      <c r="Q206" s="320" t="s">
        <v>186</v>
      </c>
      <c r="R206" s="388"/>
      <c r="S206" s="1145">
        <v>42526.0</v>
      </c>
      <c r="T206" s="1132">
        <v>42474.0</v>
      </c>
      <c r="U206" s="265" t="s">
        <v>9384</v>
      </c>
      <c r="V206" s="1135">
        <v>200.0</v>
      </c>
      <c r="W206" s="832">
        <v>42557.0</v>
      </c>
      <c r="X206" s="320" t="s">
        <v>9179</v>
      </c>
      <c r="Y206" s="1140"/>
      <c r="Z206" s="1140"/>
      <c r="AA206" s="1140"/>
      <c r="AB206" s="1141" t="s">
        <v>284</v>
      </c>
    </row>
    <row r="207" ht="15.75" customHeight="1">
      <c r="A207" s="776">
        <v>42468.0</v>
      </c>
      <c r="B207" s="340" t="s">
        <v>101</v>
      </c>
      <c r="C207" s="765" t="s">
        <v>9385</v>
      </c>
      <c r="D207" s="310" t="s">
        <v>9386</v>
      </c>
      <c r="E207" s="578" t="s">
        <v>9387</v>
      </c>
      <c r="F207" s="581">
        <v>1.0</v>
      </c>
      <c r="G207" s="466">
        <v>37.0</v>
      </c>
      <c r="H207" s="466">
        <f t="shared" si="11"/>
        <v>37</v>
      </c>
      <c r="I207" s="256" t="s">
        <v>171</v>
      </c>
      <c r="J207" s="333" t="s">
        <v>8708</v>
      </c>
      <c r="K207" s="832">
        <v>42478.0</v>
      </c>
      <c r="L207" s="832">
        <v>42478.0</v>
      </c>
      <c r="M207" s="269" t="s">
        <v>2170</v>
      </c>
      <c r="N207" s="265" t="s">
        <v>9388</v>
      </c>
      <c r="O207" s="773"/>
      <c r="P207" s="320">
        <v>704.0</v>
      </c>
      <c r="Q207" s="320" t="s">
        <v>2172</v>
      </c>
      <c r="R207" s="388"/>
      <c r="S207" s="1145">
        <v>42474.0</v>
      </c>
      <c r="T207" s="1132">
        <v>42475.0</v>
      </c>
      <c r="U207" s="265" t="s">
        <v>9389</v>
      </c>
      <c r="V207" s="256">
        <v>704.0</v>
      </c>
      <c r="W207" s="832">
        <v>42474.0</v>
      </c>
      <c r="X207" s="320" t="s">
        <v>9179</v>
      </c>
      <c r="Y207" s="1140"/>
      <c r="Z207" s="1140"/>
      <c r="AA207" s="1140"/>
      <c r="AB207" s="1141" t="s">
        <v>284</v>
      </c>
    </row>
    <row r="208" ht="15.75" customHeight="1">
      <c r="A208" s="776">
        <v>42469.0</v>
      </c>
      <c r="B208" s="340" t="s">
        <v>3506</v>
      </c>
      <c r="C208" s="765"/>
      <c r="D208" s="310" t="s">
        <v>9390</v>
      </c>
      <c r="E208" s="330" t="s">
        <v>9081</v>
      </c>
      <c r="F208" s="581">
        <v>100.0</v>
      </c>
      <c r="G208" s="466">
        <v>189.1</v>
      </c>
      <c r="H208" s="466">
        <f t="shared" si="11"/>
        <v>18910</v>
      </c>
      <c r="I208" s="256" t="s">
        <v>171</v>
      </c>
      <c r="J208" s="599" t="s">
        <v>3509</v>
      </c>
      <c r="K208" s="832">
        <v>42493.0</v>
      </c>
      <c r="L208" s="832">
        <v>42482.0</v>
      </c>
      <c r="M208" s="333" t="s">
        <v>90</v>
      </c>
      <c r="N208" s="265" t="s">
        <v>9391</v>
      </c>
      <c r="O208" s="773">
        <v>17482.5</v>
      </c>
      <c r="P208" s="388"/>
      <c r="Q208" s="320" t="s">
        <v>6081</v>
      </c>
      <c r="R208" s="388"/>
      <c r="S208" s="1139"/>
      <c r="T208" s="1132">
        <v>42482.0</v>
      </c>
      <c r="U208" s="265" t="s">
        <v>9392</v>
      </c>
      <c r="V208" s="1135">
        <v>740016.0</v>
      </c>
      <c r="W208" s="832">
        <v>42527.0</v>
      </c>
      <c r="X208" s="265" t="s">
        <v>9393</v>
      </c>
      <c r="Y208" s="1140"/>
      <c r="Z208" s="1140"/>
      <c r="AA208" s="1140"/>
      <c r="AB208" s="340" t="s">
        <v>9086</v>
      </c>
    </row>
    <row r="209" ht="15.75" customHeight="1">
      <c r="A209" s="776">
        <v>42469.0</v>
      </c>
      <c r="B209" s="340" t="s">
        <v>3506</v>
      </c>
      <c r="C209" s="765"/>
      <c r="D209" s="310" t="s">
        <v>9390</v>
      </c>
      <c r="E209" s="578" t="s">
        <v>6079</v>
      </c>
      <c r="F209" s="581">
        <v>20.0</v>
      </c>
      <c r="G209" s="466">
        <v>375.4</v>
      </c>
      <c r="H209" s="466">
        <f t="shared" si="11"/>
        <v>7508</v>
      </c>
      <c r="I209" s="256" t="s">
        <v>171</v>
      </c>
      <c r="J209" s="599" t="s">
        <v>3509</v>
      </c>
      <c r="K209" s="832">
        <v>42493.0</v>
      </c>
      <c r="L209" s="832">
        <v>42482.0</v>
      </c>
      <c r="M209" s="333" t="s">
        <v>90</v>
      </c>
      <c r="N209" s="265" t="s">
        <v>9391</v>
      </c>
      <c r="O209" s="773">
        <v>6951.0</v>
      </c>
      <c r="P209" s="388"/>
      <c r="Q209" s="320" t="s">
        <v>6081</v>
      </c>
      <c r="R209" s="388"/>
      <c r="S209" s="1139"/>
      <c r="T209" s="1132">
        <v>42482.0</v>
      </c>
      <c r="U209" s="265" t="s">
        <v>9392</v>
      </c>
      <c r="V209" s="1135" t="s">
        <v>9394</v>
      </c>
      <c r="W209" s="832">
        <v>42527.0</v>
      </c>
      <c r="X209" s="265" t="s">
        <v>9393</v>
      </c>
      <c r="Y209" s="1140"/>
      <c r="Z209" s="1140"/>
      <c r="AA209" s="1140"/>
      <c r="AB209" s="340" t="s">
        <v>9086</v>
      </c>
    </row>
    <row r="210" ht="15.75" customHeight="1">
      <c r="A210" s="776">
        <v>42469.0</v>
      </c>
      <c r="B210" s="340" t="s">
        <v>77</v>
      </c>
      <c r="C210" s="765">
        <v>316.0</v>
      </c>
      <c r="D210" s="310" t="s">
        <v>9395</v>
      </c>
      <c r="E210" s="578" t="s">
        <v>9326</v>
      </c>
      <c r="F210" s="581">
        <v>25.0</v>
      </c>
      <c r="G210" s="466">
        <v>285.0</v>
      </c>
      <c r="H210" s="466">
        <f t="shared" si="11"/>
        <v>7125</v>
      </c>
      <c r="I210" s="256" t="s">
        <v>171</v>
      </c>
      <c r="J210" s="333" t="s">
        <v>316</v>
      </c>
      <c r="K210" s="832">
        <v>42493.0</v>
      </c>
      <c r="L210" s="832">
        <v>42486.0</v>
      </c>
      <c r="M210" s="333" t="s">
        <v>1998</v>
      </c>
      <c r="N210" s="265" t="s">
        <v>9396</v>
      </c>
      <c r="O210" s="773">
        <v>6562.5</v>
      </c>
      <c r="P210" s="388"/>
      <c r="Q210" s="320" t="s">
        <v>2000</v>
      </c>
      <c r="R210" s="388"/>
      <c r="S210" s="1145">
        <v>42526.0</v>
      </c>
      <c r="T210" s="1132">
        <v>42487.0</v>
      </c>
      <c r="U210" s="320" t="s">
        <v>9397</v>
      </c>
      <c r="V210" s="1135">
        <v>211722.0</v>
      </c>
      <c r="W210" s="832">
        <v>42527.0</v>
      </c>
      <c r="X210" s="320" t="s">
        <v>9329</v>
      </c>
      <c r="Y210" s="1140"/>
      <c r="Z210" s="1140"/>
      <c r="AA210" s="1140"/>
      <c r="AB210" s="320" t="s">
        <v>284</v>
      </c>
    </row>
    <row r="211" ht="15.75" customHeight="1">
      <c r="A211" s="776">
        <v>42469.0</v>
      </c>
      <c r="B211" s="340" t="s">
        <v>77</v>
      </c>
      <c r="C211" s="765">
        <v>316.0</v>
      </c>
      <c r="D211" s="310" t="s">
        <v>9395</v>
      </c>
      <c r="E211" s="602" t="s">
        <v>362</v>
      </c>
      <c r="F211" s="581">
        <v>100.0</v>
      </c>
      <c r="G211" s="466">
        <v>20.0</v>
      </c>
      <c r="H211" s="466">
        <f t="shared" si="11"/>
        <v>2000</v>
      </c>
      <c r="I211" s="256" t="s">
        <v>171</v>
      </c>
      <c r="J211" s="403" t="s">
        <v>316</v>
      </c>
      <c r="K211" s="832">
        <v>42493.0</v>
      </c>
      <c r="L211" s="832">
        <v>42485.0</v>
      </c>
      <c r="M211" s="269" t="s">
        <v>6287</v>
      </c>
      <c r="N211" s="265" t="s">
        <v>9398</v>
      </c>
      <c r="O211" s="773"/>
      <c r="P211" s="388">
        <v>59034.0</v>
      </c>
      <c r="Q211" s="388" t="s">
        <v>2043</v>
      </c>
      <c r="R211" s="388"/>
      <c r="S211" s="1145">
        <v>42495.0</v>
      </c>
      <c r="T211" s="1132">
        <v>42485.0</v>
      </c>
      <c r="U211" s="265" t="s">
        <v>9399</v>
      </c>
      <c r="V211" s="1135">
        <v>59049.0</v>
      </c>
      <c r="W211" s="832">
        <v>42503.0</v>
      </c>
      <c r="X211" s="320" t="s">
        <v>9329</v>
      </c>
      <c r="Y211" s="1140"/>
      <c r="Z211" s="1140"/>
      <c r="AA211" s="1140"/>
      <c r="AB211" s="320" t="s">
        <v>284</v>
      </c>
    </row>
    <row r="212" ht="15.75" customHeight="1">
      <c r="A212" s="776">
        <v>42474.0</v>
      </c>
      <c r="B212" s="340" t="s">
        <v>6167</v>
      </c>
      <c r="C212" s="765">
        <v>7.000120676E9</v>
      </c>
      <c r="D212" s="310" t="s">
        <v>9400</v>
      </c>
      <c r="E212" s="578" t="s">
        <v>9401</v>
      </c>
      <c r="F212" s="581">
        <v>5.0</v>
      </c>
      <c r="G212" s="466">
        <v>7.0</v>
      </c>
      <c r="H212" s="466">
        <f t="shared" si="11"/>
        <v>35</v>
      </c>
      <c r="I212" s="266" t="s">
        <v>171</v>
      </c>
      <c r="J212" s="403" t="s">
        <v>3623</v>
      </c>
      <c r="K212" s="258">
        <v>42478.0</v>
      </c>
      <c r="L212" s="832">
        <v>42478.0</v>
      </c>
      <c r="M212" s="333" t="s">
        <v>6120</v>
      </c>
      <c r="N212" s="265" t="s">
        <v>9402</v>
      </c>
      <c r="O212" s="773"/>
      <c r="P212" s="320">
        <v>525.0</v>
      </c>
      <c r="Q212" s="320" t="s">
        <v>8689</v>
      </c>
      <c r="R212" s="388"/>
      <c r="S212" s="1139"/>
      <c r="T212" s="1132">
        <v>42475.0</v>
      </c>
      <c r="U212" s="265" t="s">
        <v>9403</v>
      </c>
      <c r="V212" s="256">
        <v>525.0</v>
      </c>
      <c r="W212" s="832">
        <v>42529.0</v>
      </c>
      <c r="X212" s="265" t="s">
        <v>9404</v>
      </c>
      <c r="Y212" s="1140"/>
      <c r="Z212" s="1140"/>
      <c r="AA212" s="1140"/>
      <c r="AB212" s="320" t="s">
        <v>284</v>
      </c>
    </row>
    <row r="213" ht="15.75" customHeight="1">
      <c r="A213" s="258">
        <v>42474.0</v>
      </c>
      <c r="B213" s="578" t="s">
        <v>1000</v>
      </c>
      <c r="C213" s="765" t="s">
        <v>9405</v>
      </c>
      <c r="D213" s="310" t="s">
        <v>9406</v>
      </c>
      <c r="E213" s="578" t="s">
        <v>7014</v>
      </c>
      <c r="F213" s="581">
        <v>7.0</v>
      </c>
      <c r="G213" s="267">
        <v>53.0</v>
      </c>
      <c r="H213" s="267">
        <f t="shared" si="11"/>
        <v>371</v>
      </c>
      <c r="I213" s="256" t="s">
        <v>3474</v>
      </c>
      <c r="J213" s="403" t="s">
        <v>8684</v>
      </c>
      <c r="K213" s="258">
        <v>42478.0</v>
      </c>
      <c r="L213" s="832">
        <v>42478.0</v>
      </c>
      <c r="M213" s="333" t="s">
        <v>6120</v>
      </c>
      <c r="N213" s="265" t="s">
        <v>9407</v>
      </c>
      <c r="O213" s="773"/>
      <c r="P213" s="320">
        <v>11275.0</v>
      </c>
      <c r="Q213" s="320" t="s">
        <v>8689</v>
      </c>
      <c r="R213" s="388"/>
      <c r="S213" s="1139"/>
      <c r="T213" s="1132">
        <v>42475.0</v>
      </c>
      <c r="U213" s="265" t="s">
        <v>9408</v>
      </c>
      <c r="V213" s="1135">
        <v>11275.0</v>
      </c>
      <c r="W213" s="832">
        <v>42529.0</v>
      </c>
      <c r="X213" s="265" t="s">
        <v>9298</v>
      </c>
      <c r="Y213" s="1140"/>
      <c r="Z213" s="1140"/>
      <c r="AA213" s="1140"/>
      <c r="AB213" s="320" t="s">
        <v>284</v>
      </c>
    </row>
    <row r="214" ht="15.75" customHeight="1">
      <c r="A214" s="258">
        <v>42478.0</v>
      </c>
      <c r="B214" s="578" t="s">
        <v>631</v>
      </c>
      <c r="C214" s="765" t="s">
        <v>9409</v>
      </c>
      <c r="D214" s="310" t="s">
        <v>9410</v>
      </c>
      <c r="E214" s="578" t="s">
        <v>4269</v>
      </c>
      <c r="F214" s="581">
        <v>30.0</v>
      </c>
      <c r="G214" s="267">
        <v>164.85</v>
      </c>
      <c r="H214" s="267">
        <f t="shared" si="11"/>
        <v>4945.5</v>
      </c>
      <c r="I214" s="256" t="s">
        <v>171</v>
      </c>
      <c r="J214" s="333" t="s">
        <v>9220</v>
      </c>
      <c r="K214" s="832">
        <v>42488.0</v>
      </c>
      <c r="L214" s="832">
        <v>42487.0</v>
      </c>
      <c r="M214" s="333" t="s">
        <v>2034</v>
      </c>
      <c r="N214" s="265" t="s">
        <v>9411</v>
      </c>
      <c r="O214" s="773"/>
      <c r="P214" s="1088">
        <v>149720.0</v>
      </c>
      <c r="Q214" s="320" t="s">
        <v>2036</v>
      </c>
      <c r="R214" s="388"/>
      <c r="S214" s="1145">
        <v>42526.0</v>
      </c>
      <c r="T214" s="1132">
        <v>42487.0</v>
      </c>
      <c r="U214" s="265" t="s">
        <v>9412</v>
      </c>
      <c r="V214" s="1135">
        <v>149720.0</v>
      </c>
      <c r="W214" s="832">
        <v>42529.0</v>
      </c>
      <c r="X214" s="340" t="s">
        <v>9413</v>
      </c>
      <c r="Y214" s="599" t="s">
        <v>9414</v>
      </c>
      <c r="Z214" s="1146">
        <v>159913.0</v>
      </c>
      <c r="AA214" s="388" t="s">
        <v>9217</v>
      </c>
      <c r="AB214" s="320"/>
    </row>
    <row r="215" ht="15.75" customHeight="1">
      <c r="A215" s="258">
        <v>42478.0</v>
      </c>
      <c r="B215" s="578" t="s">
        <v>8749</v>
      </c>
      <c r="C215" s="765" t="s">
        <v>9415</v>
      </c>
      <c r="D215" s="310" t="s">
        <v>9416</v>
      </c>
      <c r="E215" s="330" t="s">
        <v>8752</v>
      </c>
      <c r="F215" s="581">
        <v>2.0</v>
      </c>
      <c r="G215" s="267">
        <v>101.85</v>
      </c>
      <c r="H215" s="267">
        <f t="shared" si="11"/>
        <v>203.7</v>
      </c>
      <c r="I215" s="266" t="s">
        <v>43</v>
      </c>
      <c r="J215" s="403" t="s">
        <v>90</v>
      </c>
      <c r="K215" s="258">
        <v>42485.0</v>
      </c>
      <c r="L215" s="258"/>
      <c r="M215" s="403" t="s">
        <v>90</v>
      </c>
      <c r="N215" s="252" t="s">
        <v>9417</v>
      </c>
      <c r="O215" s="581">
        <v>178.5</v>
      </c>
      <c r="P215" s="330"/>
      <c r="Q215" s="320" t="s">
        <v>6081</v>
      </c>
      <c r="R215" s="330"/>
      <c r="S215" s="631"/>
      <c r="T215" s="771">
        <v>42485.0</v>
      </c>
      <c r="U215" s="252" t="s">
        <v>9418</v>
      </c>
      <c r="V215" s="1030">
        <v>5760.0</v>
      </c>
      <c r="W215" s="832">
        <v>42527.0</v>
      </c>
      <c r="X215" s="320" t="s">
        <v>9419</v>
      </c>
      <c r="Y215" s="310" t="s">
        <v>9420</v>
      </c>
      <c r="Z215" s="1146">
        <v>6588.0</v>
      </c>
      <c r="AA215" s="388" t="s">
        <v>9421</v>
      </c>
      <c r="AB215" s="320"/>
    </row>
    <row r="216" ht="15.75" customHeight="1">
      <c r="A216" s="258">
        <v>42480.0</v>
      </c>
      <c r="B216" s="578" t="s">
        <v>3506</v>
      </c>
      <c r="C216" s="765"/>
      <c r="D216" s="252" t="s">
        <v>9422</v>
      </c>
      <c r="E216" s="604" t="s">
        <v>9081</v>
      </c>
      <c r="F216" s="581">
        <v>100.0</v>
      </c>
      <c r="G216" s="267">
        <v>183.8</v>
      </c>
      <c r="H216" s="267">
        <f t="shared" si="11"/>
        <v>18380</v>
      </c>
      <c r="I216" s="266" t="s">
        <v>171</v>
      </c>
      <c r="J216" s="599" t="s">
        <v>3509</v>
      </c>
      <c r="K216" s="258">
        <v>42562.0</v>
      </c>
      <c r="L216" s="258">
        <v>42536.0</v>
      </c>
      <c r="M216" s="403" t="s">
        <v>90</v>
      </c>
      <c r="N216" s="252" t="s">
        <v>9423</v>
      </c>
      <c r="O216" s="581">
        <v>17482.5</v>
      </c>
      <c r="P216" s="330"/>
      <c r="Q216" s="320" t="s">
        <v>6081</v>
      </c>
      <c r="R216" s="330"/>
      <c r="S216" s="768">
        <v>42590.0</v>
      </c>
      <c r="T216" s="771">
        <v>42536.0</v>
      </c>
      <c r="U216" s="252" t="s">
        <v>9424</v>
      </c>
      <c r="V216" s="1135">
        <v>534609.0</v>
      </c>
      <c r="W216" s="832">
        <v>42590.0</v>
      </c>
      <c r="X216" s="320" t="s">
        <v>9425</v>
      </c>
      <c r="Y216" s="1140"/>
      <c r="Z216" s="1140"/>
      <c r="AA216" s="1140"/>
      <c r="AB216" s="320" t="s">
        <v>284</v>
      </c>
    </row>
    <row r="217" ht="15.75" customHeight="1">
      <c r="A217" s="258">
        <v>42481.0</v>
      </c>
      <c r="B217" s="578" t="s">
        <v>1204</v>
      </c>
      <c r="C217" s="765" t="s">
        <v>9426</v>
      </c>
      <c r="D217" s="310" t="s">
        <v>9427</v>
      </c>
      <c r="E217" s="578" t="s">
        <v>9428</v>
      </c>
      <c r="F217" s="581">
        <v>1.0</v>
      </c>
      <c r="G217" s="267">
        <v>553.0</v>
      </c>
      <c r="H217" s="267">
        <f t="shared" si="11"/>
        <v>553</v>
      </c>
      <c r="I217" s="266" t="s">
        <v>43</v>
      </c>
      <c r="J217" s="269" t="s">
        <v>934</v>
      </c>
      <c r="K217" s="258">
        <v>42513.0</v>
      </c>
      <c r="L217" s="258">
        <v>42509.0</v>
      </c>
      <c r="M217" s="403" t="s">
        <v>3840</v>
      </c>
      <c r="N217" s="252" t="s">
        <v>9429</v>
      </c>
      <c r="O217" s="581"/>
      <c r="P217" s="310">
        <v>14700.0</v>
      </c>
      <c r="Q217" s="388" t="s">
        <v>3842</v>
      </c>
      <c r="R217" s="330"/>
      <c r="S217" s="768">
        <v>42556.0</v>
      </c>
      <c r="T217" s="771">
        <v>42508.0</v>
      </c>
      <c r="U217" s="252" t="s">
        <v>9430</v>
      </c>
      <c r="V217" s="1135">
        <v>14700.0</v>
      </c>
      <c r="W217" s="832">
        <v>42557.0</v>
      </c>
      <c r="X217" s="320" t="s">
        <v>9349</v>
      </c>
      <c r="Y217" s="1140"/>
      <c r="Z217" s="1140"/>
      <c r="AA217" s="1140"/>
      <c r="AB217" s="320" t="s">
        <v>284</v>
      </c>
    </row>
    <row r="218" ht="15.75" customHeight="1">
      <c r="A218" s="258">
        <v>42481.0</v>
      </c>
      <c r="B218" s="578" t="s">
        <v>1204</v>
      </c>
      <c r="C218" s="765" t="s">
        <v>9426</v>
      </c>
      <c r="D218" s="310" t="s">
        <v>9427</v>
      </c>
      <c r="E218" s="578" t="s">
        <v>9431</v>
      </c>
      <c r="F218" s="581">
        <v>1.0</v>
      </c>
      <c r="G218" s="267">
        <v>35.0</v>
      </c>
      <c r="H218" s="267">
        <f t="shared" si="11"/>
        <v>35</v>
      </c>
      <c r="I218" s="266" t="s">
        <v>43</v>
      </c>
      <c r="J218" s="269" t="s">
        <v>934</v>
      </c>
      <c r="K218" s="258">
        <v>42513.0</v>
      </c>
      <c r="L218" s="258">
        <v>42507.0</v>
      </c>
      <c r="M218" s="403" t="s">
        <v>2170</v>
      </c>
      <c r="N218" s="252" t="s">
        <v>9432</v>
      </c>
      <c r="O218" s="581"/>
      <c r="P218" s="310">
        <v>940.0</v>
      </c>
      <c r="Q218" s="320" t="s">
        <v>2172</v>
      </c>
      <c r="R218" s="330"/>
      <c r="S218" s="631"/>
      <c r="T218" s="771">
        <v>42499.0</v>
      </c>
      <c r="U218" s="252" t="s">
        <v>9433</v>
      </c>
      <c r="V218" s="1135">
        <v>1727.0</v>
      </c>
      <c r="W218" s="832">
        <v>42494.0</v>
      </c>
      <c r="X218" s="320" t="s">
        <v>9349</v>
      </c>
      <c r="Y218" s="1140"/>
      <c r="Z218" s="1140"/>
      <c r="AA218" s="1140"/>
      <c r="AB218" s="320" t="s">
        <v>284</v>
      </c>
    </row>
    <row r="219" ht="15.75" customHeight="1">
      <c r="A219" s="258">
        <v>42481.0</v>
      </c>
      <c r="B219" s="578" t="s">
        <v>1204</v>
      </c>
      <c r="C219" s="765" t="s">
        <v>9426</v>
      </c>
      <c r="D219" s="310" t="s">
        <v>9427</v>
      </c>
      <c r="E219" s="578" t="s">
        <v>9434</v>
      </c>
      <c r="F219" s="581">
        <v>1.0</v>
      </c>
      <c r="G219" s="267">
        <v>45.0</v>
      </c>
      <c r="H219" s="267">
        <f t="shared" si="11"/>
        <v>45</v>
      </c>
      <c r="I219" s="266" t="s">
        <v>43</v>
      </c>
      <c r="J219" s="269" t="s">
        <v>934</v>
      </c>
      <c r="K219" s="258">
        <v>42513.0</v>
      </c>
      <c r="L219" s="258">
        <v>42507.0</v>
      </c>
      <c r="M219" s="403" t="s">
        <v>2170</v>
      </c>
      <c r="N219" s="252" t="s">
        <v>9432</v>
      </c>
      <c r="O219" s="581"/>
      <c r="P219" s="310">
        <v>788.0</v>
      </c>
      <c r="Q219" s="320" t="s">
        <v>2172</v>
      </c>
      <c r="R219" s="330"/>
      <c r="S219" s="631"/>
      <c r="T219" s="771">
        <v>42499.0</v>
      </c>
      <c r="U219" s="252" t="s">
        <v>9433</v>
      </c>
      <c r="V219" s="1135" t="s">
        <v>9435</v>
      </c>
      <c r="W219" s="832">
        <v>42494.0</v>
      </c>
      <c r="X219" s="320" t="s">
        <v>9349</v>
      </c>
      <c r="Y219" s="1140"/>
      <c r="Z219" s="1140"/>
      <c r="AA219" s="1140"/>
      <c r="AB219" s="320" t="s">
        <v>284</v>
      </c>
    </row>
    <row r="220" ht="15.75" customHeight="1">
      <c r="A220" s="258">
        <v>42481.0</v>
      </c>
      <c r="B220" s="578" t="s">
        <v>1204</v>
      </c>
      <c r="C220" s="765" t="s">
        <v>9426</v>
      </c>
      <c r="D220" s="310" t="s">
        <v>9427</v>
      </c>
      <c r="E220" s="578" t="s">
        <v>9436</v>
      </c>
      <c r="F220" s="581">
        <v>1.0</v>
      </c>
      <c r="G220" s="267">
        <v>30.0</v>
      </c>
      <c r="H220" s="267">
        <f t="shared" si="11"/>
        <v>30</v>
      </c>
      <c r="I220" s="266" t="s">
        <v>43</v>
      </c>
      <c r="J220" s="269" t="s">
        <v>934</v>
      </c>
      <c r="K220" s="258">
        <v>42513.0</v>
      </c>
      <c r="L220" s="258">
        <v>42510.0</v>
      </c>
      <c r="M220" s="403" t="s">
        <v>171</v>
      </c>
      <c r="N220" s="252"/>
      <c r="O220" s="581"/>
      <c r="P220" s="330">
        <v>500.0</v>
      </c>
      <c r="Q220" s="330"/>
      <c r="R220" s="330"/>
      <c r="S220" s="631"/>
      <c r="T220" s="252" t="s">
        <v>9437</v>
      </c>
      <c r="U220" s="252" t="s">
        <v>9437</v>
      </c>
      <c r="V220" s="252" t="s">
        <v>9437</v>
      </c>
      <c r="W220" s="832"/>
      <c r="X220" s="320" t="s">
        <v>9349</v>
      </c>
      <c r="Y220" s="1140"/>
      <c r="Z220" s="1140"/>
      <c r="AA220" s="1140"/>
      <c r="AB220" s="320" t="s">
        <v>284</v>
      </c>
    </row>
    <row r="221" ht="15.75" customHeight="1">
      <c r="A221" s="258">
        <v>42481.0</v>
      </c>
      <c r="B221" s="578" t="s">
        <v>1204</v>
      </c>
      <c r="C221" s="765" t="s">
        <v>9426</v>
      </c>
      <c r="D221" s="310" t="s">
        <v>9427</v>
      </c>
      <c r="E221" s="578" t="s">
        <v>9438</v>
      </c>
      <c r="F221" s="581">
        <v>4.0</v>
      </c>
      <c r="G221" s="267">
        <v>177.0</v>
      </c>
      <c r="H221" s="267">
        <f t="shared" si="11"/>
        <v>708</v>
      </c>
      <c r="I221" s="266" t="s">
        <v>43</v>
      </c>
      <c r="J221" s="269" t="s">
        <v>934</v>
      </c>
      <c r="K221" s="258">
        <v>42513.0</v>
      </c>
      <c r="L221" s="258">
        <v>42499.0</v>
      </c>
      <c r="M221" s="403" t="s">
        <v>90</v>
      </c>
      <c r="N221" s="252" t="s">
        <v>9432</v>
      </c>
      <c r="O221" s="581">
        <v>613.2</v>
      </c>
      <c r="P221" s="330"/>
      <c r="Q221" s="320" t="s">
        <v>6081</v>
      </c>
      <c r="R221" s="330"/>
      <c r="S221" s="631"/>
      <c r="T221" s="771">
        <v>42496.0</v>
      </c>
      <c r="U221" s="252" t="s">
        <v>9439</v>
      </c>
      <c r="V221" s="1135">
        <v>19800.0</v>
      </c>
      <c r="W221" s="832">
        <v>42557.0</v>
      </c>
      <c r="X221" s="320" t="s">
        <v>9349</v>
      </c>
      <c r="Y221" s="1140"/>
      <c r="Z221" s="1140"/>
      <c r="AA221" s="1140"/>
      <c r="AB221" s="320" t="s">
        <v>284</v>
      </c>
    </row>
    <row r="222" ht="15.75" customHeight="1">
      <c r="A222" s="601">
        <v>42481.0</v>
      </c>
      <c r="B222" s="604" t="s">
        <v>6587</v>
      </c>
      <c r="C222" s="765">
        <v>1.6000042E7</v>
      </c>
      <c r="D222" s="330" t="s">
        <v>9440</v>
      </c>
      <c r="E222" s="578" t="s">
        <v>6590</v>
      </c>
      <c r="F222" s="581">
        <v>2.0</v>
      </c>
      <c r="G222" s="267">
        <v>321.0</v>
      </c>
      <c r="H222" s="267">
        <f t="shared" si="11"/>
        <v>642</v>
      </c>
      <c r="I222" s="266" t="s">
        <v>8675</v>
      </c>
      <c r="J222" s="333" t="s">
        <v>8708</v>
      </c>
      <c r="K222" s="832">
        <v>42495.0</v>
      </c>
      <c r="L222" s="258">
        <v>42494.0</v>
      </c>
      <c r="M222" s="333" t="s">
        <v>90</v>
      </c>
      <c r="N222" s="265" t="s">
        <v>9441</v>
      </c>
      <c r="O222" s="773">
        <v>558.6</v>
      </c>
      <c r="P222" s="388"/>
      <c r="Q222" s="320" t="s">
        <v>6081</v>
      </c>
      <c r="R222" s="388"/>
      <c r="S222" s="1139"/>
      <c r="T222" s="1132">
        <v>42495.0</v>
      </c>
      <c r="U222" s="265" t="s">
        <v>9442</v>
      </c>
      <c r="V222" s="1135">
        <v>18037.0</v>
      </c>
      <c r="W222" s="832">
        <v>42557.0</v>
      </c>
      <c r="X222" s="265" t="s">
        <v>9443</v>
      </c>
      <c r="Y222" s="1140"/>
      <c r="Z222" s="1140"/>
      <c r="AA222" s="1140"/>
      <c r="AB222" s="1141" t="s">
        <v>284</v>
      </c>
    </row>
    <row r="223" ht="15.75" customHeight="1">
      <c r="A223" s="601">
        <v>42481.0</v>
      </c>
      <c r="B223" s="604" t="s">
        <v>6587</v>
      </c>
      <c r="C223" s="765">
        <v>1.6000042E7</v>
      </c>
      <c r="D223" s="330" t="s">
        <v>9440</v>
      </c>
      <c r="E223" s="578" t="s">
        <v>8847</v>
      </c>
      <c r="F223" s="581">
        <v>1.0</v>
      </c>
      <c r="G223" s="267">
        <v>120.0</v>
      </c>
      <c r="H223" s="267">
        <f t="shared" si="11"/>
        <v>120</v>
      </c>
      <c r="I223" s="266" t="s">
        <v>8675</v>
      </c>
      <c r="J223" s="333" t="s">
        <v>8708</v>
      </c>
      <c r="K223" s="258">
        <v>42495.0</v>
      </c>
      <c r="L223" s="258"/>
      <c r="M223" s="333" t="s">
        <v>2032</v>
      </c>
      <c r="N223" s="252"/>
      <c r="O223" s="581"/>
      <c r="P223" s="310">
        <v>3598.0</v>
      </c>
      <c r="Q223" s="388" t="s">
        <v>2033</v>
      </c>
      <c r="R223" s="330"/>
      <c r="S223" s="768">
        <v>42536.0</v>
      </c>
      <c r="T223" s="1132">
        <v>42506.0</v>
      </c>
      <c r="U223" s="265" t="s">
        <v>9444</v>
      </c>
      <c r="V223" s="1135">
        <v>3598.0</v>
      </c>
      <c r="W223" s="832">
        <v>42557.0</v>
      </c>
      <c r="X223" s="265" t="s">
        <v>9443</v>
      </c>
      <c r="Y223" s="1140"/>
      <c r="Z223" s="1140"/>
      <c r="AA223" s="1140"/>
      <c r="AB223" s="1141" t="s">
        <v>284</v>
      </c>
    </row>
    <row r="224" ht="15.75" customHeight="1">
      <c r="A224" s="258">
        <v>42485.0</v>
      </c>
      <c r="B224" s="604" t="s">
        <v>9000</v>
      </c>
      <c r="C224" s="765">
        <v>7.00012092E9</v>
      </c>
      <c r="D224" s="310" t="s">
        <v>9445</v>
      </c>
      <c r="E224" s="578" t="s">
        <v>9446</v>
      </c>
      <c r="F224" s="581">
        <v>40.0</v>
      </c>
      <c r="G224" s="267">
        <v>246.0</v>
      </c>
      <c r="H224" s="267">
        <f t="shared" si="11"/>
        <v>9840</v>
      </c>
      <c r="I224" s="266" t="s">
        <v>171</v>
      </c>
      <c r="J224" s="403" t="s">
        <v>6278</v>
      </c>
      <c r="K224" s="258">
        <v>42493.0</v>
      </c>
      <c r="L224" s="258">
        <v>42489.0</v>
      </c>
      <c r="M224" s="403" t="s">
        <v>3593</v>
      </c>
      <c r="N224" s="252" t="s">
        <v>9447</v>
      </c>
      <c r="O224" s="581"/>
      <c r="P224" s="310">
        <v>306432.0</v>
      </c>
      <c r="Q224" s="310" t="s">
        <v>8689</v>
      </c>
      <c r="R224" s="330"/>
      <c r="S224" s="768">
        <v>42526.0</v>
      </c>
      <c r="T224" s="771">
        <v>42488.0</v>
      </c>
      <c r="U224" s="252" t="s">
        <v>9448</v>
      </c>
      <c r="V224" s="1030">
        <v>306432.0</v>
      </c>
      <c r="W224" s="832">
        <v>42538.0</v>
      </c>
      <c r="X224" s="320" t="s">
        <v>9449</v>
      </c>
      <c r="Y224" s="1140"/>
      <c r="Z224" s="1140"/>
      <c r="AA224" s="1140"/>
      <c r="AB224" s="320" t="s">
        <v>284</v>
      </c>
    </row>
    <row r="225" ht="15.75" customHeight="1">
      <c r="A225" s="258">
        <v>42485.0</v>
      </c>
      <c r="B225" s="578" t="s">
        <v>90</v>
      </c>
      <c r="C225" s="765"/>
      <c r="D225" s="310" t="s">
        <v>9445</v>
      </c>
      <c r="E225" s="578" t="s">
        <v>9450</v>
      </c>
      <c r="F225" s="581">
        <v>1.0</v>
      </c>
      <c r="G225" s="267">
        <v>40.95</v>
      </c>
      <c r="H225" s="267">
        <f t="shared" si="11"/>
        <v>40.95</v>
      </c>
      <c r="I225" s="256" t="s">
        <v>43</v>
      </c>
      <c r="J225" s="403" t="s">
        <v>6067</v>
      </c>
      <c r="K225" s="1011">
        <v>42506.0</v>
      </c>
      <c r="L225" s="918" t="s">
        <v>71</v>
      </c>
      <c r="M225" s="333" t="s">
        <v>9451</v>
      </c>
      <c r="N225" s="252" t="s">
        <v>9452</v>
      </c>
      <c r="O225" s="339"/>
      <c r="P225" s="330">
        <v>930.0</v>
      </c>
      <c r="Q225" s="320" t="s">
        <v>9453</v>
      </c>
      <c r="R225" s="330"/>
      <c r="S225" s="1139"/>
      <c r="T225" s="252" t="s">
        <v>5701</v>
      </c>
      <c r="U225" s="252" t="s">
        <v>5701</v>
      </c>
      <c r="V225" s="265" t="s">
        <v>5701</v>
      </c>
      <c r="W225" s="832"/>
      <c r="X225" s="320" t="s">
        <v>9454</v>
      </c>
      <c r="Y225" s="388" t="s">
        <v>9455</v>
      </c>
      <c r="Z225" s="1146">
        <v>1324.0</v>
      </c>
      <c r="AA225" s="388" t="s">
        <v>9456</v>
      </c>
      <c r="AB225" s="320"/>
    </row>
    <row r="226" ht="15.75" customHeight="1">
      <c r="A226" s="258">
        <v>42485.0</v>
      </c>
      <c r="B226" s="604" t="s">
        <v>9000</v>
      </c>
      <c r="C226" s="765">
        <v>7.00012092E9</v>
      </c>
      <c r="D226" s="310" t="s">
        <v>9457</v>
      </c>
      <c r="E226" s="578" t="s">
        <v>9446</v>
      </c>
      <c r="F226" s="581">
        <v>10.0</v>
      </c>
      <c r="G226" s="267">
        <v>246.0</v>
      </c>
      <c r="H226" s="267">
        <f t="shared" si="11"/>
        <v>2460</v>
      </c>
      <c r="I226" s="256" t="s">
        <v>171</v>
      </c>
      <c r="J226" s="403" t="s">
        <v>6278</v>
      </c>
      <c r="K226" s="258">
        <v>42509.0</v>
      </c>
      <c r="L226" s="258">
        <v>42508.0</v>
      </c>
      <c r="M226" s="333" t="s">
        <v>3593</v>
      </c>
      <c r="N226" s="252" t="s">
        <v>9447</v>
      </c>
      <c r="O226" s="581"/>
      <c r="P226" s="310">
        <v>76608.0</v>
      </c>
      <c r="Q226" s="320" t="s">
        <v>8689</v>
      </c>
      <c r="R226" s="330"/>
      <c r="S226" s="631"/>
      <c r="T226" s="771">
        <v>42503.0</v>
      </c>
      <c r="U226" s="252" t="s">
        <v>9458</v>
      </c>
      <c r="V226" s="1135">
        <v>400176.0</v>
      </c>
      <c r="W226" s="832">
        <v>42557.0</v>
      </c>
      <c r="X226" s="320" t="s">
        <v>9459</v>
      </c>
      <c r="Y226" s="1140"/>
      <c r="Z226" s="1140"/>
      <c r="AA226" s="1140"/>
      <c r="AB226" s="320" t="s">
        <v>284</v>
      </c>
    </row>
    <row r="227" ht="15.75" customHeight="1">
      <c r="A227" s="258">
        <v>42485.0</v>
      </c>
      <c r="B227" s="604" t="s">
        <v>9000</v>
      </c>
      <c r="C227" s="765">
        <v>7.00012092E9</v>
      </c>
      <c r="D227" s="310" t="s">
        <v>9457</v>
      </c>
      <c r="E227" s="578" t="s">
        <v>9460</v>
      </c>
      <c r="F227" s="581">
        <v>45.0</v>
      </c>
      <c r="G227" s="267">
        <v>243.0</v>
      </c>
      <c r="H227" s="267">
        <f t="shared" si="11"/>
        <v>10935</v>
      </c>
      <c r="I227" s="256" t="s">
        <v>171</v>
      </c>
      <c r="J227" s="403" t="s">
        <v>6278</v>
      </c>
      <c r="K227" s="258">
        <v>42509.0</v>
      </c>
      <c r="L227" s="258">
        <v>42508.0</v>
      </c>
      <c r="M227" s="333" t="s">
        <v>3593</v>
      </c>
      <c r="N227" s="252" t="s">
        <v>9447</v>
      </c>
      <c r="O227" s="581"/>
      <c r="P227" s="310">
        <v>323568.0</v>
      </c>
      <c r="Q227" s="320" t="s">
        <v>8689</v>
      </c>
      <c r="R227" s="330"/>
      <c r="S227" s="631"/>
      <c r="T227" s="771">
        <v>42503.0</v>
      </c>
      <c r="U227" s="252" t="s">
        <v>9458</v>
      </c>
      <c r="V227" s="1135" t="s">
        <v>9461</v>
      </c>
      <c r="W227" s="832">
        <v>42557.0</v>
      </c>
      <c r="X227" s="320" t="s">
        <v>9459</v>
      </c>
      <c r="Y227" s="1140"/>
      <c r="Z227" s="1140"/>
      <c r="AA227" s="1140"/>
      <c r="AB227" s="320" t="s">
        <v>284</v>
      </c>
    </row>
    <row r="228" ht="15.75" customHeight="1">
      <c r="A228" s="258">
        <v>42488.0</v>
      </c>
      <c r="B228" s="578" t="s">
        <v>326</v>
      </c>
      <c r="C228" s="765">
        <v>1602281.0</v>
      </c>
      <c r="D228" s="310" t="s">
        <v>9462</v>
      </c>
      <c r="E228" s="578" t="s">
        <v>9463</v>
      </c>
      <c r="F228" s="581">
        <v>4.0</v>
      </c>
      <c r="G228" s="267">
        <v>960.0</v>
      </c>
      <c r="H228" s="267">
        <f t="shared" si="11"/>
        <v>3840</v>
      </c>
      <c r="I228" s="256" t="s">
        <v>3474</v>
      </c>
      <c r="J228" s="333" t="s">
        <v>3774</v>
      </c>
      <c r="K228" s="258">
        <v>42502.0</v>
      </c>
      <c r="L228" s="258">
        <v>42501.0</v>
      </c>
      <c r="M228" s="333" t="s">
        <v>3775</v>
      </c>
      <c r="N228" s="252" t="s">
        <v>9464</v>
      </c>
      <c r="O228" s="581">
        <v>3486.0</v>
      </c>
      <c r="P228" s="600"/>
      <c r="Q228" s="320" t="s">
        <v>6376</v>
      </c>
      <c r="R228" s="330"/>
      <c r="S228" s="1145">
        <v>42526.0</v>
      </c>
      <c r="T228" s="771">
        <v>42500.0</v>
      </c>
      <c r="U228" s="252" t="s">
        <v>9465</v>
      </c>
      <c r="V228" s="1135">
        <v>113005.0</v>
      </c>
      <c r="W228" s="832">
        <v>42527.0</v>
      </c>
      <c r="X228" s="252" t="s">
        <v>9285</v>
      </c>
      <c r="Y228" s="1140"/>
      <c r="Z228" s="1140"/>
      <c r="AA228" s="1140"/>
      <c r="AB228" s="1141" t="s">
        <v>284</v>
      </c>
    </row>
    <row r="229" ht="15.75" customHeight="1">
      <c r="A229" s="258">
        <v>42488.0</v>
      </c>
      <c r="B229" s="578" t="s">
        <v>326</v>
      </c>
      <c r="C229" s="765">
        <v>1602281.0</v>
      </c>
      <c r="D229" s="310" t="s">
        <v>9466</v>
      </c>
      <c r="E229" s="578" t="s">
        <v>9463</v>
      </c>
      <c r="F229" s="581">
        <v>1.0</v>
      </c>
      <c r="G229" s="267">
        <v>960.0</v>
      </c>
      <c r="H229" s="267">
        <f t="shared" si="11"/>
        <v>960</v>
      </c>
      <c r="I229" s="256" t="s">
        <v>3474</v>
      </c>
      <c r="J229" s="333" t="s">
        <v>3774</v>
      </c>
      <c r="K229" s="832">
        <v>42529.0</v>
      </c>
      <c r="L229" s="258">
        <v>42529.0</v>
      </c>
      <c r="M229" s="333" t="s">
        <v>3775</v>
      </c>
      <c r="N229" s="252" t="s">
        <v>9467</v>
      </c>
      <c r="O229" s="581">
        <v>871.5</v>
      </c>
      <c r="P229" s="600"/>
      <c r="Q229" s="320" t="s">
        <v>6376</v>
      </c>
      <c r="R229" s="330"/>
      <c r="S229" s="1145">
        <v>42587.0</v>
      </c>
      <c r="T229" s="771">
        <v>42528.0</v>
      </c>
      <c r="U229" s="252" t="s">
        <v>9468</v>
      </c>
      <c r="V229" s="1134">
        <v>28329.0</v>
      </c>
      <c r="W229" s="832">
        <v>42565.0</v>
      </c>
      <c r="X229" s="252" t="s">
        <v>9291</v>
      </c>
      <c r="Y229" s="1140"/>
      <c r="Z229" s="1140"/>
      <c r="AA229" s="1140"/>
      <c r="AB229" s="1141" t="s">
        <v>284</v>
      </c>
    </row>
    <row r="230" ht="15.75" customHeight="1">
      <c r="A230" s="258">
        <v>42488.0</v>
      </c>
      <c r="B230" s="340" t="s">
        <v>77</v>
      </c>
      <c r="C230" s="765">
        <v>373.0</v>
      </c>
      <c r="D230" s="310" t="s">
        <v>9469</v>
      </c>
      <c r="E230" s="578" t="s">
        <v>9470</v>
      </c>
      <c r="F230" s="581">
        <v>1.0</v>
      </c>
      <c r="G230" s="267">
        <v>97.0</v>
      </c>
      <c r="H230" s="267">
        <f t="shared" si="11"/>
        <v>97</v>
      </c>
      <c r="I230" s="256" t="s">
        <v>171</v>
      </c>
      <c r="J230" s="333" t="s">
        <v>316</v>
      </c>
      <c r="K230" s="258">
        <v>42506.0</v>
      </c>
      <c r="L230" s="258">
        <v>42500.0</v>
      </c>
      <c r="M230" s="333" t="s">
        <v>3489</v>
      </c>
      <c r="N230" s="252" t="s">
        <v>9471</v>
      </c>
      <c r="O230" s="339"/>
      <c r="P230" s="310">
        <v>2984.0</v>
      </c>
      <c r="Q230" s="388" t="s">
        <v>9071</v>
      </c>
      <c r="R230" s="330"/>
      <c r="S230" s="768">
        <v>42526.0</v>
      </c>
      <c r="T230" s="771">
        <v>42500.0</v>
      </c>
      <c r="U230" s="252" t="s">
        <v>9472</v>
      </c>
      <c r="V230" s="1030">
        <v>2984.0</v>
      </c>
      <c r="W230" s="832">
        <v>42529.0</v>
      </c>
      <c r="X230" s="252" t="s">
        <v>9473</v>
      </c>
      <c r="Y230" s="1140"/>
      <c r="Z230" s="1140"/>
      <c r="AA230" s="1140"/>
      <c r="AB230" s="320" t="s">
        <v>284</v>
      </c>
    </row>
    <row r="231" ht="15.75" customHeight="1">
      <c r="A231" s="258">
        <v>42488.0</v>
      </c>
      <c r="B231" s="340" t="s">
        <v>77</v>
      </c>
      <c r="C231" s="765">
        <v>373.0</v>
      </c>
      <c r="D231" s="310" t="s">
        <v>9469</v>
      </c>
      <c r="E231" s="578" t="s">
        <v>9474</v>
      </c>
      <c r="F231" s="581">
        <v>30.0</v>
      </c>
      <c r="G231" s="267">
        <v>2.3</v>
      </c>
      <c r="H231" s="267">
        <f t="shared" si="11"/>
        <v>69</v>
      </c>
      <c r="I231" s="256" t="s">
        <v>171</v>
      </c>
      <c r="J231" s="333" t="s">
        <v>316</v>
      </c>
      <c r="K231" s="258">
        <v>42506.0</v>
      </c>
      <c r="L231" s="258">
        <v>42503.0</v>
      </c>
      <c r="M231" s="403" t="s">
        <v>2039</v>
      </c>
      <c r="N231" s="252" t="s">
        <v>9475</v>
      </c>
      <c r="O231" s="581"/>
      <c r="P231" s="310">
        <v>1732.5</v>
      </c>
      <c r="Q231" s="320" t="s">
        <v>2194</v>
      </c>
      <c r="R231" s="330"/>
      <c r="S231" s="631"/>
      <c r="T231" s="771">
        <v>42502.0</v>
      </c>
      <c r="U231" s="252" t="s">
        <v>9476</v>
      </c>
      <c r="V231" s="1135">
        <v>5775.0</v>
      </c>
      <c r="W231" s="832">
        <v>42565.0</v>
      </c>
      <c r="X231" s="252" t="s">
        <v>9473</v>
      </c>
      <c r="Y231" s="1140"/>
      <c r="Z231" s="1140"/>
      <c r="AA231" s="1140"/>
      <c r="AB231" s="320" t="s">
        <v>284</v>
      </c>
    </row>
    <row r="232" ht="15.75" customHeight="1">
      <c r="A232" s="258">
        <v>42488.0</v>
      </c>
      <c r="B232" s="340" t="s">
        <v>77</v>
      </c>
      <c r="C232" s="765">
        <v>373.0</v>
      </c>
      <c r="D232" s="310" t="s">
        <v>9469</v>
      </c>
      <c r="E232" s="578" t="s">
        <v>9474</v>
      </c>
      <c r="F232" s="581">
        <v>70.0</v>
      </c>
      <c r="G232" s="267">
        <v>2.3</v>
      </c>
      <c r="H232" s="267">
        <f t="shared" si="11"/>
        <v>161</v>
      </c>
      <c r="I232" s="256" t="s">
        <v>171</v>
      </c>
      <c r="J232" s="333" t="s">
        <v>316</v>
      </c>
      <c r="K232" s="258">
        <v>42506.0</v>
      </c>
      <c r="L232" s="258">
        <v>42503.0</v>
      </c>
      <c r="M232" s="403" t="s">
        <v>2039</v>
      </c>
      <c r="N232" s="252" t="s">
        <v>9475</v>
      </c>
      <c r="O232" s="581"/>
      <c r="P232" s="310">
        <v>4042.5</v>
      </c>
      <c r="Q232" s="320" t="s">
        <v>2194</v>
      </c>
      <c r="R232" s="330"/>
      <c r="S232" s="631"/>
      <c r="T232" s="771">
        <v>42502.0</v>
      </c>
      <c r="U232" s="252" t="s">
        <v>9476</v>
      </c>
      <c r="V232" s="1135" t="s">
        <v>9477</v>
      </c>
      <c r="W232" s="832">
        <v>42565.0</v>
      </c>
      <c r="X232" s="252" t="s">
        <v>9473</v>
      </c>
      <c r="Y232" s="1140"/>
      <c r="Z232" s="1140"/>
      <c r="AA232" s="1140"/>
      <c r="AB232" s="320" t="s">
        <v>284</v>
      </c>
    </row>
    <row r="233" ht="15.75" customHeight="1">
      <c r="A233" s="258">
        <v>42494.0</v>
      </c>
      <c r="B233" s="578" t="s">
        <v>416</v>
      </c>
      <c r="C233" s="765" t="s">
        <v>9478</v>
      </c>
      <c r="D233" s="310" t="s">
        <v>9479</v>
      </c>
      <c r="E233" s="578" t="s">
        <v>9438</v>
      </c>
      <c r="F233" s="581">
        <v>8.0</v>
      </c>
      <c r="G233" s="267">
        <v>174.0</v>
      </c>
      <c r="H233" s="267">
        <f t="shared" si="11"/>
        <v>1392</v>
      </c>
      <c r="I233" s="256" t="s">
        <v>171</v>
      </c>
      <c r="J233" s="333" t="s">
        <v>9480</v>
      </c>
      <c r="K233" s="258">
        <v>42506.0</v>
      </c>
      <c r="L233" s="258">
        <v>42499.0</v>
      </c>
      <c r="M233" s="403" t="s">
        <v>90</v>
      </c>
      <c r="N233" s="252" t="s">
        <v>9481</v>
      </c>
      <c r="O233" s="581">
        <v>1226.4</v>
      </c>
      <c r="P233" s="330"/>
      <c r="Q233" s="320" t="s">
        <v>6081</v>
      </c>
      <c r="R233" s="330"/>
      <c r="S233" s="631"/>
      <c r="T233" s="771">
        <v>42496.0</v>
      </c>
      <c r="U233" s="252" t="s">
        <v>9482</v>
      </c>
      <c r="V233" s="1030">
        <v>39600.0</v>
      </c>
      <c r="W233" s="832">
        <v>42557.0</v>
      </c>
      <c r="X233" s="252" t="s">
        <v>9483</v>
      </c>
      <c r="Y233" s="1140"/>
      <c r="Z233" s="1140"/>
      <c r="AA233" s="1140"/>
      <c r="AB233" s="1141" t="s">
        <v>8661</v>
      </c>
    </row>
    <row r="234" ht="15.75" customHeight="1">
      <c r="A234" s="258">
        <v>42494.0</v>
      </c>
      <c r="B234" s="578" t="s">
        <v>416</v>
      </c>
      <c r="C234" s="765" t="s">
        <v>9478</v>
      </c>
      <c r="D234" s="310" t="s">
        <v>9479</v>
      </c>
      <c r="E234" s="578" t="s">
        <v>9484</v>
      </c>
      <c r="F234" s="581">
        <v>8.0</v>
      </c>
      <c r="G234" s="267">
        <v>18.0</v>
      </c>
      <c r="H234" s="267">
        <f t="shared" si="11"/>
        <v>144</v>
      </c>
      <c r="I234" s="256" t="s">
        <v>171</v>
      </c>
      <c r="J234" s="333" t="s">
        <v>9480</v>
      </c>
      <c r="K234" s="258">
        <v>42506.0</v>
      </c>
      <c r="L234" s="258">
        <v>42495.0</v>
      </c>
      <c r="M234" s="403"/>
      <c r="N234" s="252"/>
      <c r="O234" s="581"/>
      <c r="P234" s="330">
        <v>1800.0</v>
      </c>
      <c r="Q234" s="310"/>
      <c r="R234" s="330" t="s">
        <v>9485</v>
      </c>
      <c r="S234" s="631"/>
      <c r="T234" s="330" t="s">
        <v>9485</v>
      </c>
      <c r="U234" s="330" t="s">
        <v>9485</v>
      </c>
      <c r="V234" s="330" t="s">
        <v>9485</v>
      </c>
      <c r="W234" s="832"/>
      <c r="X234" s="252" t="s">
        <v>9483</v>
      </c>
      <c r="Y234" s="1140"/>
      <c r="Z234" s="1140"/>
      <c r="AA234" s="1140"/>
      <c r="AB234" s="1141" t="s">
        <v>8661</v>
      </c>
    </row>
    <row r="235" ht="15.75" customHeight="1">
      <c r="A235" s="258">
        <v>42494.0</v>
      </c>
      <c r="B235" s="578" t="s">
        <v>673</v>
      </c>
      <c r="C235" s="765"/>
      <c r="D235" s="310" t="s">
        <v>9486</v>
      </c>
      <c r="E235" s="578" t="s">
        <v>9487</v>
      </c>
      <c r="F235" s="581">
        <v>1.0</v>
      </c>
      <c r="G235" s="267">
        <v>515.0</v>
      </c>
      <c r="H235" s="267">
        <f t="shared" si="11"/>
        <v>515</v>
      </c>
      <c r="I235" s="256" t="s">
        <v>171</v>
      </c>
      <c r="J235" s="269" t="s">
        <v>9488</v>
      </c>
      <c r="K235" s="832">
        <v>42537.0</v>
      </c>
      <c r="L235" s="258">
        <v>42529.0</v>
      </c>
      <c r="M235" s="403" t="s">
        <v>9489</v>
      </c>
      <c r="N235" s="252" t="s">
        <v>9490</v>
      </c>
      <c r="O235" s="339"/>
      <c r="P235" s="330">
        <v>15506.0</v>
      </c>
      <c r="Q235" s="310" t="s">
        <v>9491</v>
      </c>
      <c r="R235" s="330"/>
      <c r="S235" s="631"/>
      <c r="T235" s="771">
        <v>42527.0</v>
      </c>
      <c r="U235" s="252" t="s">
        <v>9492</v>
      </c>
      <c r="V235" s="1135">
        <v>15506.0</v>
      </c>
      <c r="W235" s="832">
        <v>42523.0</v>
      </c>
      <c r="X235" s="320" t="s">
        <v>9493</v>
      </c>
      <c r="Y235" s="1140"/>
      <c r="Z235" s="1140"/>
      <c r="AA235" s="1140"/>
      <c r="AB235" s="320" t="s">
        <v>284</v>
      </c>
    </row>
    <row r="236" ht="15.75" customHeight="1">
      <c r="A236" s="258">
        <v>42494.0</v>
      </c>
      <c r="B236" s="578" t="s">
        <v>1204</v>
      </c>
      <c r="C236" s="765" t="s">
        <v>9494</v>
      </c>
      <c r="D236" s="310" t="s">
        <v>9495</v>
      </c>
      <c r="E236" s="578" t="s">
        <v>9165</v>
      </c>
      <c r="F236" s="581">
        <v>180.0</v>
      </c>
      <c r="G236" s="267">
        <v>14.9</v>
      </c>
      <c r="H236" s="267">
        <f t="shared" si="11"/>
        <v>2682</v>
      </c>
      <c r="I236" s="266" t="s">
        <v>43</v>
      </c>
      <c r="J236" s="269" t="s">
        <v>934</v>
      </c>
      <c r="K236" s="832">
        <v>42558.0</v>
      </c>
      <c r="L236" s="258">
        <v>42542.0</v>
      </c>
      <c r="M236" s="333" t="s">
        <v>2508</v>
      </c>
      <c r="N236" s="252" t="s">
        <v>9496</v>
      </c>
      <c r="O236" s="581"/>
      <c r="P236" s="310">
        <v>86940.0</v>
      </c>
      <c r="Q236" s="320" t="s">
        <v>2510</v>
      </c>
      <c r="R236" s="330"/>
      <c r="S236" s="768">
        <v>42556.0</v>
      </c>
      <c r="T236" s="771">
        <v>42541.0</v>
      </c>
      <c r="U236" s="252" t="s">
        <v>9497</v>
      </c>
      <c r="V236" s="1135">
        <v>86940.0</v>
      </c>
      <c r="W236" s="832">
        <v>42557.0</v>
      </c>
      <c r="X236" s="320" t="s">
        <v>9498</v>
      </c>
      <c r="Y236" s="1140"/>
      <c r="Z236" s="1140"/>
      <c r="AA236" s="1140"/>
      <c r="AB236" s="320" t="s">
        <v>284</v>
      </c>
    </row>
    <row r="237" ht="15.75" customHeight="1">
      <c r="A237" s="258">
        <v>42494.0</v>
      </c>
      <c r="B237" s="578" t="s">
        <v>1204</v>
      </c>
      <c r="C237" s="765" t="s">
        <v>9494</v>
      </c>
      <c r="D237" s="310" t="s">
        <v>9499</v>
      </c>
      <c r="E237" s="578" t="s">
        <v>9165</v>
      </c>
      <c r="F237" s="581">
        <v>70.0</v>
      </c>
      <c r="G237" s="267">
        <v>14.9</v>
      </c>
      <c r="H237" s="267">
        <f t="shared" si="11"/>
        <v>1043</v>
      </c>
      <c r="I237" s="266" t="s">
        <v>43</v>
      </c>
      <c r="J237" s="269" t="s">
        <v>934</v>
      </c>
      <c r="K237" s="832">
        <v>42558.0</v>
      </c>
      <c r="L237" s="258">
        <v>42548.0</v>
      </c>
      <c r="M237" s="333" t="s">
        <v>2508</v>
      </c>
      <c r="N237" s="252" t="s">
        <v>9496</v>
      </c>
      <c r="O237" s="581"/>
      <c r="P237" s="310">
        <v>33810.0</v>
      </c>
      <c r="Q237" s="320" t="s">
        <v>2510</v>
      </c>
      <c r="R237" s="330"/>
      <c r="S237" s="768">
        <v>42587.0</v>
      </c>
      <c r="T237" s="771">
        <v>42552.0</v>
      </c>
      <c r="U237" s="252" t="s">
        <v>9500</v>
      </c>
      <c r="V237" s="1135">
        <v>33810.0</v>
      </c>
      <c r="W237" s="832">
        <v>42586.0</v>
      </c>
      <c r="X237" s="320" t="s">
        <v>9498</v>
      </c>
      <c r="Y237" s="1140"/>
      <c r="Z237" s="1140"/>
      <c r="AA237" s="1140"/>
      <c r="AB237" s="320" t="s">
        <v>284</v>
      </c>
    </row>
    <row r="238" ht="15.75" customHeight="1">
      <c r="A238" s="258">
        <v>42496.0</v>
      </c>
      <c r="B238" s="578" t="s">
        <v>8749</v>
      </c>
      <c r="C238" s="765" t="s">
        <v>9501</v>
      </c>
      <c r="D238" s="310" t="s">
        <v>9502</v>
      </c>
      <c r="E238" s="330" t="s">
        <v>8752</v>
      </c>
      <c r="F238" s="581">
        <v>1.0</v>
      </c>
      <c r="G238" s="267">
        <v>101.85</v>
      </c>
      <c r="H238" s="267">
        <f t="shared" si="11"/>
        <v>101.85</v>
      </c>
      <c r="I238" s="266" t="s">
        <v>43</v>
      </c>
      <c r="J238" s="403" t="s">
        <v>90</v>
      </c>
      <c r="K238" s="258">
        <v>42500.0</v>
      </c>
      <c r="L238" s="258"/>
      <c r="M238" s="403" t="s">
        <v>90</v>
      </c>
      <c r="N238" s="252" t="s">
        <v>9503</v>
      </c>
      <c r="O238" s="581">
        <v>89.25</v>
      </c>
      <c r="P238" s="330"/>
      <c r="Q238" s="320" t="s">
        <v>6081</v>
      </c>
      <c r="R238" s="330"/>
      <c r="S238" s="631"/>
      <c r="T238" s="1132">
        <v>42499.0</v>
      </c>
      <c r="U238" s="320" t="s">
        <v>9504</v>
      </c>
      <c r="V238" s="1135">
        <v>2882.0</v>
      </c>
      <c r="W238" s="832">
        <v>42557.0</v>
      </c>
      <c r="X238" s="320" t="s">
        <v>9505</v>
      </c>
      <c r="Y238" s="388" t="s">
        <v>9506</v>
      </c>
      <c r="Z238" s="1146">
        <v>3301.0</v>
      </c>
      <c r="AA238" s="388" t="s">
        <v>9507</v>
      </c>
      <c r="AB238" s="320"/>
    </row>
    <row r="239" ht="15.75" customHeight="1">
      <c r="A239" s="258">
        <v>42499.0</v>
      </c>
      <c r="B239" s="578" t="s">
        <v>229</v>
      </c>
      <c r="C239" s="765"/>
      <c r="D239" s="310" t="s">
        <v>9508</v>
      </c>
      <c r="E239" s="578" t="s">
        <v>462</v>
      </c>
      <c r="F239" s="581">
        <v>25.0</v>
      </c>
      <c r="G239" s="581">
        <v>449.4</v>
      </c>
      <c r="H239" s="267">
        <f t="shared" si="11"/>
        <v>11235</v>
      </c>
      <c r="I239" s="256" t="s">
        <v>171</v>
      </c>
      <c r="J239" s="403" t="s">
        <v>90</v>
      </c>
      <c r="K239" s="258">
        <v>42509.0</v>
      </c>
      <c r="L239" s="258"/>
      <c r="M239" s="333" t="s">
        <v>90</v>
      </c>
      <c r="N239" s="265" t="s">
        <v>9509</v>
      </c>
      <c r="O239" s="773">
        <v>10158.75</v>
      </c>
      <c r="P239" s="388"/>
      <c r="Q239" s="320" t="s">
        <v>6081</v>
      </c>
      <c r="R239" s="330"/>
      <c r="S239" s="631"/>
      <c r="T239" s="771">
        <v>42507.0</v>
      </c>
      <c r="U239" s="252" t="s">
        <v>9510</v>
      </c>
      <c r="V239" s="1030">
        <v>312260.0</v>
      </c>
      <c r="W239" s="832">
        <v>42557.0</v>
      </c>
      <c r="X239" s="320" t="s">
        <v>9511</v>
      </c>
      <c r="Y239" s="388" t="s">
        <v>9512</v>
      </c>
      <c r="Z239" s="1146">
        <v>367217.0</v>
      </c>
      <c r="AA239" s="388" t="s">
        <v>9513</v>
      </c>
      <c r="AB239" s="1141"/>
    </row>
    <row r="240" ht="15.75" customHeight="1">
      <c r="A240" s="258">
        <v>42499.0</v>
      </c>
      <c r="B240" s="578" t="s">
        <v>1181</v>
      </c>
      <c r="C240" s="765"/>
      <c r="D240" s="310" t="s">
        <v>9514</v>
      </c>
      <c r="E240" s="578" t="s">
        <v>9515</v>
      </c>
      <c r="F240" s="581">
        <v>2.0</v>
      </c>
      <c r="G240" s="267">
        <v>120.0</v>
      </c>
      <c r="H240" s="267">
        <f t="shared" si="11"/>
        <v>240</v>
      </c>
      <c r="I240" s="256" t="s">
        <v>3874</v>
      </c>
      <c r="J240" s="403" t="s">
        <v>9516</v>
      </c>
      <c r="K240" s="258">
        <v>42509.0</v>
      </c>
      <c r="L240" s="258">
        <v>42506.0</v>
      </c>
      <c r="M240" s="403" t="s">
        <v>3840</v>
      </c>
      <c r="N240" s="252" t="s">
        <v>9517</v>
      </c>
      <c r="O240" s="581"/>
      <c r="P240" s="310">
        <v>6405.0</v>
      </c>
      <c r="Q240" s="388" t="s">
        <v>3842</v>
      </c>
      <c r="R240" s="330"/>
      <c r="S240" s="631"/>
      <c r="T240" s="771">
        <v>42503.0</v>
      </c>
      <c r="U240" s="252" t="s">
        <v>9518</v>
      </c>
      <c r="V240" s="1030">
        <v>6405.0</v>
      </c>
      <c r="W240" s="832">
        <v>42557.0</v>
      </c>
      <c r="X240" s="252" t="s">
        <v>9519</v>
      </c>
      <c r="Y240" s="1140"/>
      <c r="Z240" s="1140"/>
      <c r="AA240" s="1140"/>
      <c r="AB240" s="1141" t="s">
        <v>284</v>
      </c>
    </row>
    <row r="241" ht="15.75" customHeight="1">
      <c r="A241" s="258">
        <v>42500.0</v>
      </c>
      <c r="B241" s="578" t="s">
        <v>101</v>
      </c>
      <c r="C241" s="765" t="s">
        <v>9520</v>
      </c>
      <c r="D241" s="310" t="s">
        <v>9521</v>
      </c>
      <c r="E241" s="310" t="s">
        <v>9369</v>
      </c>
      <c r="F241" s="581">
        <v>3.0</v>
      </c>
      <c r="G241" s="267">
        <v>339.0</v>
      </c>
      <c r="H241" s="267">
        <f t="shared" si="11"/>
        <v>1017</v>
      </c>
      <c r="I241" s="256" t="s">
        <v>171</v>
      </c>
      <c r="J241" s="403" t="s">
        <v>5995</v>
      </c>
      <c r="K241" s="258">
        <v>42513.0</v>
      </c>
      <c r="L241" s="258">
        <v>42508.0</v>
      </c>
      <c r="M241" s="333" t="s">
        <v>2028</v>
      </c>
      <c r="N241" s="265" t="s">
        <v>9522</v>
      </c>
      <c r="O241" s="773"/>
      <c r="P241" s="320">
        <v>31224.375</v>
      </c>
      <c r="Q241" s="320" t="s">
        <v>9371</v>
      </c>
      <c r="R241" s="330"/>
      <c r="S241" s="631"/>
      <c r="T241" s="771">
        <v>42508.0</v>
      </c>
      <c r="U241" s="252" t="s">
        <v>9523</v>
      </c>
      <c r="V241" s="1135">
        <v>48493.0</v>
      </c>
      <c r="W241" s="832">
        <v>42509.0</v>
      </c>
      <c r="X241" s="320" t="s">
        <v>9524</v>
      </c>
      <c r="Y241" s="1140"/>
      <c r="Z241" s="1140"/>
      <c r="AA241" s="1140"/>
      <c r="AB241" s="1141" t="s">
        <v>8661</v>
      </c>
    </row>
    <row r="242" ht="15.75" customHeight="1">
      <c r="A242" s="258">
        <v>42500.0</v>
      </c>
      <c r="B242" s="578" t="s">
        <v>101</v>
      </c>
      <c r="C242" s="765" t="s">
        <v>9520</v>
      </c>
      <c r="D242" s="310" t="s">
        <v>9521</v>
      </c>
      <c r="E242" s="310" t="s">
        <v>9525</v>
      </c>
      <c r="F242" s="581">
        <v>3.0</v>
      </c>
      <c r="G242" s="267">
        <v>57.0</v>
      </c>
      <c r="H242" s="267">
        <f t="shared" si="11"/>
        <v>171</v>
      </c>
      <c r="I242" s="256" t="s">
        <v>171</v>
      </c>
      <c r="J242" s="403" t="s">
        <v>5995</v>
      </c>
      <c r="K242" s="258">
        <v>42513.0</v>
      </c>
      <c r="L242" s="258">
        <v>42508.0</v>
      </c>
      <c r="M242" s="333" t="s">
        <v>2028</v>
      </c>
      <c r="N242" s="265" t="s">
        <v>9522</v>
      </c>
      <c r="O242" s="773"/>
      <c r="P242" s="320">
        <v>5528.25</v>
      </c>
      <c r="Q242" s="320" t="s">
        <v>9371</v>
      </c>
      <c r="R242" s="330"/>
      <c r="S242" s="631"/>
      <c r="T242" s="771">
        <v>42508.0</v>
      </c>
      <c r="U242" s="252" t="s">
        <v>9523</v>
      </c>
      <c r="V242" s="1135" t="s">
        <v>9526</v>
      </c>
      <c r="W242" s="832">
        <v>42509.0</v>
      </c>
      <c r="X242" s="320" t="s">
        <v>9524</v>
      </c>
      <c r="Y242" s="1140"/>
      <c r="Z242" s="1140"/>
      <c r="AA242" s="1140"/>
      <c r="AB242" s="1141" t="s">
        <v>8661</v>
      </c>
    </row>
    <row r="243" ht="15.75" customHeight="1">
      <c r="A243" s="258">
        <v>42500.0</v>
      </c>
      <c r="B243" s="578" t="s">
        <v>101</v>
      </c>
      <c r="C243" s="765" t="s">
        <v>9520</v>
      </c>
      <c r="D243" s="310" t="s">
        <v>9521</v>
      </c>
      <c r="E243" s="310" t="s">
        <v>9527</v>
      </c>
      <c r="F243" s="581">
        <v>1.0</v>
      </c>
      <c r="G243" s="267">
        <v>322.0</v>
      </c>
      <c r="H243" s="267">
        <f t="shared" si="11"/>
        <v>322</v>
      </c>
      <c r="I243" s="256" t="s">
        <v>171</v>
      </c>
      <c r="J243" s="403" t="s">
        <v>5995</v>
      </c>
      <c r="K243" s="258">
        <v>42513.0</v>
      </c>
      <c r="L243" s="258">
        <v>42508.0</v>
      </c>
      <c r="M243" s="333" t="s">
        <v>2028</v>
      </c>
      <c r="N243" s="265" t="s">
        <v>9522</v>
      </c>
      <c r="O243" s="773"/>
      <c r="P243" s="320">
        <v>9896.25</v>
      </c>
      <c r="Q243" s="320" t="s">
        <v>9371</v>
      </c>
      <c r="R243" s="330"/>
      <c r="S243" s="631"/>
      <c r="T243" s="771">
        <v>42508.0</v>
      </c>
      <c r="U243" s="252" t="s">
        <v>9523</v>
      </c>
      <c r="V243" s="1135" t="s">
        <v>9526</v>
      </c>
      <c r="W243" s="832">
        <v>42509.0</v>
      </c>
      <c r="X243" s="320" t="s">
        <v>9524</v>
      </c>
      <c r="Y243" s="1140"/>
      <c r="Z243" s="1140"/>
      <c r="AA243" s="1140"/>
      <c r="AB243" s="1141" t="s">
        <v>8661</v>
      </c>
    </row>
    <row r="244" ht="15.75" customHeight="1">
      <c r="A244" s="258">
        <v>42500.0</v>
      </c>
      <c r="B244" s="578" t="s">
        <v>101</v>
      </c>
      <c r="C244" s="765" t="s">
        <v>9520</v>
      </c>
      <c r="D244" s="310" t="s">
        <v>9521</v>
      </c>
      <c r="E244" s="310" t="s">
        <v>9525</v>
      </c>
      <c r="F244" s="581">
        <v>1.0</v>
      </c>
      <c r="G244" s="267">
        <v>57.0</v>
      </c>
      <c r="H244" s="267">
        <f t="shared" si="11"/>
        <v>57</v>
      </c>
      <c r="I244" s="256" t="s">
        <v>171</v>
      </c>
      <c r="J244" s="403" t="s">
        <v>5995</v>
      </c>
      <c r="K244" s="258">
        <v>42513.0</v>
      </c>
      <c r="L244" s="258">
        <v>42508.0</v>
      </c>
      <c r="M244" s="333" t="s">
        <v>2028</v>
      </c>
      <c r="N244" s="265" t="s">
        <v>9522</v>
      </c>
      <c r="O244" s="773"/>
      <c r="P244" s="320">
        <v>1842.75</v>
      </c>
      <c r="Q244" s="320" t="s">
        <v>9371</v>
      </c>
      <c r="R244" s="330"/>
      <c r="S244" s="631"/>
      <c r="T244" s="771">
        <v>42508.0</v>
      </c>
      <c r="U244" s="252" t="s">
        <v>9523</v>
      </c>
      <c r="V244" s="1135" t="s">
        <v>9526</v>
      </c>
      <c r="W244" s="832">
        <v>42509.0</v>
      </c>
      <c r="X244" s="320" t="s">
        <v>9524</v>
      </c>
      <c r="Y244" s="1140"/>
      <c r="Z244" s="1140"/>
      <c r="AA244" s="1140"/>
      <c r="AB244" s="1141" t="s">
        <v>8661</v>
      </c>
    </row>
    <row r="245" ht="15.75" customHeight="1">
      <c r="A245" s="258">
        <v>42500.0</v>
      </c>
      <c r="B245" s="578" t="s">
        <v>101</v>
      </c>
      <c r="C245" s="765" t="s">
        <v>9520</v>
      </c>
      <c r="D245" s="310" t="s">
        <v>9521</v>
      </c>
      <c r="E245" s="578" t="s">
        <v>8671</v>
      </c>
      <c r="F245" s="581">
        <v>1.0</v>
      </c>
      <c r="G245" s="267">
        <v>86.0</v>
      </c>
      <c r="H245" s="267">
        <f t="shared" si="11"/>
        <v>86</v>
      </c>
      <c r="I245" s="256" t="s">
        <v>171</v>
      </c>
      <c r="J245" s="777" t="s">
        <v>5995</v>
      </c>
      <c r="K245" s="258">
        <v>42513.0</v>
      </c>
      <c r="L245" s="258"/>
      <c r="M245" s="333" t="s">
        <v>2032</v>
      </c>
      <c r="N245" s="252"/>
      <c r="O245" s="581"/>
      <c r="P245" s="310">
        <v>2233.0</v>
      </c>
      <c r="Q245" s="388" t="s">
        <v>2033</v>
      </c>
      <c r="R245" s="330"/>
      <c r="S245" s="768">
        <v>42551.0</v>
      </c>
      <c r="T245" s="771">
        <v>42521.0</v>
      </c>
      <c r="U245" s="252" t="s">
        <v>9528</v>
      </c>
      <c r="V245" s="1030">
        <v>2233.0</v>
      </c>
      <c r="W245" s="832">
        <v>42557.0</v>
      </c>
      <c r="X245" s="320" t="s">
        <v>9524</v>
      </c>
      <c r="Y245" s="1140"/>
      <c r="Z245" s="1140"/>
      <c r="AA245" s="1140"/>
      <c r="AB245" s="1141" t="s">
        <v>8661</v>
      </c>
    </row>
    <row r="246" ht="15.75" customHeight="1">
      <c r="A246" s="291">
        <v>42502.0</v>
      </c>
      <c r="B246" s="1164" t="s">
        <v>6167</v>
      </c>
      <c r="C246" s="789">
        <v>7.000121316E9</v>
      </c>
      <c r="D246" s="798" t="s">
        <v>9529</v>
      </c>
      <c r="E246" s="798" t="s">
        <v>9530</v>
      </c>
      <c r="F246" s="858">
        <v>1.0</v>
      </c>
      <c r="G246" s="281">
        <v>178.0</v>
      </c>
      <c r="H246" s="908"/>
      <c r="I246" s="282" t="s">
        <v>171</v>
      </c>
      <c r="J246" s="1015" t="s">
        <v>3623</v>
      </c>
      <c r="K246" s="291">
        <v>42530.0</v>
      </c>
      <c r="L246" s="291">
        <v>42528.0</v>
      </c>
      <c r="M246" s="283" t="s">
        <v>3593</v>
      </c>
      <c r="N246" s="276" t="s">
        <v>9531</v>
      </c>
      <c r="O246" s="858"/>
      <c r="P246" s="785"/>
      <c r="Q246" s="800" t="s">
        <v>8689</v>
      </c>
      <c r="R246" s="582"/>
      <c r="S246" s="1172"/>
      <c r="T246" s="802"/>
      <c r="U246" s="801"/>
      <c r="V246" s="1169"/>
      <c r="W246" s="1170"/>
      <c r="X246" s="1171"/>
      <c r="Y246" s="1173"/>
      <c r="Z246" s="1173"/>
      <c r="AA246" s="1173"/>
      <c r="AB246" s="320"/>
    </row>
    <row r="247" ht="15.75" customHeight="1">
      <c r="A247" s="291">
        <v>42502.0</v>
      </c>
      <c r="B247" s="1164" t="s">
        <v>6167</v>
      </c>
      <c r="C247" s="789">
        <v>7.000121316E9</v>
      </c>
      <c r="D247" s="798" t="s">
        <v>9529</v>
      </c>
      <c r="E247" s="798" t="s">
        <v>9532</v>
      </c>
      <c r="F247" s="858">
        <v>1.0</v>
      </c>
      <c r="G247" s="281">
        <v>945.0</v>
      </c>
      <c r="H247" s="908"/>
      <c r="I247" s="282" t="s">
        <v>171</v>
      </c>
      <c r="J247" s="1015" t="s">
        <v>3623</v>
      </c>
      <c r="K247" s="291">
        <v>42530.0</v>
      </c>
      <c r="L247" s="291">
        <v>42528.0</v>
      </c>
      <c r="M247" s="283" t="s">
        <v>3593</v>
      </c>
      <c r="N247" s="276" t="s">
        <v>9531</v>
      </c>
      <c r="O247" s="858"/>
      <c r="P247" s="785"/>
      <c r="Q247" s="800" t="s">
        <v>8689</v>
      </c>
      <c r="R247" s="582"/>
      <c r="S247" s="1172"/>
      <c r="T247" s="802"/>
      <c r="U247" s="801"/>
      <c r="V247" s="1169"/>
      <c r="W247" s="1170"/>
      <c r="X247" s="1171"/>
      <c r="Y247" s="1173"/>
      <c r="Z247" s="1173"/>
      <c r="AA247" s="1173"/>
      <c r="AB247" s="320"/>
    </row>
    <row r="248" ht="15.75" customHeight="1">
      <c r="A248" s="258">
        <v>42502.0</v>
      </c>
      <c r="B248" s="340" t="s">
        <v>77</v>
      </c>
      <c r="C248" s="765">
        <v>434.0</v>
      </c>
      <c r="D248" s="310" t="s">
        <v>9533</v>
      </c>
      <c r="E248" s="578" t="s">
        <v>6637</v>
      </c>
      <c r="F248" s="581">
        <v>15.0</v>
      </c>
      <c r="G248" s="267">
        <v>92.0</v>
      </c>
      <c r="H248" s="267">
        <f t="shared" ref="H248:H274" si="12">G248*F248</f>
        <v>1380</v>
      </c>
      <c r="I248" s="256" t="s">
        <v>171</v>
      </c>
      <c r="J248" s="269" t="s">
        <v>316</v>
      </c>
      <c r="K248" s="258">
        <v>42516.0</v>
      </c>
      <c r="L248" s="258">
        <v>42509.0</v>
      </c>
      <c r="M248" s="333" t="s">
        <v>3489</v>
      </c>
      <c r="N248" s="252" t="s">
        <v>9534</v>
      </c>
      <c r="O248" s="581"/>
      <c r="P248" s="310">
        <v>40824.0</v>
      </c>
      <c r="Q248" s="388" t="s">
        <v>9071</v>
      </c>
      <c r="R248" s="330"/>
      <c r="S248" s="768">
        <v>42526.0</v>
      </c>
      <c r="T248" s="771">
        <v>42509.0</v>
      </c>
      <c r="U248" s="252" t="s">
        <v>9535</v>
      </c>
      <c r="V248" s="1135">
        <v>40824.0</v>
      </c>
      <c r="W248" s="832">
        <v>42529.0</v>
      </c>
      <c r="X248" s="320" t="s">
        <v>9536</v>
      </c>
      <c r="Y248" s="1140"/>
      <c r="Z248" s="1140"/>
      <c r="AA248" s="1140"/>
      <c r="AB248" s="320" t="s">
        <v>284</v>
      </c>
    </row>
    <row r="249" ht="15.75" customHeight="1">
      <c r="A249" s="258">
        <v>42502.0</v>
      </c>
      <c r="B249" s="578" t="s">
        <v>6125</v>
      </c>
      <c r="C249" s="765" t="s">
        <v>6854</v>
      </c>
      <c r="D249" s="310" t="s">
        <v>9537</v>
      </c>
      <c r="E249" s="578" t="s">
        <v>6128</v>
      </c>
      <c r="F249" s="581">
        <v>7.0</v>
      </c>
      <c r="G249" s="267">
        <v>148.0</v>
      </c>
      <c r="H249" s="267">
        <f t="shared" si="12"/>
        <v>1036</v>
      </c>
      <c r="I249" s="256" t="s">
        <v>3474</v>
      </c>
      <c r="J249" s="403" t="s">
        <v>3732</v>
      </c>
      <c r="K249" s="258">
        <v>42544.0</v>
      </c>
      <c r="L249" s="258">
        <v>42514.0</v>
      </c>
      <c r="M249" s="333" t="s">
        <v>2034</v>
      </c>
      <c r="N249" s="252" t="s">
        <v>9538</v>
      </c>
      <c r="O249" s="581"/>
      <c r="P249" s="310">
        <v>31605.0</v>
      </c>
      <c r="Q249" s="320" t="s">
        <v>2036</v>
      </c>
      <c r="R249" s="330"/>
      <c r="S249" s="631"/>
      <c r="T249" s="771">
        <v>42513.0</v>
      </c>
      <c r="U249" s="252" t="s">
        <v>9539</v>
      </c>
      <c r="V249" s="1135">
        <v>63210.0</v>
      </c>
      <c r="W249" s="832">
        <v>42529.0</v>
      </c>
      <c r="X249" s="320" t="s">
        <v>9540</v>
      </c>
      <c r="Y249" s="1140"/>
      <c r="Z249" s="1140"/>
      <c r="AA249" s="1140"/>
      <c r="AB249" s="320" t="s">
        <v>284</v>
      </c>
    </row>
    <row r="250" ht="15.75" customHeight="1">
      <c r="A250" s="258">
        <v>42502.0</v>
      </c>
      <c r="B250" s="578" t="s">
        <v>6125</v>
      </c>
      <c r="C250" s="765" t="s">
        <v>6854</v>
      </c>
      <c r="D250" s="310" t="s">
        <v>9537</v>
      </c>
      <c r="E250" s="578" t="s">
        <v>6132</v>
      </c>
      <c r="F250" s="581">
        <v>7.0</v>
      </c>
      <c r="G250" s="267">
        <v>148.0</v>
      </c>
      <c r="H250" s="267">
        <f t="shared" si="12"/>
        <v>1036</v>
      </c>
      <c r="I250" s="256" t="s">
        <v>3474</v>
      </c>
      <c r="J250" s="403" t="s">
        <v>3732</v>
      </c>
      <c r="K250" s="258">
        <v>42544.0</v>
      </c>
      <c r="L250" s="258">
        <v>42514.0</v>
      </c>
      <c r="M250" s="333" t="s">
        <v>2034</v>
      </c>
      <c r="N250" s="252" t="s">
        <v>9538</v>
      </c>
      <c r="O250" s="581"/>
      <c r="P250" s="310">
        <v>31605.0</v>
      </c>
      <c r="Q250" s="320" t="s">
        <v>2036</v>
      </c>
      <c r="R250" s="330"/>
      <c r="S250" s="631"/>
      <c r="T250" s="771">
        <v>42513.0</v>
      </c>
      <c r="U250" s="252" t="s">
        <v>9539</v>
      </c>
      <c r="V250" s="1135" t="s">
        <v>9541</v>
      </c>
      <c r="W250" s="832">
        <v>42529.0</v>
      </c>
      <c r="X250" s="320" t="s">
        <v>9540</v>
      </c>
      <c r="Y250" s="1140"/>
      <c r="Z250" s="1140"/>
      <c r="AA250" s="1140"/>
      <c r="AB250" s="320" t="s">
        <v>284</v>
      </c>
    </row>
    <row r="251" ht="15.75" customHeight="1">
      <c r="A251" s="258">
        <v>42502.0</v>
      </c>
      <c r="B251" s="578" t="s">
        <v>6125</v>
      </c>
      <c r="C251" s="765" t="s">
        <v>6854</v>
      </c>
      <c r="D251" s="310" t="s">
        <v>9537</v>
      </c>
      <c r="E251" s="578" t="s">
        <v>6860</v>
      </c>
      <c r="F251" s="581">
        <v>7.0</v>
      </c>
      <c r="G251" s="267">
        <v>1239.0</v>
      </c>
      <c r="H251" s="267">
        <f t="shared" si="12"/>
        <v>8673</v>
      </c>
      <c r="I251" s="256" t="s">
        <v>3474</v>
      </c>
      <c r="J251" s="403" t="s">
        <v>3732</v>
      </c>
      <c r="K251" s="258">
        <v>42544.0</v>
      </c>
      <c r="L251" s="258">
        <v>42536.0</v>
      </c>
      <c r="M251" s="333" t="s">
        <v>2034</v>
      </c>
      <c r="N251" s="252" t="s">
        <v>9538</v>
      </c>
      <c r="O251" s="581"/>
      <c r="P251" s="310">
        <v>264527.0</v>
      </c>
      <c r="Q251" s="320" t="s">
        <v>2036</v>
      </c>
      <c r="R251" s="330"/>
      <c r="S251" s="768">
        <v>42587.0</v>
      </c>
      <c r="T251" s="771">
        <v>42535.0</v>
      </c>
      <c r="U251" s="252" t="s">
        <v>9542</v>
      </c>
      <c r="V251" s="1135">
        <v>264527.0</v>
      </c>
      <c r="W251" s="832">
        <v>42586.0</v>
      </c>
      <c r="X251" s="320" t="s">
        <v>9540</v>
      </c>
      <c r="Y251" s="1140"/>
      <c r="Z251" s="1140"/>
      <c r="AA251" s="1140"/>
      <c r="AB251" s="320" t="s">
        <v>284</v>
      </c>
    </row>
    <row r="252" ht="15.75" customHeight="1">
      <c r="A252" s="258">
        <v>42502.0</v>
      </c>
      <c r="B252" s="578" t="s">
        <v>6125</v>
      </c>
      <c r="C252" s="765" t="s">
        <v>6854</v>
      </c>
      <c r="D252" s="310" t="s">
        <v>9537</v>
      </c>
      <c r="E252" s="578" t="s">
        <v>9543</v>
      </c>
      <c r="F252" s="581">
        <v>1.0</v>
      </c>
      <c r="G252" s="267">
        <v>15.0</v>
      </c>
      <c r="H252" s="267">
        <f t="shared" si="12"/>
        <v>15</v>
      </c>
      <c r="I252" s="256" t="s">
        <v>3474</v>
      </c>
      <c r="J252" s="777"/>
      <c r="K252" s="258">
        <v>42544.0</v>
      </c>
      <c r="L252" s="593"/>
      <c r="M252" s="333"/>
      <c r="N252" s="252"/>
      <c r="O252" s="581"/>
      <c r="P252" s="600"/>
      <c r="Q252" s="320"/>
      <c r="R252" s="330"/>
      <c r="S252" s="631"/>
      <c r="T252" s="809"/>
      <c r="U252" s="839"/>
      <c r="V252" s="1151"/>
      <c r="W252" s="1163"/>
      <c r="X252" s="320" t="s">
        <v>9540</v>
      </c>
      <c r="Y252" s="1140"/>
      <c r="Z252" s="1140"/>
      <c r="AA252" s="1140"/>
      <c r="AB252" s="320" t="s">
        <v>284</v>
      </c>
    </row>
    <row r="253" ht="15.75" customHeight="1">
      <c r="A253" s="258">
        <v>42503.0</v>
      </c>
      <c r="B253" s="578" t="s">
        <v>6548</v>
      </c>
      <c r="C253" s="765"/>
      <c r="D253" s="330" t="s">
        <v>8764</v>
      </c>
      <c r="E253" s="310" t="s">
        <v>9544</v>
      </c>
      <c r="F253" s="581">
        <v>8.0</v>
      </c>
      <c r="G253" s="267">
        <v>31.0</v>
      </c>
      <c r="H253" s="267">
        <f t="shared" si="12"/>
        <v>248</v>
      </c>
      <c r="I253" s="256" t="s">
        <v>171</v>
      </c>
      <c r="J253" s="777" t="s">
        <v>8766</v>
      </c>
      <c r="K253" s="258">
        <v>42544.0</v>
      </c>
      <c r="L253" s="258"/>
      <c r="M253" s="333"/>
      <c r="N253" s="252"/>
      <c r="O253" s="581"/>
      <c r="P253" s="330"/>
      <c r="Q253" s="320"/>
      <c r="R253" s="330" t="s">
        <v>8770</v>
      </c>
      <c r="S253" s="631"/>
      <c r="T253" s="809"/>
      <c r="U253" s="839"/>
      <c r="V253" s="1151"/>
      <c r="W253" s="1163"/>
      <c r="X253" s="320" t="s">
        <v>8772</v>
      </c>
      <c r="Y253" s="1140"/>
      <c r="Z253" s="1140"/>
      <c r="AA253" s="1140"/>
      <c r="AB253" s="1141"/>
    </row>
    <row r="254" ht="15.75" customHeight="1">
      <c r="A254" s="258">
        <v>42503.0</v>
      </c>
      <c r="B254" s="578" t="s">
        <v>6548</v>
      </c>
      <c r="C254" s="765"/>
      <c r="D254" s="330" t="s">
        <v>8764</v>
      </c>
      <c r="E254" s="310" t="s">
        <v>9545</v>
      </c>
      <c r="F254" s="581">
        <v>1.0</v>
      </c>
      <c r="G254" s="267">
        <v>500.0</v>
      </c>
      <c r="H254" s="267">
        <f t="shared" si="12"/>
        <v>500</v>
      </c>
      <c r="I254" s="256" t="s">
        <v>171</v>
      </c>
      <c r="J254" s="777" t="s">
        <v>8766</v>
      </c>
      <c r="K254" s="258">
        <v>42544.0</v>
      </c>
      <c r="L254" s="258"/>
      <c r="M254" s="403"/>
      <c r="N254" s="252"/>
      <c r="O254" s="581"/>
      <c r="P254" s="330"/>
      <c r="Q254" s="320"/>
      <c r="R254" s="330" t="s">
        <v>8770</v>
      </c>
      <c r="S254" s="631"/>
      <c r="T254" s="809"/>
      <c r="U254" s="839"/>
      <c r="V254" s="1151"/>
      <c r="W254" s="1163"/>
      <c r="X254" s="320" t="s">
        <v>8772</v>
      </c>
      <c r="Y254" s="1140"/>
      <c r="Z254" s="1140"/>
      <c r="AA254" s="1140"/>
      <c r="AB254" s="1141"/>
    </row>
    <row r="255" ht="15.75" customHeight="1">
      <c r="A255" s="258">
        <v>42503.0</v>
      </c>
      <c r="B255" s="578" t="s">
        <v>101</v>
      </c>
      <c r="C255" s="765" t="s">
        <v>9546</v>
      </c>
      <c r="D255" s="310" t="s">
        <v>9547</v>
      </c>
      <c r="E255" s="578" t="s">
        <v>9548</v>
      </c>
      <c r="F255" s="581">
        <v>7.0</v>
      </c>
      <c r="G255" s="267">
        <v>188.0</v>
      </c>
      <c r="H255" s="267">
        <f t="shared" si="12"/>
        <v>1316</v>
      </c>
      <c r="I255" s="256" t="s">
        <v>3474</v>
      </c>
      <c r="J255" s="777" t="s">
        <v>5995</v>
      </c>
      <c r="K255" s="258">
        <v>42551.0</v>
      </c>
      <c r="L255" s="258">
        <v>42538.0</v>
      </c>
      <c r="M255" s="333" t="s">
        <v>2034</v>
      </c>
      <c r="N255" s="252" t="s">
        <v>9549</v>
      </c>
      <c r="O255" s="581"/>
      <c r="P255" s="310">
        <v>39690.0</v>
      </c>
      <c r="Q255" s="310" t="s">
        <v>2036</v>
      </c>
      <c r="R255" s="330"/>
      <c r="S255" s="768">
        <v>42587.0</v>
      </c>
      <c r="T255" s="771">
        <v>42537.0</v>
      </c>
      <c r="U255" s="252" t="s">
        <v>9550</v>
      </c>
      <c r="V255" s="1135">
        <v>39690.0</v>
      </c>
      <c r="W255" s="832">
        <v>42586.0</v>
      </c>
      <c r="X255" s="320" t="s">
        <v>9551</v>
      </c>
      <c r="Y255" s="1140"/>
      <c r="Z255" s="1140"/>
      <c r="AA255" s="1140"/>
      <c r="AB255" s="1141" t="s">
        <v>284</v>
      </c>
    </row>
    <row r="256" ht="15.75" customHeight="1">
      <c r="A256" s="258">
        <v>42503.0</v>
      </c>
      <c r="B256" s="578" t="s">
        <v>101</v>
      </c>
      <c r="C256" s="765" t="s">
        <v>9546</v>
      </c>
      <c r="D256" s="310" t="s">
        <v>9547</v>
      </c>
      <c r="E256" s="578" t="s">
        <v>8671</v>
      </c>
      <c r="F256" s="581">
        <v>1.0</v>
      </c>
      <c r="G256" s="267">
        <v>107.0</v>
      </c>
      <c r="H256" s="267">
        <f t="shared" si="12"/>
        <v>107</v>
      </c>
      <c r="I256" s="256" t="s">
        <v>171</v>
      </c>
      <c r="J256" s="333" t="s">
        <v>5995</v>
      </c>
      <c r="K256" s="832">
        <v>42551.0</v>
      </c>
      <c r="L256" s="258"/>
      <c r="M256" s="403" t="s">
        <v>2032</v>
      </c>
      <c r="N256" s="252"/>
      <c r="O256" s="581"/>
      <c r="P256" s="579">
        <v>5709.0</v>
      </c>
      <c r="Q256" s="310"/>
      <c r="R256" s="330"/>
      <c r="S256" s="768">
        <v>42586.0</v>
      </c>
      <c r="T256" s="771">
        <v>42556.0</v>
      </c>
      <c r="U256" s="252" t="s">
        <v>9552</v>
      </c>
      <c r="V256" s="1135">
        <v>5709.0</v>
      </c>
      <c r="W256" s="832">
        <v>42592.0</v>
      </c>
      <c r="X256" s="320" t="s">
        <v>9551</v>
      </c>
      <c r="Y256" s="1140"/>
      <c r="Z256" s="1140"/>
      <c r="AA256" s="1140"/>
      <c r="AB256" s="1141" t="s">
        <v>284</v>
      </c>
    </row>
    <row r="257" ht="15.75" customHeight="1">
      <c r="A257" s="258">
        <v>42503.0</v>
      </c>
      <c r="B257" s="578" t="s">
        <v>101</v>
      </c>
      <c r="C257" s="765" t="s">
        <v>9546</v>
      </c>
      <c r="D257" s="310" t="s">
        <v>9553</v>
      </c>
      <c r="E257" s="578" t="s">
        <v>9548</v>
      </c>
      <c r="F257" s="581">
        <v>1.0</v>
      </c>
      <c r="G257" s="267">
        <v>188.0</v>
      </c>
      <c r="H257" s="267">
        <f t="shared" si="12"/>
        <v>188</v>
      </c>
      <c r="I257" s="256" t="s">
        <v>3474</v>
      </c>
      <c r="J257" s="333" t="s">
        <v>5995</v>
      </c>
      <c r="K257" s="832">
        <v>42565.0</v>
      </c>
      <c r="L257" s="258">
        <v>42556.0</v>
      </c>
      <c r="M257" s="266" t="s">
        <v>9554</v>
      </c>
      <c r="N257" s="252"/>
      <c r="O257" s="581"/>
      <c r="P257" s="310">
        <v>4805.0</v>
      </c>
      <c r="Q257" s="330"/>
      <c r="R257" s="330"/>
      <c r="S257" s="631"/>
      <c r="T257" s="771">
        <v>42542.0</v>
      </c>
      <c r="U257" s="252" t="s">
        <v>9555</v>
      </c>
      <c r="V257" s="1135">
        <v>4085.0</v>
      </c>
      <c r="W257" s="832"/>
      <c r="X257" s="320" t="s">
        <v>9556</v>
      </c>
      <c r="Y257" s="1140"/>
      <c r="Z257" s="1140"/>
      <c r="AA257" s="1140"/>
      <c r="AB257" s="1141" t="s">
        <v>284</v>
      </c>
    </row>
    <row r="258" ht="15.75" customHeight="1">
      <c r="A258" s="258">
        <v>42684.0</v>
      </c>
      <c r="B258" s="578" t="s">
        <v>5073</v>
      </c>
      <c r="C258" s="252" t="s">
        <v>9557</v>
      </c>
      <c r="D258" s="310" t="s">
        <v>9558</v>
      </c>
      <c r="E258" s="578" t="s">
        <v>6704</v>
      </c>
      <c r="F258" s="581">
        <v>1.0</v>
      </c>
      <c r="G258" s="581">
        <v>2102.0</v>
      </c>
      <c r="H258" s="267">
        <f t="shared" si="12"/>
        <v>2102</v>
      </c>
      <c r="I258" s="256" t="s">
        <v>3474</v>
      </c>
      <c r="J258" s="777" t="s">
        <v>3749</v>
      </c>
      <c r="K258" s="832">
        <v>42727.0</v>
      </c>
      <c r="L258" s="258">
        <v>42727.0</v>
      </c>
      <c r="M258" s="403" t="s">
        <v>3593</v>
      </c>
      <c r="N258" s="252" t="s">
        <v>9559</v>
      </c>
      <c r="O258" s="581"/>
      <c r="P258" s="1010">
        <v>64219.0</v>
      </c>
      <c r="Q258" s="320" t="s">
        <v>6122</v>
      </c>
      <c r="R258" s="330"/>
      <c r="S258" s="1145">
        <v>42799.0</v>
      </c>
      <c r="T258" s="771">
        <v>42726.0</v>
      </c>
      <c r="U258" s="252" t="s">
        <v>9560</v>
      </c>
      <c r="V258" s="1135">
        <v>64219.0</v>
      </c>
      <c r="W258" s="832">
        <v>42801.0</v>
      </c>
      <c r="X258" s="310" t="s">
        <v>9561</v>
      </c>
      <c r="Y258" s="1141"/>
      <c r="Z258" s="1152"/>
      <c r="AA258" s="1141"/>
      <c r="AB258" s="1140" t="s">
        <v>284</v>
      </c>
    </row>
    <row r="259" ht="15.75" customHeight="1">
      <c r="A259" s="258">
        <v>42507.0</v>
      </c>
      <c r="B259" s="578" t="s">
        <v>101</v>
      </c>
      <c r="C259" s="765" t="s">
        <v>9562</v>
      </c>
      <c r="D259" s="310" t="s">
        <v>9563</v>
      </c>
      <c r="E259" s="310" t="s">
        <v>6305</v>
      </c>
      <c r="F259" s="581">
        <v>2.0</v>
      </c>
      <c r="G259" s="267">
        <v>62.0</v>
      </c>
      <c r="H259" s="267">
        <f t="shared" si="12"/>
        <v>124</v>
      </c>
      <c r="I259" s="256" t="s">
        <v>171</v>
      </c>
      <c r="J259" s="777" t="s">
        <v>5995</v>
      </c>
      <c r="K259" s="832">
        <v>42521.0</v>
      </c>
      <c r="L259" s="256" t="s">
        <v>9564</v>
      </c>
      <c r="M259" s="403" t="s">
        <v>6935</v>
      </c>
      <c r="N259" s="252" t="s">
        <v>9565</v>
      </c>
      <c r="O259" s="581"/>
      <c r="P259" s="310">
        <v>2199.0</v>
      </c>
      <c r="Q259" s="320" t="s">
        <v>2172</v>
      </c>
      <c r="R259" s="330"/>
      <c r="S259" s="1133">
        <v>42509.0</v>
      </c>
      <c r="T259" s="771">
        <v>42510.0</v>
      </c>
      <c r="U259" s="252" t="s">
        <v>9566</v>
      </c>
      <c r="V259" s="1135">
        <v>2199.0</v>
      </c>
      <c r="W259" s="832">
        <v>42509.0</v>
      </c>
      <c r="X259" s="252" t="s">
        <v>9567</v>
      </c>
      <c r="Y259" s="1140"/>
      <c r="Z259" s="1140"/>
      <c r="AA259" s="1140"/>
      <c r="AB259" s="1141" t="s">
        <v>8661</v>
      </c>
    </row>
    <row r="260" ht="15.75" customHeight="1">
      <c r="A260" s="258">
        <v>42507.0</v>
      </c>
      <c r="B260" s="578" t="s">
        <v>101</v>
      </c>
      <c r="C260" s="765" t="s">
        <v>9562</v>
      </c>
      <c r="D260" s="310" t="s">
        <v>9563</v>
      </c>
      <c r="E260" s="310" t="s">
        <v>8671</v>
      </c>
      <c r="F260" s="581">
        <v>1.0</v>
      </c>
      <c r="G260" s="267">
        <v>83.0</v>
      </c>
      <c r="H260" s="267">
        <f t="shared" si="12"/>
        <v>83</v>
      </c>
      <c r="I260" s="256" t="s">
        <v>171</v>
      </c>
      <c r="J260" s="777" t="s">
        <v>5995</v>
      </c>
      <c r="K260" s="832">
        <v>42521.0</v>
      </c>
      <c r="L260" s="258"/>
      <c r="M260" s="403"/>
      <c r="N260" s="252"/>
      <c r="O260" s="581"/>
      <c r="P260" s="310">
        <v>2590.0</v>
      </c>
      <c r="Q260" s="310"/>
      <c r="R260" s="330"/>
      <c r="S260" s="768">
        <v>42560.0</v>
      </c>
      <c r="T260" s="771">
        <v>42530.0</v>
      </c>
      <c r="U260" s="252" t="s">
        <v>9568</v>
      </c>
      <c r="V260" s="1030">
        <v>2590.0</v>
      </c>
      <c r="W260" s="832">
        <v>42563.0</v>
      </c>
      <c r="X260" s="252" t="s">
        <v>9567</v>
      </c>
      <c r="Y260" s="1140"/>
      <c r="Z260" s="1140"/>
      <c r="AA260" s="1140"/>
      <c r="AB260" s="1141" t="s">
        <v>8661</v>
      </c>
    </row>
    <row r="261" ht="15.75" customHeight="1">
      <c r="A261" s="258">
        <v>42507.0</v>
      </c>
      <c r="B261" s="340" t="s">
        <v>77</v>
      </c>
      <c r="C261" s="765">
        <v>458.0</v>
      </c>
      <c r="D261" s="310" t="s">
        <v>9569</v>
      </c>
      <c r="E261" s="310" t="s">
        <v>6644</v>
      </c>
      <c r="F261" s="581">
        <v>20.0</v>
      </c>
      <c r="G261" s="267">
        <v>3.0</v>
      </c>
      <c r="H261" s="267">
        <f t="shared" si="12"/>
        <v>60</v>
      </c>
      <c r="I261" s="256" t="s">
        <v>171</v>
      </c>
      <c r="J261" s="269" t="s">
        <v>316</v>
      </c>
      <c r="K261" s="258">
        <v>42529.0</v>
      </c>
      <c r="L261" s="258">
        <v>42528.0</v>
      </c>
      <c r="M261" s="333" t="s">
        <v>3769</v>
      </c>
      <c r="N261" s="265" t="s">
        <v>3717</v>
      </c>
      <c r="O261" s="581"/>
      <c r="P261" s="310"/>
      <c r="Q261" s="320"/>
      <c r="R261" s="310" t="s">
        <v>9570</v>
      </c>
      <c r="S261" s="631"/>
      <c r="T261" s="310" t="s">
        <v>9570</v>
      </c>
      <c r="U261" s="310" t="s">
        <v>9570</v>
      </c>
      <c r="V261" s="310" t="s">
        <v>9570</v>
      </c>
      <c r="W261" s="832"/>
      <c r="X261" s="320" t="s">
        <v>9571</v>
      </c>
      <c r="Y261" s="1140"/>
      <c r="Z261" s="1140"/>
      <c r="AA261" s="1140"/>
      <c r="AB261" s="320" t="s">
        <v>284</v>
      </c>
    </row>
    <row r="262" ht="15.75" customHeight="1">
      <c r="A262" s="258">
        <v>42507.0</v>
      </c>
      <c r="B262" s="340" t="s">
        <v>77</v>
      </c>
      <c r="C262" s="765">
        <v>458.0</v>
      </c>
      <c r="D262" s="310" t="s">
        <v>9569</v>
      </c>
      <c r="E262" s="604" t="s">
        <v>8778</v>
      </c>
      <c r="F262" s="331">
        <v>5.0</v>
      </c>
      <c r="G262" s="254">
        <v>4.0</v>
      </c>
      <c r="H262" s="267">
        <f t="shared" si="12"/>
        <v>20</v>
      </c>
      <c r="I262" s="256" t="s">
        <v>171</v>
      </c>
      <c r="J262" s="269" t="s">
        <v>316</v>
      </c>
      <c r="K262" s="258">
        <v>42529.0</v>
      </c>
      <c r="L262" s="258">
        <v>42528.0</v>
      </c>
      <c r="M262" s="333" t="s">
        <v>3769</v>
      </c>
      <c r="N262" s="265" t="s">
        <v>3717</v>
      </c>
      <c r="O262" s="581"/>
      <c r="P262" s="310"/>
      <c r="Q262" s="320"/>
      <c r="R262" s="310" t="s">
        <v>9570</v>
      </c>
      <c r="S262" s="631"/>
      <c r="T262" s="310" t="s">
        <v>9570</v>
      </c>
      <c r="U262" s="310" t="s">
        <v>9570</v>
      </c>
      <c r="V262" s="310" t="s">
        <v>9570</v>
      </c>
      <c r="W262" s="832"/>
      <c r="X262" s="320" t="s">
        <v>9571</v>
      </c>
      <c r="Y262" s="1140"/>
      <c r="Z262" s="1140"/>
      <c r="AA262" s="1140"/>
      <c r="AB262" s="320" t="s">
        <v>284</v>
      </c>
    </row>
    <row r="263" ht="15.75" customHeight="1">
      <c r="A263" s="258">
        <v>42507.0</v>
      </c>
      <c r="B263" s="340" t="s">
        <v>77</v>
      </c>
      <c r="C263" s="765">
        <v>458.0</v>
      </c>
      <c r="D263" s="310" t="s">
        <v>9569</v>
      </c>
      <c r="E263" s="604" t="s">
        <v>8775</v>
      </c>
      <c r="F263" s="331">
        <v>5.0</v>
      </c>
      <c r="G263" s="254">
        <v>4.0</v>
      </c>
      <c r="H263" s="267">
        <f t="shared" si="12"/>
        <v>20</v>
      </c>
      <c r="I263" s="256" t="s">
        <v>171</v>
      </c>
      <c r="J263" s="269" t="s">
        <v>316</v>
      </c>
      <c r="K263" s="258">
        <v>42529.0</v>
      </c>
      <c r="L263" s="258">
        <v>42528.0</v>
      </c>
      <c r="M263" s="333" t="s">
        <v>3769</v>
      </c>
      <c r="N263" s="265" t="s">
        <v>3717</v>
      </c>
      <c r="O263" s="581"/>
      <c r="P263" s="310"/>
      <c r="Q263" s="320"/>
      <c r="R263" s="310" t="s">
        <v>9570</v>
      </c>
      <c r="S263" s="631"/>
      <c r="T263" s="310" t="s">
        <v>9570</v>
      </c>
      <c r="U263" s="310" t="s">
        <v>9570</v>
      </c>
      <c r="V263" s="310" t="s">
        <v>9570</v>
      </c>
      <c r="W263" s="832"/>
      <c r="X263" s="320" t="s">
        <v>9571</v>
      </c>
      <c r="Y263" s="1140"/>
      <c r="Z263" s="1140"/>
      <c r="AA263" s="1140"/>
      <c r="AB263" s="320" t="s">
        <v>284</v>
      </c>
    </row>
    <row r="264" ht="15.75" customHeight="1">
      <c r="A264" s="258">
        <v>42509.0</v>
      </c>
      <c r="B264" s="578" t="s">
        <v>6548</v>
      </c>
      <c r="C264" s="765"/>
      <c r="D264" s="330" t="s">
        <v>8764</v>
      </c>
      <c r="E264" s="578" t="s">
        <v>9572</v>
      </c>
      <c r="F264" s="581">
        <v>3.0</v>
      </c>
      <c r="G264" s="267">
        <v>75.0</v>
      </c>
      <c r="H264" s="267">
        <f t="shared" si="12"/>
        <v>225</v>
      </c>
      <c r="I264" s="256" t="s">
        <v>171</v>
      </c>
      <c r="J264" s="333" t="s">
        <v>8766</v>
      </c>
      <c r="K264" s="258">
        <v>42544.0</v>
      </c>
      <c r="L264" s="258"/>
      <c r="M264" s="333"/>
      <c r="N264" s="252"/>
      <c r="O264" s="581"/>
      <c r="P264" s="330"/>
      <c r="Q264" s="320"/>
      <c r="R264" s="330" t="s">
        <v>8770</v>
      </c>
      <c r="S264" s="631"/>
      <c r="T264" s="809"/>
      <c r="U264" s="839"/>
      <c r="V264" s="1033"/>
      <c r="W264" s="1163"/>
      <c r="X264" s="320" t="s">
        <v>8772</v>
      </c>
      <c r="Y264" s="1140"/>
      <c r="Z264" s="1140"/>
      <c r="AA264" s="1140"/>
      <c r="AB264" s="1141"/>
    </row>
    <row r="265" ht="15.75" customHeight="1">
      <c r="A265" s="258">
        <v>42509.0</v>
      </c>
      <c r="B265" s="578" t="s">
        <v>6548</v>
      </c>
      <c r="C265" s="765"/>
      <c r="D265" s="330" t="s">
        <v>8764</v>
      </c>
      <c r="E265" s="259" t="s">
        <v>9573</v>
      </c>
      <c r="F265" s="581">
        <v>2.0</v>
      </c>
      <c r="G265" s="267">
        <v>70.0</v>
      </c>
      <c r="H265" s="267">
        <f t="shared" si="12"/>
        <v>140</v>
      </c>
      <c r="I265" s="256" t="s">
        <v>171</v>
      </c>
      <c r="J265" s="333" t="s">
        <v>8766</v>
      </c>
      <c r="K265" s="258">
        <v>42544.0</v>
      </c>
      <c r="L265" s="258"/>
      <c r="M265" s="333"/>
      <c r="N265" s="252"/>
      <c r="O265" s="581"/>
      <c r="P265" s="330"/>
      <c r="Q265" s="320"/>
      <c r="R265" s="330" t="s">
        <v>8770</v>
      </c>
      <c r="S265" s="631"/>
      <c r="T265" s="809"/>
      <c r="U265" s="839"/>
      <c r="V265" s="1033"/>
      <c r="W265" s="1163"/>
      <c r="X265" s="320" t="s">
        <v>8772</v>
      </c>
      <c r="Y265" s="1140"/>
      <c r="Z265" s="1140"/>
      <c r="AA265" s="1140"/>
      <c r="AB265" s="1141"/>
    </row>
    <row r="266" ht="15.75" customHeight="1">
      <c r="A266" s="258">
        <v>42509.0</v>
      </c>
      <c r="B266" s="578" t="s">
        <v>6548</v>
      </c>
      <c r="C266" s="765"/>
      <c r="D266" s="330" t="s">
        <v>8764</v>
      </c>
      <c r="E266" s="259" t="s">
        <v>9574</v>
      </c>
      <c r="F266" s="581">
        <v>2.0</v>
      </c>
      <c r="G266" s="267">
        <v>90.0</v>
      </c>
      <c r="H266" s="267">
        <f t="shared" si="12"/>
        <v>180</v>
      </c>
      <c r="I266" s="256" t="s">
        <v>171</v>
      </c>
      <c r="J266" s="333" t="s">
        <v>8766</v>
      </c>
      <c r="K266" s="258">
        <v>42544.0</v>
      </c>
      <c r="L266" s="258"/>
      <c r="M266" s="333"/>
      <c r="N266" s="252"/>
      <c r="O266" s="581"/>
      <c r="P266" s="330"/>
      <c r="Q266" s="320"/>
      <c r="R266" s="330" t="s">
        <v>8770</v>
      </c>
      <c r="S266" s="631"/>
      <c r="T266" s="809"/>
      <c r="U266" s="839"/>
      <c r="V266" s="1033"/>
      <c r="W266" s="1163"/>
      <c r="X266" s="320" t="s">
        <v>8772</v>
      </c>
      <c r="Y266" s="1140"/>
      <c r="Z266" s="1140"/>
      <c r="AA266" s="1140"/>
      <c r="AB266" s="1141"/>
    </row>
    <row r="267" ht="15.75" customHeight="1">
      <c r="A267" s="258">
        <v>42509.0</v>
      </c>
      <c r="B267" s="340" t="s">
        <v>77</v>
      </c>
      <c r="C267" s="765">
        <v>467.0</v>
      </c>
      <c r="D267" s="310" t="s">
        <v>9575</v>
      </c>
      <c r="E267" s="578" t="s">
        <v>9576</v>
      </c>
      <c r="F267" s="581">
        <v>8.0</v>
      </c>
      <c r="G267" s="267">
        <v>184.0</v>
      </c>
      <c r="H267" s="267">
        <f t="shared" si="12"/>
        <v>1472</v>
      </c>
      <c r="I267" s="256" t="s">
        <v>171</v>
      </c>
      <c r="J267" s="269" t="s">
        <v>316</v>
      </c>
      <c r="K267" s="832">
        <v>42516.0</v>
      </c>
      <c r="L267" s="258">
        <v>42514.0</v>
      </c>
      <c r="M267" s="403" t="s">
        <v>1998</v>
      </c>
      <c r="N267" s="252" t="s">
        <v>9577</v>
      </c>
      <c r="O267" s="581">
        <v>1386.0</v>
      </c>
      <c r="P267" s="310">
        <v>45309.0</v>
      </c>
      <c r="Q267" s="310" t="s">
        <v>2000</v>
      </c>
      <c r="R267" s="330"/>
      <c r="S267" s="768">
        <v>42618.0</v>
      </c>
      <c r="T267" s="771">
        <v>42515.0</v>
      </c>
      <c r="U267" s="252" t="s">
        <v>9578</v>
      </c>
      <c r="V267" s="1135">
        <v>45309.0</v>
      </c>
      <c r="W267" s="832">
        <v>42619.0</v>
      </c>
      <c r="X267" s="320" t="s">
        <v>9536</v>
      </c>
      <c r="Y267" s="1140"/>
      <c r="Z267" s="1140"/>
      <c r="AA267" s="1140"/>
      <c r="AB267" s="320" t="s">
        <v>284</v>
      </c>
    </row>
    <row r="268" ht="15.75" customHeight="1">
      <c r="A268" s="258">
        <v>42509.0</v>
      </c>
      <c r="B268" s="340" t="s">
        <v>77</v>
      </c>
      <c r="C268" s="765">
        <v>467.0</v>
      </c>
      <c r="D268" s="310" t="s">
        <v>9575</v>
      </c>
      <c r="E268" s="578" t="s">
        <v>9579</v>
      </c>
      <c r="F268" s="581">
        <v>8.0</v>
      </c>
      <c r="G268" s="267">
        <v>17.0</v>
      </c>
      <c r="H268" s="267">
        <f t="shared" si="12"/>
        <v>136</v>
      </c>
      <c r="I268" s="256" t="s">
        <v>171</v>
      </c>
      <c r="J268" s="269" t="s">
        <v>316</v>
      </c>
      <c r="K268" s="832">
        <v>42516.0</v>
      </c>
      <c r="L268" s="258">
        <v>42514.0</v>
      </c>
      <c r="M268" s="403" t="s">
        <v>1998</v>
      </c>
      <c r="N268" s="252" t="s">
        <v>9577</v>
      </c>
      <c r="O268" s="581">
        <v>108.96</v>
      </c>
      <c r="P268" s="310">
        <v>3570.0</v>
      </c>
      <c r="Q268" s="310" t="s">
        <v>2000</v>
      </c>
      <c r="R268" s="330"/>
      <c r="S268" s="768">
        <v>42618.0</v>
      </c>
      <c r="T268" s="771">
        <v>42516.0</v>
      </c>
      <c r="U268" s="252" t="s">
        <v>9580</v>
      </c>
      <c r="V268" s="1135">
        <v>3570.0</v>
      </c>
      <c r="W268" s="832">
        <v>42619.0</v>
      </c>
      <c r="X268" s="320" t="s">
        <v>9536</v>
      </c>
      <c r="Y268" s="1140"/>
      <c r="Z268" s="1140"/>
      <c r="AA268" s="1140"/>
      <c r="AB268" s="320" t="s">
        <v>284</v>
      </c>
    </row>
    <row r="269" ht="15.75" customHeight="1">
      <c r="A269" s="258">
        <v>42509.0</v>
      </c>
      <c r="B269" s="340" t="s">
        <v>77</v>
      </c>
      <c r="C269" s="765">
        <v>467.0</v>
      </c>
      <c r="D269" s="310" t="s">
        <v>9575</v>
      </c>
      <c r="E269" s="578" t="s">
        <v>9579</v>
      </c>
      <c r="F269" s="581">
        <v>2.0</v>
      </c>
      <c r="G269" s="267">
        <v>17.0</v>
      </c>
      <c r="H269" s="267">
        <f t="shared" si="12"/>
        <v>34</v>
      </c>
      <c r="I269" s="256" t="s">
        <v>171</v>
      </c>
      <c r="J269" s="269" t="s">
        <v>316</v>
      </c>
      <c r="K269" s="832">
        <v>42529.0</v>
      </c>
      <c r="L269" s="258">
        <v>42528.0</v>
      </c>
      <c r="M269" s="403" t="s">
        <v>1998</v>
      </c>
      <c r="N269" s="252" t="s">
        <v>9577</v>
      </c>
      <c r="O269" s="581">
        <v>27.24</v>
      </c>
      <c r="P269" s="310">
        <v>884.0</v>
      </c>
      <c r="Q269" s="310" t="s">
        <v>2000</v>
      </c>
      <c r="R269" s="330"/>
      <c r="S269" s="768">
        <v>42618.0</v>
      </c>
      <c r="T269" s="771">
        <v>42529.0</v>
      </c>
      <c r="U269" s="252" t="s">
        <v>9581</v>
      </c>
      <c r="V269" s="256">
        <v>884.0</v>
      </c>
      <c r="W269" s="832">
        <v>42619.0</v>
      </c>
      <c r="X269" s="320" t="s">
        <v>9571</v>
      </c>
      <c r="Y269" s="1140"/>
      <c r="Z269" s="1140"/>
      <c r="AA269" s="1140"/>
      <c r="AB269" s="320" t="s">
        <v>284</v>
      </c>
    </row>
    <row r="270" ht="15.75" customHeight="1">
      <c r="A270" s="258">
        <v>42510.0</v>
      </c>
      <c r="B270" s="578" t="s">
        <v>6167</v>
      </c>
      <c r="C270" s="765">
        <v>7.000121486E9</v>
      </c>
      <c r="D270" s="310" t="s">
        <v>9582</v>
      </c>
      <c r="E270" s="578" t="s">
        <v>6596</v>
      </c>
      <c r="F270" s="581">
        <v>5.0</v>
      </c>
      <c r="G270" s="267">
        <v>116.0</v>
      </c>
      <c r="H270" s="267">
        <f t="shared" si="12"/>
        <v>580</v>
      </c>
      <c r="I270" s="256" t="s">
        <v>171</v>
      </c>
      <c r="J270" s="403" t="s">
        <v>3623</v>
      </c>
      <c r="K270" s="258">
        <v>42516.0</v>
      </c>
      <c r="L270" s="258">
        <v>42514.0</v>
      </c>
      <c r="M270" s="333" t="s">
        <v>6120</v>
      </c>
      <c r="N270" s="252" t="s">
        <v>9583</v>
      </c>
      <c r="O270" s="581"/>
      <c r="P270" s="310">
        <v>17010.0</v>
      </c>
      <c r="Q270" s="320" t="s">
        <v>8689</v>
      </c>
      <c r="R270" s="330"/>
      <c r="S270" s="768">
        <v>42526.0</v>
      </c>
      <c r="T270" s="771">
        <v>42514.0</v>
      </c>
      <c r="U270" s="252" t="s">
        <v>9584</v>
      </c>
      <c r="V270" s="1135">
        <v>17010.0</v>
      </c>
      <c r="W270" s="832">
        <v>42557.0</v>
      </c>
      <c r="X270" s="320" t="s">
        <v>9585</v>
      </c>
      <c r="Y270" s="1140"/>
      <c r="Z270" s="1140"/>
      <c r="AA270" s="1140"/>
      <c r="AB270" s="320" t="s">
        <v>284</v>
      </c>
    </row>
    <row r="271" ht="15.75" customHeight="1">
      <c r="A271" s="258">
        <v>42513.0</v>
      </c>
      <c r="B271" s="578" t="s">
        <v>101</v>
      </c>
      <c r="C271" s="765" t="s">
        <v>9586</v>
      </c>
      <c r="D271" s="310" t="s">
        <v>9587</v>
      </c>
      <c r="E271" s="578" t="s">
        <v>9588</v>
      </c>
      <c r="F271" s="581">
        <v>2.0</v>
      </c>
      <c r="G271" s="267">
        <v>784.0</v>
      </c>
      <c r="H271" s="267">
        <f t="shared" si="12"/>
        <v>1568</v>
      </c>
      <c r="I271" s="256" t="s">
        <v>171</v>
      </c>
      <c r="J271" s="777" t="s">
        <v>5995</v>
      </c>
      <c r="K271" s="258">
        <v>42551.0</v>
      </c>
      <c r="L271" s="258">
        <v>42551.0</v>
      </c>
      <c r="M271" s="403" t="s">
        <v>9489</v>
      </c>
      <c r="N271" s="252" t="s">
        <v>9589</v>
      </c>
      <c r="O271" s="339"/>
      <c r="P271" s="330">
        <v>47238.0</v>
      </c>
      <c r="Q271" s="310" t="s">
        <v>9491</v>
      </c>
      <c r="R271" s="330"/>
      <c r="S271" s="1133">
        <v>42523.0</v>
      </c>
      <c r="T271" s="771">
        <v>42550.0</v>
      </c>
      <c r="U271" s="252" t="s">
        <v>9590</v>
      </c>
      <c r="V271" s="1135">
        <v>47238.0</v>
      </c>
      <c r="W271" s="832">
        <v>42523.0</v>
      </c>
      <c r="X271" s="320" t="s">
        <v>9551</v>
      </c>
      <c r="Y271" s="1140"/>
      <c r="Z271" s="1140"/>
      <c r="AA271" s="1140"/>
      <c r="AB271" s="320" t="s">
        <v>284</v>
      </c>
    </row>
    <row r="272" ht="15.75" customHeight="1">
      <c r="A272" s="258">
        <v>42513.0</v>
      </c>
      <c r="B272" s="578" t="s">
        <v>101</v>
      </c>
      <c r="C272" s="765" t="s">
        <v>9586</v>
      </c>
      <c r="D272" s="310" t="s">
        <v>9591</v>
      </c>
      <c r="E272" s="578" t="s">
        <v>9592</v>
      </c>
      <c r="F272" s="581">
        <v>1.0</v>
      </c>
      <c r="G272" s="267">
        <v>140.0</v>
      </c>
      <c r="H272" s="267">
        <f t="shared" si="12"/>
        <v>140</v>
      </c>
      <c r="I272" s="256" t="s">
        <v>171</v>
      </c>
      <c r="J272" s="777" t="s">
        <v>5995</v>
      </c>
      <c r="K272" s="258">
        <v>42551.0</v>
      </c>
      <c r="L272" s="258"/>
      <c r="M272" s="333" t="s">
        <v>2032</v>
      </c>
      <c r="N272" s="252"/>
      <c r="O272" s="581"/>
      <c r="P272" s="331" t="s">
        <v>9593</v>
      </c>
      <c r="Q272" s="310"/>
      <c r="R272" s="330"/>
      <c r="S272" s="768">
        <v>42586.0</v>
      </c>
      <c r="T272" s="771">
        <v>42556.0</v>
      </c>
      <c r="U272" s="252" t="s">
        <v>9552</v>
      </c>
      <c r="V272" s="1135" t="s">
        <v>9594</v>
      </c>
      <c r="W272" s="832">
        <v>42592.0</v>
      </c>
      <c r="X272" s="1141"/>
      <c r="Y272" s="1140"/>
      <c r="Z272" s="1140"/>
      <c r="AA272" s="1140"/>
      <c r="AB272" s="320" t="s">
        <v>284</v>
      </c>
    </row>
    <row r="273" ht="15.75" customHeight="1">
      <c r="A273" s="258">
        <v>42514.0</v>
      </c>
      <c r="B273" s="578" t="s">
        <v>101</v>
      </c>
      <c r="C273" s="765" t="s">
        <v>9595</v>
      </c>
      <c r="D273" s="310" t="s">
        <v>9596</v>
      </c>
      <c r="E273" s="604" t="s">
        <v>8839</v>
      </c>
      <c r="F273" s="331">
        <v>10.0</v>
      </c>
      <c r="G273" s="254">
        <v>141.0</v>
      </c>
      <c r="H273" s="267">
        <f t="shared" si="12"/>
        <v>1410</v>
      </c>
      <c r="I273" s="256" t="s">
        <v>171</v>
      </c>
      <c r="J273" s="777" t="s">
        <v>5995</v>
      </c>
      <c r="K273" s="258">
        <v>42537.0</v>
      </c>
      <c r="L273" s="258">
        <v>42535.0</v>
      </c>
      <c r="M273" s="333" t="s">
        <v>3593</v>
      </c>
      <c r="N273" s="252" t="s">
        <v>9597</v>
      </c>
      <c r="O273" s="581"/>
      <c r="P273" s="310">
        <v>45392.0</v>
      </c>
      <c r="Q273" s="320" t="s">
        <v>8689</v>
      </c>
      <c r="R273" s="330"/>
      <c r="S273" s="768">
        <v>42587.0</v>
      </c>
      <c r="T273" s="771">
        <v>42536.0</v>
      </c>
      <c r="U273" s="252" t="s">
        <v>9598</v>
      </c>
      <c r="V273" s="1135">
        <v>45392.0</v>
      </c>
      <c r="W273" s="832">
        <v>42586.0</v>
      </c>
      <c r="X273" s="320" t="s">
        <v>9599</v>
      </c>
      <c r="Y273" s="1140"/>
      <c r="Z273" s="1140"/>
      <c r="AA273" s="1140"/>
      <c r="AB273" s="320" t="s">
        <v>284</v>
      </c>
    </row>
    <row r="274" ht="15.75" customHeight="1">
      <c r="A274" s="258">
        <v>42515.0</v>
      </c>
      <c r="B274" s="604" t="s">
        <v>9000</v>
      </c>
      <c r="C274" s="765">
        <v>7.000121616E9</v>
      </c>
      <c r="D274" s="310" t="s">
        <v>9600</v>
      </c>
      <c r="E274" s="578" t="s">
        <v>9601</v>
      </c>
      <c r="F274" s="581">
        <v>2.0</v>
      </c>
      <c r="G274" s="267">
        <v>23.5</v>
      </c>
      <c r="H274" s="267">
        <f t="shared" si="12"/>
        <v>47</v>
      </c>
      <c r="I274" s="256" t="s">
        <v>171</v>
      </c>
      <c r="J274" s="403" t="s">
        <v>3623</v>
      </c>
      <c r="K274" s="832">
        <v>42523.0</v>
      </c>
      <c r="L274" s="258">
        <v>42521.0</v>
      </c>
      <c r="M274" s="333" t="s">
        <v>3593</v>
      </c>
      <c r="N274" s="252" t="s">
        <v>9602</v>
      </c>
      <c r="O274" s="581"/>
      <c r="P274" s="310">
        <v>1344.0</v>
      </c>
      <c r="Q274" s="320" t="s">
        <v>8689</v>
      </c>
      <c r="R274" s="330"/>
      <c r="S274" s="768">
        <v>42556.0</v>
      </c>
      <c r="T274" s="771">
        <v>42521.0</v>
      </c>
      <c r="U274" s="252" t="s">
        <v>9603</v>
      </c>
      <c r="V274" s="1135">
        <v>1344.0</v>
      </c>
      <c r="W274" s="832">
        <v>42557.0</v>
      </c>
      <c r="X274" s="320" t="s">
        <v>9604</v>
      </c>
      <c r="Y274" s="1140"/>
      <c r="Z274" s="1140"/>
      <c r="AA274" s="1140"/>
      <c r="AB274" s="320" t="s">
        <v>284</v>
      </c>
    </row>
    <row r="275" ht="15.75" customHeight="1">
      <c r="A275" s="601">
        <v>42340.0</v>
      </c>
      <c r="B275" s="604" t="s">
        <v>101</v>
      </c>
      <c r="C275" s="330"/>
      <c r="D275" s="330" t="s">
        <v>8707</v>
      </c>
      <c r="E275" s="604" t="s">
        <v>9605</v>
      </c>
      <c r="F275" s="330">
        <v>5.0</v>
      </c>
      <c r="G275" s="330">
        <v>1166.0</v>
      </c>
      <c r="H275" s="1061">
        <f>F275*G275</f>
        <v>5830</v>
      </c>
      <c r="I275" s="256" t="s">
        <v>171</v>
      </c>
      <c r="J275" s="777" t="s">
        <v>8708</v>
      </c>
      <c r="K275" s="258">
        <v>42380.0</v>
      </c>
      <c r="L275" s="258">
        <v>42377.0</v>
      </c>
      <c r="M275" s="369" t="s">
        <v>2034</v>
      </c>
      <c r="N275" s="330" t="s">
        <v>9606</v>
      </c>
      <c r="O275" s="330"/>
      <c r="P275" s="310">
        <v>189525.0</v>
      </c>
      <c r="Q275" s="388" t="s">
        <v>6086</v>
      </c>
      <c r="R275" s="330"/>
      <c r="S275" s="580">
        <v>42434.0</v>
      </c>
      <c r="T275" s="631">
        <v>42376.0</v>
      </c>
      <c r="U275" s="388" t="s">
        <v>9607</v>
      </c>
      <c r="V275" s="845">
        <v>189525.0</v>
      </c>
      <c r="W275" s="1139">
        <v>42436.0</v>
      </c>
      <c r="X275" s="388" t="s">
        <v>8802</v>
      </c>
      <c r="Y275" s="1140"/>
      <c r="Z275" s="1140"/>
      <c r="AA275" s="1140"/>
      <c r="AB275" s="1140" t="s">
        <v>284</v>
      </c>
    </row>
    <row r="276" ht="15.75" customHeight="1">
      <c r="A276" s="258">
        <v>42516.0</v>
      </c>
      <c r="B276" s="578" t="s">
        <v>101</v>
      </c>
      <c r="C276" s="765" t="s">
        <v>9608</v>
      </c>
      <c r="D276" s="310" t="s">
        <v>9609</v>
      </c>
      <c r="E276" s="310" t="s">
        <v>6305</v>
      </c>
      <c r="F276" s="581">
        <v>6.0</v>
      </c>
      <c r="G276" s="267">
        <v>62.0</v>
      </c>
      <c r="H276" s="267">
        <f t="shared" ref="H276:H291" si="13">G276*F276</f>
        <v>372</v>
      </c>
      <c r="I276" s="256" t="s">
        <v>171</v>
      </c>
      <c r="J276" s="777" t="s">
        <v>5995</v>
      </c>
      <c r="K276" s="258">
        <v>42537.0</v>
      </c>
      <c r="L276" s="266" t="s">
        <v>9610</v>
      </c>
      <c r="M276" s="403" t="s">
        <v>6935</v>
      </c>
      <c r="N276" s="252" t="s">
        <v>9611</v>
      </c>
      <c r="O276" s="581"/>
      <c r="P276" s="310">
        <v>6187.0</v>
      </c>
      <c r="Q276" s="320" t="s">
        <v>2172</v>
      </c>
      <c r="R276" s="330"/>
      <c r="S276" s="631"/>
      <c r="T276" s="771">
        <v>42528.0</v>
      </c>
      <c r="U276" s="252" t="s">
        <v>9612</v>
      </c>
      <c r="V276" s="1135">
        <v>6187.0</v>
      </c>
      <c r="W276" s="832">
        <v>42527.0</v>
      </c>
      <c r="X276" s="320" t="s">
        <v>9599</v>
      </c>
      <c r="Y276" s="1140"/>
      <c r="Z276" s="1140"/>
      <c r="AA276" s="1140"/>
      <c r="AB276" s="320" t="s">
        <v>284</v>
      </c>
    </row>
    <row r="277" ht="15.75" customHeight="1">
      <c r="A277" s="258">
        <v>42516.0</v>
      </c>
      <c r="B277" s="578" t="s">
        <v>101</v>
      </c>
      <c r="C277" s="765" t="s">
        <v>9608</v>
      </c>
      <c r="D277" s="310" t="s">
        <v>9609</v>
      </c>
      <c r="E277" s="765" t="s">
        <v>9613</v>
      </c>
      <c r="F277" s="581">
        <v>1.0</v>
      </c>
      <c r="G277" s="267">
        <v>169.0</v>
      </c>
      <c r="H277" s="267">
        <f t="shared" si="13"/>
        <v>169</v>
      </c>
      <c r="I277" s="256" t="s">
        <v>171</v>
      </c>
      <c r="J277" s="777" t="s">
        <v>5995</v>
      </c>
      <c r="K277" s="258">
        <v>42537.0</v>
      </c>
      <c r="L277" s="258"/>
      <c r="M277" s="403"/>
      <c r="N277" s="252"/>
      <c r="O277" s="581"/>
      <c r="P277" s="330">
        <v>4934.0</v>
      </c>
      <c r="Q277" s="310"/>
      <c r="R277" s="330"/>
      <c r="S277" s="768">
        <v>42575.0</v>
      </c>
      <c r="T277" s="1132">
        <v>42545.0</v>
      </c>
      <c r="U277" s="320" t="s">
        <v>9614</v>
      </c>
      <c r="V277" s="1135">
        <v>4934.0</v>
      </c>
      <c r="W277" s="832">
        <v>42563.0</v>
      </c>
      <c r="X277" s="320" t="s">
        <v>9599</v>
      </c>
      <c r="Y277" s="1140"/>
      <c r="Z277" s="1140"/>
      <c r="AA277" s="1140"/>
      <c r="AB277" s="320" t="s">
        <v>284</v>
      </c>
    </row>
    <row r="278" ht="15.75" customHeight="1">
      <c r="A278" s="258">
        <v>42516.0</v>
      </c>
      <c r="B278" s="578" t="s">
        <v>8749</v>
      </c>
      <c r="C278" s="765" t="s">
        <v>9615</v>
      </c>
      <c r="D278" s="310" t="s">
        <v>9616</v>
      </c>
      <c r="E278" s="330" t="s">
        <v>8752</v>
      </c>
      <c r="F278" s="581">
        <v>1.0</v>
      </c>
      <c r="G278" s="267">
        <v>101.85</v>
      </c>
      <c r="H278" s="267">
        <f t="shared" si="13"/>
        <v>101.85</v>
      </c>
      <c r="I278" s="266" t="s">
        <v>43</v>
      </c>
      <c r="J278" s="403" t="s">
        <v>90</v>
      </c>
      <c r="K278" s="258">
        <v>42528.0</v>
      </c>
      <c r="L278" s="258"/>
      <c r="M278" s="403" t="s">
        <v>90</v>
      </c>
      <c r="N278" s="252" t="s">
        <v>9617</v>
      </c>
      <c r="O278" s="581">
        <v>89.25</v>
      </c>
      <c r="P278" s="330"/>
      <c r="Q278" s="310" t="s">
        <v>6081</v>
      </c>
      <c r="R278" s="330"/>
      <c r="S278" s="1085">
        <v>42590.0</v>
      </c>
      <c r="T278" s="771">
        <v>42524.0</v>
      </c>
      <c r="U278" s="252" t="s">
        <v>9618</v>
      </c>
      <c r="V278" s="1135">
        <v>2909.0</v>
      </c>
      <c r="W278" s="832">
        <v>42590.0</v>
      </c>
      <c r="X278" s="320" t="s">
        <v>9619</v>
      </c>
      <c r="Y278" s="310" t="s">
        <v>9620</v>
      </c>
      <c r="Z278" s="1146">
        <v>3299.0</v>
      </c>
      <c r="AA278" s="388" t="s">
        <v>9621</v>
      </c>
      <c r="AB278" s="1141"/>
    </row>
    <row r="279" ht="15.75" customHeight="1">
      <c r="A279" s="258">
        <v>42527.0</v>
      </c>
      <c r="B279" s="604" t="s">
        <v>631</v>
      </c>
      <c r="C279" s="765" t="s">
        <v>9622</v>
      </c>
      <c r="D279" s="310" t="s">
        <v>9623</v>
      </c>
      <c r="E279" s="604" t="s">
        <v>6110</v>
      </c>
      <c r="F279" s="331">
        <v>125.0</v>
      </c>
      <c r="G279" s="331">
        <v>109.2</v>
      </c>
      <c r="H279" s="267">
        <f t="shared" si="13"/>
        <v>13650</v>
      </c>
      <c r="I279" s="256" t="s">
        <v>171</v>
      </c>
      <c r="J279" s="403" t="s">
        <v>90</v>
      </c>
      <c r="K279" s="258">
        <v>42565.0</v>
      </c>
      <c r="L279" s="258"/>
      <c r="M279" s="403" t="s">
        <v>90</v>
      </c>
      <c r="N279" s="252" t="s">
        <v>9624</v>
      </c>
      <c r="O279" s="1061">
        <v>11773.125</v>
      </c>
      <c r="P279" s="330"/>
      <c r="Q279" s="310" t="s">
        <v>6081</v>
      </c>
      <c r="R279" s="330"/>
      <c r="S279" s="768">
        <v>42618.0</v>
      </c>
      <c r="T279" s="771">
        <v>42565.0</v>
      </c>
      <c r="U279" s="320" t="s">
        <v>9625</v>
      </c>
      <c r="V279" s="1135">
        <v>379271.0</v>
      </c>
      <c r="W279" s="832">
        <v>42608.0</v>
      </c>
      <c r="X279" s="320" t="s">
        <v>9626</v>
      </c>
      <c r="Y279" s="388" t="s">
        <v>9627</v>
      </c>
      <c r="Z279" s="1146">
        <v>651553.0</v>
      </c>
      <c r="AA279" s="388" t="s">
        <v>9217</v>
      </c>
      <c r="AB279" s="1141"/>
    </row>
    <row r="280" ht="15.75" customHeight="1">
      <c r="A280" s="258">
        <v>42527.0</v>
      </c>
      <c r="B280" s="578" t="s">
        <v>6761</v>
      </c>
      <c r="C280" s="765">
        <v>36710.0</v>
      </c>
      <c r="D280" s="310" t="s">
        <v>9628</v>
      </c>
      <c r="E280" s="578" t="s">
        <v>4780</v>
      </c>
      <c r="F280" s="581">
        <v>17.0</v>
      </c>
      <c r="G280" s="267">
        <v>90.0</v>
      </c>
      <c r="H280" s="267">
        <f t="shared" si="13"/>
        <v>1530</v>
      </c>
      <c r="I280" s="256" t="s">
        <v>3474</v>
      </c>
      <c r="J280" s="333" t="s">
        <v>6763</v>
      </c>
      <c r="K280" s="258">
        <v>42537.0</v>
      </c>
      <c r="L280" s="258">
        <v>42535.0</v>
      </c>
      <c r="M280" s="403" t="s">
        <v>90</v>
      </c>
      <c r="N280" s="252" t="s">
        <v>9629</v>
      </c>
      <c r="O280" s="581">
        <v>1410.15</v>
      </c>
      <c r="P280" s="330"/>
      <c r="Q280" s="310" t="s">
        <v>6081</v>
      </c>
      <c r="R280" s="330"/>
      <c r="S280" s="768">
        <v>42590.0</v>
      </c>
      <c r="T280" s="771">
        <v>42534.0</v>
      </c>
      <c r="U280" s="252" t="s">
        <v>9630</v>
      </c>
      <c r="V280" s="1030">
        <v>45731.0</v>
      </c>
      <c r="W280" s="832">
        <v>42590.0</v>
      </c>
      <c r="X280" s="320" t="s">
        <v>9631</v>
      </c>
      <c r="Y280" s="1140"/>
      <c r="Z280" s="1140"/>
      <c r="AA280" s="1140"/>
      <c r="AB280" s="320" t="s">
        <v>284</v>
      </c>
    </row>
    <row r="281" ht="15.75" customHeight="1">
      <c r="A281" s="258">
        <v>42534.0</v>
      </c>
      <c r="B281" s="578" t="s">
        <v>5985</v>
      </c>
      <c r="C281" s="765"/>
      <c r="D281" s="310" t="s">
        <v>9632</v>
      </c>
      <c r="E281" s="578" t="s">
        <v>6002</v>
      </c>
      <c r="F281" s="581">
        <v>2.0</v>
      </c>
      <c r="G281" s="267">
        <v>465.0</v>
      </c>
      <c r="H281" s="267">
        <f t="shared" si="13"/>
        <v>930</v>
      </c>
      <c r="I281" s="256" t="s">
        <v>171</v>
      </c>
      <c r="J281" s="403" t="s">
        <v>5995</v>
      </c>
      <c r="K281" s="1011">
        <v>42555.0</v>
      </c>
      <c r="L281" s="258">
        <v>42538.0</v>
      </c>
      <c r="M281" s="403" t="s">
        <v>6003</v>
      </c>
      <c r="N281" s="252" t="s">
        <v>6004</v>
      </c>
      <c r="O281" s="581"/>
      <c r="P281" s="310">
        <v>27300.0</v>
      </c>
      <c r="Q281" s="310" t="s">
        <v>6005</v>
      </c>
      <c r="R281" s="330"/>
      <c r="S281" s="631"/>
      <c r="T281" s="771">
        <v>42537.0</v>
      </c>
      <c r="U281" s="252" t="s">
        <v>9633</v>
      </c>
      <c r="V281" s="1135">
        <v>40950.0</v>
      </c>
      <c r="W281" s="832">
        <v>42534.0</v>
      </c>
      <c r="X281" s="320" t="s">
        <v>6021</v>
      </c>
      <c r="Y281" s="1140"/>
      <c r="Z281" s="1140"/>
      <c r="AA281" s="1140"/>
      <c r="AB281" s="1140" t="s">
        <v>284</v>
      </c>
    </row>
    <row r="282" ht="15.75" customHeight="1">
      <c r="A282" s="258">
        <v>42534.0</v>
      </c>
      <c r="B282" s="578" t="s">
        <v>5985</v>
      </c>
      <c r="C282" s="765"/>
      <c r="D282" s="310" t="s">
        <v>9632</v>
      </c>
      <c r="E282" s="578" t="s">
        <v>6006</v>
      </c>
      <c r="F282" s="581">
        <v>1.0</v>
      </c>
      <c r="G282" s="267">
        <v>501.0</v>
      </c>
      <c r="H282" s="267">
        <f t="shared" si="13"/>
        <v>501</v>
      </c>
      <c r="I282" s="256" t="s">
        <v>171</v>
      </c>
      <c r="J282" s="403" t="s">
        <v>5995</v>
      </c>
      <c r="K282" s="1011">
        <v>42555.0</v>
      </c>
      <c r="L282" s="258">
        <v>42541.0</v>
      </c>
      <c r="M282" s="403" t="s">
        <v>6007</v>
      </c>
      <c r="N282" s="252" t="s">
        <v>6008</v>
      </c>
      <c r="O282" s="581"/>
      <c r="P282" s="310">
        <v>14737.0</v>
      </c>
      <c r="Q282" s="310" t="s">
        <v>6009</v>
      </c>
      <c r="R282" s="330"/>
      <c r="S282" s="631"/>
      <c r="T282" s="771">
        <v>42538.0</v>
      </c>
      <c r="U282" s="252" t="s">
        <v>9634</v>
      </c>
      <c r="V282" s="1135">
        <v>29475.0</v>
      </c>
      <c r="W282" s="832">
        <v>42535.0</v>
      </c>
      <c r="X282" s="320" t="s">
        <v>6021</v>
      </c>
      <c r="Y282" s="1140"/>
      <c r="Z282" s="1140"/>
      <c r="AA282" s="1140"/>
      <c r="AB282" s="1140" t="s">
        <v>284</v>
      </c>
    </row>
    <row r="283" ht="15.75" customHeight="1">
      <c r="A283" s="258">
        <v>42534.0</v>
      </c>
      <c r="B283" s="578" t="s">
        <v>5985</v>
      </c>
      <c r="C283" s="765"/>
      <c r="D283" s="310" t="s">
        <v>9632</v>
      </c>
      <c r="E283" s="578" t="s">
        <v>9635</v>
      </c>
      <c r="F283" s="581">
        <v>4.0</v>
      </c>
      <c r="G283" s="267">
        <v>111.0</v>
      </c>
      <c r="H283" s="267">
        <f t="shared" si="13"/>
        <v>444</v>
      </c>
      <c r="I283" s="256" t="s">
        <v>171</v>
      </c>
      <c r="J283" s="403" t="s">
        <v>5995</v>
      </c>
      <c r="K283" s="1011">
        <v>42555.0</v>
      </c>
      <c r="L283" s="258">
        <v>42549.0</v>
      </c>
      <c r="M283" s="403" t="s">
        <v>2170</v>
      </c>
      <c r="N283" s="252" t="s">
        <v>9636</v>
      </c>
      <c r="O283" s="581"/>
      <c r="P283" s="310">
        <v>13364.0</v>
      </c>
      <c r="Q283" s="310" t="s">
        <v>2172</v>
      </c>
      <c r="R283" s="330"/>
      <c r="S283" s="631"/>
      <c r="T283" s="771">
        <v>42548.0</v>
      </c>
      <c r="U283" s="252" t="s">
        <v>9637</v>
      </c>
      <c r="V283" s="1135">
        <v>28384.0</v>
      </c>
      <c r="W283" s="832">
        <v>42544.0</v>
      </c>
      <c r="X283" s="320" t="s">
        <v>6021</v>
      </c>
      <c r="Y283" s="1140"/>
      <c r="Z283" s="1140"/>
      <c r="AA283" s="1140"/>
      <c r="AB283" s="1140" t="s">
        <v>284</v>
      </c>
    </row>
    <row r="284" ht="15.75" customHeight="1">
      <c r="A284" s="258">
        <v>42534.0</v>
      </c>
      <c r="B284" s="578" t="s">
        <v>5985</v>
      </c>
      <c r="C284" s="765"/>
      <c r="D284" s="310" t="s">
        <v>9632</v>
      </c>
      <c r="E284" s="578" t="s">
        <v>9638</v>
      </c>
      <c r="F284" s="581">
        <v>6.0</v>
      </c>
      <c r="G284" s="267">
        <v>84.5</v>
      </c>
      <c r="H284" s="267">
        <f t="shared" si="13"/>
        <v>507</v>
      </c>
      <c r="I284" s="256" t="s">
        <v>171</v>
      </c>
      <c r="J284" s="403" t="s">
        <v>5995</v>
      </c>
      <c r="K284" s="1011">
        <v>42555.0</v>
      </c>
      <c r="L284" s="258">
        <v>42549.0</v>
      </c>
      <c r="M284" s="403" t="s">
        <v>2170</v>
      </c>
      <c r="N284" s="252" t="s">
        <v>9636</v>
      </c>
      <c r="O284" s="581"/>
      <c r="P284" s="310">
        <v>15020.0</v>
      </c>
      <c r="Q284" s="320" t="s">
        <v>2172</v>
      </c>
      <c r="R284" s="330"/>
      <c r="S284" s="631"/>
      <c r="T284" s="771">
        <v>42548.0</v>
      </c>
      <c r="U284" s="252" t="s">
        <v>9637</v>
      </c>
      <c r="V284" s="1135" t="s">
        <v>9639</v>
      </c>
      <c r="W284" s="832">
        <v>42544.0</v>
      </c>
      <c r="X284" s="320" t="s">
        <v>6021</v>
      </c>
      <c r="Y284" s="1140"/>
      <c r="Z284" s="1140"/>
      <c r="AA284" s="1140"/>
      <c r="AB284" s="1140" t="s">
        <v>284</v>
      </c>
    </row>
    <row r="285" ht="15.75" customHeight="1">
      <c r="A285" s="258">
        <v>42534.0</v>
      </c>
      <c r="B285" s="578" t="s">
        <v>5985</v>
      </c>
      <c r="C285" s="765"/>
      <c r="D285" s="310" t="s">
        <v>9632</v>
      </c>
      <c r="E285" s="578" t="s">
        <v>9640</v>
      </c>
      <c r="F285" s="581">
        <v>4.0</v>
      </c>
      <c r="G285" s="267">
        <v>86.0</v>
      </c>
      <c r="H285" s="267">
        <f t="shared" si="13"/>
        <v>344</v>
      </c>
      <c r="I285" s="256" t="s">
        <v>171</v>
      </c>
      <c r="J285" s="403" t="s">
        <v>5995</v>
      </c>
      <c r="K285" s="1011">
        <v>42555.0</v>
      </c>
      <c r="L285" s="258">
        <v>42550.0</v>
      </c>
      <c r="M285" s="403" t="s">
        <v>9641</v>
      </c>
      <c r="N285" s="252" t="s">
        <v>9642</v>
      </c>
      <c r="O285" s="581"/>
      <c r="P285" s="310">
        <v>10210.0</v>
      </c>
      <c r="Q285" s="320" t="s">
        <v>2127</v>
      </c>
      <c r="R285" s="330"/>
      <c r="S285" s="631"/>
      <c r="T285" s="771">
        <v>42549.0</v>
      </c>
      <c r="U285" s="252" t="s">
        <v>9643</v>
      </c>
      <c r="V285" s="1135">
        <v>10210.0</v>
      </c>
      <c r="W285" s="832">
        <v>42544.0</v>
      </c>
      <c r="X285" s="320" t="s">
        <v>6021</v>
      </c>
      <c r="Y285" s="1140"/>
      <c r="Z285" s="1140"/>
      <c r="AA285" s="1140"/>
      <c r="AB285" s="1140" t="s">
        <v>284</v>
      </c>
    </row>
    <row r="286" ht="15.75" customHeight="1">
      <c r="A286" s="258">
        <v>42534.0</v>
      </c>
      <c r="B286" s="578" t="s">
        <v>5985</v>
      </c>
      <c r="C286" s="765"/>
      <c r="D286" s="310" t="s">
        <v>9632</v>
      </c>
      <c r="E286" s="578" t="s">
        <v>9644</v>
      </c>
      <c r="F286" s="581">
        <v>6.0</v>
      </c>
      <c r="G286" s="267">
        <v>59.0</v>
      </c>
      <c r="H286" s="267">
        <f t="shared" si="13"/>
        <v>354</v>
      </c>
      <c r="I286" s="256" t="s">
        <v>171</v>
      </c>
      <c r="J286" s="403" t="s">
        <v>5995</v>
      </c>
      <c r="K286" s="1011">
        <v>42555.0</v>
      </c>
      <c r="L286" s="258">
        <v>42549.0</v>
      </c>
      <c r="M286" s="403" t="s">
        <v>9645</v>
      </c>
      <c r="N286" s="252" t="s">
        <v>9646</v>
      </c>
      <c r="O286" s="581"/>
      <c r="P286" s="310">
        <v>10395.0</v>
      </c>
      <c r="Q286" s="310" t="s">
        <v>9647</v>
      </c>
      <c r="R286" s="330"/>
      <c r="S286" s="631"/>
      <c r="T286" s="771">
        <v>42545.0</v>
      </c>
      <c r="U286" s="252" t="s">
        <v>9648</v>
      </c>
      <c r="V286" s="1135">
        <v>10395.0</v>
      </c>
      <c r="W286" s="832">
        <v>42544.0</v>
      </c>
      <c r="X286" s="320" t="s">
        <v>6021</v>
      </c>
      <c r="Y286" s="1140"/>
      <c r="Z286" s="1140"/>
      <c r="AA286" s="1140"/>
      <c r="AB286" s="1140" t="s">
        <v>284</v>
      </c>
    </row>
    <row r="287" ht="15.75" customHeight="1">
      <c r="A287" s="258">
        <v>42534.0</v>
      </c>
      <c r="B287" s="340" t="s">
        <v>77</v>
      </c>
      <c r="C287" s="765">
        <v>548.0</v>
      </c>
      <c r="D287" s="310" t="s">
        <v>9649</v>
      </c>
      <c r="E287" s="578" t="s">
        <v>9650</v>
      </c>
      <c r="F287" s="581">
        <v>1.0</v>
      </c>
      <c r="G287" s="267">
        <v>106.0</v>
      </c>
      <c r="H287" s="267">
        <f t="shared" si="13"/>
        <v>106</v>
      </c>
      <c r="I287" s="256" t="s">
        <v>171</v>
      </c>
      <c r="J287" s="403" t="s">
        <v>6698</v>
      </c>
      <c r="K287" s="258">
        <v>42544.0</v>
      </c>
      <c r="L287" s="258">
        <v>42542.0</v>
      </c>
      <c r="M287" s="403" t="s">
        <v>3489</v>
      </c>
      <c r="N287" s="252" t="s">
        <v>9651</v>
      </c>
      <c r="O287" s="581"/>
      <c r="P287" s="310">
        <v>3266.0</v>
      </c>
      <c r="Q287" s="330" t="s">
        <v>9071</v>
      </c>
      <c r="R287" s="330"/>
      <c r="S287" s="631"/>
      <c r="T287" s="771">
        <v>42542.0</v>
      </c>
      <c r="U287" s="252" t="s">
        <v>9652</v>
      </c>
      <c r="V287" s="1135">
        <v>3266.0</v>
      </c>
      <c r="W287" s="832">
        <v>42557.0</v>
      </c>
      <c r="X287" s="320" t="s">
        <v>9653</v>
      </c>
      <c r="Y287" s="1140"/>
      <c r="Z287" s="1140"/>
      <c r="AA287" s="1140"/>
      <c r="AB287" s="320" t="s">
        <v>284</v>
      </c>
    </row>
    <row r="288" ht="15.75" customHeight="1">
      <c r="A288" s="258">
        <v>42534.0</v>
      </c>
      <c r="B288" s="578" t="s">
        <v>416</v>
      </c>
      <c r="C288" s="765" t="s">
        <v>9654</v>
      </c>
      <c r="D288" s="310" t="s">
        <v>9655</v>
      </c>
      <c r="E288" s="578" t="s">
        <v>3591</v>
      </c>
      <c r="F288" s="581">
        <v>5.0</v>
      </c>
      <c r="G288" s="267">
        <v>352.0</v>
      </c>
      <c r="H288" s="267">
        <f t="shared" si="13"/>
        <v>1760</v>
      </c>
      <c r="I288" s="256" t="s">
        <v>171</v>
      </c>
      <c r="J288" s="333" t="s">
        <v>9656</v>
      </c>
      <c r="K288" s="258">
        <v>42555.0</v>
      </c>
      <c r="L288" s="258">
        <v>42545.0</v>
      </c>
      <c r="M288" s="333" t="s">
        <v>3593</v>
      </c>
      <c r="N288" s="252" t="s">
        <v>9657</v>
      </c>
      <c r="O288" s="581"/>
      <c r="P288" s="310">
        <v>52006.0</v>
      </c>
      <c r="Q288" s="320" t="s">
        <v>8689</v>
      </c>
      <c r="R288" s="330"/>
      <c r="S288" s="768">
        <v>42587.0</v>
      </c>
      <c r="T288" s="771">
        <v>42536.0</v>
      </c>
      <c r="U288" s="252" t="s">
        <v>9658</v>
      </c>
      <c r="V288" s="1174" t="s">
        <v>9659</v>
      </c>
      <c r="W288" s="832">
        <v>42586.0</v>
      </c>
      <c r="X288" s="320" t="s">
        <v>9660</v>
      </c>
      <c r="Y288" s="1140"/>
      <c r="Z288" s="1140"/>
      <c r="AA288" s="1140"/>
      <c r="AB288" s="1141" t="s">
        <v>8661</v>
      </c>
    </row>
    <row r="289" ht="15.75" customHeight="1">
      <c r="A289" s="258">
        <v>42534.0</v>
      </c>
      <c r="B289" s="578" t="s">
        <v>416</v>
      </c>
      <c r="C289" s="765" t="s">
        <v>9654</v>
      </c>
      <c r="D289" s="310" t="s">
        <v>9655</v>
      </c>
      <c r="E289" s="578" t="s">
        <v>9661</v>
      </c>
      <c r="F289" s="581">
        <v>6.0</v>
      </c>
      <c r="G289" s="267">
        <v>60.0</v>
      </c>
      <c r="H289" s="267">
        <f t="shared" si="13"/>
        <v>360</v>
      </c>
      <c r="I289" s="256" t="s">
        <v>171</v>
      </c>
      <c r="J289" s="333" t="s">
        <v>9656</v>
      </c>
      <c r="K289" s="258">
        <v>42555.0</v>
      </c>
      <c r="L289" s="258">
        <v>42549.0</v>
      </c>
      <c r="M289" s="333" t="s">
        <v>2086</v>
      </c>
      <c r="N289" s="252" t="s">
        <v>9662</v>
      </c>
      <c r="O289" s="581"/>
      <c r="P289" s="310">
        <v>7560.0</v>
      </c>
      <c r="Q289" s="388" t="s">
        <v>9663</v>
      </c>
      <c r="R289" s="330"/>
      <c r="S289" s="631"/>
      <c r="T289" s="771">
        <v>42550.0</v>
      </c>
      <c r="U289" s="252" t="s">
        <v>9664</v>
      </c>
      <c r="V289" s="1135">
        <v>7560.0</v>
      </c>
      <c r="W289" s="832">
        <v>42544.0</v>
      </c>
      <c r="X289" s="320" t="s">
        <v>9660</v>
      </c>
      <c r="Y289" s="1140"/>
      <c r="Z289" s="1140"/>
      <c r="AA289" s="1140"/>
      <c r="AB289" s="1141" t="s">
        <v>8661</v>
      </c>
    </row>
    <row r="290" ht="15.75" customHeight="1">
      <c r="A290" s="258">
        <v>42534.0</v>
      </c>
      <c r="B290" s="578" t="s">
        <v>416</v>
      </c>
      <c r="C290" s="765" t="s">
        <v>9654</v>
      </c>
      <c r="D290" s="310" t="s">
        <v>9665</v>
      </c>
      <c r="E290" s="578" t="s">
        <v>3591</v>
      </c>
      <c r="F290" s="581">
        <v>1.0</v>
      </c>
      <c r="G290" s="267">
        <v>352.0</v>
      </c>
      <c r="H290" s="267">
        <f t="shared" si="13"/>
        <v>352</v>
      </c>
      <c r="I290" s="256" t="s">
        <v>171</v>
      </c>
      <c r="J290" s="333" t="s">
        <v>9197</v>
      </c>
      <c r="K290" s="258">
        <v>42604.0</v>
      </c>
      <c r="L290" s="258">
        <v>42600.0</v>
      </c>
      <c r="M290" s="333" t="s">
        <v>3593</v>
      </c>
      <c r="N290" s="252" t="s">
        <v>9657</v>
      </c>
      <c r="O290" s="581"/>
      <c r="P290" s="310">
        <v>10401.0</v>
      </c>
      <c r="Q290" s="320" t="s">
        <v>8689</v>
      </c>
      <c r="R290" s="330"/>
      <c r="S290" s="768">
        <v>42648.0</v>
      </c>
      <c r="T290" s="771">
        <v>42599.0</v>
      </c>
      <c r="U290" s="252" t="s">
        <v>9666</v>
      </c>
      <c r="V290" s="1135">
        <v>10401.0</v>
      </c>
      <c r="W290" s="832">
        <v>42634.0</v>
      </c>
      <c r="X290" s="320" t="s">
        <v>9667</v>
      </c>
      <c r="Y290" s="1140"/>
      <c r="Z290" s="1140"/>
      <c r="AA290" s="1140"/>
      <c r="AB290" s="1141" t="s">
        <v>8661</v>
      </c>
    </row>
    <row r="291" ht="15.75" customHeight="1">
      <c r="A291" s="258">
        <v>42534.0</v>
      </c>
      <c r="B291" s="578" t="s">
        <v>5073</v>
      </c>
      <c r="C291" s="765" t="s">
        <v>9255</v>
      </c>
      <c r="D291" s="310" t="s">
        <v>9256</v>
      </c>
      <c r="E291" s="578" t="s">
        <v>9668</v>
      </c>
      <c r="F291" s="581">
        <v>32.0</v>
      </c>
      <c r="G291" s="267">
        <v>129.0</v>
      </c>
      <c r="H291" s="267">
        <f t="shared" si="13"/>
        <v>4128</v>
      </c>
      <c r="I291" s="256" t="s">
        <v>3474</v>
      </c>
      <c r="J291" s="333" t="s">
        <v>8684</v>
      </c>
      <c r="K291" s="258">
        <v>42604.0</v>
      </c>
      <c r="L291" s="258">
        <v>42569.0</v>
      </c>
      <c r="M291" s="403" t="s">
        <v>3593</v>
      </c>
      <c r="N291" s="252" t="s">
        <v>9669</v>
      </c>
      <c r="O291" s="581"/>
      <c r="P291" s="310">
        <v>124925.0</v>
      </c>
      <c r="Q291" s="310" t="s">
        <v>8689</v>
      </c>
      <c r="R291" s="330"/>
      <c r="S291" s="768">
        <v>42597.0</v>
      </c>
      <c r="T291" s="771">
        <v>42566.0</v>
      </c>
      <c r="U291" s="252" t="s">
        <v>9670</v>
      </c>
      <c r="V291" s="1135">
        <v>124925.0</v>
      </c>
      <c r="W291" s="832"/>
      <c r="X291" s="320" t="s">
        <v>9260</v>
      </c>
      <c r="Y291" s="1140"/>
      <c r="Z291" s="1140"/>
      <c r="AA291" s="1140"/>
      <c r="AB291" s="320" t="s">
        <v>284</v>
      </c>
    </row>
    <row r="292" ht="15.75" customHeight="1">
      <c r="A292" s="601">
        <v>42342.0</v>
      </c>
      <c r="B292" s="604" t="s">
        <v>101</v>
      </c>
      <c r="C292" s="765" t="s">
        <v>8727</v>
      </c>
      <c r="D292" s="330" t="s">
        <v>8728</v>
      </c>
      <c r="E292" s="578" t="s">
        <v>9671</v>
      </c>
      <c r="F292" s="330">
        <v>1.0</v>
      </c>
      <c r="G292" s="404">
        <v>1012.0</v>
      </c>
      <c r="H292" s="1061">
        <f>F292*G292</f>
        <v>1012</v>
      </c>
      <c r="I292" s="256" t="s">
        <v>171</v>
      </c>
      <c r="J292" s="333" t="s">
        <v>8708</v>
      </c>
      <c r="K292" s="258">
        <v>42398.0</v>
      </c>
      <c r="L292" s="258">
        <v>42398.0</v>
      </c>
      <c r="M292" s="269" t="s">
        <v>1439</v>
      </c>
      <c r="N292" s="765" t="s">
        <v>8730</v>
      </c>
      <c r="O292" s="330"/>
      <c r="P292" s="581">
        <f>910*1.05*32.688</f>
        <v>31233.384</v>
      </c>
      <c r="Q292" s="388" t="s">
        <v>8714</v>
      </c>
      <c r="R292" s="330"/>
      <c r="S292" s="631">
        <v>42382.0</v>
      </c>
      <c r="T292" s="769">
        <v>42396.0</v>
      </c>
      <c r="U292" s="310" t="s">
        <v>8715</v>
      </c>
      <c r="V292" s="845" t="s">
        <v>8720</v>
      </c>
      <c r="W292" s="1143">
        <v>42373.0</v>
      </c>
      <c r="X292" s="388" t="s">
        <v>8716</v>
      </c>
      <c r="Y292" s="1140"/>
      <c r="Z292" s="1140"/>
      <c r="AA292" s="1140"/>
      <c r="AB292" s="1140" t="s">
        <v>8661</v>
      </c>
    </row>
    <row r="293" ht="27.0" customHeight="1">
      <c r="A293" s="258">
        <v>42534.0</v>
      </c>
      <c r="B293" s="578" t="s">
        <v>5073</v>
      </c>
      <c r="C293" s="765" t="s">
        <v>9255</v>
      </c>
      <c r="D293" s="310" t="s">
        <v>9256</v>
      </c>
      <c r="E293" s="578" t="s">
        <v>9672</v>
      </c>
      <c r="F293" s="581">
        <v>32.0</v>
      </c>
      <c r="G293" s="267">
        <v>293.0</v>
      </c>
      <c r="H293" s="267">
        <f t="shared" ref="H293:H294" si="14">G293*F293</f>
        <v>9376</v>
      </c>
      <c r="I293" s="256" t="s">
        <v>3474</v>
      </c>
      <c r="J293" s="333" t="s">
        <v>8684</v>
      </c>
      <c r="K293" s="258">
        <v>42604.0</v>
      </c>
      <c r="L293" s="258">
        <v>42599.0</v>
      </c>
      <c r="M293" s="333" t="s">
        <v>90</v>
      </c>
      <c r="N293" s="252" t="s">
        <v>9673</v>
      </c>
      <c r="O293" s="581">
        <v>7635.264</v>
      </c>
      <c r="P293" s="330"/>
      <c r="Q293" s="320" t="s">
        <v>6081</v>
      </c>
      <c r="R293" s="330"/>
      <c r="S293" s="1145">
        <v>42618.0</v>
      </c>
      <c r="T293" s="771">
        <v>42599.0</v>
      </c>
      <c r="U293" s="252" t="s">
        <v>9674</v>
      </c>
      <c r="V293" s="1135">
        <v>240473.0</v>
      </c>
      <c r="W293" s="832">
        <v>42621.0</v>
      </c>
      <c r="X293" s="320" t="s">
        <v>9260</v>
      </c>
      <c r="Y293" s="1140"/>
      <c r="Z293" s="1140"/>
      <c r="AA293" s="1140"/>
      <c r="AB293" s="320" t="s">
        <v>284</v>
      </c>
    </row>
    <row r="294" ht="27.0" customHeight="1">
      <c r="A294" s="258">
        <v>42534.0</v>
      </c>
      <c r="B294" s="578" t="s">
        <v>3506</v>
      </c>
      <c r="C294" s="765"/>
      <c r="D294" s="310" t="s">
        <v>9675</v>
      </c>
      <c r="E294" s="578" t="s">
        <v>9676</v>
      </c>
      <c r="F294" s="581">
        <v>3.0</v>
      </c>
      <c r="G294" s="267">
        <v>1.0</v>
      </c>
      <c r="H294" s="267">
        <f t="shared" si="14"/>
        <v>3</v>
      </c>
      <c r="I294" s="256" t="s">
        <v>171</v>
      </c>
      <c r="J294" s="599" t="s">
        <v>3509</v>
      </c>
      <c r="K294" s="258">
        <v>42562.0</v>
      </c>
      <c r="L294" s="258">
        <v>42542.0</v>
      </c>
      <c r="M294" s="403" t="s">
        <v>90</v>
      </c>
      <c r="N294" s="252" t="s">
        <v>9677</v>
      </c>
      <c r="O294" s="581">
        <v>494.55</v>
      </c>
      <c r="P294" s="330"/>
      <c r="Q294" s="310" t="s">
        <v>6081</v>
      </c>
      <c r="R294" s="330"/>
      <c r="S294" s="768">
        <v>42590.0</v>
      </c>
      <c r="T294" s="1132">
        <v>42542.0</v>
      </c>
      <c r="U294" s="265" t="s">
        <v>9678</v>
      </c>
      <c r="V294" s="1135">
        <v>16014.0</v>
      </c>
      <c r="W294" s="832">
        <v>42590.0</v>
      </c>
      <c r="X294" s="320" t="s">
        <v>9425</v>
      </c>
      <c r="Y294" s="1140"/>
      <c r="Z294" s="1140"/>
      <c r="AA294" s="1140"/>
      <c r="AB294" s="320" t="s">
        <v>284</v>
      </c>
    </row>
    <row r="295" ht="15.75" customHeight="1">
      <c r="A295" s="258">
        <v>42534.0</v>
      </c>
      <c r="B295" s="578" t="s">
        <v>3506</v>
      </c>
      <c r="C295" s="765"/>
      <c r="D295" s="310" t="s">
        <v>9679</v>
      </c>
      <c r="E295" s="578" t="s">
        <v>9680</v>
      </c>
      <c r="F295" s="581">
        <v>1.0</v>
      </c>
      <c r="G295" s="267">
        <v>0.0</v>
      </c>
      <c r="H295" s="267">
        <v>0.0</v>
      </c>
      <c r="I295" s="256" t="s">
        <v>171</v>
      </c>
      <c r="J295" s="599" t="s">
        <v>3509</v>
      </c>
      <c r="K295" s="258">
        <v>42562.0</v>
      </c>
      <c r="L295" s="258">
        <v>42554.0</v>
      </c>
      <c r="M295" s="403"/>
      <c r="N295" s="252"/>
      <c r="O295" s="339"/>
      <c r="P295" s="330"/>
      <c r="Q295" s="320"/>
      <c r="R295" s="330"/>
      <c r="S295" s="631"/>
      <c r="T295" s="252" t="s">
        <v>9131</v>
      </c>
      <c r="U295" s="252" t="s">
        <v>9131</v>
      </c>
      <c r="V295" s="265" t="s">
        <v>9131</v>
      </c>
      <c r="W295" s="832"/>
      <c r="X295" s="320" t="s">
        <v>9425</v>
      </c>
      <c r="Y295" s="1140"/>
      <c r="Z295" s="1140"/>
      <c r="AA295" s="1140"/>
      <c r="AB295" s="320"/>
    </row>
    <row r="296" ht="15.75" customHeight="1">
      <c r="A296" s="258">
        <v>42535.0</v>
      </c>
      <c r="B296" s="578" t="s">
        <v>9681</v>
      </c>
      <c r="C296" s="765" t="s">
        <v>9682</v>
      </c>
      <c r="D296" s="310" t="s">
        <v>9683</v>
      </c>
      <c r="E296" s="578" t="s">
        <v>9684</v>
      </c>
      <c r="F296" s="581">
        <v>1.0</v>
      </c>
      <c r="G296" s="267">
        <v>603.0</v>
      </c>
      <c r="H296" s="267">
        <f t="shared" ref="H296:H307" si="15">G296*F296</f>
        <v>603</v>
      </c>
      <c r="I296" s="256" t="s">
        <v>3474</v>
      </c>
      <c r="J296" s="403" t="s">
        <v>9685</v>
      </c>
      <c r="K296" s="258">
        <v>42544.0</v>
      </c>
      <c r="L296" s="258">
        <v>42543.0</v>
      </c>
      <c r="M296" s="403" t="s">
        <v>9686</v>
      </c>
      <c r="N296" s="252" t="s">
        <v>9687</v>
      </c>
      <c r="O296" s="581"/>
      <c r="P296" s="310">
        <v>18480.0</v>
      </c>
      <c r="Q296" s="310" t="s">
        <v>9688</v>
      </c>
      <c r="R296" s="330"/>
      <c r="S296" s="631"/>
      <c r="T296" s="771">
        <v>42542.0</v>
      </c>
      <c r="U296" s="252" t="s">
        <v>9689</v>
      </c>
      <c r="V296" s="1135">
        <v>21032.0</v>
      </c>
      <c r="W296" s="832">
        <v>42542.0</v>
      </c>
      <c r="X296" s="320" t="s">
        <v>9690</v>
      </c>
      <c r="Y296" s="1140"/>
      <c r="Z296" s="1140"/>
      <c r="AA296" s="1140"/>
      <c r="AB296" s="1141"/>
    </row>
    <row r="297" ht="15.75" customHeight="1">
      <c r="A297" s="258">
        <v>42535.0</v>
      </c>
      <c r="B297" s="578" t="s">
        <v>9681</v>
      </c>
      <c r="C297" s="765" t="s">
        <v>9682</v>
      </c>
      <c r="D297" s="310" t="s">
        <v>9683</v>
      </c>
      <c r="E297" s="578" t="s">
        <v>9691</v>
      </c>
      <c r="F297" s="581">
        <v>6.0</v>
      </c>
      <c r="G297" s="267">
        <v>18.0</v>
      </c>
      <c r="H297" s="267">
        <f t="shared" si="15"/>
        <v>108</v>
      </c>
      <c r="I297" s="256" t="s">
        <v>3474</v>
      </c>
      <c r="J297" s="403" t="s">
        <v>9685</v>
      </c>
      <c r="K297" s="258">
        <v>42544.0</v>
      </c>
      <c r="L297" s="258">
        <v>42543.0</v>
      </c>
      <c r="M297" s="403" t="s">
        <v>9686</v>
      </c>
      <c r="N297" s="252" t="s">
        <v>9687</v>
      </c>
      <c r="O297" s="581"/>
      <c r="P297" s="310">
        <v>2552.0</v>
      </c>
      <c r="Q297" s="310" t="s">
        <v>9688</v>
      </c>
      <c r="R297" s="330"/>
      <c r="S297" s="631"/>
      <c r="T297" s="771">
        <v>42542.0</v>
      </c>
      <c r="U297" s="252" t="s">
        <v>9689</v>
      </c>
      <c r="V297" s="1135" t="s">
        <v>9692</v>
      </c>
      <c r="W297" s="832">
        <v>42542.0</v>
      </c>
      <c r="X297" s="320" t="s">
        <v>9690</v>
      </c>
      <c r="Y297" s="1140"/>
      <c r="Z297" s="1140"/>
      <c r="AA297" s="1140"/>
      <c r="AB297" s="1141"/>
    </row>
    <row r="298" ht="15.75" customHeight="1">
      <c r="A298" s="258">
        <v>42535.0</v>
      </c>
      <c r="B298" s="578" t="s">
        <v>9681</v>
      </c>
      <c r="C298" s="765" t="s">
        <v>9682</v>
      </c>
      <c r="D298" s="310" t="s">
        <v>9683</v>
      </c>
      <c r="E298" s="578" t="s">
        <v>700</v>
      </c>
      <c r="F298" s="581">
        <v>1.0</v>
      </c>
      <c r="G298" s="267">
        <f>25</f>
        <v>25</v>
      </c>
      <c r="H298" s="267">
        <f t="shared" si="15"/>
        <v>25</v>
      </c>
      <c r="I298" s="256" t="s">
        <v>3474</v>
      </c>
      <c r="J298" s="403"/>
      <c r="K298" s="258">
        <v>42544.0</v>
      </c>
      <c r="L298" s="630"/>
      <c r="M298" s="333"/>
      <c r="N298" s="252"/>
      <c r="O298" s="581"/>
      <c r="P298" s="600"/>
      <c r="Q298" s="320"/>
      <c r="R298" s="330"/>
      <c r="S298" s="631"/>
      <c r="T298" s="252" t="s">
        <v>5701</v>
      </c>
      <c r="U298" s="252" t="s">
        <v>5701</v>
      </c>
      <c r="V298" s="252" t="s">
        <v>5701</v>
      </c>
      <c r="W298" s="832"/>
      <c r="X298" s="320" t="s">
        <v>9690</v>
      </c>
      <c r="Y298" s="1140"/>
      <c r="Z298" s="1140"/>
      <c r="AA298" s="1140"/>
      <c r="AB298" s="1141"/>
    </row>
    <row r="299" ht="15.75" customHeight="1">
      <c r="A299" s="258">
        <v>42536.0</v>
      </c>
      <c r="B299" s="578" t="s">
        <v>6167</v>
      </c>
      <c r="C299" s="765">
        <v>7.000122101E9</v>
      </c>
      <c r="D299" s="310" t="s">
        <v>9693</v>
      </c>
      <c r="E299" s="578" t="s">
        <v>9694</v>
      </c>
      <c r="F299" s="581">
        <v>5.0</v>
      </c>
      <c r="G299" s="267">
        <v>116.0</v>
      </c>
      <c r="H299" s="267">
        <f t="shared" si="15"/>
        <v>580</v>
      </c>
      <c r="I299" s="256" t="s">
        <v>171</v>
      </c>
      <c r="J299" s="403" t="s">
        <v>6278</v>
      </c>
      <c r="K299" s="258">
        <v>42544.0</v>
      </c>
      <c r="L299" s="258">
        <v>42542.0</v>
      </c>
      <c r="M299" s="333" t="s">
        <v>6120</v>
      </c>
      <c r="N299" s="252" t="s">
        <v>9695</v>
      </c>
      <c r="O299" s="581"/>
      <c r="P299" s="310">
        <v>17005.0</v>
      </c>
      <c r="Q299" s="320" t="s">
        <v>8689</v>
      </c>
      <c r="R299" s="330"/>
      <c r="S299" s="768">
        <v>42587.0</v>
      </c>
      <c r="T299" s="771">
        <v>42541.0</v>
      </c>
      <c r="U299" s="252" t="s">
        <v>9696</v>
      </c>
      <c r="V299" s="1135">
        <v>17005.0</v>
      </c>
      <c r="W299" s="832">
        <v>42586.0</v>
      </c>
      <c r="X299" s="320" t="s">
        <v>9697</v>
      </c>
      <c r="Y299" s="1140"/>
      <c r="Z299" s="1140"/>
      <c r="AA299" s="1140"/>
      <c r="AB299" s="320" t="s">
        <v>284</v>
      </c>
    </row>
    <row r="300" ht="15.75" customHeight="1">
      <c r="A300" s="258">
        <v>42536.0</v>
      </c>
      <c r="B300" s="578" t="s">
        <v>229</v>
      </c>
      <c r="C300" s="765"/>
      <c r="D300" s="310" t="s">
        <v>9698</v>
      </c>
      <c r="E300" s="578" t="s">
        <v>462</v>
      </c>
      <c r="F300" s="581">
        <v>40.0</v>
      </c>
      <c r="G300" s="581">
        <v>449.4</v>
      </c>
      <c r="H300" s="267">
        <f t="shared" si="15"/>
        <v>17976</v>
      </c>
      <c r="I300" s="256" t="s">
        <v>171</v>
      </c>
      <c r="J300" s="403" t="s">
        <v>233</v>
      </c>
      <c r="K300" s="258">
        <v>42544.0</v>
      </c>
      <c r="L300" s="258"/>
      <c r="M300" s="403" t="s">
        <v>90</v>
      </c>
      <c r="N300" s="252" t="s">
        <v>9699</v>
      </c>
      <c r="O300" s="773">
        <v>16254.0</v>
      </c>
      <c r="P300" s="330"/>
      <c r="Q300" s="320" t="s">
        <v>6081</v>
      </c>
      <c r="R300" s="330"/>
      <c r="S300" s="768">
        <v>42590.0</v>
      </c>
      <c r="T300" s="771">
        <v>42544.0</v>
      </c>
      <c r="U300" s="252" t="s">
        <v>9700</v>
      </c>
      <c r="V300" s="1030">
        <v>500465.0</v>
      </c>
      <c r="W300" s="832">
        <v>42590.0</v>
      </c>
      <c r="X300" s="320" t="s">
        <v>9701</v>
      </c>
      <c r="Y300" s="599" t="s">
        <v>9702</v>
      </c>
      <c r="Z300" s="388">
        <v>578288.0</v>
      </c>
      <c r="AA300" s="310" t="s">
        <v>9703</v>
      </c>
      <c r="AB300" s="320"/>
    </row>
    <row r="301" ht="15.75" customHeight="1">
      <c r="A301" s="258">
        <v>42536.0</v>
      </c>
      <c r="B301" s="578" t="s">
        <v>101</v>
      </c>
      <c r="C301" s="765" t="s">
        <v>9704</v>
      </c>
      <c r="D301" s="310" t="s">
        <v>9705</v>
      </c>
      <c r="E301" s="604" t="s">
        <v>3567</v>
      </c>
      <c r="F301" s="331">
        <v>12.0</v>
      </c>
      <c r="G301" s="254">
        <v>80.0</v>
      </c>
      <c r="H301" s="267">
        <f t="shared" si="15"/>
        <v>960</v>
      </c>
      <c r="I301" s="256" t="s">
        <v>3474</v>
      </c>
      <c r="J301" s="403" t="s">
        <v>9706</v>
      </c>
      <c r="K301" s="258">
        <v>42569.0</v>
      </c>
      <c r="L301" s="258">
        <v>42565.0</v>
      </c>
      <c r="M301" s="333" t="s">
        <v>2034</v>
      </c>
      <c r="N301" s="403" t="s">
        <v>9707</v>
      </c>
      <c r="O301" s="581"/>
      <c r="P301" s="310">
        <v>30240.0</v>
      </c>
      <c r="Q301" s="320" t="s">
        <v>2036</v>
      </c>
      <c r="R301" s="330"/>
      <c r="S301" s="768">
        <v>42587.0</v>
      </c>
      <c r="T301" s="771">
        <v>42564.0</v>
      </c>
      <c r="U301" s="252" t="s">
        <v>9708</v>
      </c>
      <c r="V301" s="1135">
        <v>97965.0</v>
      </c>
      <c r="W301" s="832">
        <v>42586.0</v>
      </c>
      <c r="X301" s="320" t="s">
        <v>9709</v>
      </c>
      <c r="Y301" s="1140"/>
      <c r="Z301" s="1140"/>
      <c r="AA301" s="1140"/>
      <c r="AB301" s="320" t="s">
        <v>284</v>
      </c>
    </row>
    <row r="302" ht="15.75" customHeight="1">
      <c r="A302" s="258">
        <v>42536.0</v>
      </c>
      <c r="B302" s="578" t="s">
        <v>101</v>
      </c>
      <c r="C302" s="765" t="s">
        <v>9704</v>
      </c>
      <c r="D302" s="310" t="s">
        <v>9705</v>
      </c>
      <c r="E302" s="604" t="s">
        <v>3573</v>
      </c>
      <c r="F302" s="331">
        <v>12.0</v>
      </c>
      <c r="G302" s="254">
        <v>60.0</v>
      </c>
      <c r="H302" s="267">
        <f t="shared" si="15"/>
        <v>720</v>
      </c>
      <c r="I302" s="256" t="s">
        <v>3474</v>
      </c>
      <c r="J302" s="403" t="s">
        <v>9706</v>
      </c>
      <c r="K302" s="258">
        <v>42569.0</v>
      </c>
      <c r="L302" s="258">
        <v>42565.0</v>
      </c>
      <c r="M302" s="333" t="s">
        <v>2034</v>
      </c>
      <c r="N302" s="403" t="s">
        <v>9707</v>
      </c>
      <c r="O302" s="581"/>
      <c r="P302" s="310">
        <v>22680.0</v>
      </c>
      <c r="Q302" s="320" t="s">
        <v>2036</v>
      </c>
      <c r="R302" s="330"/>
      <c r="S302" s="768">
        <v>42587.0</v>
      </c>
      <c r="T302" s="771">
        <v>42564.0</v>
      </c>
      <c r="U302" s="252" t="s">
        <v>9708</v>
      </c>
      <c r="V302" s="1135" t="s">
        <v>7092</v>
      </c>
      <c r="W302" s="832">
        <v>42586.0</v>
      </c>
      <c r="X302" s="320" t="s">
        <v>9709</v>
      </c>
      <c r="Y302" s="1140"/>
      <c r="Z302" s="1140"/>
      <c r="AA302" s="1140"/>
      <c r="AB302" s="320" t="s">
        <v>284</v>
      </c>
    </row>
    <row r="303" ht="15.75" customHeight="1">
      <c r="A303" s="258">
        <v>42536.0</v>
      </c>
      <c r="B303" s="578" t="s">
        <v>101</v>
      </c>
      <c r="C303" s="765" t="s">
        <v>9704</v>
      </c>
      <c r="D303" s="310" t="s">
        <v>9705</v>
      </c>
      <c r="E303" s="604" t="s">
        <v>3575</v>
      </c>
      <c r="F303" s="331">
        <v>12.0</v>
      </c>
      <c r="G303" s="254">
        <v>116.0</v>
      </c>
      <c r="H303" s="267">
        <f t="shared" si="15"/>
        <v>1392</v>
      </c>
      <c r="I303" s="256" t="s">
        <v>3474</v>
      </c>
      <c r="J303" s="403" t="s">
        <v>9706</v>
      </c>
      <c r="K303" s="258">
        <v>42569.0</v>
      </c>
      <c r="L303" s="258">
        <v>42565.0</v>
      </c>
      <c r="M303" s="333" t="s">
        <v>2034</v>
      </c>
      <c r="N303" s="403" t="s">
        <v>9707</v>
      </c>
      <c r="O303" s="581"/>
      <c r="P303" s="310">
        <v>44100.0</v>
      </c>
      <c r="Q303" s="320" t="s">
        <v>2036</v>
      </c>
      <c r="R303" s="330"/>
      <c r="S303" s="768">
        <v>42587.0</v>
      </c>
      <c r="T303" s="771">
        <v>42564.0</v>
      </c>
      <c r="U303" s="252" t="s">
        <v>9708</v>
      </c>
      <c r="V303" s="1135" t="s">
        <v>7092</v>
      </c>
      <c r="W303" s="832">
        <v>42586.0</v>
      </c>
      <c r="X303" s="320" t="s">
        <v>9709</v>
      </c>
      <c r="Y303" s="1140"/>
      <c r="Z303" s="1140"/>
      <c r="AA303" s="1140"/>
      <c r="AB303" s="320" t="s">
        <v>284</v>
      </c>
    </row>
    <row r="304" ht="15.75" customHeight="1">
      <c r="A304" s="258">
        <v>42536.0</v>
      </c>
      <c r="B304" s="578" t="s">
        <v>101</v>
      </c>
      <c r="C304" s="765" t="s">
        <v>9704</v>
      </c>
      <c r="D304" s="310" t="s">
        <v>9705</v>
      </c>
      <c r="E304" s="604" t="s">
        <v>3576</v>
      </c>
      <c r="F304" s="331">
        <v>12.0</v>
      </c>
      <c r="G304" s="254">
        <v>2.0</v>
      </c>
      <c r="H304" s="267">
        <f t="shared" si="15"/>
        <v>24</v>
      </c>
      <c r="I304" s="256" t="s">
        <v>3474</v>
      </c>
      <c r="J304" s="403" t="s">
        <v>9706</v>
      </c>
      <c r="K304" s="258">
        <v>42569.0</v>
      </c>
      <c r="L304" s="266" t="s">
        <v>9710</v>
      </c>
      <c r="M304" s="403"/>
      <c r="N304" s="403"/>
      <c r="O304" s="581"/>
      <c r="P304" s="581" t="s">
        <v>6724</v>
      </c>
      <c r="Q304" s="310"/>
      <c r="R304" s="310" t="s">
        <v>6724</v>
      </c>
      <c r="S304" s="631"/>
      <c r="T304" s="310" t="s">
        <v>6724</v>
      </c>
      <c r="U304" s="310" t="s">
        <v>6724</v>
      </c>
      <c r="V304" s="310" t="s">
        <v>6724</v>
      </c>
      <c r="W304" s="1163"/>
      <c r="X304" s="320" t="s">
        <v>9709</v>
      </c>
      <c r="Y304" s="1140"/>
      <c r="Z304" s="1140"/>
      <c r="AA304" s="1140"/>
      <c r="AB304" s="320" t="s">
        <v>284</v>
      </c>
    </row>
    <row r="305" ht="15.75" customHeight="1">
      <c r="A305" s="258">
        <v>42536.0</v>
      </c>
      <c r="B305" s="578" t="s">
        <v>101</v>
      </c>
      <c r="C305" s="765" t="s">
        <v>9704</v>
      </c>
      <c r="D305" s="310" t="s">
        <v>9705</v>
      </c>
      <c r="E305" s="604" t="s">
        <v>3578</v>
      </c>
      <c r="F305" s="331">
        <v>12.0</v>
      </c>
      <c r="G305" s="254">
        <v>2.5</v>
      </c>
      <c r="H305" s="267">
        <f t="shared" si="15"/>
        <v>30</v>
      </c>
      <c r="I305" s="256" t="s">
        <v>3474</v>
      </c>
      <c r="J305" s="403" t="s">
        <v>9706</v>
      </c>
      <c r="K305" s="258">
        <v>42569.0</v>
      </c>
      <c r="L305" s="266" t="s">
        <v>9710</v>
      </c>
      <c r="M305" s="403"/>
      <c r="N305" s="403"/>
      <c r="O305" s="581"/>
      <c r="P305" s="581" t="s">
        <v>6724</v>
      </c>
      <c r="Q305" s="310"/>
      <c r="R305" s="330" t="s">
        <v>6727</v>
      </c>
      <c r="S305" s="631"/>
      <c r="T305" s="330" t="s">
        <v>6727</v>
      </c>
      <c r="U305" s="330" t="s">
        <v>6727</v>
      </c>
      <c r="V305" s="330" t="s">
        <v>6727</v>
      </c>
      <c r="W305" s="1163"/>
      <c r="X305" s="320" t="s">
        <v>9709</v>
      </c>
      <c r="Y305" s="1140"/>
      <c r="Z305" s="1140"/>
      <c r="AA305" s="1140"/>
      <c r="AB305" s="320" t="s">
        <v>284</v>
      </c>
    </row>
    <row r="306" ht="15.75" customHeight="1">
      <c r="A306" s="258">
        <v>42536.0</v>
      </c>
      <c r="B306" s="578" t="s">
        <v>101</v>
      </c>
      <c r="C306" s="765" t="s">
        <v>9704</v>
      </c>
      <c r="D306" s="310" t="s">
        <v>9705</v>
      </c>
      <c r="E306" s="604" t="s">
        <v>3580</v>
      </c>
      <c r="F306" s="331">
        <v>12.0</v>
      </c>
      <c r="G306" s="254">
        <v>4.0</v>
      </c>
      <c r="H306" s="267">
        <f t="shared" si="15"/>
        <v>48</v>
      </c>
      <c r="I306" s="256" t="s">
        <v>3474</v>
      </c>
      <c r="J306" s="403" t="s">
        <v>9706</v>
      </c>
      <c r="K306" s="258">
        <v>42569.0</v>
      </c>
      <c r="L306" s="258">
        <v>42565.0</v>
      </c>
      <c r="M306" s="333" t="s">
        <v>2034</v>
      </c>
      <c r="N306" s="403" t="s">
        <v>9707</v>
      </c>
      <c r="O306" s="581"/>
      <c r="P306" s="310">
        <v>945.0</v>
      </c>
      <c r="Q306" s="320" t="s">
        <v>2036</v>
      </c>
      <c r="R306" s="330"/>
      <c r="S306" s="768">
        <v>42587.0</v>
      </c>
      <c r="T306" s="771">
        <v>42564.0</v>
      </c>
      <c r="U306" s="252" t="s">
        <v>9708</v>
      </c>
      <c r="V306" s="1135" t="s">
        <v>7092</v>
      </c>
      <c r="W306" s="832">
        <v>42586.0</v>
      </c>
      <c r="X306" s="320" t="s">
        <v>9709</v>
      </c>
      <c r="Y306" s="1140"/>
      <c r="Z306" s="1140"/>
      <c r="AA306" s="1140"/>
      <c r="AB306" s="320" t="s">
        <v>284</v>
      </c>
    </row>
    <row r="307" ht="15.75" customHeight="1">
      <c r="A307" s="258">
        <v>42536.0</v>
      </c>
      <c r="B307" s="578" t="s">
        <v>101</v>
      </c>
      <c r="C307" s="765" t="s">
        <v>9704</v>
      </c>
      <c r="D307" s="310" t="s">
        <v>9705</v>
      </c>
      <c r="E307" s="604" t="s">
        <v>3581</v>
      </c>
      <c r="F307" s="331">
        <v>12.0</v>
      </c>
      <c r="G307" s="254">
        <v>8.0</v>
      </c>
      <c r="H307" s="267">
        <f t="shared" si="15"/>
        <v>96</v>
      </c>
      <c r="I307" s="256" t="s">
        <v>3474</v>
      </c>
      <c r="J307" s="403"/>
      <c r="K307" s="258">
        <v>42569.0</v>
      </c>
      <c r="L307" s="258">
        <v>42568.0</v>
      </c>
      <c r="M307" s="403" t="s">
        <v>9183</v>
      </c>
      <c r="N307" s="252"/>
      <c r="O307" s="581"/>
      <c r="P307" s="310">
        <v>1600.0</v>
      </c>
      <c r="Q307" s="320" t="s">
        <v>9711</v>
      </c>
      <c r="R307" s="330"/>
      <c r="S307" s="631"/>
      <c r="T307" s="252" t="s">
        <v>5701</v>
      </c>
      <c r="U307" s="252" t="s">
        <v>5701</v>
      </c>
      <c r="V307" s="252" t="s">
        <v>5701</v>
      </c>
      <c r="W307" s="832">
        <v>42568.0</v>
      </c>
      <c r="X307" s="320" t="s">
        <v>9709</v>
      </c>
      <c r="Y307" s="1140"/>
      <c r="Z307" s="1140"/>
      <c r="AA307" s="1140"/>
      <c r="AB307" s="320" t="s">
        <v>284</v>
      </c>
    </row>
    <row r="308" ht="15.75" customHeight="1">
      <c r="A308" s="258">
        <v>42348.0</v>
      </c>
      <c r="B308" s="604" t="s">
        <v>101</v>
      </c>
      <c r="C308" s="765" t="s">
        <v>9712</v>
      </c>
      <c r="D308" s="330" t="s">
        <v>9713</v>
      </c>
      <c r="E308" s="604" t="s">
        <v>9605</v>
      </c>
      <c r="F308" s="330">
        <v>2.0</v>
      </c>
      <c r="G308" s="330">
        <v>1166.0</v>
      </c>
      <c r="H308" s="1061">
        <f>F308*G308</f>
        <v>2332</v>
      </c>
      <c r="I308" s="256" t="s">
        <v>171</v>
      </c>
      <c r="J308" s="403" t="s">
        <v>8708</v>
      </c>
      <c r="K308" s="258">
        <v>42380.0</v>
      </c>
      <c r="L308" s="258">
        <v>42377.0</v>
      </c>
      <c r="M308" s="369" t="s">
        <v>2034</v>
      </c>
      <c r="N308" s="910" t="s">
        <v>9714</v>
      </c>
      <c r="O308" s="330"/>
      <c r="P308" s="637">
        <f>75810</f>
        <v>75810</v>
      </c>
      <c r="Q308" s="330" t="s">
        <v>6086</v>
      </c>
      <c r="R308" s="330"/>
      <c r="S308" s="631">
        <v>42434.0</v>
      </c>
      <c r="T308" s="771">
        <v>42376.0</v>
      </c>
      <c r="U308" s="252" t="s">
        <v>9715</v>
      </c>
      <c r="V308" s="1030">
        <v>75810.0</v>
      </c>
      <c r="W308" s="1139">
        <v>42436.0</v>
      </c>
      <c r="X308" s="320" t="s">
        <v>8802</v>
      </c>
      <c r="Y308" s="1140"/>
      <c r="Z308" s="1152"/>
      <c r="AA308" s="1141"/>
      <c r="AB308" s="1140" t="s">
        <v>284</v>
      </c>
    </row>
    <row r="309" ht="15.75" customHeight="1">
      <c r="A309" s="258">
        <v>42536.0</v>
      </c>
      <c r="B309" s="578" t="s">
        <v>5073</v>
      </c>
      <c r="C309" s="765" t="s">
        <v>9716</v>
      </c>
      <c r="D309" s="310" t="s">
        <v>9717</v>
      </c>
      <c r="E309" s="578" t="s">
        <v>9718</v>
      </c>
      <c r="F309" s="581">
        <v>20.0</v>
      </c>
      <c r="G309" s="267">
        <v>866.0</v>
      </c>
      <c r="H309" s="267">
        <f t="shared" ref="H309:H335" si="16">G309*F309</f>
        <v>17320</v>
      </c>
      <c r="I309" s="256" t="s">
        <v>3474</v>
      </c>
      <c r="J309" s="403" t="s">
        <v>9719</v>
      </c>
      <c r="K309" s="258">
        <v>42558.0</v>
      </c>
      <c r="L309" s="266" t="s">
        <v>9720</v>
      </c>
      <c r="M309" s="403" t="s">
        <v>9721</v>
      </c>
      <c r="N309" s="252" t="s">
        <v>9722</v>
      </c>
      <c r="O309" s="581">
        <v>15120.0</v>
      </c>
      <c r="P309" s="330"/>
      <c r="Q309" s="310" t="s">
        <v>9723</v>
      </c>
      <c r="R309" s="330"/>
      <c r="S309" s="631"/>
      <c r="T309" s="771">
        <v>42562.0</v>
      </c>
      <c r="U309" s="422" t="s">
        <v>9724</v>
      </c>
      <c r="V309" s="1135">
        <v>20412.0</v>
      </c>
      <c r="W309" s="832">
        <v>42548.0</v>
      </c>
      <c r="X309" s="320" t="s">
        <v>9725</v>
      </c>
      <c r="Y309" s="1140"/>
      <c r="Z309" s="1140"/>
      <c r="AA309" s="1140"/>
      <c r="AB309" s="320" t="s">
        <v>284</v>
      </c>
    </row>
    <row r="310" ht="15.75" customHeight="1">
      <c r="A310" s="258">
        <v>42536.0</v>
      </c>
      <c r="B310" s="578" t="s">
        <v>5073</v>
      </c>
      <c r="C310" s="765" t="s">
        <v>9716</v>
      </c>
      <c r="D310" s="310" t="s">
        <v>9717</v>
      </c>
      <c r="E310" s="578" t="s">
        <v>9726</v>
      </c>
      <c r="F310" s="581">
        <v>1.0</v>
      </c>
      <c r="G310" s="267">
        <v>750.0</v>
      </c>
      <c r="H310" s="267">
        <f t="shared" si="16"/>
        <v>750</v>
      </c>
      <c r="I310" s="256" t="s">
        <v>3474</v>
      </c>
      <c r="J310" s="403" t="s">
        <v>9727</v>
      </c>
      <c r="K310" s="258">
        <v>42558.0</v>
      </c>
      <c r="L310" s="258"/>
      <c r="M310" s="403"/>
      <c r="N310" s="252"/>
      <c r="O310" s="581"/>
      <c r="P310" s="310">
        <v>9611.0</v>
      </c>
      <c r="Q310" s="578" t="s">
        <v>9728</v>
      </c>
      <c r="R310" s="330"/>
      <c r="S310" s="768">
        <v>42587.0</v>
      </c>
      <c r="T310" s="771">
        <v>42579.0</v>
      </c>
      <c r="U310" s="252" t="s">
        <v>9729</v>
      </c>
      <c r="V310" s="1030">
        <v>22417.0</v>
      </c>
      <c r="W310" s="832">
        <v>42590.0</v>
      </c>
      <c r="X310" s="320" t="s">
        <v>9725</v>
      </c>
      <c r="Y310" s="1140"/>
      <c r="Z310" s="1140"/>
      <c r="AA310" s="1140"/>
      <c r="AB310" s="320" t="s">
        <v>284</v>
      </c>
    </row>
    <row r="311" ht="15.75" customHeight="1">
      <c r="A311" s="258">
        <v>42536.0</v>
      </c>
      <c r="B311" s="578" t="s">
        <v>5073</v>
      </c>
      <c r="C311" s="765" t="s">
        <v>9716</v>
      </c>
      <c r="D311" s="310" t="s">
        <v>9730</v>
      </c>
      <c r="E311" s="578" t="s">
        <v>9718</v>
      </c>
      <c r="F311" s="581">
        <v>7.0</v>
      </c>
      <c r="G311" s="267">
        <v>866.0</v>
      </c>
      <c r="H311" s="267">
        <f t="shared" si="16"/>
        <v>6062</v>
      </c>
      <c r="I311" s="256" t="s">
        <v>3474</v>
      </c>
      <c r="J311" s="403" t="s">
        <v>9719</v>
      </c>
      <c r="K311" s="258">
        <v>42558.0</v>
      </c>
      <c r="L311" s="266" t="s">
        <v>9720</v>
      </c>
      <c r="M311" s="403" t="s">
        <v>9721</v>
      </c>
      <c r="N311" s="252" t="s">
        <v>9731</v>
      </c>
      <c r="O311" s="581">
        <v>5292.0</v>
      </c>
      <c r="P311" s="310"/>
      <c r="Q311" s="310" t="s">
        <v>9723</v>
      </c>
      <c r="R311" s="330"/>
      <c r="S311" s="631"/>
      <c r="T311" s="771">
        <v>42562.0</v>
      </c>
      <c r="U311" s="422" t="s">
        <v>9724</v>
      </c>
      <c r="V311" s="1135" t="s">
        <v>9732</v>
      </c>
      <c r="W311" s="832">
        <v>42550.0</v>
      </c>
      <c r="X311" s="320" t="s">
        <v>9725</v>
      </c>
      <c r="Y311" s="1140"/>
      <c r="Z311" s="1140"/>
      <c r="AA311" s="1140"/>
      <c r="AB311" s="320" t="s">
        <v>284</v>
      </c>
    </row>
    <row r="312" ht="15.75" customHeight="1">
      <c r="A312" s="258">
        <v>42536.0</v>
      </c>
      <c r="B312" s="578" t="s">
        <v>5073</v>
      </c>
      <c r="C312" s="765" t="s">
        <v>9716</v>
      </c>
      <c r="D312" s="310" t="s">
        <v>9730</v>
      </c>
      <c r="E312" s="578" t="s">
        <v>9726</v>
      </c>
      <c r="F312" s="581">
        <v>1.0</v>
      </c>
      <c r="G312" s="267">
        <f>1013-750</f>
        <v>263</v>
      </c>
      <c r="H312" s="267">
        <f t="shared" si="16"/>
        <v>263</v>
      </c>
      <c r="I312" s="256" t="s">
        <v>3474</v>
      </c>
      <c r="J312" s="403" t="s">
        <v>9727</v>
      </c>
      <c r="K312" s="258">
        <v>42558.0</v>
      </c>
      <c r="L312" s="258"/>
      <c r="M312" s="333"/>
      <c r="N312" s="252"/>
      <c r="O312" s="581"/>
      <c r="P312" s="310">
        <v>12806.0</v>
      </c>
      <c r="Q312" s="578" t="s">
        <v>9728</v>
      </c>
      <c r="R312" s="330"/>
      <c r="S312" s="768">
        <v>42587.0</v>
      </c>
      <c r="T312" s="771">
        <v>42579.0</v>
      </c>
      <c r="U312" s="252" t="s">
        <v>9729</v>
      </c>
      <c r="V312" s="1135" t="s">
        <v>9733</v>
      </c>
      <c r="W312" s="832">
        <v>42590.0</v>
      </c>
      <c r="X312" s="320" t="s">
        <v>9725</v>
      </c>
      <c r="Y312" s="1140"/>
      <c r="Z312" s="1140"/>
      <c r="AA312" s="1140"/>
      <c r="AB312" s="320" t="s">
        <v>284</v>
      </c>
    </row>
    <row r="313" ht="15.75" customHeight="1">
      <c r="A313" s="258">
        <v>42537.0</v>
      </c>
      <c r="B313" s="578" t="s">
        <v>6167</v>
      </c>
      <c r="C313" s="765">
        <v>7.000122128E9</v>
      </c>
      <c r="D313" s="310" t="s">
        <v>9734</v>
      </c>
      <c r="E313" s="578" t="s">
        <v>4929</v>
      </c>
      <c r="F313" s="581">
        <v>12.0</v>
      </c>
      <c r="G313" s="267">
        <v>161.0</v>
      </c>
      <c r="H313" s="267">
        <f t="shared" si="16"/>
        <v>1932</v>
      </c>
      <c r="I313" s="256" t="s">
        <v>171</v>
      </c>
      <c r="J313" s="403" t="s">
        <v>6278</v>
      </c>
      <c r="K313" s="258">
        <v>42544.0</v>
      </c>
      <c r="L313" s="258">
        <v>42541.0</v>
      </c>
      <c r="M313" s="333" t="s">
        <v>3593</v>
      </c>
      <c r="N313" s="252" t="s">
        <v>9735</v>
      </c>
      <c r="O313" s="581"/>
      <c r="P313" s="310">
        <v>58061.0</v>
      </c>
      <c r="Q313" s="320" t="s">
        <v>8689</v>
      </c>
      <c r="R313" s="330"/>
      <c r="S313" s="768">
        <v>42587.0</v>
      </c>
      <c r="T313" s="771">
        <v>42541.0</v>
      </c>
      <c r="U313" s="252" t="s">
        <v>9736</v>
      </c>
      <c r="V313" s="1135">
        <v>77717.0</v>
      </c>
      <c r="W313" s="832">
        <v>42586.0</v>
      </c>
      <c r="X313" s="320" t="s">
        <v>9697</v>
      </c>
      <c r="Y313" s="1140"/>
      <c r="Z313" s="1140"/>
      <c r="AA313" s="1140"/>
      <c r="AB313" s="320" t="s">
        <v>284</v>
      </c>
    </row>
    <row r="314" ht="15.75" customHeight="1">
      <c r="A314" s="258">
        <v>42537.0</v>
      </c>
      <c r="B314" s="578" t="s">
        <v>6167</v>
      </c>
      <c r="C314" s="765">
        <v>7.000122128E9</v>
      </c>
      <c r="D314" s="310" t="s">
        <v>9734</v>
      </c>
      <c r="E314" s="578" t="s">
        <v>3727</v>
      </c>
      <c r="F314" s="581">
        <v>12.0</v>
      </c>
      <c r="G314" s="267">
        <v>50.0</v>
      </c>
      <c r="H314" s="267">
        <f t="shared" si="16"/>
        <v>600</v>
      </c>
      <c r="I314" s="256" t="s">
        <v>171</v>
      </c>
      <c r="J314" s="403" t="s">
        <v>6278</v>
      </c>
      <c r="K314" s="258">
        <v>42544.0</v>
      </c>
      <c r="L314" s="258">
        <v>42541.0</v>
      </c>
      <c r="M314" s="333" t="s">
        <v>3593</v>
      </c>
      <c r="N314" s="252" t="s">
        <v>9735</v>
      </c>
      <c r="O314" s="581"/>
      <c r="P314" s="310">
        <v>19656.0</v>
      </c>
      <c r="Q314" s="320" t="s">
        <v>8689</v>
      </c>
      <c r="R314" s="330"/>
      <c r="S314" s="768">
        <v>42587.0</v>
      </c>
      <c r="T314" s="771">
        <v>42541.0</v>
      </c>
      <c r="U314" s="252" t="s">
        <v>9736</v>
      </c>
      <c r="V314" s="1135" t="s">
        <v>9737</v>
      </c>
      <c r="W314" s="832">
        <v>42586.0</v>
      </c>
      <c r="X314" s="320" t="s">
        <v>9697</v>
      </c>
      <c r="Y314" s="1140"/>
      <c r="Z314" s="1140"/>
      <c r="AA314" s="1140"/>
      <c r="AB314" s="320" t="s">
        <v>284</v>
      </c>
    </row>
    <row r="315" ht="15.75" customHeight="1">
      <c r="A315" s="258">
        <v>42537.0</v>
      </c>
      <c r="B315" s="604" t="s">
        <v>3871</v>
      </c>
      <c r="C315" s="765" t="s">
        <v>9738</v>
      </c>
      <c r="D315" s="310" t="s">
        <v>9739</v>
      </c>
      <c r="E315" s="578" t="s">
        <v>9740</v>
      </c>
      <c r="F315" s="581">
        <v>2.0</v>
      </c>
      <c r="G315" s="267">
        <v>295.0</v>
      </c>
      <c r="H315" s="267">
        <f t="shared" si="16"/>
        <v>590</v>
      </c>
      <c r="I315" s="256" t="s">
        <v>3874</v>
      </c>
      <c r="J315" s="403" t="s">
        <v>6206</v>
      </c>
      <c r="K315" s="601">
        <v>42548.0</v>
      </c>
      <c r="L315" s="258">
        <v>42544.0</v>
      </c>
      <c r="M315" s="403" t="s">
        <v>90</v>
      </c>
      <c r="N315" s="252" t="s">
        <v>9741</v>
      </c>
      <c r="O315" s="581">
        <v>533.4</v>
      </c>
      <c r="P315" s="330"/>
      <c r="Q315" s="320" t="s">
        <v>6081</v>
      </c>
      <c r="R315" s="330"/>
      <c r="S315" s="768">
        <v>42590.0</v>
      </c>
      <c r="T315" s="771">
        <v>42538.0</v>
      </c>
      <c r="U315" s="252" t="s">
        <v>9742</v>
      </c>
      <c r="V315" s="1030">
        <v>17298.0</v>
      </c>
      <c r="W315" s="832">
        <v>42590.0</v>
      </c>
      <c r="X315" s="252" t="s">
        <v>9743</v>
      </c>
      <c r="Y315" s="1140"/>
      <c r="Z315" s="1140"/>
      <c r="AA315" s="1140"/>
      <c r="AB315" s="320" t="s">
        <v>284</v>
      </c>
    </row>
    <row r="316" ht="15.75" customHeight="1">
      <c r="A316" s="258">
        <v>42538.0</v>
      </c>
      <c r="B316" s="340" t="s">
        <v>77</v>
      </c>
      <c r="C316" s="765">
        <v>572.0</v>
      </c>
      <c r="D316" s="310" t="s">
        <v>9744</v>
      </c>
      <c r="E316" s="578" t="s">
        <v>8097</v>
      </c>
      <c r="F316" s="581">
        <v>105.0</v>
      </c>
      <c r="G316" s="267">
        <v>6.85</v>
      </c>
      <c r="H316" s="267">
        <f t="shared" si="16"/>
        <v>719.25</v>
      </c>
      <c r="I316" s="256" t="s">
        <v>171</v>
      </c>
      <c r="J316" s="333" t="s">
        <v>6698</v>
      </c>
      <c r="K316" s="258">
        <v>42544.0</v>
      </c>
      <c r="L316" s="258">
        <v>42544.0</v>
      </c>
      <c r="M316" s="333" t="s">
        <v>3769</v>
      </c>
      <c r="N316" s="252" t="s">
        <v>9745</v>
      </c>
      <c r="O316" s="581"/>
      <c r="P316" s="310">
        <v>19845.0</v>
      </c>
      <c r="Q316" s="320" t="s">
        <v>9746</v>
      </c>
      <c r="R316" s="330"/>
      <c r="S316" s="631"/>
      <c r="T316" s="771">
        <v>42543.0</v>
      </c>
      <c r="U316" s="252" t="s">
        <v>9747</v>
      </c>
      <c r="V316" s="1135">
        <v>19845.0</v>
      </c>
      <c r="W316" s="832">
        <v>42557.0</v>
      </c>
      <c r="X316" s="320" t="s">
        <v>9653</v>
      </c>
      <c r="Y316" s="1140"/>
      <c r="Z316" s="1140"/>
      <c r="AA316" s="1140"/>
      <c r="AB316" s="320" t="s">
        <v>284</v>
      </c>
    </row>
    <row r="317" ht="15.75" customHeight="1">
      <c r="A317" s="258">
        <v>42538.0</v>
      </c>
      <c r="B317" s="340" t="s">
        <v>77</v>
      </c>
      <c r="C317" s="765"/>
      <c r="D317" s="330" t="s">
        <v>9748</v>
      </c>
      <c r="E317" s="868" t="s">
        <v>9749</v>
      </c>
      <c r="F317" s="581">
        <v>3.0</v>
      </c>
      <c r="G317" s="267">
        <v>1.0</v>
      </c>
      <c r="H317" s="267">
        <f t="shared" si="16"/>
        <v>3</v>
      </c>
      <c r="I317" s="256" t="s">
        <v>171</v>
      </c>
      <c r="J317" s="363" t="s">
        <v>316</v>
      </c>
      <c r="K317" s="258">
        <v>42612.0</v>
      </c>
      <c r="L317" s="258">
        <v>42578.0</v>
      </c>
      <c r="M317" s="333"/>
      <c r="N317" s="252"/>
      <c r="O317" s="581"/>
      <c r="P317" s="330"/>
      <c r="Q317" s="320"/>
      <c r="R317" s="330"/>
      <c r="S317" s="631"/>
      <c r="T317" s="330" t="s">
        <v>9748</v>
      </c>
      <c r="U317" s="330" t="s">
        <v>9748</v>
      </c>
      <c r="V317" s="388" t="s">
        <v>9748</v>
      </c>
      <c r="W317" s="832"/>
      <c r="X317" s="265" t="s">
        <v>9750</v>
      </c>
      <c r="Y317" s="1140"/>
      <c r="Z317" s="1140"/>
      <c r="AA317" s="1140"/>
      <c r="AB317" s="320"/>
    </row>
    <row r="318" ht="15.75" customHeight="1">
      <c r="A318" s="258">
        <v>42541.0</v>
      </c>
      <c r="B318" s="578" t="s">
        <v>101</v>
      </c>
      <c r="C318" s="765" t="s">
        <v>9751</v>
      </c>
      <c r="D318" s="310" t="s">
        <v>9752</v>
      </c>
      <c r="E318" s="578" t="s">
        <v>3862</v>
      </c>
      <c r="F318" s="581">
        <v>15.0</v>
      </c>
      <c r="G318" s="267">
        <v>9.0</v>
      </c>
      <c r="H318" s="267">
        <f t="shared" si="16"/>
        <v>135</v>
      </c>
      <c r="I318" s="256" t="s">
        <v>3474</v>
      </c>
      <c r="J318" s="333" t="s">
        <v>5995</v>
      </c>
      <c r="K318" s="258">
        <v>42551.0</v>
      </c>
      <c r="L318" s="258">
        <v>42548.0</v>
      </c>
      <c r="M318" s="333" t="s">
        <v>2028</v>
      </c>
      <c r="N318" s="252" t="s">
        <v>9753</v>
      </c>
      <c r="O318" s="581"/>
      <c r="P318" s="330">
        <v>4057.0</v>
      </c>
      <c r="Q318" s="320" t="s">
        <v>9371</v>
      </c>
      <c r="R318" s="330"/>
      <c r="S318" s="1133">
        <v>42544.0</v>
      </c>
      <c r="T318" s="771">
        <v>42545.0</v>
      </c>
      <c r="U318" s="252" t="s">
        <v>9754</v>
      </c>
      <c r="V318" s="1135">
        <v>4057.0</v>
      </c>
      <c r="W318" s="832">
        <v>42544.0</v>
      </c>
      <c r="X318" s="320" t="s">
        <v>9551</v>
      </c>
      <c r="Y318" s="1140"/>
      <c r="Z318" s="1140"/>
      <c r="AA318" s="1140"/>
      <c r="AB318" s="320" t="s">
        <v>284</v>
      </c>
    </row>
    <row r="319" ht="15.75" customHeight="1">
      <c r="A319" s="258">
        <v>42541.0</v>
      </c>
      <c r="B319" s="340" t="s">
        <v>77</v>
      </c>
      <c r="C319" s="765">
        <v>593.0</v>
      </c>
      <c r="D319" s="310" t="s">
        <v>9755</v>
      </c>
      <c r="E319" s="578" t="s">
        <v>9756</v>
      </c>
      <c r="F319" s="581">
        <v>1.0</v>
      </c>
      <c r="G319" s="267">
        <v>270.0</v>
      </c>
      <c r="H319" s="267">
        <f t="shared" si="16"/>
        <v>270</v>
      </c>
      <c r="I319" s="256" t="s">
        <v>171</v>
      </c>
      <c r="J319" s="403" t="s">
        <v>6698</v>
      </c>
      <c r="K319" s="258">
        <v>42557.0</v>
      </c>
      <c r="L319" s="258">
        <v>42557.0</v>
      </c>
      <c r="M319" s="333" t="s">
        <v>1998</v>
      </c>
      <c r="N319" s="252" t="s">
        <v>9757</v>
      </c>
      <c r="O319" s="581"/>
      <c r="P319" s="310">
        <v>7489.0</v>
      </c>
      <c r="Q319" s="310" t="s">
        <v>2000</v>
      </c>
      <c r="R319" s="330"/>
      <c r="S319" s="768">
        <v>42618.0</v>
      </c>
      <c r="T319" s="771">
        <v>42545.0</v>
      </c>
      <c r="U319" s="252" t="s">
        <v>9758</v>
      </c>
      <c r="V319" s="1135">
        <v>7489.0</v>
      </c>
      <c r="W319" s="832">
        <v>42619.0</v>
      </c>
      <c r="X319" s="320" t="s">
        <v>9759</v>
      </c>
      <c r="Y319" s="1140"/>
      <c r="Z319" s="1140"/>
      <c r="AA319" s="1140"/>
      <c r="AB319" s="320" t="s">
        <v>284</v>
      </c>
    </row>
    <row r="320" ht="11.25" customHeight="1">
      <c r="A320" s="258">
        <v>42543.0</v>
      </c>
      <c r="B320" s="578" t="s">
        <v>6167</v>
      </c>
      <c r="C320" s="765">
        <v>7.000122266E9</v>
      </c>
      <c r="D320" s="310" t="s">
        <v>9760</v>
      </c>
      <c r="E320" s="578" t="s">
        <v>9532</v>
      </c>
      <c r="F320" s="581">
        <v>3.0</v>
      </c>
      <c r="G320" s="267">
        <v>945.0</v>
      </c>
      <c r="H320" s="267">
        <f t="shared" si="16"/>
        <v>2835</v>
      </c>
      <c r="I320" s="256" t="s">
        <v>171</v>
      </c>
      <c r="J320" s="777" t="s">
        <v>3623</v>
      </c>
      <c r="K320" s="258">
        <v>42556.0</v>
      </c>
      <c r="L320" s="258">
        <v>42552.0</v>
      </c>
      <c r="M320" s="403" t="s">
        <v>3593</v>
      </c>
      <c r="N320" s="252" t="s">
        <v>9761</v>
      </c>
      <c r="O320" s="581"/>
      <c r="P320" s="310">
        <v>83812.0</v>
      </c>
      <c r="Q320" s="310" t="s">
        <v>8689</v>
      </c>
      <c r="R320" s="330"/>
      <c r="S320" s="768">
        <v>42587.0</v>
      </c>
      <c r="T320" s="771">
        <v>42549.0</v>
      </c>
      <c r="U320" s="252" t="s">
        <v>9762</v>
      </c>
      <c r="V320" s="1135">
        <v>83812.0</v>
      </c>
      <c r="W320" s="832">
        <v>42586.0</v>
      </c>
      <c r="X320" s="320" t="s">
        <v>9763</v>
      </c>
      <c r="Y320" s="1140"/>
      <c r="Z320" s="1140"/>
      <c r="AA320" s="1140"/>
      <c r="AB320" s="320" t="s">
        <v>284</v>
      </c>
    </row>
    <row r="321" ht="15.75" customHeight="1">
      <c r="A321" s="258">
        <v>42543.0</v>
      </c>
      <c r="B321" s="578" t="s">
        <v>101</v>
      </c>
      <c r="C321" s="765" t="s">
        <v>9764</v>
      </c>
      <c r="D321" s="310" t="s">
        <v>9765</v>
      </c>
      <c r="E321" s="578" t="s">
        <v>8962</v>
      </c>
      <c r="F321" s="578">
        <v>2.0</v>
      </c>
      <c r="G321" s="578">
        <v>575.0</v>
      </c>
      <c r="H321" s="578">
        <f t="shared" si="16"/>
        <v>1150</v>
      </c>
      <c r="I321" s="266" t="s">
        <v>3474</v>
      </c>
      <c r="J321" s="777" t="s">
        <v>5995</v>
      </c>
      <c r="K321" s="258">
        <v>42565.0</v>
      </c>
      <c r="L321" s="258">
        <v>42563.0</v>
      </c>
      <c r="M321" s="256" t="s">
        <v>1439</v>
      </c>
      <c r="N321" s="252" t="s">
        <v>9766</v>
      </c>
      <c r="O321" s="581"/>
      <c r="P321" s="310">
        <v>34722.0</v>
      </c>
      <c r="Q321" s="330" t="s">
        <v>1976</v>
      </c>
      <c r="R321" s="330"/>
      <c r="S321" s="768">
        <v>42587.0</v>
      </c>
      <c r="T321" s="771">
        <v>42563.0</v>
      </c>
      <c r="U321" s="252" t="s">
        <v>9767</v>
      </c>
      <c r="V321" s="1135">
        <v>40849.0</v>
      </c>
      <c r="W321" s="832">
        <v>42590.0</v>
      </c>
      <c r="X321" s="320" t="s">
        <v>9556</v>
      </c>
      <c r="Y321" s="1140"/>
      <c r="Z321" s="1140"/>
      <c r="AA321" s="1140"/>
      <c r="AB321" s="320" t="s">
        <v>284</v>
      </c>
    </row>
    <row r="322" ht="15.75" customHeight="1">
      <c r="A322" s="258">
        <v>42543.0</v>
      </c>
      <c r="B322" s="578" t="s">
        <v>101</v>
      </c>
      <c r="C322" s="765" t="s">
        <v>9764</v>
      </c>
      <c r="D322" s="310" t="s">
        <v>9765</v>
      </c>
      <c r="E322" s="578" t="s">
        <v>9768</v>
      </c>
      <c r="F322" s="578">
        <v>2.0</v>
      </c>
      <c r="G322" s="578">
        <v>380.0</v>
      </c>
      <c r="H322" s="578">
        <f t="shared" si="16"/>
        <v>760</v>
      </c>
      <c r="I322" s="266" t="s">
        <v>3474</v>
      </c>
      <c r="J322" s="777" t="s">
        <v>5995</v>
      </c>
      <c r="K322" s="258">
        <v>42565.0</v>
      </c>
      <c r="L322" s="258">
        <v>42555.0</v>
      </c>
      <c r="M322" s="403" t="s">
        <v>9769</v>
      </c>
      <c r="N322" s="252" t="s">
        <v>9770</v>
      </c>
      <c r="O322" s="581"/>
      <c r="P322" s="310">
        <v>24005.0</v>
      </c>
      <c r="Q322" s="265" t="s">
        <v>9771</v>
      </c>
      <c r="R322" s="330"/>
      <c r="S322" s="1133">
        <v>42550.0</v>
      </c>
      <c r="T322" s="771">
        <v>42551.0</v>
      </c>
      <c r="U322" s="252" t="s">
        <v>9772</v>
      </c>
      <c r="V322" s="1135">
        <v>24005.0</v>
      </c>
      <c r="W322" s="832">
        <v>42550.0</v>
      </c>
      <c r="X322" s="320" t="s">
        <v>9556</v>
      </c>
      <c r="Y322" s="1140"/>
      <c r="Z322" s="1140"/>
      <c r="AA322" s="1140"/>
      <c r="AB322" s="320" t="s">
        <v>284</v>
      </c>
    </row>
    <row r="323" ht="15.75" customHeight="1">
      <c r="A323" s="258">
        <v>42543.0</v>
      </c>
      <c r="B323" s="578" t="s">
        <v>101</v>
      </c>
      <c r="C323" s="765" t="s">
        <v>9764</v>
      </c>
      <c r="D323" s="310" t="s">
        <v>9765</v>
      </c>
      <c r="E323" s="578" t="s">
        <v>6305</v>
      </c>
      <c r="F323" s="578">
        <v>2.0</v>
      </c>
      <c r="G323" s="578">
        <v>62.0</v>
      </c>
      <c r="H323" s="578">
        <f t="shared" si="16"/>
        <v>124</v>
      </c>
      <c r="I323" s="266" t="s">
        <v>3474</v>
      </c>
      <c r="J323" s="777" t="s">
        <v>5995</v>
      </c>
      <c r="K323" s="258">
        <v>42565.0</v>
      </c>
      <c r="L323" s="258">
        <v>42555.0</v>
      </c>
      <c r="M323" s="403" t="s">
        <v>6935</v>
      </c>
      <c r="N323" s="252" t="s">
        <v>9773</v>
      </c>
      <c r="O323" s="581"/>
      <c r="P323" s="310">
        <v>2184.0</v>
      </c>
      <c r="Q323" s="320" t="s">
        <v>2172</v>
      </c>
      <c r="R323" s="330"/>
      <c r="S323" s="1133">
        <v>42550.0</v>
      </c>
      <c r="T323" s="771">
        <v>42552.0</v>
      </c>
      <c r="U323" s="252" t="s">
        <v>9774</v>
      </c>
      <c r="V323" s="1135">
        <v>2184.0</v>
      </c>
      <c r="W323" s="832">
        <v>42550.0</v>
      </c>
      <c r="X323" s="320" t="s">
        <v>9556</v>
      </c>
      <c r="Y323" s="1140"/>
      <c r="Z323" s="1140"/>
      <c r="AA323" s="1140"/>
      <c r="AB323" s="320" t="s">
        <v>284</v>
      </c>
    </row>
    <row r="324" ht="15.75" customHeight="1">
      <c r="A324" s="258">
        <v>42543.0</v>
      </c>
      <c r="B324" s="578" t="s">
        <v>101</v>
      </c>
      <c r="C324" s="765" t="s">
        <v>9764</v>
      </c>
      <c r="D324" s="310" t="s">
        <v>9765</v>
      </c>
      <c r="E324" s="578" t="s">
        <v>9775</v>
      </c>
      <c r="F324" s="578">
        <v>2.0</v>
      </c>
      <c r="G324" s="578">
        <v>94.0</v>
      </c>
      <c r="H324" s="578">
        <f t="shared" si="16"/>
        <v>188</v>
      </c>
      <c r="I324" s="266" t="s">
        <v>3474</v>
      </c>
      <c r="J324" s="777" t="s">
        <v>5995</v>
      </c>
      <c r="K324" s="258">
        <v>42565.0</v>
      </c>
      <c r="L324" s="258">
        <v>42555.0</v>
      </c>
      <c r="M324" s="403" t="s">
        <v>6935</v>
      </c>
      <c r="N324" s="252" t="s">
        <v>9773</v>
      </c>
      <c r="O324" s="581"/>
      <c r="P324" s="310">
        <v>5294.0</v>
      </c>
      <c r="Q324" s="310" t="s">
        <v>2172</v>
      </c>
      <c r="R324" s="330"/>
      <c r="S324" s="1133">
        <v>42550.0</v>
      </c>
      <c r="T324" s="771">
        <v>42552.0</v>
      </c>
      <c r="U324" s="252" t="s">
        <v>9776</v>
      </c>
      <c r="V324" s="1135">
        <v>5288.0</v>
      </c>
      <c r="W324" s="832">
        <v>42550.0</v>
      </c>
      <c r="X324" s="320" t="s">
        <v>9556</v>
      </c>
      <c r="Y324" s="1140"/>
      <c r="Z324" s="1140"/>
      <c r="AA324" s="1140"/>
      <c r="AB324" s="320" t="s">
        <v>284</v>
      </c>
    </row>
    <row r="325" ht="15.75" customHeight="1">
      <c r="A325" s="258">
        <v>42543.0</v>
      </c>
      <c r="B325" s="578" t="s">
        <v>101</v>
      </c>
      <c r="C325" s="765" t="s">
        <v>9764</v>
      </c>
      <c r="D325" s="310" t="s">
        <v>9765</v>
      </c>
      <c r="E325" s="578" t="s">
        <v>6295</v>
      </c>
      <c r="F325" s="578">
        <v>2.0</v>
      </c>
      <c r="G325" s="578">
        <v>38.0</v>
      </c>
      <c r="H325" s="578">
        <f t="shared" si="16"/>
        <v>76</v>
      </c>
      <c r="I325" s="266" t="s">
        <v>3474</v>
      </c>
      <c r="J325" s="777" t="s">
        <v>5995</v>
      </c>
      <c r="K325" s="258">
        <v>42565.0</v>
      </c>
      <c r="L325" s="258">
        <v>42563.0</v>
      </c>
      <c r="M325" s="266" t="s">
        <v>1439</v>
      </c>
      <c r="N325" s="252" t="s">
        <v>9766</v>
      </c>
      <c r="O325" s="581"/>
      <c r="P325" s="310">
        <v>2383.0</v>
      </c>
      <c r="Q325" s="388" t="s">
        <v>1976</v>
      </c>
      <c r="R325" s="330"/>
      <c r="S325" s="768">
        <v>42587.0</v>
      </c>
      <c r="T325" s="771">
        <v>42563.0</v>
      </c>
      <c r="U325" s="252" t="s">
        <v>9767</v>
      </c>
      <c r="V325" s="1135" t="s">
        <v>9777</v>
      </c>
      <c r="W325" s="832">
        <v>42590.0</v>
      </c>
      <c r="X325" s="320" t="s">
        <v>9556</v>
      </c>
      <c r="Y325" s="1140"/>
      <c r="Z325" s="1140"/>
      <c r="AA325" s="1140"/>
      <c r="AB325" s="320" t="s">
        <v>284</v>
      </c>
    </row>
    <row r="326" ht="15.75" customHeight="1">
      <c r="A326" s="258">
        <v>42543.0</v>
      </c>
      <c r="B326" s="578" t="s">
        <v>101</v>
      </c>
      <c r="C326" s="765" t="s">
        <v>9764</v>
      </c>
      <c r="D326" s="310" t="s">
        <v>9765</v>
      </c>
      <c r="E326" s="578" t="s">
        <v>6296</v>
      </c>
      <c r="F326" s="578">
        <v>2.0</v>
      </c>
      <c r="G326" s="578">
        <v>60.0</v>
      </c>
      <c r="H326" s="578">
        <f t="shared" si="16"/>
        <v>120</v>
      </c>
      <c r="I326" s="266" t="s">
        <v>3474</v>
      </c>
      <c r="J326" s="777" t="s">
        <v>5995</v>
      </c>
      <c r="K326" s="258">
        <v>42565.0</v>
      </c>
      <c r="L326" s="258">
        <v>42563.0</v>
      </c>
      <c r="M326" s="266" t="s">
        <v>1439</v>
      </c>
      <c r="N326" s="252" t="s">
        <v>9766</v>
      </c>
      <c r="O326" s="581"/>
      <c r="P326" s="310">
        <v>3744.0</v>
      </c>
      <c r="Q326" s="388" t="s">
        <v>1976</v>
      </c>
      <c r="R326" s="330"/>
      <c r="S326" s="768">
        <v>42587.0</v>
      </c>
      <c r="T326" s="771">
        <v>42563.0</v>
      </c>
      <c r="U326" s="252" t="s">
        <v>9767</v>
      </c>
      <c r="V326" s="1135" t="s">
        <v>9777</v>
      </c>
      <c r="W326" s="832">
        <v>42590.0</v>
      </c>
      <c r="X326" s="320" t="s">
        <v>9556</v>
      </c>
      <c r="Y326" s="1140"/>
      <c r="Z326" s="1140"/>
      <c r="AA326" s="1140"/>
      <c r="AB326" s="320" t="s">
        <v>284</v>
      </c>
    </row>
    <row r="327" ht="15.75" customHeight="1">
      <c r="A327" s="258">
        <v>42543.0</v>
      </c>
      <c r="B327" s="578" t="s">
        <v>101</v>
      </c>
      <c r="C327" s="765" t="s">
        <v>9764</v>
      </c>
      <c r="D327" s="310" t="s">
        <v>9765</v>
      </c>
      <c r="E327" s="578" t="s">
        <v>6297</v>
      </c>
      <c r="F327" s="578">
        <v>2.0</v>
      </c>
      <c r="G327" s="578">
        <v>237.0</v>
      </c>
      <c r="H327" s="578">
        <f t="shared" si="16"/>
        <v>474</v>
      </c>
      <c r="I327" s="266" t="s">
        <v>3474</v>
      </c>
      <c r="J327" s="777" t="s">
        <v>5995</v>
      </c>
      <c r="K327" s="258">
        <v>42565.0</v>
      </c>
      <c r="L327" s="258">
        <v>42564.0</v>
      </c>
      <c r="M327" s="403" t="s">
        <v>6298</v>
      </c>
      <c r="N327" s="252" t="s">
        <v>9778</v>
      </c>
      <c r="O327" s="581"/>
      <c r="P327" s="310">
        <v>12172.0</v>
      </c>
      <c r="Q327" s="320" t="s">
        <v>2148</v>
      </c>
      <c r="R327" s="330"/>
      <c r="S327" s="631">
        <v>42565.0</v>
      </c>
      <c r="T327" s="1132">
        <v>42563.0</v>
      </c>
      <c r="U327" s="265" t="s">
        <v>9779</v>
      </c>
      <c r="V327" s="1135">
        <v>12172.0</v>
      </c>
      <c r="W327" s="832">
        <v>42565.0</v>
      </c>
      <c r="X327" s="320" t="s">
        <v>9556</v>
      </c>
      <c r="Y327" s="1140"/>
      <c r="Z327" s="1140"/>
      <c r="AA327" s="1140"/>
      <c r="AB327" s="320" t="s">
        <v>284</v>
      </c>
    </row>
    <row r="328" ht="15.75" customHeight="1">
      <c r="A328" s="258">
        <v>42543.0</v>
      </c>
      <c r="B328" s="578" t="s">
        <v>101</v>
      </c>
      <c r="C328" s="765" t="s">
        <v>9764</v>
      </c>
      <c r="D328" s="310" t="s">
        <v>9765</v>
      </c>
      <c r="E328" s="578" t="s">
        <v>9780</v>
      </c>
      <c r="F328" s="581">
        <v>1.0</v>
      </c>
      <c r="G328" s="267">
        <v>176.0</v>
      </c>
      <c r="H328" s="267">
        <f t="shared" si="16"/>
        <v>176</v>
      </c>
      <c r="I328" s="266" t="s">
        <v>3474</v>
      </c>
      <c r="J328" s="403"/>
      <c r="K328" s="258">
        <v>42565.0</v>
      </c>
      <c r="L328" s="266" t="s">
        <v>9781</v>
      </c>
      <c r="M328" s="403"/>
      <c r="N328" s="252"/>
      <c r="O328" s="581"/>
      <c r="P328" s="310">
        <v>4536.0</v>
      </c>
      <c r="Q328" s="320" t="s">
        <v>6019</v>
      </c>
      <c r="R328" s="330"/>
      <c r="S328" s="768">
        <v>42603.0</v>
      </c>
      <c r="T328" s="771">
        <v>42573.0</v>
      </c>
      <c r="U328" s="310" t="s">
        <v>9782</v>
      </c>
      <c r="V328" s="1135">
        <v>4536.0</v>
      </c>
      <c r="W328" s="832">
        <v>42604.0</v>
      </c>
      <c r="X328" s="320" t="s">
        <v>9556</v>
      </c>
      <c r="Y328" s="1140"/>
      <c r="Z328" s="1140"/>
      <c r="AA328" s="1140"/>
      <c r="AB328" s="320" t="s">
        <v>284</v>
      </c>
    </row>
    <row r="329" ht="15.75" customHeight="1">
      <c r="A329" s="258">
        <v>42543.0</v>
      </c>
      <c r="B329" s="578" t="s">
        <v>101</v>
      </c>
      <c r="C329" s="765" t="s">
        <v>9783</v>
      </c>
      <c r="D329" s="310" t="s">
        <v>9784</v>
      </c>
      <c r="E329" s="578" t="s">
        <v>6653</v>
      </c>
      <c r="F329" s="581">
        <v>5.0</v>
      </c>
      <c r="G329" s="267">
        <v>141.0</v>
      </c>
      <c r="H329" s="578">
        <f t="shared" si="16"/>
        <v>705</v>
      </c>
      <c r="I329" s="266" t="s">
        <v>3474</v>
      </c>
      <c r="J329" s="403" t="s">
        <v>9785</v>
      </c>
      <c r="K329" s="258">
        <v>42569.0</v>
      </c>
      <c r="L329" s="258">
        <v>42566.0</v>
      </c>
      <c r="M329" s="403" t="s">
        <v>9786</v>
      </c>
      <c r="N329" s="252" t="s">
        <v>9787</v>
      </c>
      <c r="O329" s="339"/>
      <c r="P329" s="310">
        <v>20633.0</v>
      </c>
      <c r="Q329" s="320" t="s">
        <v>6376</v>
      </c>
      <c r="R329" s="330"/>
      <c r="S329" s="768">
        <v>42613.0</v>
      </c>
      <c r="T329" s="771">
        <v>42565.0</v>
      </c>
      <c r="U329" s="252" t="s">
        <v>9788</v>
      </c>
      <c r="V329" s="1030">
        <v>20633.0</v>
      </c>
      <c r="W329" s="832">
        <v>42613.0</v>
      </c>
      <c r="X329" s="320" t="s">
        <v>9709</v>
      </c>
      <c r="Y329" s="1140"/>
      <c r="Z329" s="1140"/>
      <c r="AA329" s="1140"/>
      <c r="AB329" s="320" t="s">
        <v>284</v>
      </c>
    </row>
    <row r="330" ht="15.75" customHeight="1">
      <c r="A330" s="258">
        <v>42543.0</v>
      </c>
      <c r="B330" s="604" t="s">
        <v>54</v>
      </c>
      <c r="C330" s="765" t="s">
        <v>9789</v>
      </c>
      <c r="D330" s="310" t="s">
        <v>9790</v>
      </c>
      <c r="E330" s="578" t="s">
        <v>3793</v>
      </c>
      <c r="F330" s="331">
        <v>4.0</v>
      </c>
      <c r="G330" s="254">
        <v>150.15</v>
      </c>
      <c r="H330" s="578">
        <f t="shared" si="16"/>
        <v>600.6</v>
      </c>
      <c r="I330" s="256" t="s">
        <v>171</v>
      </c>
      <c r="J330" s="403" t="s">
        <v>233</v>
      </c>
      <c r="K330" s="258">
        <v>42544.0</v>
      </c>
      <c r="L330" s="258"/>
      <c r="M330" s="333" t="s">
        <v>90</v>
      </c>
      <c r="N330" s="252" t="s">
        <v>9791</v>
      </c>
      <c r="O330" s="581">
        <v>537.6</v>
      </c>
      <c r="P330" s="330"/>
      <c r="Q330" s="320" t="s">
        <v>6081</v>
      </c>
      <c r="R330" s="330"/>
      <c r="S330" s="768">
        <v>42590.0</v>
      </c>
      <c r="T330" s="771">
        <v>42544.0</v>
      </c>
      <c r="U330" s="252" t="s">
        <v>9792</v>
      </c>
      <c r="V330" s="1135">
        <v>17407.0</v>
      </c>
      <c r="W330" s="832">
        <v>42590.0</v>
      </c>
      <c r="X330" s="320" t="s">
        <v>9793</v>
      </c>
      <c r="Y330" s="388" t="s">
        <v>9794</v>
      </c>
      <c r="Z330" s="1146">
        <v>19352.0</v>
      </c>
      <c r="AA330" s="388" t="s">
        <v>9795</v>
      </c>
      <c r="AB330" s="320" t="s">
        <v>284</v>
      </c>
    </row>
    <row r="331" ht="15.75" customHeight="1">
      <c r="A331" s="258">
        <v>42543.0</v>
      </c>
      <c r="B331" s="578" t="s">
        <v>6116</v>
      </c>
      <c r="C331" s="765">
        <v>802530.0</v>
      </c>
      <c r="D331" s="310" t="s">
        <v>9796</v>
      </c>
      <c r="E331" s="578" t="s">
        <v>6118</v>
      </c>
      <c r="F331" s="581">
        <v>25.0</v>
      </c>
      <c r="G331" s="267">
        <v>78.0</v>
      </c>
      <c r="H331" s="578">
        <f t="shared" si="16"/>
        <v>1950</v>
      </c>
      <c r="I331" s="779" t="s">
        <v>3474</v>
      </c>
      <c r="J331" s="333" t="s">
        <v>6119</v>
      </c>
      <c r="K331" s="258">
        <v>42562.0</v>
      </c>
      <c r="L331" s="258">
        <v>42555.0</v>
      </c>
      <c r="M331" s="403" t="s">
        <v>6120</v>
      </c>
      <c r="N331" s="310" t="s">
        <v>9797</v>
      </c>
      <c r="O331" s="773"/>
      <c r="P331" s="310">
        <v>60113.0</v>
      </c>
      <c r="Q331" s="320" t="s">
        <v>8689</v>
      </c>
      <c r="R331" s="330"/>
      <c r="S331" s="768">
        <v>42597.0</v>
      </c>
      <c r="T331" s="771">
        <v>42552.0</v>
      </c>
      <c r="U331" s="310" t="s">
        <v>9798</v>
      </c>
      <c r="V331" s="1135">
        <v>60113.0</v>
      </c>
      <c r="W331" s="832"/>
      <c r="X331" s="320" t="s">
        <v>9799</v>
      </c>
      <c r="Y331" s="1140"/>
      <c r="Z331" s="1140"/>
      <c r="AA331" s="1140"/>
      <c r="AB331" s="1141" t="s">
        <v>284</v>
      </c>
    </row>
    <row r="332" ht="15.75" customHeight="1">
      <c r="A332" s="258">
        <v>42544.0</v>
      </c>
      <c r="B332" s="578" t="s">
        <v>3506</v>
      </c>
      <c r="C332" s="765"/>
      <c r="D332" s="252" t="s">
        <v>9800</v>
      </c>
      <c r="E332" s="578" t="s">
        <v>6079</v>
      </c>
      <c r="F332" s="581">
        <v>10.0</v>
      </c>
      <c r="G332" s="267">
        <v>364.8</v>
      </c>
      <c r="H332" s="267">
        <f t="shared" si="16"/>
        <v>3648</v>
      </c>
      <c r="I332" s="256" t="s">
        <v>171</v>
      </c>
      <c r="J332" s="599" t="s">
        <v>3509</v>
      </c>
      <c r="K332" s="258">
        <v>42562.0</v>
      </c>
      <c r="L332" s="258">
        <v>42552.0</v>
      </c>
      <c r="M332" s="403" t="s">
        <v>90</v>
      </c>
      <c r="N332" s="252" t="s">
        <v>9801</v>
      </c>
      <c r="O332" s="581">
        <v>3475.5</v>
      </c>
      <c r="P332" s="330"/>
      <c r="Q332" s="320" t="s">
        <v>6081</v>
      </c>
      <c r="R332" s="330"/>
      <c r="S332" s="768">
        <v>42618.0</v>
      </c>
      <c r="T332" s="771">
        <v>42552.0</v>
      </c>
      <c r="U332" s="310" t="s">
        <v>9802</v>
      </c>
      <c r="V332" s="1135">
        <v>104345.0</v>
      </c>
      <c r="W332" s="832">
        <v>42608.0</v>
      </c>
      <c r="X332" s="320" t="s">
        <v>9425</v>
      </c>
      <c r="Y332" s="1140"/>
      <c r="Z332" s="1140"/>
      <c r="AA332" s="1140"/>
      <c r="AB332" s="320" t="s">
        <v>284</v>
      </c>
    </row>
    <row r="333" ht="15.75" customHeight="1">
      <c r="A333" s="258">
        <v>42544.0</v>
      </c>
      <c r="B333" s="578" t="s">
        <v>673</v>
      </c>
      <c r="C333" s="765"/>
      <c r="D333" s="310" t="s">
        <v>9803</v>
      </c>
      <c r="E333" s="578" t="s">
        <v>3608</v>
      </c>
      <c r="F333" s="581">
        <v>1.0</v>
      </c>
      <c r="G333" s="267">
        <v>410.0</v>
      </c>
      <c r="H333" s="267">
        <f t="shared" si="16"/>
        <v>410</v>
      </c>
      <c r="I333" s="256" t="s">
        <v>171</v>
      </c>
      <c r="J333" s="269" t="s">
        <v>9488</v>
      </c>
      <c r="K333" s="832">
        <v>42551.0</v>
      </c>
      <c r="L333" s="258">
        <v>42549.0</v>
      </c>
      <c r="M333" s="403" t="s">
        <v>90</v>
      </c>
      <c r="N333" s="252" t="s">
        <v>9804</v>
      </c>
      <c r="O333" s="581">
        <v>388.5</v>
      </c>
      <c r="P333" s="330"/>
      <c r="Q333" s="310" t="s">
        <v>6081</v>
      </c>
      <c r="R333" s="330"/>
      <c r="S333" s="768">
        <v>42590.0</v>
      </c>
      <c r="T333" s="771">
        <v>42548.0</v>
      </c>
      <c r="U333" s="310" t="s">
        <v>9805</v>
      </c>
      <c r="V333" s="1135">
        <v>12580.0</v>
      </c>
      <c r="W333" s="832">
        <v>42590.0</v>
      </c>
      <c r="X333" s="320" t="s">
        <v>9806</v>
      </c>
      <c r="Y333" s="1140"/>
      <c r="Z333" s="1140"/>
      <c r="AA333" s="1140"/>
      <c r="AB333" s="320" t="s">
        <v>284</v>
      </c>
    </row>
    <row r="334" ht="15.75" customHeight="1">
      <c r="A334" s="258">
        <v>42545.0</v>
      </c>
      <c r="B334" s="340" t="s">
        <v>77</v>
      </c>
      <c r="C334" s="765"/>
      <c r="D334" s="310" t="s">
        <v>9807</v>
      </c>
      <c r="E334" s="310" t="s">
        <v>9808</v>
      </c>
      <c r="F334" s="581">
        <v>1.0</v>
      </c>
      <c r="G334" s="267">
        <v>55.0</v>
      </c>
      <c r="H334" s="267">
        <f t="shared" si="16"/>
        <v>55</v>
      </c>
      <c r="I334" s="256" t="s">
        <v>171</v>
      </c>
      <c r="J334" s="333" t="s">
        <v>1098</v>
      </c>
      <c r="K334" s="832">
        <v>42572.0</v>
      </c>
      <c r="L334" s="258"/>
      <c r="M334" s="403" t="s">
        <v>9809</v>
      </c>
      <c r="N334" s="252"/>
      <c r="O334" s="581"/>
      <c r="P334" s="330">
        <v>3019.0</v>
      </c>
      <c r="Q334" s="310"/>
      <c r="R334" s="330" t="s">
        <v>9301</v>
      </c>
      <c r="S334" s="631"/>
      <c r="T334" s="771">
        <v>42549.0</v>
      </c>
      <c r="U334" s="310" t="s">
        <v>9810</v>
      </c>
      <c r="V334" s="1135">
        <v>4071.0</v>
      </c>
      <c r="W334" s="832">
        <v>42544.0</v>
      </c>
      <c r="X334" s="320" t="s">
        <v>9302</v>
      </c>
      <c r="Y334" s="1140"/>
      <c r="Z334" s="1140"/>
      <c r="AA334" s="1140"/>
      <c r="AB334" s="320" t="s">
        <v>284</v>
      </c>
    </row>
    <row r="335" ht="15.75" customHeight="1">
      <c r="A335" s="258">
        <v>42545.0</v>
      </c>
      <c r="B335" s="340" t="s">
        <v>77</v>
      </c>
      <c r="C335" s="765"/>
      <c r="D335" s="310" t="s">
        <v>9807</v>
      </c>
      <c r="E335" s="310" t="s">
        <v>9811</v>
      </c>
      <c r="F335" s="581">
        <v>1.0</v>
      </c>
      <c r="G335" s="267">
        <v>15.0</v>
      </c>
      <c r="H335" s="267">
        <f t="shared" si="16"/>
        <v>15</v>
      </c>
      <c r="I335" s="256" t="s">
        <v>171</v>
      </c>
      <c r="J335" s="333" t="s">
        <v>1098</v>
      </c>
      <c r="K335" s="258">
        <v>42572.0</v>
      </c>
      <c r="L335" s="258"/>
      <c r="M335" s="333" t="s">
        <v>9809</v>
      </c>
      <c r="N335" s="252"/>
      <c r="O335" s="581"/>
      <c r="P335" s="330">
        <v>1052.0</v>
      </c>
      <c r="Q335" s="320"/>
      <c r="R335" s="330" t="s">
        <v>9301</v>
      </c>
      <c r="S335" s="631"/>
      <c r="T335" s="771">
        <v>42549.0</v>
      </c>
      <c r="U335" s="310" t="s">
        <v>9810</v>
      </c>
      <c r="V335" s="256" t="s">
        <v>9812</v>
      </c>
      <c r="W335" s="832">
        <v>42544.0</v>
      </c>
      <c r="X335" s="320" t="s">
        <v>9302</v>
      </c>
      <c r="Y335" s="1140"/>
      <c r="Z335" s="1140"/>
      <c r="AA335" s="1140"/>
      <c r="AB335" s="320" t="s">
        <v>284</v>
      </c>
    </row>
    <row r="336" ht="15.75" customHeight="1">
      <c r="A336" s="601">
        <v>42374.0</v>
      </c>
      <c r="B336" s="604" t="s">
        <v>101</v>
      </c>
      <c r="C336" s="765" t="s">
        <v>9813</v>
      </c>
      <c r="D336" s="330" t="s">
        <v>9814</v>
      </c>
      <c r="E336" s="604" t="s">
        <v>9815</v>
      </c>
      <c r="F336" s="331">
        <v>6.0</v>
      </c>
      <c r="G336" s="254">
        <v>1186.0</v>
      </c>
      <c r="H336" s="1061">
        <f>F336*G336</f>
        <v>7116</v>
      </c>
      <c r="I336" s="256" t="s">
        <v>171</v>
      </c>
      <c r="J336" s="333" t="s">
        <v>8708</v>
      </c>
      <c r="K336" s="258">
        <v>42398.0</v>
      </c>
      <c r="L336" s="258">
        <v>42395.0</v>
      </c>
      <c r="M336" s="369" t="s">
        <v>2034</v>
      </c>
      <c r="N336" s="765" t="s">
        <v>9816</v>
      </c>
      <c r="O336" s="330"/>
      <c r="P336" s="581">
        <v>229320.0</v>
      </c>
      <c r="Q336" s="330" t="s">
        <v>6086</v>
      </c>
      <c r="R336" s="330"/>
      <c r="S336" s="631">
        <v>42465.0</v>
      </c>
      <c r="T336" s="1132">
        <v>42394.0</v>
      </c>
      <c r="U336" s="265" t="s">
        <v>9817</v>
      </c>
      <c r="V336" s="1135">
        <v>229320.0</v>
      </c>
      <c r="W336" s="1144">
        <v>42460.0</v>
      </c>
      <c r="X336" s="388" t="s">
        <v>8716</v>
      </c>
      <c r="Y336" s="1140"/>
      <c r="Z336" s="1153"/>
      <c r="AA336" s="1140"/>
      <c r="AB336" s="1140" t="s">
        <v>8661</v>
      </c>
    </row>
    <row r="337" ht="15.75" customHeight="1">
      <c r="A337" s="258">
        <v>42548.0</v>
      </c>
      <c r="B337" s="578" t="s">
        <v>5073</v>
      </c>
      <c r="C337" s="765" t="s">
        <v>9356</v>
      </c>
      <c r="D337" s="310" t="s">
        <v>9357</v>
      </c>
      <c r="E337" s="578" t="s">
        <v>6590</v>
      </c>
      <c r="F337" s="581">
        <v>12.0</v>
      </c>
      <c r="G337" s="267">
        <v>293.0</v>
      </c>
      <c r="H337" s="267">
        <f t="shared" ref="H337:H339" si="17">G337*F337</f>
        <v>3516</v>
      </c>
      <c r="I337" s="256" t="s">
        <v>3474</v>
      </c>
      <c r="J337" s="333" t="s">
        <v>8684</v>
      </c>
      <c r="K337" s="258">
        <v>42604.0</v>
      </c>
      <c r="L337" s="258">
        <v>42599.0</v>
      </c>
      <c r="M337" s="333" t="s">
        <v>90</v>
      </c>
      <c r="N337" s="252" t="s">
        <v>9818</v>
      </c>
      <c r="O337" s="1061">
        <v>2863.224</v>
      </c>
      <c r="P337" s="330"/>
      <c r="Q337" s="320" t="s">
        <v>6081</v>
      </c>
      <c r="R337" s="330"/>
      <c r="S337" s="1145">
        <v>42618.0</v>
      </c>
      <c r="T337" s="771">
        <v>42599.0</v>
      </c>
      <c r="U337" s="252" t="s">
        <v>9819</v>
      </c>
      <c r="V337" s="1135">
        <v>90177.0</v>
      </c>
      <c r="W337" s="832">
        <v>42621.0</v>
      </c>
      <c r="X337" s="320" t="s">
        <v>9260</v>
      </c>
      <c r="Y337" s="1140"/>
      <c r="Z337" s="1140"/>
      <c r="AA337" s="1140"/>
      <c r="AB337" s="320" t="s">
        <v>284</v>
      </c>
    </row>
    <row r="338" ht="15.75" customHeight="1">
      <c r="A338" s="776">
        <v>42548.0</v>
      </c>
      <c r="B338" s="340" t="s">
        <v>5073</v>
      </c>
      <c r="C338" s="765" t="s">
        <v>9356</v>
      </c>
      <c r="D338" s="310" t="s">
        <v>9357</v>
      </c>
      <c r="E338" s="578" t="s">
        <v>7613</v>
      </c>
      <c r="F338" s="581">
        <v>12.0</v>
      </c>
      <c r="G338" s="267">
        <v>129.0</v>
      </c>
      <c r="H338" s="267">
        <f t="shared" si="17"/>
        <v>1548</v>
      </c>
      <c r="I338" s="256" t="s">
        <v>3474</v>
      </c>
      <c r="J338" s="403" t="s">
        <v>8684</v>
      </c>
      <c r="K338" s="258">
        <v>42604.0</v>
      </c>
      <c r="L338" s="258">
        <v>42569.0</v>
      </c>
      <c r="M338" s="333" t="s">
        <v>6120</v>
      </c>
      <c r="N338" s="252" t="s">
        <v>9820</v>
      </c>
      <c r="O338" s="581"/>
      <c r="P338" s="310">
        <v>46847.0</v>
      </c>
      <c r="Q338" s="320"/>
      <c r="R338" s="330"/>
      <c r="S338" s="768">
        <v>42597.0</v>
      </c>
      <c r="T338" s="771">
        <v>42566.0</v>
      </c>
      <c r="U338" s="310" t="s">
        <v>9821</v>
      </c>
      <c r="V338" s="1135">
        <v>46847.0</v>
      </c>
      <c r="W338" s="832"/>
      <c r="X338" s="320" t="s">
        <v>9260</v>
      </c>
      <c r="Y338" s="1140"/>
      <c r="Z338" s="1140"/>
      <c r="AA338" s="1140"/>
      <c r="AB338" s="320" t="s">
        <v>284</v>
      </c>
    </row>
    <row r="339" ht="15.75" customHeight="1">
      <c r="A339" s="776">
        <v>42548.0</v>
      </c>
      <c r="B339" s="340" t="s">
        <v>6167</v>
      </c>
      <c r="C339" s="765">
        <v>7.000122391E9</v>
      </c>
      <c r="D339" s="310" t="s">
        <v>9822</v>
      </c>
      <c r="E339" s="578" t="s">
        <v>3651</v>
      </c>
      <c r="F339" s="581">
        <v>1.0</v>
      </c>
      <c r="G339" s="267">
        <v>385.0</v>
      </c>
      <c r="H339" s="267">
        <f t="shared" si="17"/>
        <v>385</v>
      </c>
      <c r="I339" s="256" t="s">
        <v>171</v>
      </c>
      <c r="J339" s="777" t="s">
        <v>3623</v>
      </c>
      <c r="K339" s="258">
        <v>42558.0</v>
      </c>
      <c r="L339" s="258">
        <v>42556.0</v>
      </c>
      <c r="M339" s="403" t="s">
        <v>6120</v>
      </c>
      <c r="N339" s="310" t="s">
        <v>9823</v>
      </c>
      <c r="O339" s="581"/>
      <c r="P339" s="310">
        <v>11603.0</v>
      </c>
      <c r="Q339" s="310" t="s">
        <v>8689</v>
      </c>
      <c r="R339" s="330"/>
      <c r="S339" s="631"/>
      <c r="T339" s="771">
        <v>42552.0</v>
      </c>
      <c r="U339" s="310" t="s">
        <v>9824</v>
      </c>
      <c r="V339" s="1135">
        <v>11603.0</v>
      </c>
      <c r="W339" s="832">
        <v>42557.0</v>
      </c>
      <c r="X339" s="320" t="s">
        <v>9825</v>
      </c>
      <c r="Y339" s="1140"/>
      <c r="Z339" s="1140"/>
      <c r="AA339" s="1140"/>
      <c r="AB339" s="320" t="s">
        <v>284</v>
      </c>
    </row>
    <row r="340" ht="15.75" customHeight="1">
      <c r="A340" s="796">
        <v>42549.0</v>
      </c>
      <c r="B340" s="786" t="s">
        <v>101</v>
      </c>
      <c r="C340" s="789" t="s">
        <v>9826</v>
      </c>
      <c r="D340" s="798" t="s">
        <v>9827</v>
      </c>
      <c r="E340" s="1164" t="s">
        <v>9828</v>
      </c>
      <c r="F340" s="858">
        <v>1.0</v>
      </c>
      <c r="G340" s="281">
        <v>146.0</v>
      </c>
      <c r="H340" s="281">
        <v>0.0</v>
      </c>
      <c r="I340" s="282" t="s">
        <v>3474</v>
      </c>
      <c r="J340" s="403"/>
      <c r="K340" s="258"/>
      <c r="L340" s="258"/>
      <c r="M340" s="333"/>
      <c r="N340" s="252"/>
      <c r="O340" s="581"/>
      <c r="P340" s="330"/>
      <c r="Q340" s="320"/>
      <c r="R340" s="330"/>
      <c r="S340" s="631"/>
      <c r="T340" s="1007"/>
      <c r="U340" s="1007"/>
      <c r="V340" s="1175"/>
      <c r="W340" s="1163"/>
      <c r="X340" s="1141"/>
      <c r="Y340" s="1140"/>
      <c r="Z340" s="1140"/>
      <c r="AA340" s="1140"/>
      <c r="AB340" s="320"/>
    </row>
    <row r="341" ht="15.75" customHeight="1">
      <c r="A341" s="776">
        <v>42549.0</v>
      </c>
      <c r="B341" s="340" t="s">
        <v>6167</v>
      </c>
      <c r="C341" s="765">
        <v>7.000122465E9</v>
      </c>
      <c r="D341" s="310" t="s">
        <v>9829</v>
      </c>
      <c r="E341" s="578" t="s">
        <v>9830</v>
      </c>
      <c r="F341" s="581">
        <v>2.0</v>
      </c>
      <c r="G341" s="267">
        <v>50.0</v>
      </c>
      <c r="H341" s="267">
        <f t="shared" ref="H341:H364" si="18">G341*F341</f>
        <v>100</v>
      </c>
      <c r="I341" s="256" t="s">
        <v>171</v>
      </c>
      <c r="J341" s="403" t="s">
        <v>3623</v>
      </c>
      <c r="K341" s="258">
        <v>42558.0</v>
      </c>
      <c r="L341" s="258">
        <v>42556.0</v>
      </c>
      <c r="M341" s="333" t="s">
        <v>6120</v>
      </c>
      <c r="N341" s="310" t="s">
        <v>9831</v>
      </c>
      <c r="O341" s="581"/>
      <c r="P341" s="310">
        <v>2835.0</v>
      </c>
      <c r="Q341" s="320" t="s">
        <v>8689</v>
      </c>
      <c r="R341" s="330"/>
      <c r="S341" s="768">
        <v>42597.0</v>
      </c>
      <c r="T341" s="771">
        <v>42552.0</v>
      </c>
      <c r="U341" s="310" t="s">
        <v>9832</v>
      </c>
      <c r="V341" s="1135">
        <v>5809.0</v>
      </c>
      <c r="W341" s="832"/>
      <c r="X341" s="320" t="s">
        <v>9825</v>
      </c>
      <c r="Y341" s="1140"/>
      <c r="Z341" s="1140"/>
      <c r="AA341" s="1140"/>
      <c r="AB341" s="320" t="s">
        <v>284</v>
      </c>
    </row>
    <row r="342" ht="15.75" customHeight="1">
      <c r="A342" s="776">
        <v>42549.0</v>
      </c>
      <c r="B342" s="340" t="s">
        <v>6167</v>
      </c>
      <c r="C342" s="765">
        <v>7.000122465E9</v>
      </c>
      <c r="D342" s="310" t="s">
        <v>9829</v>
      </c>
      <c r="E342" s="578" t="s">
        <v>9833</v>
      </c>
      <c r="F342" s="581">
        <v>2.0</v>
      </c>
      <c r="G342" s="267">
        <v>52.0</v>
      </c>
      <c r="H342" s="267">
        <f t="shared" si="18"/>
        <v>104</v>
      </c>
      <c r="I342" s="256" t="s">
        <v>171</v>
      </c>
      <c r="J342" s="403" t="s">
        <v>3623</v>
      </c>
      <c r="K342" s="258">
        <v>42558.0</v>
      </c>
      <c r="L342" s="258">
        <v>42556.0</v>
      </c>
      <c r="M342" s="333" t="s">
        <v>6120</v>
      </c>
      <c r="N342" s="310" t="s">
        <v>9831</v>
      </c>
      <c r="O342" s="581"/>
      <c r="P342" s="310">
        <v>2974.0</v>
      </c>
      <c r="Q342" s="320" t="s">
        <v>8689</v>
      </c>
      <c r="R342" s="330"/>
      <c r="S342" s="768">
        <v>42597.0</v>
      </c>
      <c r="T342" s="771">
        <v>42552.0</v>
      </c>
      <c r="U342" s="310" t="s">
        <v>9832</v>
      </c>
      <c r="V342" s="256" t="s">
        <v>9834</v>
      </c>
      <c r="W342" s="832"/>
      <c r="X342" s="320" t="s">
        <v>9825</v>
      </c>
      <c r="Y342" s="1140"/>
      <c r="Z342" s="1140"/>
      <c r="AA342" s="1140"/>
      <c r="AB342" s="320" t="s">
        <v>284</v>
      </c>
    </row>
    <row r="343" ht="15.75" customHeight="1">
      <c r="A343" s="776">
        <v>42550.0</v>
      </c>
      <c r="B343" s="340" t="s">
        <v>6167</v>
      </c>
      <c r="C343" s="765">
        <v>7.000122478E9</v>
      </c>
      <c r="D343" s="310" t="s">
        <v>9835</v>
      </c>
      <c r="E343" s="578" t="s">
        <v>9836</v>
      </c>
      <c r="F343" s="581">
        <v>1.0</v>
      </c>
      <c r="G343" s="267">
        <v>102.0</v>
      </c>
      <c r="H343" s="267">
        <f t="shared" si="18"/>
        <v>102</v>
      </c>
      <c r="I343" s="256" t="s">
        <v>171</v>
      </c>
      <c r="J343" s="403" t="s">
        <v>3623</v>
      </c>
      <c r="K343" s="258">
        <v>42558.0</v>
      </c>
      <c r="L343" s="258">
        <v>42557.0</v>
      </c>
      <c r="M343" s="403" t="s">
        <v>6120</v>
      </c>
      <c r="N343" s="310" t="s">
        <v>9837</v>
      </c>
      <c r="O343" s="581"/>
      <c r="P343" s="310">
        <v>2987.0</v>
      </c>
      <c r="Q343" s="310" t="s">
        <v>8689</v>
      </c>
      <c r="R343" s="330"/>
      <c r="S343" s="768">
        <v>42597.0</v>
      </c>
      <c r="T343" s="1132">
        <v>42556.0</v>
      </c>
      <c r="U343" s="320" t="s">
        <v>9838</v>
      </c>
      <c r="V343" s="1135">
        <v>2987.0</v>
      </c>
      <c r="W343" s="832"/>
      <c r="X343" s="320" t="s">
        <v>9825</v>
      </c>
      <c r="Y343" s="1140"/>
      <c r="Z343" s="1140"/>
      <c r="AA343" s="1140"/>
      <c r="AB343" s="320" t="s">
        <v>284</v>
      </c>
    </row>
    <row r="344" ht="15.75" customHeight="1">
      <c r="A344" s="776">
        <v>42550.0</v>
      </c>
      <c r="B344" s="340" t="s">
        <v>6116</v>
      </c>
      <c r="C344" s="765"/>
      <c r="D344" s="310" t="s">
        <v>9839</v>
      </c>
      <c r="E344" s="578" t="s">
        <v>9840</v>
      </c>
      <c r="F344" s="581">
        <v>10.0</v>
      </c>
      <c r="G344" s="267">
        <v>11.0</v>
      </c>
      <c r="H344" s="267">
        <f t="shared" si="18"/>
        <v>110</v>
      </c>
      <c r="I344" s="779" t="s">
        <v>3474</v>
      </c>
      <c r="J344" s="403" t="s">
        <v>6119</v>
      </c>
      <c r="K344" s="258">
        <v>42562.0</v>
      </c>
      <c r="L344" s="258">
        <v>42555.0</v>
      </c>
      <c r="M344" s="403" t="s">
        <v>9841</v>
      </c>
      <c r="N344" s="252">
        <v>2.0160701009809E13</v>
      </c>
      <c r="O344" s="581"/>
      <c r="P344" s="310">
        <v>2590.0</v>
      </c>
      <c r="Q344" s="310" t="s">
        <v>9842</v>
      </c>
      <c r="R344" s="330"/>
      <c r="S344" s="631"/>
      <c r="T344" s="771">
        <v>42552.0</v>
      </c>
      <c r="U344" s="310" t="s">
        <v>9843</v>
      </c>
      <c r="V344" s="1030">
        <v>2590.0</v>
      </c>
      <c r="W344" s="832">
        <v>42552.0</v>
      </c>
      <c r="X344" s="320" t="s">
        <v>9799</v>
      </c>
      <c r="Y344" s="1140"/>
      <c r="Z344" s="1140"/>
      <c r="AA344" s="1140"/>
      <c r="AB344" s="1141" t="s">
        <v>284</v>
      </c>
    </row>
    <row r="345" ht="15.75" customHeight="1">
      <c r="A345" s="776">
        <v>42550.0</v>
      </c>
      <c r="B345" s="340" t="s">
        <v>6116</v>
      </c>
      <c r="C345" s="765"/>
      <c r="D345" s="310" t="s">
        <v>9839</v>
      </c>
      <c r="E345" s="578" t="s">
        <v>700</v>
      </c>
      <c r="F345" s="581">
        <v>1.0</v>
      </c>
      <c r="G345" s="466">
        <v>25.0</v>
      </c>
      <c r="H345" s="267">
        <f t="shared" si="18"/>
        <v>25</v>
      </c>
      <c r="I345" s="779" t="s">
        <v>3474</v>
      </c>
      <c r="J345" s="333"/>
      <c r="K345" s="258">
        <v>42562.0</v>
      </c>
      <c r="L345" s="258"/>
      <c r="M345" s="403"/>
      <c r="N345" s="252"/>
      <c r="O345" s="581"/>
      <c r="P345" s="330"/>
      <c r="Q345" s="310"/>
      <c r="R345" s="330"/>
      <c r="S345" s="631"/>
      <c r="T345" s="310" t="s">
        <v>5701</v>
      </c>
      <c r="U345" s="310" t="s">
        <v>5701</v>
      </c>
      <c r="V345" s="320" t="s">
        <v>5701</v>
      </c>
      <c r="W345" s="832"/>
      <c r="X345" s="320" t="s">
        <v>9799</v>
      </c>
      <c r="Y345" s="1140"/>
      <c r="Z345" s="1140"/>
      <c r="AA345" s="1140"/>
      <c r="AB345" s="1141" t="s">
        <v>284</v>
      </c>
    </row>
    <row r="346" ht="15.75" customHeight="1">
      <c r="A346" s="776">
        <v>42551.0</v>
      </c>
      <c r="B346" s="599" t="s">
        <v>631</v>
      </c>
      <c r="C346" s="765" t="s">
        <v>9844</v>
      </c>
      <c r="D346" s="310" t="s">
        <v>9845</v>
      </c>
      <c r="E346" s="578" t="s">
        <v>4269</v>
      </c>
      <c r="F346" s="581">
        <v>20.0</v>
      </c>
      <c r="G346" s="466">
        <v>164.85</v>
      </c>
      <c r="H346" s="267">
        <f t="shared" si="18"/>
        <v>3297</v>
      </c>
      <c r="I346" s="256" t="s">
        <v>171</v>
      </c>
      <c r="J346" s="333" t="s">
        <v>9220</v>
      </c>
      <c r="K346" s="258">
        <v>42565.0</v>
      </c>
      <c r="L346" s="258">
        <v>42564.0</v>
      </c>
      <c r="M346" s="403" t="s">
        <v>9846</v>
      </c>
      <c r="N346" s="252" t="s">
        <v>9847</v>
      </c>
      <c r="O346" s="581"/>
      <c r="P346" s="310">
        <v>101850.0</v>
      </c>
      <c r="Q346" s="310" t="s">
        <v>2265</v>
      </c>
      <c r="R346" s="330"/>
      <c r="S346" s="631"/>
      <c r="T346" s="771">
        <v>42563.0</v>
      </c>
      <c r="U346" s="310" t="s">
        <v>9848</v>
      </c>
      <c r="V346" s="1030">
        <v>101850.0</v>
      </c>
      <c r="W346" s="832">
        <v>42558.0</v>
      </c>
      <c r="X346" s="320" t="s">
        <v>9626</v>
      </c>
      <c r="Y346" s="388" t="s">
        <v>9627</v>
      </c>
      <c r="Z346" s="1137" t="s">
        <v>9849</v>
      </c>
      <c r="AA346" s="388" t="s">
        <v>9217</v>
      </c>
      <c r="AB346" s="1141"/>
    </row>
    <row r="347" ht="15.75" customHeight="1">
      <c r="A347" s="776">
        <v>42551.0</v>
      </c>
      <c r="B347" s="599" t="s">
        <v>631</v>
      </c>
      <c r="C347" s="1004" t="s">
        <v>9844</v>
      </c>
      <c r="D347" s="310" t="s">
        <v>9850</v>
      </c>
      <c r="E347" s="578" t="s">
        <v>4269</v>
      </c>
      <c r="F347" s="581">
        <v>20.0</v>
      </c>
      <c r="G347" s="267">
        <v>164.85</v>
      </c>
      <c r="H347" s="267">
        <f t="shared" si="18"/>
        <v>3297</v>
      </c>
      <c r="I347" s="266" t="s">
        <v>171</v>
      </c>
      <c r="J347" s="403" t="s">
        <v>9220</v>
      </c>
      <c r="K347" s="258">
        <v>42565.0</v>
      </c>
      <c r="L347" s="258">
        <v>42563.0</v>
      </c>
      <c r="M347" s="403" t="s">
        <v>9851</v>
      </c>
      <c r="N347" s="252" t="s">
        <v>9852</v>
      </c>
      <c r="O347" s="581"/>
      <c r="P347" s="310">
        <v>101850.0</v>
      </c>
      <c r="Q347" s="320" t="s">
        <v>6511</v>
      </c>
      <c r="R347" s="330"/>
      <c r="S347" s="631"/>
      <c r="T347" s="771">
        <v>42564.0</v>
      </c>
      <c r="U347" s="252" t="s">
        <v>9853</v>
      </c>
      <c r="V347" s="1030">
        <v>101850.0</v>
      </c>
      <c r="W347" s="832">
        <v>42558.0</v>
      </c>
      <c r="X347" s="320" t="s">
        <v>9626</v>
      </c>
      <c r="Y347" s="388" t="s">
        <v>9627</v>
      </c>
      <c r="Z347" s="1137" t="s">
        <v>9849</v>
      </c>
      <c r="AA347" s="388" t="s">
        <v>9217</v>
      </c>
      <c r="AB347" s="1141"/>
    </row>
    <row r="348" ht="15.75" customHeight="1">
      <c r="A348" s="776">
        <v>42552.0</v>
      </c>
      <c r="B348" s="599" t="s">
        <v>54</v>
      </c>
      <c r="C348" s="1004" t="s">
        <v>9854</v>
      </c>
      <c r="D348" s="310" t="s">
        <v>9855</v>
      </c>
      <c r="E348" s="578" t="s">
        <v>3793</v>
      </c>
      <c r="F348" s="331">
        <v>4.0</v>
      </c>
      <c r="G348" s="254">
        <v>150.15</v>
      </c>
      <c r="H348" s="578">
        <f t="shared" si="18"/>
        <v>600.6</v>
      </c>
      <c r="I348" s="256" t="s">
        <v>8675</v>
      </c>
      <c r="J348" s="403" t="s">
        <v>233</v>
      </c>
      <c r="K348" s="258">
        <v>42569.0</v>
      </c>
      <c r="L348" s="258"/>
      <c r="M348" s="333" t="s">
        <v>90</v>
      </c>
      <c r="N348" s="252" t="s">
        <v>9856</v>
      </c>
      <c r="O348" s="581">
        <v>537.6</v>
      </c>
      <c r="P348" s="330"/>
      <c r="Q348" s="320" t="s">
        <v>6081</v>
      </c>
      <c r="R348" s="330"/>
      <c r="S348" s="768">
        <v>42618.0</v>
      </c>
      <c r="T348" s="771">
        <v>42566.0</v>
      </c>
      <c r="U348" s="252" t="s">
        <v>9857</v>
      </c>
      <c r="V348" s="1030">
        <v>17319.0</v>
      </c>
      <c r="W348" s="832">
        <v>42608.0</v>
      </c>
      <c r="X348" s="320" t="s">
        <v>9858</v>
      </c>
      <c r="Y348" s="388" t="s">
        <v>9859</v>
      </c>
      <c r="Z348" s="1146">
        <v>19189.0</v>
      </c>
      <c r="AA348" s="388" t="s">
        <v>9860</v>
      </c>
      <c r="AB348" s="1141"/>
    </row>
    <row r="349" ht="15.75" customHeight="1">
      <c r="A349" s="776">
        <v>42555.0</v>
      </c>
      <c r="B349" s="340" t="s">
        <v>77</v>
      </c>
      <c r="C349" s="1004">
        <v>636.0</v>
      </c>
      <c r="D349" s="310" t="s">
        <v>9861</v>
      </c>
      <c r="E349" s="602" t="s">
        <v>362</v>
      </c>
      <c r="F349" s="581">
        <v>100.0</v>
      </c>
      <c r="G349" s="267">
        <v>20.0</v>
      </c>
      <c r="H349" s="267">
        <f t="shared" si="18"/>
        <v>2000</v>
      </c>
      <c r="I349" s="256" t="s">
        <v>171</v>
      </c>
      <c r="J349" s="269" t="s">
        <v>316</v>
      </c>
      <c r="K349" s="258">
        <v>42565.0</v>
      </c>
      <c r="L349" s="258">
        <v>42563.0</v>
      </c>
      <c r="M349" s="369" t="s">
        <v>6287</v>
      </c>
      <c r="N349" s="252" t="s">
        <v>9862</v>
      </c>
      <c r="O349" s="339"/>
      <c r="P349" s="310">
        <v>58847.0</v>
      </c>
      <c r="Q349" s="388" t="s">
        <v>2043</v>
      </c>
      <c r="R349" s="330"/>
      <c r="S349" s="768">
        <v>42577.0</v>
      </c>
      <c r="T349" s="771">
        <v>42563.0</v>
      </c>
      <c r="U349" s="310" t="s">
        <v>9863</v>
      </c>
      <c r="V349" s="1135">
        <v>58847.0</v>
      </c>
      <c r="W349" s="832">
        <v>42577.0</v>
      </c>
      <c r="X349" s="320" t="s">
        <v>9864</v>
      </c>
      <c r="Y349" s="1140"/>
      <c r="Z349" s="1140"/>
      <c r="AA349" s="1140"/>
      <c r="AB349" s="320" t="s">
        <v>284</v>
      </c>
    </row>
    <row r="350" ht="15.75" customHeight="1">
      <c r="A350" s="776">
        <v>42555.0</v>
      </c>
      <c r="B350" s="578" t="s">
        <v>3506</v>
      </c>
      <c r="C350" s="1004"/>
      <c r="D350" s="310" t="s">
        <v>9865</v>
      </c>
      <c r="E350" s="330" t="s">
        <v>9866</v>
      </c>
      <c r="F350" s="581">
        <v>1.0</v>
      </c>
      <c r="G350" s="267">
        <v>0.0</v>
      </c>
      <c r="H350" s="267">
        <f t="shared" si="18"/>
        <v>0</v>
      </c>
      <c r="I350" s="256" t="s">
        <v>171</v>
      </c>
      <c r="J350" s="599" t="s">
        <v>3509</v>
      </c>
      <c r="K350" s="258">
        <v>42562.0</v>
      </c>
      <c r="L350" s="258"/>
      <c r="M350" s="403"/>
      <c r="N350" s="252"/>
      <c r="O350" s="581"/>
      <c r="P350" s="330"/>
      <c r="Q350" s="320"/>
      <c r="R350" s="330"/>
      <c r="S350" s="631"/>
      <c r="T350" s="771">
        <v>42719.0</v>
      </c>
      <c r="U350" s="252" t="s">
        <v>9867</v>
      </c>
      <c r="V350" s="1030">
        <v>795.0</v>
      </c>
      <c r="W350" s="1163"/>
      <c r="X350" s="1141"/>
      <c r="Y350" s="1140"/>
      <c r="Z350" s="1140"/>
      <c r="AA350" s="1140"/>
      <c r="AB350" s="320" t="s">
        <v>9131</v>
      </c>
    </row>
    <row r="351" ht="15.75" customHeight="1">
      <c r="A351" s="776">
        <v>42555.0</v>
      </c>
      <c r="B351" s="578" t="s">
        <v>3506</v>
      </c>
      <c r="C351" s="1004"/>
      <c r="D351" s="310" t="s">
        <v>9868</v>
      </c>
      <c r="E351" s="259" t="s">
        <v>9869</v>
      </c>
      <c r="F351" s="581">
        <v>1.0</v>
      </c>
      <c r="G351" s="267">
        <v>0.0</v>
      </c>
      <c r="H351" s="267">
        <f t="shared" si="18"/>
        <v>0</v>
      </c>
      <c r="I351" s="256" t="s">
        <v>171</v>
      </c>
      <c r="J351" s="599" t="s">
        <v>3509</v>
      </c>
      <c r="K351" s="886">
        <v>42719.0</v>
      </c>
      <c r="L351" s="258">
        <v>42584.0</v>
      </c>
      <c r="M351" s="333" t="s">
        <v>9870</v>
      </c>
      <c r="N351" s="252"/>
      <c r="O351" s="581"/>
      <c r="P351" s="791">
        <v>795.0</v>
      </c>
      <c r="Q351" s="320"/>
      <c r="R351" s="330"/>
      <c r="S351" s="631"/>
      <c r="T351" s="310" t="s">
        <v>9871</v>
      </c>
      <c r="U351" s="310" t="s">
        <v>9871</v>
      </c>
      <c r="V351" s="320" t="s">
        <v>9871</v>
      </c>
      <c r="W351" s="1163"/>
      <c r="X351" s="1141"/>
      <c r="Y351" s="1140"/>
      <c r="Z351" s="1140"/>
      <c r="AA351" s="1140"/>
      <c r="AB351" s="320" t="s">
        <v>9131</v>
      </c>
    </row>
    <row r="352" ht="15.75" customHeight="1">
      <c r="A352" s="776">
        <v>42556.0</v>
      </c>
      <c r="B352" s="340" t="s">
        <v>101</v>
      </c>
      <c r="C352" s="1004" t="s">
        <v>9872</v>
      </c>
      <c r="D352" s="310" t="s">
        <v>9873</v>
      </c>
      <c r="E352" s="578" t="s">
        <v>9874</v>
      </c>
      <c r="F352" s="581">
        <v>2.0</v>
      </c>
      <c r="G352" s="267">
        <v>409.0</v>
      </c>
      <c r="H352" s="267">
        <f t="shared" si="18"/>
        <v>818</v>
      </c>
      <c r="I352" s="256" t="s">
        <v>3474</v>
      </c>
      <c r="J352" s="403" t="s">
        <v>5995</v>
      </c>
      <c r="K352" s="258">
        <v>42580.0</v>
      </c>
      <c r="L352" s="258">
        <v>42572.0</v>
      </c>
      <c r="M352" s="266" t="s">
        <v>1439</v>
      </c>
      <c r="N352" s="252" t="s">
        <v>9875</v>
      </c>
      <c r="O352" s="581"/>
      <c r="P352" s="310">
        <v>24480.0</v>
      </c>
      <c r="Q352" s="388" t="s">
        <v>1976</v>
      </c>
      <c r="R352" s="330"/>
      <c r="S352" s="768">
        <v>42587.0</v>
      </c>
      <c r="T352" s="771">
        <v>42572.0</v>
      </c>
      <c r="U352" s="310" t="s">
        <v>9876</v>
      </c>
      <c r="V352" s="1135">
        <v>24820.0</v>
      </c>
      <c r="W352" s="832">
        <v>42590.0</v>
      </c>
      <c r="X352" s="252" t="s">
        <v>9877</v>
      </c>
      <c r="Y352" s="1140"/>
      <c r="Z352" s="1140"/>
      <c r="AA352" s="1140"/>
      <c r="AB352" s="388" t="s">
        <v>284</v>
      </c>
    </row>
    <row r="353" ht="15.75" customHeight="1">
      <c r="A353" s="776">
        <v>42556.0</v>
      </c>
      <c r="B353" s="340" t="s">
        <v>101</v>
      </c>
      <c r="C353" s="1004" t="s">
        <v>9872</v>
      </c>
      <c r="D353" s="310" t="s">
        <v>9873</v>
      </c>
      <c r="E353" s="578" t="s">
        <v>9878</v>
      </c>
      <c r="F353" s="581">
        <v>2.0</v>
      </c>
      <c r="G353" s="267">
        <v>36.0</v>
      </c>
      <c r="H353" s="267">
        <f t="shared" si="18"/>
        <v>72</v>
      </c>
      <c r="I353" s="256" t="s">
        <v>3474</v>
      </c>
      <c r="J353" s="403" t="s">
        <v>5995</v>
      </c>
      <c r="K353" s="258">
        <v>42580.0</v>
      </c>
      <c r="L353" s="258">
        <v>42565.0</v>
      </c>
      <c r="M353" s="403" t="s">
        <v>6935</v>
      </c>
      <c r="N353" s="252" t="s">
        <v>9879</v>
      </c>
      <c r="O353" s="581"/>
      <c r="P353" s="310">
        <v>1103.0</v>
      </c>
      <c r="Q353" s="320" t="s">
        <v>2172</v>
      </c>
      <c r="R353" s="330"/>
      <c r="S353" s="631">
        <v>42565.0</v>
      </c>
      <c r="T353" s="771">
        <v>42565.0</v>
      </c>
      <c r="U353" s="310" t="s">
        <v>9880</v>
      </c>
      <c r="V353" s="1135">
        <v>3965.0</v>
      </c>
      <c r="W353" s="832">
        <v>42565.0</v>
      </c>
      <c r="X353" s="252" t="s">
        <v>9877</v>
      </c>
      <c r="Y353" s="1140"/>
      <c r="Z353" s="1140"/>
      <c r="AA353" s="1140"/>
      <c r="AB353" s="388" t="s">
        <v>284</v>
      </c>
    </row>
    <row r="354" ht="15.75" customHeight="1">
      <c r="A354" s="776">
        <v>42556.0</v>
      </c>
      <c r="B354" s="340" t="s">
        <v>101</v>
      </c>
      <c r="C354" s="1004" t="s">
        <v>9872</v>
      </c>
      <c r="D354" s="310" t="s">
        <v>9873</v>
      </c>
      <c r="E354" s="578" t="s">
        <v>9881</v>
      </c>
      <c r="F354" s="581">
        <v>2.0</v>
      </c>
      <c r="G354" s="267">
        <v>55.0</v>
      </c>
      <c r="H354" s="267">
        <f t="shared" si="18"/>
        <v>110</v>
      </c>
      <c r="I354" s="256" t="s">
        <v>3474</v>
      </c>
      <c r="J354" s="403" t="s">
        <v>5995</v>
      </c>
      <c r="K354" s="258">
        <v>42580.0</v>
      </c>
      <c r="L354" s="258"/>
      <c r="M354" s="403" t="s">
        <v>6935</v>
      </c>
      <c r="N354" s="252" t="s">
        <v>9879</v>
      </c>
      <c r="O354" s="581"/>
      <c r="P354" s="310">
        <v>2863.0</v>
      </c>
      <c r="Q354" s="320" t="s">
        <v>2172</v>
      </c>
      <c r="R354" s="330"/>
      <c r="S354" s="631">
        <v>42565.0</v>
      </c>
      <c r="T354" s="771">
        <v>42565.0</v>
      </c>
      <c r="U354" s="310" t="s">
        <v>9880</v>
      </c>
      <c r="V354" s="1135" t="s">
        <v>9882</v>
      </c>
      <c r="W354" s="832">
        <v>42565.0</v>
      </c>
      <c r="X354" s="252" t="s">
        <v>9877</v>
      </c>
      <c r="Y354" s="1140"/>
      <c r="Z354" s="1140"/>
      <c r="AA354" s="1140"/>
      <c r="AB354" s="388" t="s">
        <v>284</v>
      </c>
    </row>
    <row r="355" ht="15.75" customHeight="1">
      <c r="A355" s="776">
        <v>42556.0</v>
      </c>
      <c r="B355" s="340" t="s">
        <v>101</v>
      </c>
      <c r="C355" s="1004" t="s">
        <v>9872</v>
      </c>
      <c r="D355" s="310" t="s">
        <v>9873</v>
      </c>
      <c r="E355" s="310" t="s">
        <v>9883</v>
      </c>
      <c r="F355" s="581">
        <v>2.0</v>
      </c>
      <c r="G355" s="267">
        <v>6.0</v>
      </c>
      <c r="H355" s="267">
        <f t="shared" si="18"/>
        <v>12</v>
      </c>
      <c r="I355" s="256" t="s">
        <v>3474</v>
      </c>
      <c r="J355" s="403" t="s">
        <v>5995</v>
      </c>
      <c r="K355" s="258">
        <v>42580.0</v>
      </c>
      <c r="L355" s="258">
        <v>42572.0</v>
      </c>
      <c r="M355" s="266" t="s">
        <v>1439</v>
      </c>
      <c r="N355" s="252" t="s">
        <v>9875</v>
      </c>
      <c r="O355" s="581"/>
      <c r="P355" s="310">
        <v>340.0</v>
      </c>
      <c r="Q355" s="388" t="s">
        <v>1976</v>
      </c>
      <c r="R355" s="330"/>
      <c r="S355" s="768">
        <v>42587.0</v>
      </c>
      <c r="T355" s="771">
        <v>42572.0</v>
      </c>
      <c r="U355" s="310" t="s">
        <v>9876</v>
      </c>
      <c r="V355" s="1135" t="s">
        <v>9884</v>
      </c>
      <c r="W355" s="832">
        <v>42590.0</v>
      </c>
      <c r="X355" s="252" t="s">
        <v>9877</v>
      </c>
      <c r="Y355" s="1140"/>
      <c r="Z355" s="1140"/>
      <c r="AA355" s="1140"/>
      <c r="AB355" s="388" t="s">
        <v>284</v>
      </c>
    </row>
    <row r="356" ht="15.75" customHeight="1">
      <c r="A356" s="776">
        <v>42556.0</v>
      </c>
      <c r="B356" s="340" t="s">
        <v>101</v>
      </c>
      <c r="C356" s="1004" t="s">
        <v>9872</v>
      </c>
      <c r="D356" s="310" t="s">
        <v>9873</v>
      </c>
      <c r="E356" s="310" t="s">
        <v>347</v>
      </c>
      <c r="F356" s="578">
        <v>1.0</v>
      </c>
      <c r="G356" s="578">
        <v>70.0</v>
      </c>
      <c r="H356" s="267">
        <f t="shared" si="18"/>
        <v>70</v>
      </c>
      <c r="I356" s="256" t="s">
        <v>3474</v>
      </c>
      <c r="J356" s="403" t="s">
        <v>5995</v>
      </c>
      <c r="K356" s="258">
        <v>42580.0</v>
      </c>
      <c r="L356" s="630"/>
      <c r="M356" s="266" t="s">
        <v>2032</v>
      </c>
      <c r="N356" s="252"/>
      <c r="O356" s="581"/>
      <c r="P356" s="310">
        <v>4083.0</v>
      </c>
      <c r="Q356" s="388" t="s">
        <v>2033</v>
      </c>
      <c r="R356" s="330"/>
      <c r="S356" s="768">
        <v>42624.0</v>
      </c>
      <c r="T356" s="771">
        <v>42594.0</v>
      </c>
      <c r="U356" s="252" t="s">
        <v>6023</v>
      </c>
      <c r="V356" s="266" t="s">
        <v>6024</v>
      </c>
      <c r="W356" s="832">
        <v>42619.0</v>
      </c>
      <c r="X356" s="252" t="s">
        <v>9877</v>
      </c>
      <c r="Y356" s="1140"/>
      <c r="Z356" s="1140"/>
      <c r="AA356" s="1140"/>
      <c r="AB356" s="388" t="s">
        <v>284</v>
      </c>
    </row>
    <row r="357" ht="15.75" customHeight="1">
      <c r="A357" s="776">
        <v>42556.0</v>
      </c>
      <c r="B357" s="340" t="s">
        <v>101</v>
      </c>
      <c r="C357" s="765" t="s">
        <v>9885</v>
      </c>
      <c r="D357" s="310" t="s">
        <v>9886</v>
      </c>
      <c r="E357" s="310" t="s">
        <v>8962</v>
      </c>
      <c r="F357" s="578">
        <v>1.0</v>
      </c>
      <c r="G357" s="578">
        <v>575.0</v>
      </c>
      <c r="H357" s="267">
        <f t="shared" si="18"/>
        <v>575</v>
      </c>
      <c r="I357" s="256" t="s">
        <v>3474</v>
      </c>
      <c r="J357" s="403" t="s">
        <v>5995</v>
      </c>
      <c r="K357" s="258">
        <v>42580.0</v>
      </c>
      <c r="L357" s="258">
        <v>42579.0</v>
      </c>
      <c r="M357" s="266" t="s">
        <v>1439</v>
      </c>
      <c r="N357" s="252" t="s">
        <v>9887</v>
      </c>
      <c r="O357" s="581"/>
      <c r="P357" s="310">
        <v>17297.0</v>
      </c>
      <c r="Q357" s="388" t="s">
        <v>1976</v>
      </c>
      <c r="R357" s="330"/>
      <c r="S357" s="768">
        <v>42587.0</v>
      </c>
      <c r="T357" s="771">
        <v>42577.0</v>
      </c>
      <c r="U357" s="252" t="s">
        <v>9888</v>
      </c>
      <c r="V357" s="1030">
        <v>20350.0</v>
      </c>
      <c r="W357" s="832">
        <v>42590.0</v>
      </c>
      <c r="X357" s="252" t="s">
        <v>9877</v>
      </c>
      <c r="Y357" s="1140"/>
      <c r="Z357" s="1140"/>
      <c r="AA357" s="1140"/>
      <c r="AB357" s="388" t="s">
        <v>284</v>
      </c>
    </row>
    <row r="358" ht="15.75" customHeight="1">
      <c r="A358" s="776">
        <v>42556.0</v>
      </c>
      <c r="B358" s="340" t="s">
        <v>101</v>
      </c>
      <c r="C358" s="765" t="s">
        <v>9885</v>
      </c>
      <c r="D358" s="310" t="s">
        <v>9886</v>
      </c>
      <c r="E358" s="578" t="s">
        <v>9768</v>
      </c>
      <c r="F358" s="578">
        <v>1.0</v>
      </c>
      <c r="G358" s="578">
        <v>380.0</v>
      </c>
      <c r="H358" s="267">
        <f t="shared" si="18"/>
        <v>380</v>
      </c>
      <c r="I358" s="256" t="s">
        <v>3474</v>
      </c>
      <c r="J358" s="403" t="s">
        <v>5995</v>
      </c>
      <c r="K358" s="258">
        <v>42580.0</v>
      </c>
      <c r="L358" s="258">
        <v>42577.0</v>
      </c>
      <c r="M358" s="333" t="s">
        <v>9769</v>
      </c>
      <c r="N358" s="252" t="s">
        <v>9889</v>
      </c>
      <c r="O358" s="581"/>
      <c r="P358" s="310">
        <v>12040.0</v>
      </c>
      <c r="Q358" s="310" t="s">
        <v>9771</v>
      </c>
      <c r="R358" s="330"/>
      <c r="S358" s="631">
        <v>42565.0</v>
      </c>
      <c r="T358" s="771">
        <v>42576.0</v>
      </c>
      <c r="U358" s="252" t="s">
        <v>9890</v>
      </c>
      <c r="V358" s="1030">
        <v>12040.0</v>
      </c>
      <c r="W358" s="832">
        <v>42573.0</v>
      </c>
      <c r="X358" s="252" t="s">
        <v>9877</v>
      </c>
      <c r="Y358" s="1140"/>
      <c r="Z358" s="1140"/>
      <c r="AA358" s="1140"/>
      <c r="AB358" s="388" t="s">
        <v>284</v>
      </c>
    </row>
    <row r="359" ht="15.75" customHeight="1">
      <c r="A359" s="776">
        <v>42556.0</v>
      </c>
      <c r="B359" s="340" t="s">
        <v>101</v>
      </c>
      <c r="C359" s="765" t="s">
        <v>9885</v>
      </c>
      <c r="D359" s="310" t="s">
        <v>9886</v>
      </c>
      <c r="E359" s="578" t="s">
        <v>6305</v>
      </c>
      <c r="F359" s="578">
        <v>1.0</v>
      </c>
      <c r="G359" s="578">
        <v>62.0</v>
      </c>
      <c r="H359" s="267">
        <f t="shared" si="18"/>
        <v>62</v>
      </c>
      <c r="I359" s="256" t="s">
        <v>3474</v>
      </c>
      <c r="J359" s="403" t="s">
        <v>5995</v>
      </c>
      <c r="K359" s="258">
        <v>42580.0</v>
      </c>
      <c r="L359" s="258">
        <v>42569.0</v>
      </c>
      <c r="M359" s="403" t="s">
        <v>6935</v>
      </c>
      <c r="N359" s="252" t="s">
        <v>9891</v>
      </c>
      <c r="O359" s="581"/>
      <c r="P359" s="310">
        <v>1038.0</v>
      </c>
      <c r="Q359" s="320" t="s">
        <v>2172</v>
      </c>
      <c r="R359" s="330"/>
      <c r="S359" s="631">
        <v>42565.0</v>
      </c>
      <c r="T359" s="771">
        <v>42566.0</v>
      </c>
      <c r="U359" s="310" t="s">
        <v>9892</v>
      </c>
      <c r="V359" s="1135">
        <v>3533.0</v>
      </c>
      <c r="W359" s="832">
        <v>42565.0</v>
      </c>
      <c r="X359" s="252" t="s">
        <v>9877</v>
      </c>
      <c r="Y359" s="1140"/>
      <c r="Z359" s="1140"/>
      <c r="AA359" s="1140"/>
      <c r="AB359" s="388" t="s">
        <v>284</v>
      </c>
    </row>
    <row r="360" ht="15.75" customHeight="1">
      <c r="A360" s="776">
        <v>42556.0</v>
      </c>
      <c r="B360" s="340" t="s">
        <v>101</v>
      </c>
      <c r="C360" s="765" t="s">
        <v>9885</v>
      </c>
      <c r="D360" s="310" t="s">
        <v>9886</v>
      </c>
      <c r="E360" s="578" t="s">
        <v>9775</v>
      </c>
      <c r="F360" s="578">
        <v>1.0</v>
      </c>
      <c r="G360" s="578">
        <v>94.0</v>
      </c>
      <c r="H360" s="267">
        <f t="shared" si="18"/>
        <v>94</v>
      </c>
      <c r="I360" s="256" t="s">
        <v>3474</v>
      </c>
      <c r="J360" s="403" t="s">
        <v>5995</v>
      </c>
      <c r="K360" s="258">
        <v>42580.0</v>
      </c>
      <c r="L360" s="258">
        <v>42569.0</v>
      </c>
      <c r="M360" s="403" t="s">
        <v>6935</v>
      </c>
      <c r="N360" s="252" t="s">
        <v>9891</v>
      </c>
      <c r="O360" s="581"/>
      <c r="P360" s="310">
        <v>2496.0</v>
      </c>
      <c r="Q360" s="320" t="s">
        <v>2172</v>
      </c>
      <c r="R360" s="330"/>
      <c r="S360" s="631">
        <v>42565.0</v>
      </c>
      <c r="T360" s="771">
        <v>42566.0</v>
      </c>
      <c r="U360" s="310" t="s">
        <v>9892</v>
      </c>
      <c r="V360" s="1135" t="s">
        <v>9893</v>
      </c>
      <c r="W360" s="832">
        <v>42565.0</v>
      </c>
      <c r="X360" s="252" t="s">
        <v>9877</v>
      </c>
      <c r="Y360" s="1140"/>
      <c r="Z360" s="1140"/>
      <c r="AA360" s="1140"/>
      <c r="AB360" s="388" t="s">
        <v>284</v>
      </c>
    </row>
    <row r="361" ht="15.75" customHeight="1">
      <c r="A361" s="776">
        <v>42556.0</v>
      </c>
      <c r="B361" s="340" t="s">
        <v>101</v>
      </c>
      <c r="C361" s="765" t="s">
        <v>9885</v>
      </c>
      <c r="D361" s="310" t="s">
        <v>9886</v>
      </c>
      <c r="E361" s="578" t="s">
        <v>6295</v>
      </c>
      <c r="F361" s="578">
        <v>1.0</v>
      </c>
      <c r="G361" s="578">
        <v>38.0</v>
      </c>
      <c r="H361" s="267">
        <f t="shared" si="18"/>
        <v>38</v>
      </c>
      <c r="I361" s="256" t="s">
        <v>3474</v>
      </c>
      <c r="J361" s="403" t="s">
        <v>5995</v>
      </c>
      <c r="K361" s="258">
        <v>42580.0</v>
      </c>
      <c r="L361" s="258">
        <v>42579.0</v>
      </c>
      <c r="M361" s="266" t="s">
        <v>1439</v>
      </c>
      <c r="N361" s="252" t="s">
        <v>9887</v>
      </c>
      <c r="O361" s="581"/>
      <c r="P361" s="310">
        <v>1188.0</v>
      </c>
      <c r="Q361" s="388" t="s">
        <v>1976</v>
      </c>
      <c r="R361" s="330"/>
      <c r="S361" s="768">
        <v>42587.0</v>
      </c>
      <c r="T361" s="771">
        <v>42577.0</v>
      </c>
      <c r="U361" s="252" t="s">
        <v>9888</v>
      </c>
      <c r="V361" s="1135" t="s">
        <v>9894</v>
      </c>
      <c r="W361" s="832">
        <v>42590.0</v>
      </c>
      <c r="X361" s="252" t="s">
        <v>9877</v>
      </c>
      <c r="Y361" s="1140"/>
      <c r="Z361" s="1140"/>
      <c r="AA361" s="1140"/>
      <c r="AB361" s="388" t="s">
        <v>284</v>
      </c>
    </row>
    <row r="362" ht="15.75" customHeight="1">
      <c r="A362" s="776">
        <v>42556.0</v>
      </c>
      <c r="B362" s="340" t="s">
        <v>101</v>
      </c>
      <c r="C362" s="765" t="s">
        <v>9885</v>
      </c>
      <c r="D362" s="310" t="s">
        <v>9886</v>
      </c>
      <c r="E362" s="578" t="s">
        <v>6296</v>
      </c>
      <c r="F362" s="578">
        <v>1.0</v>
      </c>
      <c r="G362" s="578">
        <v>60.0</v>
      </c>
      <c r="H362" s="267">
        <f t="shared" si="18"/>
        <v>60</v>
      </c>
      <c r="I362" s="256" t="s">
        <v>3474</v>
      </c>
      <c r="J362" s="403" t="s">
        <v>5995</v>
      </c>
      <c r="K362" s="258">
        <v>42580.0</v>
      </c>
      <c r="L362" s="258">
        <v>42579.0</v>
      </c>
      <c r="M362" s="266" t="s">
        <v>1439</v>
      </c>
      <c r="N362" s="252" t="s">
        <v>9887</v>
      </c>
      <c r="O362" s="773"/>
      <c r="P362" s="1088">
        <v>1865.0</v>
      </c>
      <c r="Q362" s="388" t="s">
        <v>1976</v>
      </c>
      <c r="R362" s="388"/>
      <c r="S362" s="768">
        <v>42587.0</v>
      </c>
      <c r="T362" s="771">
        <v>42577.0</v>
      </c>
      <c r="U362" s="252" t="s">
        <v>9888</v>
      </c>
      <c r="V362" s="1135" t="s">
        <v>9894</v>
      </c>
      <c r="W362" s="832">
        <v>42590.0</v>
      </c>
      <c r="X362" s="252" t="s">
        <v>9877</v>
      </c>
      <c r="Y362" s="1140"/>
      <c r="Z362" s="1140"/>
      <c r="AA362" s="1140"/>
      <c r="AB362" s="388" t="s">
        <v>284</v>
      </c>
    </row>
    <row r="363" ht="15.75" customHeight="1">
      <c r="A363" s="776">
        <v>42556.0</v>
      </c>
      <c r="B363" s="340" t="s">
        <v>101</v>
      </c>
      <c r="C363" s="765" t="s">
        <v>9885</v>
      </c>
      <c r="D363" s="310" t="s">
        <v>9886</v>
      </c>
      <c r="E363" s="578" t="s">
        <v>6297</v>
      </c>
      <c r="F363" s="578">
        <v>1.0</v>
      </c>
      <c r="G363" s="578">
        <v>237.0</v>
      </c>
      <c r="H363" s="267">
        <f t="shared" si="18"/>
        <v>237</v>
      </c>
      <c r="I363" s="256" t="s">
        <v>3474</v>
      </c>
      <c r="J363" s="777" t="s">
        <v>5995</v>
      </c>
      <c r="K363" s="258">
        <v>42580.0</v>
      </c>
      <c r="L363" s="258">
        <v>42580.0</v>
      </c>
      <c r="M363" s="403" t="s">
        <v>6298</v>
      </c>
      <c r="N363" s="252" t="s">
        <v>9895</v>
      </c>
      <c r="O363" s="773"/>
      <c r="P363" s="320">
        <v>6105.0</v>
      </c>
      <c r="Q363" s="320" t="s">
        <v>2148</v>
      </c>
      <c r="R363" s="388"/>
      <c r="S363" s="1139">
        <v>42565.0</v>
      </c>
      <c r="T363" s="1132">
        <v>42564.0</v>
      </c>
      <c r="U363" s="265" t="s">
        <v>9896</v>
      </c>
      <c r="V363" s="1135">
        <v>6015.0</v>
      </c>
      <c r="W363" s="832">
        <v>42565.0</v>
      </c>
      <c r="X363" s="252" t="s">
        <v>9877</v>
      </c>
      <c r="Y363" s="1140"/>
      <c r="Z363" s="1140"/>
      <c r="AA363" s="1140"/>
      <c r="AB363" s="388" t="s">
        <v>284</v>
      </c>
    </row>
    <row r="364" ht="15.75" customHeight="1">
      <c r="A364" s="776">
        <v>42556.0</v>
      </c>
      <c r="B364" s="340" t="s">
        <v>101</v>
      </c>
      <c r="C364" s="765" t="s">
        <v>9885</v>
      </c>
      <c r="D364" s="310" t="s">
        <v>9886</v>
      </c>
      <c r="E364" s="340" t="s">
        <v>9897</v>
      </c>
      <c r="F364" s="773">
        <v>1.0</v>
      </c>
      <c r="G364" s="773">
        <v>90.0</v>
      </c>
      <c r="H364" s="267">
        <f t="shared" si="18"/>
        <v>90</v>
      </c>
      <c r="I364" s="256" t="s">
        <v>3474</v>
      </c>
      <c r="J364" s="777" t="s">
        <v>5995</v>
      </c>
      <c r="K364" s="258">
        <v>42580.0</v>
      </c>
      <c r="L364" s="388"/>
      <c r="M364" s="333" t="s">
        <v>2032</v>
      </c>
      <c r="N364" s="265"/>
      <c r="O364" s="773"/>
      <c r="P364" s="773" t="s">
        <v>9898</v>
      </c>
      <c r="Q364" s="388" t="s">
        <v>2033</v>
      </c>
      <c r="R364" s="388"/>
      <c r="S364" s="768">
        <v>42624.0</v>
      </c>
      <c r="T364" s="771">
        <v>42594.0</v>
      </c>
      <c r="U364" s="252" t="s">
        <v>6023</v>
      </c>
      <c r="V364" s="266" t="s">
        <v>6024</v>
      </c>
      <c r="W364" s="832">
        <v>42619.0</v>
      </c>
      <c r="X364" s="252" t="s">
        <v>9877</v>
      </c>
      <c r="Y364" s="1141"/>
      <c r="Z364" s="1152"/>
      <c r="AA364" s="1141"/>
      <c r="AB364" s="388" t="s">
        <v>284</v>
      </c>
    </row>
    <row r="365" ht="15.75" customHeight="1">
      <c r="A365" s="776">
        <v>42557.0</v>
      </c>
      <c r="B365" s="340" t="s">
        <v>9899</v>
      </c>
      <c r="C365" s="265"/>
      <c r="D365" s="320" t="s">
        <v>9900</v>
      </c>
      <c r="E365" s="340" t="s">
        <v>9901</v>
      </c>
      <c r="F365" s="773">
        <v>1.0</v>
      </c>
      <c r="G365" s="773">
        <v>539.0</v>
      </c>
      <c r="H365" s="267">
        <f>F365*G365</f>
        <v>539</v>
      </c>
      <c r="I365" s="779" t="s">
        <v>3474</v>
      </c>
      <c r="J365" s="777" t="s">
        <v>5995</v>
      </c>
      <c r="K365" s="832">
        <v>42618.0</v>
      </c>
      <c r="L365" s="832">
        <v>42613.0</v>
      </c>
      <c r="M365" s="256" t="s">
        <v>1439</v>
      </c>
      <c r="N365" s="265" t="s">
        <v>9902</v>
      </c>
      <c r="O365" s="773"/>
      <c r="P365" s="320">
        <v>16194.0</v>
      </c>
      <c r="Q365" s="388" t="s">
        <v>1976</v>
      </c>
      <c r="R365" s="388"/>
      <c r="S365" s="768">
        <v>42618.0</v>
      </c>
      <c r="T365" s="771">
        <v>42613.0</v>
      </c>
      <c r="U365" s="252" t="s">
        <v>9903</v>
      </c>
      <c r="V365" s="1135">
        <v>16194.0</v>
      </c>
      <c r="W365" s="832">
        <v>42619.0</v>
      </c>
      <c r="X365" s="320" t="s">
        <v>6547</v>
      </c>
      <c r="Y365" s="1141"/>
      <c r="Z365" s="1152"/>
      <c r="AA365" s="1141"/>
      <c r="AB365" s="388" t="s">
        <v>284</v>
      </c>
    </row>
    <row r="366" ht="15.75" customHeight="1">
      <c r="A366" s="776">
        <v>42557.0</v>
      </c>
      <c r="B366" s="340" t="s">
        <v>9899</v>
      </c>
      <c r="C366" s="265"/>
      <c r="D366" s="320" t="s">
        <v>9900</v>
      </c>
      <c r="E366" s="340" t="s">
        <v>9904</v>
      </c>
      <c r="F366" s="773">
        <v>1.0</v>
      </c>
      <c r="G366" s="773">
        <v>44.0</v>
      </c>
      <c r="H366" s="267">
        <f t="shared" ref="H366:H368" si="19">G366*F366</f>
        <v>44</v>
      </c>
      <c r="I366" s="779" t="s">
        <v>3474</v>
      </c>
      <c r="J366" s="777" t="s">
        <v>5995</v>
      </c>
      <c r="K366" s="832">
        <v>42618.0</v>
      </c>
      <c r="L366" s="832">
        <v>42606.0</v>
      </c>
      <c r="M366" s="403" t="s">
        <v>9905</v>
      </c>
      <c r="N366" s="265" t="s">
        <v>9906</v>
      </c>
      <c r="O366" s="773"/>
      <c r="P366" s="320">
        <v>1454.0</v>
      </c>
      <c r="Q366" s="320" t="s">
        <v>9907</v>
      </c>
      <c r="R366" s="388"/>
      <c r="S366" s="1133">
        <v>42604.0</v>
      </c>
      <c r="T366" s="1132">
        <v>42605.0</v>
      </c>
      <c r="U366" s="265" t="s">
        <v>9908</v>
      </c>
      <c r="V366" s="1135">
        <v>1454.0</v>
      </c>
      <c r="W366" s="832">
        <v>42604.0</v>
      </c>
      <c r="X366" s="320" t="s">
        <v>6547</v>
      </c>
      <c r="Y366" s="1141"/>
      <c r="Z366" s="1152"/>
      <c r="AA366" s="1141"/>
      <c r="AB366" s="388" t="s">
        <v>284</v>
      </c>
    </row>
    <row r="367" ht="15.75" customHeight="1">
      <c r="A367" s="776">
        <v>42557.0</v>
      </c>
      <c r="B367" s="340" t="s">
        <v>9899</v>
      </c>
      <c r="C367" s="265"/>
      <c r="D367" s="320" t="s">
        <v>9900</v>
      </c>
      <c r="E367" s="340" t="s">
        <v>347</v>
      </c>
      <c r="F367" s="773">
        <v>1.0</v>
      </c>
      <c r="G367" s="773">
        <v>80.0</v>
      </c>
      <c r="H367" s="267">
        <f t="shared" si="19"/>
        <v>80</v>
      </c>
      <c r="I367" s="779" t="s">
        <v>3474</v>
      </c>
      <c r="J367" s="777" t="s">
        <v>5995</v>
      </c>
      <c r="K367" s="832">
        <v>42618.0</v>
      </c>
      <c r="L367" s="388"/>
      <c r="M367" s="333" t="s">
        <v>2032</v>
      </c>
      <c r="N367" s="265"/>
      <c r="O367" s="773"/>
      <c r="P367" s="773">
        <v>2474.0</v>
      </c>
      <c r="Q367" s="320" t="s">
        <v>2033</v>
      </c>
      <c r="R367" s="388"/>
      <c r="S367" s="1145">
        <v>42652.0</v>
      </c>
      <c r="T367" s="1132">
        <v>42622.0</v>
      </c>
      <c r="U367" s="320" t="s">
        <v>9909</v>
      </c>
      <c r="V367" s="256">
        <v>2474.0</v>
      </c>
      <c r="W367" s="832">
        <v>42648.0</v>
      </c>
      <c r="X367" s="320" t="s">
        <v>6547</v>
      </c>
      <c r="Y367" s="1141"/>
      <c r="Z367" s="1152"/>
      <c r="AA367" s="1141"/>
      <c r="AB367" s="388" t="s">
        <v>284</v>
      </c>
    </row>
    <row r="368" ht="15.75" customHeight="1">
      <c r="A368" s="776">
        <v>42557.0</v>
      </c>
      <c r="B368" s="340" t="s">
        <v>9899</v>
      </c>
      <c r="C368" s="265"/>
      <c r="D368" s="320" t="s">
        <v>9900</v>
      </c>
      <c r="E368" s="340" t="s">
        <v>700</v>
      </c>
      <c r="F368" s="773">
        <v>1.0</v>
      </c>
      <c r="G368" s="773">
        <v>25.0</v>
      </c>
      <c r="H368" s="267">
        <f t="shared" si="19"/>
        <v>25</v>
      </c>
      <c r="I368" s="256" t="s">
        <v>3474</v>
      </c>
      <c r="J368" s="777" t="s">
        <v>5995</v>
      </c>
      <c r="K368" s="832">
        <v>42618.0</v>
      </c>
      <c r="L368" s="388"/>
      <c r="M368" s="333"/>
      <c r="N368" s="265"/>
      <c r="O368" s="773"/>
      <c r="P368" s="664"/>
      <c r="Q368" s="320"/>
      <c r="R368" s="388"/>
      <c r="S368" s="1139"/>
      <c r="T368" s="1132"/>
      <c r="U368" s="265"/>
      <c r="V368" s="1135"/>
      <c r="W368" s="832"/>
      <c r="X368" s="320" t="s">
        <v>6547</v>
      </c>
      <c r="Y368" s="1141"/>
      <c r="Z368" s="1152"/>
      <c r="AA368" s="1141"/>
      <c r="AB368" s="388" t="s">
        <v>284</v>
      </c>
    </row>
    <row r="369" ht="15.75" customHeight="1">
      <c r="A369" s="776">
        <v>42557.0</v>
      </c>
      <c r="B369" s="340" t="s">
        <v>9899</v>
      </c>
      <c r="C369" s="265"/>
      <c r="D369" s="320" t="s">
        <v>9900</v>
      </c>
      <c r="E369" s="340" t="s">
        <v>9910</v>
      </c>
      <c r="F369" s="773">
        <v>1.0</v>
      </c>
      <c r="G369" s="773">
        <v>29.0</v>
      </c>
      <c r="H369" s="466">
        <f>F369*G369</f>
        <v>29</v>
      </c>
      <c r="I369" s="256" t="s">
        <v>3474</v>
      </c>
      <c r="J369" s="777" t="s">
        <v>5995</v>
      </c>
      <c r="K369" s="832">
        <v>42618.0</v>
      </c>
      <c r="L369" s="832"/>
      <c r="M369" s="333"/>
      <c r="N369" s="265"/>
      <c r="O369" s="773"/>
      <c r="P369" s="320"/>
      <c r="Q369" s="320"/>
      <c r="R369" s="388"/>
      <c r="S369" s="1145"/>
      <c r="T369" s="1132"/>
      <c r="U369" s="265"/>
      <c r="V369" s="1135"/>
      <c r="W369" s="832"/>
      <c r="X369" s="320" t="s">
        <v>6547</v>
      </c>
      <c r="Y369" s="1141"/>
      <c r="Z369" s="1152"/>
      <c r="AA369" s="1141"/>
      <c r="AB369" s="388" t="s">
        <v>284</v>
      </c>
    </row>
    <row r="370" ht="15.75" customHeight="1">
      <c r="A370" s="776">
        <v>42557.0</v>
      </c>
      <c r="B370" s="340" t="s">
        <v>1204</v>
      </c>
      <c r="C370" s="265" t="s">
        <v>9911</v>
      </c>
      <c r="D370" s="320" t="s">
        <v>9912</v>
      </c>
      <c r="E370" s="340" t="s">
        <v>6135</v>
      </c>
      <c r="F370" s="773">
        <v>50.0</v>
      </c>
      <c r="G370" s="773">
        <v>8.0</v>
      </c>
      <c r="H370" s="466">
        <f t="shared" ref="H370:H374" si="20">G370*F370</f>
        <v>400</v>
      </c>
      <c r="I370" s="256" t="s">
        <v>43</v>
      </c>
      <c r="J370" s="269" t="s">
        <v>8819</v>
      </c>
      <c r="K370" s="258">
        <v>42607.0</v>
      </c>
      <c r="L370" s="832">
        <v>42564.0</v>
      </c>
      <c r="M370" s="333" t="s">
        <v>2508</v>
      </c>
      <c r="N370" s="265" t="s">
        <v>9913</v>
      </c>
      <c r="O370" s="773"/>
      <c r="P370" s="320">
        <v>11970.0</v>
      </c>
      <c r="Q370" s="320" t="s">
        <v>4491</v>
      </c>
      <c r="R370" s="388"/>
      <c r="S370" s="768">
        <v>42587.0</v>
      </c>
      <c r="T370" s="1132">
        <v>42563.0</v>
      </c>
      <c r="U370" s="265" t="s">
        <v>9914</v>
      </c>
      <c r="V370" s="1135">
        <v>11970.0</v>
      </c>
      <c r="W370" s="832">
        <v>42586.0</v>
      </c>
      <c r="X370" s="320" t="s">
        <v>9915</v>
      </c>
      <c r="Y370" s="1141"/>
      <c r="Z370" s="1152"/>
      <c r="AA370" s="1141"/>
      <c r="AB370" s="388" t="s">
        <v>284</v>
      </c>
    </row>
    <row r="371" ht="15.75" customHeight="1">
      <c r="A371" s="776">
        <v>42558.0</v>
      </c>
      <c r="B371" s="340" t="s">
        <v>6125</v>
      </c>
      <c r="C371" s="1004" t="s">
        <v>9916</v>
      </c>
      <c r="D371" s="320" t="s">
        <v>9917</v>
      </c>
      <c r="E371" s="340" t="s">
        <v>6128</v>
      </c>
      <c r="F371" s="773">
        <v>5.0</v>
      </c>
      <c r="G371" s="466">
        <v>148.0</v>
      </c>
      <c r="H371" s="466">
        <f t="shared" si="20"/>
        <v>740</v>
      </c>
      <c r="I371" s="779" t="s">
        <v>3474</v>
      </c>
      <c r="J371" s="403" t="s">
        <v>3732</v>
      </c>
      <c r="K371" s="832">
        <v>42586.0</v>
      </c>
      <c r="L371" s="832">
        <v>42572.0</v>
      </c>
      <c r="M371" s="333" t="s">
        <v>2034</v>
      </c>
      <c r="N371" s="265" t="s">
        <v>9918</v>
      </c>
      <c r="O371" s="773"/>
      <c r="P371" s="320">
        <v>22575.0</v>
      </c>
      <c r="Q371" s="320" t="s">
        <v>2036</v>
      </c>
      <c r="R371" s="388"/>
      <c r="S371" s="1145">
        <v>42587.0</v>
      </c>
      <c r="T371" s="1132">
        <v>42571.0</v>
      </c>
      <c r="U371" s="265" t="s">
        <v>9919</v>
      </c>
      <c r="V371" s="1135">
        <v>45150.0</v>
      </c>
      <c r="W371" s="832">
        <v>42586.0</v>
      </c>
      <c r="X371" s="320" t="s">
        <v>9920</v>
      </c>
      <c r="Y371" s="1141"/>
      <c r="Z371" s="1152"/>
      <c r="AA371" s="1141"/>
      <c r="AB371" s="388" t="s">
        <v>284</v>
      </c>
    </row>
    <row r="372" ht="27.0" customHeight="1">
      <c r="A372" s="776">
        <v>42558.0</v>
      </c>
      <c r="B372" s="340" t="s">
        <v>6125</v>
      </c>
      <c r="C372" s="1004" t="s">
        <v>9916</v>
      </c>
      <c r="D372" s="320" t="s">
        <v>9917</v>
      </c>
      <c r="E372" s="340" t="s">
        <v>6132</v>
      </c>
      <c r="F372" s="773">
        <v>5.0</v>
      </c>
      <c r="G372" s="466">
        <v>148.0</v>
      </c>
      <c r="H372" s="466">
        <f t="shared" si="20"/>
        <v>740</v>
      </c>
      <c r="I372" s="779" t="s">
        <v>3474</v>
      </c>
      <c r="J372" s="403" t="s">
        <v>3732</v>
      </c>
      <c r="K372" s="832">
        <v>42586.0</v>
      </c>
      <c r="L372" s="832">
        <v>42572.0</v>
      </c>
      <c r="M372" s="333" t="s">
        <v>2034</v>
      </c>
      <c r="N372" s="265" t="s">
        <v>9918</v>
      </c>
      <c r="O372" s="773"/>
      <c r="P372" s="320">
        <v>22575.0</v>
      </c>
      <c r="Q372" s="320" t="s">
        <v>2036</v>
      </c>
      <c r="R372" s="388"/>
      <c r="S372" s="1145">
        <v>42587.0</v>
      </c>
      <c r="T372" s="1132">
        <v>42571.0</v>
      </c>
      <c r="U372" s="265" t="s">
        <v>9919</v>
      </c>
      <c r="V372" s="1135" t="s">
        <v>7311</v>
      </c>
      <c r="W372" s="832">
        <v>42586.0</v>
      </c>
      <c r="X372" s="320" t="s">
        <v>9920</v>
      </c>
      <c r="Y372" s="1141"/>
      <c r="Z372" s="1152"/>
      <c r="AA372" s="1141"/>
      <c r="AB372" s="388" t="s">
        <v>284</v>
      </c>
    </row>
    <row r="373" ht="15.75" customHeight="1">
      <c r="A373" s="776">
        <v>42558.0</v>
      </c>
      <c r="B373" s="340" t="s">
        <v>6125</v>
      </c>
      <c r="C373" s="765" t="s">
        <v>9916</v>
      </c>
      <c r="D373" s="310" t="s">
        <v>9917</v>
      </c>
      <c r="E373" s="578" t="s">
        <v>6860</v>
      </c>
      <c r="F373" s="581">
        <v>5.0</v>
      </c>
      <c r="G373" s="267">
        <v>1239.0</v>
      </c>
      <c r="H373" s="267">
        <f t="shared" si="20"/>
        <v>6195</v>
      </c>
      <c r="I373" s="1009" t="s">
        <v>3474</v>
      </c>
      <c r="J373" s="403" t="s">
        <v>3732</v>
      </c>
      <c r="K373" s="832">
        <v>42586.0</v>
      </c>
      <c r="L373" s="258">
        <v>42580.0</v>
      </c>
      <c r="M373" s="333" t="s">
        <v>2034</v>
      </c>
      <c r="N373" s="252" t="s">
        <v>9918</v>
      </c>
      <c r="O373" s="773"/>
      <c r="P373" s="320">
        <v>188948.0</v>
      </c>
      <c r="Q373" s="320" t="s">
        <v>2036</v>
      </c>
      <c r="R373" s="388"/>
      <c r="S373" s="1145">
        <v>42648.0</v>
      </c>
      <c r="T373" s="1132">
        <v>42579.0</v>
      </c>
      <c r="U373" s="265" t="s">
        <v>9921</v>
      </c>
      <c r="V373" s="1135">
        <v>188948.0</v>
      </c>
      <c r="W373" s="832">
        <v>42649.0</v>
      </c>
      <c r="X373" s="320" t="s">
        <v>9920</v>
      </c>
      <c r="Y373" s="1141"/>
      <c r="Z373" s="1152"/>
      <c r="AA373" s="1141"/>
      <c r="AB373" s="388" t="s">
        <v>284</v>
      </c>
    </row>
    <row r="374" ht="15.75" customHeight="1">
      <c r="A374" s="776">
        <v>42558.0</v>
      </c>
      <c r="B374" s="340" t="s">
        <v>6125</v>
      </c>
      <c r="C374" s="765" t="s">
        <v>9916</v>
      </c>
      <c r="D374" s="310" t="s">
        <v>9917</v>
      </c>
      <c r="E374" s="578" t="s">
        <v>9543</v>
      </c>
      <c r="F374" s="581">
        <v>1.0</v>
      </c>
      <c r="G374" s="267">
        <v>15.0</v>
      </c>
      <c r="H374" s="267">
        <f t="shared" si="20"/>
        <v>15</v>
      </c>
      <c r="I374" s="266" t="s">
        <v>3474</v>
      </c>
      <c r="J374" s="403"/>
      <c r="K374" s="832">
        <v>42586.0</v>
      </c>
      <c r="L374" s="258"/>
      <c r="M374" s="333"/>
      <c r="N374" s="252" t="s">
        <v>9918</v>
      </c>
      <c r="O374" s="773"/>
      <c r="P374" s="388"/>
      <c r="Q374" s="320"/>
      <c r="R374" s="388"/>
      <c r="S374" s="1139"/>
      <c r="T374" s="1150"/>
      <c r="U374" s="1136"/>
      <c r="V374" s="1151"/>
      <c r="W374" s="1163"/>
      <c r="X374" s="320" t="s">
        <v>9920</v>
      </c>
      <c r="Y374" s="1141"/>
      <c r="Z374" s="1152"/>
      <c r="AA374" s="1141"/>
      <c r="AB374" s="388" t="s">
        <v>284</v>
      </c>
    </row>
    <row r="375" ht="15.75" customHeight="1">
      <c r="A375" s="776">
        <v>42558.0</v>
      </c>
      <c r="B375" s="340" t="s">
        <v>101</v>
      </c>
      <c r="C375" s="252"/>
      <c r="D375" s="310" t="s">
        <v>9922</v>
      </c>
      <c r="E375" s="578" t="s">
        <v>9588</v>
      </c>
      <c r="F375" s="581">
        <v>1.0</v>
      </c>
      <c r="G375" s="581">
        <v>0.0</v>
      </c>
      <c r="H375" s="267">
        <v>0.0</v>
      </c>
      <c r="I375" s="266" t="s">
        <v>3474</v>
      </c>
      <c r="J375" s="403" t="s">
        <v>5995</v>
      </c>
      <c r="K375" s="832">
        <v>42593.0</v>
      </c>
      <c r="L375" s="258">
        <v>42591.0</v>
      </c>
      <c r="M375" s="333" t="s">
        <v>2032</v>
      </c>
      <c r="N375" s="252"/>
      <c r="O375" s="773"/>
      <c r="P375" s="773" t="s">
        <v>9923</v>
      </c>
      <c r="Q375" s="320" t="s">
        <v>6019</v>
      </c>
      <c r="R375" s="388"/>
      <c r="S375" s="773" t="s">
        <v>9924</v>
      </c>
      <c r="T375" s="265" t="s">
        <v>9925</v>
      </c>
      <c r="U375" s="265" t="s">
        <v>9926</v>
      </c>
      <c r="V375" s="1135" t="s">
        <v>9927</v>
      </c>
      <c r="W375" s="256" t="s">
        <v>9928</v>
      </c>
      <c r="X375" s="320" t="s">
        <v>9929</v>
      </c>
      <c r="Y375" s="1141"/>
      <c r="Z375" s="1152"/>
      <c r="AA375" s="1141"/>
      <c r="AB375" s="388"/>
    </row>
    <row r="376" ht="15.75" customHeight="1">
      <c r="A376" s="776">
        <v>42558.0</v>
      </c>
      <c r="B376" s="340" t="s">
        <v>101</v>
      </c>
      <c r="C376" s="252"/>
      <c r="D376" s="310" t="s">
        <v>9922</v>
      </c>
      <c r="E376" s="578" t="s">
        <v>9588</v>
      </c>
      <c r="F376" s="581">
        <v>1.0</v>
      </c>
      <c r="G376" s="581">
        <v>0.0</v>
      </c>
      <c r="H376" s="267">
        <v>0.0</v>
      </c>
      <c r="I376" s="266" t="s">
        <v>3474</v>
      </c>
      <c r="J376" s="777" t="s">
        <v>5995</v>
      </c>
      <c r="K376" s="832">
        <v>42593.0</v>
      </c>
      <c r="L376" s="258">
        <v>42591.0</v>
      </c>
      <c r="M376" s="333" t="s">
        <v>2032</v>
      </c>
      <c r="N376" s="252"/>
      <c r="O376" s="773"/>
      <c r="P376" s="773" t="s">
        <v>9930</v>
      </c>
      <c r="Q376" s="320" t="s">
        <v>6019</v>
      </c>
      <c r="R376" s="388"/>
      <c r="S376" s="773" t="s">
        <v>9931</v>
      </c>
      <c r="T376" s="265" t="s">
        <v>9925</v>
      </c>
      <c r="U376" s="265" t="s">
        <v>9926</v>
      </c>
      <c r="V376" s="1135" t="s">
        <v>9927</v>
      </c>
      <c r="W376" s="256" t="s">
        <v>9928</v>
      </c>
      <c r="X376" s="320" t="s">
        <v>9929</v>
      </c>
      <c r="Y376" s="1141"/>
      <c r="Z376" s="1152"/>
      <c r="AA376" s="1141"/>
      <c r="AB376" s="388"/>
    </row>
    <row r="377" ht="15.75" customHeight="1">
      <c r="A377" s="776">
        <v>42562.0</v>
      </c>
      <c r="B377" s="340" t="s">
        <v>77</v>
      </c>
      <c r="C377" s="265">
        <v>660.0</v>
      </c>
      <c r="D377" s="320" t="s">
        <v>9932</v>
      </c>
      <c r="E377" s="578" t="s">
        <v>9933</v>
      </c>
      <c r="F377" s="773">
        <v>30.0</v>
      </c>
      <c r="G377" s="773">
        <v>6.0</v>
      </c>
      <c r="H377" s="267">
        <f t="shared" ref="H377:H444" si="21">G377*F377</f>
        <v>180</v>
      </c>
      <c r="I377" s="266" t="s">
        <v>171</v>
      </c>
      <c r="J377" s="269" t="s">
        <v>316</v>
      </c>
      <c r="K377" s="258">
        <v>42612.0</v>
      </c>
      <c r="L377" s="832">
        <v>42608.0</v>
      </c>
      <c r="M377" s="333" t="s">
        <v>2039</v>
      </c>
      <c r="N377" s="265" t="s">
        <v>9934</v>
      </c>
      <c r="O377" s="773"/>
      <c r="P377" s="1088">
        <v>3465.0</v>
      </c>
      <c r="Q377" s="320" t="s">
        <v>2194</v>
      </c>
      <c r="R377" s="388"/>
      <c r="S377" s="1145">
        <v>42618.0</v>
      </c>
      <c r="T377" s="1132">
        <v>42605.0</v>
      </c>
      <c r="U377" s="265" t="s">
        <v>9935</v>
      </c>
      <c r="V377" s="1135">
        <v>3465.0</v>
      </c>
      <c r="W377" s="832">
        <v>42619.0</v>
      </c>
      <c r="X377" s="265" t="s">
        <v>9750</v>
      </c>
      <c r="Y377" s="1141"/>
      <c r="Z377" s="1152"/>
      <c r="AA377" s="1141"/>
      <c r="AB377" s="388" t="s">
        <v>284</v>
      </c>
    </row>
    <row r="378" ht="15.75" customHeight="1">
      <c r="A378" s="776">
        <v>42563.0</v>
      </c>
      <c r="B378" s="340" t="s">
        <v>9317</v>
      </c>
      <c r="C378" s="265">
        <v>110716.0</v>
      </c>
      <c r="D378" s="320" t="s">
        <v>9936</v>
      </c>
      <c r="E378" s="340" t="s">
        <v>9937</v>
      </c>
      <c r="F378" s="773">
        <v>5.0</v>
      </c>
      <c r="G378" s="773">
        <v>175.0</v>
      </c>
      <c r="H378" s="267">
        <f t="shared" si="21"/>
        <v>875</v>
      </c>
      <c r="I378" s="1031" t="s">
        <v>3474</v>
      </c>
      <c r="J378" s="333" t="s">
        <v>6027</v>
      </c>
      <c r="K378" s="832">
        <v>42583.0</v>
      </c>
      <c r="L378" s="258">
        <v>42578.0</v>
      </c>
      <c r="M378" s="333" t="s">
        <v>3593</v>
      </c>
      <c r="N378" s="265" t="s">
        <v>9938</v>
      </c>
      <c r="O378" s="773"/>
      <c r="P378" s="320">
        <v>27542.0</v>
      </c>
      <c r="Q378" s="320" t="s">
        <v>6122</v>
      </c>
      <c r="R378" s="388"/>
      <c r="S378" s="768">
        <v>42597.0</v>
      </c>
      <c r="T378" s="1132">
        <v>42577.0</v>
      </c>
      <c r="U378" s="265" t="s">
        <v>9939</v>
      </c>
      <c r="V378" s="1135">
        <v>27542.0</v>
      </c>
      <c r="W378" s="265"/>
      <c r="X378" s="320" t="s">
        <v>9940</v>
      </c>
      <c r="Y378" s="1141"/>
      <c r="Z378" s="1152"/>
      <c r="AA378" s="1141"/>
      <c r="AB378" s="388" t="s">
        <v>284</v>
      </c>
    </row>
    <row r="379" ht="15.75" customHeight="1">
      <c r="A379" s="776">
        <v>42563.0</v>
      </c>
      <c r="B379" s="340" t="s">
        <v>9317</v>
      </c>
      <c r="C379" s="265">
        <v>110716.0</v>
      </c>
      <c r="D379" s="320" t="s">
        <v>9936</v>
      </c>
      <c r="E379" s="340" t="s">
        <v>9941</v>
      </c>
      <c r="F379" s="773">
        <v>1.0</v>
      </c>
      <c r="G379" s="773">
        <v>110.0</v>
      </c>
      <c r="H379" s="267">
        <f t="shared" si="21"/>
        <v>110</v>
      </c>
      <c r="I379" s="1031" t="s">
        <v>3474</v>
      </c>
      <c r="J379" s="333"/>
      <c r="K379" s="258">
        <v>42583.0</v>
      </c>
      <c r="L379" s="330"/>
      <c r="M379" s="333" t="s">
        <v>2032</v>
      </c>
      <c r="N379" s="265"/>
      <c r="O379" s="773"/>
      <c r="P379" s="320">
        <v>4445.0</v>
      </c>
      <c r="Q379" s="320" t="s">
        <v>2033</v>
      </c>
      <c r="R379" s="388"/>
      <c r="S379" s="1145">
        <v>42624.0</v>
      </c>
      <c r="T379" s="1132">
        <v>42594.0</v>
      </c>
      <c r="U379" s="265" t="s">
        <v>6023</v>
      </c>
      <c r="V379" s="1135">
        <v>16188.0</v>
      </c>
      <c r="W379" s="832">
        <v>42619.0</v>
      </c>
      <c r="X379" s="320" t="s">
        <v>9940</v>
      </c>
      <c r="Y379" s="1141"/>
      <c r="Z379" s="1152"/>
      <c r="AA379" s="1141"/>
      <c r="AB379" s="388" t="s">
        <v>284</v>
      </c>
    </row>
    <row r="380" ht="15.75" customHeight="1">
      <c r="A380" s="776">
        <v>42563.0</v>
      </c>
      <c r="B380" s="340" t="s">
        <v>9317</v>
      </c>
      <c r="C380" s="265">
        <v>110716.0</v>
      </c>
      <c r="D380" s="320" t="s">
        <v>9936</v>
      </c>
      <c r="E380" s="340" t="s">
        <v>700</v>
      </c>
      <c r="F380" s="773">
        <v>1.0</v>
      </c>
      <c r="G380" s="773">
        <v>25.0</v>
      </c>
      <c r="H380" s="267">
        <f t="shared" si="21"/>
        <v>25</v>
      </c>
      <c r="I380" s="256" t="s">
        <v>3474</v>
      </c>
      <c r="J380" s="333"/>
      <c r="K380" s="258">
        <v>42583.0</v>
      </c>
      <c r="L380" s="330"/>
      <c r="M380" s="333"/>
      <c r="N380" s="265"/>
      <c r="O380" s="773"/>
      <c r="P380" s="388"/>
      <c r="Q380" s="320"/>
      <c r="R380" s="388"/>
      <c r="S380" s="1139"/>
      <c r="T380" s="265" t="s">
        <v>5701</v>
      </c>
      <c r="U380" s="265" t="s">
        <v>5701</v>
      </c>
      <c r="V380" s="265" t="s">
        <v>5701</v>
      </c>
      <c r="W380" s="832"/>
      <c r="X380" s="320" t="s">
        <v>9940</v>
      </c>
      <c r="Y380" s="1141"/>
      <c r="Z380" s="1152"/>
      <c r="AA380" s="1141"/>
      <c r="AB380" s="388" t="s">
        <v>284</v>
      </c>
    </row>
    <row r="381" ht="15.75" customHeight="1">
      <c r="A381" s="776">
        <v>42564.0</v>
      </c>
      <c r="B381" s="599" t="s">
        <v>631</v>
      </c>
      <c r="C381" s="265" t="s">
        <v>9942</v>
      </c>
      <c r="D381" s="320" t="s">
        <v>9943</v>
      </c>
      <c r="E381" s="578" t="s">
        <v>4269</v>
      </c>
      <c r="F381" s="581">
        <v>15.0</v>
      </c>
      <c r="G381" s="466">
        <v>164.85</v>
      </c>
      <c r="H381" s="267">
        <f t="shared" si="21"/>
        <v>2472.75</v>
      </c>
      <c r="I381" s="266" t="s">
        <v>171</v>
      </c>
      <c r="J381" s="333" t="s">
        <v>6067</v>
      </c>
      <c r="K381" s="258">
        <v>42572.0</v>
      </c>
      <c r="L381" s="258">
        <v>42571.0</v>
      </c>
      <c r="M381" s="403" t="s">
        <v>2263</v>
      </c>
      <c r="N381" s="265" t="s">
        <v>9944</v>
      </c>
      <c r="O381" s="773"/>
      <c r="P381" s="1149">
        <v>76388.0</v>
      </c>
      <c r="Q381" s="310" t="s">
        <v>2265</v>
      </c>
      <c r="R381" s="388"/>
      <c r="S381" s="1145">
        <v>42569.0</v>
      </c>
      <c r="T381" s="1132">
        <v>42571.0</v>
      </c>
      <c r="U381" s="265" t="s">
        <v>9945</v>
      </c>
      <c r="V381" s="1135">
        <v>76388.0</v>
      </c>
      <c r="W381" s="832">
        <v>42570.0</v>
      </c>
      <c r="X381" s="320" t="s">
        <v>9946</v>
      </c>
      <c r="Y381" s="1134" t="s">
        <v>9947</v>
      </c>
      <c r="Z381" s="1149">
        <v>162120.0</v>
      </c>
      <c r="AA381" s="320" t="s">
        <v>9948</v>
      </c>
      <c r="AB381" s="1140"/>
    </row>
    <row r="382" ht="15.75" customHeight="1">
      <c r="A382" s="776">
        <v>42564.0</v>
      </c>
      <c r="B382" s="599" t="s">
        <v>631</v>
      </c>
      <c r="C382" s="265" t="s">
        <v>9942</v>
      </c>
      <c r="D382" s="320" t="s">
        <v>9943</v>
      </c>
      <c r="E382" s="578" t="s">
        <v>4269</v>
      </c>
      <c r="F382" s="581">
        <v>10.0</v>
      </c>
      <c r="G382" s="466">
        <v>164.85</v>
      </c>
      <c r="H382" s="267">
        <f t="shared" si="21"/>
        <v>1648.5</v>
      </c>
      <c r="I382" s="266" t="s">
        <v>171</v>
      </c>
      <c r="J382" s="333" t="s">
        <v>6067</v>
      </c>
      <c r="K382" s="258">
        <v>42572.0</v>
      </c>
      <c r="L382" s="258">
        <v>42572.0</v>
      </c>
      <c r="M382" s="403" t="s">
        <v>9949</v>
      </c>
      <c r="N382" s="265" t="s">
        <v>9950</v>
      </c>
      <c r="O382" s="773"/>
      <c r="P382" s="1159">
        <v>50925.0</v>
      </c>
      <c r="Q382" s="310" t="s">
        <v>6511</v>
      </c>
      <c r="R382" s="388"/>
      <c r="S382" s="1145">
        <v>42569.0</v>
      </c>
      <c r="T382" s="1132">
        <v>42571.0</v>
      </c>
      <c r="U382" s="265" t="s">
        <v>9951</v>
      </c>
      <c r="V382" s="1135">
        <v>50925.0</v>
      </c>
      <c r="W382" s="832">
        <v>42570.0</v>
      </c>
      <c r="X382" s="320" t="s">
        <v>9946</v>
      </c>
      <c r="Y382" s="1134" t="s">
        <v>9947</v>
      </c>
      <c r="Z382" s="1137" t="s">
        <v>9952</v>
      </c>
      <c r="AA382" s="320" t="s">
        <v>9948</v>
      </c>
      <c r="AB382" s="1140"/>
    </row>
    <row r="383" ht="15.75" customHeight="1">
      <c r="A383" s="776">
        <v>42564.0</v>
      </c>
      <c r="B383" s="599" t="s">
        <v>631</v>
      </c>
      <c r="C383" s="265" t="s">
        <v>9942</v>
      </c>
      <c r="D383" s="320" t="s">
        <v>9943</v>
      </c>
      <c r="E383" s="340" t="s">
        <v>9953</v>
      </c>
      <c r="F383" s="773">
        <v>1.0</v>
      </c>
      <c r="G383" s="773">
        <v>63.0</v>
      </c>
      <c r="H383" s="267">
        <f t="shared" si="21"/>
        <v>63</v>
      </c>
      <c r="I383" s="266" t="s">
        <v>171</v>
      </c>
      <c r="J383" s="333" t="s">
        <v>6067</v>
      </c>
      <c r="K383" s="258">
        <v>42572.0</v>
      </c>
      <c r="L383" s="258">
        <v>42569.0</v>
      </c>
      <c r="M383" s="333" t="s">
        <v>2034</v>
      </c>
      <c r="N383" s="265" t="s">
        <v>9954</v>
      </c>
      <c r="O383" s="773"/>
      <c r="P383" s="320">
        <v>2625.0</v>
      </c>
      <c r="Q383" s="320" t="s">
        <v>2036</v>
      </c>
      <c r="R383" s="388"/>
      <c r="S383" s="1145">
        <v>42587.0</v>
      </c>
      <c r="T383" s="1132">
        <v>42569.0</v>
      </c>
      <c r="U383" s="265" t="s">
        <v>9955</v>
      </c>
      <c r="V383" s="1135">
        <v>2625.0</v>
      </c>
      <c r="W383" s="832">
        <v>42586.0</v>
      </c>
      <c r="X383" s="320" t="s">
        <v>9946</v>
      </c>
      <c r="Y383" s="1134" t="s">
        <v>9947</v>
      </c>
      <c r="Z383" s="1137" t="s">
        <v>9952</v>
      </c>
      <c r="AA383" s="320" t="s">
        <v>9948</v>
      </c>
      <c r="AB383" s="1140"/>
    </row>
    <row r="384" ht="15.75" customHeight="1">
      <c r="A384" s="776">
        <v>42564.0</v>
      </c>
      <c r="B384" s="599" t="s">
        <v>631</v>
      </c>
      <c r="C384" s="265" t="s">
        <v>9942</v>
      </c>
      <c r="D384" s="320" t="s">
        <v>9943</v>
      </c>
      <c r="E384" s="340" t="s">
        <v>9953</v>
      </c>
      <c r="F384" s="773">
        <v>14.0</v>
      </c>
      <c r="G384" s="773">
        <v>63.0</v>
      </c>
      <c r="H384" s="267">
        <f t="shared" si="21"/>
        <v>882</v>
      </c>
      <c r="I384" s="266" t="s">
        <v>171</v>
      </c>
      <c r="J384" s="333" t="s">
        <v>6067</v>
      </c>
      <c r="K384" s="258">
        <v>42572.0</v>
      </c>
      <c r="L384" s="266" t="s">
        <v>9956</v>
      </c>
      <c r="M384" s="333" t="s">
        <v>2034</v>
      </c>
      <c r="N384" s="265" t="s">
        <v>9957</v>
      </c>
      <c r="O384" s="773"/>
      <c r="P384" s="320">
        <v>26460.0</v>
      </c>
      <c r="Q384" s="320" t="s">
        <v>2036</v>
      </c>
      <c r="R384" s="388"/>
      <c r="S384" s="1145">
        <v>42587.0</v>
      </c>
      <c r="T384" s="1132">
        <v>42572.0</v>
      </c>
      <c r="U384" s="265" t="s">
        <v>9958</v>
      </c>
      <c r="V384" s="1135">
        <v>26460.0</v>
      </c>
      <c r="W384" s="832">
        <v>42586.0</v>
      </c>
      <c r="X384" s="320" t="s">
        <v>9946</v>
      </c>
      <c r="Y384" s="1134" t="s">
        <v>9947</v>
      </c>
      <c r="Z384" s="1137" t="s">
        <v>9952</v>
      </c>
      <c r="AA384" s="320" t="s">
        <v>9948</v>
      </c>
      <c r="AB384" s="1140"/>
    </row>
    <row r="385" ht="15.75" customHeight="1">
      <c r="A385" s="776">
        <v>42468.0</v>
      </c>
      <c r="B385" s="340" t="s">
        <v>101</v>
      </c>
      <c r="C385" s="1004" t="s">
        <v>9360</v>
      </c>
      <c r="D385" s="320" t="s">
        <v>9361</v>
      </c>
      <c r="E385" s="340" t="s">
        <v>9959</v>
      </c>
      <c r="F385" s="773">
        <v>6.0</v>
      </c>
      <c r="G385" s="466">
        <v>1080.0</v>
      </c>
      <c r="H385" s="267">
        <f t="shared" si="21"/>
        <v>6480</v>
      </c>
      <c r="I385" s="266" t="s">
        <v>171</v>
      </c>
      <c r="J385" s="333" t="s">
        <v>8708</v>
      </c>
      <c r="K385" s="258">
        <v>42485.0</v>
      </c>
      <c r="L385" s="258">
        <v>42481.0</v>
      </c>
      <c r="M385" s="256" t="s">
        <v>1439</v>
      </c>
      <c r="N385" s="265" t="s">
        <v>9960</v>
      </c>
      <c r="O385" s="773"/>
      <c r="P385" s="320">
        <v>193914.0</v>
      </c>
      <c r="Q385" s="388" t="s">
        <v>1976</v>
      </c>
      <c r="R385" s="388"/>
      <c r="S385" s="768">
        <v>42474.0</v>
      </c>
      <c r="T385" s="1132">
        <v>42481.0</v>
      </c>
      <c r="U385" s="265" t="s">
        <v>9961</v>
      </c>
      <c r="V385" s="1135">
        <v>193914.0</v>
      </c>
      <c r="W385" s="832">
        <v>42474.0</v>
      </c>
      <c r="X385" s="320" t="s">
        <v>9271</v>
      </c>
      <c r="Y385" s="1140"/>
      <c r="Z385" s="1140"/>
      <c r="AA385" s="1140"/>
      <c r="AB385" s="1141"/>
    </row>
    <row r="386" ht="15.75" customHeight="1">
      <c r="A386" s="776">
        <v>42565.0</v>
      </c>
      <c r="B386" s="340" t="s">
        <v>101</v>
      </c>
      <c r="C386" s="265" t="s">
        <v>9962</v>
      </c>
      <c r="D386" s="320" t="s">
        <v>9963</v>
      </c>
      <c r="E386" s="310" t="s">
        <v>6305</v>
      </c>
      <c r="F386" s="773">
        <v>5.0</v>
      </c>
      <c r="G386" s="773">
        <v>62.0</v>
      </c>
      <c r="H386" s="267">
        <f t="shared" si="21"/>
        <v>310</v>
      </c>
      <c r="I386" s="266" t="s">
        <v>3474</v>
      </c>
      <c r="J386" s="333" t="s">
        <v>6027</v>
      </c>
      <c r="K386" s="258">
        <v>42586.0</v>
      </c>
      <c r="L386" s="258">
        <v>42578.0</v>
      </c>
      <c r="M386" s="333" t="s">
        <v>6935</v>
      </c>
      <c r="N386" s="265" t="s">
        <v>9964</v>
      </c>
      <c r="O386" s="773"/>
      <c r="P386" s="1088">
        <v>5140.0</v>
      </c>
      <c r="Q386" s="320" t="s">
        <v>2172</v>
      </c>
      <c r="R386" s="388"/>
      <c r="S386" s="1145">
        <v>42577.0</v>
      </c>
      <c r="T386" s="1132">
        <v>42578.0</v>
      </c>
      <c r="U386" s="265" t="s">
        <v>9965</v>
      </c>
      <c r="V386" s="1135">
        <v>5140.0</v>
      </c>
      <c r="W386" s="832">
        <v>42577.0</v>
      </c>
      <c r="X386" s="320" t="s">
        <v>9966</v>
      </c>
      <c r="Y386" s="1141"/>
      <c r="Z386" s="1152"/>
      <c r="AA386" s="1141"/>
      <c r="AB386" s="388" t="s">
        <v>284</v>
      </c>
    </row>
    <row r="387" ht="15.75" customHeight="1">
      <c r="A387" s="776">
        <v>42565.0</v>
      </c>
      <c r="B387" s="340" t="s">
        <v>101</v>
      </c>
      <c r="C387" s="265" t="s">
        <v>9962</v>
      </c>
      <c r="D387" s="320" t="s">
        <v>9963</v>
      </c>
      <c r="E387" s="340" t="s">
        <v>9967</v>
      </c>
      <c r="F387" s="773">
        <v>1.0</v>
      </c>
      <c r="G387" s="773">
        <v>193.0</v>
      </c>
      <c r="H387" s="267">
        <f t="shared" si="21"/>
        <v>193</v>
      </c>
      <c r="I387" s="266" t="s">
        <v>3474</v>
      </c>
      <c r="J387" s="333"/>
      <c r="K387" s="258">
        <v>42586.0</v>
      </c>
      <c r="L387" s="630"/>
      <c r="M387" s="333" t="s">
        <v>2032</v>
      </c>
      <c r="N387" s="265"/>
      <c r="O387" s="773"/>
      <c r="P387" s="320">
        <v>6420.0</v>
      </c>
      <c r="Q387" s="320" t="s">
        <v>2033</v>
      </c>
      <c r="R387" s="388"/>
      <c r="S387" s="1145">
        <v>42624.0</v>
      </c>
      <c r="T387" s="1132">
        <v>42594.0</v>
      </c>
      <c r="U387" s="265" t="s">
        <v>6023</v>
      </c>
      <c r="V387" s="256" t="s">
        <v>6024</v>
      </c>
      <c r="W387" s="832">
        <v>42619.0</v>
      </c>
      <c r="X387" s="320" t="s">
        <v>9966</v>
      </c>
      <c r="Y387" s="1141"/>
      <c r="Z387" s="1152"/>
      <c r="AA387" s="1141"/>
      <c r="AB387" s="388" t="s">
        <v>284</v>
      </c>
    </row>
    <row r="388" ht="15.75" customHeight="1">
      <c r="A388" s="776">
        <v>42565.0</v>
      </c>
      <c r="B388" s="340" t="s">
        <v>101</v>
      </c>
      <c r="C388" s="265" t="s">
        <v>9968</v>
      </c>
      <c r="D388" s="320" t="s">
        <v>9969</v>
      </c>
      <c r="E388" s="340" t="s">
        <v>9970</v>
      </c>
      <c r="F388" s="773">
        <v>12.0</v>
      </c>
      <c r="G388" s="773">
        <v>52.0</v>
      </c>
      <c r="H388" s="267">
        <f t="shared" si="21"/>
        <v>624</v>
      </c>
      <c r="I388" s="266" t="s">
        <v>3474</v>
      </c>
      <c r="J388" s="333" t="s">
        <v>6027</v>
      </c>
      <c r="K388" s="258">
        <v>42586.0</v>
      </c>
      <c r="L388" s="258">
        <v>42586.0</v>
      </c>
      <c r="M388" s="333" t="s">
        <v>2170</v>
      </c>
      <c r="N388" s="265" t="s">
        <v>9971</v>
      </c>
      <c r="O388" s="773"/>
      <c r="P388" s="1088">
        <v>16972.0</v>
      </c>
      <c r="Q388" s="320" t="s">
        <v>2172</v>
      </c>
      <c r="R388" s="388"/>
      <c r="S388" s="1145">
        <v>42577.0</v>
      </c>
      <c r="T388" s="1132">
        <v>42579.0</v>
      </c>
      <c r="U388" s="265" t="s">
        <v>9972</v>
      </c>
      <c r="V388" s="1135">
        <v>16972.0</v>
      </c>
      <c r="W388" s="832">
        <v>42577.0</v>
      </c>
      <c r="X388" s="320" t="s">
        <v>9966</v>
      </c>
      <c r="Y388" s="1141"/>
      <c r="Z388" s="1152"/>
      <c r="AA388" s="1141"/>
      <c r="AB388" s="388" t="s">
        <v>284</v>
      </c>
    </row>
    <row r="389" ht="15.75" customHeight="1">
      <c r="A389" s="776">
        <v>42565.0</v>
      </c>
      <c r="B389" s="340" t="s">
        <v>101</v>
      </c>
      <c r="C389" s="265" t="s">
        <v>9968</v>
      </c>
      <c r="D389" s="320" t="s">
        <v>9969</v>
      </c>
      <c r="E389" s="340" t="s">
        <v>9973</v>
      </c>
      <c r="F389" s="773">
        <v>1.0</v>
      </c>
      <c r="G389" s="773">
        <v>45.0</v>
      </c>
      <c r="H389" s="267">
        <f t="shared" si="21"/>
        <v>45</v>
      </c>
      <c r="I389" s="266" t="s">
        <v>3474</v>
      </c>
      <c r="J389" s="333"/>
      <c r="K389" s="258">
        <v>42586.0</v>
      </c>
      <c r="L389" s="330"/>
      <c r="M389" s="333" t="s">
        <v>2032</v>
      </c>
      <c r="N389" s="265"/>
      <c r="O389" s="773"/>
      <c r="P389" s="773" t="s">
        <v>9974</v>
      </c>
      <c r="Q389" s="320" t="s">
        <v>2033</v>
      </c>
      <c r="R389" s="388"/>
      <c r="S389" s="1145">
        <v>42624.0</v>
      </c>
      <c r="T389" s="1132">
        <v>42594.0</v>
      </c>
      <c r="U389" s="265" t="s">
        <v>6023</v>
      </c>
      <c r="V389" s="256" t="s">
        <v>6024</v>
      </c>
      <c r="W389" s="832">
        <v>42619.0</v>
      </c>
      <c r="X389" s="320" t="s">
        <v>9966</v>
      </c>
      <c r="Y389" s="1141"/>
      <c r="Z389" s="1152"/>
      <c r="AA389" s="1141"/>
      <c r="AB389" s="388" t="s">
        <v>284</v>
      </c>
    </row>
    <row r="390" ht="15.75" customHeight="1">
      <c r="A390" s="776">
        <v>42565.0</v>
      </c>
      <c r="B390" s="340" t="s">
        <v>77</v>
      </c>
      <c r="C390" s="265">
        <v>684.0</v>
      </c>
      <c r="D390" s="320" t="s">
        <v>9975</v>
      </c>
      <c r="E390" s="604" t="s">
        <v>8775</v>
      </c>
      <c r="F390" s="773">
        <v>50.0</v>
      </c>
      <c r="G390" s="773">
        <v>1.9</v>
      </c>
      <c r="H390" s="267">
        <f t="shared" si="21"/>
        <v>95</v>
      </c>
      <c r="I390" s="266" t="s">
        <v>171</v>
      </c>
      <c r="J390" s="269" t="s">
        <v>316</v>
      </c>
      <c r="K390" s="258">
        <v>42612.0</v>
      </c>
      <c r="L390" s="258">
        <v>42607.0</v>
      </c>
      <c r="M390" s="333" t="s">
        <v>3769</v>
      </c>
      <c r="N390" s="265" t="s">
        <v>9976</v>
      </c>
      <c r="O390" s="773"/>
      <c r="P390" s="1088">
        <v>2783.0</v>
      </c>
      <c r="Q390" s="320" t="s">
        <v>2131</v>
      </c>
      <c r="R390" s="388"/>
      <c r="S390" s="1145">
        <v>42618.0</v>
      </c>
      <c r="T390" s="1132">
        <v>42606.0</v>
      </c>
      <c r="U390" s="265" t="s">
        <v>9977</v>
      </c>
      <c r="V390" s="1135">
        <v>2783.0</v>
      </c>
      <c r="W390" s="832">
        <v>42618.0</v>
      </c>
      <c r="X390" s="265" t="s">
        <v>9750</v>
      </c>
      <c r="Y390" s="1141"/>
      <c r="Z390" s="1152"/>
      <c r="AA390" s="1141"/>
      <c r="AB390" s="388" t="s">
        <v>284</v>
      </c>
    </row>
    <row r="391" ht="15.75" customHeight="1">
      <c r="A391" s="776">
        <v>42566.0</v>
      </c>
      <c r="B391" s="1176" t="s">
        <v>3871</v>
      </c>
      <c r="C391" s="265" t="s">
        <v>9978</v>
      </c>
      <c r="D391" s="320" t="s">
        <v>9979</v>
      </c>
      <c r="E391" s="340" t="s">
        <v>7065</v>
      </c>
      <c r="F391" s="773">
        <v>6.0</v>
      </c>
      <c r="G391" s="773">
        <v>161.0</v>
      </c>
      <c r="H391" s="267">
        <f t="shared" si="21"/>
        <v>966</v>
      </c>
      <c r="I391" s="266" t="s">
        <v>3874</v>
      </c>
      <c r="J391" s="403" t="s">
        <v>6206</v>
      </c>
      <c r="K391" s="258">
        <v>42590.0</v>
      </c>
      <c r="L391" s="258">
        <v>42572.0</v>
      </c>
      <c r="M391" s="333" t="s">
        <v>90</v>
      </c>
      <c r="N391" s="265" t="s">
        <v>9980</v>
      </c>
      <c r="O391" s="773">
        <v>806.4</v>
      </c>
      <c r="P391" s="1088">
        <v>47322.0</v>
      </c>
      <c r="Q391" s="320" t="s">
        <v>6081</v>
      </c>
      <c r="R391" s="388"/>
      <c r="S391" s="768">
        <v>42618.0</v>
      </c>
      <c r="T391" s="1132">
        <v>42571.0</v>
      </c>
      <c r="U391" s="265" t="s">
        <v>9981</v>
      </c>
      <c r="V391" s="1135">
        <v>47322.0</v>
      </c>
      <c r="W391" s="832">
        <v>42608.0</v>
      </c>
      <c r="X391" s="320" t="s">
        <v>9982</v>
      </c>
      <c r="Y391" s="1141"/>
      <c r="Z391" s="1152"/>
      <c r="AA391" s="1141"/>
      <c r="AB391" s="1140" t="s">
        <v>284</v>
      </c>
    </row>
    <row r="392" ht="15.75" customHeight="1">
      <c r="A392" s="776">
        <v>42566.0</v>
      </c>
      <c r="B392" s="1176" t="s">
        <v>3871</v>
      </c>
      <c r="C392" s="265" t="s">
        <v>9978</v>
      </c>
      <c r="D392" s="320" t="s">
        <v>9979</v>
      </c>
      <c r="E392" s="340" t="s">
        <v>9740</v>
      </c>
      <c r="F392" s="773">
        <v>1.0</v>
      </c>
      <c r="G392" s="773">
        <v>295.0</v>
      </c>
      <c r="H392" s="267">
        <f t="shared" si="21"/>
        <v>295</v>
      </c>
      <c r="I392" s="266" t="s">
        <v>3874</v>
      </c>
      <c r="J392" s="403" t="s">
        <v>6206</v>
      </c>
      <c r="K392" s="258">
        <v>42590.0</v>
      </c>
      <c r="L392" s="258">
        <v>42572.0</v>
      </c>
      <c r="M392" s="333" t="s">
        <v>90</v>
      </c>
      <c r="N392" s="265" t="s">
        <v>9980</v>
      </c>
      <c r="O392" s="773">
        <v>266.7</v>
      </c>
      <c r="P392" s="388"/>
      <c r="Q392" s="320" t="s">
        <v>6081</v>
      </c>
      <c r="R392" s="388"/>
      <c r="S392" s="768">
        <v>42618.0</v>
      </c>
      <c r="T392" s="1132">
        <v>42571.0</v>
      </c>
      <c r="U392" s="265" t="s">
        <v>9981</v>
      </c>
      <c r="V392" s="1135" t="s">
        <v>9983</v>
      </c>
      <c r="W392" s="832">
        <v>42608.0</v>
      </c>
      <c r="X392" s="320" t="s">
        <v>9982</v>
      </c>
      <c r="Y392" s="1141"/>
      <c r="Z392" s="1152"/>
      <c r="AA392" s="1141"/>
      <c r="AB392" s="1140" t="s">
        <v>284</v>
      </c>
    </row>
    <row r="393" ht="15.75" customHeight="1">
      <c r="A393" s="776">
        <v>42566.0</v>
      </c>
      <c r="B393" s="1176" t="s">
        <v>3871</v>
      </c>
      <c r="C393" s="265" t="s">
        <v>9978</v>
      </c>
      <c r="D393" s="320" t="s">
        <v>9979</v>
      </c>
      <c r="E393" s="340" t="s">
        <v>3873</v>
      </c>
      <c r="F393" s="773">
        <v>1.0</v>
      </c>
      <c r="G393" s="773">
        <v>460.0</v>
      </c>
      <c r="H393" s="267">
        <f t="shared" si="21"/>
        <v>460</v>
      </c>
      <c r="I393" s="266" t="s">
        <v>3874</v>
      </c>
      <c r="J393" s="403" t="s">
        <v>6206</v>
      </c>
      <c r="K393" s="258">
        <v>42590.0</v>
      </c>
      <c r="L393" s="258">
        <v>42572.0</v>
      </c>
      <c r="M393" s="333" t="s">
        <v>90</v>
      </c>
      <c r="N393" s="265" t="s">
        <v>9980</v>
      </c>
      <c r="O393" s="773">
        <v>395.85</v>
      </c>
      <c r="P393" s="388"/>
      <c r="Q393" s="320" t="s">
        <v>6081</v>
      </c>
      <c r="R393" s="388"/>
      <c r="S393" s="768">
        <v>42618.0</v>
      </c>
      <c r="T393" s="1132">
        <v>42571.0</v>
      </c>
      <c r="U393" s="265" t="s">
        <v>9981</v>
      </c>
      <c r="V393" s="1135" t="s">
        <v>9983</v>
      </c>
      <c r="W393" s="832">
        <v>42608.0</v>
      </c>
      <c r="X393" s="320" t="s">
        <v>9982</v>
      </c>
      <c r="Y393" s="1141"/>
      <c r="Z393" s="1152"/>
      <c r="AA393" s="1141"/>
      <c r="AB393" s="1140" t="s">
        <v>284</v>
      </c>
    </row>
    <row r="394" ht="15.75" customHeight="1">
      <c r="A394" s="776">
        <v>42569.0</v>
      </c>
      <c r="B394" s="599" t="s">
        <v>54</v>
      </c>
      <c r="C394" s="1004" t="s">
        <v>9984</v>
      </c>
      <c r="D394" s="310" t="s">
        <v>9985</v>
      </c>
      <c r="E394" s="578" t="s">
        <v>3793</v>
      </c>
      <c r="F394" s="331">
        <v>4.0</v>
      </c>
      <c r="G394" s="254">
        <v>150.15</v>
      </c>
      <c r="H394" s="578">
        <f t="shared" si="21"/>
        <v>600.6</v>
      </c>
      <c r="I394" s="266" t="s">
        <v>8675</v>
      </c>
      <c r="J394" s="403" t="s">
        <v>233</v>
      </c>
      <c r="K394" s="258">
        <v>42605.0</v>
      </c>
      <c r="L394" s="388"/>
      <c r="M394" s="333" t="s">
        <v>90</v>
      </c>
      <c r="N394" s="265" t="s">
        <v>9986</v>
      </c>
      <c r="O394" s="773">
        <v>537.6</v>
      </c>
      <c r="P394" s="388"/>
      <c r="Q394" s="320" t="s">
        <v>6081</v>
      </c>
      <c r="R394" s="388"/>
      <c r="S394" s="1145">
        <v>42618.0</v>
      </c>
      <c r="T394" s="1132">
        <v>42601.0</v>
      </c>
      <c r="U394" s="265" t="s">
        <v>9987</v>
      </c>
      <c r="V394" s="1135">
        <v>16932.0</v>
      </c>
      <c r="W394" s="832">
        <v>42621.0</v>
      </c>
      <c r="X394" s="320" t="s">
        <v>9988</v>
      </c>
      <c r="Y394" s="320" t="s">
        <v>9989</v>
      </c>
      <c r="Z394" s="1149">
        <v>19096.0</v>
      </c>
      <c r="AA394" s="388" t="s">
        <v>9990</v>
      </c>
      <c r="AB394" s="1140"/>
    </row>
    <row r="395" ht="15.75" customHeight="1">
      <c r="A395" s="776">
        <v>42572.0</v>
      </c>
      <c r="B395" s="340" t="s">
        <v>77</v>
      </c>
      <c r="C395" s="265"/>
      <c r="D395" s="320" t="s">
        <v>9991</v>
      </c>
      <c r="E395" s="340" t="s">
        <v>9992</v>
      </c>
      <c r="F395" s="773">
        <v>3.0</v>
      </c>
      <c r="G395" s="773">
        <v>6.0</v>
      </c>
      <c r="H395" s="578">
        <f t="shared" si="21"/>
        <v>18</v>
      </c>
      <c r="I395" s="266" t="s">
        <v>171</v>
      </c>
      <c r="J395" s="403" t="s">
        <v>1098</v>
      </c>
      <c r="K395" s="258">
        <v>42578.0</v>
      </c>
      <c r="L395" s="258">
        <v>42577.0</v>
      </c>
      <c r="M395" s="333" t="s">
        <v>2039</v>
      </c>
      <c r="N395" s="265" t="s">
        <v>9993</v>
      </c>
      <c r="O395" s="773"/>
      <c r="P395" s="320">
        <v>274.0</v>
      </c>
      <c r="Q395" s="320" t="s">
        <v>2194</v>
      </c>
      <c r="R395" s="388"/>
      <c r="S395" s="1145">
        <v>42618.0</v>
      </c>
      <c r="T395" s="1132">
        <v>42577.0</v>
      </c>
      <c r="U395" s="265" t="s">
        <v>9994</v>
      </c>
      <c r="V395" s="256">
        <v>362.0</v>
      </c>
      <c r="W395" s="832">
        <v>42619.0</v>
      </c>
      <c r="X395" s="265" t="s">
        <v>9995</v>
      </c>
      <c r="Y395" s="1141"/>
      <c r="Z395" s="1152"/>
      <c r="AA395" s="1141"/>
      <c r="AB395" s="388" t="s">
        <v>284</v>
      </c>
    </row>
    <row r="396" ht="15.75" customHeight="1">
      <c r="A396" s="776">
        <v>42572.0</v>
      </c>
      <c r="B396" s="340" t="s">
        <v>77</v>
      </c>
      <c r="C396" s="265"/>
      <c r="D396" s="320" t="s">
        <v>9991</v>
      </c>
      <c r="E396" s="340" t="s">
        <v>9996</v>
      </c>
      <c r="F396" s="773">
        <v>3.0</v>
      </c>
      <c r="G396" s="773">
        <v>2.0</v>
      </c>
      <c r="H396" s="578">
        <f t="shared" si="21"/>
        <v>6</v>
      </c>
      <c r="I396" s="266" t="s">
        <v>171</v>
      </c>
      <c r="J396" s="333" t="s">
        <v>1098</v>
      </c>
      <c r="K396" s="258">
        <v>42578.0</v>
      </c>
      <c r="L396" s="258">
        <v>42577.0</v>
      </c>
      <c r="M396" s="333" t="s">
        <v>2039</v>
      </c>
      <c r="N396" s="265" t="s">
        <v>9993</v>
      </c>
      <c r="O396" s="773"/>
      <c r="P396" s="320">
        <v>88.0</v>
      </c>
      <c r="Q396" s="320" t="s">
        <v>2194</v>
      </c>
      <c r="R396" s="388"/>
      <c r="S396" s="1145">
        <v>42618.0</v>
      </c>
      <c r="T396" s="1132">
        <v>42577.0</v>
      </c>
      <c r="U396" s="265" t="s">
        <v>9994</v>
      </c>
      <c r="V396" s="256" t="s">
        <v>9997</v>
      </c>
      <c r="W396" s="832">
        <v>42619.0</v>
      </c>
      <c r="X396" s="265" t="s">
        <v>9995</v>
      </c>
      <c r="Y396" s="1141"/>
      <c r="Z396" s="1152"/>
      <c r="AA396" s="1141"/>
      <c r="AB396" s="388" t="s">
        <v>284</v>
      </c>
    </row>
    <row r="397" ht="15.75" customHeight="1">
      <c r="A397" s="776">
        <v>42572.0</v>
      </c>
      <c r="B397" s="340" t="s">
        <v>7411</v>
      </c>
      <c r="C397" s="265" t="s">
        <v>9998</v>
      </c>
      <c r="D397" s="320" t="s">
        <v>9999</v>
      </c>
      <c r="E397" s="340" t="s">
        <v>7414</v>
      </c>
      <c r="F397" s="773">
        <v>5.0</v>
      </c>
      <c r="G397" s="773">
        <v>231.0</v>
      </c>
      <c r="H397" s="267">
        <f t="shared" si="21"/>
        <v>1155</v>
      </c>
      <c r="I397" s="266" t="s">
        <v>3474</v>
      </c>
      <c r="J397" s="333" t="s">
        <v>10000</v>
      </c>
      <c r="K397" s="258">
        <v>42642.0</v>
      </c>
      <c r="L397" s="258">
        <v>42639.0</v>
      </c>
      <c r="M397" s="333" t="s">
        <v>90</v>
      </c>
      <c r="N397" s="265" t="s">
        <v>10001</v>
      </c>
      <c r="O397" s="773">
        <v>892.5</v>
      </c>
      <c r="P397" s="388"/>
      <c r="Q397" s="320" t="s">
        <v>6081</v>
      </c>
      <c r="R397" s="388"/>
      <c r="S397" s="1145">
        <v>42709.0</v>
      </c>
      <c r="T397" s="1132">
        <v>42639.0</v>
      </c>
      <c r="U397" s="265" t="s">
        <v>10002</v>
      </c>
      <c r="V397" s="1135">
        <v>28225.0</v>
      </c>
      <c r="W397" s="1148">
        <v>42690.0</v>
      </c>
      <c r="X397" s="320" t="s">
        <v>10003</v>
      </c>
      <c r="Y397" s="1141"/>
      <c r="Z397" s="1152"/>
      <c r="AA397" s="1141"/>
      <c r="AB397" s="1140" t="s">
        <v>284</v>
      </c>
    </row>
    <row r="398" ht="15.75" customHeight="1">
      <c r="A398" s="776">
        <v>42572.0</v>
      </c>
      <c r="B398" s="340" t="s">
        <v>7411</v>
      </c>
      <c r="C398" s="265" t="s">
        <v>9998</v>
      </c>
      <c r="D398" s="320" t="s">
        <v>9999</v>
      </c>
      <c r="E398" s="340" t="s">
        <v>700</v>
      </c>
      <c r="F398" s="773">
        <v>1.0</v>
      </c>
      <c r="G398" s="773">
        <v>25.0</v>
      </c>
      <c r="H398" s="267">
        <f t="shared" si="21"/>
        <v>25</v>
      </c>
      <c r="I398" s="266" t="s">
        <v>3474</v>
      </c>
      <c r="J398" s="333"/>
      <c r="K398" s="258">
        <v>42642.0</v>
      </c>
      <c r="L398" s="388"/>
      <c r="M398" s="333"/>
      <c r="N398" s="265"/>
      <c r="O398" s="773"/>
      <c r="P398" s="388"/>
      <c r="Q398" s="320"/>
      <c r="R398" s="388"/>
      <c r="S398" s="1139"/>
      <c r="T398" s="1132"/>
      <c r="U398" s="265"/>
      <c r="V398" s="1135"/>
      <c r="W398" s="832"/>
      <c r="X398" s="320" t="s">
        <v>10003</v>
      </c>
      <c r="Y398" s="1141"/>
      <c r="Z398" s="1152"/>
      <c r="AA398" s="1141"/>
      <c r="AB398" s="1140" t="s">
        <v>284</v>
      </c>
    </row>
    <row r="399" ht="15.75" customHeight="1">
      <c r="A399" s="776">
        <v>42573.0</v>
      </c>
      <c r="B399" s="340" t="s">
        <v>5073</v>
      </c>
      <c r="C399" s="265" t="s">
        <v>10004</v>
      </c>
      <c r="D399" s="320" t="s">
        <v>10005</v>
      </c>
      <c r="E399" s="340" t="s">
        <v>10006</v>
      </c>
      <c r="F399" s="773">
        <v>14.0</v>
      </c>
      <c r="G399" s="773">
        <v>582.0</v>
      </c>
      <c r="H399" s="267">
        <f t="shared" si="21"/>
        <v>8148</v>
      </c>
      <c r="I399" s="266" t="s">
        <v>3474</v>
      </c>
      <c r="J399" s="333" t="s">
        <v>8684</v>
      </c>
      <c r="K399" s="258">
        <v>42586.0</v>
      </c>
      <c r="L399" s="832">
        <v>42580.0</v>
      </c>
      <c r="M399" s="333" t="s">
        <v>3593</v>
      </c>
      <c r="N399" s="265" t="s">
        <v>10007</v>
      </c>
      <c r="O399" s="773"/>
      <c r="P399" s="1088">
        <v>253943.0</v>
      </c>
      <c r="Q399" s="320" t="s">
        <v>6122</v>
      </c>
      <c r="R399" s="388"/>
      <c r="S399" s="768">
        <v>42597.0</v>
      </c>
      <c r="T399" s="1132">
        <v>42577.0</v>
      </c>
      <c r="U399" s="265" t="s">
        <v>10008</v>
      </c>
      <c r="V399" s="1135">
        <v>253943.0</v>
      </c>
      <c r="W399" s="832"/>
      <c r="X399" s="320" t="s">
        <v>10009</v>
      </c>
      <c r="Y399" s="1141"/>
      <c r="Z399" s="1152"/>
      <c r="AA399" s="1141"/>
      <c r="AB399" s="388" t="s">
        <v>284</v>
      </c>
    </row>
    <row r="400" ht="15.75" customHeight="1">
      <c r="A400" s="776">
        <v>42576.0</v>
      </c>
      <c r="B400" s="340" t="s">
        <v>77</v>
      </c>
      <c r="C400" s="265"/>
      <c r="D400" s="320" t="s">
        <v>10010</v>
      </c>
      <c r="E400" s="340" t="s">
        <v>10011</v>
      </c>
      <c r="F400" s="773">
        <v>1.0</v>
      </c>
      <c r="G400" s="773">
        <v>234.0</v>
      </c>
      <c r="H400" s="578">
        <f t="shared" si="21"/>
        <v>234</v>
      </c>
      <c r="I400" s="266" t="s">
        <v>171</v>
      </c>
      <c r="J400" s="333" t="s">
        <v>1098</v>
      </c>
      <c r="K400" s="258">
        <v>42578.0</v>
      </c>
      <c r="L400" s="266" t="s">
        <v>10012</v>
      </c>
      <c r="M400" s="333" t="s">
        <v>1998</v>
      </c>
      <c r="N400" s="265" t="s">
        <v>10013</v>
      </c>
      <c r="O400" s="773"/>
      <c r="P400" s="320">
        <v>8092.0</v>
      </c>
      <c r="Q400" s="320" t="s">
        <v>2000</v>
      </c>
      <c r="R400" s="388"/>
      <c r="S400" s="768">
        <v>42618.0</v>
      </c>
      <c r="T400" s="1132">
        <v>42578.0</v>
      </c>
      <c r="U400" s="265" t="s">
        <v>10014</v>
      </c>
      <c r="V400" s="1135">
        <v>8564.0</v>
      </c>
      <c r="W400" s="832">
        <v>42619.0</v>
      </c>
      <c r="X400" s="265" t="s">
        <v>9995</v>
      </c>
      <c r="Y400" s="1141"/>
      <c r="Z400" s="1152"/>
      <c r="AA400" s="1141"/>
      <c r="AB400" s="388" t="s">
        <v>284</v>
      </c>
    </row>
    <row r="401" ht="15.75" customHeight="1">
      <c r="A401" s="776">
        <v>42576.0</v>
      </c>
      <c r="B401" s="340" t="s">
        <v>77</v>
      </c>
      <c r="C401" s="265"/>
      <c r="D401" s="320" t="s">
        <v>10010</v>
      </c>
      <c r="E401" s="340" t="s">
        <v>9091</v>
      </c>
      <c r="F401" s="773">
        <v>1.0</v>
      </c>
      <c r="G401" s="773">
        <v>25.0</v>
      </c>
      <c r="H401" s="578">
        <f t="shared" si="21"/>
        <v>25</v>
      </c>
      <c r="I401" s="266" t="s">
        <v>171</v>
      </c>
      <c r="J401" s="333" t="s">
        <v>1098</v>
      </c>
      <c r="K401" s="258">
        <v>42578.0</v>
      </c>
      <c r="L401" s="266" t="s">
        <v>10012</v>
      </c>
      <c r="M401" s="333" t="s">
        <v>1998</v>
      </c>
      <c r="N401" s="265" t="s">
        <v>10013</v>
      </c>
      <c r="O401" s="773"/>
      <c r="P401" s="320">
        <v>843.0</v>
      </c>
      <c r="Q401" s="320" t="s">
        <v>2000</v>
      </c>
      <c r="R401" s="388"/>
      <c r="S401" s="768">
        <v>42618.0</v>
      </c>
      <c r="T401" s="1132">
        <v>42578.0</v>
      </c>
      <c r="U401" s="265" t="s">
        <v>10015</v>
      </c>
      <c r="V401" s="1135">
        <v>843.0</v>
      </c>
      <c r="W401" s="832">
        <v>42619.0</v>
      </c>
      <c r="X401" s="265" t="s">
        <v>9995</v>
      </c>
      <c r="Y401" s="1141"/>
      <c r="Z401" s="1152"/>
      <c r="AA401" s="1141"/>
      <c r="AB401" s="388" t="s">
        <v>284</v>
      </c>
    </row>
    <row r="402" ht="15.75" customHeight="1">
      <c r="A402" s="776">
        <v>42576.0</v>
      </c>
      <c r="B402" s="340" t="s">
        <v>77</v>
      </c>
      <c r="C402" s="265"/>
      <c r="D402" s="320" t="s">
        <v>10010</v>
      </c>
      <c r="E402" s="340" t="s">
        <v>9128</v>
      </c>
      <c r="F402" s="773">
        <v>1.0</v>
      </c>
      <c r="G402" s="773">
        <v>8.0</v>
      </c>
      <c r="H402" s="578">
        <f t="shared" si="21"/>
        <v>8</v>
      </c>
      <c r="I402" s="266" t="s">
        <v>171</v>
      </c>
      <c r="J402" s="333" t="s">
        <v>1098</v>
      </c>
      <c r="K402" s="258">
        <v>42578.0</v>
      </c>
      <c r="L402" s="266" t="s">
        <v>10012</v>
      </c>
      <c r="M402" s="333" t="s">
        <v>1998</v>
      </c>
      <c r="N402" s="265" t="s">
        <v>10013</v>
      </c>
      <c r="O402" s="773"/>
      <c r="P402" s="320">
        <v>472.0</v>
      </c>
      <c r="Q402" s="320" t="s">
        <v>2000</v>
      </c>
      <c r="R402" s="388"/>
      <c r="S402" s="768">
        <v>42618.0</v>
      </c>
      <c r="T402" s="1132">
        <v>42578.0</v>
      </c>
      <c r="U402" s="265" t="s">
        <v>10014</v>
      </c>
      <c r="V402" s="1135" t="s">
        <v>7387</v>
      </c>
      <c r="W402" s="832">
        <v>42619.0</v>
      </c>
      <c r="X402" s="265" t="s">
        <v>9995</v>
      </c>
      <c r="Y402" s="1141"/>
      <c r="Z402" s="1152"/>
      <c r="AA402" s="1141"/>
      <c r="AB402" s="388" t="s">
        <v>284</v>
      </c>
    </row>
    <row r="403" ht="15.75" customHeight="1">
      <c r="A403" s="776">
        <v>42576.0</v>
      </c>
      <c r="B403" s="340" t="s">
        <v>77</v>
      </c>
      <c r="C403" s="265"/>
      <c r="D403" s="320" t="s">
        <v>10016</v>
      </c>
      <c r="E403" s="578" t="s">
        <v>9576</v>
      </c>
      <c r="F403" s="581">
        <v>3.0</v>
      </c>
      <c r="G403" s="267">
        <v>184.0</v>
      </c>
      <c r="H403" s="578">
        <f t="shared" si="21"/>
        <v>552</v>
      </c>
      <c r="I403" s="266" t="s">
        <v>171</v>
      </c>
      <c r="J403" s="269" t="s">
        <v>316</v>
      </c>
      <c r="K403" s="258">
        <v>42612.0</v>
      </c>
      <c r="L403" s="832">
        <v>42607.0</v>
      </c>
      <c r="M403" s="333" t="s">
        <v>1998</v>
      </c>
      <c r="N403" s="265" t="s">
        <v>10017</v>
      </c>
      <c r="O403" s="773">
        <v>519.75</v>
      </c>
      <c r="P403" s="320">
        <v>16518.0</v>
      </c>
      <c r="Q403" s="320" t="s">
        <v>2000</v>
      </c>
      <c r="R403" s="388"/>
      <c r="S403" s="1145">
        <v>42648.0</v>
      </c>
      <c r="T403" s="1132">
        <v>42606.0</v>
      </c>
      <c r="U403" s="265" t="s">
        <v>10018</v>
      </c>
      <c r="V403" s="1135">
        <v>17820.0</v>
      </c>
      <c r="W403" s="832">
        <v>42648.0</v>
      </c>
      <c r="X403" s="265" t="s">
        <v>9750</v>
      </c>
      <c r="Y403" s="1141"/>
      <c r="Z403" s="1152"/>
      <c r="AA403" s="1141"/>
      <c r="AB403" s="388" t="s">
        <v>284</v>
      </c>
    </row>
    <row r="404" ht="15.75" customHeight="1">
      <c r="A404" s="776">
        <v>42576.0</v>
      </c>
      <c r="B404" s="340" t="s">
        <v>77</v>
      </c>
      <c r="C404" s="265"/>
      <c r="D404" s="320" t="s">
        <v>10016</v>
      </c>
      <c r="E404" s="578" t="s">
        <v>9579</v>
      </c>
      <c r="F404" s="581">
        <v>3.0</v>
      </c>
      <c r="G404" s="267">
        <v>18.0</v>
      </c>
      <c r="H404" s="578">
        <f t="shared" si="21"/>
        <v>54</v>
      </c>
      <c r="I404" s="266" t="s">
        <v>171</v>
      </c>
      <c r="J404" s="269" t="s">
        <v>316</v>
      </c>
      <c r="K404" s="258">
        <v>42612.0</v>
      </c>
      <c r="L404" s="832">
        <v>42607.0</v>
      </c>
      <c r="M404" s="333" t="s">
        <v>1998</v>
      </c>
      <c r="N404" s="265" t="s">
        <v>10017</v>
      </c>
      <c r="O404" s="773">
        <v>40.95</v>
      </c>
      <c r="P404" s="320">
        <v>1302.0</v>
      </c>
      <c r="Q404" s="320" t="s">
        <v>2000</v>
      </c>
      <c r="R404" s="388"/>
      <c r="S404" s="1145">
        <v>42648.0</v>
      </c>
      <c r="T404" s="1132">
        <v>42606.0</v>
      </c>
      <c r="U404" s="265" t="s">
        <v>10018</v>
      </c>
      <c r="V404" s="1135" t="s">
        <v>10019</v>
      </c>
      <c r="W404" s="832">
        <v>42648.0</v>
      </c>
      <c r="X404" s="265" t="s">
        <v>9750</v>
      </c>
      <c r="Y404" s="1141"/>
      <c r="Z404" s="1152"/>
      <c r="AA404" s="1141"/>
      <c r="AB404" s="388" t="s">
        <v>284</v>
      </c>
    </row>
    <row r="405" ht="15.75" customHeight="1">
      <c r="A405" s="776">
        <v>42576.0</v>
      </c>
      <c r="B405" s="340" t="s">
        <v>77</v>
      </c>
      <c r="C405" s="265"/>
      <c r="D405" s="320" t="s">
        <v>10016</v>
      </c>
      <c r="E405" s="340" t="s">
        <v>10020</v>
      </c>
      <c r="F405" s="773">
        <v>3.0</v>
      </c>
      <c r="G405" s="773">
        <v>7.0</v>
      </c>
      <c r="H405" s="578">
        <f t="shared" si="21"/>
        <v>21</v>
      </c>
      <c r="I405" s="266" t="s">
        <v>171</v>
      </c>
      <c r="J405" s="269" t="s">
        <v>316</v>
      </c>
      <c r="K405" s="258">
        <v>42612.0</v>
      </c>
      <c r="L405" s="832">
        <v>42607.0</v>
      </c>
      <c r="M405" s="333" t="s">
        <v>2039</v>
      </c>
      <c r="N405" s="265" t="s">
        <v>10021</v>
      </c>
      <c r="O405" s="773"/>
      <c r="P405" s="320">
        <v>284.0</v>
      </c>
      <c r="Q405" s="320" t="s">
        <v>2194</v>
      </c>
      <c r="R405" s="388"/>
      <c r="S405" s="1145">
        <v>42618.0</v>
      </c>
      <c r="T405" s="1132">
        <v>42605.0</v>
      </c>
      <c r="U405" s="265" t="s">
        <v>10022</v>
      </c>
      <c r="V405" s="1135">
        <v>284.0</v>
      </c>
      <c r="W405" s="832"/>
      <c r="X405" s="265" t="s">
        <v>9750</v>
      </c>
      <c r="Y405" s="1141"/>
      <c r="Z405" s="1152"/>
      <c r="AA405" s="1141"/>
      <c r="AB405" s="388" t="s">
        <v>284</v>
      </c>
    </row>
    <row r="406" ht="15.75" customHeight="1">
      <c r="A406" s="776">
        <v>42578.0</v>
      </c>
      <c r="B406" s="599" t="s">
        <v>6246</v>
      </c>
      <c r="C406" s="765" t="s">
        <v>10023</v>
      </c>
      <c r="D406" s="310" t="s">
        <v>10024</v>
      </c>
      <c r="E406" s="340" t="s">
        <v>6249</v>
      </c>
      <c r="F406" s="773">
        <v>5.0</v>
      </c>
      <c r="G406" s="773">
        <v>58.0</v>
      </c>
      <c r="H406" s="466">
        <f t="shared" si="21"/>
        <v>290</v>
      </c>
      <c r="I406" s="256" t="s">
        <v>43</v>
      </c>
      <c r="J406" s="333" t="s">
        <v>9061</v>
      </c>
      <c r="K406" s="832">
        <v>42592.0</v>
      </c>
      <c r="L406" s="832">
        <v>42591.0</v>
      </c>
      <c r="M406" s="333" t="s">
        <v>90</v>
      </c>
      <c r="N406" s="265" t="s">
        <v>10025</v>
      </c>
      <c r="O406" s="773">
        <v>273.0</v>
      </c>
      <c r="P406" s="388"/>
      <c r="Q406" s="320" t="s">
        <v>6081</v>
      </c>
      <c r="R406" s="388"/>
      <c r="S406" s="1145">
        <v>42618.0</v>
      </c>
      <c r="T406" s="1132">
        <v>42590.0</v>
      </c>
      <c r="U406" s="265" t="s">
        <v>10026</v>
      </c>
      <c r="V406" s="1135">
        <v>65896.0</v>
      </c>
      <c r="W406" s="832">
        <v>42621.0</v>
      </c>
      <c r="X406" s="320" t="s">
        <v>10027</v>
      </c>
      <c r="Y406" s="1141"/>
      <c r="Z406" s="1152"/>
      <c r="AA406" s="1141"/>
      <c r="AB406" s="388" t="s">
        <v>284</v>
      </c>
    </row>
    <row r="407" ht="15.75" customHeight="1">
      <c r="A407" s="776">
        <v>42578.0</v>
      </c>
      <c r="B407" s="599" t="s">
        <v>6246</v>
      </c>
      <c r="C407" s="765" t="s">
        <v>10023</v>
      </c>
      <c r="D407" s="310" t="s">
        <v>10024</v>
      </c>
      <c r="E407" s="340" t="s">
        <v>10028</v>
      </c>
      <c r="F407" s="773">
        <v>20.0</v>
      </c>
      <c r="G407" s="773">
        <v>64.5</v>
      </c>
      <c r="H407" s="466">
        <f t="shared" si="21"/>
        <v>1290</v>
      </c>
      <c r="I407" s="256" t="s">
        <v>43</v>
      </c>
      <c r="J407" s="333" t="s">
        <v>9061</v>
      </c>
      <c r="K407" s="832">
        <v>42592.0</v>
      </c>
      <c r="L407" s="832">
        <v>42591.0</v>
      </c>
      <c r="M407" s="333" t="s">
        <v>90</v>
      </c>
      <c r="N407" s="265" t="s">
        <v>10025</v>
      </c>
      <c r="O407" s="773">
        <v>1260.0</v>
      </c>
      <c r="P407" s="388"/>
      <c r="Q407" s="320" t="s">
        <v>6081</v>
      </c>
      <c r="R407" s="388"/>
      <c r="S407" s="1145">
        <v>42618.0</v>
      </c>
      <c r="T407" s="1132">
        <v>42590.0</v>
      </c>
      <c r="U407" s="265" t="s">
        <v>10026</v>
      </c>
      <c r="V407" s="1135" t="s">
        <v>10029</v>
      </c>
      <c r="W407" s="832">
        <v>42621.0</v>
      </c>
      <c r="X407" s="320" t="s">
        <v>10027</v>
      </c>
      <c r="Y407" s="1141"/>
      <c r="Z407" s="1152"/>
      <c r="AA407" s="1141"/>
      <c r="AB407" s="388" t="s">
        <v>284</v>
      </c>
    </row>
    <row r="408" ht="15.75" customHeight="1">
      <c r="A408" s="776">
        <v>42578.0</v>
      </c>
      <c r="B408" s="599" t="s">
        <v>6246</v>
      </c>
      <c r="C408" s="765" t="s">
        <v>10023</v>
      </c>
      <c r="D408" s="310" t="s">
        <v>10024</v>
      </c>
      <c r="E408" s="340" t="s">
        <v>10030</v>
      </c>
      <c r="F408" s="773">
        <v>3.0</v>
      </c>
      <c r="G408" s="773">
        <v>85.0</v>
      </c>
      <c r="H408" s="466">
        <f t="shared" si="21"/>
        <v>255</v>
      </c>
      <c r="I408" s="256" t="s">
        <v>43</v>
      </c>
      <c r="J408" s="333" t="s">
        <v>9061</v>
      </c>
      <c r="K408" s="832">
        <v>42592.0</v>
      </c>
      <c r="L408" s="832">
        <v>42591.0</v>
      </c>
      <c r="M408" s="333" t="s">
        <v>90</v>
      </c>
      <c r="N408" s="265" t="s">
        <v>10025</v>
      </c>
      <c r="O408" s="773">
        <v>245.7</v>
      </c>
      <c r="P408" s="388"/>
      <c r="Q408" s="320" t="s">
        <v>6081</v>
      </c>
      <c r="R408" s="388"/>
      <c r="S408" s="1145">
        <v>42618.0</v>
      </c>
      <c r="T408" s="1132">
        <v>42590.0</v>
      </c>
      <c r="U408" s="265" t="s">
        <v>10026</v>
      </c>
      <c r="V408" s="1135" t="s">
        <v>10029</v>
      </c>
      <c r="W408" s="832">
        <v>42621.0</v>
      </c>
      <c r="X408" s="320" t="s">
        <v>10027</v>
      </c>
      <c r="Y408" s="1141"/>
      <c r="Z408" s="1152"/>
      <c r="AA408" s="1141"/>
      <c r="AB408" s="388" t="s">
        <v>284</v>
      </c>
    </row>
    <row r="409" ht="15.75" customHeight="1">
      <c r="A409" s="776">
        <v>42578.0</v>
      </c>
      <c r="B409" s="599" t="s">
        <v>6246</v>
      </c>
      <c r="C409" s="765" t="s">
        <v>10023</v>
      </c>
      <c r="D409" s="310" t="s">
        <v>10024</v>
      </c>
      <c r="E409" s="340" t="s">
        <v>10031</v>
      </c>
      <c r="F409" s="773">
        <v>2.0</v>
      </c>
      <c r="G409" s="773">
        <v>90.0</v>
      </c>
      <c r="H409" s="466">
        <f t="shared" si="21"/>
        <v>180</v>
      </c>
      <c r="I409" s="256" t="s">
        <v>43</v>
      </c>
      <c r="J409" s="333" t="s">
        <v>9061</v>
      </c>
      <c r="K409" s="832">
        <v>42592.0</v>
      </c>
      <c r="L409" s="832">
        <v>42591.0</v>
      </c>
      <c r="M409" s="333" t="s">
        <v>90</v>
      </c>
      <c r="N409" s="265" t="s">
        <v>10025</v>
      </c>
      <c r="O409" s="773">
        <v>178.5</v>
      </c>
      <c r="P409" s="388"/>
      <c r="Q409" s="320" t="s">
        <v>6081</v>
      </c>
      <c r="R409" s="388"/>
      <c r="S409" s="1145">
        <v>42618.0</v>
      </c>
      <c r="T409" s="1132">
        <v>42590.0</v>
      </c>
      <c r="U409" s="265" t="s">
        <v>10026</v>
      </c>
      <c r="V409" s="1135" t="s">
        <v>10029</v>
      </c>
      <c r="W409" s="832">
        <v>42621.0</v>
      </c>
      <c r="X409" s="320" t="s">
        <v>10027</v>
      </c>
      <c r="Y409" s="1141"/>
      <c r="Z409" s="1152"/>
      <c r="AA409" s="1141"/>
      <c r="AB409" s="388" t="s">
        <v>284</v>
      </c>
    </row>
    <row r="410" ht="15.75" customHeight="1">
      <c r="A410" s="776">
        <v>42578.0</v>
      </c>
      <c r="B410" s="599" t="s">
        <v>6246</v>
      </c>
      <c r="C410" s="765" t="s">
        <v>10023</v>
      </c>
      <c r="D410" s="310" t="s">
        <v>10024</v>
      </c>
      <c r="E410" s="340" t="s">
        <v>1241</v>
      </c>
      <c r="F410" s="773">
        <v>2.0</v>
      </c>
      <c r="G410" s="773">
        <v>50.0</v>
      </c>
      <c r="H410" s="466">
        <f t="shared" si="21"/>
        <v>100</v>
      </c>
      <c r="I410" s="256" t="s">
        <v>43</v>
      </c>
      <c r="J410" s="333" t="s">
        <v>9061</v>
      </c>
      <c r="K410" s="832">
        <v>42592.0</v>
      </c>
      <c r="L410" s="832">
        <v>42591.0</v>
      </c>
      <c r="M410" s="333" t="s">
        <v>90</v>
      </c>
      <c r="N410" s="265" t="s">
        <v>10025</v>
      </c>
      <c r="O410" s="773">
        <v>96.6</v>
      </c>
      <c r="P410" s="388"/>
      <c r="Q410" s="320" t="s">
        <v>6081</v>
      </c>
      <c r="R410" s="388"/>
      <c r="S410" s="1145">
        <v>42618.0</v>
      </c>
      <c r="T410" s="1132">
        <v>42590.0</v>
      </c>
      <c r="U410" s="265" t="s">
        <v>10026</v>
      </c>
      <c r="V410" s="1135" t="s">
        <v>10029</v>
      </c>
      <c r="W410" s="832">
        <v>42621.0</v>
      </c>
      <c r="X410" s="320" t="s">
        <v>10027</v>
      </c>
      <c r="Y410" s="1141"/>
      <c r="Z410" s="1152"/>
      <c r="AA410" s="1141"/>
      <c r="AB410" s="388" t="s">
        <v>284</v>
      </c>
    </row>
    <row r="411" ht="15.75" customHeight="1">
      <c r="A411" s="776">
        <v>42578.0</v>
      </c>
      <c r="B411" s="340" t="s">
        <v>5073</v>
      </c>
      <c r="C411" s="265" t="s">
        <v>10032</v>
      </c>
      <c r="D411" s="320" t="s">
        <v>10033</v>
      </c>
      <c r="E411" s="340" t="s">
        <v>10034</v>
      </c>
      <c r="F411" s="773">
        <v>3.0</v>
      </c>
      <c r="G411" s="773">
        <v>53.0</v>
      </c>
      <c r="H411" s="466">
        <f t="shared" si="21"/>
        <v>159</v>
      </c>
      <c r="I411" s="266" t="s">
        <v>3474</v>
      </c>
      <c r="J411" s="333" t="s">
        <v>8684</v>
      </c>
      <c r="K411" s="832">
        <v>42586.0</v>
      </c>
      <c r="L411" s="832">
        <v>42584.0</v>
      </c>
      <c r="M411" s="333" t="s">
        <v>3593</v>
      </c>
      <c r="N411" s="320" t="s">
        <v>10035</v>
      </c>
      <c r="O411" s="1156"/>
      <c r="P411" s="773">
        <v>4832.0</v>
      </c>
      <c r="Q411" s="320" t="s">
        <v>6122</v>
      </c>
      <c r="R411" s="320"/>
      <c r="S411" s="1145">
        <v>42648.0</v>
      </c>
      <c r="T411" s="1132">
        <v>42587.0</v>
      </c>
      <c r="U411" s="265" t="s">
        <v>10036</v>
      </c>
      <c r="V411" s="1135">
        <v>4832.0</v>
      </c>
      <c r="W411" s="832">
        <v>42634.0</v>
      </c>
      <c r="X411" s="320" t="s">
        <v>10009</v>
      </c>
      <c r="Y411" s="1141"/>
      <c r="Z411" s="1152"/>
      <c r="AA411" s="1141"/>
      <c r="AB411" s="388" t="s">
        <v>284</v>
      </c>
    </row>
    <row r="412" ht="15.75" customHeight="1">
      <c r="A412" s="776">
        <v>42579.0</v>
      </c>
      <c r="B412" s="340" t="s">
        <v>101</v>
      </c>
      <c r="C412" s="265" t="s">
        <v>10037</v>
      </c>
      <c r="D412" s="320" t="s">
        <v>10038</v>
      </c>
      <c r="E412" s="340" t="s">
        <v>10039</v>
      </c>
      <c r="F412" s="773">
        <v>5.0</v>
      </c>
      <c r="G412" s="773">
        <v>357.0</v>
      </c>
      <c r="H412" s="466">
        <f t="shared" si="21"/>
        <v>1785</v>
      </c>
      <c r="I412" s="266" t="s">
        <v>3474</v>
      </c>
      <c r="J412" s="333" t="s">
        <v>6027</v>
      </c>
      <c r="K412" s="832">
        <v>42618.0</v>
      </c>
      <c r="L412" s="832">
        <v>42619.0</v>
      </c>
      <c r="M412" s="333" t="s">
        <v>2034</v>
      </c>
      <c r="N412" s="320" t="s">
        <v>10040</v>
      </c>
      <c r="O412" s="773"/>
      <c r="P412" s="320">
        <v>57750.0</v>
      </c>
      <c r="Q412" s="320" t="s">
        <v>2036</v>
      </c>
      <c r="R412" s="388"/>
      <c r="S412" s="1145">
        <v>42679.0</v>
      </c>
      <c r="T412" s="1132">
        <v>42612.0</v>
      </c>
      <c r="U412" s="265" t="s">
        <v>10041</v>
      </c>
      <c r="V412" s="1135">
        <v>57750.0</v>
      </c>
      <c r="W412" s="832">
        <v>42678.0</v>
      </c>
      <c r="X412" s="320" t="s">
        <v>10042</v>
      </c>
      <c r="Y412" s="1141"/>
      <c r="Z412" s="1152"/>
      <c r="AA412" s="1141"/>
      <c r="AB412" s="388" t="s">
        <v>284</v>
      </c>
    </row>
    <row r="413" ht="15.75" customHeight="1">
      <c r="A413" s="776">
        <v>42579.0</v>
      </c>
      <c r="B413" s="340" t="s">
        <v>101</v>
      </c>
      <c r="C413" s="265" t="s">
        <v>10037</v>
      </c>
      <c r="D413" s="320" t="s">
        <v>10038</v>
      </c>
      <c r="E413" s="340" t="s">
        <v>10043</v>
      </c>
      <c r="F413" s="773">
        <v>1.0</v>
      </c>
      <c r="G413" s="773">
        <v>140.0</v>
      </c>
      <c r="H413" s="466">
        <f t="shared" si="21"/>
        <v>140</v>
      </c>
      <c r="I413" s="266" t="s">
        <v>3474</v>
      </c>
      <c r="J413" s="333" t="s">
        <v>6027</v>
      </c>
      <c r="K413" s="832">
        <v>42618.0</v>
      </c>
      <c r="L413" s="1142"/>
      <c r="M413" s="333" t="s">
        <v>2032</v>
      </c>
      <c r="N413" s="265"/>
      <c r="O413" s="773"/>
      <c r="P413" s="773">
        <v>3720.0</v>
      </c>
      <c r="Q413" s="320" t="s">
        <v>2033</v>
      </c>
      <c r="R413" s="388"/>
      <c r="S413" s="1145">
        <v>42652.0</v>
      </c>
      <c r="T413" s="1132">
        <v>42622.0</v>
      </c>
      <c r="U413" s="320" t="s">
        <v>9909</v>
      </c>
      <c r="V413" s="1135">
        <v>3720.0</v>
      </c>
      <c r="W413" s="832">
        <v>42648.0</v>
      </c>
      <c r="X413" s="320" t="s">
        <v>10042</v>
      </c>
      <c r="Y413" s="1141"/>
      <c r="Z413" s="1152"/>
      <c r="AA413" s="1141"/>
      <c r="AB413" s="388" t="s">
        <v>284</v>
      </c>
    </row>
    <row r="414" ht="15.75" customHeight="1">
      <c r="A414" s="776">
        <v>42579.0</v>
      </c>
      <c r="B414" s="340" t="s">
        <v>77</v>
      </c>
      <c r="C414" s="265">
        <v>718.0</v>
      </c>
      <c r="D414" s="320" t="s">
        <v>10044</v>
      </c>
      <c r="E414" s="578" t="s">
        <v>9326</v>
      </c>
      <c r="F414" s="773">
        <v>10.0</v>
      </c>
      <c r="G414" s="773">
        <v>285.0</v>
      </c>
      <c r="H414" s="578">
        <f t="shared" si="21"/>
        <v>2850</v>
      </c>
      <c r="I414" s="266" t="s">
        <v>171</v>
      </c>
      <c r="J414" s="269" t="s">
        <v>316</v>
      </c>
      <c r="K414" s="258">
        <v>42612.0</v>
      </c>
      <c r="L414" s="832">
        <v>42608.0</v>
      </c>
      <c r="M414" s="333" t="s">
        <v>1998</v>
      </c>
      <c r="N414" s="265" t="s">
        <v>10045</v>
      </c>
      <c r="O414" s="773">
        <v>2625.0</v>
      </c>
      <c r="P414" s="320">
        <v>83160.0</v>
      </c>
      <c r="Q414" s="320" t="s">
        <v>2000</v>
      </c>
      <c r="R414" s="388"/>
      <c r="S414" s="1145">
        <v>42679.0</v>
      </c>
      <c r="T414" s="1132">
        <v>42608.0</v>
      </c>
      <c r="U414" s="265" t="s">
        <v>10046</v>
      </c>
      <c r="V414" s="1135">
        <v>83160.0</v>
      </c>
      <c r="W414" s="832">
        <v>42678.0</v>
      </c>
      <c r="X414" s="265" t="s">
        <v>9750</v>
      </c>
      <c r="Y414" s="1141"/>
      <c r="Z414" s="1152"/>
      <c r="AA414" s="1141"/>
      <c r="AB414" s="388" t="s">
        <v>284</v>
      </c>
    </row>
    <row r="415" ht="15.75" customHeight="1">
      <c r="A415" s="258">
        <v>42579.0</v>
      </c>
      <c r="B415" s="604" t="s">
        <v>9000</v>
      </c>
      <c r="C415" s="765">
        <v>7.000123137E9</v>
      </c>
      <c r="D415" s="310" t="s">
        <v>10047</v>
      </c>
      <c r="E415" s="340" t="s">
        <v>10048</v>
      </c>
      <c r="F415" s="773">
        <v>28.0</v>
      </c>
      <c r="G415" s="773">
        <v>246.0</v>
      </c>
      <c r="H415" s="466">
        <f t="shared" si="21"/>
        <v>6888</v>
      </c>
      <c r="I415" s="256" t="s">
        <v>43</v>
      </c>
      <c r="J415" s="403" t="s">
        <v>6278</v>
      </c>
      <c r="K415" s="832">
        <v>42593.0</v>
      </c>
      <c r="L415" s="832">
        <v>42592.0</v>
      </c>
      <c r="M415" s="333" t="s">
        <v>3593</v>
      </c>
      <c r="N415" s="320" t="s">
        <v>10049</v>
      </c>
      <c r="O415" s="773"/>
      <c r="P415" s="320">
        <v>214502.0</v>
      </c>
      <c r="Q415" s="320" t="s">
        <v>6122</v>
      </c>
      <c r="R415" s="388"/>
      <c r="S415" s="768">
        <v>42648.0</v>
      </c>
      <c r="T415" s="1132">
        <v>42591.0</v>
      </c>
      <c r="U415" s="265" t="s">
        <v>10050</v>
      </c>
      <c r="V415" s="1135">
        <v>401453.0</v>
      </c>
      <c r="W415" s="832">
        <v>42634.0</v>
      </c>
      <c r="X415" s="320" t="s">
        <v>10051</v>
      </c>
      <c r="Y415" s="1141"/>
      <c r="Z415" s="1152"/>
      <c r="AA415" s="1141"/>
      <c r="AB415" s="320" t="s">
        <v>284</v>
      </c>
    </row>
    <row r="416" ht="15.75" customHeight="1">
      <c r="A416" s="258">
        <v>42579.0</v>
      </c>
      <c r="B416" s="604" t="s">
        <v>9000</v>
      </c>
      <c r="C416" s="765">
        <v>7.000123137E9</v>
      </c>
      <c r="D416" s="310" t="s">
        <v>10047</v>
      </c>
      <c r="E416" s="340" t="s">
        <v>10052</v>
      </c>
      <c r="F416" s="773">
        <v>26.0</v>
      </c>
      <c r="G416" s="773">
        <v>243.0</v>
      </c>
      <c r="H416" s="466">
        <f t="shared" si="21"/>
        <v>6318</v>
      </c>
      <c r="I416" s="256" t="s">
        <v>43</v>
      </c>
      <c r="J416" s="403" t="s">
        <v>6278</v>
      </c>
      <c r="K416" s="832">
        <v>42593.0</v>
      </c>
      <c r="L416" s="832">
        <v>42592.0</v>
      </c>
      <c r="M416" s="333" t="s">
        <v>3593</v>
      </c>
      <c r="N416" s="320" t="s">
        <v>10049</v>
      </c>
      <c r="O416" s="773"/>
      <c r="P416" s="320">
        <v>186951.0</v>
      </c>
      <c r="Q416" s="320" t="s">
        <v>6122</v>
      </c>
      <c r="R416" s="388"/>
      <c r="S416" s="768">
        <v>42648.0</v>
      </c>
      <c r="T416" s="1132">
        <v>42591.0</v>
      </c>
      <c r="U416" s="265" t="s">
        <v>10050</v>
      </c>
      <c r="V416" s="1135" t="s">
        <v>10053</v>
      </c>
      <c r="W416" s="832">
        <v>42634.0</v>
      </c>
      <c r="X416" s="320" t="s">
        <v>10051</v>
      </c>
      <c r="Y416" s="1141"/>
      <c r="Z416" s="1152"/>
      <c r="AA416" s="1141"/>
      <c r="AB416" s="320" t="s">
        <v>284</v>
      </c>
    </row>
    <row r="417" ht="15.75" customHeight="1">
      <c r="A417" s="776">
        <v>42580.0</v>
      </c>
      <c r="B417" s="340" t="s">
        <v>77</v>
      </c>
      <c r="C417" s="265">
        <v>737.0</v>
      </c>
      <c r="D417" s="320" t="s">
        <v>10054</v>
      </c>
      <c r="E417" s="578" t="s">
        <v>9326</v>
      </c>
      <c r="F417" s="773">
        <v>25.0</v>
      </c>
      <c r="G417" s="773">
        <v>285.0</v>
      </c>
      <c r="H417" s="466">
        <f t="shared" si="21"/>
        <v>7125</v>
      </c>
      <c r="I417" s="266" t="s">
        <v>171</v>
      </c>
      <c r="J417" s="269" t="s">
        <v>316</v>
      </c>
      <c r="K417" s="832">
        <v>42647.0</v>
      </c>
      <c r="L417" s="832">
        <v>42646.0</v>
      </c>
      <c r="M417" s="333" t="s">
        <v>1998</v>
      </c>
      <c r="N417" s="265" t="s">
        <v>10055</v>
      </c>
      <c r="O417" s="773">
        <v>6562.5</v>
      </c>
      <c r="P417" s="320">
        <v>207900.0</v>
      </c>
      <c r="Q417" s="320" t="s">
        <v>2000</v>
      </c>
      <c r="R417" s="388"/>
      <c r="S417" s="1145">
        <v>42679.0</v>
      </c>
      <c r="T417" s="1132">
        <v>42608.0</v>
      </c>
      <c r="U417" s="265" t="s">
        <v>10046</v>
      </c>
      <c r="V417" s="1135">
        <v>207900.0</v>
      </c>
      <c r="W417" s="832">
        <v>42678.0</v>
      </c>
      <c r="X417" s="320" t="s">
        <v>10056</v>
      </c>
      <c r="Y417" s="1141"/>
      <c r="Z417" s="1152"/>
      <c r="AA417" s="1141"/>
      <c r="AB417" s="388" t="s">
        <v>284</v>
      </c>
    </row>
    <row r="418" ht="15.75" customHeight="1">
      <c r="A418" s="776">
        <v>42580.0</v>
      </c>
      <c r="B418" s="340" t="s">
        <v>631</v>
      </c>
      <c r="C418" s="265" t="s">
        <v>10057</v>
      </c>
      <c r="D418" s="320" t="s">
        <v>10058</v>
      </c>
      <c r="E418" s="340" t="s">
        <v>10059</v>
      </c>
      <c r="F418" s="773">
        <v>4.0</v>
      </c>
      <c r="G418" s="773">
        <v>96.6</v>
      </c>
      <c r="H418" s="466">
        <f t="shared" si="21"/>
        <v>386.4</v>
      </c>
      <c r="I418" s="266" t="s">
        <v>171</v>
      </c>
      <c r="J418" s="333" t="s">
        <v>90</v>
      </c>
      <c r="K418" s="832">
        <v>42590.0</v>
      </c>
      <c r="L418" s="1142"/>
      <c r="M418" s="333" t="s">
        <v>90</v>
      </c>
      <c r="N418" s="265" t="s">
        <v>10060</v>
      </c>
      <c r="O418" s="773">
        <v>360.36</v>
      </c>
      <c r="P418" s="388"/>
      <c r="Q418" s="320" t="s">
        <v>6081</v>
      </c>
      <c r="R418" s="388"/>
      <c r="S418" s="1145">
        <v>42618.0</v>
      </c>
      <c r="T418" s="1132">
        <v>42587.0</v>
      </c>
      <c r="U418" s="265" t="s">
        <v>10061</v>
      </c>
      <c r="V418" s="1135">
        <v>11562.0</v>
      </c>
      <c r="W418" s="832">
        <v>42621.0</v>
      </c>
      <c r="X418" s="320" t="s">
        <v>10062</v>
      </c>
      <c r="Y418" s="388" t="s">
        <v>10063</v>
      </c>
      <c r="Z418" s="1149">
        <v>12189.0</v>
      </c>
      <c r="AA418" s="320" t="s">
        <v>10064</v>
      </c>
      <c r="AB418" s="1140"/>
    </row>
    <row r="419" ht="15.75" customHeight="1">
      <c r="A419" s="776">
        <v>42583.0</v>
      </c>
      <c r="B419" s="340" t="s">
        <v>229</v>
      </c>
      <c r="C419" s="265"/>
      <c r="D419" s="320" t="s">
        <v>10065</v>
      </c>
      <c r="E419" s="578" t="s">
        <v>462</v>
      </c>
      <c r="F419" s="773">
        <v>35.0</v>
      </c>
      <c r="G419" s="581">
        <v>449.4</v>
      </c>
      <c r="H419" s="267">
        <f t="shared" si="21"/>
        <v>15729</v>
      </c>
      <c r="I419" s="266" t="s">
        <v>171</v>
      </c>
      <c r="J419" s="333" t="s">
        <v>90</v>
      </c>
      <c r="K419" s="832">
        <v>42593.0</v>
      </c>
      <c r="L419" s="388"/>
      <c r="M419" s="333" t="s">
        <v>90</v>
      </c>
      <c r="N419" s="265" t="s">
        <v>10066</v>
      </c>
      <c r="O419" s="773">
        <v>14222.25</v>
      </c>
      <c r="P419" s="388"/>
      <c r="Q419" s="320" t="s">
        <v>6081</v>
      </c>
      <c r="R419" s="388"/>
      <c r="S419" s="1145">
        <v>42618.0</v>
      </c>
      <c r="T419" s="1132">
        <v>42591.0</v>
      </c>
      <c r="U419" s="265" t="s">
        <v>10067</v>
      </c>
      <c r="V419" s="1135">
        <v>461509.0</v>
      </c>
      <c r="W419" s="832">
        <v>42621.0</v>
      </c>
      <c r="X419" s="320" t="s">
        <v>10068</v>
      </c>
      <c r="Y419" s="1134" t="s">
        <v>10069</v>
      </c>
      <c r="Z419" s="1149">
        <v>524538.0</v>
      </c>
      <c r="AA419" s="320" t="s">
        <v>10070</v>
      </c>
      <c r="AB419" s="1140"/>
    </row>
    <row r="420" ht="15.75" customHeight="1">
      <c r="A420" s="776">
        <v>42583.0</v>
      </c>
      <c r="B420" s="340" t="s">
        <v>229</v>
      </c>
      <c r="C420" s="265"/>
      <c r="D420" s="320" t="s">
        <v>10065</v>
      </c>
      <c r="E420" s="599" t="s">
        <v>3765</v>
      </c>
      <c r="F420" s="773">
        <v>3.0</v>
      </c>
      <c r="G420" s="773">
        <v>336.0</v>
      </c>
      <c r="H420" s="267">
        <f t="shared" si="21"/>
        <v>1008</v>
      </c>
      <c r="I420" s="266" t="s">
        <v>171</v>
      </c>
      <c r="J420" s="333" t="s">
        <v>90</v>
      </c>
      <c r="K420" s="832">
        <v>42593.0</v>
      </c>
      <c r="L420" s="388"/>
      <c r="M420" s="333" t="s">
        <v>90</v>
      </c>
      <c r="N420" s="265" t="s">
        <v>10066</v>
      </c>
      <c r="O420" s="773">
        <v>904.05</v>
      </c>
      <c r="P420" s="388"/>
      <c r="Q420" s="320" t="s">
        <v>6081</v>
      </c>
      <c r="R420" s="388"/>
      <c r="S420" s="1145">
        <v>42618.0</v>
      </c>
      <c r="T420" s="1132">
        <v>42591.0</v>
      </c>
      <c r="U420" s="265" t="s">
        <v>10067</v>
      </c>
      <c r="V420" s="256" t="s">
        <v>10071</v>
      </c>
      <c r="W420" s="832">
        <v>42621.0</v>
      </c>
      <c r="X420" s="320" t="s">
        <v>10068</v>
      </c>
      <c r="Y420" s="1134" t="s">
        <v>10069</v>
      </c>
      <c r="Z420" s="1149" t="s">
        <v>10072</v>
      </c>
      <c r="AA420" s="320" t="s">
        <v>10070</v>
      </c>
      <c r="AB420" s="1140"/>
    </row>
    <row r="421" ht="15.75" customHeight="1">
      <c r="A421" s="776">
        <v>42583.0</v>
      </c>
      <c r="B421" s="340" t="s">
        <v>229</v>
      </c>
      <c r="C421" s="265"/>
      <c r="D421" s="320" t="s">
        <v>10073</v>
      </c>
      <c r="E421" s="340" t="s">
        <v>10074</v>
      </c>
      <c r="F421" s="773">
        <v>1.0</v>
      </c>
      <c r="G421" s="773">
        <v>0.0</v>
      </c>
      <c r="H421" s="267">
        <f t="shared" si="21"/>
        <v>0</v>
      </c>
      <c r="I421" s="266" t="s">
        <v>171</v>
      </c>
      <c r="J421" s="333" t="s">
        <v>90</v>
      </c>
      <c r="K421" s="832">
        <v>42625.0</v>
      </c>
      <c r="L421" s="388"/>
      <c r="M421" s="333"/>
      <c r="N421" s="265"/>
      <c r="O421" s="773"/>
      <c r="P421" s="388"/>
      <c r="Q421" s="320"/>
      <c r="R421" s="388"/>
      <c r="S421" s="1139"/>
      <c r="T421" s="265" t="s">
        <v>9131</v>
      </c>
      <c r="U421" s="265" t="s">
        <v>9131</v>
      </c>
      <c r="V421" s="265" t="s">
        <v>9131</v>
      </c>
      <c r="W421" s="1163"/>
      <c r="X421" s="1141"/>
      <c r="Y421" s="1141"/>
      <c r="Z421" s="1152"/>
      <c r="AA421" s="1141"/>
      <c r="AB421" s="1140"/>
    </row>
    <row r="422" ht="15.75" customHeight="1">
      <c r="A422" s="776">
        <v>42583.0</v>
      </c>
      <c r="B422" s="340" t="s">
        <v>229</v>
      </c>
      <c r="C422" s="265"/>
      <c r="D422" s="320" t="s">
        <v>10073</v>
      </c>
      <c r="E422" s="340" t="s">
        <v>10074</v>
      </c>
      <c r="F422" s="773">
        <v>1.0</v>
      </c>
      <c r="G422" s="773">
        <v>0.0</v>
      </c>
      <c r="H422" s="267">
        <f t="shared" si="21"/>
        <v>0</v>
      </c>
      <c r="I422" s="266" t="s">
        <v>171</v>
      </c>
      <c r="J422" s="333" t="s">
        <v>90</v>
      </c>
      <c r="K422" s="832">
        <v>42625.0</v>
      </c>
      <c r="L422" s="388"/>
      <c r="M422" s="333"/>
      <c r="N422" s="265"/>
      <c r="O422" s="773"/>
      <c r="P422" s="388"/>
      <c r="Q422" s="320"/>
      <c r="R422" s="388"/>
      <c r="S422" s="1139"/>
      <c r="T422" s="265" t="s">
        <v>9131</v>
      </c>
      <c r="U422" s="265" t="s">
        <v>9131</v>
      </c>
      <c r="V422" s="265" t="s">
        <v>9131</v>
      </c>
      <c r="W422" s="1163"/>
      <c r="X422" s="1141"/>
      <c r="Y422" s="1141"/>
      <c r="Z422" s="1152"/>
      <c r="AA422" s="1141"/>
      <c r="AB422" s="1140"/>
    </row>
    <row r="423" ht="15.75" customHeight="1">
      <c r="A423" s="776">
        <v>42583.0</v>
      </c>
      <c r="B423" s="340" t="s">
        <v>229</v>
      </c>
      <c r="C423" s="265"/>
      <c r="D423" s="320" t="s">
        <v>10073</v>
      </c>
      <c r="E423" s="340" t="s">
        <v>10074</v>
      </c>
      <c r="F423" s="773">
        <v>1.0</v>
      </c>
      <c r="G423" s="773">
        <v>0.0</v>
      </c>
      <c r="H423" s="267">
        <f t="shared" si="21"/>
        <v>0</v>
      </c>
      <c r="I423" s="266" t="s">
        <v>171</v>
      </c>
      <c r="J423" s="333" t="s">
        <v>90</v>
      </c>
      <c r="K423" s="832">
        <v>42625.0</v>
      </c>
      <c r="L423" s="388"/>
      <c r="M423" s="333"/>
      <c r="N423" s="265"/>
      <c r="O423" s="773"/>
      <c r="P423" s="388"/>
      <c r="Q423" s="320"/>
      <c r="R423" s="388"/>
      <c r="S423" s="1139"/>
      <c r="T423" s="265" t="s">
        <v>9131</v>
      </c>
      <c r="U423" s="265" t="s">
        <v>9131</v>
      </c>
      <c r="V423" s="265" t="s">
        <v>9131</v>
      </c>
      <c r="W423" s="1163"/>
      <c r="X423" s="1141"/>
      <c r="Y423" s="1141"/>
      <c r="Z423" s="1152"/>
      <c r="AA423" s="1141"/>
      <c r="AB423" s="1140"/>
    </row>
    <row r="424" ht="15.75" customHeight="1">
      <c r="A424" s="776">
        <v>42587.0</v>
      </c>
      <c r="B424" s="340" t="s">
        <v>101</v>
      </c>
      <c r="C424" s="265" t="s">
        <v>10075</v>
      </c>
      <c r="D424" s="320" t="s">
        <v>10076</v>
      </c>
      <c r="E424" s="310" t="s">
        <v>8962</v>
      </c>
      <c r="F424" s="578">
        <v>2.0</v>
      </c>
      <c r="G424" s="578">
        <v>575.0</v>
      </c>
      <c r="H424" s="267">
        <f t="shared" si="21"/>
        <v>1150</v>
      </c>
      <c r="I424" s="266" t="s">
        <v>3474</v>
      </c>
      <c r="J424" s="333" t="s">
        <v>6027</v>
      </c>
      <c r="K424" s="832">
        <v>42608.0</v>
      </c>
      <c r="L424" s="832">
        <v>42605.0</v>
      </c>
      <c r="M424" s="333" t="s">
        <v>1439</v>
      </c>
      <c r="N424" s="265" t="s">
        <v>10077</v>
      </c>
      <c r="O424" s="773"/>
      <c r="P424" s="320">
        <v>33747.0</v>
      </c>
      <c r="Q424" s="320" t="s">
        <v>1976</v>
      </c>
      <c r="R424" s="388"/>
      <c r="S424" s="1145">
        <v>42618.0</v>
      </c>
      <c r="T424" s="1132">
        <v>42605.0</v>
      </c>
      <c r="U424" s="265" t="s">
        <v>10078</v>
      </c>
      <c r="V424" s="1135">
        <v>260879.0</v>
      </c>
      <c r="W424" s="832">
        <v>42619.0</v>
      </c>
      <c r="X424" s="320" t="s">
        <v>10079</v>
      </c>
      <c r="Y424" s="1141"/>
      <c r="Z424" s="1152"/>
      <c r="AA424" s="1141"/>
      <c r="AB424" s="388" t="s">
        <v>284</v>
      </c>
    </row>
    <row r="425" ht="15.75" customHeight="1">
      <c r="A425" s="776">
        <v>42587.0</v>
      </c>
      <c r="B425" s="340" t="s">
        <v>101</v>
      </c>
      <c r="C425" s="265" t="s">
        <v>10075</v>
      </c>
      <c r="D425" s="320" t="s">
        <v>10076</v>
      </c>
      <c r="E425" s="578" t="s">
        <v>9768</v>
      </c>
      <c r="F425" s="578">
        <v>2.0</v>
      </c>
      <c r="G425" s="578">
        <v>380.0</v>
      </c>
      <c r="H425" s="267">
        <f t="shared" si="21"/>
        <v>760</v>
      </c>
      <c r="I425" s="266" t="s">
        <v>3474</v>
      </c>
      <c r="J425" s="333" t="s">
        <v>6027</v>
      </c>
      <c r="K425" s="832">
        <v>42608.0</v>
      </c>
      <c r="L425" s="832">
        <v>42597.0</v>
      </c>
      <c r="M425" s="333" t="s">
        <v>9769</v>
      </c>
      <c r="N425" s="265" t="s">
        <v>10080</v>
      </c>
      <c r="O425" s="773"/>
      <c r="P425" s="320">
        <v>23491.0</v>
      </c>
      <c r="Q425" s="310" t="s">
        <v>9771</v>
      </c>
      <c r="R425" s="388"/>
      <c r="S425" s="1145">
        <v>42642.0</v>
      </c>
      <c r="T425" s="1132">
        <v>42592.0</v>
      </c>
      <c r="U425" s="265" t="s">
        <v>10081</v>
      </c>
      <c r="V425" s="1135">
        <v>23491.0</v>
      </c>
      <c r="W425" s="832">
        <v>42649.0</v>
      </c>
      <c r="X425" s="320" t="s">
        <v>10079</v>
      </c>
      <c r="Y425" s="1141"/>
      <c r="Z425" s="1152"/>
      <c r="AA425" s="1141"/>
      <c r="AB425" s="388" t="s">
        <v>284</v>
      </c>
    </row>
    <row r="426" ht="15.75" customHeight="1">
      <c r="A426" s="776">
        <v>42587.0</v>
      </c>
      <c r="B426" s="340" t="s">
        <v>101</v>
      </c>
      <c r="C426" s="265" t="s">
        <v>10075</v>
      </c>
      <c r="D426" s="320" t="s">
        <v>10076</v>
      </c>
      <c r="E426" s="578" t="s">
        <v>6305</v>
      </c>
      <c r="F426" s="578">
        <v>2.0</v>
      </c>
      <c r="G426" s="578">
        <v>62.0</v>
      </c>
      <c r="H426" s="267">
        <f t="shared" si="21"/>
        <v>124</v>
      </c>
      <c r="I426" s="266" t="s">
        <v>3474</v>
      </c>
      <c r="J426" s="333" t="s">
        <v>6027</v>
      </c>
      <c r="K426" s="832">
        <v>42608.0</v>
      </c>
      <c r="L426" s="832">
        <v>42594.0</v>
      </c>
      <c r="M426" s="333" t="s">
        <v>6935</v>
      </c>
      <c r="N426" s="265" t="s">
        <v>10082</v>
      </c>
      <c r="O426" s="773"/>
      <c r="P426" s="388">
        <v>2125.0</v>
      </c>
      <c r="Q426" s="320" t="s">
        <v>2172</v>
      </c>
      <c r="R426" s="388"/>
      <c r="S426" s="1137" t="s">
        <v>10083</v>
      </c>
      <c r="T426" s="1132">
        <v>42592.0</v>
      </c>
      <c r="U426" s="265" t="s">
        <v>10084</v>
      </c>
      <c r="V426" s="1135">
        <v>7293.0</v>
      </c>
      <c r="W426" s="832">
        <v>42580.0</v>
      </c>
      <c r="X426" s="320" t="s">
        <v>10079</v>
      </c>
      <c r="Y426" s="1141"/>
      <c r="Z426" s="1152"/>
      <c r="AA426" s="1141"/>
      <c r="AB426" s="388" t="s">
        <v>284</v>
      </c>
    </row>
    <row r="427" ht="15.75" customHeight="1">
      <c r="A427" s="776">
        <v>42587.0</v>
      </c>
      <c r="B427" s="340" t="s">
        <v>101</v>
      </c>
      <c r="C427" s="265" t="s">
        <v>10075</v>
      </c>
      <c r="D427" s="320" t="s">
        <v>10076</v>
      </c>
      <c r="E427" s="578" t="s">
        <v>9775</v>
      </c>
      <c r="F427" s="578">
        <v>2.0</v>
      </c>
      <c r="G427" s="578">
        <v>94.0</v>
      </c>
      <c r="H427" s="267">
        <f t="shared" si="21"/>
        <v>188</v>
      </c>
      <c r="I427" s="266" t="s">
        <v>3474</v>
      </c>
      <c r="J427" s="333" t="s">
        <v>6027</v>
      </c>
      <c r="K427" s="832">
        <v>42608.0</v>
      </c>
      <c r="L427" s="832">
        <v>42594.0</v>
      </c>
      <c r="M427" s="333" t="s">
        <v>6935</v>
      </c>
      <c r="N427" s="265" t="s">
        <v>10082</v>
      </c>
      <c r="O427" s="773"/>
      <c r="P427" s="388">
        <v>5168.0</v>
      </c>
      <c r="Q427" s="320" t="s">
        <v>2172</v>
      </c>
      <c r="R427" s="388"/>
      <c r="S427" s="1137" t="s">
        <v>10083</v>
      </c>
      <c r="T427" s="1132">
        <v>42592.0</v>
      </c>
      <c r="U427" s="265" t="s">
        <v>10084</v>
      </c>
      <c r="V427" s="1135" t="s">
        <v>10085</v>
      </c>
      <c r="W427" s="832">
        <v>42580.0</v>
      </c>
      <c r="X427" s="320" t="s">
        <v>10079</v>
      </c>
      <c r="Y427" s="1141"/>
      <c r="Z427" s="1152"/>
      <c r="AA427" s="1141"/>
      <c r="AB427" s="388" t="s">
        <v>284</v>
      </c>
    </row>
    <row r="428" ht="15.75" customHeight="1">
      <c r="A428" s="776">
        <v>42587.0</v>
      </c>
      <c r="B428" s="340" t="s">
        <v>101</v>
      </c>
      <c r="C428" s="265" t="s">
        <v>10075</v>
      </c>
      <c r="D428" s="320" t="s">
        <v>10076</v>
      </c>
      <c r="E428" s="578" t="s">
        <v>6295</v>
      </c>
      <c r="F428" s="578">
        <v>2.0</v>
      </c>
      <c r="G428" s="578">
        <v>38.0</v>
      </c>
      <c r="H428" s="267">
        <f t="shared" si="21"/>
        <v>76</v>
      </c>
      <c r="I428" s="266" t="s">
        <v>3474</v>
      </c>
      <c r="J428" s="333" t="s">
        <v>6027</v>
      </c>
      <c r="K428" s="832">
        <v>42608.0</v>
      </c>
      <c r="L428" s="832">
        <v>42605.0</v>
      </c>
      <c r="M428" s="333" t="s">
        <v>1439</v>
      </c>
      <c r="N428" s="265" t="s">
        <v>10077</v>
      </c>
      <c r="O428" s="773"/>
      <c r="P428" s="320">
        <v>2316.0</v>
      </c>
      <c r="Q428" s="320" t="s">
        <v>1976</v>
      </c>
      <c r="R428" s="388"/>
      <c r="S428" s="1145">
        <v>42618.0</v>
      </c>
      <c r="T428" s="1132">
        <v>42605.0</v>
      </c>
      <c r="U428" s="265" t="s">
        <v>10078</v>
      </c>
      <c r="V428" s="1135" t="s">
        <v>10086</v>
      </c>
      <c r="W428" s="832">
        <v>42619.0</v>
      </c>
      <c r="X428" s="320" t="s">
        <v>10079</v>
      </c>
      <c r="Y428" s="1141"/>
      <c r="Z428" s="1152"/>
      <c r="AA428" s="1141"/>
      <c r="AB428" s="388" t="s">
        <v>284</v>
      </c>
    </row>
    <row r="429" ht="15.75" customHeight="1">
      <c r="A429" s="776">
        <v>42587.0</v>
      </c>
      <c r="B429" s="340" t="s">
        <v>101</v>
      </c>
      <c r="C429" s="265" t="s">
        <v>10075</v>
      </c>
      <c r="D429" s="320" t="s">
        <v>10076</v>
      </c>
      <c r="E429" s="578" t="s">
        <v>6296</v>
      </c>
      <c r="F429" s="578">
        <v>2.0</v>
      </c>
      <c r="G429" s="578">
        <v>60.0</v>
      </c>
      <c r="H429" s="267">
        <f t="shared" si="21"/>
        <v>120</v>
      </c>
      <c r="I429" s="266" t="s">
        <v>3474</v>
      </c>
      <c r="J429" s="333" t="s">
        <v>6027</v>
      </c>
      <c r="K429" s="832">
        <v>42608.0</v>
      </c>
      <c r="L429" s="832">
        <v>42605.0</v>
      </c>
      <c r="M429" s="333" t="s">
        <v>1439</v>
      </c>
      <c r="N429" s="265" t="s">
        <v>10077</v>
      </c>
      <c r="O429" s="773"/>
      <c r="P429" s="320">
        <v>3639.0</v>
      </c>
      <c r="Q429" s="320" t="s">
        <v>1976</v>
      </c>
      <c r="R429" s="388"/>
      <c r="S429" s="1145">
        <v>42618.0</v>
      </c>
      <c r="T429" s="1132">
        <v>42605.0</v>
      </c>
      <c r="U429" s="265" t="s">
        <v>10078</v>
      </c>
      <c r="V429" s="1135" t="s">
        <v>10086</v>
      </c>
      <c r="W429" s="832">
        <v>42619.0</v>
      </c>
      <c r="X429" s="320" t="s">
        <v>10079</v>
      </c>
      <c r="Y429" s="1141"/>
      <c r="Z429" s="1152"/>
      <c r="AA429" s="1141"/>
      <c r="AB429" s="388" t="s">
        <v>284</v>
      </c>
    </row>
    <row r="430" ht="15.75" customHeight="1">
      <c r="A430" s="776">
        <v>42587.0</v>
      </c>
      <c r="B430" s="340" t="s">
        <v>101</v>
      </c>
      <c r="C430" s="265" t="s">
        <v>10075</v>
      </c>
      <c r="D430" s="320" t="s">
        <v>10076</v>
      </c>
      <c r="E430" s="578" t="s">
        <v>6297</v>
      </c>
      <c r="F430" s="578">
        <v>2.0</v>
      </c>
      <c r="G430" s="578">
        <v>237.0</v>
      </c>
      <c r="H430" s="267">
        <f t="shared" si="21"/>
        <v>474</v>
      </c>
      <c r="I430" s="266" t="s">
        <v>3474</v>
      </c>
      <c r="J430" s="333" t="s">
        <v>6027</v>
      </c>
      <c r="K430" s="832">
        <v>42608.0</v>
      </c>
      <c r="L430" s="832">
        <v>42605.0</v>
      </c>
      <c r="M430" s="403" t="s">
        <v>6298</v>
      </c>
      <c r="N430" s="265" t="s">
        <v>10087</v>
      </c>
      <c r="O430" s="773"/>
      <c r="P430" s="320">
        <v>11911.0</v>
      </c>
      <c r="Q430" s="320" t="s">
        <v>10088</v>
      </c>
      <c r="R430" s="388"/>
      <c r="S430" s="1145">
        <v>42601.0</v>
      </c>
      <c r="T430" s="1132">
        <v>42604.0</v>
      </c>
      <c r="U430" s="265" t="s">
        <v>10089</v>
      </c>
      <c r="V430" s="1135">
        <v>11911.0</v>
      </c>
      <c r="W430" s="832">
        <v>42601.0</v>
      </c>
      <c r="X430" s="320" t="s">
        <v>10079</v>
      </c>
      <c r="Y430" s="1141"/>
      <c r="Z430" s="1152"/>
      <c r="AA430" s="1141"/>
      <c r="AB430" s="388" t="s">
        <v>284</v>
      </c>
    </row>
    <row r="431" ht="15.75" customHeight="1">
      <c r="A431" s="776">
        <v>42587.0</v>
      </c>
      <c r="B431" s="340" t="s">
        <v>101</v>
      </c>
      <c r="C431" s="265" t="s">
        <v>10075</v>
      </c>
      <c r="D431" s="320" t="s">
        <v>10076</v>
      </c>
      <c r="E431" s="340" t="s">
        <v>10090</v>
      </c>
      <c r="F431" s="773">
        <v>1.0</v>
      </c>
      <c r="G431" s="773">
        <v>160.0</v>
      </c>
      <c r="H431" s="267">
        <f t="shared" si="21"/>
        <v>160</v>
      </c>
      <c r="I431" s="266" t="s">
        <v>3474</v>
      </c>
      <c r="J431" s="333" t="s">
        <v>6027</v>
      </c>
      <c r="K431" s="832">
        <v>42608.0</v>
      </c>
      <c r="L431" s="388"/>
      <c r="M431" s="333" t="s">
        <v>2032</v>
      </c>
      <c r="N431" s="265"/>
      <c r="O431" s="773"/>
      <c r="P431" s="320">
        <v>12054.0</v>
      </c>
      <c r="Q431" s="320" t="s">
        <v>2033</v>
      </c>
      <c r="R431" s="388"/>
      <c r="S431" s="1145">
        <v>42643.0</v>
      </c>
      <c r="T431" s="1132">
        <v>42613.0</v>
      </c>
      <c r="U431" s="265" t="s">
        <v>10091</v>
      </c>
      <c r="V431" s="1135">
        <v>12054.0</v>
      </c>
      <c r="W431" s="832">
        <v>42648.0</v>
      </c>
      <c r="X431" s="320" t="s">
        <v>10079</v>
      </c>
      <c r="Y431" s="1141"/>
      <c r="Z431" s="1152"/>
      <c r="AA431" s="1141"/>
      <c r="AB431" s="388" t="s">
        <v>284</v>
      </c>
    </row>
    <row r="432" ht="15.75" customHeight="1">
      <c r="A432" s="776">
        <v>42507.0</v>
      </c>
      <c r="B432" s="340" t="s">
        <v>101</v>
      </c>
      <c r="C432" s="1004" t="s">
        <v>9562</v>
      </c>
      <c r="D432" s="320" t="s">
        <v>9563</v>
      </c>
      <c r="E432" s="340" t="s">
        <v>9959</v>
      </c>
      <c r="F432" s="773">
        <v>2.0</v>
      </c>
      <c r="G432" s="466">
        <v>1080.0</v>
      </c>
      <c r="H432" s="267">
        <f t="shared" si="21"/>
        <v>2160</v>
      </c>
      <c r="I432" s="266" t="s">
        <v>171</v>
      </c>
      <c r="J432" s="333" t="s">
        <v>5995</v>
      </c>
      <c r="K432" s="832">
        <v>42521.0</v>
      </c>
      <c r="L432" s="832">
        <v>42517.0</v>
      </c>
      <c r="M432" s="256" t="s">
        <v>1439</v>
      </c>
      <c r="N432" s="265" t="s">
        <v>10092</v>
      </c>
      <c r="O432" s="773"/>
      <c r="P432" s="320">
        <v>65047.0</v>
      </c>
      <c r="Q432" s="388" t="s">
        <v>1976</v>
      </c>
      <c r="R432" s="388"/>
      <c r="S432" s="1133">
        <v>42509.0</v>
      </c>
      <c r="T432" s="1132">
        <v>42516.0</v>
      </c>
      <c r="U432" s="265" t="s">
        <v>10093</v>
      </c>
      <c r="V432" s="1135">
        <v>65047.0</v>
      </c>
      <c r="W432" s="832">
        <v>42509.0</v>
      </c>
      <c r="X432" s="265" t="s">
        <v>9567</v>
      </c>
      <c r="Y432" s="1140"/>
      <c r="Z432" s="1140"/>
      <c r="AA432" s="1140"/>
      <c r="AB432" s="1141" t="s">
        <v>8661</v>
      </c>
    </row>
    <row r="433" ht="15.75" customHeight="1">
      <c r="A433" s="776">
        <v>42587.0</v>
      </c>
      <c r="B433" s="340" t="s">
        <v>101</v>
      </c>
      <c r="C433" s="265" t="s">
        <v>10094</v>
      </c>
      <c r="D433" s="320" t="s">
        <v>10095</v>
      </c>
      <c r="E433" s="310" t="s">
        <v>6305</v>
      </c>
      <c r="F433" s="773">
        <v>7.0</v>
      </c>
      <c r="G433" s="773">
        <v>62.0</v>
      </c>
      <c r="H433" s="267">
        <f t="shared" si="21"/>
        <v>434</v>
      </c>
      <c r="I433" s="266" t="s">
        <v>3474</v>
      </c>
      <c r="J433" s="333" t="s">
        <v>6027</v>
      </c>
      <c r="K433" s="832">
        <v>42608.0</v>
      </c>
      <c r="L433" s="832">
        <v>42594.0</v>
      </c>
      <c r="M433" s="333" t="s">
        <v>6935</v>
      </c>
      <c r="N433" s="265" t="s">
        <v>10096</v>
      </c>
      <c r="O433" s="773"/>
      <c r="P433" s="388">
        <v>7438.0</v>
      </c>
      <c r="Q433" s="320" t="s">
        <v>2172</v>
      </c>
      <c r="R433" s="388"/>
      <c r="S433" s="1137" t="s">
        <v>10083</v>
      </c>
      <c r="T433" s="1132">
        <v>42592.0</v>
      </c>
      <c r="U433" s="265" t="s">
        <v>10097</v>
      </c>
      <c r="V433" s="1135">
        <v>7438.0</v>
      </c>
      <c r="W433" s="832">
        <v>42580.0</v>
      </c>
      <c r="X433" s="320" t="s">
        <v>10079</v>
      </c>
      <c r="Y433" s="1141"/>
      <c r="Z433" s="1152"/>
      <c r="AA433" s="1141"/>
      <c r="AB433" s="388" t="s">
        <v>284</v>
      </c>
    </row>
    <row r="434" ht="15.75" customHeight="1">
      <c r="A434" s="776">
        <v>42587.0</v>
      </c>
      <c r="B434" s="340" t="s">
        <v>101</v>
      </c>
      <c r="C434" s="265" t="s">
        <v>10094</v>
      </c>
      <c r="D434" s="320" t="s">
        <v>10095</v>
      </c>
      <c r="E434" s="340" t="s">
        <v>10098</v>
      </c>
      <c r="F434" s="773">
        <v>1.0</v>
      </c>
      <c r="G434" s="773">
        <v>228.0</v>
      </c>
      <c r="H434" s="267">
        <f t="shared" si="21"/>
        <v>228</v>
      </c>
      <c r="I434" s="266" t="s">
        <v>3474</v>
      </c>
      <c r="J434" s="333" t="s">
        <v>6027</v>
      </c>
      <c r="K434" s="832">
        <v>42608.0</v>
      </c>
      <c r="L434" s="1177"/>
      <c r="M434" s="333" t="s">
        <v>2032</v>
      </c>
      <c r="N434" s="265"/>
      <c r="O434" s="773"/>
      <c r="P434" s="340" t="s">
        <v>10099</v>
      </c>
      <c r="Q434" s="320" t="s">
        <v>2033</v>
      </c>
      <c r="R434" s="388"/>
      <c r="S434" s="1145">
        <v>42643.0</v>
      </c>
      <c r="T434" s="1132">
        <v>42613.0</v>
      </c>
      <c r="U434" s="265" t="s">
        <v>10091</v>
      </c>
      <c r="V434" s="1135">
        <v>12054.0</v>
      </c>
      <c r="W434" s="832">
        <v>42648.0</v>
      </c>
      <c r="X434" s="320" t="s">
        <v>10079</v>
      </c>
      <c r="Y434" s="1141"/>
      <c r="Z434" s="1152"/>
      <c r="AA434" s="1141"/>
      <c r="AB434" s="388" t="s">
        <v>284</v>
      </c>
    </row>
    <row r="435" ht="15.75" customHeight="1">
      <c r="A435" s="776">
        <v>42590.0</v>
      </c>
      <c r="B435" s="340" t="s">
        <v>9000</v>
      </c>
      <c r="C435" s="265">
        <v>7.000123231E9</v>
      </c>
      <c r="D435" s="320" t="s">
        <v>10100</v>
      </c>
      <c r="E435" s="340" t="s">
        <v>4196</v>
      </c>
      <c r="F435" s="773">
        <v>4.0</v>
      </c>
      <c r="G435" s="773">
        <v>74.0</v>
      </c>
      <c r="H435" s="466">
        <f t="shared" si="21"/>
        <v>296</v>
      </c>
      <c r="I435" s="256" t="s">
        <v>43</v>
      </c>
      <c r="J435" s="403" t="s">
        <v>6278</v>
      </c>
      <c r="K435" s="832">
        <v>42600.0</v>
      </c>
      <c r="L435" s="832">
        <v>42598.0</v>
      </c>
      <c r="M435" s="333" t="s">
        <v>6120</v>
      </c>
      <c r="N435" s="265" t="s">
        <v>10101</v>
      </c>
      <c r="O435" s="773"/>
      <c r="P435" s="320">
        <v>8602.0</v>
      </c>
      <c r="Q435" s="320" t="s">
        <v>6122</v>
      </c>
      <c r="R435" s="388"/>
      <c r="S435" s="768">
        <v>42648.0</v>
      </c>
      <c r="T435" s="1132">
        <v>42598.0</v>
      </c>
      <c r="U435" s="265" t="s">
        <v>10102</v>
      </c>
      <c r="V435" s="1135">
        <v>97363.0</v>
      </c>
      <c r="W435" s="832">
        <v>42634.0</v>
      </c>
      <c r="X435" s="320" t="s">
        <v>10103</v>
      </c>
      <c r="Y435" s="1141"/>
      <c r="Z435" s="1152"/>
      <c r="AA435" s="1141"/>
      <c r="AB435" s="388" t="s">
        <v>284</v>
      </c>
    </row>
    <row r="436" ht="15.75" customHeight="1">
      <c r="A436" s="776">
        <v>42590.0</v>
      </c>
      <c r="B436" s="340" t="s">
        <v>9000</v>
      </c>
      <c r="C436" s="265">
        <v>7.000123231E9</v>
      </c>
      <c r="D436" s="320" t="s">
        <v>10100</v>
      </c>
      <c r="E436" s="340" t="s">
        <v>10104</v>
      </c>
      <c r="F436" s="773">
        <v>1.0</v>
      </c>
      <c r="G436" s="773">
        <v>134.0</v>
      </c>
      <c r="H436" s="466">
        <f t="shared" si="21"/>
        <v>134</v>
      </c>
      <c r="I436" s="256" t="s">
        <v>43</v>
      </c>
      <c r="J436" s="403" t="s">
        <v>6278</v>
      </c>
      <c r="K436" s="832">
        <v>42600.0</v>
      </c>
      <c r="L436" s="832">
        <v>42598.0</v>
      </c>
      <c r="M436" s="333" t="s">
        <v>6120</v>
      </c>
      <c r="N436" s="265" t="s">
        <v>10101</v>
      </c>
      <c r="O436" s="773"/>
      <c r="P436" s="320">
        <v>3918.0</v>
      </c>
      <c r="Q436" s="320" t="s">
        <v>6122</v>
      </c>
      <c r="R436" s="388"/>
      <c r="S436" s="768">
        <v>42648.0</v>
      </c>
      <c r="T436" s="1132">
        <v>42598.0</v>
      </c>
      <c r="U436" s="265" t="s">
        <v>10102</v>
      </c>
      <c r="V436" s="1135" t="s">
        <v>10105</v>
      </c>
      <c r="W436" s="832">
        <v>42634.0</v>
      </c>
      <c r="X436" s="320" t="s">
        <v>10103</v>
      </c>
      <c r="Y436" s="1141"/>
      <c r="Z436" s="1152"/>
      <c r="AA436" s="1141"/>
      <c r="AB436" s="388" t="s">
        <v>284</v>
      </c>
    </row>
    <row r="437" ht="15.75" customHeight="1">
      <c r="A437" s="776">
        <v>42590.0</v>
      </c>
      <c r="B437" s="340" t="s">
        <v>9000</v>
      </c>
      <c r="C437" s="265">
        <v>7.000123231E9</v>
      </c>
      <c r="D437" s="320" t="s">
        <v>10100</v>
      </c>
      <c r="E437" s="340" t="s">
        <v>10106</v>
      </c>
      <c r="F437" s="773">
        <v>28.0</v>
      </c>
      <c r="G437" s="773">
        <v>136.0</v>
      </c>
      <c r="H437" s="466">
        <f t="shared" si="21"/>
        <v>3808</v>
      </c>
      <c r="I437" s="256" t="s">
        <v>43</v>
      </c>
      <c r="J437" s="403" t="s">
        <v>6278</v>
      </c>
      <c r="K437" s="832">
        <v>42600.0</v>
      </c>
      <c r="L437" s="832">
        <v>42598.0</v>
      </c>
      <c r="M437" s="333" t="s">
        <v>3593</v>
      </c>
      <c r="N437" s="265" t="s">
        <v>10107</v>
      </c>
      <c r="O437" s="773"/>
      <c r="P437" s="320">
        <v>112984.0</v>
      </c>
      <c r="Q437" s="320" t="s">
        <v>6122</v>
      </c>
      <c r="R437" s="388"/>
      <c r="S437" s="768">
        <v>42648.0</v>
      </c>
      <c r="T437" s="1132">
        <v>42598.0</v>
      </c>
      <c r="U437" s="265" t="s">
        <v>10108</v>
      </c>
      <c r="V437" s="1135" t="s">
        <v>10109</v>
      </c>
      <c r="W437" s="832"/>
      <c r="X437" s="320" t="s">
        <v>10103</v>
      </c>
      <c r="Y437" s="1141"/>
      <c r="Z437" s="1152"/>
      <c r="AA437" s="1141"/>
      <c r="AB437" s="388" t="s">
        <v>284</v>
      </c>
    </row>
    <row r="438" ht="15.75" customHeight="1">
      <c r="A438" s="776">
        <v>42590.0</v>
      </c>
      <c r="B438" s="340" t="s">
        <v>9000</v>
      </c>
      <c r="C438" s="265">
        <v>7.000123231E9</v>
      </c>
      <c r="D438" s="320" t="s">
        <v>10100</v>
      </c>
      <c r="E438" s="340" t="s">
        <v>3727</v>
      </c>
      <c r="F438" s="773">
        <v>28.0</v>
      </c>
      <c r="G438" s="773">
        <v>56.0</v>
      </c>
      <c r="H438" s="466">
        <f t="shared" si="21"/>
        <v>1568</v>
      </c>
      <c r="I438" s="256" t="s">
        <v>43</v>
      </c>
      <c r="J438" s="403" t="s">
        <v>6278</v>
      </c>
      <c r="K438" s="832">
        <v>42600.0</v>
      </c>
      <c r="L438" s="832">
        <v>42598.0</v>
      </c>
      <c r="M438" s="333" t="s">
        <v>3593</v>
      </c>
      <c r="N438" s="265" t="s">
        <v>10107</v>
      </c>
      <c r="O438" s="773"/>
      <c r="P438" s="320">
        <v>45864.0</v>
      </c>
      <c r="Q438" s="320" t="s">
        <v>6122</v>
      </c>
      <c r="R438" s="388"/>
      <c r="S438" s="768">
        <v>42648.0</v>
      </c>
      <c r="T438" s="1132">
        <v>42598.0</v>
      </c>
      <c r="U438" s="265" t="s">
        <v>10108</v>
      </c>
      <c r="V438" s="1135">
        <v>196894.0</v>
      </c>
      <c r="W438" s="832"/>
      <c r="X438" s="320" t="s">
        <v>10103</v>
      </c>
      <c r="Y438" s="1141"/>
      <c r="Z438" s="1152"/>
      <c r="AA438" s="1141"/>
      <c r="AB438" s="388" t="s">
        <v>284</v>
      </c>
    </row>
    <row r="439" ht="15.75" customHeight="1">
      <c r="A439" s="776">
        <v>42590.0</v>
      </c>
      <c r="B439" s="340" t="s">
        <v>9000</v>
      </c>
      <c r="C439" s="265">
        <v>7.000123231E9</v>
      </c>
      <c r="D439" s="320" t="s">
        <v>10100</v>
      </c>
      <c r="E439" s="340" t="s">
        <v>3988</v>
      </c>
      <c r="F439" s="773">
        <v>5.0</v>
      </c>
      <c r="G439" s="773">
        <v>152.0</v>
      </c>
      <c r="H439" s="466">
        <f t="shared" si="21"/>
        <v>760</v>
      </c>
      <c r="I439" s="256" t="s">
        <v>43</v>
      </c>
      <c r="J439" s="333" t="s">
        <v>6278</v>
      </c>
      <c r="K439" s="832">
        <v>42600.0</v>
      </c>
      <c r="L439" s="832">
        <v>42598.0</v>
      </c>
      <c r="M439" s="333" t="s">
        <v>6120</v>
      </c>
      <c r="N439" s="265" t="s">
        <v>10101</v>
      </c>
      <c r="O439" s="773"/>
      <c r="P439" s="320">
        <v>22155.0</v>
      </c>
      <c r="Q439" s="320" t="s">
        <v>6122</v>
      </c>
      <c r="R439" s="388"/>
      <c r="S439" s="768">
        <v>42648.0</v>
      </c>
      <c r="T439" s="1132">
        <v>42598.0</v>
      </c>
      <c r="U439" s="265" t="s">
        <v>10102</v>
      </c>
      <c r="V439" s="1135" t="s">
        <v>10105</v>
      </c>
      <c r="W439" s="832">
        <v>42634.0</v>
      </c>
      <c r="X439" s="320" t="s">
        <v>10103</v>
      </c>
      <c r="Y439" s="1141"/>
      <c r="Z439" s="1152"/>
      <c r="AA439" s="1141"/>
      <c r="AB439" s="388" t="s">
        <v>284</v>
      </c>
    </row>
    <row r="440" ht="15.75" customHeight="1">
      <c r="A440" s="776">
        <v>42590.0</v>
      </c>
      <c r="B440" s="340" t="s">
        <v>9000</v>
      </c>
      <c r="C440" s="265">
        <v>7.000123231E9</v>
      </c>
      <c r="D440" s="320" t="s">
        <v>10100</v>
      </c>
      <c r="E440" s="340" t="s">
        <v>6451</v>
      </c>
      <c r="F440" s="773">
        <v>17.0</v>
      </c>
      <c r="G440" s="773">
        <v>126.0</v>
      </c>
      <c r="H440" s="466">
        <f t="shared" si="21"/>
        <v>2142</v>
      </c>
      <c r="I440" s="256" t="s">
        <v>43</v>
      </c>
      <c r="J440" s="403" t="s">
        <v>6278</v>
      </c>
      <c r="K440" s="832">
        <v>42600.0</v>
      </c>
      <c r="L440" s="832">
        <v>42598.0</v>
      </c>
      <c r="M440" s="333" t="s">
        <v>6120</v>
      </c>
      <c r="N440" s="265" t="s">
        <v>10101</v>
      </c>
      <c r="O440" s="773"/>
      <c r="P440" s="320">
        <v>62689.0</v>
      </c>
      <c r="Q440" s="320" t="s">
        <v>6122</v>
      </c>
      <c r="R440" s="388"/>
      <c r="S440" s="768">
        <v>42648.0</v>
      </c>
      <c r="T440" s="1132">
        <v>42598.0</v>
      </c>
      <c r="U440" s="265" t="s">
        <v>10102</v>
      </c>
      <c r="V440" s="1135" t="s">
        <v>10105</v>
      </c>
      <c r="W440" s="832">
        <v>42634.0</v>
      </c>
      <c r="X440" s="320" t="s">
        <v>10103</v>
      </c>
      <c r="Y440" s="1141"/>
      <c r="Z440" s="1152"/>
      <c r="AA440" s="1141"/>
      <c r="AB440" s="388" t="s">
        <v>284</v>
      </c>
    </row>
    <row r="441" ht="15.75" customHeight="1">
      <c r="A441" s="776">
        <v>42590.0</v>
      </c>
      <c r="B441" s="340" t="s">
        <v>9000</v>
      </c>
      <c r="C441" s="265">
        <v>7.000123231E9</v>
      </c>
      <c r="D441" s="320" t="s">
        <v>10110</v>
      </c>
      <c r="E441" s="340" t="s">
        <v>10111</v>
      </c>
      <c r="F441" s="773">
        <v>26.0</v>
      </c>
      <c r="G441" s="773">
        <v>116.0</v>
      </c>
      <c r="H441" s="466">
        <f t="shared" si="21"/>
        <v>3016</v>
      </c>
      <c r="I441" s="256" t="s">
        <v>43</v>
      </c>
      <c r="J441" s="403" t="s">
        <v>6278</v>
      </c>
      <c r="K441" s="832">
        <v>42611.0</v>
      </c>
      <c r="L441" s="832">
        <v>42608.0</v>
      </c>
      <c r="M441" s="333" t="s">
        <v>3593</v>
      </c>
      <c r="N441" s="265" t="s">
        <v>10107</v>
      </c>
      <c r="O441" s="773"/>
      <c r="P441" s="320">
        <v>89926.0</v>
      </c>
      <c r="Q441" s="320" t="s">
        <v>6122</v>
      </c>
      <c r="R441" s="388"/>
      <c r="S441" s="581" t="s">
        <v>10112</v>
      </c>
      <c r="T441" s="265" t="s">
        <v>10113</v>
      </c>
      <c r="U441" s="265" t="s">
        <v>10114</v>
      </c>
      <c r="V441" s="1135" t="s">
        <v>10115</v>
      </c>
      <c r="W441" s="832">
        <v>42634.0</v>
      </c>
      <c r="X441" s="265" t="s">
        <v>10116</v>
      </c>
      <c r="Y441" s="1141"/>
      <c r="Z441" s="1152"/>
      <c r="AA441" s="1141"/>
      <c r="AB441" s="388" t="s">
        <v>284</v>
      </c>
    </row>
    <row r="442" ht="15.75" customHeight="1">
      <c r="A442" s="776">
        <v>42593.0</v>
      </c>
      <c r="B442" s="599" t="s">
        <v>6246</v>
      </c>
      <c r="C442" s="265" t="s">
        <v>10117</v>
      </c>
      <c r="D442" s="320" t="s">
        <v>10118</v>
      </c>
      <c r="E442" s="340" t="s">
        <v>6283</v>
      </c>
      <c r="F442" s="773">
        <v>3.0</v>
      </c>
      <c r="G442" s="773">
        <v>50.0</v>
      </c>
      <c r="H442" s="466">
        <f t="shared" si="21"/>
        <v>150</v>
      </c>
      <c r="I442" s="256" t="s">
        <v>43</v>
      </c>
      <c r="J442" s="333" t="s">
        <v>9061</v>
      </c>
      <c r="K442" s="832">
        <v>42607.0</v>
      </c>
      <c r="L442" s="832">
        <v>42604.0</v>
      </c>
      <c r="M442" s="333" t="s">
        <v>90</v>
      </c>
      <c r="N442" s="265" t="s">
        <v>10119</v>
      </c>
      <c r="O442" s="773">
        <v>144.9</v>
      </c>
      <c r="P442" s="388"/>
      <c r="Q442" s="320" t="s">
        <v>6081</v>
      </c>
      <c r="R442" s="388"/>
      <c r="S442" s="1145">
        <v>42618.0</v>
      </c>
      <c r="T442" s="1132">
        <v>42600.0</v>
      </c>
      <c r="U442" s="265" t="s">
        <v>10120</v>
      </c>
      <c r="V442" s="1135">
        <v>14537.0</v>
      </c>
      <c r="W442" s="832">
        <v>42621.0</v>
      </c>
      <c r="X442" s="320" t="s">
        <v>10121</v>
      </c>
      <c r="Y442" s="1141"/>
      <c r="Z442" s="1152"/>
      <c r="AA442" s="1141"/>
      <c r="AB442" s="388" t="s">
        <v>284</v>
      </c>
    </row>
    <row r="443" ht="15.75" customHeight="1">
      <c r="A443" s="776">
        <v>42593.0</v>
      </c>
      <c r="B443" s="599" t="s">
        <v>6246</v>
      </c>
      <c r="C443" s="265" t="s">
        <v>10117</v>
      </c>
      <c r="D443" s="320" t="s">
        <v>10118</v>
      </c>
      <c r="E443" s="340" t="s">
        <v>10122</v>
      </c>
      <c r="F443" s="773">
        <v>2.0</v>
      </c>
      <c r="G443" s="773">
        <v>162.0</v>
      </c>
      <c r="H443" s="466">
        <f t="shared" si="21"/>
        <v>324</v>
      </c>
      <c r="I443" s="256" t="s">
        <v>43</v>
      </c>
      <c r="J443" s="333" t="s">
        <v>9061</v>
      </c>
      <c r="K443" s="832">
        <v>42607.0</v>
      </c>
      <c r="L443" s="832">
        <v>42604.0</v>
      </c>
      <c r="M443" s="333" t="s">
        <v>90</v>
      </c>
      <c r="N443" s="265" t="s">
        <v>10119</v>
      </c>
      <c r="O443" s="773">
        <v>316.68</v>
      </c>
      <c r="P443" s="388"/>
      <c r="Q443" s="320" t="s">
        <v>6081</v>
      </c>
      <c r="R443" s="388"/>
      <c r="S443" s="1145">
        <v>42618.0</v>
      </c>
      <c r="T443" s="1132">
        <v>42600.0</v>
      </c>
      <c r="U443" s="265" t="s">
        <v>10120</v>
      </c>
      <c r="V443" s="1135" t="s">
        <v>10123</v>
      </c>
      <c r="W443" s="832">
        <v>42621.0</v>
      </c>
      <c r="X443" s="320" t="s">
        <v>10121</v>
      </c>
      <c r="Y443" s="1141"/>
      <c r="Z443" s="1152"/>
      <c r="AA443" s="1141"/>
      <c r="AB443" s="388" t="s">
        <v>284</v>
      </c>
    </row>
    <row r="444" ht="15.75" customHeight="1">
      <c r="A444" s="776">
        <v>42516.0</v>
      </c>
      <c r="B444" s="340" t="s">
        <v>101</v>
      </c>
      <c r="C444" s="1004" t="s">
        <v>9608</v>
      </c>
      <c r="D444" s="320" t="s">
        <v>9609</v>
      </c>
      <c r="E444" s="340" t="s">
        <v>9959</v>
      </c>
      <c r="F444" s="773">
        <v>6.0</v>
      </c>
      <c r="G444" s="466">
        <v>1080.0</v>
      </c>
      <c r="H444" s="466">
        <f t="shared" si="21"/>
        <v>6480</v>
      </c>
      <c r="I444" s="256" t="s">
        <v>171</v>
      </c>
      <c r="J444" s="333" t="s">
        <v>5995</v>
      </c>
      <c r="K444" s="832">
        <v>42537.0</v>
      </c>
      <c r="L444" s="832">
        <v>42535.0</v>
      </c>
      <c r="M444" s="256" t="s">
        <v>1439</v>
      </c>
      <c r="N444" s="265" t="s">
        <v>10124</v>
      </c>
      <c r="O444" s="773"/>
      <c r="P444" s="320">
        <v>194931.0</v>
      </c>
      <c r="Q444" s="388" t="s">
        <v>1976</v>
      </c>
      <c r="R444" s="388"/>
      <c r="S444" s="1139"/>
      <c r="T444" s="1132">
        <v>42535.0</v>
      </c>
      <c r="U444" s="320" t="s">
        <v>10125</v>
      </c>
      <c r="V444" s="1135">
        <v>194931.0</v>
      </c>
      <c r="W444" s="832">
        <v>42527.0</v>
      </c>
      <c r="X444" s="320" t="s">
        <v>9599</v>
      </c>
      <c r="Y444" s="1140"/>
      <c r="Z444" s="1140"/>
      <c r="AA444" s="1140"/>
      <c r="AB444" s="320" t="s">
        <v>284</v>
      </c>
    </row>
    <row r="445" ht="15.75" customHeight="1">
      <c r="A445" s="776">
        <v>42594.0</v>
      </c>
      <c r="B445" s="340" t="s">
        <v>101</v>
      </c>
      <c r="C445" s="265" t="s">
        <v>10126</v>
      </c>
      <c r="D445" s="320" t="s">
        <v>10127</v>
      </c>
      <c r="E445" s="340" t="s">
        <v>10128</v>
      </c>
      <c r="F445" s="773">
        <v>1.0</v>
      </c>
      <c r="G445" s="773">
        <v>102.0</v>
      </c>
      <c r="H445" s="466">
        <f t="shared" ref="H445:H446" si="22">F445*G445</f>
        <v>102</v>
      </c>
      <c r="I445" s="256" t="s">
        <v>3474</v>
      </c>
      <c r="J445" s="333" t="s">
        <v>6027</v>
      </c>
      <c r="K445" s="832">
        <v>42608.0</v>
      </c>
      <c r="L445" s="388"/>
      <c r="M445" s="333" t="s">
        <v>2032</v>
      </c>
      <c r="N445" s="265"/>
      <c r="O445" s="773"/>
      <c r="P445" s="340" t="s">
        <v>10129</v>
      </c>
      <c r="Q445" s="320" t="s">
        <v>2033</v>
      </c>
      <c r="R445" s="388"/>
      <c r="S445" s="1145">
        <v>42643.0</v>
      </c>
      <c r="T445" s="1132">
        <v>42613.0</v>
      </c>
      <c r="U445" s="265" t="s">
        <v>10091</v>
      </c>
      <c r="V445" s="1135">
        <v>12054.0</v>
      </c>
      <c r="W445" s="832">
        <v>42648.0</v>
      </c>
      <c r="X445" s="320" t="s">
        <v>10079</v>
      </c>
      <c r="Y445" s="1141"/>
      <c r="Z445" s="1152"/>
      <c r="AA445" s="1141"/>
      <c r="AB445" s="388" t="s">
        <v>284</v>
      </c>
    </row>
    <row r="446" ht="15.75" customHeight="1">
      <c r="A446" s="776">
        <v>42594.0</v>
      </c>
      <c r="B446" s="1176" t="s">
        <v>3871</v>
      </c>
      <c r="C446" s="265" t="s">
        <v>10130</v>
      </c>
      <c r="D446" s="320" t="s">
        <v>10131</v>
      </c>
      <c r="E446" s="340" t="s">
        <v>10132</v>
      </c>
      <c r="F446" s="773">
        <v>14.0</v>
      </c>
      <c r="G446" s="773">
        <v>560.0</v>
      </c>
      <c r="H446" s="466">
        <f t="shared" si="22"/>
        <v>7840</v>
      </c>
      <c r="I446" s="256" t="s">
        <v>3874</v>
      </c>
      <c r="J446" s="403" t="s">
        <v>6206</v>
      </c>
      <c r="K446" s="832">
        <v>42611.0</v>
      </c>
      <c r="L446" s="832">
        <v>42608.0</v>
      </c>
      <c r="M446" s="333" t="s">
        <v>10133</v>
      </c>
      <c r="N446" s="265" t="s">
        <v>10134</v>
      </c>
      <c r="O446" s="773">
        <v>7085.4</v>
      </c>
      <c r="P446" s="1088">
        <v>221702.0</v>
      </c>
      <c r="Q446" s="320" t="s">
        <v>3435</v>
      </c>
      <c r="R446" s="388"/>
      <c r="S446" s="1145">
        <v>42605.0</v>
      </c>
      <c r="T446" s="1132">
        <v>42608.0</v>
      </c>
      <c r="U446" s="265" t="s">
        <v>10135</v>
      </c>
      <c r="V446" s="1135">
        <v>221702.0</v>
      </c>
      <c r="W446" s="832">
        <v>42605.0</v>
      </c>
      <c r="X446" s="265" t="s">
        <v>10136</v>
      </c>
      <c r="Y446" s="1141"/>
      <c r="Z446" s="1152"/>
      <c r="AA446" s="1141"/>
      <c r="AB446" s="1140" t="s">
        <v>284</v>
      </c>
    </row>
    <row r="447" ht="15.75" customHeight="1">
      <c r="A447" s="776">
        <v>42598.0</v>
      </c>
      <c r="B447" s="340" t="s">
        <v>5073</v>
      </c>
      <c r="C447" s="265" t="s">
        <v>10137</v>
      </c>
      <c r="D447" s="320" t="s">
        <v>10138</v>
      </c>
      <c r="E447" s="340" t="s">
        <v>10139</v>
      </c>
      <c r="F447" s="773">
        <v>1.0</v>
      </c>
      <c r="G447" s="773">
        <f>132</f>
        <v>132</v>
      </c>
      <c r="H447" s="466">
        <f t="shared" ref="H447:H455" si="23">G447*F447</f>
        <v>132</v>
      </c>
      <c r="I447" s="256" t="s">
        <v>3474</v>
      </c>
      <c r="J447" s="333" t="s">
        <v>8684</v>
      </c>
      <c r="K447" s="832">
        <v>42604.0</v>
      </c>
      <c r="L447" s="832">
        <v>42600.0</v>
      </c>
      <c r="M447" s="333" t="s">
        <v>3489</v>
      </c>
      <c r="N447" s="320" t="s">
        <v>10140</v>
      </c>
      <c r="O447" s="773">
        <v>123.9</v>
      </c>
      <c r="P447" s="320">
        <v>3891.0</v>
      </c>
      <c r="Q447" s="320" t="s">
        <v>9071</v>
      </c>
      <c r="R447" s="388"/>
      <c r="S447" s="1145">
        <v>42629.0</v>
      </c>
      <c r="T447" s="1132">
        <v>42600.0</v>
      </c>
      <c r="U447" s="265" t="s">
        <v>10141</v>
      </c>
      <c r="V447" s="1135">
        <v>3891.0</v>
      </c>
      <c r="W447" s="832">
        <v>42626.0</v>
      </c>
      <c r="X447" s="320" t="s">
        <v>9260</v>
      </c>
      <c r="Y447" s="1141"/>
      <c r="Z447" s="1152"/>
      <c r="AA447" s="1141"/>
      <c r="AB447" s="388" t="s">
        <v>284</v>
      </c>
    </row>
    <row r="448" ht="15.75" customHeight="1">
      <c r="A448" s="776">
        <v>42601.0</v>
      </c>
      <c r="B448" s="599" t="s">
        <v>54</v>
      </c>
      <c r="C448" s="1004" t="s">
        <v>10142</v>
      </c>
      <c r="D448" s="310" t="s">
        <v>10143</v>
      </c>
      <c r="E448" s="578" t="s">
        <v>3793</v>
      </c>
      <c r="F448" s="331">
        <v>4.0</v>
      </c>
      <c r="G448" s="254">
        <v>150.15</v>
      </c>
      <c r="H448" s="578">
        <f t="shared" si="23"/>
        <v>600.6</v>
      </c>
      <c r="I448" s="266" t="s">
        <v>8675</v>
      </c>
      <c r="J448" s="403" t="s">
        <v>233</v>
      </c>
      <c r="K448" s="258">
        <v>42640.0</v>
      </c>
      <c r="L448" s="388"/>
      <c r="M448" s="333" t="s">
        <v>90</v>
      </c>
      <c r="N448" s="265" t="s">
        <v>10144</v>
      </c>
      <c r="O448" s="773">
        <v>537.6</v>
      </c>
      <c r="P448" s="388"/>
      <c r="Q448" s="320" t="s">
        <v>6081</v>
      </c>
      <c r="R448" s="388"/>
      <c r="S448" s="1145">
        <v>42648.0</v>
      </c>
      <c r="T448" s="1132">
        <v>42608.0</v>
      </c>
      <c r="U448" s="265" t="s">
        <v>10145</v>
      </c>
      <c r="V448" s="1135">
        <v>16819.0</v>
      </c>
      <c r="W448" s="832">
        <v>42650.0</v>
      </c>
      <c r="X448" s="320" t="s">
        <v>10146</v>
      </c>
      <c r="Y448" s="320" t="s">
        <v>10147</v>
      </c>
      <c r="Z448" s="1149">
        <v>37754.0</v>
      </c>
      <c r="AA448" s="340" t="s">
        <v>10148</v>
      </c>
      <c r="AB448" s="1140"/>
    </row>
    <row r="449" ht="15.75" customHeight="1">
      <c r="A449" s="776">
        <v>42536.0</v>
      </c>
      <c r="B449" s="340" t="s">
        <v>101</v>
      </c>
      <c r="C449" s="1004" t="s">
        <v>9704</v>
      </c>
      <c r="D449" s="320" t="s">
        <v>9705</v>
      </c>
      <c r="E449" s="599" t="s">
        <v>10149</v>
      </c>
      <c r="F449" s="1137">
        <v>1.0</v>
      </c>
      <c r="G449" s="325">
        <v>1039.0</v>
      </c>
      <c r="H449" s="466">
        <f t="shared" si="23"/>
        <v>1039</v>
      </c>
      <c r="I449" s="256" t="s">
        <v>3474</v>
      </c>
      <c r="J449" s="333" t="s">
        <v>9785</v>
      </c>
      <c r="K449" s="258">
        <v>42569.0</v>
      </c>
      <c r="L449" s="832"/>
      <c r="M449" s="333"/>
      <c r="N449" s="265"/>
      <c r="O449" s="773"/>
      <c r="P449" s="320">
        <v>29605.0</v>
      </c>
      <c r="Q449" s="340" t="s">
        <v>10150</v>
      </c>
      <c r="R449" s="388"/>
      <c r="S449" s="1145">
        <v>42618.0</v>
      </c>
      <c r="T449" s="1132">
        <v>42582.0</v>
      </c>
      <c r="U449" s="265" t="s">
        <v>10151</v>
      </c>
      <c r="V449" s="1135">
        <v>29605.0</v>
      </c>
      <c r="W449" s="832">
        <v>42619.0</v>
      </c>
      <c r="X449" s="320" t="s">
        <v>9709</v>
      </c>
      <c r="Y449" s="1140"/>
      <c r="Z449" s="1140"/>
      <c r="AA449" s="1140"/>
      <c r="AB449" s="320" t="s">
        <v>284</v>
      </c>
    </row>
    <row r="450" ht="15.75" customHeight="1">
      <c r="A450" s="776">
        <v>42604.0</v>
      </c>
      <c r="B450" s="340" t="s">
        <v>5188</v>
      </c>
      <c r="C450" s="265" t="s">
        <v>10152</v>
      </c>
      <c r="D450" s="320" t="s">
        <v>10153</v>
      </c>
      <c r="E450" s="340" t="s">
        <v>10154</v>
      </c>
      <c r="F450" s="773">
        <v>30.0</v>
      </c>
      <c r="G450" s="773">
        <f>9.4*1.05</f>
        <v>9.87</v>
      </c>
      <c r="H450" s="466">
        <f t="shared" si="23"/>
        <v>296.1</v>
      </c>
      <c r="I450" s="1063" t="s">
        <v>3474</v>
      </c>
      <c r="J450" s="333" t="s">
        <v>6067</v>
      </c>
      <c r="K450" s="832">
        <v>42621.0</v>
      </c>
      <c r="L450" s="832">
        <v>42621.0</v>
      </c>
      <c r="M450" s="333" t="s">
        <v>2508</v>
      </c>
      <c r="N450" s="265" t="s">
        <v>10155</v>
      </c>
      <c r="O450" s="773"/>
      <c r="P450" s="320">
        <v>7560.0</v>
      </c>
      <c r="Q450" s="320" t="s">
        <v>4491</v>
      </c>
      <c r="R450" s="388"/>
      <c r="S450" s="1145">
        <v>42648.0</v>
      </c>
      <c r="T450" s="1132">
        <v>42620.0</v>
      </c>
      <c r="U450" s="265" t="s">
        <v>10156</v>
      </c>
      <c r="V450" s="1135">
        <v>10920.0</v>
      </c>
      <c r="W450" s="832">
        <v>42648.0</v>
      </c>
      <c r="X450" s="320" t="s">
        <v>10157</v>
      </c>
      <c r="Y450" s="320" t="s">
        <v>10158</v>
      </c>
      <c r="Z450" s="1149">
        <v>12638.0</v>
      </c>
      <c r="AA450" s="320" t="s">
        <v>9217</v>
      </c>
      <c r="AB450" s="1140"/>
    </row>
    <row r="451" ht="15.75" customHeight="1">
      <c r="A451" s="776">
        <v>42604.0</v>
      </c>
      <c r="B451" s="340" t="s">
        <v>5188</v>
      </c>
      <c r="C451" s="265" t="s">
        <v>10152</v>
      </c>
      <c r="D451" s="320" t="s">
        <v>10153</v>
      </c>
      <c r="E451" s="340" t="s">
        <v>10159</v>
      </c>
      <c r="F451" s="773">
        <v>10.0</v>
      </c>
      <c r="G451" s="773">
        <f>10.4*1.05</f>
        <v>10.92</v>
      </c>
      <c r="H451" s="466">
        <f t="shared" si="23"/>
        <v>109.2</v>
      </c>
      <c r="I451" s="1063" t="s">
        <v>3474</v>
      </c>
      <c r="J451" s="333" t="s">
        <v>6067</v>
      </c>
      <c r="K451" s="832">
        <v>42621.0</v>
      </c>
      <c r="L451" s="832">
        <v>42621.0</v>
      </c>
      <c r="M451" s="333" t="s">
        <v>2508</v>
      </c>
      <c r="N451" s="265" t="s">
        <v>10155</v>
      </c>
      <c r="O451" s="773"/>
      <c r="P451" s="320">
        <v>3360.0</v>
      </c>
      <c r="Q451" s="320" t="s">
        <v>4491</v>
      </c>
      <c r="R451" s="388"/>
      <c r="S451" s="1145">
        <v>42648.0</v>
      </c>
      <c r="T451" s="1132">
        <v>42620.0</v>
      </c>
      <c r="U451" s="265" t="s">
        <v>10156</v>
      </c>
      <c r="V451" s="1135" t="s">
        <v>10160</v>
      </c>
      <c r="W451" s="832">
        <v>42648.0</v>
      </c>
      <c r="X451" s="320" t="s">
        <v>10157</v>
      </c>
      <c r="Y451" s="320" t="s">
        <v>10158</v>
      </c>
      <c r="Z451" s="1149" t="s">
        <v>10161</v>
      </c>
      <c r="AA451" s="320" t="s">
        <v>9217</v>
      </c>
      <c r="AB451" s="1140"/>
    </row>
    <row r="452" ht="15.75" customHeight="1">
      <c r="A452" s="776">
        <v>42606.0</v>
      </c>
      <c r="B452" s="340" t="s">
        <v>3506</v>
      </c>
      <c r="C452" s="1004"/>
      <c r="D452" s="310" t="s">
        <v>10162</v>
      </c>
      <c r="E452" s="330" t="s">
        <v>10163</v>
      </c>
      <c r="F452" s="581">
        <v>100.0</v>
      </c>
      <c r="G452" s="267">
        <v>178.0</v>
      </c>
      <c r="H452" s="267">
        <f t="shared" si="23"/>
        <v>17800</v>
      </c>
      <c r="I452" s="256" t="s">
        <v>171</v>
      </c>
      <c r="J452" s="599" t="s">
        <v>3509</v>
      </c>
      <c r="K452" s="258">
        <v>42627.0</v>
      </c>
      <c r="L452" s="258">
        <v>42619.0</v>
      </c>
      <c r="M452" s="403" t="s">
        <v>90</v>
      </c>
      <c r="N452" s="252" t="s">
        <v>10164</v>
      </c>
      <c r="O452" s="581">
        <v>17482.5</v>
      </c>
      <c r="P452" s="330"/>
      <c r="Q452" s="320" t="s">
        <v>6081</v>
      </c>
      <c r="R452" s="330"/>
      <c r="S452" s="768">
        <v>42648.0</v>
      </c>
      <c r="T452" s="252" t="s">
        <v>10165</v>
      </c>
      <c r="U452" s="310" t="s">
        <v>10166</v>
      </c>
      <c r="V452" s="1030" t="s">
        <v>10167</v>
      </c>
      <c r="W452" s="832">
        <v>42650.0</v>
      </c>
      <c r="X452" s="320" t="s">
        <v>10168</v>
      </c>
      <c r="Y452" s="1140"/>
      <c r="Z452" s="1140"/>
      <c r="AA452" s="1140"/>
      <c r="AB452" s="320" t="s">
        <v>284</v>
      </c>
    </row>
    <row r="453" ht="15.75" customHeight="1">
      <c r="A453" s="776">
        <v>42606.0</v>
      </c>
      <c r="B453" s="340" t="s">
        <v>3506</v>
      </c>
      <c r="C453" s="265"/>
      <c r="D453" s="320" t="s">
        <v>10169</v>
      </c>
      <c r="E453" s="578" t="s">
        <v>6079</v>
      </c>
      <c r="F453" s="773">
        <v>10.0</v>
      </c>
      <c r="G453" s="773">
        <v>355.0</v>
      </c>
      <c r="H453" s="267">
        <f t="shared" si="23"/>
        <v>3550</v>
      </c>
      <c r="I453" s="256" t="s">
        <v>171</v>
      </c>
      <c r="J453" s="599" t="s">
        <v>3509</v>
      </c>
      <c r="K453" s="258">
        <v>42627.0</v>
      </c>
      <c r="L453" s="258">
        <v>42619.0</v>
      </c>
      <c r="M453" s="403" t="s">
        <v>90</v>
      </c>
      <c r="N453" s="265" t="s">
        <v>10170</v>
      </c>
      <c r="O453" s="773">
        <v>3475.5</v>
      </c>
      <c r="P453" s="388"/>
      <c r="Q453" s="320" t="s">
        <v>6081</v>
      </c>
      <c r="R453" s="388"/>
      <c r="S453" s="768">
        <v>42648.0</v>
      </c>
      <c r="T453" s="1132">
        <v>42618.0</v>
      </c>
      <c r="U453" s="265" t="s">
        <v>10171</v>
      </c>
      <c r="V453" s="1135">
        <v>101895.0</v>
      </c>
      <c r="W453" s="832">
        <v>42650.0</v>
      </c>
      <c r="X453" s="320" t="s">
        <v>10168</v>
      </c>
      <c r="Y453" s="1141"/>
      <c r="Z453" s="1152"/>
      <c r="AA453" s="1141"/>
      <c r="AB453" s="388" t="s">
        <v>284</v>
      </c>
    </row>
    <row r="454" ht="15.75" customHeight="1">
      <c r="A454" s="776">
        <v>42611.0</v>
      </c>
      <c r="B454" s="340" t="s">
        <v>229</v>
      </c>
      <c r="C454" s="265"/>
      <c r="D454" s="320" t="s">
        <v>10172</v>
      </c>
      <c r="E454" s="578" t="s">
        <v>462</v>
      </c>
      <c r="F454" s="773">
        <v>40.0</v>
      </c>
      <c r="G454" s="581">
        <v>449.4</v>
      </c>
      <c r="H454" s="267">
        <f t="shared" si="23"/>
        <v>17976</v>
      </c>
      <c r="I454" s="266" t="s">
        <v>171</v>
      </c>
      <c r="J454" s="333" t="s">
        <v>90</v>
      </c>
      <c r="K454" s="258">
        <v>42625.0</v>
      </c>
      <c r="L454" s="388"/>
      <c r="M454" s="333" t="s">
        <v>90</v>
      </c>
      <c r="N454" s="265" t="s">
        <v>10173</v>
      </c>
      <c r="O454" s="773">
        <v>16254.0</v>
      </c>
      <c r="P454" s="388"/>
      <c r="Q454" s="320" t="s">
        <v>6081</v>
      </c>
      <c r="R454" s="388"/>
      <c r="S454" s="1032"/>
      <c r="T454" s="1132">
        <v>42622.0</v>
      </c>
      <c r="U454" s="265" t="s">
        <v>10174</v>
      </c>
      <c r="V454" s="1135">
        <v>570113.0</v>
      </c>
      <c r="W454" s="832">
        <v>42678.0</v>
      </c>
      <c r="X454" s="320" t="s">
        <v>10175</v>
      </c>
      <c r="Y454" s="320" t="s">
        <v>10176</v>
      </c>
      <c r="Z454" s="1149">
        <v>662550.0</v>
      </c>
      <c r="AA454" s="340" t="s">
        <v>10177</v>
      </c>
      <c r="AB454" s="1140"/>
    </row>
    <row r="455" ht="15.75" customHeight="1">
      <c r="A455" s="776">
        <v>42611.0</v>
      </c>
      <c r="B455" s="340" t="s">
        <v>229</v>
      </c>
      <c r="C455" s="265"/>
      <c r="D455" s="320" t="s">
        <v>10172</v>
      </c>
      <c r="E455" s="599" t="s">
        <v>3765</v>
      </c>
      <c r="F455" s="773">
        <v>9.0</v>
      </c>
      <c r="G455" s="773">
        <v>336.0</v>
      </c>
      <c r="H455" s="267">
        <f t="shared" si="23"/>
        <v>3024</v>
      </c>
      <c r="I455" s="266" t="s">
        <v>171</v>
      </c>
      <c r="J455" s="333" t="s">
        <v>90</v>
      </c>
      <c r="K455" s="258">
        <v>42625.0</v>
      </c>
      <c r="L455" s="388"/>
      <c r="M455" s="333" t="s">
        <v>90</v>
      </c>
      <c r="N455" s="265" t="s">
        <v>10173</v>
      </c>
      <c r="O455" s="773">
        <v>2712.15</v>
      </c>
      <c r="P455" s="388"/>
      <c r="Q455" s="320" t="s">
        <v>6081</v>
      </c>
      <c r="R455" s="388"/>
      <c r="S455" s="1032"/>
      <c r="T455" s="1132">
        <v>42622.0</v>
      </c>
      <c r="U455" s="265" t="s">
        <v>10174</v>
      </c>
      <c r="V455" s="256" t="s">
        <v>10178</v>
      </c>
      <c r="W455" s="832">
        <v>42678.0</v>
      </c>
      <c r="X455" s="320" t="s">
        <v>10175</v>
      </c>
      <c r="Y455" s="320" t="s">
        <v>10176</v>
      </c>
      <c r="Z455" s="1149" t="s">
        <v>10179</v>
      </c>
      <c r="AA455" s="340" t="s">
        <v>10177</v>
      </c>
      <c r="AB455" s="1140"/>
    </row>
    <row r="456" ht="15.75" customHeight="1">
      <c r="A456" s="776">
        <v>42612.0</v>
      </c>
      <c r="B456" s="340" t="s">
        <v>6116</v>
      </c>
      <c r="C456" s="265">
        <v>803740.0</v>
      </c>
      <c r="D456" s="320" t="s">
        <v>10180</v>
      </c>
      <c r="E456" s="340" t="s">
        <v>10181</v>
      </c>
      <c r="F456" s="773">
        <v>1.0</v>
      </c>
      <c r="G456" s="773">
        <v>81.0</v>
      </c>
      <c r="H456" s="267">
        <f>F456*G456</f>
        <v>81</v>
      </c>
      <c r="I456" s="1063" t="s">
        <v>3474</v>
      </c>
      <c r="J456" s="333" t="s">
        <v>6119</v>
      </c>
      <c r="K456" s="832">
        <v>42627.0</v>
      </c>
      <c r="L456" s="832">
        <v>42626.0</v>
      </c>
      <c r="M456" s="333" t="s">
        <v>10182</v>
      </c>
      <c r="N456" s="265" t="s">
        <v>10183</v>
      </c>
      <c r="O456" s="773"/>
      <c r="P456" s="320">
        <v>2149.0</v>
      </c>
      <c r="Q456" s="320" t="s">
        <v>10184</v>
      </c>
      <c r="R456" s="388"/>
      <c r="S456" s="1139"/>
      <c r="T456" s="1132">
        <v>42622.0</v>
      </c>
      <c r="U456" s="265" t="s">
        <v>10185</v>
      </c>
      <c r="V456" s="1135">
        <v>2149.0</v>
      </c>
      <c r="W456" s="832">
        <v>42622.0</v>
      </c>
      <c r="X456" s="320" t="s">
        <v>10186</v>
      </c>
      <c r="Y456" s="1141"/>
      <c r="Z456" s="1152"/>
      <c r="AA456" s="1141"/>
      <c r="AB456" s="1140" t="s">
        <v>284</v>
      </c>
    </row>
    <row r="457" ht="15.75" customHeight="1">
      <c r="A457" s="776">
        <v>42612.0</v>
      </c>
      <c r="B457" s="340" t="s">
        <v>6116</v>
      </c>
      <c r="C457" s="265">
        <v>803740.0</v>
      </c>
      <c r="D457" s="320" t="s">
        <v>10180</v>
      </c>
      <c r="E457" s="340" t="s">
        <v>700</v>
      </c>
      <c r="F457" s="773">
        <v>1.0</v>
      </c>
      <c r="G457" s="773">
        <v>25.0</v>
      </c>
      <c r="H457" s="267">
        <f>G457*F457</f>
        <v>25</v>
      </c>
      <c r="I457" s="1063" t="s">
        <v>3474</v>
      </c>
      <c r="J457" s="333" t="s">
        <v>6119</v>
      </c>
      <c r="K457" s="832">
        <v>42627.0</v>
      </c>
      <c r="L457" s="388"/>
      <c r="M457" s="333"/>
      <c r="N457" s="265"/>
      <c r="O457" s="773"/>
      <c r="P457" s="388"/>
      <c r="Q457" s="320"/>
      <c r="R457" s="388"/>
      <c r="S457" s="1139"/>
      <c r="T457" s="265" t="s">
        <v>5701</v>
      </c>
      <c r="U457" s="265" t="s">
        <v>5701</v>
      </c>
      <c r="V457" s="265" t="s">
        <v>5701</v>
      </c>
      <c r="W457" s="832"/>
      <c r="X457" s="320" t="s">
        <v>10186</v>
      </c>
      <c r="Y457" s="1141"/>
      <c r="Z457" s="1152"/>
      <c r="AA457" s="1141"/>
      <c r="AB457" s="1140" t="s">
        <v>284</v>
      </c>
    </row>
    <row r="458" ht="15.75" customHeight="1">
      <c r="A458" s="776">
        <v>42614.0</v>
      </c>
      <c r="B458" s="340" t="s">
        <v>9317</v>
      </c>
      <c r="C458" s="265">
        <v>310816.0</v>
      </c>
      <c r="D458" s="320" t="s">
        <v>10187</v>
      </c>
      <c r="E458" s="340" t="s">
        <v>10188</v>
      </c>
      <c r="F458" s="773">
        <v>8.0</v>
      </c>
      <c r="G458" s="773">
        <v>17.0</v>
      </c>
      <c r="H458" s="267">
        <f t="shared" ref="H458:H460" si="24">F458*G458</f>
        <v>136</v>
      </c>
      <c r="I458" s="1063" t="s">
        <v>3474</v>
      </c>
      <c r="J458" s="333" t="s">
        <v>5995</v>
      </c>
      <c r="K458" s="832">
        <v>42627.0</v>
      </c>
      <c r="L458" s="832">
        <v>42626.0</v>
      </c>
      <c r="M458" s="333" t="s">
        <v>9641</v>
      </c>
      <c r="N458" s="265" t="s">
        <v>10189</v>
      </c>
      <c r="O458" s="773"/>
      <c r="P458" s="320">
        <v>3998.0</v>
      </c>
      <c r="Q458" s="320" t="s">
        <v>2127</v>
      </c>
      <c r="R458" s="388"/>
      <c r="S458" s="1145">
        <v>42621.0</v>
      </c>
      <c r="T458" s="1132">
        <v>42625.0</v>
      </c>
      <c r="U458" s="265" t="s">
        <v>10190</v>
      </c>
      <c r="V458" s="1135">
        <v>3998.0</v>
      </c>
      <c r="W458" s="832">
        <v>42619.0</v>
      </c>
      <c r="X458" s="320" t="s">
        <v>10191</v>
      </c>
      <c r="Y458" s="1141"/>
      <c r="Z458" s="1152"/>
      <c r="AA458" s="1141"/>
      <c r="AB458" s="388" t="s">
        <v>284</v>
      </c>
    </row>
    <row r="459" ht="15.75" customHeight="1">
      <c r="A459" s="776">
        <v>42614.0</v>
      </c>
      <c r="B459" s="340" t="s">
        <v>9317</v>
      </c>
      <c r="C459" s="265">
        <v>310816.0</v>
      </c>
      <c r="D459" s="320" t="s">
        <v>10187</v>
      </c>
      <c r="E459" s="340" t="s">
        <v>700</v>
      </c>
      <c r="F459" s="773">
        <v>1.0</v>
      </c>
      <c r="G459" s="773">
        <v>25.0</v>
      </c>
      <c r="H459" s="267">
        <f t="shared" si="24"/>
        <v>25</v>
      </c>
      <c r="I459" s="256" t="s">
        <v>3474</v>
      </c>
      <c r="J459" s="333" t="s">
        <v>5995</v>
      </c>
      <c r="K459" s="832">
        <v>42627.0</v>
      </c>
      <c r="L459" s="388"/>
      <c r="M459" s="333"/>
      <c r="N459" s="265" t="s">
        <v>10189</v>
      </c>
      <c r="O459" s="773"/>
      <c r="P459" s="388"/>
      <c r="Q459" s="320"/>
      <c r="R459" s="388"/>
      <c r="S459" s="1139"/>
      <c r="T459" s="265" t="s">
        <v>5701</v>
      </c>
      <c r="U459" s="265" t="s">
        <v>5701</v>
      </c>
      <c r="V459" s="265" t="s">
        <v>5701</v>
      </c>
      <c r="W459" s="832"/>
      <c r="X459" s="320" t="s">
        <v>10191</v>
      </c>
      <c r="Y459" s="1141"/>
      <c r="Z459" s="1152"/>
      <c r="AA459" s="1141"/>
      <c r="AB459" s="388" t="s">
        <v>284</v>
      </c>
    </row>
    <row r="460" ht="15.75" customHeight="1">
      <c r="A460" s="776">
        <v>42614.0</v>
      </c>
      <c r="B460" s="340" t="s">
        <v>9317</v>
      </c>
      <c r="C460" s="265">
        <v>310816.0</v>
      </c>
      <c r="D460" s="320" t="s">
        <v>10187</v>
      </c>
      <c r="E460" s="340" t="s">
        <v>10192</v>
      </c>
      <c r="F460" s="773">
        <v>1.0</v>
      </c>
      <c r="G460" s="773">
        <v>50.0</v>
      </c>
      <c r="H460" s="267">
        <f t="shared" si="24"/>
        <v>50</v>
      </c>
      <c r="I460" s="256" t="s">
        <v>3474</v>
      </c>
      <c r="J460" s="333" t="s">
        <v>5995</v>
      </c>
      <c r="K460" s="832">
        <v>42627.0</v>
      </c>
      <c r="L460" s="388"/>
      <c r="M460" s="333" t="s">
        <v>2032</v>
      </c>
      <c r="N460" s="265" t="s">
        <v>10189</v>
      </c>
      <c r="O460" s="773"/>
      <c r="P460" s="1149">
        <v>2171.0</v>
      </c>
      <c r="Q460" s="320" t="s">
        <v>2033</v>
      </c>
      <c r="R460" s="388"/>
      <c r="S460" s="1145">
        <v>42666.0</v>
      </c>
      <c r="T460" s="1132">
        <v>42636.0</v>
      </c>
      <c r="U460" s="265" t="s">
        <v>10193</v>
      </c>
      <c r="V460" s="256" t="s">
        <v>10194</v>
      </c>
      <c r="W460" s="832">
        <v>42662.0</v>
      </c>
      <c r="X460" s="320" t="s">
        <v>10191</v>
      </c>
      <c r="Y460" s="1141"/>
      <c r="Z460" s="1152"/>
      <c r="AA460" s="1141"/>
      <c r="AB460" s="388" t="s">
        <v>284</v>
      </c>
    </row>
    <row r="461" ht="15.75" customHeight="1">
      <c r="A461" s="776">
        <v>42615.0</v>
      </c>
      <c r="B461" s="340" t="s">
        <v>101</v>
      </c>
      <c r="C461" s="265" t="s">
        <v>10195</v>
      </c>
      <c r="D461" s="320" t="s">
        <v>10196</v>
      </c>
      <c r="E461" s="310" t="s">
        <v>8962</v>
      </c>
      <c r="F461" s="578">
        <v>2.0</v>
      </c>
      <c r="G461" s="578">
        <v>575.0</v>
      </c>
      <c r="H461" s="267">
        <f t="shared" ref="H461:H467" si="25">G461*F461</f>
        <v>1150</v>
      </c>
      <c r="I461" s="266" t="s">
        <v>3474</v>
      </c>
      <c r="J461" s="333" t="s">
        <v>6027</v>
      </c>
      <c r="K461" s="832">
        <v>42627.0</v>
      </c>
      <c r="L461" s="832">
        <v>42627.0</v>
      </c>
      <c r="M461" s="333" t="s">
        <v>1439</v>
      </c>
      <c r="N461" s="265" t="s">
        <v>10197</v>
      </c>
      <c r="O461" s="773"/>
      <c r="P461" s="320">
        <v>33947.0</v>
      </c>
      <c r="Q461" s="320" t="s">
        <v>1976</v>
      </c>
      <c r="R461" s="388"/>
      <c r="S461" s="1145">
        <v>42648.0</v>
      </c>
      <c r="T461" s="1132">
        <v>42625.0</v>
      </c>
      <c r="U461" s="265" t="s">
        <v>10198</v>
      </c>
      <c r="V461" s="1135">
        <v>39936.0</v>
      </c>
      <c r="W461" s="832">
        <v>42649.0</v>
      </c>
      <c r="X461" s="320" t="s">
        <v>10199</v>
      </c>
      <c r="Y461" s="1141"/>
      <c r="Z461" s="1152"/>
      <c r="AA461" s="1141"/>
      <c r="AB461" s="388" t="s">
        <v>284</v>
      </c>
    </row>
    <row r="462" ht="15.75" customHeight="1">
      <c r="A462" s="776">
        <v>42615.0</v>
      </c>
      <c r="B462" s="340" t="s">
        <v>101</v>
      </c>
      <c r="C462" s="265" t="s">
        <v>10195</v>
      </c>
      <c r="D462" s="320" t="s">
        <v>10196</v>
      </c>
      <c r="E462" s="578" t="s">
        <v>9768</v>
      </c>
      <c r="F462" s="578">
        <v>2.0</v>
      </c>
      <c r="G462" s="578">
        <v>380.0</v>
      </c>
      <c r="H462" s="267">
        <f t="shared" si="25"/>
        <v>760</v>
      </c>
      <c r="I462" s="266" t="s">
        <v>3474</v>
      </c>
      <c r="J462" s="333" t="s">
        <v>6027</v>
      </c>
      <c r="K462" s="832">
        <v>42627.0</v>
      </c>
      <c r="L462" s="832">
        <v>42620.0</v>
      </c>
      <c r="M462" s="333" t="s">
        <v>9769</v>
      </c>
      <c r="N462" s="265" t="s">
        <v>10200</v>
      </c>
      <c r="O462" s="773"/>
      <c r="P462" s="320">
        <v>23629.0</v>
      </c>
      <c r="Q462" s="310" t="s">
        <v>9771</v>
      </c>
      <c r="R462" s="388"/>
      <c r="S462" s="1145">
        <v>42674.0</v>
      </c>
      <c r="T462" s="1132">
        <v>42618.0</v>
      </c>
      <c r="U462" s="265" t="s">
        <v>10201</v>
      </c>
      <c r="V462" s="1135">
        <v>23629.0</v>
      </c>
      <c r="W462" s="832">
        <v>42671.0</v>
      </c>
      <c r="X462" s="320" t="s">
        <v>10199</v>
      </c>
      <c r="Y462" s="1141"/>
      <c r="Z462" s="1152"/>
      <c r="AA462" s="1141"/>
      <c r="AB462" s="388" t="s">
        <v>284</v>
      </c>
    </row>
    <row r="463" ht="15.75" customHeight="1">
      <c r="A463" s="776">
        <v>42615.0</v>
      </c>
      <c r="B463" s="340" t="s">
        <v>101</v>
      </c>
      <c r="C463" s="265" t="s">
        <v>10195</v>
      </c>
      <c r="D463" s="320" t="s">
        <v>10196</v>
      </c>
      <c r="E463" s="578" t="s">
        <v>6305</v>
      </c>
      <c r="F463" s="578">
        <v>2.0</v>
      </c>
      <c r="G463" s="578">
        <v>62.0</v>
      </c>
      <c r="H463" s="267">
        <f t="shared" si="25"/>
        <v>124</v>
      </c>
      <c r="I463" s="266" t="s">
        <v>3474</v>
      </c>
      <c r="J463" s="333" t="s">
        <v>6027</v>
      </c>
      <c r="K463" s="832">
        <v>42627.0</v>
      </c>
      <c r="L463" s="832">
        <v>42621.0</v>
      </c>
      <c r="M463" s="333" t="s">
        <v>6935</v>
      </c>
      <c r="N463" s="265" t="s">
        <v>10202</v>
      </c>
      <c r="O463" s="773"/>
      <c r="P463" s="320">
        <v>2169.0</v>
      </c>
      <c r="Q463" s="320" t="s">
        <v>2172</v>
      </c>
      <c r="R463" s="388"/>
      <c r="S463" s="773" t="s">
        <v>10203</v>
      </c>
      <c r="T463" s="1132">
        <v>42620.0</v>
      </c>
      <c r="U463" s="265" t="s">
        <v>10204</v>
      </c>
      <c r="V463" s="1135">
        <v>2169.0</v>
      </c>
      <c r="W463" s="832">
        <v>42619.0</v>
      </c>
      <c r="X463" s="320" t="s">
        <v>10199</v>
      </c>
      <c r="Y463" s="1141"/>
      <c r="Z463" s="1152"/>
      <c r="AA463" s="1141"/>
      <c r="AB463" s="388" t="s">
        <v>284</v>
      </c>
    </row>
    <row r="464" ht="15.75" customHeight="1">
      <c r="A464" s="776">
        <v>42615.0</v>
      </c>
      <c r="B464" s="340" t="s">
        <v>101</v>
      </c>
      <c r="C464" s="265" t="s">
        <v>10195</v>
      </c>
      <c r="D464" s="320" t="s">
        <v>10196</v>
      </c>
      <c r="E464" s="578" t="s">
        <v>9775</v>
      </c>
      <c r="F464" s="578">
        <v>2.0</v>
      </c>
      <c r="G464" s="578">
        <v>94.0</v>
      </c>
      <c r="H464" s="267">
        <f t="shared" si="25"/>
        <v>188</v>
      </c>
      <c r="I464" s="266" t="s">
        <v>3474</v>
      </c>
      <c r="J464" s="333" t="s">
        <v>6027</v>
      </c>
      <c r="K464" s="832">
        <v>42627.0</v>
      </c>
      <c r="L464" s="832">
        <v>42621.0</v>
      </c>
      <c r="M464" s="333" t="s">
        <v>6935</v>
      </c>
      <c r="N464" s="265" t="s">
        <v>10202</v>
      </c>
      <c r="O464" s="773"/>
      <c r="P464" s="320">
        <v>5198.0</v>
      </c>
      <c r="Q464" s="320" t="s">
        <v>2172</v>
      </c>
      <c r="R464" s="388"/>
      <c r="S464" s="773" t="s">
        <v>10203</v>
      </c>
      <c r="T464" s="1132">
        <v>42620.0</v>
      </c>
      <c r="U464" s="265" t="s">
        <v>10204</v>
      </c>
      <c r="V464" s="1135">
        <v>5198.0</v>
      </c>
      <c r="W464" s="832">
        <v>42619.0</v>
      </c>
      <c r="X464" s="320" t="s">
        <v>10199</v>
      </c>
      <c r="Y464" s="1141"/>
      <c r="Z464" s="1152"/>
      <c r="AA464" s="1141"/>
      <c r="AB464" s="388" t="s">
        <v>284</v>
      </c>
    </row>
    <row r="465" ht="15.75" customHeight="1">
      <c r="A465" s="776">
        <v>42615.0</v>
      </c>
      <c r="B465" s="340" t="s">
        <v>101</v>
      </c>
      <c r="C465" s="265" t="s">
        <v>10195</v>
      </c>
      <c r="D465" s="320" t="s">
        <v>10196</v>
      </c>
      <c r="E465" s="578" t="s">
        <v>6295</v>
      </c>
      <c r="F465" s="578">
        <v>2.0</v>
      </c>
      <c r="G465" s="578">
        <v>38.0</v>
      </c>
      <c r="H465" s="267">
        <f t="shared" si="25"/>
        <v>76</v>
      </c>
      <c r="I465" s="266" t="s">
        <v>3474</v>
      </c>
      <c r="J465" s="333" t="s">
        <v>6027</v>
      </c>
      <c r="K465" s="832">
        <v>42627.0</v>
      </c>
      <c r="L465" s="832">
        <v>42627.0</v>
      </c>
      <c r="M465" s="333" t="s">
        <v>1439</v>
      </c>
      <c r="N465" s="265" t="s">
        <v>10205</v>
      </c>
      <c r="O465" s="773"/>
      <c r="P465" s="320">
        <v>2329.0</v>
      </c>
      <c r="Q465" s="320" t="s">
        <v>1976</v>
      </c>
      <c r="R465" s="388"/>
      <c r="S465" s="1145">
        <v>42648.0</v>
      </c>
      <c r="T465" s="1132">
        <v>42625.0</v>
      </c>
      <c r="U465" s="265" t="s">
        <v>10198</v>
      </c>
      <c r="V465" s="1135" t="s">
        <v>10206</v>
      </c>
      <c r="W465" s="832">
        <v>42649.0</v>
      </c>
      <c r="X465" s="320" t="s">
        <v>10199</v>
      </c>
      <c r="Y465" s="1141"/>
      <c r="Z465" s="1152"/>
      <c r="AA465" s="1141"/>
      <c r="AB465" s="388" t="s">
        <v>284</v>
      </c>
    </row>
    <row r="466" ht="15.75" customHeight="1">
      <c r="A466" s="776">
        <v>42615.0</v>
      </c>
      <c r="B466" s="340" t="s">
        <v>101</v>
      </c>
      <c r="C466" s="265" t="s">
        <v>10195</v>
      </c>
      <c r="D466" s="320" t="s">
        <v>10196</v>
      </c>
      <c r="E466" s="578" t="s">
        <v>6296</v>
      </c>
      <c r="F466" s="578">
        <v>2.0</v>
      </c>
      <c r="G466" s="578">
        <v>60.0</v>
      </c>
      <c r="H466" s="267">
        <f t="shared" si="25"/>
        <v>120</v>
      </c>
      <c r="I466" s="266" t="s">
        <v>3474</v>
      </c>
      <c r="J466" s="333" t="s">
        <v>6027</v>
      </c>
      <c r="K466" s="832">
        <v>42627.0</v>
      </c>
      <c r="L466" s="832">
        <v>42627.0</v>
      </c>
      <c r="M466" s="333" t="s">
        <v>1439</v>
      </c>
      <c r="N466" s="265" t="s">
        <v>10205</v>
      </c>
      <c r="O466" s="773"/>
      <c r="P466" s="320">
        <v>3660.0</v>
      </c>
      <c r="Q466" s="320" t="s">
        <v>1976</v>
      </c>
      <c r="R466" s="388"/>
      <c r="S466" s="1145">
        <v>42648.0</v>
      </c>
      <c r="T466" s="1132">
        <v>42625.0</v>
      </c>
      <c r="U466" s="265" t="s">
        <v>10198</v>
      </c>
      <c r="V466" s="1135" t="s">
        <v>10206</v>
      </c>
      <c r="W466" s="832">
        <v>42649.0</v>
      </c>
      <c r="X466" s="320" t="s">
        <v>10199</v>
      </c>
      <c r="Y466" s="1141"/>
      <c r="Z466" s="1152"/>
      <c r="AA466" s="1141"/>
      <c r="AB466" s="388" t="s">
        <v>284</v>
      </c>
    </row>
    <row r="467" ht="15.75" customHeight="1">
      <c r="A467" s="776">
        <v>42615.0</v>
      </c>
      <c r="B467" s="340" t="s">
        <v>101</v>
      </c>
      <c r="C467" s="265" t="s">
        <v>10195</v>
      </c>
      <c r="D467" s="320" t="s">
        <v>10196</v>
      </c>
      <c r="E467" s="340" t="s">
        <v>10207</v>
      </c>
      <c r="F467" s="773">
        <v>1.0</v>
      </c>
      <c r="G467" s="773">
        <v>134.0</v>
      </c>
      <c r="H467" s="267">
        <f t="shared" si="25"/>
        <v>134</v>
      </c>
      <c r="I467" s="266" t="s">
        <v>3474</v>
      </c>
      <c r="J467" s="333" t="s">
        <v>6027</v>
      </c>
      <c r="K467" s="832">
        <v>42627.0</v>
      </c>
      <c r="L467" s="388"/>
      <c r="M467" s="333" t="s">
        <v>2032</v>
      </c>
      <c r="N467" s="265"/>
      <c r="O467" s="773"/>
      <c r="P467" s="1149">
        <v>4446.0</v>
      </c>
      <c r="Q467" s="320" t="s">
        <v>2033</v>
      </c>
      <c r="R467" s="388"/>
      <c r="S467" s="1145">
        <v>42666.0</v>
      </c>
      <c r="T467" s="1132">
        <v>42636.0</v>
      </c>
      <c r="U467" s="265" t="s">
        <v>10193</v>
      </c>
      <c r="V467" s="1135">
        <v>6617.0</v>
      </c>
      <c r="W467" s="832">
        <v>42662.0</v>
      </c>
      <c r="X467" s="320" t="s">
        <v>10199</v>
      </c>
      <c r="Y467" s="1141"/>
      <c r="Z467" s="1152"/>
      <c r="AA467" s="1141"/>
      <c r="AB467" s="388" t="s">
        <v>284</v>
      </c>
    </row>
    <row r="468" ht="15.75" customHeight="1">
      <c r="A468" s="776">
        <v>42619.0</v>
      </c>
      <c r="B468" s="340" t="s">
        <v>5073</v>
      </c>
      <c r="C468" s="265" t="s">
        <v>10208</v>
      </c>
      <c r="D468" s="320" t="s">
        <v>10209</v>
      </c>
      <c r="E468" s="340" t="s">
        <v>10210</v>
      </c>
      <c r="F468" s="773">
        <v>3.0</v>
      </c>
      <c r="G468" s="773">
        <v>173.0</v>
      </c>
      <c r="H468" s="267">
        <f t="shared" ref="H468:H469" si="26">F468*G468</f>
        <v>519</v>
      </c>
      <c r="I468" s="256" t="s">
        <v>3474</v>
      </c>
      <c r="J468" s="333" t="s">
        <v>3749</v>
      </c>
      <c r="K468" s="258">
        <v>42635.0</v>
      </c>
      <c r="L468" s="832">
        <v>42632.0</v>
      </c>
      <c r="M468" s="333" t="s">
        <v>90</v>
      </c>
      <c r="N468" s="265" t="s">
        <v>10211</v>
      </c>
      <c r="O468" s="773">
        <v>491.4</v>
      </c>
      <c r="P468" s="388"/>
      <c r="Q468" s="320" t="s">
        <v>6081</v>
      </c>
      <c r="R468" s="388"/>
      <c r="S468" s="1145">
        <v>42648.0</v>
      </c>
      <c r="T468" s="1132">
        <v>42632.0</v>
      </c>
      <c r="U468" s="265" t="s">
        <v>10212</v>
      </c>
      <c r="V468" s="1135">
        <v>15450.0</v>
      </c>
      <c r="W468" s="832">
        <v>42678.0</v>
      </c>
      <c r="X468" s="320" t="s">
        <v>10213</v>
      </c>
      <c r="Y468" s="1141"/>
      <c r="Z468" s="1152"/>
      <c r="AA468" s="1141"/>
      <c r="AB468" s="388" t="s">
        <v>284</v>
      </c>
    </row>
    <row r="469" ht="15.75" customHeight="1">
      <c r="A469" s="776">
        <v>42619.0</v>
      </c>
      <c r="B469" s="340" t="s">
        <v>5073</v>
      </c>
      <c r="C469" s="265" t="s">
        <v>10208</v>
      </c>
      <c r="D469" s="320" t="s">
        <v>10209</v>
      </c>
      <c r="E469" s="340" t="s">
        <v>10006</v>
      </c>
      <c r="F469" s="773">
        <v>2.0</v>
      </c>
      <c r="G469" s="773">
        <v>582.0</v>
      </c>
      <c r="H469" s="267">
        <f t="shared" si="26"/>
        <v>1164</v>
      </c>
      <c r="I469" s="256" t="s">
        <v>3474</v>
      </c>
      <c r="J469" s="333" t="s">
        <v>3749</v>
      </c>
      <c r="K469" s="258">
        <v>42635.0</v>
      </c>
      <c r="L469" s="832">
        <v>42622.0</v>
      </c>
      <c r="M469" s="333" t="s">
        <v>6120</v>
      </c>
      <c r="N469" s="265" t="s">
        <v>10214</v>
      </c>
      <c r="O469" s="773"/>
      <c r="P469" s="320">
        <v>36278.0</v>
      </c>
      <c r="Q469" s="320" t="s">
        <v>6122</v>
      </c>
      <c r="R469" s="388"/>
      <c r="S469" s="1145">
        <v>42678.0</v>
      </c>
      <c r="T469" s="1132">
        <v>42621.0</v>
      </c>
      <c r="U469" s="265" t="s">
        <v>10215</v>
      </c>
      <c r="V469" s="1135">
        <v>36278.0</v>
      </c>
      <c r="W469" s="832">
        <v>42678.0</v>
      </c>
      <c r="X469" s="320" t="s">
        <v>10213</v>
      </c>
      <c r="Y469" s="1141"/>
      <c r="Z469" s="1152"/>
      <c r="AA469" s="1141"/>
      <c r="AB469" s="388" t="s">
        <v>284</v>
      </c>
    </row>
    <row r="470" ht="15.75" customHeight="1">
      <c r="A470" s="776">
        <v>42621.0</v>
      </c>
      <c r="B470" s="599" t="s">
        <v>54</v>
      </c>
      <c r="C470" s="1004" t="s">
        <v>10216</v>
      </c>
      <c r="D470" s="310" t="s">
        <v>10217</v>
      </c>
      <c r="E470" s="578" t="s">
        <v>3793</v>
      </c>
      <c r="F470" s="331">
        <v>4.0</v>
      </c>
      <c r="G470" s="254">
        <v>150.15</v>
      </c>
      <c r="H470" s="578">
        <f>G470*F470</f>
        <v>600.6</v>
      </c>
      <c r="I470" s="266" t="s">
        <v>8675</v>
      </c>
      <c r="J470" s="403" t="s">
        <v>233</v>
      </c>
      <c r="K470" s="832">
        <v>42640.0</v>
      </c>
      <c r="L470" s="388"/>
      <c r="M470" s="333" t="s">
        <v>90</v>
      </c>
      <c r="N470" s="265" t="s">
        <v>10218</v>
      </c>
      <c r="O470" s="773">
        <v>537.6</v>
      </c>
      <c r="P470" s="388"/>
      <c r="Q470" s="320" t="s">
        <v>6081</v>
      </c>
      <c r="R470" s="388"/>
      <c r="S470" s="1145">
        <v>42709.0</v>
      </c>
      <c r="T470" s="1132">
        <v>42639.0</v>
      </c>
      <c r="U470" s="265" t="s">
        <v>10219</v>
      </c>
      <c r="V470" s="1135">
        <v>17002.0</v>
      </c>
      <c r="W470" s="832">
        <v>42690.0</v>
      </c>
      <c r="X470" s="320" t="s">
        <v>10146</v>
      </c>
      <c r="Y470" s="320" t="s">
        <v>10147</v>
      </c>
      <c r="Z470" s="1149" t="s">
        <v>10220</v>
      </c>
      <c r="AA470" s="340" t="s">
        <v>10148</v>
      </c>
      <c r="AB470" s="1140"/>
    </row>
    <row r="471" ht="15.75" customHeight="1">
      <c r="A471" s="776">
        <v>42621.0</v>
      </c>
      <c r="B471" s="340" t="s">
        <v>101</v>
      </c>
      <c r="C471" s="265" t="s">
        <v>10221</v>
      </c>
      <c r="D471" s="320" t="s">
        <v>10222</v>
      </c>
      <c r="E471" s="340" t="s">
        <v>10223</v>
      </c>
      <c r="F471" s="773">
        <v>1.0</v>
      </c>
      <c r="G471" s="773">
        <v>622.0</v>
      </c>
      <c r="H471" s="578">
        <f>F471*G471</f>
        <v>622</v>
      </c>
      <c r="I471" s="256" t="s">
        <v>3474</v>
      </c>
      <c r="J471" s="333" t="s">
        <v>6027</v>
      </c>
      <c r="K471" s="832">
        <v>42646.0</v>
      </c>
      <c r="L471" s="832">
        <v>42640.0</v>
      </c>
      <c r="M471" s="333" t="s">
        <v>2028</v>
      </c>
      <c r="N471" s="265" t="s">
        <v>10224</v>
      </c>
      <c r="O471" s="773"/>
      <c r="P471" s="320">
        <v>16398.0</v>
      </c>
      <c r="Q471" s="340" t="s">
        <v>2030</v>
      </c>
      <c r="R471" s="388"/>
      <c r="S471" s="1145">
        <v>42639.0</v>
      </c>
      <c r="T471" s="1132">
        <v>42639.0</v>
      </c>
      <c r="U471" s="265" t="s">
        <v>10225</v>
      </c>
      <c r="V471" s="1135">
        <v>34949.0</v>
      </c>
      <c r="W471" s="832">
        <v>42639.0</v>
      </c>
      <c r="X471" s="265" t="s">
        <v>10226</v>
      </c>
      <c r="Y471" s="1141"/>
      <c r="Z471" s="1152"/>
      <c r="AA471" s="1141"/>
      <c r="AB471" s="388" t="s">
        <v>284</v>
      </c>
    </row>
    <row r="472" ht="15.75" customHeight="1">
      <c r="A472" s="776">
        <v>42621.0</v>
      </c>
      <c r="B472" s="340" t="s">
        <v>101</v>
      </c>
      <c r="C472" s="265" t="s">
        <v>10221</v>
      </c>
      <c r="D472" s="320" t="s">
        <v>10222</v>
      </c>
      <c r="E472" s="340" t="s">
        <v>3966</v>
      </c>
      <c r="F472" s="773">
        <v>1.0</v>
      </c>
      <c r="G472" s="773">
        <v>550.0</v>
      </c>
      <c r="H472" s="578">
        <f t="shared" ref="H472:H511" si="27">G472*F472</f>
        <v>550</v>
      </c>
      <c r="I472" s="256" t="s">
        <v>3474</v>
      </c>
      <c r="J472" s="333" t="s">
        <v>6027</v>
      </c>
      <c r="K472" s="832">
        <v>42646.0</v>
      </c>
      <c r="L472" s="832">
        <v>42640.0</v>
      </c>
      <c r="M472" s="333" t="s">
        <v>2028</v>
      </c>
      <c r="N472" s="265" t="s">
        <v>10224</v>
      </c>
      <c r="O472" s="773"/>
      <c r="P472" s="320">
        <v>18551.0</v>
      </c>
      <c r="Q472" s="340" t="s">
        <v>2030</v>
      </c>
      <c r="R472" s="388"/>
      <c r="S472" s="1145">
        <v>42639.0</v>
      </c>
      <c r="T472" s="1132">
        <v>42639.0</v>
      </c>
      <c r="U472" s="265" t="s">
        <v>10225</v>
      </c>
      <c r="V472" s="1135" t="s">
        <v>10227</v>
      </c>
      <c r="W472" s="832">
        <v>42639.0</v>
      </c>
      <c r="X472" s="265" t="s">
        <v>10226</v>
      </c>
      <c r="Y472" s="1141"/>
      <c r="Z472" s="1152"/>
      <c r="AA472" s="1141"/>
      <c r="AB472" s="388" t="s">
        <v>284</v>
      </c>
    </row>
    <row r="473" ht="15.75" customHeight="1">
      <c r="A473" s="776">
        <v>42621.0</v>
      </c>
      <c r="B473" s="340" t="s">
        <v>101</v>
      </c>
      <c r="C473" s="265" t="s">
        <v>10221</v>
      </c>
      <c r="D473" s="320" t="s">
        <v>10228</v>
      </c>
      <c r="E473" s="340" t="s">
        <v>10229</v>
      </c>
      <c r="F473" s="773">
        <v>2.0</v>
      </c>
      <c r="G473" s="773">
        <v>47.0</v>
      </c>
      <c r="H473" s="578">
        <f t="shared" si="27"/>
        <v>94</v>
      </c>
      <c r="I473" s="256" t="s">
        <v>3474</v>
      </c>
      <c r="J473" s="333" t="s">
        <v>6027</v>
      </c>
      <c r="K473" s="832">
        <v>42646.0</v>
      </c>
      <c r="L473" s="832">
        <v>42632.0</v>
      </c>
      <c r="M473" s="403" t="s">
        <v>10230</v>
      </c>
      <c r="N473" s="265" t="s">
        <v>10231</v>
      </c>
      <c r="O473" s="773"/>
      <c r="P473" s="320">
        <v>2474.0</v>
      </c>
      <c r="Q473" s="320" t="s">
        <v>2172</v>
      </c>
      <c r="R473" s="388"/>
      <c r="S473" s="773" t="s">
        <v>10083</v>
      </c>
      <c r="T473" s="1132">
        <v>42627.0</v>
      </c>
      <c r="U473" s="265" t="s">
        <v>10232</v>
      </c>
      <c r="V473" s="1135">
        <v>2474.0</v>
      </c>
      <c r="W473" s="832">
        <v>42626.0</v>
      </c>
      <c r="X473" s="265" t="s">
        <v>10226</v>
      </c>
      <c r="Y473" s="1141"/>
      <c r="Z473" s="1152"/>
      <c r="AA473" s="1141"/>
      <c r="AB473" s="388" t="s">
        <v>284</v>
      </c>
    </row>
    <row r="474" ht="15.75" customHeight="1">
      <c r="A474" s="776">
        <v>42621.0</v>
      </c>
      <c r="B474" s="340" t="s">
        <v>101</v>
      </c>
      <c r="C474" s="265" t="s">
        <v>10221</v>
      </c>
      <c r="D474" s="320" t="s">
        <v>10228</v>
      </c>
      <c r="E474" s="340" t="s">
        <v>6674</v>
      </c>
      <c r="F474" s="773">
        <v>2.0</v>
      </c>
      <c r="G474" s="773">
        <v>352.0</v>
      </c>
      <c r="H474" s="578">
        <f t="shared" si="27"/>
        <v>704</v>
      </c>
      <c r="I474" s="256" t="s">
        <v>3474</v>
      </c>
      <c r="J474" s="333" t="s">
        <v>6027</v>
      </c>
      <c r="K474" s="832">
        <v>42646.0</v>
      </c>
      <c r="L474" s="832">
        <v>42632.0</v>
      </c>
      <c r="M474" s="333" t="s">
        <v>10233</v>
      </c>
      <c r="N474" s="265" t="s">
        <v>10234</v>
      </c>
      <c r="O474" s="773"/>
      <c r="P474" s="320">
        <v>18883.0</v>
      </c>
      <c r="Q474" s="320" t="s">
        <v>3916</v>
      </c>
      <c r="R474" s="388"/>
      <c r="S474" s="1145">
        <v>42626.0</v>
      </c>
      <c r="T474" s="1132">
        <v>42627.0</v>
      </c>
      <c r="U474" s="265" t="s">
        <v>10235</v>
      </c>
      <c r="V474" s="1135">
        <v>18883.0</v>
      </c>
      <c r="W474" s="832">
        <v>42626.0</v>
      </c>
      <c r="X474" s="265" t="s">
        <v>10226</v>
      </c>
      <c r="Y474" s="1141"/>
      <c r="Z474" s="1152"/>
      <c r="AA474" s="1141"/>
      <c r="AB474" s="388" t="s">
        <v>284</v>
      </c>
    </row>
    <row r="475" ht="15.75" customHeight="1">
      <c r="A475" s="776">
        <v>42621.0</v>
      </c>
      <c r="B475" s="340" t="s">
        <v>101</v>
      </c>
      <c r="C475" s="265" t="s">
        <v>10221</v>
      </c>
      <c r="D475" s="320" t="s">
        <v>10228</v>
      </c>
      <c r="E475" s="340" t="s">
        <v>10236</v>
      </c>
      <c r="F475" s="773">
        <v>2.0</v>
      </c>
      <c r="G475" s="773">
        <v>40.0</v>
      </c>
      <c r="H475" s="578">
        <f t="shared" si="27"/>
        <v>80</v>
      </c>
      <c r="I475" s="256" t="s">
        <v>3474</v>
      </c>
      <c r="J475" s="333" t="s">
        <v>6027</v>
      </c>
      <c r="K475" s="832">
        <v>42646.0</v>
      </c>
      <c r="L475" s="832">
        <v>42635.0</v>
      </c>
      <c r="M475" s="333" t="s">
        <v>7505</v>
      </c>
      <c r="N475" s="388" t="s">
        <v>3717</v>
      </c>
      <c r="O475" s="773"/>
      <c r="P475" s="388"/>
      <c r="Q475" s="320"/>
      <c r="R475" s="388" t="s">
        <v>10237</v>
      </c>
      <c r="S475" s="1139"/>
      <c r="T475" s="388" t="s">
        <v>10237</v>
      </c>
      <c r="U475" s="388" t="s">
        <v>10237</v>
      </c>
      <c r="V475" s="388" t="s">
        <v>10237</v>
      </c>
      <c r="W475" s="832"/>
      <c r="X475" s="265" t="s">
        <v>10226</v>
      </c>
      <c r="Y475" s="1141"/>
      <c r="Z475" s="1152"/>
      <c r="AA475" s="1141"/>
      <c r="AB475" s="388" t="s">
        <v>284</v>
      </c>
    </row>
    <row r="476" ht="15.75" customHeight="1">
      <c r="A476" s="776">
        <v>42621.0</v>
      </c>
      <c r="B476" s="340" t="s">
        <v>101</v>
      </c>
      <c r="C476" s="265" t="s">
        <v>10238</v>
      </c>
      <c r="D476" s="320" t="s">
        <v>10239</v>
      </c>
      <c r="E476" s="340" t="s">
        <v>3567</v>
      </c>
      <c r="F476" s="773">
        <v>6.0</v>
      </c>
      <c r="G476" s="773">
        <v>80.0</v>
      </c>
      <c r="H476" s="578">
        <f t="shared" si="27"/>
        <v>480</v>
      </c>
      <c r="I476" s="256" t="s">
        <v>3474</v>
      </c>
      <c r="J476" s="333" t="s">
        <v>10240</v>
      </c>
      <c r="K476" s="832">
        <v>42660.0</v>
      </c>
      <c r="L476" s="832">
        <v>42655.0</v>
      </c>
      <c r="M476" s="333" t="s">
        <v>2034</v>
      </c>
      <c r="N476" s="265" t="s">
        <v>10241</v>
      </c>
      <c r="O476" s="773"/>
      <c r="P476" s="320">
        <v>15120.0</v>
      </c>
      <c r="Q476" s="320" t="s">
        <v>2036</v>
      </c>
      <c r="R476" s="388"/>
      <c r="S476" s="1145">
        <v>42709.0</v>
      </c>
      <c r="T476" s="1132">
        <v>42655.0</v>
      </c>
      <c r="U476" s="265" t="s">
        <v>10242</v>
      </c>
      <c r="V476" s="1135">
        <v>48983.0</v>
      </c>
      <c r="W476" s="832">
        <v>42709.0</v>
      </c>
      <c r="X476" s="320" t="s">
        <v>10243</v>
      </c>
      <c r="Y476" s="1141"/>
      <c r="Z476" s="1152"/>
      <c r="AA476" s="1141"/>
      <c r="AB476" s="388" t="s">
        <v>284</v>
      </c>
    </row>
    <row r="477" ht="15.75" customHeight="1">
      <c r="A477" s="776">
        <v>42621.0</v>
      </c>
      <c r="B477" s="340" t="s">
        <v>101</v>
      </c>
      <c r="C477" s="265" t="s">
        <v>10238</v>
      </c>
      <c r="D477" s="320" t="s">
        <v>10239</v>
      </c>
      <c r="E477" s="340" t="s">
        <v>3573</v>
      </c>
      <c r="F477" s="773">
        <v>6.0</v>
      </c>
      <c r="G477" s="773">
        <v>60.0</v>
      </c>
      <c r="H477" s="578">
        <f t="shared" si="27"/>
        <v>360</v>
      </c>
      <c r="I477" s="256" t="s">
        <v>3474</v>
      </c>
      <c r="J477" s="333" t="s">
        <v>10240</v>
      </c>
      <c r="K477" s="832">
        <v>42660.0</v>
      </c>
      <c r="L477" s="832">
        <v>42655.0</v>
      </c>
      <c r="M477" s="333" t="s">
        <v>2034</v>
      </c>
      <c r="N477" s="265" t="s">
        <v>10241</v>
      </c>
      <c r="O477" s="773"/>
      <c r="P477" s="320">
        <v>11340.0</v>
      </c>
      <c r="Q477" s="320" t="s">
        <v>2036</v>
      </c>
      <c r="R477" s="388"/>
      <c r="S477" s="1145">
        <v>42709.0</v>
      </c>
      <c r="T477" s="1132">
        <v>42655.0</v>
      </c>
      <c r="U477" s="265" t="s">
        <v>10242</v>
      </c>
      <c r="V477" s="1135" t="s">
        <v>10244</v>
      </c>
      <c r="W477" s="832">
        <v>42709.0</v>
      </c>
      <c r="X477" s="320" t="s">
        <v>10243</v>
      </c>
      <c r="Y477" s="1141"/>
      <c r="Z477" s="1152"/>
      <c r="AA477" s="1141"/>
      <c r="AB477" s="388" t="s">
        <v>284</v>
      </c>
    </row>
    <row r="478" ht="15.75" customHeight="1">
      <c r="A478" s="776">
        <v>42621.0</v>
      </c>
      <c r="B478" s="340" t="s">
        <v>101</v>
      </c>
      <c r="C478" s="265" t="s">
        <v>10238</v>
      </c>
      <c r="D478" s="320" t="s">
        <v>10239</v>
      </c>
      <c r="E478" s="340" t="s">
        <v>3575</v>
      </c>
      <c r="F478" s="773">
        <v>6.0</v>
      </c>
      <c r="G478" s="773">
        <v>116.0</v>
      </c>
      <c r="H478" s="578">
        <f t="shared" si="27"/>
        <v>696</v>
      </c>
      <c r="I478" s="256" t="s">
        <v>3474</v>
      </c>
      <c r="J478" s="333" t="s">
        <v>10240</v>
      </c>
      <c r="K478" s="832">
        <v>42660.0</v>
      </c>
      <c r="L478" s="832">
        <v>42655.0</v>
      </c>
      <c r="M478" s="333" t="s">
        <v>2034</v>
      </c>
      <c r="N478" s="265" t="s">
        <v>10241</v>
      </c>
      <c r="O478" s="773"/>
      <c r="P478" s="320">
        <v>22050.0</v>
      </c>
      <c r="Q478" s="320" t="s">
        <v>2036</v>
      </c>
      <c r="R478" s="388"/>
      <c r="S478" s="1145">
        <v>42709.0</v>
      </c>
      <c r="T478" s="1132">
        <v>42655.0</v>
      </c>
      <c r="U478" s="265" t="s">
        <v>10242</v>
      </c>
      <c r="V478" s="1135" t="s">
        <v>10244</v>
      </c>
      <c r="W478" s="832">
        <v>42709.0</v>
      </c>
      <c r="X478" s="320" t="s">
        <v>10243</v>
      </c>
      <c r="Y478" s="1141"/>
      <c r="Z478" s="1152"/>
      <c r="AA478" s="1141"/>
      <c r="AB478" s="388" t="s">
        <v>284</v>
      </c>
    </row>
    <row r="479" ht="15.75" customHeight="1">
      <c r="A479" s="776">
        <v>42621.0</v>
      </c>
      <c r="B479" s="340" t="s">
        <v>101</v>
      </c>
      <c r="C479" s="265" t="s">
        <v>10238</v>
      </c>
      <c r="D479" s="320" t="s">
        <v>10239</v>
      </c>
      <c r="E479" s="340" t="s">
        <v>3576</v>
      </c>
      <c r="F479" s="773">
        <v>6.0</v>
      </c>
      <c r="G479" s="773">
        <v>2.0</v>
      </c>
      <c r="H479" s="578">
        <f t="shared" si="27"/>
        <v>12</v>
      </c>
      <c r="I479" s="256" t="s">
        <v>3474</v>
      </c>
      <c r="J479" s="333" t="s">
        <v>10240</v>
      </c>
      <c r="K479" s="832">
        <v>42660.0</v>
      </c>
      <c r="L479" s="388"/>
      <c r="M479" s="333"/>
      <c r="N479" s="265" t="s">
        <v>6724</v>
      </c>
      <c r="O479" s="773"/>
      <c r="P479" s="388"/>
      <c r="Q479" s="320"/>
      <c r="R479" s="265" t="s">
        <v>6724</v>
      </c>
      <c r="S479" s="1139"/>
      <c r="T479" s="265" t="s">
        <v>6724</v>
      </c>
      <c r="U479" s="265" t="s">
        <v>6724</v>
      </c>
      <c r="V479" s="265" t="s">
        <v>6724</v>
      </c>
      <c r="W479" s="832"/>
      <c r="X479" s="320" t="s">
        <v>10243</v>
      </c>
      <c r="Y479" s="1141"/>
      <c r="Z479" s="1152"/>
      <c r="AA479" s="1141"/>
      <c r="AB479" s="388" t="s">
        <v>284</v>
      </c>
    </row>
    <row r="480" ht="15.75" customHeight="1">
      <c r="A480" s="776">
        <v>42621.0</v>
      </c>
      <c r="B480" s="340" t="s">
        <v>101</v>
      </c>
      <c r="C480" s="265" t="s">
        <v>10238</v>
      </c>
      <c r="D480" s="320" t="s">
        <v>10239</v>
      </c>
      <c r="E480" s="340" t="s">
        <v>3578</v>
      </c>
      <c r="F480" s="773">
        <v>6.0</v>
      </c>
      <c r="G480" s="773">
        <v>2.5</v>
      </c>
      <c r="H480" s="578">
        <f t="shared" si="27"/>
        <v>15</v>
      </c>
      <c r="I480" s="256" t="s">
        <v>3474</v>
      </c>
      <c r="J480" s="333" t="s">
        <v>10240</v>
      </c>
      <c r="K480" s="832">
        <v>42660.0</v>
      </c>
      <c r="L480" s="388"/>
      <c r="M480" s="333"/>
      <c r="N480" s="265" t="s">
        <v>6727</v>
      </c>
      <c r="O480" s="773"/>
      <c r="P480" s="388"/>
      <c r="Q480" s="320"/>
      <c r="R480" s="388" t="s">
        <v>6727</v>
      </c>
      <c r="S480" s="1139"/>
      <c r="T480" s="388" t="s">
        <v>6727</v>
      </c>
      <c r="U480" s="388" t="s">
        <v>6727</v>
      </c>
      <c r="V480" s="388" t="s">
        <v>6727</v>
      </c>
      <c r="W480" s="832"/>
      <c r="X480" s="320" t="s">
        <v>10243</v>
      </c>
      <c r="Y480" s="1141"/>
      <c r="Z480" s="1152"/>
      <c r="AA480" s="1141"/>
      <c r="AB480" s="388" t="s">
        <v>284</v>
      </c>
    </row>
    <row r="481" ht="15.75" customHeight="1">
      <c r="A481" s="776">
        <v>42621.0</v>
      </c>
      <c r="B481" s="340" t="s">
        <v>101</v>
      </c>
      <c r="C481" s="265" t="s">
        <v>10238</v>
      </c>
      <c r="D481" s="320" t="s">
        <v>10239</v>
      </c>
      <c r="E481" s="340" t="s">
        <v>3580</v>
      </c>
      <c r="F481" s="773">
        <v>6.0</v>
      </c>
      <c r="G481" s="773">
        <v>4.0</v>
      </c>
      <c r="H481" s="578">
        <f t="shared" si="27"/>
        <v>24</v>
      </c>
      <c r="I481" s="256" t="s">
        <v>3474</v>
      </c>
      <c r="J481" s="333" t="s">
        <v>10240</v>
      </c>
      <c r="K481" s="832">
        <v>42660.0</v>
      </c>
      <c r="L481" s="832">
        <v>42655.0</v>
      </c>
      <c r="M481" s="333" t="s">
        <v>2034</v>
      </c>
      <c r="N481" s="265" t="s">
        <v>10241</v>
      </c>
      <c r="O481" s="773"/>
      <c r="P481" s="320">
        <v>473.0</v>
      </c>
      <c r="Q481" s="320" t="s">
        <v>2036</v>
      </c>
      <c r="R481" s="388"/>
      <c r="S481" s="1145">
        <v>42709.0</v>
      </c>
      <c r="T481" s="1132">
        <v>42655.0</v>
      </c>
      <c r="U481" s="265" t="s">
        <v>10242</v>
      </c>
      <c r="V481" s="1135" t="s">
        <v>10244</v>
      </c>
      <c r="W481" s="832">
        <v>42709.0</v>
      </c>
      <c r="X481" s="320" t="s">
        <v>10243</v>
      </c>
      <c r="Y481" s="1141"/>
      <c r="Z481" s="1152"/>
      <c r="AA481" s="1141"/>
      <c r="AB481" s="388" t="s">
        <v>284</v>
      </c>
    </row>
    <row r="482" ht="15.75" customHeight="1">
      <c r="A482" s="776">
        <v>42621.0</v>
      </c>
      <c r="B482" s="340" t="s">
        <v>101</v>
      </c>
      <c r="C482" s="265" t="s">
        <v>10238</v>
      </c>
      <c r="D482" s="320" t="s">
        <v>10239</v>
      </c>
      <c r="E482" s="340" t="s">
        <v>3581</v>
      </c>
      <c r="F482" s="773">
        <v>6.0</v>
      </c>
      <c r="G482" s="773">
        <v>8.0</v>
      </c>
      <c r="H482" s="578">
        <f t="shared" si="27"/>
        <v>48</v>
      </c>
      <c r="I482" s="256" t="s">
        <v>3474</v>
      </c>
      <c r="J482" s="333" t="s">
        <v>10240</v>
      </c>
      <c r="K482" s="832">
        <v>42660.0</v>
      </c>
      <c r="L482" s="832">
        <v>42657.0</v>
      </c>
      <c r="M482" s="333" t="s">
        <v>9183</v>
      </c>
      <c r="N482" s="265"/>
      <c r="O482" s="773"/>
      <c r="P482" s="1178"/>
      <c r="Q482" s="320" t="s">
        <v>9711</v>
      </c>
      <c r="R482" s="388"/>
      <c r="S482" s="1139"/>
      <c r="T482" s="265" t="s">
        <v>5701</v>
      </c>
      <c r="U482" s="265" t="s">
        <v>5701</v>
      </c>
      <c r="V482" s="265" t="s">
        <v>5701</v>
      </c>
      <c r="W482" s="832"/>
      <c r="X482" s="320" t="s">
        <v>10243</v>
      </c>
      <c r="Y482" s="1140"/>
      <c r="Z482" s="1140"/>
      <c r="AA482" s="1140"/>
      <c r="AB482" s="388" t="s">
        <v>284</v>
      </c>
    </row>
    <row r="483" ht="15.75" customHeight="1">
      <c r="A483" s="776">
        <v>42621.0</v>
      </c>
      <c r="B483" s="340" t="s">
        <v>101</v>
      </c>
      <c r="C483" s="265" t="s">
        <v>10238</v>
      </c>
      <c r="D483" s="320" t="s">
        <v>10239</v>
      </c>
      <c r="E483" s="340" t="s">
        <v>10245</v>
      </c>
      <c r="F483" s="388">
        <v>1.0</v>
      </c>
      <c r="G483" s="388">
        <v>786.0</v>
      </c>
      <c r="H483" s="578">
        <f t="shared" si="27"/>
        <v>786</v>
      </c>
      <c r="I483" s="256" t="s">
        <v>3474</v>
      </c>
      <c r="J483" s="333" t="s">
        <v>10240</v>
      </c>
      <c r="K483" s="832">
        <v>42660.0</v>
      </c>
      <c r="L483" s="1142"/>
      <c r="M483" s="592" t="s">
        <v>10246</v>
      </c>
      <c r="N483" s="388"/>
      <c r="O483" s="388"/>
      <c r="P483" s="1088">
        <v>21001.0</v>
      </c>
      <c r="Q483" s="320" t="s">
        <v>10247</v>
      </c>
      <c r="R483" s="388"/>
      <c r="S483" s="1145">
        <v>42679.0</v>
      </c>
      <c r="T483" s="1132">
        <v>42667.0</v>
      </c>
      <c r="U483" s="320" t="s">
        <v>10248</v>
      </c>
      <c r="V483" s="1135">
        <v>21001.0</v>
      </c>
      <c r="W483" s="1148">
        <v>42678.0</v>
      </c>
      <c r="X483" s="320" t="s">
        <v>10243</v>
      </c>
      <c r="Y483" s="388"/>
      <c r="Z483" s="388"/>
      <c r="AA483" s="388"/>
      <c r="AB483" s="388" t="s">
        <v>284</v>
      </c>
    </row>
    <row r="484" ht="15.75" customHeight="1">
      <c r="A484" s="776">
        <v>42621.0</v>
      </c>
      <c r="B484" s="340" t="s">
        <v>9000</v>
      </c>
      <c r="C484" s="265">
        <v>7.000123957E9</v>
      </c>
      <c r="D484" s="320" t="s">
        <v>10249</v>
      </c>
      <c r="E484" s="340" t="s">
        <v>10250</v>
      </c>
      <c r="F484" s="773">
        <v>1.0</v>
      </c>
      <c r="G484" s="773">
        <v>485.0</v>
      </c>
      <c r="H484" s="578">
        <f t="shared" si="27"/>
        <v>485</v>
      </c>
      <c r="I484" s="256" t="s">
        <v>43</v>
      </c>
      <c r="J484" s="777" t="s">
        <v>3623</v>
      </c>
      <c r="K484" s="832">
        <v>42646.0</v>
      </c>
      <c r="L484" s="832">
        <v>42642.0</v>
      </c>
      <c r="M484" s="592" t="s">
        <v>3593</v>
      </c>
      <c r="N484" s="388" t="s">
        <v>10251</v>
      </c>
      <c r="O484" s="388"/>
      <c r="P484" s="320">
        <v>14163.0</v>
      </c>
      <c r="Q484" s="320" t="s">
        <v>6122</v>
      </c>
      <c r="R484" s="388"/>
      <c r="S484" s="1145">
        <v>42679.0</v>
      </c>
      <c r="T484" s="1144">
        <v>42639.0</v>
      </c>
      <c r="U484" s="388" t="s">
        <v>10252</v>
      </c>
      <c r="V484" s="845">
        <v>14163.0</v>
      </c>
      <c r="W484" s="832">
        <v>42678.0</v>
      </c>
      <c r="X484" s="320" t="s">
        <v>10253</v>
      </c>
      <c r="Y484" s="388"/>
      <c r="Z484" s="388"/>
      <c r="AA484" s="388"/>
      <c r="AB484" s="388" t="s">
        <v>284</v>
      </c>
    </row>
    <row r="485" ht="15.75" customHeight="1">
      <c r="A485" s="764">
        <v>42626.0</v>
      </c>
      <c r="B485" s="340" t="s">
        <v>326</v>
      </c>
      <c r="C485" s="1004">
        <v>1604655.0</v>
      </c>
      <c r="D485" s="388" t="s">
        <v>10254</v>
      </c>
      <c r="E485" s="578" t="s">
        <v>8930</v>
      </c>
      <c r="F485" s="773">
        <v>3.0</v>
      </c>
      <c r="G485" s="388">
        <v>607.0</v>
      </c>
      <c r="H485" s="578">
        <f t="shared" si="27"/>
        <v>1821</v>
      </c>
      <c r="I485" s="256" t="s">
        <v>3474</v>
      </c>
      <c r="J485" s="333" t="s">
        <v>3774</v>
      </c>
      <c r="K485" s="832">
        <v>42639.0</v>
      </c>
      <c r="L485" s="832">
        <v>42642.0</v>
      </c>
      <c r="M485" s="592" t="s">
        <v>9786</v>
      </c>
      <c r="N485" s="388" t="s">
        <v>10255</v>
      </c>
      <c r="O485" s="320">
        <v>1779.75</v>
      </c>
      <c r="P485" s="320">
        <v>55938.0</v>
      </c>
      <c r="Q485" s="388" t="s">
        <v>6376</v>
      </c>
      <c r="R485" s="388"/>
      <c r="S485" s="1145">
        <v>42672.0</v>
      </c>
      <c r="T485" s="1144">
        <v>42635.0</v>
      </c>
      <c r="U485" s="388" t="s">
        <v>10256</v>
      </c>
      <c r="V485" s="845">
        <v>97355.0</v>
      </c>
      <c r="W485" s="1148">
        <v>42671.0</v>
      </c>
      <c r="X485" s="320" t="s">
        <v>10257</v>
      </c>
      <c r="Y485" s="388"/>
      <c r="Z485" s="388"/>
      <c r="AA485" s="388"/>
      <c r="AB485" s="388" t="s">
        <v>284</v>
      </c>
    </row>
    <row r="486" ht="15.75" customHeight="1">
      <c r="A486" s="764">
        <v>42626.0</v>
      </c>
      <c r="B486" s="340" t="s">
        <v>326</v>
      </c>
      <c r="C486" s="1004">
        <v>1604655.0</v>
      </c>
      <c r="D486" s="388" t="s">
        <v>10254</v>
      </c>
      <c r="E486" s="578" t="s">
        <v>4419</v>
      </c>
      <c r="F486" s="773">
        <v>3.0</v>
      </c>
      <c r="G486" s="388">
        <v>27.0</v>
      </c>
      <c r="H486" s="578">
        <f t="shared" si="27"/>
        <v>81</v>
      </c>
      <c r="I486" s="256" t="s">
        <v>3474</v>
      </c>
      <c r="J486" s="333" t="s">
        <v>3774</v>
      </c>
      <c r="K486" s="832">
        <v>42639.0</v>
      </c>
      <c r="L486" s="832">
        <v>42642.0</v>
      </c>
      <c r="M486" s="592" t="s">
        <v>9786</v>
      </c>
      <c r="N486" s="388" t="s">
        <v>10255</v>
      </c>
      <c r="O486" s="320">
        <v>78.75</v>
      </c>
      <c r="P486" s="320">
        <v>2475.0</v>
      </c>
      <c r="Q486" s="388" t="s">
        <v>6376</v>
      </c>
      <c r="R486" s="388"/>
      <c r="S486" s="1145">
        <v>42672.0</v>
      </c>
      <c r="T486" s="1144">
        <v>42635.0</v>
      </c>
      <c r="U486" s="388" t="s">
        <v>10256</v>
      </c>
      <c r="V486" s="592" t="s">
        <v>10258</v>
      </c>
      <c r="W486" s="1148">
        <v>42671.0</v>
      </c>
      <c r="X486" s="320" t="s">
        <v>10257</v>
      </c>
      <c r="Y486" s="388"/>
      <c r="Z486" s="388"/>
      <c r="AA486" s="388"/>
      <c r="AB486" s="388" t="s">
        <v>284</v>
      </c>
    </row>
    <row r="487" ht="15.75" customHeight="1">
      <c r="A487" s="764">
        <v>42626.0</v>
      </c>
      <c r="B487" s="340" t="s">
        <v>326</v>
      </c>
      <c r="C487" s="1004">
        <v>1605195.0</v>
      </c>
      <c r="D487" s="388" t="s">
        <v>10259</v>
      </c>
      <c r="E487" s="578" t="s">
        <v>8930</v>
      </c>
      <c r="F487" s="388">
        <v>2.0</v>
      </c>
      <c r="G487" s="388">
        <v>607.0</v>
      </c>
      <c r="H487" s="578">
        <f t="shared" si="27"/>
        <v>1214</v>
      </c>
      <c r="I487" s="256" t="s">
        <v>3474</v>
      </c>
      <c r="J487" s="333" t="s">
        <v>3774</v>
      </c>
      <c r="K487" s="832">
        <v>42639.0</v>
      </c>
      <c r="L487" s="832">
        <v>42642.0</v>
      </c>
      <c r="M487" s="592" t="s">
        <v>9786</v>
      </c>
      <c r="N487" s="388" t="s">
        <v>10255</v>
      </c>
      <c r="O487" s="320">
        <v>1186.5</v>
      </c>
      <c r="P487" s="320">
        <v>37292.0</v>
      </c>
      <c r="Q487" s="388" t="s">
        <v>6376</v>
      </c>
      <c r="R487" s="388"/>
      <c r="S487" s="1145">
        <v>42672.0</v>
      </c>
      <c r="T487" s="1144">
        <v>42635.0</v>
      </c>
      <c r="U487" s="388" t="s">
        <v>10256</v>
      </c>
      <c r="V487" s="592" t="s">
        <v>10258</v>
      </c>
      <c r="W487" s="1148">
        <v>42671.0</v>
      </c>
      <c r="X487" s="320" t="s">
        <v>10257</v>
      </c>
      <c r="Y487" s="388"/>
      <c r="Z487" s="388"/>
      <c r="AA487" s="388"/>
      <c r="AB487" s="388" t="s">
        <v>284</v>
      </c>
    </row>
    <row r="488" ht="15.75" customHeight="1">
      <c r="A488" s="764">
        <v>42626.0</v>
      </c>
      <c r="B488" s="340" t="s">
        <v>326</v>
      </c>
      <c r="C488" s="1004">
        <v>1605195.0</v>
      </c>
      <c r="D488" s="388" t="s">
        <v>10259</v>
      </c>
      <c r="E488" s="578" t="s">
        <v>4419</v>
      </c>
      <c r="F488" s="388">
        <v>2.0</v>
      </c>
      <c r="G488" s="388">
        <v>27.0</v>
      </c>
      <c r="H488" s="578">
        <f t="shared" si="27"/>
        <v>54</v>
      </c>
      <c r="I488" s="256" t="s">
        <v>3474</v>
      </c>
      <c r="J488" s="333" t="s">
        <v>3774</v>
      </c>
      <c r="K488" s="832">
        <v>42639.0</v>
      </c>
      <c r="L488" s="832">
        <v>42642.0</v>
      </c>
      <c r="M488" s="592" t="s">
        <v>9786</v>
      </c>
      <c r="N488" s="388" t="s">
        <v>10255</v>
      </c>
      <c r="O488" s="320">
        <v>52.5</v>
      </c>
      <c r="P488" s="320">
        <v>1650.0</v>
      </c>
      <c r="Q488" s="388" t="s">
        <v>6376</v>
      </c>
      <c r="R488" s="388"/>
      <c r="S488" s="1145">
        <v>42672.0</v>
      </c>
      <c r="T488" s="1144">
        <v>42635.0</v>
      </c>
      <c r="U488" s="388" t="s">
        <v>10256</v>
      </c>
      <c r="V488" s="592" t="s">
        <v>10258</v>
      </c>
      <c r="W488" s="1148">
        <v>42671.0</v>
      </c>
      <c r="X488" s="320" t="s">
        <v>10257</v>
      </c>
      <c r="Y488" s="388"/>
      <c r="Z488" s="388"/>
      <c r="AA488" s="388"/>
      <c r="AB488" s="388" t="s">
        <v>284</v>
      </c>
    </row>
    <row r="489" ht="15.75" customHeight="1">
      <c r="A489" s="776">
        <v>42565.0</v>
      </c>
      <c r="B489" s="340" t="s">
        <v>101</v>
      </c>
      <c r="C489" s="265" t="s">
        <v>9962</v>
      </c>
      <c r="D489" s="320" t="s">
        <v>9963</v>
      </c>
      <c r="E489" s="340" t="s">
        <v>10260</v>
      </c>
      <c r="F489" s="773">
        <v>5.0</v>
      </c>
      <c r="G489" s="773">
        <v>1085.0</v>
      </c>
      <c r="H489" s="267">
        <f t="shared" si="27"/>
        <v>5425</v>
      </c>
      <c r="I489" s="256" t="s">
        <v>3474</v>
      </c>
      <c r="J489" s="333" t="s">
        <v>6027</v>
      </c>
      <c r="K489" s="832">
        <v>42586.0</v>
      </c>
      <c r="L489" s="832">
        <v>42585.0</v>
      </c>
      <c r="M489" s="333" t="s">
        <v>1439</v>
      </c>
      <c r="N489" s="265" t="s">
        <v>10261</v>
      </c>
      <c r="O489" s="773"/>
      <c r="P489" s="1088">
        <v>160440.0</v>
      </c>
      <c r="Q489" s="388" t="s">
        <v>1976</v>
      </c>
      <c r="R489" s="388"/>
      <c r="S489" s="1145">
        <v>42618.0</v>
      </c>
      <c r="T489" s="1132">
        <v>42584.0</v>
      </c>
      <c r="U489" s="265" t="s">
        <v>10262</v>
      </c>
      <c r="V489" s="1135">
        <v>160440.0</v>
      </c>
      <c r="W489" s="832">
        <v>42619.0</v>
      </c>
      <c r="X489" s="320" t="s">
        <v>9966</v>
      </c>
      <c r="Y489" s="1141"/>
      <c r="Z489" s="1152"/>
      <c r="AA489" s="1141"/>
      <c r="AB489" s="388" t="s">
        <v>284</v>
      </c>
    </row>
    <row r="490" ht="15.75" customHeight="1">
      <c r="A490" s="764">
        <v>42627.0</v>
      </c>
      <c r="B490" s="340" t="s">
        <v>9000</v>
      </c>
      <c r="C490" s="1004">
        <v>7.000124043E9</v>
      </c>
      <c r="D490" s="388" t="s">
        <v>10263</v>
      </c>
      <c r="E490" s="388" t="s">
        <v>10264</v>
      </c>
      <c r="F490" s="388">
        <v>1.0</v>
      </c>
      <c r="G490" s="773">
        <v>84.0</v>
      </c>
      <c r="H490" s="578">
        <f t="shared" si="27"/>
        <v>84</v>
      </c>
      <c r="I490" s="256" t="s">
        <v>43</v>
      </c>
      <c r="J490" s="777" t="s">
        <v>3623</v>
      </c>
      <c r="K490" s="832">
        <v>42646.0</v>
      </c>
      <c r="L490" s="832">
        <v>42643.0</v>
      </c>
      <c r="M490" s="333" t="s">
        <v>6120</v>
      </c>
      <c r="N490" s="388" t="s">
        <v>10265</v>
      </c>
      <c r="O490" s="388"/>
      <c r="P490" s="320">
        <v>2273.0</v>
      </c>
      <c r="Q490" s="320" t="s">
        <v>6122</v>
      </c>
      <c r="R490" s="388"/>
      <c r="S490" s="1145">
        <v>42679.0</v>
      </c>
      <c r="T490" s="1144">
        <v>42642.0</v>
      </c>
      <c r="U490" s="388" t="s">
        <v>10266</v>
      </c>
      <c r="V490" s="845">
        <v>28716.0</v>
      </c>
      <c r="W490" s="832">
        <v>42678.0</v>
      </c>
      <c r="X490" s="320" t="s">
        <v>10253</v>
      </c>
      <c r="Y490" s="388"/>
      <c r="Z490" s="388"/>
      <c r="AA490" s="388"/>
      <c r="AB490" s="388" t="s">
        <v>284</v>
      </c>
    </row>
    <row r="491" ht="15.75" customHeight="1">
      <c r="A491" s="764">
        <v>42627.0</v>
      </c>
      <c r="B491" s="340" t="s">
        <v>9000</v>
      </c>
      <c r="C491" s="1004">
        <v>7.000124043E9</v>
      </c>
      <c r="D491" s="388" t="s">
        <v>10263</v>
      </c>
      <c r="E491" s="388" t="s">
        <v>10267</v>
      </c>
      <c r="F491" s="388">
        <v>1.0</v>
      </c>
      <c r="G491" s="773">
        <v>119.0</v>
      </c>
      <c r="H491" s="578">
        <f t="shared" si="27"/>
        <v>119</v>
      </c>
      <c r="I491" s="256" t="s">
        <v>43</v>
      </c>
      <c r="J491" s="777" t="s">
        <v>3623</v>
      </c>
      <c r="K491" s="832">
        <v>42646.0</v>
      </c>
      <c r="L491" s="832">
        <v>42643.0</v>
      </c>
      <c r="M491" s="333" t="s">
        <v>6120</v>
      </c>
      <c r="N491" s="388" t="s">
        <v>10265</v>
      </c>
      <c r="O491" s="388"/>
      <c r="P491" s="320">
        <v>3490.0</v>
      </c>
      <c r="Q491" s="320" t="s">
        <v>6122</v>
      </c>
      <c r="R491" s="388"/>
      <c r="S491" s="1145">
        <v>42679.0</v>
      </c>
      <c r="T491" s="1144">
        <v>42642.0</v>
      </c>
      <c r="U491" s="388" t="s">
        <v>10266</v>
      </c>
      <c r="V491" s="592" t="s">
        <v>10268</v>
      </c>
      <c r="W491" s="832">
        <v>42678.0</v>
      </c>
      <c r="X491" s="320" t="s">
        <v>10253</v>
      </c>
      <c r="Y491" s="388"/>
      <c r="Z491" s="388"/>
      <c r="AA491" s="388"/>
      <c r="AB491" s="388" t="s">
        <v>284</v>
      </c>
    </row>
    <row r="492" ht="15.75" customHeight="1">
      <c r="A492" s="764">
        <v>42627.0</v>
      </c>
      <c r="B492" s="340" t="s">
        <v>9000</v>
      </c>
      <c r="C492" s="1004">
        <v>7.000124043E9</v>
      </c>
      <c r="D492" s="388" t="s">
        <v>10263</v>
      </c>
      <c r="E492" s="1004">
        <v>1.702002605E9</v>
      </c>
      <c r="F492" s="388">
        <v>1.0</v>
      </c>
      <c r="G492" s="773">
        <v>3.0</v>
      </c>
      <c r="H492" s="578">
        <f t="shared" si="27"/>
        <v>3</v>
      </c>
      <c r="I492" s="256" t="s">
        <v>43</v>
      </c>
      <c r="J492" s="777" t="s">
        <v>3623</v>
      </c>
      <c r="K492" s="832">
        <v>42646.0</v>
      </c>
      <c r="L492" s="832">
        <v>42643.0</v>
      </c>
      <c r="M492" s="333" t="s">
        <v>6120</v>
      </c>
      <c r="N492" s="388" t="s">
        <v>10265</v>
      </c>
      <c r="O492" s="388"/>
      <c r="P492" s="320">
        <v>63.0</v>
      </c>
      <c r="Q492" s="320" t="s">
        <v>6122</v>
      </c>
      <c r="R492" s="388"/>
      <c r="S492" s="1145">
        <v>42679.0</v>
      </c>
      <c r="T492" s="1144">
        <v>42642.0</v>
      </c>
      <c r="U492" s="388" t="s">
        <v>10266</v>
      </c>
      <c r="V492" s="592" t="s">
        <v>10268</v>
      </c>
      <c r="W492" s="832">
        <v>42678.0</v>
      </c>
      <c r="X492" s="320" t="s">
        <v>10253</v>
      </c>
      <c r="Y492" s="388"/>
      <c r="Z492" s="388"/>
      <c r="AA492" s="388"/>
      <c r="AB492" s="388" t="s">
        <v>284</v>
      </c>
    </row>
    <row r="493" ht="15.75" customHeight="1">
      <c r="A493" s="764">
        <v>42627.0</v>
      </c>
      <c r="B493" s="340" t="s">
        <v>9000</v>
      </c>
      <c r="C493" s="1004">
        <v>7.000124043E9</v>
      </c>
      <c r="D493" s="388" t="s">
        <v>10263</v>
      </c>
      <c r="E493" s="388" t="s">
        <v>3671</v>
      </c>
      <c r="F493" s="388">
        <v>2.0</v>
      </c>
      <c r="G493" s="773">
        <v>141.0</v>
      </c>
      <c r="H493" s="578">
        <f t="shared" si="27"/>
        <v>282</v>
      </c>
      <c r="I493" s="256" t="s">
        <v>43</v>
      </c>
      <c r="J493" s="777" t="s">
        <v>3623</v>
      </c>
      <c r="K493" s="832">
        <v>42646.0</v>
      </c>
      <c r="L493" s="832">
        <v>42643.0</v>
      </c>
      <c r="M493" s="333" t="s">
        <v>6120</v>
      </c>
      <c r="N493" s="388" t="s">
        <v>10265</v>
      </c>
      <c r="O493" s="388"/>
      <c r="P493" s="320">
        <v>8234.0</v>
      </c>
      <c r="Q493" s="320" t="s">
        <v>6122</v>
      </c>
      <c r="R493" s="388"/>
      <c r="S493" s="1145">
        <v>42679.0</v>
      </c>
      <c r="T493" s="1144">
        <v>42642.0</v>
      </c>
      <c r="U493" s="388" t="s">
        <v>10266</v>
      </c>
      <c r="V493" s="592" t="s">
        <v>10268</v>
      </c>
      <c r="W493" s="832">
        <v>42678.0</v>
      </c>
      <c r="X493" s="320" t="s">
        <v>10253</v>
      </c>
      <c r="Y493" s="388"/>
      <c r="Z493" s="388"/>
      <c r="AA493" s="388"/>
      <c r="AB493" s="388" t="s">
        <v>284</v>
      </c>
    </row>
    <row r="494" ht="15.75" customHeight="1">
      <c r="A494" s="764">
        <v>42627.0</v>
      </c>
      <c r="B494" s="340" t="s">
        <v>9000</v>
      </c>
      <c r="C494" s="1004">
        <v>7.000124043E9</v>
      </c>
      <c r="D494" s="388" t="s">
        <v>10263</v>
      </c>
      <c r="E494" s="388" t="s">
        <v>6194</v>
      </c>
      <c r="F494" s="388">
        <v>2.0</v>
      </c>
      <c r="G494" s="773">
        <v>86.0</v>
      </c>
      <c r="H494" s="578">
        <f t="shared" si="27"/>
        <v>172</v>
      </c>
      <c r="I494" s="256" t="s">
        <v>43</v>
      </c>
      <c r="J494" s="777" t="s">
        <v>3623</v>
      </c>
      <c r="K494" s="832">
        <v>42646.0</v>
      </c>
      <c r="L494" s="832">
        <v>42643.0</v>
      </c>
      <c r="M494" s="333" t="s">
        <v>6120</v>
      </c>
      <c r="N494" s="388" t="s">
        <v>10265</v>
      </c>
      <c r="O494" s="388"/>
      <c r="P494" s="320">
        <v>5011.0</v>
      </c>
      <c r="Q494" s="320" t="s">
        <v>6122</v>
      </c>
      <c r="R494" s="388"/>
      <c r="S494" s="1145">
        <v>42679.0</v>
      </c>
      <c r="T494" s="1144">
        <v>42642.0</v>
      </c>
      <c r="U494" s="388" t="s">
        <v>10266</v>
      </c>
      <c r="V494" s="592" t="s">
        <v>10268</v>
      </c>
      <c r="W494" s="832">
        <v>42678.0</v>
      </c>
      <c r="X494" s="320" t="s">
        <v>10253</v>
      </c>
      <c r="Y494" s="388"/>
      <c r="Z494" s="388"/>
      <c r="AA494" s="388"/>
      <c r="AB494" s="388" t="s">
        <v>284</v>
      </c>
    </row>
    <row r="495" ht="15.75" customHeight="1">
      <c r="A495" s="764">
        <v>42627.0</v>
      </c>
      <c r="B495" s="340" t="s">
        <v>9000</v>
      </c>
      <c r="C495" s="1004">
        <v>7.000124043E9</v>
      </c>
      <c r="D495" s="388" t="s">
        <v>10263</v>
      </c>
      <c r="E495" s="388" t="s">
        <v>4657</v>
      </c>
      <c r="F495" s="388">
        <v>3.0</v>
      </c>
      <c r="G495" s="773">
        <v>110.0</v>
      </c>
      <c r="H495" s="578">
        <f t="shared" si="27"/>
        <v>330</v>
      </c>
      <c r="I495" s="256" t="s">
        <v>43</v>
      </c>
      <c r="J495" s="777" t="s">
        <v>3623</v>
      </c>
      <c r="K495" s="832">
        <v>42646.0</v>
      </c>
      <c r="L495" s="832">
        <v>42643.0</v>
      </c>
      <c r="M495" s="333" t="s">
        <v>6120</v>
      </c>
      <c r="N495" s="388" t="s">
        <v>10265</v>
      </c>
      <c r="O495" s="388"/>
      <c r="P495" s="320">
        <v>9645.0</v>
      </c>
      <c r="Q495" s="320" t="s">
        <v>6122</v>
      </c>
      <c r="R495" s="388"/>
      <c r="S495" s="1145">
        <v>42679.0</v>
      </c>
      <c r="T495" s="1144">
        <v>42642.0</v>
      </c>
      <c r="U495" s="388" t="s">
        <v>10266</v>
      </c>
      <c r="V495" s="592" t="s">
        <v>10268</v>
      </c>
      <c r="W495" s="832">
        <v>42678.0</v>
      </c>
      <c r="X495" s="320" t="s">
        <v>10253</v>
      </c>
      <c r="Y495" s="388"/>
      <c r="Z495" s="388"/>
      <c r="AA495" s="388"/>
      <c r="AB495" s="388" t="s">
        <v>284</v>
      </c>
    </row>
    <row r="496" ht="15.75" customHeight="1">
      <c r="A496" s="776">
        <v>42587.0</v>
      </c>
      <c r="B496" s="340" t="s">
        <v>101</v>
      </c>
      <c r="C496" s="265" t="s">
        <v>10094</v>
      </c>
      <c r="D496" s="320" t="s">
        <v>10095</v>
      </c>
      <c r="E496" s="340" t="s">
        <v>10260</v>
      </c>
      <c r="F496" s="773">
        <v>7.0</v>
      </c>
      <c r="G496" s="773">
        <v>1085.0</v>
      </c>
      <c r="H496" s="267">
        <f t="shared" si="27"/>
        <v>7595</v>
      </c>
      <c r="I496" s="256" t="s">
        <v>3474</v>
      </c>
      <c r="J496" s="333" t="s">
        <v>6027</v>
      </c>
      <c r="K496" s="832">
        <v>42608.0</v>
      </c>
      <c r="L496" s="832">
        <v>42605.0</v>
      </c>
      <c r="M496" s="333" t="s">
        <v>1439</v>
      </c>
      <c r="N496" s="265" t="s">
        <v>10269</v>
      </c>
      <c r="O496" s="773"/>
      <c r="P496" s="320">
        <v>221177.0</v>
      </c>
      <c r="Q496" s="320" t="s">
        <v>1976</v>
      </c>
      <c r="R496" s="388"/>
      <c r="S496" s="1145">
        <v>42618.0</v>
      </c>
      <c r="T496" s="1132">
        <v>42605.0</v>
      </c>
      <c r="U496" s="265" t="s">
        <v>10078</v>
      </c>
      <c r="V496" s="1135" t="s">
        <v>10086</v>
      </c>
      <c r="W496" s="832">
        <v>42619.0</v>
      </c>
      <c r="X496" s="320" t="s">
        <v>10079</v>
      </c>
      <c r="Y496" s="1141"/>
      <c r="Z496" s="1152"/>
      <c r="AA496" s="1141"/>
      <c r="AB496" s="388" t="s">
        <v>284</v>
      </c>
    </row>
    <row r="497" ht="15.75" customHeight="1">
      <c r="A497" s="764">
        <v>42632.0</v>
      </c>
      <c r="B497" s="340" t="s">
        <v>77</v>
      </c>
      <c r="C497" s="1004">
        <v>821.0</v>
      </c>
      <c r="D497" s="388" t="s">
        <v>10270</v>
      </c>
      <c r="E497" s="310" t="s">
        <v>6644</v>
      </c>
      <c r="F497" s="388">
        <v>50.0</v>
      </c>
      <c r="G497" s="388">
        <v>3.0</v>
      </c>
      <c r="H497" s="466">
        <f t="shared" si="27"/>
        <v>150</v>
      </c>
      <c r="I497" s="266" t="s">
        <v>171</v>
      </c>
      <c r="J497" s="269" t="s">
        <v>316</v>
      </c>
      <c r="K497" s="832">
        <v>42656.0</v>
      </c>
      <c r="L497" s="832">
        <v>42654.0</v>
      </c>
      <c r="M497" s="592" t="s">
        <v>3769</v>
      </c>
      <c r="N497" s="388" t="s">
        <v>3717</v>
      </c>
      <c r="O497" s="388"/>
      <c r="P497" s="388"/>
      <c r="Q497" s="320" t="s">
        <v>186</v>
      </c>
      <c r="R497" s="388" t="s">
        <v>10271</v>
      </c>
      <c r="S497" s="388"/>
      <c r="T497" s="252" t="s">
        <v>10271</v>
      </c>
      <c r="U497" s="252" t="s">
        <v>10271</v>
      </c>
      <c r="V497" s="252" t="s">
        <v>10271</v>
      </c>
      <c r="W497" s="592"/>
      <c r="X497" s="265" t="s">
        <v>10272</v>
      </c>
      <c r="Y497" s="388"/>
      <c r="Z497" s="388"/>
      <c r="AA497" s="388"/>
      <c r="AB497" s="388" t="s">
        <v>284</v>
      </c>
    </row>
    <row r="498" ht="15.75" customHeight="1">
      <c r="A498" s="764">
        <v>42632.0</v>
      </c>
      <c r="B498" s="340" t="s">
        <v>77</v>
      </c>
      <c r="C498" s="1004">
        <v>821.0</v>
      </c>
      <c r="D498" s="388" t="s">
        <v>10270</v>
      </c>
      <c r="E498" s="604" t="s">
        <v>8778</v>
      </c>
      <c r="F498" s="388">
        <v>50.0</v>
      </c>
      <c r="G498" s="388">
        <v>2.25</v>
      </c>
      <c r="H498" s="466">
        <f t="shared" si="27"/>
        <v>112.5</v>
      </c>
      <c r="I498" s="266" t="s">
        <v>171</v>
      </c>
      <c r="J498" s="269" t="s">
        <v>316</v>
      </c>
      <c r="K498" s="832">
        <v>42656.0</v>
      </c>
      <c r="L498" s="832">
        <v>42654.0</v>
      </c>
      <c r="M498" s="592" t="s">
        <v>3769</v>
      </c>
      <c r="N498" s="388" t="s">
        <v>3717</v>
      </c>
      <c r="O498" s="388"/>
      <c r="P498" s="388"/>
      <c r="Q498" s="320" t="s">
        <v>186</v>
      </c>
      <c r="R498" s="388" t="s">
        <v>10271</v>
      </c>
      <c r="S498" s="388"/>
      <c r="T498" s="252" t="s">
        <v>10271</v>
      </c>
      <c r="U498" s="252" t="s">
        <v>10271</v>
      </c>
      <c r="V498" s="252" t="s">
        <v>10271</v>
      </c>
      <c r="W498" s="592"/>
      <c r="X498" s="265" t="s">
        <v>10272</v>
      </c>
      <c r="Y498" s="388"/>
      <c r="Z498" s="388"/>
      <c r="AA498" s="388"/>
      <c r="AB498" s="388" t="s">
        <v>284</v>
      </c>
    </row>
    <row r="499" ht="15.75" customHeight="1">
      <c r="A499" s="764">
        <v>42632.0</v>
      </c>
      <c r="B499" s="340" t="s">
        <v>77</v>
      </c>
      <c r="C499" s="1004">
        <v>821.0</v>
      </c>
      <c r="D499" s="388" t="s">
        <v>10270</v>
      </c>
      <c r="E499" s="578" t="s">
        <v>10273</v>
      </c>
      <c r="F499" s="388">
        <v>50.0</v>
      </c>
      <c r="G499" s="388">
        <v>2.25</v>
      </c>
      <c r="H499" s="466">
        <f t="shared" si="27"/>
        <v>112.5</v>
      </c>
      <c r="I499" s="266" t="s">
        <v>171</v>
      </c>
      <c r="J499" s="269" t="s">
        <v>316</v>
      </c>
      <c r="K499" s="832">
        <v>42656.0</v>
      </c>
      <c r="L499" s="832">
        <v>42654.0</v>
      </c>
      <c r="M499" s="592" t="s">
        <v>3769</v>
      </c>
      <c r="N499" s="388" t="s">
        <v>3717</v>
      </c>
      <c r="O499" s="388"/>
      <c r="P499" s="388"/>
      <c r="Q499" s="320" t="s">
        <v>186</v>
      </c>
      <c r="R499" s="388" t="s">
        <v>10271</v>
      </c>
      <c r="S499" s="388"/>
      <c r="T499" s="252" t="s">
        <v>10271</v>
      </c>
      <c r="U499" s="252" t="s">
        <v>10271</v>
      </c>
      <c r="V499" s="252" t="s">
        <v>10271</v>
      </c>
      <c r="W499" s="592"/>
      <c r="X499" s="265" t="s">
        <v>10272</v>
      </c>
      <c r="Y499" s="388"/>
      <c r="Z499" s="388"/>
      <c r="AA499" s="388"/>
      <c r="AB499" s="388" t="s">
        <v>284</v>
      </c>
    </row>
    <row r="500" ht="15.75" customHeight="1">
      <c r="A500" s="776">
        <v>42632.0</v>
      </c>
      <c r="B500" s="599" t="s">
        <v>54</v>
      </c>
      <c r="C500" s="1004" t="s">
        <v>10274</v>
      </c>
      <c r="D500" s="310" t="s">
        <v>10275</v>
      </c>
      <c r="E500" s="578" t="s">
        <v>3793</v>
      </c>
      <c r="F500" s="331">
        <v>1.0</v>
      </c>
      <c r="G500" s="254">
        <v>150.15</v>
      </c>
      <c r="H500" s="578">
        <f t="shared" si="27"/>
        <v>150.15</v>
      </c>
      <c r="I500" s="266" t="s">
        <v>8675</v>
      </c>
      <c r="J500" s="403" t="s">
        <v>233</v>
      </c>
      <c r="K500" s="832">
        <v>42661.0</v>
      </c>
      <c r="L500" s="388"/>
      <c r="M500" s="333" t="s">
        <v>90</v>
      </c>
      <c r="N500" s="265" t="s">
        <v>10276</v>
      </c>
      <c r="O500" s="773">
        <v>134.4</v>
      </c>
      <c r="P500" s="388"/>
      <c r="Q500" s="320" t="s">
        <v>6081</v>
      </c>
      <c r="R500" s="388"/>
      <c r="S500" s="1133">
        <v>42709.0</v>
      </c>
      <c r="T500" s="1132">
        <v>42660.0</v>
      </c>
      <c r="U500" s="320" t="s">
        <v>10277</v>
      </c>
      <c r="V500" s="1135">
        <v>4207.0</v>
      </c>
      <c r="W500" s="1148">
        <v>42712.0</v>
      </c>
      <c r="X500" s="320" t="s">
        <v>10278</v>
      </c>
      <c r="Y500" s="320" t="s">
        <v>10279</v>
      </c>
      <c r="Z500" s="388">
        <v>4770.0</v>
      </c>
      <c r="AA500" s="388" t="s">
        <v>10280</v>
      </c>
      <c r="AB500" s="388"/>
    </row>
    <row r="501" ht="15.75" customHeight="1">
      <c r="A501" s="764">
        <v>42634.0</v>
      </c>
      <c r="B501" s="388" t="s">
        <v>6761</v>
      </c>
      <c r="C501" s="1004">
        <v>36767.0</v>
      </c>
      <c r="D501" s="388" t="s">
        <v>10281</v>
      </c>
      <c r="E501" s="388" t="s">
        <v>4780</v>
      </c>
      <c r="F501" s="388">
        <v>24.0</v>
      </c>
      <c r="G501" s="388">
        <v>90.0</v>
      </c>
      <c r="H501" s="578">
        <f t="shared" si="27"/>
        <v>2160</v>
      </c>
      <c r="I501" s="266" t="s">
        <v>3474</v>
      </c>
      <c r="J501" s="333" t="s">
        <v>6763</v>
      </c>
      <c r="K501" s="832">
        <v>42642.0</v>
      </c>
      <c r="L501" s="258">
        <v>42639.0</v>
      </c>
      <c r="M501" s="403" t="s">
        <v>90</v>
      </c>
      <c r="N501" s="320" t="s">
        <v>10282</v>
      </c>
      <c r="O501" s="320">
        <v>1990.8</v>
      </c>
      <c r="P501" s="388"/>
      <c r="Q501" s="310" t="s">
        <v>6081</v>
      </c>
      <c r="R501" s="388"/>
      <c r="S501" s="1145">
        <v>42709.0</v>
      </c>
      <c r="T501" s="1132">
        <v>42639.0</v>
      </c>
      <c r="U501" s="320" t="s">
        <v>10283</v>
      </c>
      <c r="V501" s="1135">
        <v>62959.0</v>
      </c>
      <c r="W501" s="1148">
        <v>42690.0</v>
      </c>
      <c r="X501" s="320" t="s">
        <v>10284</v>
      </c>
      <c r="Y501" s="388"/>
      <c r="Z501" s="388"/>
      <c r="AA501" s="388"/>
      <c r="AB501" s="388" t="s">
        <v>284</v>
      </c>
    </row>
    <row r="502" ht="15.75" customHeight="1">
      <c r="A502" s="764">
        <v>42634.0</v>
      </c>
      <c r="B502" s="340" t="s">
        <v>326</v>
      </c>
      <c r="C502" s="1004">
        <v>1605442.0</v>
      </c>
      <c r="D502" s="388" t="s">
        <v>10285</v>
      </c>
      <c r="E502" s="578" t="s">
        <v>8930</v>
      </c>
      <c r="F502" s="388">
        <v>10.0</v>
      </c>
      <c r="G502" s="388">
        <v>607.0</v>
      </c>
      <c r="H502" s="578">
        <f t="shared" si="27"/>
        <v>6070</v>
      </c>
      <c r="I502" s="256" t="s">
        <v>3474</v>
      </c>
      <c r="J502" s="333" t="s">
        <v>3774</v>
      </c>
      <c r="K502" s="832">
        <v>42691.0</v>
      </c>
      <c r="L502" s="832">
        <v>42689.0</v>
      </c>
      <c r="M502" s="592" t="s">
        <v>9786</v>
      </c>
      <c r="N502" s="252" t="s">
        <v>10286</v>
      </c>
      <c r="O502" s="320">
        <v>5932.5</v>
      </c>
      <c r="P502" s="388"/>
      <c r="Q502" s="388" t="s">
        <v>6376</v>
      </c>
      <c r="R502" s="388"/>
      <c r="S502" s="1133">
        <v>42734.0</v>
      </c>
      <c r="T502" s="1144">
        <v>42688.0</v>
      </c>
      <c r="U502" s="388" t="s">
        <v>10287</v>
      </c>
      <c r="V502" s="845">
        <v>197007.0</v>
      </c>
      <c r="W502" s="1148">
        <v>42733.0</v>
      </c>
      <c r="X502" s="265" t="s">
        <v>10288</v>
      </c>
      <c r="Y502" s="388"/>
      <c r="Z502" s="388"/>
      <c r="AA502" s="388"/>
      <c r="AB502" s="388" t="s">
        <v>284</v>
      </c>
    </row>
    <row r="503" ht="15.75" customHeight="1">
      <c r="A503" s="764">
        <v>42634.0</v>
      </c>
      <c r="B503" s="340" t="s">
        <v>326</v>
      </c>
      <c r="C503" s="1004">
        <v>1605442.0</v>
      </c>
      <c r="D503" s="388" t="s">
        <v>10285</v>
      </c>
      <c r="E503" s="578" t="s">
        <v>4419</v>
      </c>
      <c r="F503" s="388">
        <v>10.0</v>
      </c>
      <c r="G503" s="388">
        <v>27.0</v>
      </c>
      <c r="H503" s="578">
        <f t="shared" si="27"/>
        <v>270</v>
      </c>
      <c r="I503" s="256" t="s">
        <v>3474</v>
      </c>
      <c r="J503" s="333" t="s">
        <v>3774</v>
      </c>
      <c r="K503" s="832">
        <v>42691.0</v>
      </c>
      <c r="L503" s="832">
        <v>42689.0</v>
      </c>
      <c r="M503" s="592" t="s">
        <v>9786</v>
      </c>
      <c r="N503" s="388" t="s">
        <v>10286</v>
      </c>
      <c r="O503" s="320">
        <v>262.5</v>
      </c>
      <c r="P503" s="388"/>
      <c r="Q503" s="388" t="s">
        <v>6376</v>
      </c>
      <c r="R503" s="388"/>
      <c r="S503" s="1133">
        <v>42734.0</v>
      </c>
      <c r="T503" s="1144">
        <v>42688.0</v>
      </c>
      <c r="U503" s="388" t="s">
        <v>10287</v>
      </c>
      <c r="V503" s="592" t="s">
        <v>10289</v>
      </c>
      <c r="W503" s="1148">
        <v>42733.0</v>
      </c>
      <c r="X503" s="265" t="s">
        <v>10288</v>
      </c>
      <c r="Y503" s="388"/>
      <c r="Z503" s="388"/>
      <c r="AA503" s="388"/>
      <c r="AB503" s="388" t="s">
        <v>284</v>
      </c>
    </row>
    <row r="504" ht="15.75" customHeight="1">
      <c r="A504" s="776">
        <v>42594.0</v>
      </c>
      <c r="B504" s="340" t="s">
        <v>101</v>
      </c>
      <c r="C504" s="265" t="s">
        <v>10126</v>
      </c>
      <c r="D504" s="320" t="s">
        <v>10127</v>
      </c>
      <c r="E504" s="340" t="s">
        <v>10290</v>
      </c>
      <c r="F504" s="773">
        <v>2.0</v>
      </c>
      <c r="G504" s="773">
        <v>1166.0</v>
      </c>
      <c r="H504" s="267">
        <f t="shared" si="27"/>
        <v>2332</v>
      </c>
      <c r="I504" s="266" t="s">
        <v>3474</v>
      </c>
      <c r="J504" s="333" t="s">
        <v>6027</v>
      </c>
      <c r="K504" s="832">
        <v>42608.0</v>
      </c>
      <c r="L504" s="832">
        <v>42604.0</v>
      </c>
      <c r="M504" s="333" t="s">
        <v>2034</v>
      </c>
      <c r="N504" s="265" t="s">
        <v>10291</v>
      </c>
      <c r="O504" s="773"/>
      <c r="P504" s="320">
        <v>75810.0</v>
      </c>
      <c r="Q504" s="320" t="s">
        <v>2036</v>
      </c>
      <c r="R504" s="388"/>
      <c r="S504" s="1145">
        <v>42648.0</v>
      </c>
      <c r="T504" s="1132">
        <v>42601.0</v>
      </c>
      <c r="U504" s="265" t="s">
        <v>10292</v>
      </c>
      <c r="V504" s="1135">
        <v>75810.0</v>
      </c>
      <c r="W504" s="832">
        <v>42649.0</v>
      </c>
      <c r="X504" s="320" t="s">
        <v>10079</v>
      </c>
      <c r="Y504" s="1141"/>
      <c r="Z504" s="1152"/>
      <c r="AA504" s="1141"/>
      <c r="AB504" s="388" t="s">
        <v>284</v>
      </c>
    </row>
    <row r="505" ht="15.75" customHeight="1">
      <c r="A505" s="764">
        <v>42634.0</v>
      </c>
      <c r="B505" s="340" t="s">
        <v>101</v>
      </c>
      <c r="C505" s="265" t="s">
        <v>10293</v>
      </c>
      <c r="D505" s="320" t="s">
        <v>10294</v>
      </c>
      <c r="E505" s="310" t="s">
        <v>6305</v>
      </c>
      <c r="F505" s="773">
        <v>6.0</v>
      </c>
      <c r="G505" s="773">
        <v>62.0</v>
      </c>
      <c r="H505" s="267">
        <f t="shared" si="27"/>
        <v>372</v>
      </c>
      <c r="I505" s="266" t="s">
        <v>3474</v>
      </c>
      <c r="J505" s="333" t="s">
        <v>6027</v>
      </c>
      <c r="K505" s="832">
        <v>42654.0</v>
      </c>
      <c r="L505" s="832">
        <v>42640.0</v>
      </c>
      <c r="M505" s="333" t="s">
        <v>6935</v>
      </c>
      <c r="N505" s="265" t="s">
        <v>10295</v>
      </c>
      <c r="O505" s="773"/>
      <c r="P505" s="320">
        <v>6458.0</v>
      </c>
      <c r="Q505" s="320" t="s">
        <v>2172</v>
      </c>
      <c r="R505" s="388"/>
      <c r="S505" s="773" t="s">
        <v>10083</v>
      </c>
      <c r="T505" s="1132">
        <v>42639.0</v>
      </c>
      <c r="U505" s="265" t="s">
        <v>10296</v>
      </c>
      <c r="V505" s="1135">
        <v>6458.0</v>
      </c>
      <c r="W505" s="832"/>
      <c r="X505" s="320" t="s">
        <v>10297</v>
      </c>
      <c r="Y505" s="1141"/>
      <c r="Z505" s="1152"/>
      <c r="AA505" s="1141"/>
      <c r="AB505" s="388" t="s">
        <v>284</v>
      </c>
    </row>
    <row r="506" ht="15.75" customHeight="1">
      <c r="A506" s="776">
        <v>42635.0</v>
      </c>
      <c r="B506" s="340" t="s">
        <v>9000</v>
      </c>
      <c r="C506" s="265">
        <v>7.000124248E9</v>
      </c>
      <c r="D506" s="320" t="s">
        <v>10298</v>
      </c>
      <c r="E506" s="1004">
        <v>1.702002605E9</v>
      </c>
      <c r="F506" s="773">
        <v>1.0</v>
      </c>
      <c r="G506" s="773">
        <v>3.0</v>
      </c>
      <c r="H506" s="267">
        <f t="shared" si="27"/>
        <v>3</v>
      </c>
      <c r="I506" s="266" t="s">
        <v>43</v>
      </c>
      <c r="J506" s="777" t="s">
        <v>3623</v>
      </c>
      <c r="K506" s="832">
        <v>42646.0</v>
      </c>
      <c r="L506" s="832">
        <v>42643.0</v>
      </c>
      <c r="M506" s="333" t="s">
        <v>6120</v>
      </c>
      <c r="N506" s="265" t="s">
        <v>10299</v>
      </c>
      <c r="O506" s="773"/>
      <c r="P506" s="340">
        <v>63.0</v>
      </c>
      <c r="Q506" s="320" t="s">
        <v>6122</v>
      </c>
      <c r="R506" s="388"/>
      <c r="S506" s="1145">
        <v>42679.0</v>
      </c>
      <c r="T506" s="1132">
        <v>42639.0</v>
      </c>
      <c r="U506" s="265" t="s">
        <v>10300</v>
      </c>
      <c r="V506" s="1135">
        <v>20546.0</v>
      </c>
      <c r="W506" s="832">
        <v>42678.0</v>
      </c>
      <c r="X506" s="320" t="s">
        <v>10253</v>
      </c>
      <c r="Y506" s="1141"/>
      <c r="Z506" s="1152"/>
      <c r="AA506" s="1141"/>
      <c r="AB506" s="388" t="s">
        <v>284</v>
      </c>
    </row>
    <row r="507" ht="15.75" customHeight="1">
      <c r="A507" s="776">
        <v>42635.0</v>
      </c>
      <c r="B507" s="340" t="s">
        <v>9000</v>
      </c>
      <c r="C507" s="265">
        <v>7.000124248E9</v>
      </c>
      <c r="D507" s="320" t="s">
        <v>10298</v>
      </c>
      <c r="E507" s="340" t="s">
        <v>7742</v>
      </c>
      <c r="F507" s="773">
        <v>2.0</v>
      </c>
      <c r="G507" s="773">
        <v>181.0</v>
      </c>
      <c r="H507" s="267">
        <f t="shared" si="27"/>
        <v>362</v>
      </c>
      <c r="I507" s="266" t="s">
        <v>43</v>
      </c>
      <c r="J507" s="777" t="s">
        <v>3623</v>
      </c>
      <c r="K507" s="832">
        <v>42646.0</v>
      </c>
      <c r="L507" s="832">
        <v>42643.0</v>
      </c>
      <c r="M507" s="333" t="s">
        <v>6120</v>
      </c>
      <c r="N507" s="265" t="s">
        <v>10299</v>
      </c>
      <c r="O507" s="773"/>
      <c r="P507" s="340">
        <v>10564.0</v>
      </c>
      <c r="Q507" s="320" t="s">
        <v>6122</v>
      </c>
      <c r="R507" s="388"/>
      <c r="S507" s="1145">
        <v>42679.0</v>
      </c>
      <c r="T507" s="1132">
        <v>42639.0</v>
      </c>
      <c r="U507" s="265" t="s">
        <v>10300</v>
      </c>
      <c r="V507" s="1135" t="s">
        <v>7724</v>
      </c>
      <c r="W507" s="832">
        <v>42678.0</v>
      </c>
      <c r="X507" s="320" t="s">
        <v>10253</v>
      </c>
      <c r="Y507" s="1141"/>
      <c r="Z507" s="1152"/>
      <c r="AA507" s="1141"/>
      <c r="AB507" s="388" t="s">
        <v>284</v>
      </c>
    </row>
    <row r="508" ht="15.75" customHeight="1">
      <c r="A508" s="776">
        <v>42635.0</v>
      </c>
      <c r="B508" s="340" t="s">
        <v>9000</v>
      </c>
      <c r="C508" s="265">
        <v>7.000124248E9</v>
      </c>
      <c r="D508" s="320" t="s">
        <v>10298</v>
      </c>
      <c r="E508" s="340" t="s">
        <v>4657</v>
      </c>
      <c r="F508" s="773">
        <v>2.0</v>
      </c>
      <c r="G508" s="773">
        <v>110.0</v>
      </c>
      <c r="H508" s="267">
        <f t="shared" si="27"/>
        <v>220</v>
      </c>
      <c r="I508" s="266" t="s">
        <v>43</v>
      </c>
      <c r="J508" s="777" t="s">
        <v>3623</v>
      </c>
      <c r="K508" s="832">
        <v>42646.0</v>
      </c>
      <c r="L508" s="832">
        <v>42643.0</v>
      </c>
      <c r="M508" s="333" t="s">
        <v>6120</v>
      </c>
      <c r="N508" s="265" t="s">
        <v>10299</v>
      </c>
      <c r="O508" s="773"/>
      <c r="P508" s="340">
        <v>6430.0</v>
      </c>
      <c r="Q508" s="320" t="s">
        <v>6122</v>
      </c>
      <c r="R508" s="388"/>
      <c r="S508" s="1145">
        <v>42679.0</v>
      </c>
      <c r="T508" s="1132">
        <v>42639.0</v>
      </c>
      <c r="U508" s="265" t="s">
        <v>10300</v>
      </c>
      <c r="V508" s="1135" t="s">
        <v>7724</v>
      </c>
      <c r="W508" s="832">
        <v>42678.0</v>
      </c>
      <c r="X508" s="320" t="s">
        <v>10253</v>
      </c>
      <c r="Y508" s="1141"/>
      <c r="Z508" s="1152"/>
      <c r="AA508" s="1141"/>
      <c r="AB508" s="388" t="s">
        <v>284</v>
      </c>
    </row>
    <row r="509" ht="15.75" customHeight="1">
      <c r="A509" s="776">
        <v>42635.0</v>
      </c>
      <c r="B509" s="340" t="s">
        <v>9000</v>
      </c>
      <c r="C509" s="265">
        <v>7.000124248E9</v>
      </c>
      <c r="D509" s="320" t="s">
        <v>10298</v>
      </c>
      <c r="E509" s="340" t="s">
        <v>10267</v>
      </c>
      <c r="F509" s="773">
        <v>1.0</v>
      </c>
      <c r="G509" s="773">
        <v>119.0</v>
      </c>
      <c r="H509" s="267">
        <f t="shared" si="27"/>
        <v>119</v>
      </c>
      <c r="I509" s="266" t="s">
        <v>43</v>
      </c>
      <c r="J509" s="777" t="s">
        <v>3623</v>
      </c>
      <c r="K509" s="832">
        <v>42646.0</v>
      </c>
      <c r="L509" s="832">
        <v>42643.0</v>
      </c>
      <c r="M509" s="333" t="s">
        <v>6120</v>
      </c>
      <c r="N509" s="265" t="s">
        <v>10299</v>
      </c>
      <c r="O509" s="773"/>
      <c r="P509" s="340">
        <v>3490.0</v>
      </c>
      <c r="Q509" s="320" t="s">
        <v>6122</v>
      </c>
      <c r="R509" s="388"/>
      <c r="S509" s="1145">
        <v>42679.0</v>
      </c>
      <c r="T509" s="1132">
        <v>42639.0</v>
      </c>
      <c r="U509" s="265" t="s">
        <v>10300</v>
      </c>
      <c r="V509" s="1135" t="s">
        <v>7724</v>
      </c>
      <c r="W509" s="832">
        <v>42678.0</v>
      </c>
      <c r="X509" s="320" t="s">
        <v>10253</v>
      </c>
      <c r="Y509" s="1141"/>
      <c r="Z509" s="1152"/>
      <c r="AA509" s="1141"/>
      <c r="AB509" s="388" t="s">
        <v>284</v>
      </c>
    </row>
    <row r="510" ht="15.75" customHeight="1">
      <c r="A510" s="776">
        <v>42635.0</v>
      </c>
      <c r="B510" s="340" t="s">
        <v>3506</v>
      </c>
      <c r="C510" s="1004" t="s">
        <v>10301</v>
      </c>
      <c r="D510" s="310" t="s">
        <v>10302</v>
      </c>
      <c r="E510" s="330" t="s">
        <v>10163</v>
      </c>
      <c r="F510" s="581">
        <v>100.0</v>
      </c>
      <c r="G510" s="773">
        <v>178.0</v>
      </c>
      <c r="H510" s="267">
        <f t="shared" si="27"/>
        <v>17800</v>
      </c>
      <c r="I510" s="266" t="s">
        <v>171</v>
      </c>
      <c r="J510" s="599" t="s">
        <v>3509</v>
      </c>
      <c r="K510" s="258">
        <v>42688.0</v>
      </c>
      <c r="L510" s="832">
        <v>42685.0</v>
      </c>
      <c r="M510" s="333" t="s">
        <v>90</v>
      </c>
      <c r="N510" s="265" t="s">
        <v>10303</v>
      </c>
      <c r="O510" s="581">
        <v>16800.0</v>
      </c>
      <c r="P510" s="1179"/>
      <c r="Q510" s="320" t="s">
        <v>6081</v>
      </c>
      <c r="R510" s="388"/>
      <c r="S510" s="1145">
        <v>42740.0</v>
      </c>
      <c r="T510" s="1132">
        <v>42684.0</v>
      </c>
      <c r="U510" s="265" t="s">
        <v>10304</v>
      </c>
      <c r="V510" s="1135">
        <v>520102.0</v>
      </c>
      <c r="W510" s="832">
        <v>42724.0</v>
      </c>
      <c r="X510" s="320" t="s">
        <v>10305</v>
      </c>
      <c r="Y510" s="320"/>
      <c r="Z510" s="1149"/>
      <c r="AA510" s="320"/>
      <c r="AB510" s="388" t="s">
        <v>284</v>
      </c>
    </row>
    <row r="511" ht="15.75" customHeight="1">
      <c r="A511" s="776">
        <v>42636.0</v>
      </c>
      <c r="B511" s="340" t="s">
        <v>10306</v>
      </c>
      <c r="C511" s="265">
        <v>7808.0</v>
      </c>
      <c r="D511" s="320" t="s">
        <v>10307</v>
      </c>
      <c r="E511" s="340" t="s">
        <v>10308</v>
      </c>
      <c r="F511" s="773">
        <v>12.0</v>
      </c>
      <c r="G511" s="773">
        <v>675.0</v>
      </c>
      <c r="H511" s="267">
        <f t="shared" si="27"/>
        <v>8100</v>
      </c>
      <c r="I511" s="266" t="s">
        <v>3474</v>
      </c>
      <c r="J511" s="333" t="s">
        <v>3475</v>
      </c>
      <c r="K511" s="832">
        <v>42691.0</v>
      </c>
      <c r="L511" s="823" t="s">
        <v>10309</v>
      </c>
      <c r="M511" s="333" t="s">
        <v>6841</v>
      </c>
      <c r="N511" s="388" t="s">
        <v>10310</v>
      </c>
      <c r="O511" s="581">
        <v>7560.0</v>
      </c>
      <c r="P511" s="637">
        <v>236779.0</v>
      </c>
      <c r="Q511" s="1180" t="s">
        <v>2346</v>
      </c>
      <c r="R511" s="388"/>
      <c r="S511" s="1145">
        <v>42715.0</v>
      </c>
      <c r="T511" s="265" t="s">
        <v>10311</v>
      </c>
      <c r="U511" s="265" t="s">
        <v>10312</v>
      </c>
      <c r="V511" s="1135" t="s">
        <v>10313</v>
      </c>
      <c r="W511" s="832">
        <v>42740.0</v>
      </c>
      <c r="X511" s="320" t="s">
        <v>10314</v>
      </c>
      <c r="Y511" s="320"/>
      <c r="Z511" s="1149"/>
      <c r="AA511" s="320"/>
      <c r="AB511" s="388" t="s">
        <v>284</v>
      </c>
    </row>
    <row r="512" ht="15.75" customHeight="1">
      <c r="A512" s="776">
        <v>42636.0</v>
      </c>
      <c r="B512" s="340" t="s">
        <v>10306</v>
      </c>
      <c r="C512" s="265">
        <v>7808.0</v>
      </c>
      <c r="D512" s="320" t="s">
        <v>10307</v>
      </c>
      <c r="E512" s="340" t="s">
        <v>10315</v>
      </c>
      <c r="F512" s="773"/>
      <c r="G512" s="773">
        <v>800.0</v>
      </c>
      <c r="H512" s="267">
        <v>800.0</v>
      </c>
      <c r="I512" s="266" t="s">
        <v>3474</v>
      </c>
      <c r="J512" s="333" t="s">
        <v>3475</v>
      </c>
      <c r="K512" s="832">
        <v>42691.0</v>
      </c>
      <c r="L512" s="832">
        <v>42684.0</v>
      </c>
      <c r="M512" s="333" t="s">
        <v>6841</v>
      </c>
      <c r="N512" s="388" t="s">
        <v>10316</v>
      </c>
      <c r="O512" s="1181">
        <v>420.0</v>
      </c>
      <c r="P512" s="813">
        <v>13155.0</v>
      </c>
      <c r="Q512" s="1182" t="s">
        <v>2346</v>
      </c>
      <c r="R512" s="388"/>
      <c r="S512" s="1145">
        <v>42715.0</v>
      </c>
      <c r="T512" s="1132">
        <v>42685.0</v>
      </c>
      <c r="U512" s="265" t="s">
        <v>10317</v>
      </c>
      <c r="V512" s="1135" t="s">
        <v>7729</v>
      </c>
      <c r="W512" s="832">
        <v>42740.0</v>
      </c>
      <c r="X512" s="320" t="s">
        <v>10314</v>
      </c>
      <c r="Y512" s="320"/>
      <c r="Z512" s="1149"/>
      <c r="AA512" s="320"/>
      <c r="AB512" s="388" t="s">
        <v>284</v>
      </c>
    </row>
    <row r="513" ht="15.75" customHeight="1">
      <c r="A513" s="776">
        <v>42639.0</v>
      </c>
      <c r="B513" s="340" t="s">
        <v>101</v>
      </c>
      <c r="C513" s="265" t="s">
        <v>10318</v>
      </c>
      <c r="D513" s="320" t="s">
        <v>10319</v>
      </c>
      <c r="E513" s="340" t="s">
        <v>6274</v>
      </c>
      <c r="F513" s="773">
        <v>2.0</v>
      </c>
      <c r="G513" s="773">
        <v>195.0</v>
      </c>
      <c r="H513" s="267">
        <f t="shared" ref="H513:H514" si="28">G513*F513</f>
        <v>390</v>
      </c>
      <c r="I513" s="266" t="s">
        <v>3474</v>
      </c>
      <c r="J513" s="333" t="s">
        <v>6027</v>
      </c>
      <c r="K513" s="832">
        <v>42646.0</v>
      </c>
      <c r="L513" s="832">
        <v>42642.0</v>
      </c>
      <c r="M513" s="333" t="s">
        <v>6120</v>
      </c>
      <c r="N513" s="265" t="s">
        <v>10320</v>
      </c>
      <c r="O513" s="773"/>
      <c r="P513" s="1012">
        <v>11153.0</v>
      </c>
      <c r="Q513" s="320" t="s">
        <v>6122</v>
      </c>
      <c r="R513" s="388"/>
      <c r="S513" s="1145">
        <v>42679.0</v>
      </c>
      <c r="T513" s="1132">
        <v>42639.0</v>
      </c>
      <c r="U513" s="265" t="s">
        <v>10321</v>
      </c>
      <c r="V513" s="1135">
        <v>11153.0</v>
      </c>
      <c r="W513" s="832">
        <v>42678.0</v>
      </c>
      <c r="X513" s="265" t="s">
        <v>10226</v>
      </c>
      <c r="Y513" s="1141"/>
      <c r="Z513" s="1152"/>
      <c r="AA513" s="1141"/>
      <c r="AB513" s="388" t="s">
        <v>284</v>
      </c>
    </row>
    <row r="514" ht="15.75" customHeight="1">
      <c r="A514" s="776">
        <v>42639.0</v>
      </c>
      <c r="B514" s="340" t="s">
        <v>101</v>
      </c>
      <c r="C514" s="265" t="s">
        <v>10322</v>
      </c>
      <c r="D514" s="320" t="s">
        <v>10323</v>
      </c>
      <c r="E514" s="340" t="s">
        <v>6535</v>
      </c>
      <c r="F514" s="773">
        <v>6.0</v>
      </c>
      <c r="G514" s="773">
        <v>141.0</v>
      </c>
      <c r="H514" s="267">
        <f t="shared" si="28"/>
        <v>846</v>
      </c>
      <c r="I514" s="266" t="s">
        <v>3474</v>
      </c>
      <c r="J514" s="333" t="s">
        <v>6027</v>
      </c>
      <c r="K514" s="832">
        <v>42646.0</v>
      </c>
      <c r="L514" s="832">
        <v>42646.0</v>
      </c>
      <c r="M514" s="266" t="s">
        <v>9786</v>
      </c>
      <c r="N514" s="252" t="s">
        <v>10324</v>
      </c>
      <c r="O514" s="773"/>
      <c r="P514" s="1012" t="s">
        <v>10325</v>
      </c>
      <c r="Q514" s="320" t="s">
        <v>6376</v>
      </c>
      <c r="R514" s="388" t="s">
        <v>10326</v>
      </c>
      <c r="S514" s="1183">
        <v>42704.0</v>
      </c>
      <c r="T514" s="265" t="s">
        <v>10327</v>
      </c>
      <c r="U514" s="265" t="s">
        <v>10328</v>
      </c>
      <c r="V514" s="1135" t="s">
        <v>10329</v>
      </c>
      <c r="W514" s="832">
        <v>42702.0</v>
      </c>
      <c r="X514" s="265" t="s">
        <v>10226</v>
      </c>
      <c r="Y514" s="1141"/>
      <c r="Z514" s="1152"/>
      <c r="AA514" s="1141"/>
      <c r="AB514" s="388" t="s">
        <v>284</v>
      </c>
    </row>
    <row r="515" ht="15.75" customHeight="1">
      <c r="A515" s="776">
        <v>42639.0</v>
      </c>
      <c r="B515" s="340" t="s">
        <v>6116</v>
      </c>
      <c r="C515" s="265">
        <v>803899.0</v>
      </c>
      <c r="D515" s="320" t="s">
        <v>10330</v>
      </c>
      <c r="E515" s="340" t="s">
        <v>10181</v>
      </c>
      <c r="F515" s="773">
        <v>20.0</v>
      </c>
      <c r="G515" s="773">
        <v>81.0</v>
      </c>
      <c r="H515" s="267">
        <f>F515*G515</f>
        <v>1620</v>
      </c>
      <c r="I515" s="1063" t="s">
        <v>3474</v>
      </c>
      <c r="J515" s="333" t="s">
        <v>6119</v>
      </c>
      <c r="K515" s="832">
        <v>42677.0</v>
      </c>
      <c r="L515" s="832">
        <v>42675.0</v>
      </c>
      <c r="M515" s="333" t="s">
        <v>10182</v>
      </c>
      <c r="N515" s="597" t="s">
        <v>10331</v>
      </c>
      <c r="O515" s="773"/>
      <c r="P515" s="1184">
        <v>42756.0</v>
      </c>
      <c r="Q515" s="320" t="s">
        <v>10332</v>
      </c>
      <c r="R515" s="388"/>
      <c r="S515" s="1145">
        <v>42670.0</v>
      </c>
      <c r="T515" s="1132">
        <v>42671.0</v>
      </c>
      <c r="U515" s="265" t="s">
        <v>10333</v>
      </c>
      <c r="V515" s="1135">
        <v>42756.0</v>
      </c>
      <c r="W515" s="832">
        <v>42670.0</v>
      </c>
      <c r="X515" s="320" t="s">
        <v>10334</v>
      </c>
      <c r="Y515" s="320"/>
      <c r="Z515" s="1149"/>
      <c r="AA515" s="320"/>
      <c r="AB515" s="388" t="s">
        <v>284</v>
      </c>
    </row>
    <row r="516" ht="15.75" customHeight="1">
      <c r="A516" s="776">
        <v>42640.0</v>
      </c>
      <c r="B516" s="340" t="s">
        <v>3506</v>
      </c>
      <c r="C516" s="1004" t="s">
        <v>10301</v>
      </c>
      <c r="D516" s="310" t="s">
        <v>10335</v>
      </c>
      <c r="E516" s="578" t="s">
        <v>6079</v>
      </c>
      <c r="F516" s="773">
        <v>15.0</v>
      </c>
      <c r="G516" s="773">
        <v>355.0</v>
      </c>
      <c r="H516" s="267">
        <f t="shared" ref="H516:H522" si="29">G516*F516</f>
        <v>5325</v>
      </c>
      <c r="I516" s="266" t="s">
        <v>171</v>
      </c>
      <c r="J516" s="599" t="s">
        <v>3509</v>
      </c>
      <c r="K516" s="258">
        <v>42688.0</v>
      </c>
      <c r="L516" s="832">
        <v>42685.0</v>
      </c>
      <c r="M516" s="333" t="s">
        <v>90</v>
      </c>
      <c r="N516" s="1185" t="s">
        <v>10336</v>
      </c>
      <c r="O516" s="773">
        <v>6951.0</v>
      </c>
      <c r="P516" s="1179"/>
      <c r="Q516" s="320" t="s">
        <v>6081</v>
      </c>
      <c r="R516" s="388"/>
      <c r="S516" s="1145">
        <v>42740.0</v>
      </c>
      <c r="T516" s="1132">
        <v>42684.0</v>
      </c>
      <c r="U516" s="265" t="s">
        <v>10337</v>
      </c>
      <c r="V516" s="1135">
        <v>152552.0</v>
      </c>
      <c r="W516" s="256" t="s">
        <v>10338</v>
      </c>
      <c r="X516" s="320" t="s">
        <v>10305</v>
      </c>
      <c r="Y516" s="320"/>
      <c r="Z516" s="1149"/>
      <c r="AA516" s="320"/>
      <c r="AB516" s="388" t="s">
        <v>284</v>
      </c>
    </row>
    <row r="517" ht="15.75" customHeight="1">
      <c r="A517" s="776">
        <v>42640.0</v>
      </c>
      <c r="B517" s="340" t="s">
        <v>3506</v>
      </c>
      <c r="C517" s="1004" t="s">
        <v>10301</v>
      </c>
      <c r="D517" s="310" t="s">
        <v>10335</v>
      </c>
      <c r="E517" s="578" t="s">
        <v>6079</v>
      </c>
      <c r="F517" s="773">
        <v>5.0</v>
      </c>
      <c r="G517" s="773">
        <v>355.0</v>
      </c>
      <c r="H517" s="267">
        <f t="shared" si="29"/>
        <v>1775</v>
      </c>
      <c r="I517" s="266" t="s">
        <v>171</v>
      </c>
      <c r="J517" s="599" t="s">
        <v>3509</v>
      </c>
      <c r="K517" s="258">
        <v>42688.0</v>
      </c>
      <c r="L517" s="832">
        <v>42675.0</v>
      </c>
      <c r="M517" s="333" t="s">
        <v>90</v>
      </c>
      <c r="N517" s="1185" t="s">
        <v>10336</v>
      </c>
      <c r="O517" s="1156"/>
      <c r="P517" s="1179"/>
      <c r="Q517" s="320" t="s">
        <v>6081</v>
      </c>
      <c r="R517" s="388"/>
      <c r="S517" s="1186"/>
      <c r="T517" s="1132">
        <v>42675.0</v>
      </c>
      <c r="U517" s="265" t="s">
        <v>10339</v>
      </c>
      <c r="V517" s="1135">
        <v>50851.0</v>
      </c>
      <c r="W517" s="832">
        <v>42724.0</v>
      </c>
      <c r="X517" s="320" t="s">
        <v>10305</v>
      </c>
      <c r="Y517" s="320"/>
      <c r="Z517" s="1149"/>
      <c r="AA517" s="320"/>
      <c r="AB517" s="388" t="s">
        <v>284</v>
      </c>
    </row>
    <row r="518" ht="15.75" customHeight="1">
      <c r="A518" s="776">
        <v>42640.0</v>
      </c>
      <c r="B518" s="340" t="s">
        <v>9000</v>
      </c>
      <c r="C518" s="265">
        <v>7.000124248E9</v>
      </c>
      <c r="D518" s="320" t="s">
        <v>10340</v>
      </c>
      <c r="E518" s="340" t="s">
        <v>10267</v>
      </c>
      <c r="F518" s="773">
        <v>2.0</v>
      </c>
      <c r="G518" s="773">
        <v>119.0</v>
      </c>
      <c r="H518" s="267">
        <f t="shared" si="29"/>
        <v>238</v>
      </c>
      <c r="I518" s="266" t="s">
        <v>43</v>
      </c>
      <c r="J518" s="777" t="s">
        <v>3623</v>
      </c>
      <c r="K518" s="832">
        <v>42646.0</v>
      </c>
      <c r="L518" s="832">
        <v>42643.0</v>
      </c>
      <c r="M518" s="333" t="s">
        <v>6120</v>
      </c>
      <c r="N518" s="265" t="s">
        <v>10341</v>
      </c>
      <c r="O518" s="773"/>
      <c r="P518" s="1012">
        <v>6980.0</v>
      </c>
      <c r="Q518" s="320" t="s">
        <v>6122</v>
      </c>
      <c r="R518" s="388"/>
      <c r="S518" s="1145">
        <v>42679.0</v>
      </c>
      <c r="T518" s="1132">
        <v>42643.0</v>
      </c>
      <c r="U518" s="265" t="s">
        <v>10342</v>
      </c>
      <c r="V518" s="1135">
        <v>6980.0</v>
      </c>
      <c r="W518" s="832">
        <v>42678.0</v>
      </c>
      <c r="X518" s="320" t="s">
        <v>10253</v>
      </c>
      <c r="Y518" s="1141"/>
      <c r="Z518" s="1152"/>
      <c r="AA518" s="1141"/>
      <c r="AB518" s="388" t="s">
        <v>284</v>
      </c>
    </row>
    <row r="519" ht="15.75" customHeight="1">
      <c r="A519" s="776">
        <v>42642.0</v>
      </c>
      <c r="B519" s="340" t="s">
        <v>101</v>
      </c>
      <c r="C519" s="265" t="s">
        <v>10343</v>
      </c>
      <c r="D519" s="340" t="s">
        <v>10344</v>
      </c>
      <c r="E519" s="340" t="s">
        <v>10345</v>
      </c>
      <c r="F519" s="773">
        <v>2.0</v>
      </c>
      <c r="G519" s="773">
        <v>339.0</v>
      </c>
      <c r="H519" s="267">
        <f t="shared" si="29"/>
        <v>678</v>
      </c>
      <c r="I519" s="266" t="s">
        <v>3474</v>
      </c>
      <c r="J519" s="333" t="s">
        <v>6027</v>
      </c>
      <c r="K519" s="832">
        <v>42656.0</v>
      </c>
      <c r="L519" s="832">
        <v>42655.0</v>
      </c>
      <c r="M519" s="333" t="s">
        <v>2028</v>
      </c>
      <c r="N519" s="265" t="s">
        <v>10346</v>
      </c>
      <c r="O519" s="773"/>
      <c r="P519" s="1012">
        <v>20082.0</v>
      </c>
      <c r="Q519" s="340" t="s">
        <v>2030</v>
      </c>
      <c r="R519" s="388"/>
      <c r="S519" s="1145">
        <v>42650.0</v>
      </c>
      <c r="T519" s="1132">
        <v>42655.0</v>
      </c>
      <c r="U519" s="265" t="s">
        <v>10347</v>
      </c>
      <c r="V519" s="1135">
        <v>21991.0</v>
      </c>
      <c r="W519" s="832">
        <v>42649.0</v>
      </c>
      <c r="X519" s="265" t="s">
        <v>10348</v>
      </c>
      <c r="Y519" s="1141"/>
      <c r="Z519" s="1152"/>
      <c r="AA519" s="1141"/>
      <c r="AB519" s="388" t="s">
        <v>284</v>
      </c>
    </row>
    <row r="520" ht="15.75" customHeight="1">
      <c r="A520" s="776">
        <v>42642.0</v>
      </c>
      <c r="B520" s="340" t="s">
        <v>101</v>
      </c>
      <c r="C520" s="265" t="s">
        <v>10343</v>
      </c>
      <c r="D520" s="340" t="s">
        <v>10344</v>
      </c>
      <c r="E520" s="340" t="s">
        <v>10349</v>
      </c>
      <c r="F520" s="773">
        <v>2.0</v>
      </c>
      <c r="G520" s="773">
        <v>36.0</v>
      </c>
      <c r="H520" s="267">
        <f t="shared" si="29"/>
        <v>72</v>
      </c>
      <c r="I520" s="266" t="s">
        <v>3474</v>
      </c>
      <c r="J520" s="333" t="s">
        <v>6027</v>
      </c>
      <c r="K520" s="832">
        <v>42656.0</v>
      </c>
      <c r="L520" s="832">
        <v>42655.0</v>
      </c>
      <c r="M520" s="333" t="s">
        <v>2028</v>
      </c>
      <c r="N520" s="265" t="s">
        <v>10346</v>
      </c>
      <c r="O520" s="773"/>
      <c r="P520" s="1012">
        <v>1909.0</v>
      </c>
      <c r="Q520" s="340" t="s">
        <v>2030</v>
      </c>
      <c r="R520" s="388"/>
      <c r="S520" s="1145">
        <v>42650.0</v>
      </c>
      <c r="T520" s="1132">
        <v>42655.0</v>
      </c>
      <c r="U520" s="265" t="s">
        <v>10347</v>
      </c>
      <c r="V520" s="1135" t="s">
        <v>10350</v>
      </c>
      <c r="W520" s="832">
        <v>42649.0</v>
      </c>
      <c r="X520" s="265" t="s">
        <v>10348</v>
      </c>
      <c r="Y520" s="1141"/>
      <c r="Z520" s="1152"/>
      <c r="AA520" s="1141"/>
      <c r="AB520" s="388" t="s">
        <v>284</v>
      </c>
    </row>
    <row r="521" ht="15.75" customHeight="1">
      <c r="A521" s="776">
        <v>42642.0</v>
      </c>
      <c r="B521" s="340" t="s">
        <v>229</v>
      </c>
      <c r="C521" s="265" t="s">
        <v>10351</v>
      </c>
      <c r="D521" s="320" t="s">
        <v>10352</v>
      </c>
      <c r="E521" s="578" t="s">
        <v>462</v>
      </c>
      <c r="F521" s="773">
        <v>67.0</v>
      </c>
      <c r="G521" s="581">
        <v>415.8</v>
      </c>
      <c r="H521" s="267">
        <f t="shared" si="29"/>
        <v>27858.6</v>
      </c>
      <c r="I521" s="266" t="s">
        <v>171</v>
      </c>
      <c r="J521" s="333" t="s">
        <v>233</v>
      </c>
      <c r="K521" s="832">
        <v>42656.0</v>
      </c>
      <c r="L521" s="1177"/>
      <c r="M521" s="333" t="s">
        <v>90</v>
      </c>
      <c r="N521" s="265" t="s">
        <v>10353</v>
      </c>
      <c r="O521" s="773">
        <v>24974.25</v>
      </c>
      <c r="P521" s="1179"/>
      <c r="Q521" s="320" t="s">
        <v>6081</v>
      </c>
      <c r="R521" s="388"/>
      <c r="S521" s="1145">
        <v>42709.0</v>
      </c>
      <c r="T521" s="1132">
        <v>42656.0</v>
      </c>
      <c r="U521" s="265" t="s">
        <v>10354</v>
      </c>
      <c r="V521" s="1135">
        <v>828988.0</v>
      </c>
      <c r="W521" s="1148">
        <v>42690.0</v>
      </c>
      <c r="X521" s="320" t="s">
        <v>10355</v>
      </c>
      <c r="Y521" s="597" t="s">
        <v>10356</v>
      </c>
      <c r="Z521" s="1149">
        <v>934306.0</v>
      </c>
      <c r="AA521" s="320" t="s">
        <v>10357</v>
      </c>
      <c r="AB521" s="1140"/>
    </row>
    <row r="522" ht="15.75" customHeight="1">
      <c r="A522" s="776">
        <v>42642.0</v>
      </c>
      <c r="B522" s="340" t="s">
        <v>229</v>
      </c>
      <c r="C522" s="265"/>
      <c r="D522" s="320" t="s">
        <v>10352</v>
      </c>
      <c r="E522" s="599" t="s">
        <v>3765</v>
      </c>
      <c r="F522" s="773">
        <v>5.0</v>
      </c>
      <c r="G522" s="773">
        <v>336.0</v>
      </c>
      <c r="H522" s="267">
        <f t="shared" si="29"/>
        <v>1680</v>
      </c>
      <c r="I522" s="266" t="s">
        <v>171</v>
      </c>
      <c r="J522" s="333" t="s">
        <v>233</v>
      </c>
      <c r="K522" s="832">
        <v>42656.0</v>
      </c>
      <c r="L522" s="1177"/>
      <c r="M522" s="333" t="s">
        <v>90</v>
      </c>
      <c r="N522" s="265" t="s">
        <v>10353</v>
      </c>
      <c r="O522" s="773">
        <v>1506.75</v>
      </c>
      <c r="P522" s="1179"/>
      <c r="Q522" s="320" t="s">
        <v>6081</v>
      </c>
      <c r="R522" s="388"/>
      <c r="S522" s="1145">
        <v>42709.0</v>
      </c>
      <c r="T522" s="1132">
        <v>42656.0</v>
      </c>
      <c r="U522" s="265" t="s">
        <v>10354</v>
      </c>
      <c r="V522" s="1135" t="s">
        <v>10358</v>
      </c>
      <c r="W522" s="1148">
        <v>42690.0</v>
      </c>
      <c r="X522" s="320" t="s">
        <v>10355</v>
      </c>
      <c r="Y522" s="597" t="s">
        <v>10356</v>
      </c>
      <c r="Z522" s="1149" t="s">
        <v>10359</v>
      </c>
      <c r="AA522" s="320" t="s">
        <v>10357</v>
      </c>
      <c r="AB522" s="1140"/>
    </row>
    <row r="523" ht="15.75" customHeight="1">
      <c r="A523" s="796">
        <v>42642.0</v>
      </c>
      <c r="B523" s="786" t="s">
        <v>631</v>
      </c>
      <c r="C523" s="783" t="s">
        <v>10360</v>
      </c>
      <c r="D523" s="800" t="s">
        <v>10361</v>
      </c>
      <c r="E523" s="1164" t="s">
        <v>4269</v>
      </c>
      <c r="F523" s="581">
        <v>15.0</v>
      </c>
      <c r="G523" s="466"/>
      <c r="H523" s="1187"/>
      <c r="I523" s="593"/>
      <c r="J523" s="333"/>
      <c r="K523" s="1142"/>
      <c r="L523" s="835">
        <v>42648.0</v>
      </c>
      <c r="M523" s="283" t="s">
        <v>2263</v>
      </c>
      <c r="N523" s="783" t="s">
        <v>10362</v>
      </c>
      <c r="O523" s="930"/>
      <c r="P523" s="1188"/>
      <c r="Q523" s="798" t="s">
        <v>2265</v>
      </c>
      <c r="R523" s="388"/>
      <c r="S523" s="1186"/>
      <c r="T523" s="1132"/>
      <c r="U523" s="265"/>
      <c r="V523" s="1135"/>
      <c r="W523" s="1163"/>
      <c r="X523" s="320"/>
      <c r="Y523" s="1141"/>
      <c r="Z523" s="1152"/>
      <c r="AA523" s="1141"/>
      <c r="AB523" s="1140"/>
    </row>
    <row r="524" ht="15.75" customHeight="1">
      <c r="A524" s="796">
        <v>42642.0</v>
      </c>
      <c r="B524" s="786" t="s">
        <v>631</v>
      </c>
      <c r="C524" s="783" t="s">
        <v>10360</v>
      </c>
      <c r="D524" s="800" t="s">
        <v>10363</v>
      </c>
      <c r="E524" s="1164" t="s">
        <v>4269</v>
      </c>
      <c r="F524" s="581">
        <v>15.0</v>
      </c>
      <c r="G524" s="466"/>
      <c r="H524" s="1187"/>
      <c r="I524" s="593"/>
      <c r="J524" s="333"/>
      <c r="K524" s="1142"/>
      <c r="L524" s="835">
        <v>42648.0</v>
      </c>
      <c r="M524" s="283" t="s">
        <v>9949</v>
      </c>
      <c r="N524" s="783" t="s">
        <v>10364</v>
      </c>
      <c r="O524" s="930"/>
      <c r="P524" s="1188"/>
      <c r="Q524" s="798" t="s">
        <v>6511</v>
      </c>
      <c r="R524" s="388"/>
      <c r="S524" s="1186"/>
      <c r="T524" s="1132"/>
      <c r="U524" s="265"/>
      <c r="V524" s="1135"/>
      <c r="W524" s="1163"/>
      <c r="X524" s="320"/>
      <c r="Y524" s="1141"/>
      <c r="Z524" s="1152"/>
      <c r="AA524" s="1141"/>
      <c r="AB524" s="1140"/>
    </row>
    <row r="525" ht="15.75" customHeight="1">
      <c r="A525" s="776">
        <v>42643.0</v>
      </c>
      <c r="B525" s="340" t="s">
        <v>101</v>
      </c>
      <c r="C525" s="265"/>
      <c r="D525" s="320" t="s">
        <v>10365</v>
      </c>
      <c r="E525" s="340" t="s">
        <v>10366</v>
      </c>
      <c r="F525" s="773">
        <v>1.0</v>
      </c>
      <c r="G525" s="773">
        <v>140.0</v>
      </c>
      <c r="H525" s="267">
        <f t="shared" ref="H525:H529" si="30">G525*F525</f>
        <v>140</v>
      </c>
      <c r="I525" s="266" t="s">
        <v>3474</v>
      </c>
      <c r="J525" s="333" t="s">
        <v>10367</v>
      </c>
      <c r="K525" s="832">
        <v>42646.0</v>
      </c>
      <c r="L525" s="1177"/>
      <c r="M525" s="333" t="s">
        <v>2032</v>
      </c>
      <c r="N525" s="265"/>
      <c r="O525" s="773"/>
      <c r="P525" s="1189">
        <v>3992.0</v>
      </c>
      <c r="Q525" s="320" t="s">
        <v>2033</v>
      </c>
      <c r="R525" s="388"/>
      <c r="S525" s="1145">
        <v>42680.0</v>
      </c>
      <c r="T525" s="1132">
        <v>42650.0</v>
      </c>
      <c r="U525" s="265" t="s">
        <v>10368</v>
      </c>
      <c r="V525" s="1135">
        <v>3992.0</v>
      </c>
      <c r="W525" s="832">
        <v>42678.0</v>
      </c>
      <c r="X525" s="265" t="s">
        <v>10226</v>
      </c>
      <c r="Y525" s="1141"/>
      <c r="Z525" s="1152"/>
      <c r="AA525" s="1141"/>
      <c r="AB525" s="388" t="s">
        <v>284</v>
      </c>
    </row>
    <row r="526" ht="15.75" customHeight="1">
      <c r="A526" s="776">
        <v>42643.0</v>
      </c>
      <c r="B526" s="340" t="s">
        <v>5188</v>
      </c>
      <c r="C526" s="320" t="s">
        <v>10369</v>
      </c>
      <c r="D526" s="320" t="s">
        <v>10370</v>
      </c>
      <c r="E526" s="340" t="s">
        <v>10371</v>
      </c>
      <c r="F526" s="773">
        <v>10.0</v>
      </c>
      <c r="G526" s="773">
        <f>9.4</f>
        <v>9.4</v>
      </c>
      <c r="H526" s="267">
        <f t="shared" si="30"/>
        <v>94</v>
      </c>
      <c r="I526" s="1031" t="s">
        <v>3474</v>
      </c>
      <c r="J526" s="333" t="s">
        <v>10372</v>
      </c>
      <c r="K526" s="832">
        <v>42656.0</v>
      </c>
      <c r="L526" s="832">
        <v>42655.0</v>
      </c>
      <c r="M526" s="333" t="s">
        <v>2508</v>
      </c>
      <c r="N526" s="265" t="s">
        <v>10373</v>
      </c>
      <c r="O526" s="773"/>
      <c r="P526" s="1012">
        <v>2678.0</v>
      </c>
      <c r="Q526" s="320" t="s">
        <v>4491</v>
      </c>
      <c r="R526" s="388"/>
      <c r="S526" s="1145">
        <v>42678.0</v>
      </c>
      <c r="T526" s="1132">
        <v>42647.0</v>
      </c>
      <c r="U526" s="265" t="s">
        <v>10374</v>
      </c>
      <c r="V526" s="1135">
        <v>6038.0</v>
      </c>
      <c r="W526" s="832">
        <v>42678.0</v>
      </c>
      <c r="X526" s="320" t="s">
        <v>10375</v>
      </c>
      <c r="Y526" s="340" t="s">
        <v>10376</v>
      </c>
      <c r="Z526" s="1149">
        <v>6560.0</v>
      </c>
      <c r="AA526" s="320" t="s">
        <v>9217</v>
      </c>
      <c r="AB526" s="1140"/>
    </row>
    <row r="527" ht="15.75" customHeight="1">
      <c r="A527" s="776">
        <v>42643.0</v>
      </c>
      <c r="B527" s="340" t="s">
        <v>5188</v>
      </c>
      <c r="C527" s="320" t="s">
        <v>10369</v>
      </c>
      <c r="D527" s="320" t="s">
        <v>10370</v>
      </c>
      <c r="E527" s="340" t="s">
        <v>10377</v>
      </c>
      <c r="F527" s="773">
        <v>10.0</v>
      </c>
      <c r="G527" s="773">
        <v>10.4</v>
      </c>
      <c r="H527" s="267">
        <f t="shared" si="30"/>
        <v>104</v>
      </c>
      <c r="I527" s="1031" t="s">
        <v>3474</v>
      </c>
      <c r="J527" s="333" t="s">
        <v>10372</v>
      </c>
      <c r="K527" s="832">
        <v>42656.0</v>
      </c>
      <c r="L527" s="832">
        <v>42655.0</v>
      </c>
      <c r="M527" s="333" t="s">
        <v>2508</v>
      </c>
      <c r="N527" s="265" t="s">
        <v>10373</v>
      </c>
      <c r="O527" s="773"/>
      <c r="P527" s="1012">
        <v>3360.0</v>
      </c>
      <c r="Q527" s="320" t="s">
        <v>4491</v>
      </c>
      <c r="R527" s="388"/>
      <c r="S527" s="1145">
        <v>42678.0</v>
      </c>
      <c r="T527" s="1132">
        <v>42647.0</v>
      </c>
      <c r="U527" s="265" t="s">
        <v>10374</v>
      </c>
      <c r="V527" s="1135" t="s">
        <v>10378</v>
      </c>
      <c r="W527" s="832">
        <v>42678.0</v>
      </c>
      <c r="X527" s="320" t="s">
        <v>10375</v>
      </c>
      <c r="Y527" s="340" t="s">
        <v>10376</v>
      </c>
      <c r="Z527" s="1149" t="s">
        <v>10379</v>
      </c>
      <c r="AA527" s="320" t="s">
        <v>9217</v>
      </c>
      <c r="AB527" s="1140"/>
    </row>
    <row r="528" ht="15.75" customHeight="1">
      <c r="A528" s="776">
        <v>42643.0</v>
      </c>
      <c r="B528" s="340" t="s">
        <v>416</v>
      </c>
      <c r="C528" s="265" t="s">
        <v>10380</v>
      </c>
      <c r="D528" s="320" t="s">
        <v>10381</v>
      </c>
      <c r="E528" s="340" t="s">
        <v>10382</v>
      </c>
      <c r="F528" s="773">
        <v>6.0</v>
      </c>
      <c r="G528" s="773">
        <v>453.0</v>
      </c>
      <c r="H528" s="267">
        <f t="shared" si="30"/>
        <v>2718</v>
      </c>
      <c r="I528" s="266" t="s">
        <v>171</v>
      </c>
      <c r="J528" s="333" t="s">
        <v>9656</v>
      </c>
      <c r="K528" s="832">
        <v>42663.0</v>
      </c>
      <c r="L528" s="832">
        <v>42649.0</v>
      </c>
      <c r="M528" s="333" t="s">
        <v>90</v>
      </c>
      <c r="N528" s="265" t="s">
        <v>10383</v>
      </c>
      <c r="O528" s="773">
        <v>2457.0</v>
      </c>
      <c r="P528" s="1179"/>
      <c r="Q528" s="320" t="s">
        <v>6081</v>
      </c>
      <c r="R528" s="388"/>
      <c r="S528" s="1145">
        <v>42709.0</v>
      </c>
      <c r="T528" s="1132">
        <v>42648.0</v>
      </c>
      <c r="U528" s="265" t="s">
        <v>10384</v>
      </c>
      <c r="V528" s="1135">
        <v>82740.0</v>
      </c>
      <c r="W528" s="1148">
        <v>42690.0</v>
      </c>
      <c r="X528" s="320" t="s">
        <v>10385</v>
      </c>
      <c r="Y528" s="1141"/>
      <c r="Z528" s="1152"/>
      <c r="AA528" s="1141"/>
      <c r="AB528" s="1140" t="s">
        <v>284</v>
      </c>
    </row>
    <row r="529" ht="15.75" customHeight="1">
      <c r="A529" s="776">
        <v>42643.0</v>
      </c>
      <c r="B529" s="340" t="s">
        <v>416</v>
      </c>
      <c r="C529" s="265" t="s">
        <v>10380</v>
      </c>
      <c r="D529" s="320" t="s">
        <v>10381</v>
      </c>
      <c r="E529" s="340" t="s">
        <v>7305</v>
      </c>
      <c r="F529" s="773">
        <v>6.0</v>
      </c>
      <c r="G529" s="773">
        <v>41.0</v>
      </c>
      <c r="H529" s="267">
        <f t="shared" si="30"/>
        <v>246</v>
      </c>
      <c r="I529" s="266" t="s">
        <v>171</v>
      </c>
      <c r="J529" s="333" t="s">
        <v>9656</v>
      </c>
      <c r="K529" s="832">
        <v>42663.0</v>
      </c>
      <c r="L529" s="832">
        <v>42649.0</v>
      </c>
      <c r="M529" s="333" t="s">
        <v>90</v>
      </c>
      <c r="N529" s="265" t="s">
        <v>10383</v>
      </c>
      <c r="O529" s="773">
        <v>189.0</v>
      </c>
      <c r="P529" s="1179"/>
      <c r="Q529" s="320" t="s">
        <v>6081</v>
      </c>
      <c r="R529" s="388"/>
      <c r="S529" s="1145">
        <v>42709.0</v>
      </c>
      <c r="T529" s="1132">
        <v>42648.0</v>
      </c>
      <c r="U529" s="265" t="s">
        <v>10384</v>
      </c>
      <c r="V529" s="1135" t="s">
        <v>10386</v>
      </c>
      <c r="W529" s="1148">
        <v>42690.0</v>
      </c>
      <c r="X529" s="320" t="s">
        <v>10385</v>
      </c>
      <c r="Y529" s="1141"/>
      <c r="Z529" s="1152"/>
      <c r="AA529" s="1141"/>
      <c r="AB529" s="1140" t="s">
        <v>284</v>
      </c>
    </row>
    <row r="530" ht="15.75" customHeight="1">
      <c r="A530" s="776">
        <v>42648.0</v>
      </c>
      <c r="B530" s="340" t="s">
        <v>101</v>
      </c>
      <c r="C530" s="265"/>
      <c r="D530" s="320" t="s">
        <v>10387</v>
      </c>
      <c r="E530" s="340" t="s">
        <v>10388</v>
      </c>
      <c r="F530" s="773">
        <v>1.0</v>
      </c>
      <c r="G530" s="773">
        <v>187.0</v>
      </c>
      <c r="H530" s="267">
        <f>F530*G530</f>
        <v>187</v>
      </c>
      <c r="I530" s="266" t="s">
        <v>3474</v>
      </c>
      <c r="J530" s="333" t="s">
        <v>10367</v>
      </c>
      <c r="K530" s="832">
        <v>42654.0</v>
      </c>
      <c r="L530" s="1177"/>
      <c r="M530" s="333" t="s">
        <v>2032</v>
      </c>
      <c r="N530" s="265"/>
      <c r="O530" s="773"/>
      <c r="P530" s="1189">
        <v>5516.0</v>
      </c>
      <c r="Q530" s="320" t="s">
        <v>2033</v>
      </c>
      <c r="R530" s="388"/>
      <c r="S530" s="1145">
        <v>42694.0</v>
      </c>
      <c r="T530" s="1132">
        <v>42664.0</v>
      </c>
      <c r="U530" s="265" t="s">
        <v>10389</v>
      </c>
      <c r="V530" s="1135">
        <v>7096.0</v>
      </c>
      <c r="W530" s="832">
        <v>42695.0</v>
      </c>
      <c r="X530" s="320" t="s">
        <v>10297</v>
      </c>
      <c r="Y530" s="1141"/>
      <c r="Z530" s="1152"/>
      <c r="AA530" s="1141"/>
      <c r="AB530" s="388" t="s">
        <v>284</v>
      </c>
    </row>
    <row r="531" ht="15.75" customHeight="1">
      <c r="A531" s="776">
        <v>42648.0</v>
      </c>
      <c r="B531" s="340" t="s">
        <v>5073</v>
      </c>
      <c r="C531" s="265" t="s">
        <v>10390</v>
      </c>
      <c r="D531" s="320" t="s">
        <v>10391</v>
      </c>
      <c r="E531" s="340" t="s">
        <v>6590</v>
      </c>
      <c r="F531" s="773">
        <v>1.0</v>
      </c>
      <c r="G531" s="773">
        <v>293.0</v>
      </c>
      <c r="H531" s="267">
        <f t="shared" ref="H531:H548" si="31">G531*F531</f>
        <v>293</v>
      </c>
      <c r="I531" s="266" t="s">
        <v>3474</v>
      </c>
      <c r="J531" s="333" t="s">
        <v>3749</v>
      </c>
      <c r="K531" s="832">
        <v>42660.0</v>
      </c>
      <c r="L531" s="832">
        <v>42650.0</v>
      </c>
      <c r="M531" s="333" t="s">
        <v>90</v>
      </c>
      <c r="N531" s="265" t="s">
        <v>10392</v>
      </c>
      <c r="O531" s="773">
        <v>238.602</v>
      </c>
      <c r="P531" s="1179"/>
      <c r="Q531" s="320" t="s">
        <v>6081</v>
      </c>
      <c r="R531" s="388"/>
      <c r="S531" s="1145">
        <v>42740.0</v>
      </c>
      <c r="T531" s="1132">
        <v>42669.0</v>
      </c>
      <c r="U531" s="265" t="s">
        <v>10393</v>
      </c>
      <c r="V531" s="1135">
        <v>10131.0</v>
      </c>
      <c r="W531" s="832">
        <v>42712.0</v>
      </c>
      <c r="X531" s="320" t="s">
        <v>10394</v>
      </c>
      <c r="Y531" s="1141"/>
      <c r="Z531" s="1152"/>
      <c r="AA531" s="1141"/>
      <c r="AB531" s="388" t="s">
        <v>284</v>
      </c>
    </row>
    <row r="532" ht="15.75" customHeight="1">
      <c r="A532" s="776">
        <v>42648.0</v>
      </c>
      <c r="B532" s="340" t="s">
        <v>5073</v>
      </c>
      <c r="C532" s="265" t="s">
        <v>10390</v>
      </c>
      <c r="D532" s="320" t="s">
        <v>10391</v>
      </c>
      <c r="E532" s="340" t="s">
        <v>10395</v>
      </c>
      <c r="F532" s="773">
        <v>1.0</v>
      </c>
      <c r="G532" s="773">
        <v>89.0</v>
      </c>
      <c r="H532" s="267">
        <f t="shared" si="31"/>
        <v>89</v>
      </c>
      <c r="I532" s="266" t="s">
        <v>3474</v>
      </c>
      <c r="J532" s="333" t="s">
        <v>3749</v>
      </c>
      <c r="K532" s="832">
        <v>42660.0</v>
      </c>
      <c r="L532" s="832">
        <v>42650.0</v>
      </c>
      <c r="M532" s="333" t="s">
        <v>90</v>
      </c>
      <c r="N532" s="265" t="s">
        <v>10392</v>
      </c>
      <c r="O532" s="773">
        <v>81.9</v>
      </c>
      <c r="P532" s="1179"/>
      <c r="Q532" s="320" t="s">
        <v>6081</v>
      </c>
      <c r="R532" s="388"/>
      <c r="S532" s="1145">
        <v>42740.0</v>
      </c>
      <c r="T532" s="1132">
        <v>42669.0</v>
      </c>
      <c r="U532" s="265" t="s">
        <v>10393</v>
      </c>
      <c r="V532" s="1135" t="s">
        <v>7774</v>
      </c>
      <c r="W532" s="832">
        <v>42712.0</v>
      </c>
      <c r="X532" s="320" t="s">
        <v>10394</v>
      </c>
      <c r="Y532" s="1141"/>
      <c r="Z532" s="1152"/>
      <c r="AA532" s="1141"/>
      <c r="AB532" s="388" t="s">
        <v>284</v>
      </c>
    </row>
    <row r="533" ht="15.75" customHeight="1">
      <c r="A533" s="776">
        <v>42648.0</v>
      </c>
      <c r="B533" s="340" t="s">
        <v>5073</v>
      </c>
      <c r="C533" s="265" t="s">
        <v>10390</v>
      </c>
      <c r="D533" s="320" t="s">
        <v>10391</v>
      </c>
      <c r="E533" s="340" t="s">
        <v>7613</v>
      </c>
      <c r="F533" s="773">
        <v>1.0</v>
      </c>
      <c r="G533" s="773">
        <v>129.0</v>
      </c>
      <c r="H533" s="267">
        <f t="shared" si="31"/>
        <v>129</v>
      </c>
      <c r="I533" s="266" t="s">
        <v>3474</v>
      </c>
      <c r="J533" s="333" t="s">
        <v>3749</v>
      </c>
      <c r="K533" s="832">
        <v>42660.0</v>
      </c>
      <c r="L533" s="832">
        <v>42655.0</v>
      </c>
      <c r="M533" s="333" t="s">
        <v>6120</v>
      </c>
      <c r="N533" s="265" t="s">
        <v>10396</v>
      </c>
      <c r="O533" s="773"/>
      <c r="P533" s="1012">
        <v>3904.0</v>
      </c>
      <c r="Q533" s="320" t="s">
        <v>6122</v>
      </c>
      <c r="R533" s="388"/>
      <c r="S533" s="1145">
        <v>42709.0</v>
      </c>
      <c r="T533" s="1132">
        <v>42652.0</v>
      </c>
      <c r="U533" s="265" t="s">
        <v>10397</v>
      </c>
      <c r="V533" s="1135">
        <v>3904.0</v>
      </c>
      <c r="W533" s="832">
        <v>42710.0</v>
      </c>
      <c r="X533" s="320" t="s">
        <v>10394</v>
      </c>
      <c r="Y533" s="1141"/>
      <c r="Z533" s="1152"/>
      <c r="AA533" s="1141"/>
      <c r="AB533" s="388" t="s">
        <v>284</v>
      </c>
    </row>
    <row r="534" ht="15.75" customHeight="1">
      <c r="A534" s="776">
        <v>42648.0</v>
      </c>
      <c r="B534" s="340" t="s">
        <v>101</v>
      </c>
      <c r="C534" s="265" t="s">
        <v>10398</v>
      </c>
      <c r="D534" s="320" t="s">
        <v>10399</v>
      </c>
      <c r="E534" s="340" t="s">
        <v>3966</v>
      </c>
      <c r="F534" s="773">
        <v>3.0</v>
      </c>
      <c r="G534" s="773">
        <v>550.0</v>
      </c>
      <c r="H534" s="267">
        <f t="shared" si="31"/>
        <v>1650</v>
      </c>
      <c r="I534" s="266" t="s">
        <v>3474</v>
      </c>
      <c r="J534" s="333" t="s">
        <v>10367</v>
      </c>
      <c r="K534" s="832">
        <v>42667.0</v>
      </c>
      <c r="L534" s="832">
        <v>42664.0</v>
      </c>
      <c r="M534" s="333" t="s">
        <v>2028</v>
      </c>
      <c r="N534" s="597" t="s">
        <v>10400</v>
      </c>
      <c r="O534" s="773"/>
      <c r="P534" s="1012">
        <v>49304.0</v>
      </c>
      <c r="Q534" s="340" t="s">
        <v>2030</v>
      </c>
      <c r="R534" s="388"/>
      <c r="S534" s="1145">
        <v>42661.0</v>
      </c>
      <c r="T534" s="1132">
        <v>42663.0</v>
      </c>
      <c r="U534" s="265" t="s">
        <v>10401</v>
      </c>
      <c r="V534" s="1135">
        <v>49304.0</v>
      </c>
      <c r="W534" s="832">
        <v>42663.0</v>
      </c>
      <c r="X534" s="265" t="s">
        <v>10402</v>
      </c>
      <c r="Y534" s="1141"/>
      <c r="Z534" s="1152"/>
      <c r="AA534" s="1141"/>
      <c r="AB534" s="388" t="s">
        <v>284</v>
      </c>
    </row>
    <row r="535" ht="15.75" customHeight="1">
      <c r="A535" s="776">
        <v>42648.0</v>
      </c>
      <c r="B535" s="340" t="s">
        <v>101</v>
      </c>
      <c r="C535" s="265" t="s">
        <v>10398</v>
      </c>
      <c r="D535" s="320" t="s">
        <v>10399</v>
      </c>
      <c r="E535" s="340" t="s">
        <v>10403</v>
      </c>
      <c r="F535" s="773">
        <v>3.0</v>
      </c>
      <c r="G535" s="773">
        <v>25.0</v>
      </c>
      <c r="H535" s="267">
        <f t="shared" si="31"/>
        <v>75</v>
      </c>
      <c r="I535" s="266" t="s">
        <v>3474</v>
      </c>
      <c r="J535" s="333" t="s">
        <v>10367</v>
      </c>
      <c r="K535" s="832">
        <v>42667.0</v>
      </c>
      <c r="L535" s="832">
        <v>42655.0</v>
      </c>
      <c r="M535" s="403" t="s">
        <v>10230</v>
      </c>
      <c r="N535" s="597" t="s">
        <v>10404</v>
      </c>
      <c r="O535" s="773"/>
      <c r="P535" s="1012">
        <v>2202.0</v>
      </c>
      <c r="Q535" s="320" t="s">
        <v>2172</v>
      </c>
      <c r="R535" s="388"/>
      <c r="S535" s="773" t="s">
        <v>10083</v>
      </c>
      <c r="T535" s="1132">
        <v>42650.0</v>
      </c>
      <c r="U535" s="265" t="s">
        <v>10405</v>
      </c>
      <c r="V535" s="1135">
        <v>2202.0</v>
      </c>
      <c r="W535" s="832"/>
      <c r="X535" s="265" t="s">
        <v>10402</v>
      </c>
      <c r="Y535" s="1141"/>
      <c r="Z535" s="1152"/>
      <c r="AA535" s="1141"/>
      <c r="AB535" s="388" t="s">
        <v>284</v>
      </c>
    </row>
    <row r="536" ht="15.75" customHeight="1">
      <c r="A536" s="776">
        <v>42648.0</v>
      </c>
      <c r="B536" s="340" t="s">
        <v>101</v>
      </c>
      <c r="C536" s="265" t="s">
        <v>10398</v>
      </c>
      <c r="D536" s="320" t="s">
        <v>10399</v>
      </c>
      <c r="E536" s="340" t="s">
        <v>6674</v>
      </c>
      <c r="F536" s="773">
        <v>3.0</v>
      </c>
      <c r="G536" s="773">
        <v>352.0</v>
      </c>
      <c r="H536" s="267">
        <f t="shared" si="31"/>
        <v>1056</v>
      </c>
      <c r="I536" s="266" t="s">
        <v>3474</v>
      </c>
      <c r="J536" s="333" t="s">
        <v>10367</v>
      </c>
      <c r="K536" s="832">
        <v>42667.0</v>
      </c>
      <c r="L536" s="832">
        <v>42655.0</v>
      </c>
      <c r="M536" s="333" t="s">
        <v>10233</v>
      </c>
      <c r="N536" s="265" t="s">
        <v>10406</v>
      </c>
      <c r="O536" s="773"/>
      <c r="P536" s="1012">
        <v>28148.0</v>
      </c>
      <c r="Q536" s="320" t="s">
        <v>3916</v>
      </c>
      <c r="R536" s="388"/>
      <c r="S536" s="1133">
        <v>42654.0</v>
      </c>
      <c r="T536" s="1132">
        <v>42650.0</v>
      </c>
      <c r="U536" s="265" t="s">
        <v>10407</v>
      </c>
      <c r="V536" s="1135">
        <v>28148.0</v>
      </c>
      <c r="W536" s="832">
        <v>42649.0</v>
      </c>
      <c r="X536" s="265" t="s">
        <v>10402</v>
      </c>
      <c r="Y536" s="1141"/>
      <c r="Z536" s="1152"/>
      <c r="AA536" s="1141"/>
      <c r="AB536" s="388" t="s">
        <v>284</v>
      </c>
    </row>
    <row r="537" ht="15.75" customHeight="1">
      <c r="A537" s="776">
        <v>42649.0</v>
      </c>
      <c r="B537" s="340" t="s">
        <v>77</v>
      </c>
      <c r="C537" s="265">
        <v>879.0</v>
      </c>
      <c r="D537" s="320" t="s">
        <v>10408</v>
      </c>
      <c r="E537" s="599" t="s">
        <v>10409</v>
      </c>
      <c r="F537" s="773">
        <v>20.0</v>
      </c>
      <c r="G537" s="773">
        <v>14.0</v>
      </c>
      <c r="H537" s="466">
        <f t="shared" si="31"/>
        <v>280</v>
      </c>
      <c r="I537" s="266" t="s">
        <v>171</v>
      </c>
      <c r="J537" s="269" t="s">
        <v>316</v>
      </c>
      <c r="K537" s="832">
        <v>42656.0</v>
      </c>
      <c r="L537" s="832">
        <v>42654.0</v>
      </c>
      <c r="M537" s="333" t="s">
        <v>6287</v>
      </c>
      <c r="N537" s="265" t="s">
        <v>10410</v>
      </c>
      <c r="O537" s="773">
        <v>252.0</v>
      </c>
      <c r="P537" s="340">
        <v>7933.0</v>
      </c>
      <c r="Q537" s="320" t="s">
        <v>2043</v>
      </c>
      <c r="R537" s="388"/>
      <c r="S537" s="1133">
        <v>42668.0</v>
      </c>
      <c r="T537" s="1132">
        <v>42654.0</v>
      </c>
      <c r="U537" s="265" t="s">
        <v>10411</v>
      </c>
      <c r="V537" s="1135">
        <v>7933.0</v>
      </c>
      <c r="W537" s="832">
        <v>42671.0</v>
      </c>
      <c r="X537" s="265" t="s">
        <v>10272</v>
      </c>
      <c r="Y537" s="1141"/>
      <c r="Z537" s="1152"/>
      <c r="AA537" s="1141"/>
      <c r="AB537" s="388" t="s">
        <v>284</v>
      </c>
    </row>
    <row r="538" ht="15.75" customHeight="1">
      <c r="A538" s="796">
        <v>42650.0</v>
      </c>
      <c r="B538" s="786" t="s">
        <v>6167</v>
      </c>
      <c r="C538" s="783">
        <v>7.000124604E9</v>
      </c>
      <c r="D538" s="800" t="s">
        <v>10412</v>
      </c>
      <c r="E538" s="786" t="s">
        <v>10413</v>
      </c>
      <c r="F538" s="930"/>
      <c r="G538" s="930">
        <v>15.0</v>
      </c>
      <c r="H538" s="834">
        <f t="shared" si="31"/>
        <v>0</v>
      </c>
      <c r="I538" s="797" t="s">
        <v>43</v>
      </c>
      <c r="J538" s="1190" t="s">
        <v>3623</v>
      </c>
      <c r="K538" s="282" t="s">
        <v>71</v>
      </c>
      <c r="L538" s="282" t="s">
        <v>71</v>
      </c>
      <c r="M538" s="283" t="s">
        <v>3593</v>
      </c>
      <c r="N538" s="783" t="s">
        <v>10414</v>
      </c>
      <c r="O538" s="930"/>
      <c r="P538" s="786">
        <v>687.0</v>
      </c>
      <c r="Q538" s="800" t="s">
        <v>6122</v>
      </c>
      <c r="R538" s="857"/>
      <c r="S538" s="1191"/>
      <c r="T538" s="1192"/>
      <c r="U538" s="783"/>
      <c r="V538" s="1193"/>
      <c r="W538" s="1170"/>
      <c r="X538" s="800"/>
      <c r="Y538" s="1171"/>
      <c r="Z538" s="1194"/>
      <c r="AA538" s="1171"/>
      <c r="AB538" s="1173"/>
    </row>
    <row r="539" ht="15.75" customHeight="1">
      <c r="A539" s="796">
        <v>42650.0</v>
      </c>
      <c r="B539" s="786" t="s">
        <v>6167</v>
      </c>
      <c r="C539" s="783">
        <v>7.000124604E9</v>
      </c>
      <c r="D539" s="800" t="s">
        <v>10412</v>
      </c>
      <c r="E539" s="786" t="s">
        <v>10415</v>
      </c>
      <c r="F539" s="930"/>
      <c r="G539" s="930">
        <v>307.0</v>
      </c>
      <c r="H539" s="834">
        <f t="shared" si="31"/>
        <v>0</v>
      </c>
      <c r="I539" s="797" t="s">
        <v>43</v>
      </c>
      <c r="J539" s="1190" t="s">
        <v>3623</v>
      </c>
      <c r="K539" s="282" t="s">
        <v>71</v>
      </c>
      <c r="L539" s="835">
        <v>42664.0</v>
      </c>
      <c r="M539" s="283" t="s">
        <v>3593</v>
      </c>
      <c r="N539" s="783" t="s">
        <v>10414</v>
      </c>
      <c r="O539" s="930"/>
      <c r="P539" s="786">
        <v>27862.0</v>
      </c>
      <c r="Q539" s="800" t="s">
        <v>6122</v>
      </c>
      <c r="R539" s="857"/>
      <c r="S539" s="1191"/>
      <c r="T539" s="1192"/>
      <c r="U539" s="783"/>
      <c r="V539" s="1193"/>
      <c r="W539" s="1170"/>
      <c r="X539" s="800"/>
      <c r="Y539" s="1171"/>
      <c r="Z539" s="1194"/>
      <c r="AA539" s="1171"/>
      <c r="AB539" s="1173"/>
    </row>
    <row r="540" ht="15.75" customHeight="1">
      <c r="A540" s="776">
        <v>42650.0</v>
      </c>
      <c r="B540" s="340" t="s">
        <v>6167</v>
      </c>
      <c r="C540" s="265">
        <v>7.000124734E9</v>
      </c>
      <c r="D540" s="320" t="s">
        <v>10412</v>
      </c>
      <c r="E540" s="340" t="s">
        <v>10416</v>
      </c>
      <c r="F540" s="773">
        <v>1.0</v>
      </c>
      <c r="G540" s="773">
        <v>43.0</v>
      </c>
      <c r="H540" s="466">
        <f t="shared" si="31"/>
        <v>43</v>
      </c>
      <c r="I540" s="266" t="s">
        <v>43</v>
      </c>
      <c r="J540" s="777" t="s">
        <v>3623</v>
      </c>
      <c r="K540" s="832">
        <v>42667.0</v>
      </c>
      <c r="L540" s="832">
        <v>42664.0</v>
      </c>
      <c r="M540" s="333" t="s">
        <v>3593</v>
      </c>
      <c r="N540" s="597" t="s">
        <v>10417</v>
      </c>
      <c r="O540" s="773"/>
      <c r="P540" s="340">
        <v>1168.0</v>
      </c>
      <c r="Q540" s="320" t="s">
        <v>6122</v>
      </c>
      <c r="R540" s="388"/>
      <c r="S540" s="1145">
        <v>42709.0</v>
      </c>
      <c r="T540" s="1132">
        <v>42664.0</v>
      </c>
      <c r="U540" s="265" t="s">
        <v>10418</v>
      </c>
      <c r="V540" s="1135">
        <v>39673.0</v>
      </c>
      <c r="W540" s="258">
        <v>42710.0</v>
      </c>
      <c r="X540" s="320" t="s">
        <v>10419</v>
      </c>
      <c r="Y540" s="1141"/>
      <c r="Z540" s="1152"/>
      <c r="AA540" s="1141"/>
      <c r="AB540" s="1140" t="s">
        <v>10420</v>
      </c>
    </row>
    <row r="541" ht="15.75" customHeight="1">
      <c r="A541" s="776">
        <v>42650.0</v>
      </c>
      <c r="B541" s="340" t="s">
        <v>6167</v>
      </c>
      <c r="C541" s="265">
        <v>7.000124734E9</v>
      </c>
      <c r="D541" s="320" t="s">
        <v>10412</v>
      </c>
      <c r="E541" s="340" t="s">
        <v>10421</v>
      </c>
      <c r="F541" s="773">
        <v>1.0</v>
      </c>
      <c r="G541" s="773">
        <v>1317.0</v>
      </c>
      <c r="H541" s="466">
        <f t="shared" si="31"/>
        <v>1317</v>
      </c>
      <c r="I541" s="266" t="s">
        <v>43</v>
      </c>
      <c r="J541" s="777" t="s">
        <v>3623</v>
      </c>
      <c r="K541" s="832">
        <v>42667.0</v>
      </c>
      <c r="L541" s="832">
        <v>42664.0</v>
      </c>
      <c r="M541" s="333" t="s">
        <v>3593</v>
      </c>
      <c r="N541" s="597" t="s">
        <v>10417</v>
      </c>
      <c r="O541" s="773"/>
      <c r="P541" s="340">
        <v>38505.0</v>
      </c>
      <c r="Q541" s="320" t="s">
        <v>6122</v>
      </c>
      <c r="R541" s="388"/>
      <c r="S541" s="1145">
        <v>42709.0</v>
      </c>
      <c r="T541" s="1132">
        <v>42664.0</v>
      </c>
      <c r="U541" s="265" t="s">
        <v>10418</v>
      </c>
      <c r="V541" s="1135" t="s">
        <v>10422</v>
      </c>
      <c r="W541" s="258">
        <v>42710.0</v>
      </c>
      <c r="X541" s="320" t="s">
        <v>10419</v>
      </c>
      <c r="Y541" s="1141"/>
      <c r="Z541" s="1152"/>
      <c r="AA541" s="1141"/>
      <c r="AB541" s="1140" t="s">
        <v>10420</v>
      </c>
    </row>
    <row r="542" ht="15.75" customHeight="1">
      <c r="A542" s="776">
        <v>42650.0</v>
      </c>
      <c r="B542" s="340" t="s">
        <v>1204</v>
      </c>
      <c r="C542" s="265" t="s">
        <v>10423</v>
      </c>
      <c r="D542" s="320" t="s">
        <v>10424</v>
      </c>
      <c r="E542" s="340" t="s">
        <v>10425</v>
      </c>
      <c r="F542" s="1137">
        <v>2.0</v>
      </c>
      <c r="G542" s="267">
        <v>177.0</v>
      </c>
      <c r="H542" s="466">
        <f t="shared" si="31"/>
        <v>354</v>
      </c>
      <c r="I542" s="266" t="s">
        <v>43</v>
      </c>
      <c r="J542" s="269" t="s">
        <v>8819</v>
      </c>
      <c r="K542" s="832">
        <v>42674.0</v>
      </c>
      <c r="L542" s="832">
        <v>42656.0</v>
      </c>
      <c r="M542" s="333" t="s">
        <v>90</v>
      </c>
      <c r="N542" s="265" t="s">
        <v>10426</v>
      </c>
      <c r="O542" s="1147">
        <v>306.6</v>
      </c>
      <c r="P542" s="1179"/>
      <c r="Q542" s="320" t="s">
        <v>6081</v>
      </c>
      <c r="R542" s="388"/>
      <c r="S542" s="1145">
        <v>42709.0</v>
      </c>
      <c r="T542" s="1132">
        <v>42656.0</v>
      </c>
      <c r="U542" s="265" t="s">
        <v>10427</v>
      </c>
      <c r="V542" s="1135">
        <v>9598.0</v>
      </c>
      <c r="W542" s="832">
        <v>42712.0</v>
      </c>
      <c r="X542" s="320" t="s">
        <v>10428</v>
      </c>
      <c r="Y542" s="1141"/>
      <c r="Z542" s="1152"/>
      <c r="AA542" s="1141"/>
      <c r="AB542" s="388" t="s">
        <v>284</v>
      </c>
    </row>
    <row r="543" ht="15.75" customHeight="1">
      <c r="A543" s="776">
        <v>42650.0</v>
      </c>
      <c r="B543" s="340" t="s">
        <v>1204</v>
      </c>
      <c r="C543" s="265" t="s">
        <v>10423</v>
      </c>
      <c r="D543" s="320" t="s">
        <v>10424</v>
      </c>
      <c r="E543" s="340" t="s">
        <v>9428</v>
      </c>
      <c r="F543" s="1137">
        <v>1.0</v>
      </c>
      <c r="G543" s="267">
        <v>553.0</v>
      </c>
      <c r="H543" s="466">
        <f t="shared" si="31"/>
        <v>553</v>
      </c>
      <c r="I543" s="266" t="s">
        <v>43</v>
      </c>
      <c r="J543" s="269" t="s">
        <v>8819</v>
      </c>
      <c r="K543" s="832">
        <v>42674.0</v>
      </c>
      <c r="L543" s="832">
        <v>42664.0</v>
      </c>
      <c r="M543" s="333" t="s">
        <v>3840</v>
      </c>
      <c r="N543" s="265" t="s">
        <v>10429</v>
      </c>
      <c r="O543" s="773"/>
      <c r="P543" s="340">
        <v>14700.0</v>
      </c>
      <c r="Q543" s="320" t="s">
        <v>3842</v>
      </c>
      <c r="R543" s="388"/>
      <c r="S543" s="1133">
        <v>42709.0</v>
      </c>
      <c r="T543" s="1132">
        <v>42663.0</v>
      </c>
      <c r="U543" s="265" t="s">
        <v>10430</v>
      </c>
      <c r="V543" s="1135">
        <v>14700.0</v>
      </c>
      <c r="W543" s="832">
        <v>42709.0</v>
      </c>
      <c r="X543" s="320" t="s">
        <v>10428</v>
      </c>
      <c r="Y543" s="1141"/>
      <c r="Z543" s="1152"/>
      <c r="AA543" s="1141"/>
      <c r="AB543" s="388" t="s">
        <v>284</v>
      </c>
    </row>
    <row r="544" ht="15.75" customHeight="1">
      <c r="A544" s="776">
        <v>42650.0</v>
      </c>
      <c r="B544" s="340" t="s">
        <v>1204</v>
      </c>
      <c r="C544" s="265" t="s">
        <v>10423</v>
      </c>
      <c r="D544" s="320" t="s">
        <v>10424</v>
      </c>
      <c r="E544" s="340" t="s">
        <v>9431</v>
      </c>
      <c r="F544" s="1137">
        <v>1.0</v>
      </c>
      <c r="G544" s="267">
        <v>35.0</v>
      </c>
      <c r="H544" s="466">
        <f t="shared" si="31"/>
        <v>35</v>
      </c>
      <c r="I544" s="266" t="s">
        <v>43</v>
      </c>
      <c r="J544" s="269" t="s">
        <v>8819</v>
      </c>
      <c r="K544" s="832">
        <v>42674.0</v>
      </c>
      <c r="L544" s="832">
        <v>42662.0</v>
      </c>
      <c r="M544" s="333" t="s">
        <v>10431</v>
      </c>
      <c r="N544" s="265" t="s">
        <v>10432</v>
      </c>
      <c r="O544" s="773"/>
      <c r="P544" s="340">
        <v>968.0</v>
      </c>
      <c r="Q544" s="320" t="s">
        <v>2172</v>
      </c>
      <c r="R544" s="388"/>
      <c r="S544" s="773" t="s">
        <v>10083</v>
      </c>
      <c r="T544" s="1132">
        <v>42660.0</v>
      </c>
      <c r="U544" s="265" t="s">
        <v>10433</v>
      </c>
      <c r="V544" s="1135">
        <v>1787.0</v>
      </c>
      <c r="W544" s="832"/>
      <c r="X544" s="320" t="s">
        <v>10428</v>
      </c>
      <c r="Y544" s="1141"/>
      <c r="Z544" s="1152"/>
      <c r="AA544" s="1141"/>
      <c r="AB544" s="388" t="s">
        <v>284</v>
      </c>
    </row>
    <row r="545" ht="15.75" customHeight="1">
      <c r="A545" s="776">
        <v>42650.0</v>
      </c>
      <c r="B545" s="340" t="s">
        <v>1204</v>
      </c>
      <c r="C545" s="265" t="s">
        <v>10423</v>
      </c>
      <c r="D545" s="320" t="s">
        <v>10424</v>
      </c>
      <c r="E545" s="340" t="s">
        <v>9434</v>
      </c>
      <c r="F545" s="1137">
        <v>1.0</v>
      </c>
      <c r="G545" s="267">
        <v>45.0</v>
      </c>
      <c r="H545" s="466">
        <f t="shared" si="31"/>
        <v>45</v>
      </c>
      <c r="I545" s="266" t="s">
        <v>43</v>
      </c>
      <c r="J545" s="269" t="s">
        <v>8819</v>
      </c>
      <c r="K545" s="832">
        <v>42674.0</v>
      </c>
      <c r="L545" s="832">
        <v>42662.0</v>
      </c>
      <c r="M545" s="333" t="s">
        <v>10431</v>
      </c>
      <c r="N545" s="265" t="s">
        <v>10432</v>
      </c>
      <c r="O545" s="773"/>
      <c r="P545" s="340">
        <v>819.0</v>
      </c>
      <c r="Q545" s="320" t="s">
        <v>2172</v>
      </c>
      <c r="R545" s="388"/>
      <c r="S545" s="773" t="s">
        <v>10083</v>
      </c>
      <c r="T545" s="1132">
        <v>42660.0</v>
      </c>
      <c r="U545" s="265" t="s">
        <v>10433</v>
      </c>
      <c r="V545" s="1135" t="s">
        <v>10434</v>
      </c>
      <c r="W545" s="832"/>
      <c r="X545" s="320" t="s">
        <v>10428</v>
      </c>
      <c r="Y545" s="1141"/>
      <c r="Z545" s="1152"/>
      <c r="AA545" s="1141"/>
      <c r="AB545" s="388" t="s">
        <v>284</v>
      </c>
    </row>
    <row r="546" ht="15.75" customHeight="1">
      <c r="A546" s="776">
        <v>42650.0</v>
      </c>
      <c r="B546" s="340" t="s">
        <v>1204</v>
      </c>
      <c r="C546" s="265" t="s">
        <v>10423</v>
      </c>
      <c r="D546" s="320" t="s">
        <v>10424</v>
      </c>
      <c r="E546" s="340" t="s">
        <v>10435</v>
      </c>
      <c r="F546" s="1137">
        <v>1.0</v>
      </c>
      <c r="G546" s="267">
        <v>30.0</v>
      </c>
      <c r="H546" s="466">
        <f t="shared" si="31"/>
        <v>30</v>
      </c>
      <c r="I546" s="266" t="s">
        <v>43</v>
      </c>
      <c r="J546" s="269" t="s">
        <v>8819</v>
      </c>
      <c r="K546" s="832">
        <v>42674.0</v>
      </c>
      <c r="L546" s="832">
        <v>42664.0</v>
      </c>
      <c r="M546" s="333" t="s">
        <v>9183</v>
      </c>
      <c r="N546" s="265"/>
      <c r="O546" s="773"/>
      <c r="P546" s="340">
        <v>600.0</v>
      </c>
      <c r="Q546" s="320" t="s">
        <v>9711</v>
      </c>
      <c r="R546" s="388"/>
      <c r="S546" s="1186"/>
      <c r="T546" s="265" t="s">
        <v>5701</v>
      </c>
      <c r="U546" s="265" t="s">
        <v>5701</v>
      </c>
      <c r="V546" s="265" t="s">
        <v>5701</v>
      </c>
      <c r="W546" s="832"/>
      <c r="X546" s="320" t="s">
        <v>10428</v>
      </c>
      <c r="Y546" s="1141"/>
      <c r="Z546" s="1152"/>
      <c r="AA546" s="1141"/>
      <c r="AB546" s="388" t="s">
        <v>284</v>
      </c>
    </row>
    <row r="547" ht="15.75" customHeight="1">
      <c r="A547" s="776">
        <v>42651.0</v>
      </c>
      <c r="B547" s="340" t="s">
        <v>1204</v>
      </c>
      <c r="C547" s="265" t="s">
        <v>10436</v>
      </c>
      <c r="D547" s="320" t="s">
        <v>10437</v>
      </c>
      <c r="E547" s="340" t="s">
        <v>10438</v>
      </c>
      <c r="F547" s="773">
        <v>1.0</v>
      </c>
      <c r="G547" s="773">
        <v>150.0</v>
      </c>
      <c r="H547" s="466">
        <f t="shared" si="31"/>
        <v>150</v>
      </c>
      <c r="I547" s="266" t="s">
        <v>43</v>
      </c>
      <c r="J547" s="266" t="s">
        <v>6027</v>
      </c>
      <c r="K547" s="832">
        <v>42723.0</v>
      </c>
      <c r="L547" s="832">
        <v>42717.0</v>
      </c>
      <c r="M547" s="333" t="s">
        <v>10439</v>
      </c>
      <c r="N547" s="265" t="s">
        <v>10440</v>
      </c>
      <c r="O547" s="773"/>
      <c r="P547" s="340">
        <v>3329.0</v>
      </c>
      <c r="Q547" s="604" t="s">
        <v>10441</v>
      </c>
      <c r="R547" s="388"/>
      <c r="S547" s="1145">
        <v>42717.0</v>
      </c>
      <c r="T547" s="1132">
        <v>42716.0</v>
      </c>
      <c r="U547" s="265" t="s">
        <v>10442</v>
      </c>
      <c r="V547" s="1135">
        <v>3329.0</v>
      </c>
      <c r="W547" s="832">
        <v>42716.0</v>
      </c>
      <c r="X547" s="320" t="s">
        <v>10443</v>
      </c>
      <c r="Y547" s="1141"/>
      <c r="Z547" s="1152"/>
      <c r="AA547" s="1141"/>
      <c r="AB547" s="1140" t="s">
        <v>284</v>
      </c>
    </row>
    <row r="548" ht="15.75" customHeight="1">
      <c r="A548" s="776">
        <v>42654.0</v>
      </c>
      <c r="B548" s="340" t="s">
        <v>77</v>
      </c>
      <c r="C548" s="265">
        <v>888.0</v>
      </c>
      <c r="D548" s="320" t="s">
        <v>10444</v>
      </c>
      <c r="E548" s="578" t="s">
        <v>9326</v>
      </c>
      <c r="F548" s="773">
        <v>10.0</v>
      </c>
      <c r="G548" s="773">
        <v>285.0</v>
      </c>
      <c r="H548" s="466">
        <f t="shared" si="31"/>
        <v>2850</v>
      </c>
      <c r="I548" s="266" t="s">
        <v>171</v>
      </c>
      <c r="J548" s="269" t="s">
        <v>316</v>
      </c>
      <c r="K548" s="832">
        <v>42670.0</v>
      </c>
      <c r="L548" s="832">
        <v>42670.0</v>
      </c>
      <c r="M548" s="333" t="s">
        <v>1998</v>
      </c>
      <c r="N548" s="597" t="s">
        <v>10445</v>
      </c>
      <c r="O548" s="773">
        <v>2625.0</v>
      </c>
      <c r="P548" s="340">
        <v>82845.0</v>
      </c>
      <c r="Q548" s="320" t="s">
        <v>2000</v>
      </c>
      <c r="R548" s="388"/>
      <c r="S548" s="1145">
        <v>42709.0</v>
      </c>
      <c r="T548" s="1132">
        <v>42670.0</v>
      </c>
      <c r="U548" s="320" t="s">
        <v>10446</v>
      </c>
      <c r="V548" s="1135">
        <v>82845.0</v>
      </c>
      <c r="W548" s="832">
        <v>42710.0</v>
      </c>
      <c r="X548" s="320" t="s">
        <v>10447</v>
      </c>
      <c r="Y548" s="1141"/>
      <c r="Z548" s="1152"/>
      <c r="AA548" s="1141"/>
      <c r="AB548" s="388" t="s">
        <v>284</v>
      </c>
    </row>
    <row r="549" ht="15.75" customHeight="1">
      <c r="A549" s="776">
        <v>42654.0</v>
      </c>
      <c r="B549" s="340" t="s">
        <v>101</v>
      </c>
      <c r="C549" s="265"/>
      <c r="D549" s="320" t="s">
        <v>10448</v>
      </c>
      <c r="E549" s="340" t="s">
        <v>10449</v>
      </c>
      <c r="F549" s="773">
        <v>1.0</v>
      </c>
      <c r="G549" s="773">
        <v>0.0</v>
      </c>
      <c r="H549" s="466">
        <v>0.0</v>
      </c>
      <c r="I549" s="266" t="s">
        <v>3474</v>
      </c>
      <c r="J549" s="333"/>
      <c r="K549" s="832">
        <v>42648.0</v>
      </c>
      <c r="L549" s="832">
        <v>42724.0</v>
      </c>
      <c r="M549" s="333" t="s">
        <v>2032</v>
      </c>
      <c r="N549" s="265"/>
      <c r="O549" s="773"/>
      <c r="P549" s="1195"/>
      <c r="Q549" s="320" t="s">
        <v>2033</v>
      </c>
      <c r="R549" s="388"/>
      <c r="S549" s="1186"/>
      <c r="T549" s="1132"/>
      <c r="U549" s="265"/>
      <c r="V549" s="1135"/>
      <c r="W549" s="1163"/>
      <c r="X549" s="320"/>
      <c r="Y549" s="1141"/>
      <c r="Z549" s="1152"/>
      <c r="AA549" s="1141"/>
      <c r="AB549" s="388" t="s">
        <v>8327</v>
      </c>
    </row>
    <row r="550" ht="15.75" customHeight="1">
      <c r="A550" s="776">
        <v>42656.0</v>
      </c>
      <c r="B550" s="340" t="s">
        <v>101</v>
      </c>
      <c r="C550" s="265"/>
      <c r="D550" s="320" t="s">
        <v>10450</v>
      </c>
      <c r="E550" s="340" t="s">
        <v>10451</v>
      </c>
      <c r="F550" s="773">
        <v>1.0</v>
      </c>
      <c r="G550" s="773">
        <v>56.0</v>
      </c>
      <c r="H550" s="466">
        <f t="shared" ref="H550:H584" si="32">G550*F550</f>
        <v>56</v>
      </c>
      <c r="I550" s="266" t="s">
        <v>3474</v>
      </c>
      <c r="J550" s="333" t="s">
        <v>6027</v>
      </c>
      <c r="K550" s="832">
        <v>42656.0</v>
      </c>
      <c r="L550" s="1177"/>
      <c r="M550" s="333" t="s">
        <v>2032</v>
      </c>
      <c r="N550" s="265"/>
      <c r="O550" s="773"/>
      <c r="P550" s="1189">
        <v>1580.0</v>
      </c>
      <c r="Q550" s="320" t="s">
        <v>2033</v>
      </c>
      <c r="R550" s="388"/>
      <c r="S550" s="1145">
        <v>42694.0</v>
      </c>
      <c r="T550" s="1132">
        <v>42664.0</v>
      </c>
      <c r="U550" s="265" t="s">
        <v>10389</v>
      </c>
      <c r="V550" s="256" t="s">
        <v>10452</v>
      </c>
      <c r="W550" s="832">
        <v>42695.0</v>
      </c>
      <c r="X550" s="265" t="s">
        <v>10348</v>
      </c>
      <c r="Y550" s="1141"/>
      <c r="Z550" s="1152"/>
      <c r="AA550" s="1141"/>
      <c r="AB550" s="388" t="s">
        <v>284</v>
      </c>
    </row>
    <row r="551" ht="15.75" customHeight="1">
      <c r="A551" s="776">
        <v>42656.0</v>
      </c>
      <c r="B551" s="340" t="s">
        <v>6167</v>
      </c>
      <c r="C551" s="265">
        <v>7.000124761E9</v>
      </c>
      <c r="D551" s="320" t="s">
        <v>10453</v>
      </c>
      <c r="E551" s="340" t="s">
        <v>4657</v>
      </c>
      <c r="F551" s="773">
        <v>3.0</v>
      </c>
      <c r="G551" s="773">
        <v>110.0</v>
      </c>
      <c r="H551" s="466">
        <f t="shared" si="32"/>
        <v>330</v>
      </c>
      <c r="I551" s="266" t="s">
        <v>43</v>
      </c>
      <c r="J551" s="777" t="s">
        <v>3623</v>
      </c>
      <c r="K551" s="832">
        <v>42667.0</v>
      </c>
      <c r="L551" s="832">
        <v>42662.0</v>
      </c>
      <c r="M551" s="333" t="s">
        <v>6120</v>
      </c>
      <c r="N551" s="320" t="s">
        <v>10454</v>
      </c>
      <c r="O551" s="773"/>
      <c r="P551" s="340">
        <v>9645.0</v>
      </c>
      <c r="Q551" s="320" t="s">
        <v>6122</v>
      </c>
      <c r="R551" s="388"/>
      <c r="S551" s="1145">
        <v>42709.0</v>
      </c>
      <c r="T551" s="1132">
        <v>42657.0</v>
      </c>
      <c r="U551" s="265" t="s">
        <v>10455</v>
      </c>
      <c r="V551" s="1135">
        <v>9645.0</v>
      </c>
      <c r="W551" s="258">
        <v>42710.0</v>
      </c>
      <c r="X551" s="320" t="s">
        <v>10419</v>
      </c>
      <c r="Y551" s="1141"/>
      <c r="Z551" s="1152"/>
      <c r="AA551" s="1141"/>
      <c r="AB551" s="1140"/>
    </row>
    <row r="552" ht="15.75" customHeight="1">
      <c r="A552" s="776">
        <v>42657.0</v>
      </c>
      <c r="B552" s="340" t="s">
        <v>631</v>
      </c>
      <c r="C552" s="265" t="s">
        <v>10456</v>
      </c>
      <c r="D552" s="320" t="s">
        <v>10457</v>
      </c>
      <c r="E552" s="340" t="s">
        <v>4269</v>
      </c>
      <c r="F552" s="773">
        <v>10.0</v>
      </c>
      <c r="G552" s="773">
        <v>170.1</v>
      </c>
      <c r="H552" s="466">
        <f t="shared" si="32"/>
        <v>1701</v>
      </c>
      <c r="I552" s="266" t="s">
        <v>171</v>
      </c>
      <c r="J552" s="333" t="s">
        <v>10458</v>
      </c>
      <c r="K552" s="832">
        <v>42664.0</v>
      </c>
      <c r="L552" s="832">
        <v>42664.0</v>
      </c>
      <c r="M552" s="403" t="s">
        <v>9851</v>
      </c>
      <c r="N552" s="422" t="s">
        <v>10459</v>
      </c>
      <c r="O552" s="773"/>
      <c r="P552" s="340">
        <v>50925.0</v>
      </c>
      <c r="Q552" s="320" t="s">
        <v>6511</v>
      </c>
      <c r="R552" s="388"/>
      <c r="S552" s="1145">
        <v>42662.0</v>
      </c>
      <c r="T552" s="1132">
        <v>42663.0</v>
      </c>
      <c r="U552" s="265" t="s">
        <v>10460</v>
      </c>
      <c r="V552" s="1135">
        <v>50925.0</v>
      </c>
      <c r="W552" s="832">
        <v>42662.0</v>
      </c>
      <c r="X552" s="320" t="s">
        <v>10461</v>
      </c>
      <c r="Y552" s="320" t="s">
        <v>10462</v>
      </c>
      <c r="Z552" s="1149">
        <v>53777.0</v>
      </c>
      <c r="AA552" s="320" t="s">
        <v>10463</v>
      </c>
      <c r="AB552" s="1140"/>
    </row>
    <row r="553" ht="15.75" customHeight="1">
      <c r="A553" s="776">
        <v>42657.0</v>
      </c>
      <c r="B553" s="340" t="s">
        <v>631</v>
      </c>
      <c r="C553" s="265" t="s">
        <v>10456</v>
      </c>
      <c r="D553" s="320" t="s">
        <v>10464</v>
      </c>
      <c r="E553" s="340" t="s">
        <v>4269</v>
      </c>
      <c r="F553" s="773">
        <v>14.0</v>
      </c>
      <c r="G553" s="773">
        <v>170.1</v>
      </c>
      <c r="H553" s="466">
        <f t="shared" si="32"/>
        <v>2381.4</v>
      </c>
      <c r="I553" s="266" t="s">
        <v>171</v>
      </c>
      <c r="J553" s="333" t="s">
        <v>10465</v>
      </c>
      <c r="K553" s="832">
        <v>42671.0</v>
      </c>
      <c r="L553" s="832">
        <v>42671.0</v>
      </c>
      <c r="M553" s="403" t="s">
        <v>2263</v>
      </c>
      <c r="N553" s="422" t="s">
        <v>10466</v>
      </c>
      <c r="O553" s="773"/>
      <c r="P553" s="1012">
        <v>71295.0</v>
      </c>
      <c r="Q553" s="320" t="s">
        <v>2265</v>
      </c>
      <c r="R553" s="388"/>
      <c r="S553" s="1145">
        <v>42669.0</v>
      </c>
      <c r="T553" s="1132">
        <v>42670.0</v>
      </c>
      <c r="U553" s="265" t="s">
        <v>10467</v>
      </c>
      <c r="V553" s="1135">
        <v>71295.0</v>
      </c>
      <c r="W553" s="832">
        <v>42671.0</v>
      </c>
      <c r="X553" s="320" t="s">
        <v>10468</v>
      </c>
      <c r="Y553" s="320" t="s">
        <v>10469</v>
      </c>
      <c r="Z553" s="1149">
        <v>112967.0</v>
      </c>
      <c r="AA553" s="320" t="s">
        <v>9217</v>
      </c>
      <c r="AB553" s="1140"/>
    </row>
    <row r="554" ht="15.75" customHeight="1">
      <c r="A554" s="776">
        <v>42657.0</v>
      </c>
      <c r="B554" s="340" t="s">
        <v>631</v>
      </c>
      <c r="C554" s="265" t="s">
        <v>10456</v>
      </c>
      <c r="D554" s="320" t="s">
        <v>10470</v>
      </c>
      <c r="E554" s="340" t="s">
        <v>4269</v>
      </c>
      <c r="F554" s="773">
        <v>7.0</v>
      </c>
      <c r="G554" s="773">
        <v>170.1</v>
      </c>
      <c r="H554" s="466">
        <f t="shared" si="32"/>
        <v>1190.7</v>
      </c>
      <c r="I554" s="266" t="s">
        <v>171</v>
      </c>
      <c r="J554" s="333" t="s">
        <v>10471</v>
      </c>
      <c r="K554" s="832">
        <v>42671.0</v>
      </c>
      <c r="L554" s="832">
        <v>42671.0</v>
      </c>
      <c r="M554" s="403" t="s">
        <v>10133</v>
      </c>
      <c r="N554" s="422" t="s">
        <v>10472</v>
      </c>
      <c r="O554" s="773"/>
      <c r="P554" s="340">
        <v>38161.0</v>
      </c>
      <c r="Q554" s="320" t="s">
        <v>3435</v>
      </c>
      <c r="R554" s="388"/>
      <c r="S554" s="1145">
        <v>42662.0</v>
      </c>
      <c r="T554" s="1132">
        <v>42671.0</v>
      </c>
      <c r="U554" s="265" t="s">
        <v>10473</v>
      </c>
      <c r="V554" s="1135">
        <v>38161.0</v>
      </c>
      <c r="W554" s="832">
        <v>42662.0</v>
      </c>
      <c r="X554" s="320" t="s">
        <v>10468</v>
      </c>
      <c r="Y554" s="320" t="s">
        <v>10469</v>
      </c>
      <c r="Z554" s="1149" t="s">
        <v>10474</v>
      </c>
      <c r="AA554" s="320" t="s">
        <v>9217</v>
      </c>
      <c r="AB554" s="1140"/>
    </row>
    <row r="555" ht="15.75" customHeight="1">
      <c r="A555" s="776">
        <v>42657.0</v>
      </c>
      <c r="B555" s="340" t="s">
        <v>631</v>
      </c>
      <c r="C555" s="265" t="s">
        <v>10456</v>
      </c>
      <c r="D555" s="320" t="s">
        <v>10475</v>
      </c>
      <c r="E555" s="340" t="s">
        <v>4269</v>
      </c>
      <c r="F555" s="773">
        <v>14.0</v>
      </c>
      <c r="G555" s="773">
        <v>170.1</v>
      </c>
      <c r="H555" s="466">
        <f t="shared" si="32"/>
        <v>2381.4</v>
      </c>
      <c r="I555" s="266" t="s">
        <v>171</v>
      </c>
      <c r="J555" s="333" t="s">
        <v>6141</v>
      </c>
      <c r="K555" s="832">
        <v>42691.0</v>
      </c>
      <c r="L555" s="832">
        <v>42688.0</v>
      </c>
      <c r="M555" s="403" t="s">
        <v>10133</v>
      </c>
      <c r="N555" s="422" t="s">
        <v>10476</v>
      </c>
      <c r="O555" s="773"/>
      <c r="P555" s="340">
        <v>76073.0</v>
      </c>
      <c r="Q555" s="320" t="s">
        <v>3435</v>
      </c>
      <c r="R555" s="388"/>
      <c r="S555" s="1145">
        <v>42678.0</v>
      </c>
      <c r="T555" s="1132">
        <v>42685.0</v>
      </c>
      <c r="U555" s="265" t="s">
        <v>10477</v>
      </c>
      <c r="V555" s="1135">
        <v>76073.0</v>
      </c>
      <c r="W555" s="832">
        <v>42678.0</v>
      </c>
      <c r="X555" s="320" t="s">
        <v>10478</v>
      </c>
      <c r="Y555" s="320" t="s">
        <v>10479</v>
      </c>
      <c r="Z555" s="1149">
        <v>75824.0</v>
      </c>
      <c r="AA555" s="320" t="s">
        <v>9217</v>
      </c>
      <c r="AB555" s="388"/>
    </row>
    <row r="556" ht="15.75" customHeight="1">
      <c r="A556" s="776">
        <v>42657.0</v>
      </c>
      <c r="B556" s="340" t="s">
        <v>631</v>
      </c>
      <c r="C556" s="265" t="s">
        <v>10456</v>
      </c>
      <c r="D556" s="320" t="s">
        <v>10480</v>
      </c>
      <c r="E556" s="340" t="s">
        <v>4269</v>
      </c>
      <c r="F556" s="773">
        <v>10.0</v>
      </c>
      <c r="G556" s="773">
        <v>170.1</v>
      </c>
      <c r="H556" s="466">
        <f t="shared" si="32"/>
        <v>1701</v>
      </c>
      <c r="I556" s="266" t="s">
        <v>171</v>
      </c>
      <c r="J556" s="333" t="s">
        <v>10458</v>
      </c>
      <c r="K556" s="832">
        <v>42685.0</v>
      </c>
      <c r="L556" s="832">
        <v>42683.0</v>
      </c>
      <c r="M556" s="403" t="s">
        <v>2263</v>
      </c>
      <c r="N556" s="597" t="s">
        <v>10481</v>
      </c>
      <c r="O556" s="773"/>
      <c r="P556" s="340">
        <v>50925.0</v>
      </c>
      <c r="Q556" s="320" t="s">
        <v>2265</v>
      </c>
      <c r="R556" s="388"/>
      <c r="S556" s="1145">
        <v>42683.0</v>
      </c>
      <c r="T556" s="1132">
        <v>42683.0</v>
      </c>
      <c r="U556" s="265" t="s">
        <v>10482</v>
      </c>
      <c r="V556" s="1135">
        <v>76388.0</v>
      </c>
      <c r="W556" s="832">
        <v>42685.0</v>
      </c>
      <c r="X556" s="320" t="s">
        <v>10483</v>
      </c>
      <c r="Y556" s="320" t="s">
        <v>10484</v>
      </c>
      <c r="Z556" s="1149">
        <v>80590.0</v>
      </c>
      <c r="AA556" s="320" t="s">
        <v>9217</v>
      </c>
      <c r="AB556" s="388"/>
    </row>
    <row r="557" ht="15.75" customHeight="1">
      <c r="A557" s="776">
        <v>42657.0</v>
      </c>
      <c r="B557" s="340" t="s">
        <v>631</v>
      </c>
      <c r="C557" s="265" t="s">
        <v>10456</v>
      </c>
      <c r="D557" s="320" t="s">
        <v>10485</v>
      </c>
      <c r="E557" s="340" t="s">
        <v>4269</v>
      </c>
      <c r="F557" s="773">
        <v>5.0</v>
      </c>
      <c r="G557" s="773">
        <v>170.1</v>
      </c>
      <c r="H557" s="466">
        <f t="shared" si="32"/>
        <v>850.5</v>
      </c>
      <c r="I557" s="266" t="s">
        <v>171</v>
      </c>
      <c r="J557" s="333" t="s">
        <v>10458</v>
      </c>
      <c r="K557" s="832">
        <v>42685.0</v>
      </c>
      <c r="L557" s="832">
        <v>42683.0</v>
      </c>
      <c r="M557" s="403" t="s">
        <v>2263</v>
      </c>
      <c r="N557" s="597" t="s">
        <v>10481</v>
      </c>
      <c r="O557" s="773"/>
      <c r="P557" s="340">
        <v>25462.0</v>
      </c>
      <c r="Q557" s="320" t="s">
        <v>2265</v>
      </c>
      <c r="R557" s="388"/>
      <c r="S557" s="1145">
        <v>42683.0</v>
      </c>
      <c r="T557" s="1132">
        <v>42683.0</v>
      </c>
      <c r="U557" s="265" t="s">
        <v>10482</v>
      </c>
      <c r="V557" s="1135" t="s">
        <v>10486</v>
      </c>
      <c r="W557" s="832">
        <v>42685.0</v>
      </c>
      <c r="X557" s="320" t="s">
        <v>10483</v>
      </c>
      <c r="Y557" s="320" t="s">
        <v>10484</v>
      </c>
      <c r="Z557" s="1149" t="s">
        <v>10487</v>
      </c>
      <c r="AA557" s="320" t="s">
        <v>9217</v>
      </c>
      <c r="AB557" s="388"/>
    </row>
    <row r="558" ht="15.75" customHeight="1">
      <c r="A558" s="776">
        <v>42660.0</v>
      </c>
      <c r="B558" s="340" t="s">
        <v>10488</v>
      </c>
      <c r="C558" s="265"/>
      <c r="D558" s="320" t="s">
        <v>10489</v>
      </c>
      <c r="E558" s="340" t="s">
        <v>10490</v>
      </c>
      <c r="F558" s="773">
        <v>1.0</v>
      </c>
      <c r="G558" s="1147">
        <f>12255/31.3</f>
        <v>391.5335463</v>
      </c>
      <c r="H558" s="466">
        <f t="shared" si="32"/>
        <v>391.5335463</v>
      </c>
      <c r="I558" s="266" t="s">
        <v>3474</v>
      </c>
      <c r="J558" s="333" t="s">
        <v>10491</v>
      </c>
      <c r="K558" s="832">
        <v>42691.0</v>
      </c>
      <c r="L558" s="832">
        <v>42683.0</v>
      </c>
      <c r="M558" s="333" t="s">
        <v>3593</v>
      </c>
      <c r="N558" s="265" t="s">
        <v>10492</v>
      </c>
      <c r="O558" s="773"/>
      <c r="P558" s="1012">
        <v>10294.0</v>
      </c>
      <c r="Q558" s="320" t="s">
        <v>6122</v>
      </c>
      <c r="R558" s="388"/>
      <c r="S558" s="1145">
        <v>42740.0</v>
      </c>
      <c r="T558" s="1132">
        <v>42681.0</v>
      </c>
      <c r="U558" s="265" t="s">
        <v>10493</v>
      </c>
      <c r="V558" s="1135">
        <v>10294.0</v>
      </c>
      <c r="W558" s="832">
        <v>42734.0</v>
      </c>
      <c r="X558" s="320" t="s">
        <v>10494</v>
      </c>
      <c r="Y558" s="320"/>
      <c r="Z558" s="1149">
        <v>12868.0</v>
      </c>
      <c r="AA558" s="388" t="s">
        <v>10495</v>
      </c>
      <c r="AB558" s="388"/>
    </row>
    <row r="559" ht="15.75" customHeight="1">
      <c r="A559" s="776">
        <v>42660.0</v>
      </c>
      <c r="B559" s="340" t="s">
        <v>6167</v>
      </c>
      <c r="C559" s="265">
        <v>7.000124833E9</v>
      </c>
      <c r="D559" s="320" t="s">
        <v>10496</v>
      </c>
      <c r="E559" s="340" t="s">
        <v>10497</v>
      </c>
      <c r="F559" s="773">
        <v>1.0</v>
      </c>
      <c r="G559" s="773">
        <v>12.0</v>
      </c>
      <c r="H559" s="466">
        <f t="shared" si="32"/>
        <v>12</v>
      </c>
      <c r="I559" s="266" t="s">
        <v>43</v>
      </c>
      <c r="J559" s="777" t="s">
        <v>3623</v>
      </c>
      <c r="K559" s="832">
        <v>42675.0</v>
      </c>
      <c r="L559" s="832">
        <v>42675.0</v>
      </c>
      <c r="M559" s="333" t="s">
        <v>3593</v>
      </c>
      <c r="N559" s="265" t="s">
        <v>10498</v>
      </c>
      <c r="O559" s="773"/>
      <c r="P559" s="340">
        <v>291.0</v>
      </c>
      <c r="Q559" s="320" t="s">
        <v>6122</v>
      </c>
      <c r="R559" s="388"/>
      <c r="S559" s="1145">
        <v>42709.0</v>
      </c>
      <c r="T559" s="1132">
        <v>42670.0</v>
      </c>
      <c r="U559" s="265" t="s">
        <v>10499</v>
      </c>
      <c r="V559" s="1135">
        <v>13956.0</v>
      </c>
      <c r="W559" s="258">
        <v>42710.0</v>
      </c>
      <c r="X559" s="388" t="s">
        <v>10500</v>
      </c>
      <c r="Y559" s="320"/>
      <c r="Z559" s="1149"/>
      <c r="AA559" s="320"/>
      <c r="AB559" s="1140" t="s">
        <v>10420</v>
      </c>
    </row>
    <row r="560" ht="15.75" customHeight="1">
      <c r="A560" s="776">
        <v>42660.0</v>
      </c>
      <c r="B560" s="340" t="s">
        <v>6167</v>
      </c>
      <c r="C560" s="265">
        <v>7.000124833E9</v>
      </c>
      <c r="D560" s="320" t="s">
        <v>10496</v>
      </c>
      <c r="E560" s="340" t="s">
        <v>10501</v>
      </c>
      <c r="F560" s="773">
        <v>1.0</v>
      </c>
      <c r="G560" s="773">
        <v>339.0</v>
      </c>
      <c r="H560" s="466">
        <f t="shared" si="32"/>
        <v>339</v>
      </c>
      <c r="I560" s="266" t="s">
        <v>43</v>
      </c>
      <c r="J560" s="777" t="s">
        <v>3623</v>
      </c>
      <c r="K560" s="832">
        <v>42675.0</v>
      </c>
      <c r="L560" s="832">
        <v>42675.0</v>
      </c>
      <c r="M560" s="333" t="s">
        <v>3593</v>
      </c>
      <c r="N560" s="265" t="s">
        <v>10498</v>
      </c>
      <c r="O560" s="773"/>
      <c r="P560" s="340">
        <v>10248.0</v>
      </c>
      <c r="Q560" s="320" t="s">
        <v>6122</v>
      </c>
      <c r="R560" s="388"/>
      <c r="S560" s="1145">
        <v>42709.0</v>
      </c>
      <c r="T560" s="1132">
        <v>42670.0</v>
      </c>
      <c r="U560" s="265" t="s">
        <v>10499</v>
      </c>
      <c r="V560" s="1135" t="s">
        <v>7858</v>
      </c>
      <c r="W560" s="258">
        <v>42710.0</v>
      </c>
      <c r="X560" s="388" t="s">
        <v>10500</v>
      </c>
      <c r="Y560" s="320"/>
      <c r="Z560" s="1149"/>
      <c r="AA560" s="320"/>
      <c r="AB560" s="1140" t="s">
        <v>10420</v>
      </c>
    </row>
    <row r="561" ht="15.75" customHeight="1">
      <c r="A561" s="776">
        <v>42660.0</v>
      </c>
      <c r="B561" s="340" t="s">
        <v>6167</v>
      </c>
      <c r="C561" s="265">
        <v>7.000124833E9</v>
      </c>
      <c r="D561" s="320" t="s">
        <v>10496</v>
      </c>
      <c r="E561" s="340" t="s">
        <v>10502</v>
      </c>
      <c r="F561" s="773">
        <v>1.0</v>
      </c>
      <c r="G561" s="773">
        <v>113.0</v>
      </c>
      <c r="H561" s="466">
        <f t="shared" si="32"/>
        <v>113</v>
      </c>
      <c r="I561" s="266" t="s">
        <v>43</v>
      </c>
      <c r="J561" s="777" t="s">
        <v>3623</v>
      </c>
      <c r="K561" s="832">
        <v>42675.0</v>
      </c>
      <c r="L561" s="832">
        <v>42675.0</v>
      </c>
      <c r="M561" s="333" t="s">
        <v>3593</v>
      </c>
      <c r="N561" s="265" t="s">
        <v>10498</v>
      </c>
      <c r="O561" s="773"/>
      <c r="P561" s="340">
        <v>3417.0</v>
      </c>
      <c r="Q561" s="320" t="s">
        <v>6122</v>
      </c>
      <c r="R561" s="388"/>
      <c r="S561" s="1145">
        <v>42709.0</v>
      </c>
      <c r="T561" s="1132">
        <v>42670.0</v>
      </c>
      <c r="U561" s="265" t="s">
        <v>10499</v>
      </c>
      <c r="V561" s="1135" t="s">
        <v>7858</v>
      </c>
      <c r="W561" s="258">
        <v>42710.0</v>
      </c>
      <c r="X561" s="388" t="s">
        <v>10500</v>
      </c>
      <c r="Y561" s="320"/>
      <c r="Z561" s="1149"/>
      <c r="AA561" s="320"/>
      <c r="AB561" s="1140" t="s">
        <v>10420</v>
      </c>
    </row>
    <row r="562" ht="15.75" customHeight="1">
      <c r="A562" s="776">
        <v>42660.0</v>
      </c>
      <c r="B562" s="340" t="s">
        <v>77</v>
      </c>
      <c r="C562" s="265"/>
      <c r="D562" s="320" t="s">
        <v>10503</v>
      </c>
      <c r="E562" s="340" t="s">
        <v>6333</v>
      </c>
      <c r="F562" s="773">
        <v>2.0</v>
      </c>
      <c r="G562" s="773">
        <v>26.0</v>
      </c>
      <c r="H562" s="466">
        <f t="shared" si="32"/>
        <v>52</v>
      </c>
      <c r="I562" s="266" t="s">
        <v>171</v>
      </c>
      <c r="J562" s="269" t="s">
        <v>316</v>
      </c>
      <c r="K562" s="832">
        <v>42670.0</v>
      </c>
      <c r="L562" s="832">
        <v>42667.0</v>
      </c>
      <c r="M562" s="333" t="s">
        <v>2508</v>
      </c>
      <c r="N562" s="265" t="s">
        <v>10504</v>
      </c>
      <c r="O562" s="773"/>
      <c r="P562" s="340">
        <v>1428.0</v>
      </c>
      <c r="Q562" s="320" t="s">
        <v>4491</v>
      </c>
      <c r="R562" s="388"/>
      <c r="S562" s="1145">
        <v>42678.0</v>
      </c>
      <c r="T562" s="1132">
        <v>42662.0</v>
      </c>
      <c r="U562" s="265" t="s">
        <v>10505</v>
      </c>
      <c r="V562" s="1135">
        <v>1428.0</v>
      </c>
      <c r="W562" s="832">
        <v>42678.0</v>
      </c>
      <c r="X562" s="320" t="s">
        <v>10447</v>
      </c>
      <c r="Y562" s="1141"/>
      <c r="Z562" s="1152"/>
      <c r="AA562" s="1141"/>
      <c r="AB562" s="388" t="s">
        <v>284</v>
      </c>
    </row>
    <row r="563" ht="15.75" customHeight="1">
      <c r="A563" s="776">
        <v>42662.0</v>
      </c>
      <c r="B563" s="340" t="s">
        <v>5188</v>
      </c>
      <c r="C563" s="265" t="s">
        <v>10506</v>
      </c>
      <c r="D563" s="320" t="s">
        <v>10507</v>
      </c>
      <c r="E563" s="340" t="s">
        <v>7465</v>
      </c>
      <c r="F563" s="773">
        <v>20.0</v>
      </c>
      <c r="G563" s="773">
        <v>11.0</v>
      </c>
      <c r="H563" s="466">
        <f t="shared" si="32"/>
        <v>220</v>
      </c>
      <c r="I563" s="1031" t="s">
        <v>3474</v>
      </c>
      <c r="J563" s="333" t="s">
        <v>6067</v>
      </c>
      <c r="K563" s="832">
        <v>42670.0</v>
      </c>
      <c r="L563" s="832">
        <v>42667.0</v>
      </c>
      <c r="M563" s="333" t="s">
        <v>2508</v>
      </c>
      <c r="N563" s="265" t="s">
        <v>10508</v>
      </c>
      <c r="O563" s="773"/>
      <c r="P563" s="340">
        <v>7119.0</v>
      </c>
      <c r="Q563" s="320" t="s">
        <v>4491</v>
      </c>
      <c r="R563" s="388"/>
      <c r="S563" s="1145">
        <v>42678.0</v>
      </c>
      <c r="T563" s="1132">
        <v>42663.0</v>
      </c>
      <c r="U563" s="265" t="s">
        <v>10509</v>
      </c>
      <c r="V563" s="1135">
        <v>7119.0</v>
      </c>
      <c r="W563" s="832">
        <v>42678.0</v>
      </c>
      <c r="X563" s="320" t="s">
        <v>10510</v>
      </c>
      <c r="Y563" s="340" t="s">
        <v>10511</v>
      </c>
      <c r="Z563" s="1149">
        <v>7288.0</v>
      </c>
      <c r="AA563" s="320" t="s">
        <v>9217</v>
      </c>
      <c r="AB563" s="1140"/>
    </row>
    <row r="564" ht="15.75" customHeight="1">
      <c r="A564" s="776">
        <v>42662.0</v>
      </c>
      <c r="B564" s="340" t="s">
        <v>10512</v>
      </c>
      <c r="C564" s="1196" t="s">
        <v>10513</v>
      </c>
      <c r="D564" s="320" t="s">
        <v>10514</v>
      </c>
      <c r="E564" s="340" t="s">
        <v>10515</v>
      </c>
      <c r="F564" s="773">
        <v>1.0</v>
      </c>
      <c r="G564" s="773">
        <v>613.0</v>
      </c>
      <c r="H564" s="466">
        <f t="shared" si="32"/>
        <v>613</v>
      </c>
      <c r="I564" s="1031" t="s">
        <v>3474</v>
      </c>
      <c r="J564" s="333" t="s">
        <v>10516</v>
      </c>
      <c r="K564" s="832">
        <v>42677.0</v>
      </c>
      <c r="L564" s="832">
        <v>42671.0</v>
      </c>
      <c r="M564" s="333" t="s">
        <v>6120</v>
      </c>
      <c r="N564" s="265" t="s">
        <v>10517</v>
      </c>
      <c r="O564" s="773"/>
      <c r="P564" s="340">
        <v>17967.0</v>
      </c>
      <c r="Q564" s="320" t="s">
        <v>6122</v>
      </c>
      <c r="R564" s="388"/>
      <c r="S564" s="1145">
        <v>42709.0</v>
      </c>
      <c r="T564" s="1132">
        <v>42669.0</v>
      </c>
      <c r="U564" s="265" t="s">
        <v>10518</v>
      </c>
      <c r="V564" s="1135">
        <v>17967.0</v>
      </c>
      <c r="W564" s="832">
        <v>42710.0</v>
      </c>
      <c r="X564" s="320" t="s">
        <v>10519</v>
      </c>
      <c r="Y564" s="320"/>
      <c r="Z564" s="1149"/>
      <c r="AA564" s="320"/>
      <c r="AB564" s="388" t="s">
        <v>284</v>
      </c>
    </row>
    <row r="565" ht="15.75" customHeight="1">
      <c r="A565" s="776">
        <v>42662.0</v>
      </c>
      <c r="B565" s="340" t="s">
        <v>10512</v>
      </c>
      <c r="C565" s="1196" t="s">
        <v>10513</v>
      </c>
      <c r="D565" s="320" t="s">
        <v>10514</v>
      </c>
      <c r="E565" s="340" t="s">
        <v>700</v>
      </c>
      <c r="F565" s="773">
        <v>1.0</v>
      </c>
      <c r="G565" s="773">
        <f>25</f>
        <v>25</v>
      </c>
      <c r="H565" s="466">
        <f t="shared" si="32"/>
        <v>25</v>
      </c>
      <c r="I565" s="1031" t="s">
        <v>3474</v>
      </c>
      <c r="J565" s="333"/>
      <c r="K565" s="832">
        <v>42677.0</v>
      </c>
      <c r="L565" s="1177"/>
      <c r="M565" s="333"/>
      <c r="N565" s="265"/>
      <c r="O565" s="773"/>
      <c r="P565" s="1179"/>
      <c r="Q565" s="320"/>
      <c r="R565" s="388"/>
      <c r="S565" s="1186"/>
      <c r="T565" s="265" t="s">
        <v>5701</v>
      </c>
      <c r="U565" s="265" t="s">
        <v>5701</v>
      </c>
      <c r="V565" s="265" t="s">
        <v>5701</v>
      </c>
      <c r="W565" s="832"/>
      <c r="X565" s="320" t="s">
        <v>10519</v>
      </c>
      <c r="Y565" s="320"/>
      <c r="Z565" s="1149"/>
      <c r="AA565" s="320"/>
      <c r="AB565" s="388" t="s">
        <v>284</v>
      </c>
    </row>
    <row r="566" ht="15.75" customHeight="1">
      <c r="A566" s="776">
        <v>42662.0</v>
      </c>
      <c r="B566" s="599" t="s">
        <v>54</v>
      </c>
      <c r="C566" s="1004" t="s">
        <v>10520</v>
      </c>
      <c r="D566" s="310" t="s">
        <v>10521</v>
      </c>
      <c r="E566" s="578" t="s">
        <v>3793</v>
      </c>
      <c r="F566" s="331">
        <v>2.0</v>
      </c>
      <c r="G566" s="254">
        <v>150.15</v>
      </c>
      <c r="H566" s="578">
        <f t="shared" si="32"/>
        <v>300.3</v>
      </c>
      <c r="I566" s="266" t="s">
        <v>8675</v>
      </c>
      <c r="J566" s="333" t="s">
        <v>90</v>
      </c>
      <c r="K566" s="832">
        <v>42677.0</v>
      </c>
      <c r="L566" s="1177"/>
      <c r="M566" s="333" t="s">
        <v>90</v>
      </c>
      <c r="N566" s="265" t="s">
        <v>10522</v>
      </c>
      <c r="O566" s="773">
        <v>268.8</v>
      </c>
      <c r="P566" s="1179"/>
      <c r="Q566" s="320" t="s">
        <v>6081</v>
      </c>
      <c r="R566" s="388"/>
      <c r="S566" s="1145">
        <v>42740.0</v>
      </c>
      <c r="T566" s="1132">
        <v>42675.0</v>
      </c>
      <c r="U566" s="320" t="s">
        <v>10523</v>
      </c>
      <c r="V566" s="1135">
        <v>8481.0</v>
      </c>
      <c r="W566" s="832">
        <v>42712.0</v>
      </c>
      <c r="X566" s="320" t="s">
        <v>10524</v>
      </c>
      <c r="Y566" s="320" t="s">
        <v>10525</v>
      </c>
      <c r="Z566" s="1149">
        <v>23696.0</v>
      </c>
      <c r="AA566" s="388" t="s">
        <v>10526</v>
      </c>
      <c r="AB566" s="388"/>
    </row>
    <row r="567" ht="15.75" customHeight="1">
      <c r="A567" s="776">
        <v>42663.0</v>
      </c>
      <c r="B567" s="340" t="s">
        <v>77</v>
      </c>
      <c r="C567" s="265">
        <v>930.0</v>
      </c>
      <c r="D567" s="310" t="s">
        <v>10527</v>
      </c>
      <c r="E567" s="578" t="s">
        <v>10528</v>
      </c>
      <c r="F567" s="581">
        <v>1.0</v>
      </c>
      <c r="G567" s="581">
        <v>179.0</v>
      </c>
      <c r="H567" s="578">
        <f t="shared" si="32"/>
        <v>179</v>
      </c>
      <c r="I567" s="266" t="s">
        <v>171</v>
      </c>
      <c r="J567" s="269" t="s">
        <v>316</v>
      </c>
      <c r="K567" s="832">
        <v>42670.0</v>
      </c>
      <c r="L567" s="832">
        <v>42669.0</v>
      </c>
      <c r="M567" s="333" t="s">
        <v>10529</v>
      </c>
      <c r="N567" s="265" t="s">
        <v>10530</v>
      </c>
      <c r="O567" s="773"/>
      <c r="P567" s="1012">
        <v>5118.0</v>
      </c>
      <c r="Q567" s="320" t="s">
        <v>2620</v>
      </c>
      <c r="R567" s="388"/>
      <c r="S567" s="1183">
        <v>42664.0</v>
      </c>
      <c r="T567" s="1150">
        <v>42667.0</v>
      </c>
      <c r="U567" s="1136" t="s">
        <v>10531</v>
      </c>
      <c r="V567" s="1151">
        <v>8909.0</v>
      </c>
      <c r="W567" s="1163">
        <v>42664.0</v>
      </c>
      <c r="X567" s="320" t="s">
        <v>10447</v>
      </c>
      <c r="Y567" s="1141"/>
      <c r="Z567" s="1152"/>
      <c r="AA567" s="1141"/>
      <c r="AB567" s="388" t="s">
        <v>284</v>
      </c>
    </row>
    <row r="568" ht="15.75" customHeight="1">
      <c r="A568" s="776">
        <v>42663.0</v>
      </c>
      <c r="B568" s="340" t="s">
        <v>77</v>
      </c>
      <c r="C568" s="265">
        <v>930.0</v>
      </c>
      <c r="D568" s="310" t="s">
        <v>10527</v>
      </c>
      <c r="E568" s="330" t="s">
        <v>10532</v>
      </c>
      <c r="F568" s="581">
        <v>1.0</v>
      </c>
      <c r="G568" s="581">
        <v>52.0</v>
      </c>
      <c r="H568" s="578">
        <f t="shared" si="32"/>
        <v>52</v>
      </c>
      <c r="I568" s="266" t="s">
        <v>171</v>
      </c>
      <c r="J568" s="269" t="s">
        <v>316</v>
      </c>
      <c r="K568" s="832">
        <v>42670.0</v>
      </c>
      <c r="L568" s="832">
        <v>42669.0</v>
      </c>
      <c r="M568" s="333" t="s">
        <v>10529</v>
      </c>
      <c r="N568" s="265" t="s">
        <v>10530</v>
      </c>
      <c r="O568" s="773"/>
      <c r="P568" s="1012">
        <v>1428.0</v>
      </c>
      <c r="Q568" s="320" t="s">
        <v>2620</v>
      </c>
      <c r="R568" s="388"/>
      <c r="S568" s="1183">
        <v>42664.0</v>
      </c>
      <c r="T568" s="1150">
        <v>42667.0</v>
      </c>
      <c r="U568" s="1136" t="s">
        <v>10531</v>
      </c>
      <c r="V568" s="1151" t="s">
        <v>10533</v>
      </c>
      <c r="W568" s="1163">
        <v>42664.0</v>
      </c>
      <c r="X568" s="320" t="s">
        <v>10447</v>
      </c>
      <c r="Y568" s="1141"/>
      <c r="Z568" s="1152"/>
      <c r="AA568" s="1141"/>
      <c r="AB568" s="388" t="s">
        <v>284</v>
      </c>
    </row>
    <row r="569" ht="15.75" customHeight="1">
      <c r="A569" s="776">
        <v>42663.0</v>
      </c>
      <c r="B569" s="340" t="s">
        <v>77</v>
      </c>
      <c r="C569" s="265">
        <v>930.0</v>
      </c>
      <c r="D569" s="310" t="s">
        <v>10527</v>
      </c>
      <c r="E569" s="330" t="s">
        <v>10534</v>
      </c>
      <c r="F569" s="581">
        <v>1.0</v>
      </c>
      <c r="G569" s="581">
        <v>35.0</v>
      </c>
      <c r="H569" s="578">
        <f t="shared" si="32"/>
        <v>35</v>
      </c>
      <c r="I569" s="266" t="s">
        <v>171</v>
      </c>
      <c r="J569" s="269" t="s">
        <v>316</v>
      </c>
      <c r="K569" s="832">
        <v>42670.0</v>
      </c>
      <c r="L569" s="832">
        <v>42669.0</v>
      </c>
      <c r="M569" s="333" t="s">
        <v>10529</v>
      </c>
      <c r="N569" s="265" t="s">
        <v>10530</v>
      </c>
      <c r="O569" s="773"/>
      <c r="P569" s="1012">
        <v>945.0</v>
      </c>
      <c r="Q569" s="320" t="s">
        <v>2620</v>
      </c>
      <c r="R569" s="388"/>
      <c r="S569" s="1183">
        <v>42664.0</v>
      </c>
      <c r="T569" s="1150">
        <v>42667.0</v>
      </c>
      <c r="U569" s="1136" t="s">
        <v>10531</v>
      </c>
      <c r="V569" s="1151" t="s">
        <v>10533</v>
      </c>
      <c r="W569" s="1163">
        <v>42664.0</v>
      </c>
      <c r="X569" s="320" t="s">
        <v>10447</v>
      </c>
      <c r="Y569" s="1141"/>
      <c r="Z569" s="1152"/>
      <c r="AA569" s="1141"/>
      <c r="AB569" s="388" t="s">
        <v>284</v>
      </c>
    </row>
    <row r="570" ht="15.75" customHeight="1">
      <c r="A570" s="776">
        <v>42663.0</v>
      </c>
      <c r="B570" s="340" t="s">
        <v>77</v>
      </c>
      <c r="C570" s="265">
        <v>930.0</v>
      </c>
      <c r="D570" s="310" t="s">
        <v>10527</v>
      </c>
      <c r="E570" s="578" t="s">
        <v>10535</v>
      </c>
      <c r="F570" s="581">
        <v>1.0</v>
      </c>
      <c r="G570" s="581">
        <v>49.0</v>
      </c>
      <c r="H570" s="578">
        <f t="shared" si="32"/>
        <v>49</v>
      </c>
      <c r="I570" s="266" t="s">
        <v>171</v>
      </c>
      <c r="J570" s="269" t="s">
        <v>316</v>
      </c>
      <c r="K570" s="832">
        <v>42670.0</v>
      </c>
      <c r="L570" s="832">
        <v>42669.0</v>
      </c>
      <c r="M570" s="333" t="s">
        <v>10529</v>
      </c>
      <c r="N570" s="265" t="s">
        <v>10530</v>
      </c>
      <c r="O570" s="773"/>
      <c r="P570" s="1012">
        <v>1418.0</v>
      </c>
      <c r="Q570" s="320" t="s">
        <v>2620</v>
      </c>
      <c r="R570" s="388"/>
      <c r="S570" s="1183">
        <v>42664.0</v>
      </c>
      <c r="T570" s="1150">
        <v>42667.0</v>
      </c>
      <c r="U570" s="1136" t="s">
        <v>10531</v>
      </c>
      <c r="V570" s="1151" t="s">
        <v>10533</v>
      </c>
      <c r="W570" s="1163">
        <v>42664.0</v>
      </c>
      <c r="X570" s="320" t="s">
        <v>10447</v>
      </c>
      <c r="Y570" s="1141"/>
      <c r="Z570" s="1152"/>
      <c r="AA570" s="1141"/>
      <c r="AB570" s="388" t="s">
        <v>284</v>
      </c>
    </row>
    <row r="571" ht="15.75" customHeight="1">
      <c r="A571" s="776">
        <v>42663.0</v>
      </c>
      <c r="B571" s="599" t="s">
        <v>6246</v>
      </c>
      <c r="C571" s="765" t="s">
        <v>10536</v>
      </c>
      <c r="D571" s="310" t="s">
        <v>10537</v>
      </c>
      <c r="E571" s="340" t="s">
        <v>6249</v>
      </c>
      <c r="F571" s="773">
        <v>10.0</v>
      </c>
      <c r="G571" s="773">
        <v>58.0</v>
      </c>
      <c r="H571" s="466">
        <f t="shared" si="32"/>
        <v>580</v>
      </c>
      <c r="I571" s="266" t="s">
        <v>43</v>
      </c>
      <c r="J571" s="333" t="s">
        <v>9061</v>
      </c>
      <c r="K571" s="832">
        <v>42677.0</v>
      </c>
      <c r="L571" s="832">
        <v>42669.0</v>
      </c>
      <c r="M571" s="333" t="s">
        <v>90</v>
      </c>
      <c r="N571" s="265" t="s">
        <v>10538</v>
      </c>
      <c r="O571" s="773">
        <v>546.0</v>
      </c>
      <c r="P571" s="1179"/>
      <c r="Q571" s="320" t="s">
        <v>6081</v>
      </c>
      <c r="R571" s="388"/>
      <c r="S571" s="1145">
        <v>42709.0</v>
      </c>
      <c r="T571" s="1132">
        <v>42667.0</v>
      </c>
      <c r="U571" s="265" t="s">
        <v>10539</v>
      </c>
      <c r="V571" s="1135">
        <v>17259.0</v>
      </c>
      <c r="W571" s="832">
        <v>42712.0</v>
      </c>
      <c r="X571" s="320" t="s">
        <v>10540</v>
      </c>
      <c r="Y571" s="320"/>
      <c r="Z571" s="1149"/>
      <c r="AA571" s="320"/>
      <c r="AB571" s="388" t="s">
        <v>284</v>
      </c>
    </row>
    <row r="572" ht="15.75" customHeight="1">
      <c r="A572" s="776">
        <v>42667.0</v>
      </c>
      <c r="B572" s="599" t="s">
        <v>4754</v>
      </c>
      <c r="C572" s="265"/>
      <c r="D572" s="310" t="s">
        <v>10541</v>
      </c>
      <c r="E572" s="340" t="s">
        <v>6385</v>
      </c>
      <c r="F572" s="773">
        <v>2.0</v>
      </c>
      <c r="G572" s="773">
        <v>66.0</v>
      </c>
      <c r="H572" s="466">
        <f t="shared" si="32"/>
        <v>132</v>
      </c>
      <c r="I572" s="1031" t="s">
        <v>3474</v>
      </c>
      <c r="J572" s="333" t="s">
        <v>6027</v>
      </c>
      <c r="K572" s="832">
        <v>42674.0</v>
      </c>
      <c r="L572" s="832">
        <v>42671.0</v>
      </c>
      <c r="M572" s="333" t="s">
        <v>6386</v>
      </c>
      <c r="N572" s="265" t="s">
        <v>10542</v>
      </c>
      <c r="O572" s="773"/>
      <c r="P572" s="340">
        <v>3821.0</v>
      </c>
      <c r="Q572" s="604" t="s">
        <v>10543</v>
      </c>
      <c r="R572" s="388"/>
      <c r="S572" s="1145">
        <v>42669.0</v>
      </c>
      <c r="T572" s="1132">
        <v>42670.0</v>
      </c>
      <c r="U572" s="265" t="s">
        <v>10544</v>
      </c>
      <c r="V572" s="1135">
        <v>3821.0</v>
      </c>
      <c r="W572" s="832">
        <v>42669.0</v>
      </c>
      <c r="X572" s="320" t="s">
        <v>10545</v>
      </c>
      <c r="Y572" s="1141"/>
      <c r="Z572" s="1152"/>
      <c r="AA572" s="1141"/>
      <c r="AB572" s="388" t="s">
        <v>284</v>
      </c>
    </row>
    <row r="573" ht="15.75" customHeight="1">
      <c r="A573" s="776">
        <v>42667.0</v>
      </c>
      <c r="B573" s="599" t="s">
        <v>4754</v>
      </c>
      <c r="C573" s="265"/>
      <c r="D573" s="310" t="s">
        <v>10541</v>
      </c>
      <c r="E573" s="340" t="s">
        <v>10546</v>
      </c>
      <c r="F573" s="773">
        <v>1.0</v>
      </c>
      <c r="G573" s="773">
        <v>50.0</v>
      </c>
      <c r="H573" s="466">
        <f t="shared" si="32"/>
        <v>50</v>
      </c>
      <c r="I573" s="1031" t="s">
        <v>3474</v>
      </c>
      <c r="J573" s="333" t="s">
        <v>6027</v>
      </c>
      <c r="K573" s="832">
        <v>42674.0</v>
      </c>
      <c r="L573" s="1142"/>
      <c r="M573" s="333" t="s">
        <v>2032</v>
      </c>
      <c r="N573" s="265"/>
      <c r="O573" s="773"/>
      <c r="P573" s="1189">
        <v>1241.0</v>
      </c>
      <c r="Q573" s="320" t="s">
        <v>2033</v>
      </c>
      <c r="R573" s="388"/>
      <c r="S573" s="1145">
        <v>42708.0</v>
      </c>
      <c r="T573" s="1132">
        <v>42678.0</v>
      </c>
      <c r="U573" s="320" t="s">
        <v>10547</v>
      </c>
      <c r="V573" s="1135">
        <v>1241.0</v>
      </c>
      <c r="W573" s="832">
        <v>42709.0</v>
      </c>
      <c r="X573" s="320" t="s">
        <v>10545</v>
      </c>
      <c r="Y573" s="1141"/>
      <c r="Z573" s="1152"/>
      <c r="AA573" s="1141"/>
      <c r="AB573" s="388" t="s">
        <v>284</v>
      </c>
    </row>
    <row r="574" ht="15.75" customHeight="1">
      <c r="A574" s="776">
        <v>42667.0</v>
      </c>
      <c r="B574" s="599" t="s">
        <v>4754</v>
      </c>
      <c r="C574" s="265"/>
      <c r="D574" s="310" t="s">
        <v>10541</v>
      </c>
      <c r="E574" s="340" t="s">
        <v>700</v>
      </c>
      <c r="F574" s="773">
        <v>1.0</v>
      </c>
      <c r="G574" s="773">
        <f>25</f>
        <v>25</v>
      </c>
      <c r="H574" s="466">
        <f t="shared" si="32"/>
        <v>25</v>
      </c>
      <c r="I574" s="1031" t="s">
        <v>3474</v>
      </c>
      <c r="J574" s="333"/>
      <c r="K574" s="832">
        <v>42674.0</v>
      </c>
      <c r="L574" s="1142"/>
      <c r="M574" s="333"/>
      <c r="N574" s="265"/>
      <c r="O574" s="773"/>
      <c r="P574" s="1179"/>
      <c r="Q574" s="320"/>
      <c r="R574" s="388"/>
      <c r="S574" s="1186"/>
      <c r="T574" s="1132"/>
      <c r="U574" s="265"/>
      <c r="V574" s="1135"/>
      <c r="W574" s="1163"/>
      <c r="X574" s="320"/>
      <c r="Y574" s="1141"/>
      <c r="Z574" s="1152"/>
      <c r="AA574" s="1141"/>
      <c r="AB574" s="1140"/>
    </row>
    <row r="575" ht="15.75" customHeight="1">
      <c r="A575" s="776">
        <v>42667.0</v>
      </c>
      <c r="B575" s="340" t="s">
        <v>101</v>
      </c>
      <c r="C575" s="265"/>
      <c r="D575" s="310" t="s">
        <v>10548</v>
      </c>
      <c r="E575" s="340" t="s">
        <v>10549</v>
      </c>
      <c r="F575" s="773">
        <v>1.0</v>
      </c>
      <c r="G575" s="773">
        <v>163.0</v>
      </c>
      <c r="H575" s="466">
        <f t="shared" si="32"/>
        <v>163</v>
      </c>
      <c r="I575" s="266" t="s">
        <v>3474</v>
      </c>
      <c r="J575" s="333" t="s">
        <v>6027</v>
      </c>
      <c r="K575" s="832">
        <v>42667.0</v>
      </c>
      <c r="L575" s="1177"/>
      <c r="M575" s="333" t="s">
        <v>2032</v>
      </c>
      <c r="N575" s="265"/>
      <c r="O575" s="773"/>
      <c r="P575" s="1189">
        <v>4809.0</v>
      </c>
      <c r="Q575" s="320" t="s">
        <v>2033</v>
      </c>
      <c r="R575" s="388"/>
      <c r="S575" s="1145">
        <v>42704.0</v>
      </c>
      <c r="T575" s="1132">
        <v>42674.0</v>
      </c>
      <c r="U575" s="320" t="s">
        <v>10550</v>
      </c>
      <c r="V575" s="1135">
        <v>4809.0</v>
      </c>
      <c r="W575" s="832">
        <v>42709.0</v>
      </c>
      <c r="X575" s="265" t="s">
        <v>10402</v>
      </c>
      <c r="Y575" s="1141"/>
      <c r="Z575" s="1152"/>
      <c r="AA575" s="1141"/>
      <c r="AB575" s="388" t="s">
        <v>284</v>
      </c>
    </row>
    <row r="576" ht="15.75" customHeight="1">
      <c r="A576" s="776">
        <v>42667.0</v>
      </c>
      <c r="B576" s="340" t="s">
        <v>6167</v>
      </c>
      <c r="C576" s="265">
        <v>7.000124973E9</v>
      </c>
      <c r="D576" s="310" t="s">
        <v>10551</v>
      </c>
      <c r="E576" s="340" t="s">
        <v>6968</v>
      </c>
      <c r="F576" s="773">
        <v>4.0</v>
      </c>
      <c r="G576" s="773">
        <v>110.0</v>
      </c>
      <c r="H576" s="466">
        <f t="shared" si="32"/>
        <v>440</v>
      </c>
      <c r="I576" s="266" t="s">
        <v>43</v>
      </c>
      <c r="J576" s="777" t="s">
        <v>3623</v>
      </c>
      <c r="K576" s="832">
        <v>42677.0</v>
      </c>
      <c r="L576" s="832">
        <v>42675.0</v>
      </c>
      <c r="M576" s="333" t="s">
        <v>6120</v>
      </c>
      <c r="N576" s="265" t="s">
        <v>10552</v>
      </c>
      <c r="O576" s="773"/>
      <c r="P576" s="340">
        <v>12860.0</v>
      </c>
      <c r="Q576" s="320" t="s">
        <v>6122</v>
      </c>
      <c r="R576" s="388"/>
      <c r="S576" s="1145">
        <v>42740.0</v>
      </c>
      <c r="T576" s="1132">
        <v>42675.0</v>
      </c>
      <c r="U576" s="265" t="s">
        <v>10553</v>
      </c>
      <c r="V576" s="1135">
        <v>15158.0</v>
      </c>
      <c r="W576" s="832">
        <v>42734.0</v>
      </c>
      <c r="X576" s="320" t="s">
        <v>10554</v>
      </c>
      <c r="Y576" s="320"/>
      <c r="Z576" s="1149"/>
      <c r="AA576" s="320"/>
      <c r="AB576" s="1140" t="s">
        <v>10420</v>
      </c>
    </row>
    <row r="577" ht="15.75" customHeight="1">
      <c r="A577" s="776">
        <v>42667.0</v>
      </c>
      <c r="B577" s="340" t="s">
        <v>6167</v>
      </c>
      <c r="C577" s="265">
        <v>7.000124973E9</v>
      </c>
      <c r="D577" s="310" t="s">
        <v>10551</v>
      </c>
      <c r="E577" s="578" t="s">
        <v>6973</v>
      </c>
      <c r="F577" s="581">
        <v>1.0</v>
      </c>
      <c r="G577" s="581">
        <v>79.0</v>
      </c>
      <c r="H577" s="466">
        <f t="shared" si="32"/>
        <v>79</v>
      </c>
      <c r="I577" s="266" t="s">
        <v>43</v>
      </c>
      <c r="J577" s="777" t="s">
        <v>3623</v>
      </c>
      <c r="K577" s="832">
        <v>42677.0</v>
      </c>
      <c r="L577" s="832">
        <v>42675.0</v>
      </c>
      <c r="M577" s="333" t="s">
        <v>6120</v>
      </c>
      <c r="N577" s="265" t="s">
        <v>10552</v>
      </c>
      <c r="O577" s="773"/>
      <c r="P577" s="340">
        <v>2298.0</v>
      </c>
      <c r="Q577" s="320" t="s">
        <v>6122</v>
      </c>
      <c r="R577" s="388"/>
      <c r="S577" s="1145">
        <v>42740.0</v>
      </c>
      <c r="T577" s="1132">
        <v>42675.0</v>
      </c>
      <c r="U577" s="265" t="s">
        <v>10553</v>
      </c>
      <c r="V577" s="1135" t="s">
        <v>10555</v>
      </c>
      <c r="W577" s="832">
        <v>42734.0</v>
      </c>
      <c r="X577" s="320" t="s">
        <v>10554</v>
      </c>
      <c r="Y577" s="320"/>
      <c r="Z577" s="1149"/>
      <c r="AA577" s="320"/>
      <c r="AB577" s="1140" t="s">
        <v>10420</v>
      </c>
    </row>
    <row r="578" ht="15.75" customHeight="1">
      <c r="A578" s="776">
        <v>42667.0</v>
      </c>
      <c r="B578" s="340" t="s">
        <v>77</v>
      </c>
      <c r="C578" s="265"/>
      <c r="D578" s="310" t="s">
        <v>10556</v>
      </c>
      <c r="E578" s="340" t="s">
        <v>10557</v>
      </c>
      <c r="F578" s="773">
        <v>15.0</v>
      </c>
      <c r="G578" s="773">
        <v>234.0</v>
      </c>
      <c r="H578" s="578">
        <f t="shared" si="32"/>
        <v>3510</v>
      </c>
      <c r="I578" s="266" t="s">
        <v>171</v>
      </c>
      <c r="J578" s="269" t="s">
        <v>316</v>
      </c>
      <c r="K578" s="832">
        <v>42684.0</v>
      </c>
      <c r="L578" s="832">
        <v>42681.0</v>
      </c>
      <c r="M578" s="266" t="s">
        <v>1998</v>
      </c>
      <c r="N578" s="597" t="s">
        <v>10558</v>
      </c>
      <c r="O578" s="340">
        <v>3780.0</v>
      </c>
      <c r="P578" s="1179"/>
      <c r="Q578" s="1116" t="s">
        <v>10559</v>
      </c>
      <c r="R578" s="388"/>
      <c r="S578" s="1145">
        <v>42740.0</v>
      </c>
      <c r="T578" s="1132">
        <v>42677.0</v>
      </c>
      <c r="U578" s="265" t="s">
        <v>10560</v>
      </c>
      <c r="V578" s="1135">
        <v>138419.0</v>
      </c>
      <c r="W578" s="832">
        <v>42744.0</v>
      </c>
      <c r="X578" s="265" t="s">
        <v>10561</v>
      </c>
      <c r="Y578" s="320"/>
      <c r="Z578" s="1149"/>
      <c r="AA578" s="320"/>
      <c r="AB578" s="388" t="s">
        <v>284</v>
      </c>
    </row>
    <row r="579" ht="15.75" customHeight="1">
      <c r="A579" s="776">
        <v>42667.0</v>
      </c>
      <c r="B579" s="340" t="s">
        <v>77</v>
      </c>
      <c r="C579" s="265"/>
      <c r="D579" s="310" t="s">
        <v>10556</v>
      </c>
      <c r="E579" s="340" t="s">
        <v>9091</v>
      </c>
      <c r="F579" s="773">
        <v>15.0</v>
      </c>
      <c r="G579" s="773">
        <v>25.0</v>
      </c>
      <c r="H579" s="578">
        <f t="shared" si="32"/>
        <v>375</v>
      </c>
      <c r="I579" s="266" t="s">
        <v>171</v>
      </c>
      <c r="J579" s="269" t="s">
        <v>316</v>
      </c>
      <c r="K579" s="832">
        <v>42684.0</v>
      </c>
      <c r="L579" s="832">
        <v>42681.0</v>
      </c>
      <c r="M579" s="266" t="s">
        <v>1998</v>
      </c>
      <c r="N579" s="597" t="s">
        <v>10558</v>
      </c>
      <c r="O579" s="340">
        <v>393.75</v>
      </c>
      <c r="P579" s="1179"/>
      <c r="Q579" s="1116" t="s">
        <v>10559</v>
      </c>
      <c r="R579" s="388"/>
      <c r="S579" s="1145">
        <v>42740.0</v>
      </c>
      <c r="T579" s="1132">
        <v>42677.0</v>
      </c>
      <c r="U579" s="265" t="s">
        <v>10560</v>
      </c>
      <c r="V579" s="1135" t="s">
        <v>10562</v>
      </c>
      <c r="W579" s="832">
        <v>42744.0</v>
      </c>
      <c r="X579" s="265" t="s">
        <v>10561</v>
      </c>
      <c r="Y579" s="320"/>
      <c r="Z579" s="1149"/>
      <c r="AA579" s="320"/>
      <c r="AB579" s="388" t="s">
        <v>284</v>
      </c>
    </row>
    <row r="580" ht="15.75" customHeight="1">
      <c r="A580" s="776">
        <v>42667.0</v>
      </c>
      <c r="B580" s="340" t="s">
        <v>77</v>
      </c>
      <c r="C580" s="265"/>
      <c r="D580" s="310" t="s">
        <v>10556</v>
      </c>
      <c r="E580" s="340" t="s">
        <v>9128</v>
      </c>
      <c r="F580" s="773">
        <v>15.0</v>
      </c>
      <c r="G580" s="773">
        <v>18.0</v>
      </c>
      <c r="H580" s="578">
        <f t="shared" si="32"/>
        <v>270</v>
      </c>
      <c r="I580" s="266" t="s">
        <v>171</v>
      </c>
      <c r="J580" s="269" t="s">
        <v>316</v>
      </c>
      <c r="K580" s="832">
        <v>42684.0</v>
      </c>
      <c r="L580" s="832">
        <v>42681.0</v>
      </c>
      <c r="M580" s="266" t="s">
        <v>1998</v>
      </c>
      <c r="N580" s="597" t="s">
        <v>10558</v>
      </c>
      <c r="O580" s="340">
        <v>220.5</v>
      </c>
      <c r="P580" s="1179"/>
      <c r="Q580" s="1116" t="s">
        <v>10559</v>
      </c>
      <c r="R580" s="388"/>
      <c r="S580" s="1145">
        <v>42740.0</v>
      </c>
      <c r="T580" s="1132">
        <v>42677.0</v>
      </c>
      <c r="U580" s="265" t="s">
        <v>10560</v>
      </c>
      <c r="V580" s="1135" t="s">
        <v>10562</v>
      </c>
      <c r="W580" s="832">
        <v>42744.0</v>
      </c>
      <c r="X580" s="265" t="s">
        <v>10561</v>
      </c>
      <c r="Y580" s="320"/>
      <c r="Z580" s="1149"/>
      <c r="AA580" s="320"/>
      <c r="AB580" s="388" t="s">
        <v>284</v>
      </c>
    </row>
    <row r="581" ht="15.75" customHeight="1">
      <c r="A581" s="776">
        <v>42667.0</v>
      </c>
      <c r="B581" s="340" t="s">
        <v>77</v>
      </c>
      <c r="C581" s="265"/>
      <c r="D581" s="310" t="s">
        <v>10556</v>
      </c>
      <c r="E581" s="578" t="s">
        <v>9132</v>
      </c>
      <c r="F581" s="581">
        <v>15.0</v>
      </c>
      <c r="G581" s="581">
        <v>6.0</v>
      </c>
      <c r="H581" s="578">
        <f t="shared" si="32"/>
        <v>90</v>
      </c>
      <c r="I581" s="266" t="s">
        <v>171</v>
      </c>
      <c r="J581" s="269" t="s">
        <v>316</v>
      </c>
      <c r="K581" s="832">
        <v>42684.0</v>
      </c>
      <c r="L581" s="832">
        <v>42684.0</v>
      </c>
      <c r="M581" s="333" t="s">
        <v>2039</v>
      </c>
      <c r="N581" s="265" t="s">
        <v>10563</v>
      </c>
      <c r="O581" s="773"/>
      <c r="P581" s="340">
        <v>1496.0</v>
      </c>
      <c r="Q581" s="320" t="s">
        <v>2194</v>
      </c>
      <c r="R581" s="388"/>
      <c r="S581" s="1133">
        <v>42691.0</v>
      </c>
      <c r="T581" s="1132">
        <v>42681.0</v>
      </c>
      <c r="U581" s="265" t="s">
        <v>10564</v>
      </c>
      <c r="V581" s="1135">
        <v>1859.0</v>
      </c>
      <c r="W581" s="832">
        <v>42695.0</v>
      </c>
      <c r="X581" s="265" t="s">
        <v>10561</v>
      </c>
      <c r="Y581" s="320"/>
      <c r="Z581" s="1149"/>
      <c r="AA581" s="320"/>
      <c r="AB581" s="388" t="s">
        <v>284</v>
      </c>
    </row>
    <row r="582" ht="15.75" customHeight="1">
      <c r="A582" s="776">
        <v>42667.0</v>
      </c>
      <c r="B582" s="340" t="s">
        <v>77</v>
      </c>
      <c r="C582" s="265"/>
      <c r="D582" s="310" t="s">
        <v>10556</v>
      </c>
      <c r="E582" s="578" t="s">
        <v>9134</v>
      </c>
      <c r="F582" s="581">
        <v>15.0</v>
      </c>
      <c r="G582" s="581">
        <v>2.0</v>
      </c>
      <c r="H582" s="578">
        <f t="shared" si="32"/>
        <v>30</v>
      </c>
      <c r="I582" s="266" t="s">
        <v>171</v>
      </c>
      <c r="J582" s="269" t="s">
        <v>316</v>
      </c>
      <c r="K582" s="832">
        <v>42684.0</v>
      </c>
      <c r="L582" s="832">
        <v>42684.0</v>
      </c>
      <c r="M582" s="333" t="s">
        <v>2039</v>
      </c>
      <c r="N582" s="265" t="s">
        <v>10563</v>
      </c>
      <c r="O582" s="773"/>
      <c r="P582" s="340">
        <v>363.0</v>
      </c>
      <c r="Q582" s="320" t="s">
        <v>2194</v>
      </c>
      <c r="R582" s="388"/>
      <c r="S582" s="1133">
        <v>42691.0</v>
      </c>
      <c r="T582" s="1132">
        <v>42681.0</v>
      </c>
      <c r="U582" s="265" t="s">
        <v>10564</v>
      </c>
      <c r="V582" s="1135" t="s">
        <v>10565</v>
      </c>
      <c r="W582" s="832">
        <v>42695.0</v>
      </c>
      <c r="X582" s="265" t="s">
        <v>10561</v>
      </c>
      <c r="Y582" s="320"/>
      <c r="Z582" s="1149"/>
      <c r="AA582" s="320"/>
      <c r="AB582" s="388" t="s">
        <v>284</v>
      </c>
    </row>
    <row r="583" ht="15.75" customHeight="1">
      <c r="A583" s="776">
        <v>42667.0</v>
      </c>
      <c r="B583" s="599" t="s">
        <v>54</v>
      </c>
      <c r="C583" s="1004" t="s">
        <v>10566</v>
      </c>
      <c r="D583" s="310" t="s">
        <v>10567</v>
      </c>
      <c r="E583" s="578" t="s">
        <v>3793</v>
      </c>
      <c r="F583" s="331">
        <v>3.0</v>
      </c>
      <c r="G583" s="254">
        <v>150.15</v>
      </c>
      <c r="H583" s="466">
        <f t="shared" si="32"/>
        <v>450.45</v>
      </c>
      <c r="I583" s="266" t="s">
        <v>8675</v>
      </c>
      <c r="J583" s="333" t="s">
        <v>90</v>
      </c>
      <c r="K583" s="832">
        <v>42677.0</v>
      </c>
      <c r="L583" s="1177"/>
      <c r="M583" s="333" t="s">
        <v>90</v>
      </c>
      <c r="N583" s="265" t="s">
        <v>10568</v>
      </c>
      <c r="O583" s="773">
        <v>403.2</v>
      </c>
      <c r="P583" s="1179"/>
      <c r="Q583" s="320" t="s">
        <v>6081</v>
      </c>
      <c r="R583" s="388"/>
      <c r="S583" s="1145">
        <v>42740.0</v>
      </c>
      <c r="T583" s="1132">
        <v>42676.0</v>
      </c>
      <c r="U583" s="265" t="s">
        <v>10569</v>
      </c>
      <c r="V583" s="1135">
        <v>12721.0</v>
      </c>
      <c r="W583" s="832">
        <v>42724.0</v>
      </c>
      <c r="X583" s="320" t="s">
        <v>10524</v>
      </c>
      <c r="Y583" s="320" t="s">
        <v>10525</v>
      </c>
      <c r="Z583" s="1149" t="s">
        <v>10570</v>
      </c>
      <c r="AA583" s="388" t="s">
        <v>10526</v>
      </c>
      <c r="AB583" s="1140"/>
    </row>
    <row r="584" ht="15.75" customHeight="1">
      <c r="A584" s="776">
        <v>42668.0</v>
      </c>
      <c r="B584" s="340" t="s">
        <v>101</v>
      </c>
      <c r="C584" s="265" t="s">
        <v>10571</v>
      </c>
      <c r="D584" s="310" t="s">
        <v>10572</v>
      </c>
      <c r="E584" s="578" t="s">
        <v>10573</v>
      </c>
      <c r="F584" s="581">
        <v>3.0</v>
      </c>
      <c r="G584" s="581">
        <v>322.0</v>
      </c>
      <c r="H584" s="466">
        <f t="shared" si="32"/>
        <v>966</v>
      </c>
      <c r="I584" s="266" t="s">
        <v>3474</v>
      </c>
      <c r="J584" s="333" t="s">
        <v>6027</v>
      </c>
      <c r="K584" s="832">
        <v>42677.0</v>
      </c>
      <c r="L584" s="832">
        <v>42676.0</v>
      </c>
      <c r="M584" s="333" t="s">
        <v>2028</v>
      </c>
      <c r="N584" s="265" t="s">
        <v>10574</v>
      </c>
      <c r="O584" s="773"/>
      <c r="P584" s="340">
        <v>28867.0</v>
      </c>
      <c r="Q584" s="340" t="s">
        <v>2030</v>
      </c>
      <c r="R584" s="388"/>
      <c r="S584" s="1145">
        <v>42671.0</v>
      </c>
      <c r="T584" s="1132">
        <v>42675.0</v>
      </c>
      <c r="U584" s="265" t="s">
        <v>10575</v>
      </c>
      <c r="V584" s="1135">
        <v>28867.0</v>
      </c>
      <c r="W584" s="832">
        <v>42671.0</v>
      </c>
      <c r="X584" s="320" t="s">
        <v>10576</v>
      </c>
      <c r="Y584" s="320"/>
      <c r="Z584" s="1149"/>
      <c r="AA584" s="320"/>
      <c r="AB584" s="388" t="s">
        <v>284</v>
      </c>
    </row>
    <row r="585" ht="15.75" customHeight="1">
      <c r="A585" s="776">
        <v>42668.0</v>
      </c>
      <c r="B585" s="340" t="s">
        <v>101</v>
      </c>
      <c r="C585" s="265" t="s">
        <v>10571</v>
      </c>
      <c r="D585" s="310" t="s">
        <v>10572</v>
      </c>
      <c r="E585" s="578" t="s">
        <v>10577</v>
      </c>
      <c r="F585" s="581">
        <v>3.0</v>
      </c>
      <c r="G585" s="581">
        <v>71.0</v>
      </c>
      <c r="H585" s="267">
        <v>213.0</v>
      </c>
      <c r="I585" s="266" t="s">
        <v>3474</v>
      </c>
      <c r="J585" s="333" t="s">
        <v>6027</v>
      </c>
      <c r="K585" s="832">
        <v>42677.0</v>
      </c>
      <c r="L585" s="832">
        <v>42674.0</v>
      </c>
      <c r="M585" s="333" t="s">
        <v>2170</v>
      </c>
      <c r="N585" s="265" t="s">
        <v>10578</v>
      </c>
      <c r="O585" s="773"/>
      <c r="P585" s="340">
        <v>5623.0</v>
      </c>
      <c r="Q585" s="320" t="s">
        <v>2172</v>
      </c>
      <c r="R585" s="388"/>
      <c r="S585" s="773" t="s">
        <v>10083</v>
      </c>
      <c r="T585" s="1132">
        <v>42671.0</v>
      </c>
      <c r="U585" s="320" t="s">
        <v>10579</v>
      </c>
      <c r="V585" s="1135">
        <v>9236.0</v>
      </c>
      <c r="W585" s="832"/>
      <c r="X585" s="320" t="s">
        <v>10576</v>
      </c>
      <c r="Y585" s="320"/>
      <c r="Z585" s="1149"/>
      <c r="AA585" s="320"/>
      <c r="AB585" s="388" t="s">
        <v>284</v>
      </c>
    </row>
    <row r="586" ht="15.75" customHeight="1">
      <c r="A586" s="776">
        <v>42668.0</v>
      </c>
      <c r="B586" s="340" t="s">
        <v>101</v>
      </c>
      <c r="C586" s="265" t="s">
        <v>10571</v>
      </c>
      <c r="D586" s="310" t="s">
        <v>10572</v>
      </c>
      <c r="E586" s="340" t="s">
        <v>10580</v>
      </c>
      <c r="F586" s="773">
        <v>3.0</v>
      </c>
      <c r="G586" s="773">
        <v>58.0</v>
      </c>
      <c r="H586" s="267">
        <f t="shared" ref="H586:H635" si="33">G586*F586</f>
        <v>174</v>
      </c>
      <c r="I586" s="266" t="s">
        <v>3474</v>
      </c>
      <c r="J586" s="333" t="s">
        <v>6027</v>
      </c>
      <c r="K586" s="832">
        <v>42677.0</v>
      </c>
      <c r="L586" s="832">
        <v>42674.0</v>
      </c>
      <c r="M586" s="333" t="s">
        <v>2170</v>
      </c>
      <c r="N586" s="265" t="s">
        <v>10578</v>
      </c>
      <c r="O586" s="773"/>
      <c r="P586" s="340">
        <v>3613.0</v>
      </c>
      <c r="Q586" s="320" t="s">
        <v>2172</v>
      </c>
      <c r="R586" s="388"/>
      <c r="S586" s="852" t="s">
        <v>10581</v>
      </c>
      <c r="T586" s="1132">
        <v>42671.0</v>
      </c>
      <c r="U586" s="320" t="s">
        <v>10579</v>
      </c>
      <c r="V586" s="1135" t="s">
        <v>10582</v>
      </c>
      <c r="W586" s="832">
        <v>42670.0</v>
      </c>
      <c r="X586" s="320" t="s">
        <v>10576</v>
      </c>
      <c r="Y586" s="320"/>
      <c r="Z586" s="1149"/>
      <c r="AA586" s="320"/>
      <c r="AB586" s="388" t="s">
        <v>284</v>
      </c>
    </row>
    <row r="587" ht="15.75" customHeight="1">
      <c r="A587" s="776">
        <v>42670.0</v>
      </c>
      <c r="B587" s="340" t="s">
        <v>6167</v>
      </c>
      <c r="C587" s="265">
        <v>7.000125082E9</v>
      </c>
      <c r="D587" s="320" t="s">
        <v>10583</v>
      </c>
      <c r="E587" s="340" t="s">
        <v>3676</v>
      </c>
      <c r="F587" s="773">
        <v>2.0</v>
      </c>
      <c r="G587" s="773">
        <v>46.0</v>
      </c>
      <c r="H587" s="267">
        <f t="shared" si="33"/>
        <v>92</v>
      </c>
      <c r="I587" s="266" t="s">
        <v>43</v>
      </c>
      <c r="J587" s="777" t="s">
        <v>3623</v>
      </c>
      <c r="K587" s="832">
        <v>42677.0</v>
      </c>
      <c r="L587" s="832">
        <v>42676.0</v>
      </c>
      <c r="M587" s="333" t="s">
        <v>6120</v>
      </c>
      <c r="N587" s="265" t="s">
        <v>10584</v>
      </c>
      <c r="O587" s="773"/>
      <c r="P587" s="340">
        <v>2684.0</v>
      </c>
      <c r="Q587" s="320" t="s">
        <v>6122</v>
      </c>
      <c r="R587" s="388"/>
      <c r="S587" s="1145">
        <v>42740.0</v>
      </c>
      <c r="T587" s="1132">
        <v>42675.0</v>
      </c>
      <c r="U587" s="265" t="s">
        <v>10585</v>
      </c>
      <c r="V587" s="1135">
        <v>2684.0</v>
      </c>
      <c r="W587" s="832">
        <v>42734.0</v>
      </c>
      <c r="X587" s="320" t="s">
        <v>10554</v>
      </c>
      <c r="Y587" s="320"/>
      <c r="Z587" s="1149"/>
      <c r="AA587" s="320"/>
      <c r="AB587" s="1140" t="s">
        <v>10420</v>
      </c>
    </row>
    <row r="588" ht="15.75" customHeight="1">
      <c r="A588" s="764">
        <v>42634.0</v>
      </c>
      <c r="B588" s="340" t="s">
        <v>101</v>
      </c>
      <c r="C588" s="265" t="s">
        <v>10293</v>
      </c>
      <c r="D588" s="320" t="s">
        <v>10294</v>
      </c>
      <c r="E588" s="340" t="s">
        <v>10260</v>
      </c>
      <c r="F588" s="773">
        <v>6.0</v>
      </c>
      <c r="G588" s="773">
        <v>1085.0</v>
      </c>
      <c r="H588" s="267">
        <f t="shared" si="33"/>
        <v>6510</v>
      </c>
      <c r="I588" s="266" t="s">
        <v>3474</v>
      </c>
      <c r="J588" s="333" t="s">
        <v>6027</v>
      </c>
      <c r="K588" s="832">
        <v>42654.0</v>
      </c>
      <c r="L588" s="832">
        <v>42650.0</v>
      </c>
      <c r="M588" s="333" t="s">
        <v>1439</v>
      </c>
      <c r="N588" s="265" t="s">
        <v>10586</v>
      </c>
      <c r="O588" s="773"/>
      <c r="P588" s="320">
        <v>189068.0</v>
      </c>
      <c r="Q588" s="320" t="s">
        <v>1976</v>
      </c>
      <c r="R588" s="388"/>
      <c r="S588" s="1145">
        <v>42679.0</v>
      </c>
      <c r="T588" s="1132">
        <v>42649.0</v>
      </c>
      <c r="U588" s="265" t="s">
        <v>10587</v>
      </c>
      <c r="V588" s="1135">
        <v>189068.0</v>
      </c>
      <c r="W588" s="832">
        <v>42678.0</v>
      </c>
      <c r="X588" s="320" t="s">
        <v>10297</v>
      </c>
      <c r="Y588" s="1141"/>
      <c r="Z588" s="1152"/>
      <c r="AA588" s="1141"/>
      <c r="AB588" s="388" t="s">
        <v>284</v>
      </c>
    </row>
    <row r="589" ht="15.75" customHeight="1">
      <c r="A589" s="776">
        <v>42670.0</v>
      </c>
      <c r="B589" s="340" t="s">
        <v>101</v>
      </c>
      <c r="C589" s="265"/>
      <c r="D589" s="320" t="s">
        <v>10588</v>
      </c>
      <c r="E589" s="340" t="s">
        <v>10589</v>
      </c>
      <c r="F589" s="773">
        <v>2.0</v>
      </c>
      <c r="G589" s="773">
        <v>62.0</v>
      </c>
      <c r="H589" s="267">
        <f t="shared" si="33"/>
        <v>124</v>
      </c>
      <c r="I589" s="266" t="s">
        <v>3474</v>
      </c>
      <c r="J589" s="333" t="s">
        <v>6027</v>
      </c>
      <c r="K589" s="832">
        <v>42676.0</v>
      </c>
      <c r="L589" s="832">
        <v>42676.0</v>
      </c>
      <c r="M589" s="333" t="s">
        <v>1439</v>
      </c>
      <c r="N589" s="265" t="s">
        <v>10590</v>
      </c>
      <c r="O589" s="773">
        <v>147.0</v>
      </c>
      <c r="P589" s="340"/>
      <c r="Q589" s="320" t="s">
        <v>1976</v>
      </c>
      <c r="R589" s="388"/>
      <c r="S589" s="1145">
        <v>42709.0</v>
      </c>
      <c r="T589" s="1132">
        <v>42675.0</v>
      </c>
      <c r="U589" s="265" t="s">
        <v>10591</v>
      </c>
      <c r="V589" s="1135" t="s">
        <v>10592</v>
      </c>
      <c r="W589" s="832">
        <v>42710.0</v>
      </c>
      <c r="X589" s="320" t="s">
        <v>10593</v>
      </c>
      <c r="Y589" s="320"/>
      <c r="Z589" s="1149"/>
      <c r="AA589" s="320"/>
      <c r="AB589" s="388" t="s">
        <v>284</v>
      </c>
    </row>
    <row r="590" ht="15.75" customHeight="1">
      <c r="A590" s="776">
        <v>42670.0</v>
      </c>
      <c r="B590" s="340" t="s">
        <v>101</v>
      </c>
      <c r="C590" s="265"/>
      <c r="D590" s="320" t="s">
        <v>10588</v>
      </c>
      <c r="E590" s="340" t="s">
        <v>10594</v>
      </c>
      <c r="F590" s="773">
        <v>1.0</v>
      </c>
      <c r="G590" s="773">
        <v>102.0</v>
      </c>
      <c r="H590" s="267">
        <f t="shared" si="33"/>
        <v>102</v>
      </c>
      <c r="I590" s="266" t="s">
        <v>3474</v>
      </c>
      <c r="J590" s="333" t="s">
        <v>6027</v>
      </c>
      <c r="K590" s="832">
        <v>42676.0</v>
      </c>
      <c r="L590" s="832">
        <v>42676.0</v>
      </c>
      <c r="M590" s="333" t="s">
        <v>2032</v>
      </c>
      <c r="N590" s="265"/>
      <c r="O590" s="773"/>
      <c r="P590" s="1189">
        <v>2880.0</v>
      </c>
      <c r="Q590" s="320" t="s">
        <v>2033</v>
      </c>
      <c r="R590" s="388"/>
      <c r="S590" s="1145">
        <v>42715.0</v>
      </c>
      <c r="T590" s="1132">
        <v>42685.0</v>
      </c>
      <c r="U590" s="320" t="s">
        <v>10595</v>
      </c>
      <c r="V590" s="1135">
        <v>4891.0</v>
      </c>
      <c r="W590" s="832">
        <v>42709.0</v>
      </c>
      <c r="X590" s="320" t="s">
        <v>10593</v>
      </c>
      <c r="Y590" s="320"/>
      <c r="Z590" s="1149"/>
      <c r="AA590" s="320"/>
      <c r="AB590" s="388" t="s">
        <v>284</v>
      </c>
    </row>
    <row r="591" ht="15.75" customHeight="1">
      <c r="A591" s="776">
        <v>42674.0</v>
      </c>
      <c r="B591" s="340" t="s">
        <v>6167</v>
      </c>
      <c r="C591" s="265">
        <v>7.000125132E9</v>
      </c>
      <c r="D591" s="320" t="s">
        <v>10596</v>
      </c>
      <c r="E591" s="340" t="s">
        <v>3727</v>
      </c>
      <c r="F591" s="773">
        <v>1.0</v>
      </c>
      <c r="G591" s="773">
        <v>56.0</v>
      </c>
      <c r="H591" s="267">
        <f t="shared" si="33"/>
        <v>56</v>
      </c>
      <c r="I591" s="266" t="s">
        <v>43</v>
      </c>
      <c r="J591" s="777" t="s">
        <v>3623</v>
      </c>
      <c r="K591" s="832">
        <v>42677.0</v>
      </c>
      <c r="L591" s="832">
        <v>42676.0</v>
      </c>
      <c r="M591" s="333" t="s">
        <v>3593</v>
      </c>
      <c r="N591" s="265" t="s">
        <v>10597</v>
      </c>
      <c r="O591" s="773"/>
      <c r="P591" s="340">
        <v>1638.0</v>
      </c>
      <c r="Q591" s="320" t="s">
        <v>6122</v>
      </c>
      <c r="R591" s="388"/>
      <c r="S591" s="1145">
        <v>42740.0</v>
      </c>
      <c r="T591" s="1132">
        <v>42676.0</v>
      </c>
      <c r="U591" s="265" t="s">
        <v>10598</v>
      </c>
      <c r="V591" s="1135">
        <v>1638.0</v>
      </c>
      <c r="W591" s="832">
        <v>42734.0</v>
      </c>
      <c r="X591" s="320" t="s">
        <v>10554</v>
      </c>
      <c r="Y591" s="320"/>
      <c r="Z591" s="1149"/>
      <c r="AA591" s="320"/>
      <c r="AB591" s="1140" t="s">
        <v>10420</v>
      </c>
    </row>
    <row r="592" ht="15.75" customHeight="1">
      <c r="A592" s="776">
        <v>42674.0</v>
      </c>
      <c r="B592" s="340" t="s">
        <v>77</v>
      </c>
      <c r="C592" s="265">
        <v>964.0</v>
      </c>
      <c r="D592" s="320" t="s">
        <v>10599</v>
      </c>
      <c r="E592" s="578" t="s">
        <v>9326</v>
      </c>
      <c r="F592" s="773">
        <v>10.0</v>
      </c>
      <c r="G592" s="773">
        <v>285.0</v>
      </c>
      <c r="H592" s="578">
        <f t="shared" si="33"/>
        <v>2850</v>
      </c>
      <c r="I592" s="266" t="s">
        <v>171</v>
      </c>
      <c r="J592" s="269" t="s">
        <v>316</v>
      </c>
      <c r="K592" s="832">
        <v>42684.0</v>
      </c>
      <c r="L592" s="832">
        <v>42682.0</v>
      </c>
      <c r="M592" s="266" t="s">
        <v>1998</v>
      </c>
      <c r="N592" s="265" t="s">
        <v>10600</v>
      </c>
      <c r="O592" s="773">
        <v>2625.0</v>
      </c>
      <c r="P592" s="1179"/>
      <c r="Q592" s="1116" t="s">
        <v>10559</v>
      </c>
      <c r="R592" s="388"/>
      <c r="S592" s="1145">
        <v>42740.0</v>
      </c>
      <c r="T592" s="1132">
        <v>42682.0</v>
      </c>
      <c r="U592" s="265" t="s">
        <v>10601</v>
      </c>
      <c r="V592" s="1135">
        <v>82688.0</v>
      </c>
      <c r="W592" s="832">
        <v>42744.0</v>
      </c>
      <c r="X592" s="265" t="s">
        <v>10561</v>
      </c>
      <c r="Y592" s="320"/>
      <c r="Z592" s="1149"/>
      <c r="AA592" s="320"/>
      <c r="AB592" s="388" t="s">
        <v>284</v>
      </c>
    </row>
    <row r="593" ht="15.75" customHeight="1">
      <c r="A593" s="776">
        <v>42675.0</v>
      </c>
      <c r="B593" s="340" t="s">
        <v>229</v>
      </c>
      <c r="C593" s="265" t="s">
        <v>10602</v>
      </c>
      <c r="D593" s="320" t="s">
        <v>10603</v>
      </c>
      <c r="E593" s="578" t="s">
        <v>462</v>
      </c>
      <c r="F593" s="773">
        <v>78.0</v>
      </c>
      <c r="G593" s="581">
        <v>415.8</v>
      </c>
      <c r="H593" s="578">
        <f t="shared" si="33"/>
        <v>32432.4</v>
      </c>
      <c r="I593" s="266" t="s">
        <v>171</v>
      </c>
      <c r="J593" s="333" t="s">
        <v>90</v>
      </c>
      <c r="K593" s="832">
        <v>42691.0</v>
      </c>
      <c r="L593" s="1177"/>
      <c r="M593" s="333" t="s">
        <v>90</v>
      </c>
      <c r="N593" s="265" t="s">
        <v>10604</v>
      </c>
      <c r="O593" s="773">
        <v>29074.5</v>
      </c>
      <c r="P593" s="1179"/>
      <c r="Q593" s="320" t="s">
        <v>6081</v>
      </c>
      <c r="R593" s="388"/>
      <c r="S593" s="1145">
        <v>42740.0</v>
      </c>
      <c r="T593" s="1132">
        <v>42690.0</v>
      </c>
      <c r="U593" s="265" t="s">
        <v>10605</v>
      </c>
      <c r="V593" s="1135">
        <v>922695.0</v>
      </c>
      <c r="W593" s="832">
        <v>42712.0</v>
      </c>
      <c r="X593" s="320" t="s">
        <v>10606</v>
      </c>
      <c r="Y593" s="320" t="s">
        <v>10607</v>
      </c>
      <c r="Z593" s="1149">
        <v>1057398.0</v>
      </c>
      <c r="AA593" s="320" t="s">
        <v>10608</v>
      </c>
      <c r="AB593" s="388"/>
    </row>
    <row r="594" ht="15.75" customHeight="1">
      <c r="A594" s="776">
        <v>42675.0</v>
      </c>
      <c r="B594" s="340" t="s">
        <v>229</v>
      </c>
      <c r="C594" s="265"/>
      <c r="D594" s="320" t="s">
        <v>10603</v>
      </c>
      <c r="E594" s="599" t="s">
        <v>3765</v>
      </c>
      <c r="F594" s="773">
        <v>1.0</v>
      </c>
      <c r="G594" s="773">
        <v>336.0</v>
      </c>
      <c r="H594" s="578">
        <f t="shared" si="33"/>
        <v>336</v>
      </c>
      <c r="I594" s="266" t="s">
        <v>171</v>
      </c>
      <c r="J594" s="333" t="s">
        <v>90</v>
      </c>
      <c r="K594" s="832">
        <v>42691.0</v>
      </c>
      <c r="L594" s="1177"/>
      <c r="M594" s="333" t="s">
        <v>90</v>
      </c>
      <c r="N594" s="265" t="s">
        <v>10604</v>
      </c>
      <c r="O594" s="773">
        <v>301.35</v>
      </c>
      <c r="P594" s="1179"/>
      <c r="Q594" s="320" t="s">
        <v>6081</v>
      </c>
      <c r="R594" s="388"/>
      <c r="S594" s="1145">
        <v>42740.0</v>
      </c>
      <c r="T594" s="1132">
        <v>42690.0</v>
      </c>
      <c r="U594" s="265" t="s">
        <v>10605</v>
      </c>
      <c r="V594" s="1135" t="s">
        <v>10609</v>
      </c>
      <c r="W594" s="832">
        <v>42712.0</v>
      </c>
      <c r="X594" s="320" t="s">
        <v>10606</v>
      </c>
      <c r="Y594" s="320" t="s">
        <v>10607</v>
      </c>
      <c r="Z594" s="1149" t="s">
        <v>10610</v>
      </c>
      <c r="AA594" s="320" t="s">
        <v>10608</v>
      </c>
      <c r="AB594" s="388"/>
    </row>
    <row r="595" ht="15.75" customHeight="1">
      <c r="A595" s="776">
        <v>42676.0</v>
      </c>
      <c r="B595" s="340" t="s">
        <v>6167</v>
      </c>
      <c r="C595" s="265"/>
      <c r="D595" s="320" t="s">
        <v>10611</v>
      </c>
      <c r="E595" s="340" t="s">
        <v>10612</v>
      </c>
      <c r="F595" s="773">
        <v>1.0</v>
      </c>
      <c r="G595" s="773">
        <v>0.0</v>
      </c>
      <c r="H595" s="267">
        <f t="shared" si="33"/>
        <v>0</v>
      </c>
      <c r="I595" s="266" t="s">
        <v>43</v>
      </c>
      <c r="J595" s="777" t="s">
        <v>3623</v>
      </c>
      <c r="K595" s="832">
        <v>42677.0</v>
      </c>
      <c r="L595" s="832">
        <v>42677.0</v>
      </c>
      <c r="M595" s="333" t="s">
        <v>3593</v>
      </c>
      <c r="N595" s="265"/>
      <c r="O595" s="773"/>
      <c r="P595" s="340">
        <v>0.0</v>
      </c>
      <c r="Q595" s="320" t="s">
        <v>6122</v>
      </c>
      <c r="R595" s="388"/>
      <c r="S595" s="1186"/>
      <c r="T595" s="265" t="s">
        <v>10613</v>
      </c>
      <c r="U595" s="265" t="s">
        <v>10614</v>
      </c>
      <c r="V595" s="265" t="s">
        <v>10614</v>
      </c>
      <c r="W595" s="832"/>
      <c r="X595" s="320" t="s">
        <v>10554</v>
      </c>
      <c r="Y595" s="320"/>
      <c r="Z595" s="1149"/>
      <c r="AA595" s="320"/>
      <c r="AB595" s="388"/>
    </row>
    <row r="596" ht="15.75" customHeight="1">
      <c r="A596" s="776">
        <v>42676.0</v>
      </c>
      <c r="B596" s="340" t="s">
        <v>101</v>
      </c>
      <c r="C596" s="265"/>
      <c r="D596" s="320" t="s">
        <v>10615</v>
      </c>
      <c r="E596" s="340" t="s">
        <v>10616</v>
      </c>
      <c r="F596" s="773">
        <v>1.0</v>
      </c>
      <c r="G596" s="773">
        <v>76.0</v>
      </c>
      <c r="H596" s="267">
        <f t="shared" si="33"/>
        <v>76</v>
      </c>
      <c r="I596" s="266" t="s">
        <v>3474</v>
      </c>
      <c r="J596" s="333" t="s">
        <v>6027</v>
      </c>
      <c r="K596" s="832">
        <v>42677.0</v>
      </c>
      <c r="L596" s="832">
        <v>42677.0</v>
      </c>
      <c r="M596" s="333" t="s">
        <v>2032</v>
      </c>
      <c r="N596" s="265"/>
      <c r="O596" s="773"/>
      <c r="P596" s="1189">
        <v>2011.0</v>
      </c>
      <c r="Q596" s="320" t="s">
        <v>2033</v>
      </c>
      <c r="R596" s="388"/>
      <c r="S596" s="1145">
        <v>42715.0</v>
      </c>
      <c r="T596" s="1132">
        <v>42685.0</v>
      </c>
      <c r="U596" s="320" t="s">
        <v>10595</v>
      </c>
      <c r="V596" s="256" t="s">
        <v>10617</v>
      </c>
      <c r="W596" s="832">
        <v>42709.0</v>
      </c>
      <c r="X596" s="320" t="s">
        <v>10576</v>
      </c>
      <c r="Y596" s="320"/>
      <c r="Z596" s="1149"/>
      <c r="AA596" s="320"/>
      <c r="AB596" s="388" t="s">
        <v>284</v>
      </c>
    </row>
    <row r="597" ht="1.5" customHeight="1">
      <c r="A597" s="776">
        <v>42677.0</v>
      </c>
      <c r="B597" s="340" t="s">
        <v>5073</v>
      </c>
      <c r="C597" s="265" t="s">
        <v>10618</v>
      </c>
      <c r="D597" s="320" t="s">
        <v>10619</v>
      </c>
      <c r="E597" s="340" t="s">
        <v>10620</v>
      </c>
      <c r="F597" s="773">
        <v>2.0</v>
      </c>
      <c r="G597" s="773">
        <v>1343.0</v>
      </c>
      <c r="H597" s="267">
        <f t="shared" si="33"/>
        <v>2686</v>
      </c>
      <c r="I597" s="266" t="s">
        <v>3474</v>
      </c>
      <c r="J597" s="333" t="s">
        <v>3749</v>
      </c>
      <c r="K597" s="832">
        <v>42684.0</v>
      </c>
      <c r="L597" s="832">
        <v>42684.0</v>
      </c>
      <c r="M597" s="333" t="s">
        <v>3593</v>
      </c>
      <c r="N597" s="265" t="s">
        <v>10621</v>
      </c>
      <c r="O597" s="773"/>
      <c r="P597" s="1012">
        <v>82736.0</v>
      </c>
      <c r="Q597" s="320" t="s">
        <v>6122</v>
      </c>
      <c r="R597" s="388"/>
      <c r="S597" s="1145">
        <v>42740.0</v>
      </c>
      <c r="T597" s="1132">
        <v>42681.0</v>
      </c>
      <c r="U597" s="265" t="s">
        <v>10622</v>
      </c>
      <c r="V597" s="1135">
        <v>82736.0</v>
      </c>
      <c r="W597" s="832">
        <v>42734.0</v>
      </c>
      <c r="X597" s="265" t="s">
        <v>10623</v>
      </c>
      <c r="Y597" s="320"/>
      <c r="Z597" s="1149"/>
      <c r="AA597" s="320"/>
      <c r="AB597" s="388" t="s">
        <v>284</v>
      </c>
    </row>
    <row r="598" ht="15.75" customHeight="1">
      <c r="A598" s="776">
        <v>42678.0</v>
      </c>
      <c r="B598" s="340" t="s">
        <v>6167</v>
      </c>
      <c r="C598" s="265">
        <v>7.000125281E9</v>
      </c>
      <c r="D598" s="320" t="s">
        <v>10624</v>
      </c>
      <c r="E598" s="340" t="s">
        <v>4657</v>
      </c>
      <c r="F598" s="773">
        <v>2.0</v>
      </c>
      <c r="G598" s="773">
        <v>110.0</v>
      </c>
      <c r="H598" s="47">
        <f t="shared" si="33"/>
        <v>220</v>
      </c>
      <c r="I598" s="266" t="s">
        <v>43</v>
      </c>
      <c r="J598" s="777" t="s">
        <v>3623</v>
      </c>
      <c r="K598" s="258">
        <v>42698.0</v>
      </c>
      <c r="L598" s="832">
        <v>42698.0</v>
      </c>
      <c r="M598" s="333" t="s">
        <v>6120</v>
      </c>
      <c r="N598" s="265" t="s">
        <v>10625</v>
      </c>
      <c r="O598" s="773"/>
      <c r="P598" s="1012">
        <v>6430.0</v>
      </c>
      <c r="Q598" s="320" t="s">
        <v>6122</v>
      </c>
      <c r="R598" s="388"/>
      <c r="S598" s="768">
        <v>42740.0</v>
      </c>
      <c r="T598" s="1132">
        <v>42696.0</v>
      </c>
      <c r="U598" s="265" t="s">
        <v>10626</v>
      </c>
      <c r="V598" s="1135">
        <v>10119.0</v>
      </c>
      <c r="W598" s="832">
        <v>42734.0</v>
      </c>
      <c r="X598" s="310" t="s">
        <v>10627</v>
      </c>
      <c r="Y598" s="320"/>
      <c r="Z598" s="1149"/>
      <c r="AA598" s="320"/>
      <c r="AB598" s="592" t="s">
        <v>284</v>
      </c>
    </row>
    <row r="599" ht="15.75" customHeight="1">
      <c r="A599" s="776">
        <v>42678.0</v>
      </c>
      <c r="B599" s="340" t="s">
        <v>6167</v>
      </c>
      <c r="C599" s="265">
        <v>7.000125281E9</v>
      </c>
      <c r="D599" s="320" t="s">
        <v>10624</v>
      </c>
      <c r="E599" s="340" t="s">
        <v>7196</v>
      </c>
      <c r="F599" s="773">
        <v>1.0</v>
      </c>
      <c r="G599" s="773">
        <v>126.0</v>
      </c>
      <c r="H599" s="47">
        <f t="shared" si="33"/>
        <v>126</v>
      </c>
      <c r="I599" s="266" t="s">
        <v>43</v>
      </c>
      <c r="J599" s="777" t="s">
        <v>3623</v>
      </c>
      <c r="K599" s="258">
        <v>42698.0</v>
      </c>
      <c r="L599" s="832">
        <v>42698.0</v>
      </c>
      <c r="M599" s="333" t="s">
        <v>6120</v>
      </c>
      <c r="N599" s="265" t="s">
        <v>10625</v>
      </c>
      <c r="O599" s="773"/>
      <c r="P599" s="1012">
        <v>3689.0</v>
      </c>
      <c r="Q599" s="320" t="s">
        <v>6122</v>
      </c>
      <c r="R599" s="388"/>
      <c r="S599" s="768">
        <v>42740.0</v>
      </c>
      <c r="T599" s="1132">
        <v>42696.0</v>
      </c>
      <c r="U599" s="265" t="s">
        <v>10626</v>
      </c>
      <c r="V599" s="1030" t="s">
        <v>10628</v>
      </c>
      <c r="W599" s="832">
        <v>42734.0</v>
      </c>
      <c r="X599" s="310" t="s">
        <v>10627</v>
      </c>
      <c r="Y599" s="320"/>
      <c r="Z599" s="1149"/>
      <c r="AA599" s="320"/>
      <c r="AB599" s="592" t="s">
        <v>284</v>
      </c>
    </row>
    <row r="600" ht="15.75" customHeight="1">
      <c r="A600" s="776">
        <v>42678.0</v>
      </c>
      <c r="B600" s="340" t="s">
        <v>631</v>
      </c>
      <c r="C600" s="265" t="s">
        <v>10629</v>
      </c>
      <c r="D600" s="320" t="s">
        <v>10630</v>
      </c>
      <c r="E600" s="340" t="s">
        <v>10631</v>
      </c>
      <c r="F600" s="773">
        <v>8.0</v>
      </c>
      <c r="G600" s="773">
        <v>145.95</v>
      </c>
      <c r="H600" s="267">
        <f t="shared" si="33"/>
        <v>1167.6</v>
      </c>
      <c r="I600" s="266" t="s">
        <v>171</v>
      </c>
      <c r="J600" s="333" t="s">
        <v>90</v>
      </c>
      <c r="K600" s="832">
        <v>42691.0</v>
      </c>
      <c r="L600" s="1177"/>
      <c r="M600" s="333" t="s">
        <v>90</v>
      </c>
      <c r="N600" s="265" t="s">
        <v>10632</v>
      </c>
      <c r="O600" s="773">
        <v>1083.6</v>
      </c>
      <c r="P600" s="1179"/>
      <c r="Q600" s="320" t="s">
        <v>6081</v>
      </c>
      <c r="R600" s="388"/>
      <c r="S600" s="1145">
        <v>42740.0</v>
      </c>
      <c r="T600" s="1132">
        <v>42689.0</v>
      </c>
      <c r="U600" s="265" t="s">
        <v>10633</v>
      </c>
      <c r="V600" s="1135">
        <v>34036.0</v>
      </c>
      <c r="W600" s="832">
        <v>42724.0</v>
      </c>
      <c r="X600" s="320" t="s">
        <v>10634</v>
      </c>
      <c r="Y600" s="320" t="s">
        <v>10479</v>
      </c>
      <c r="Z600" s="1149">
        <v>37176.0</v>
      </c>
      <c r="AA600" s="340" t="s">
        <v>10635</v>
      </c>
      <c r="AB600" s="388"/>
    </row>
    <row r="601" ht="15.75" customHeight="1">
      <c r="A601" s="776">
        <v>42681.0</v>
      </c>
      <c r="B601" s="340" t="s">
        <v>229</v>
      </c>
      <c r="C601" s="265"/>
      <c r="D601" s="320" t="s">
        <v>10636</v>
      </c>
      <c r="E601" s="340" t="s">
        <v>10637</v>
      </c>
      <c r="F601" s="773">
        <v>1.0</v>
      </c>
      <c r="G601" s="773">
        <v>525.0</v>
      </c>
      <c r="H601" s="267">
        <f t="shared" si="33"/>
        <v>525</v>
      </c>
      <c r="I601" s="266" t="s">
        <v>171</v>
      </c>
      <c r="J601" s="333" t="s">
        <v>90</v>
      </c>
      <c r="K601" s="832">
        <v>42691.0</v>
      </c>
      <c r="L601" s="1177"/>
      <c r="M601" s="333" t="s">
        <v>90</v>
      </c>
      <c r="N601" s="265" t="s">
        <v>10638</v>
      </c>
      <c r="O601" s="773">
        <v>472.5</v>
      </c>
      <c r="P601" s="1179"/>
      <c r="Q601" s="320" t="s">
        <v>6081</v>
      </c>
      <c r="R601" s="388"/>
      <c r="S601" s="1145">
        <v>42740.0</v>
      </c>
      <c r="T601" s="1132">
        <v>42690.0</v>
      </c>
      <c r="U601" s="265" t="s">
        <v>10639</v>
      </c>
      <c r="V601" s="1135">
        <v>14841.0</v>
      </c>
      <c r="W601" s="832">
        <v>42724.0</v>
      </c>
      <c r="X601" s="320" t="s">
        <v>10606</v>
      </c>
      <c r="Y601" s="320" t="s">
        <v>10607</v>
      </c>
      <c r="Z601" s="1149" t="s">
        <v>10610</v>
      </c>
      <c r="AA601" s="320" t="s">
        <v>10608</v>
      </c>
      <c r="AB601" s="388"/>
    </row>
    <row r="602" ht="15.75" customHeight="1">
      <c r="A602" s="776">
        <v>42682.0</v>
      </c>
      <c r="B602" s="340" t="s">
        <v>6125</v>
      </c>
      <c r="C602" s="1004" t="s">
        <v>10640</v>
      </c>
      <c r="D602" s="320" t="s">
        <v>10641</v>
      </c>
      <c r="E602" s="340" t="s">
        <v>6128</v>
      </c>
      <c r="F602" s="773">
        <v>5.0</v>
      </c>
      <c r="G602" s="466">
        <v>148.0</v>
      </c>
      <c r="H602" s="267">
        <f t="shared" si="33"/>
        <v>740</v>
      </c>
      <c r="I602" s="266" t="s">
        <v>3474</v>
      </c>
      <c r="J602" s="403" t="s">
        <v>3732</v>
      </c>
      <c r="K602" s="832">
        <v>42691.0</v>
      </c>
      <c r="L602" s="832">
        <v>42688.0</v>
      </c>
      <c r="M602" s="333" t="s">
        <v>2034</v>
      </c>
      <c r="N602" s="265" t="s">
        <v>10642</v>
      </c>
      <c r="O602" s="773"/>
      <c r="P602" s="1012">
        <v>22575.0</v>
      </c>
      <c r="Q602" s="320" t="s">
        <v>6086</v>
      </c>
      <c r="R602" s="388"/>
      <c r="S602" s="1145">
        <v>42740.0</v>
      </c>
      <c r="T602" s="1132">
        <v>42685.0</v>
      </c>
      <c r="U602" s="265" t="s">
        <v>10643</v>
      </c>
      <c r="V602" s="1135">
        <v>45150.0</v>
      </c>
      <c r="W602" s="832">
        <v>42740.0</v>
      </c>
      <c r="X602" s="320" t="s">
        <v>10644</v>
      </c>
      <c r="Y602" s="320"/>
      <c r="Z602" s="1149"/>
      <c r="AA602" s="320"/>
      <c r="AB602" s="388" t="s">
        <v>284</v>
      </c>
    </row>
    <row r="603" ht="15.75" customHeight="1">
      <c r="A603" s="776">
        <v>42682.0</v>
      </c>
      <c r="B603" s="340" t="s">
        <v>6125</v>
      </c>
      <c r="C603" s="1004" t="s">
        <v>10640</v>
      </c>
      <c r="D603" s="320" t="s">
        <v>10641</v>
      </c>
      <c r="E603" s="340" t="s">
        <v>6132</v>
      </c>
      <c r="F603" s="773">
        <v>5.0</v>
      </c>
      <c r="G603" s="466">
        <v>148.0</v>
      </c>
      <c r="H603" s="267">
        <f t="shared" si="33"/>
        <v>740</v>
      </c>
      <c r="I603" s="266" t="s">
        <v>3474</v>
      </c>
      <c r="J603" s="403" t="s">
        <v>3732</v>
      </c>
      <c r="K603" s="832">
        <v>42691.0</v>
      </c>
      <c r="L603" s="832">
        <v>42688.0</v>
      </c>
      <c r="M603" s="333" t="s">
        <v>2034</v>
      </c>
      <c r="N603" s="265" t="s">
        <v>10642</v>
      </c>
      <c r="O603" s="773"/>
      <c r="P603" s="1012">
        <v>22575.0</v>
      </c>
      <c r="Q603" s="320" t="s">
        <v>6086</v>
      </c>
      <c r="R603" s="388"/>
      <c r="S603" s="1145">
        <v>42740.0</v>
      </c>
      <c r="T603" s="1132">
        <v>42685.0</v>
      </c>
      <c r="U603" s="265" t="s">
        <v>10643</v>
      </c>
      <c r="V603" s="1135" t="s">
        <v>10645</v>
      </c>
      <c r="W603" s="832">
        <v>42740.0</v>
      </c>
      <c r="X603" s="320" t="s">
        <v>10644</v>
      </c>
      <c r="Y603" s="320"/>
      <c r="Z603" s="1149"/>
      <c r="AA603" s="320"/>
      <c r="AB603" s="388" t="s">
        <v>284</v>
      </c>
    </row>
    <row r="604" ht="15.75" customHeight="1">
      <c r="A604" s="776">
        <v>42682.0</v>
      </c>
      <c r="B604" s="340" t="s">
        <v>6125</v>
      </c>
      <c r="C604" s="1004" t="s">
        <v>10640</v>
      </c>
      <c r="D604" s="320" t="s">
        <v>10641</v>
      </c>
      <c r="E604" s="340" t="s">
        <v>700</v>
      </c>
      <c r="F604" s="773">
        <v>1.0</v>
      </c>
      <c r="G604" s="773">
        <f>25</f>
        <v>25</v>
      </c>
      <c r="H604" s="267">
        <f t="shared" si="33"/>
        <v>25</v>
      </c>
      <c r="I604" s="1031" t="s">
        <v>3474</v>
      </c>
      <c r="J604" s="333"/>
      <c r="K604" s="832">
        <v>42691.0</v>
      </c>
      <c r="L604" s="1177"/>
      <c r="M604" s="333"/>
      <c r="N604" s="265"/>
      <c r="O604" s="773"/>
      <c r="P604" s="1179"/>
      <c r="Q604" s="320"/>
      <c r="R604" s="388"/>
      <c r="S604" s="1186"/>
      <c r="T604" s="1132"/>
      <c r="U604" s="265"/>
      <c r="V604" s="1135"/>
      <c r="W604" s="832"/>
      <c r="X604" s="320" t="s">
        <v>10644</v>
      </c>
      <c r="Y604" s="320"/>
      <c r="Z604" s="1149"/>
      <c r="AA604" s="320"/>
      <c r="AB604" s="388" t="s">
        <v>284</v>
      </c>
    </row>
    <row r="605" ht="15.75" customHeight="1">
      <c r="A605" s="776">
        <v>42682.0</v>
      </c>
      <c r="B605" s="340" t="s">
        <v>101</v>
      </c>
      <c r="C605" s="265" t="s">
        <v>10646</v>
      </c>
      <c r="D605" s="320" t="s">
        <v>10647</v>
      </c>
      <c r="E605" s="340" t="s">
        <v>10648</v>
      </c>
      <c r="F605" s="773">
        <v>1.0</v>
      </c>
      <c r="G605" s="773">
        <v>550.0</v>
      </c>
      <c r="H605" s="1197">
        <f t="shared" si="33"/>
        <v>550</v>
      </c>
      <c r="I605" s="266" t="s">
        <v>3474</v>
      </c>
      <c r="J605" s="333" t="s">
        <v>6027</v>
      </c>
      <c r="K605" s="832">
        <v>42691.0</v>
      </c>
      <c r="L605" s="832">
        <v>42692.0</v>
      </c>
      <c r="M605" s="333" t="s">
        <v>2028</v>
      </c>
      <c r="N605" s="265" t="s">
        <v>10649</v>
      </c>
      <c r="O605" s="773"/>
      <c r="P605" s="1012">
        <v>16370.0</v>
      </c>
      <c r="Q605" s="340" t="s">
        <v>2030</v>
      </c>
      <c r="R605" s="388"/>
      <c r="S605" s="1145">
        <v>42689.0</v>
      </c>
      <c r="T605" s="1132">
        <v>42688.0</v>
      </c>
      <c r="U605" s="265" t="s">
        <v>10650</v>
      </c>
      <c r="V605" s="1135">
        <v>16370.0</v>
      </c>
      <c r="W605" s="832">
        <v>42685.0</v>
      </c>
      <c r="X605" s="265" t="s">
        <v>10651</v>
      </c>
      <c r="Y605" s="320"/>
      <c r="Z605" s="1149"/>
      <c r="AA605" s="320"/>
      <c r="AB605" s="388" t="s">
        <v>284</v>
      </c>
    </row>
    <row r="606" ht="15.75" customHeight="1">
      <c r="A606" s="776">
        <v>42682.0</v>
      </c>
      <c r="B606" s="340" t="s">
        <v>101</v>
      </c>
      <c r="C606" s="265" t="s">
        <v>10646</v>
      </c>
      <c r="D606" s="320" t="s">
        <v>10647</v>
      </c>
      <c r="E606" s="340" t="s">
        <v>10403</v>
      </c>
      <c r="F606" s="773">
        <v>1.0</v>
      </c>
      <c r="G606" s="773">
        <v>28.0</v>
      </c>
      <c r="H606" s="1197">
        <f t="shared" si="33"/>
        <v>28</v>
      </c>
      <c r="I606" s="266" t="s">
        <v>3474</v>
      </c>
      <c r="J606" s="333" t="s">
        <v>6027</v>
      </c>
      <c r="K606" s="832">
        <v>42691.0</v>
      </c>
      <c r="L606" s="832">
        <v>42688.0</v>
      </c>
      <c r="M606" s="403" t="s">
        <v>10230</v>
      </c>
      <c r="N606" s="265" t="s">
        <v>10652</v>
      </c>
      <c r="O606" s="773"/>
      <c r="P606" s="340">
        <v>889.0</v>
      </c>
      <c r="Q606" s="320" t="s">
        <v>2172</v>
      </c>
      <c r="R606" s="388"/>
      <c r="S606" s="773" t="s">
        <v>10083</v>
      </c>
      <c r="T606" s="1132">
        <v>42685.0</v>
      </c>
      <c r="U606" s="320" t="s">
        <v>10653</v>
      </c>
      <c r="V606" s="256">
        <v>889.0</v>
      </c>
      <c r="W606" s="832">
        <v>42670.0</v>
      </c>
      <c r="X606" s="265" t="s">
        <v>10651</v>
      </c>
      <c r="Y606" s="320"/>
      <c r="Z606" s="1149"/>
      <c r="AA606" s="320"/>
      <c r="AB606" s="388" t="s">
        <v>284</v>
      </c>
    </row>
    <row r="607" ht="15.75" customHeight="1">
      <c r="A607" s="776">
        <v>42682.0</v>
      </c>
      <c r="B607" s="340" t="s">
        <v>101</v>
      </c>
      <c r="C607" s="265" t="s">
        <v>10646</v>
      </c>
      <c r="D607" s="320" t="s">
        <v>10647</v>
      </c>
      <c r="E607" s="340" t="s">
        <v>6674</v>
      </c>
      <c r="F607" s="773">
        <v>1.0</v>
      </c>
      <c r="G607" s="773">
        <v>352.0</v>
      </c>
      <c r="H607" s="47">
        <f t="shared" si="33"/>
        <v>352</v>
      </c>
      <c r="I607" s="266" t="s">
        <v>3474</v>
      </c>
      <c r="J607" s="333" t="s">
        <v>6027</v>
      </c>
      <c r="K607" s="832">
        <v>42691.0</v>
      </c>
      <c r="L607" s="832">
        <v>42688.0</v>
      </c>
      <c r="M607" s="333" t="s">
        <v>10233</v>
      </c>
      <c r="N607" s="265" t="s">
        <v>10654</v>
      </c>
      <c r="O607" s="773"/>
      <c r="P607" s="1012">
        <v>9425.0</v>
      </c>
      <c r="Q607" s="320" t="s">
        <v>3916</v>
      </c>
      <c r="R607" s="388"/>
      <c r="S607" s="1145">
        <v>42685.0</v>
      </c>
      <c r="T607" s="1132">
        <v>42685.0</v>
      </c>
      <c r="U607" s="265" t="s">
        <v>10655</v>
      </c>
      <c r="V607" s="1135">
        <v>9425.0</v>
      </c>
      <c r="W607" s="832">
        <v>42685.0</v>
      </c>
      <c r="X607" s="265" t="s">
        <v>10651</v>
      </c>
      <c r="Y607" s="320"/>
      <c r="Z607" s="1149"/>
      <c r="AA607" s="320"/>
      <c r="AB607" s="388" t="s">
        <v>284</v>
      </c>
    </row>
    <row r="608" ht="15.75" customHeight="1">
      <c r="A608" s="258">
        <v>42670.0</v>
      </c>
      <c r="B608" s="578" t="s">
        <v>101</v>
      </c>
      <c r="C608" s="252"/>
      <c r="D608" s="310" t="s">
        <v>10588</v>
      </c>
      <c r="E608" s="578" t="s">
        <v>10656</v>
      </c>
      <c r="F608" s="581">
        <v>2.0</v>
      </c>
      <c r="G608" s="581">
        <v>1085.0</v>
      </c>
      <c r="H608" s="267">
        <f t="shared" si="33"/>
        <v>2170</v>
      </c>
      <c r="I608" s="266" t="s">
        <v>3474</v>
      </c>
      <c r="J608" s="333" t="s">
        <v>6027</v>
      </c>
      <c r="K608" s="258">
        <v>42676.0</v>
      </c>
      <c r="L608" s="258">
        <v>42676.0</v>
      </c>
      <c r="M608" s="333" t="s">
        <v>1439</v>
      </c>
      <c r="N608" s="252" t="s">
        <v>10590</v>
      </c>
      <c r="O608" s="581">
        <v>2005.5</v>
      </c>
      <c r="P608" s="1010"/>
      <c r="Q608" s="320" t="s">
        <v>1976</v>
      </c>
      <c r="R608" s="330"/>
      <c r="S608" s="768">
        <v>42709.0</v>
      </c>
      <c r="T608" s="771">
        <v>42675.0</v>
      </c>
      <c r="U608" s="252" t="s">
        <v>10591</v>
      </c>
      <c r="V608" s="1030">
        <v>67933.0</v>
      </c>
      <c r="W608" s="258">
        <v>42710.0</v>
      </c>
      <c r="X608" s="310" t="s">
        <v>10593</v>
      </c>
      <c r="Y608" s="310"/>
      <c r="Z608" s="637"/>
      <c r="AA608" s="310"/>
      <c r="AB608" s="330" t="s">
        <v>284</v>
      </c>
    </row>
    <row r="609" ht="15.75" customHeight="1">
      <c r="A609" s="776">
        <v>42684.0</v>
      </c>
      <c r="B609" s="340" t="s">
        <v>1204</v>
      </c>
      <c r="C609" s="265" t="s">
        <v>10657</v>
      </c>
      <c r="D609" s="310" t="s">
        <v>10658</v>
      </c>
      <c r="E609" s="578" t="s">
        <v>10659</v>
      </c>
      <c r="F609" s="581">
        <v>1.0</v>
      </c>
      <c r="G609" s="581">
        <v>320.0</v>
      </c>
      <c r="H609" s="47">
        <f t="shared" si="33"/>
        <v>320</v>
      </c>
      <c r="I609" s="266" t="s">
        <v>43</v>
      </c>
      <c r="J609" s="269" t="s">
        <v>8819</v>
      </c>
      <c r="K609" s="258">
        <v>42716.0</v>
      </c>
      <c r="L609" s="258">
        <v>42710.0</v>
      </c>
      <c r="M609" s="403" t="s">
        <v>10660</v>
      </c>
      <c r="N609" s="252" t="s">
        <v>10661</v>
      </c>
      <c r="O609" s="581"/>
      <c r="P609" s="1010">
        <v>9055.0</v>
      </c>
      <c r="Q609" s="310" t="s">
        <v>2148</v>
      </c>
      <c r="R609" s="330"/>
      <c r="S609" s="768">
        <v>42710.0</v>
      </c>
      <c r="T609" s="771">
        <v>42709.0</v>
      </c>
      <c r="U609" s="252" t="s">
        <v>10662</v>
      </c>
      <c r="V609" s="1030">
        <v>9055.0</v>
      </c>
      <c r="W609" s="258">
        <v>42717.0</v>
      </c>
      <c r="X609" s="310" t="s">
        <v>10663</v>
      </c>
      <c r="Y609" s="1007"/>
      <c r="Z609" s="1008"/>
      <c r="AA609" s="1007"/>
      <c r="AB609" s="902" t="s">
        <v>284</v>
      </c>
    </row>
    <row r="610" ht="15.75" customHeight="1">
      <c r="A610" s="258">
        <v>42685.0</v>
      </c>
      <c r="B610" s="578" t="s">
        <v>10664</v>
      </c>
      <c r="C610" s="252"/>
      <c r="D610" s="310" t="s">
        <v>10665</v>
      </c>
      <c r="E610" s="1198" t="s">
        <v>10666</v>
      </c>
      <c r="F610" s="581">
        <v>1.0</v>
      </c>
      <c r="G610" s="581">
        <v>1676.0</v>
      </c>
      <c r="H610" s="267">
        <f t="shared" si="33"/>
        <v>1676</v>
      </c>
      <c r="I610" s="266" t="s">
        <v>171</v>
      </c>
      <c r="J610" s="403" t="s">
        <v>10667</v>
      </c>
      <c r="K610" s="258">
        <v>42730.0</v>
      </c>
      <c r="L610" s="258">
        <v>42726.0</v>
      </c>
      <c r="M610" s="403" t="s">
        <v>90</v>
      </c>
      <c r="N610" s="252">
        <v>2.0161100194053E13</v>
      </c>
      <c r="O610" s="581">
        <v>1555.47</v>
      </c>
      <c r="P610" s="1006"/>
      <c r="Q610" s="320" t="s">
        <v>6081</v>
      </c>
      <c r="R610" s="330"/>
      <c r="S610" s="1145">
        <v>42771.0</v>
      </c>
      <c r="T610" s="771">
        <v>42726.0</v>
      </c>
      <c r="U610" s="252" t="s">
        <v>10668</v>
      </c>
      <c r="V610" s="1030">
        <v>50297.0</v>
      </c>
      <c r="W610" s="832">
        <v>42769.0</v>
      </c>
      <c r="X610" s="310" t="s">
        <v>10669</v>
      </c>
      <c r="Y610" s="1007"/>
      <c r="Z610" s="1008"/>
      <c r="AA610" s="1007"/>
      <c r="AB610" s="330" t="s">
        <v>284</v>
      </c>
    </row>
    <row r="611" ht="15.75" customHeight="1">
      <c r="A611" s="258">
        <v>42685.0</v>
      </c>
      <c r="B611" s="578" t="s">
        <v>10664</v>
      </c>
      <c r="C611" s="252"/>
      <c r="D611" s="310" t="s">
        <v>10665</v>
      </c>
      <c r="E611" s="1199" t="s">
        <v>10670</v>
      </c>
      <c r="F611" s="581">
        <v>1.0</v>
      </c>
      <c r="G611" s="330">
        <v>90.0</v>
      </c>
      <c r="H611" s="267">
        <f t="shared" si="33"/>
        <v>90</v>
      </c>
      <c r="I611" s="266" t="s">
        <v>171</v>
      </c>
      <c r="J611" s="403" t="s">
        <v>10667</v>
      </c>
      <c r="K611" s="258">
        <v>42730.0</v>
      </c>
      <c r="L611" s="897"/>
      <c r="M611" s="403" t="s">
        <v>90</v>
      </c>
      <c r="N611" s="897"/>
      <c r="O611" s="310" t="s">
        <v>10671</v>
      </c>
      <c r="P611" s="897"/>
      <c r="Q611" s="897"/>
      <c r="R611" s="897"/>
      <c r="S611" s="1145">
        <v>42771.0</v>
      </c>
      <c r="T611" s="771">
        <v>42726.0</v>
      </c>
      <c r="U611" s="252" t="s">
        <v>10668</v>
      </c>
      <c r="V611" s="1030" t="s">
        <v>7993</v>
      </c>
      <c r="W611" s="832">
        <v>42769.0</v>
      </c>
      <c r="X611" s="310" t="s">
        <v>10669</v>
      </c>
      <c r="Y611" s="897"/>
      <c r="Z611" s="897"/>
      <c r="AA611" s="897"/>
      <c r="AB611" s="330" t="s">
        <v>284</v>
      </c>
    </row>
    <row r="612" ht="15.75" customHeight="1">
      <c r="A612" s="258">
        <v>42685.0</v>
      </c>
      <c r="B612" s="578" t="s">
        <v>10664</v>
      </c>
      <c r="C612" s="252"/>
      <c r="D612" s="310" t="s">
        <v>10665</v>
      </c>
      <c r="E612" s="1199" t="s">
        <v>10672</v>
      </c>
      <c r="F612" s="581">
        <v>1.0</v>
      </c>
      <c r="G612" s="581">
        <v>15.0</v>
      </c>
      <c r="H612" s="267">
        <f t="shared" si="33"/>
        <v>15</v>
      </c>
      <c r="I612" s="266" t="s">
        <v>171</v>
      </c>
      <c r="J612" s="403" t="s">
        <v>10667</v>
      </c>
      <c r="K612" s="258">
        <v>42730.0</v>
      </c>
      <c r="L612" s="258">
        <v>42726.0</v>
      </c>
      <c r="M612" s="403" t="s">
        <v>90</v>
      </c>
      <c r="N612" s="252">
        <v>2.0161100194053E13</v>
      </c>
      <c r="O612" s="581">
        <v>11.6025</v>
      </c>
      <c r="P612" s="1006"/>
      <c r="Q612" s="320" t="s">
        <v>6081</v>
      </c>
      <c r="R612" s="330"/>
      <c r="S612" s="1145">
        <v>42771.0</v>
      </c>
      <c r="T612" s="771">
        <v>42726.0</v>
      </c>
      <c r="U612" s="252" t="s">
        <v>10668</v>
      </c>
      <c r="V612" s="1030" t="s">
        <v>7993</v>
      </c>
      <c r="W612" s="832">
        <v>42769.0</v>
      </c>
      <c r="X612" s="310" t="s">
        <v>10669</v>
      </c>
      <c r="Y612" s="1007"/>
      <c r="Z612" s="1008"/>
      <c r="AA612" s="1007"/>
      <c r="AB612" s="330" t="s">
        <v>284</v>
      </c>
    </row>
    <row r="613" ht="15.75" customHeight="1">
      <c r="A613" s="258">
        <v>42685.0</v>
      </c>
      <c r="B613" s="578" t="s">
        <v>10664</v>
      </c>
      <c r="C613" s="252"/>
      <c r="D613" s="310" t="s">
        <v>10665</v>
      </c>
      <c r="E613" s="1199" t="s">
        <v>10673</v>
      </c>
      <c r="F613" s="581">
        <v>1.0</v>
      </c>
      <c r="G613" s="581">
        <v>15.0</v>
      </c>
      <c r="H613" s="267">
        <f t="shared" si="33"/>
        <v>15</v>
      </c>
      <c r="I613" s="266" t="s">
        <v>171</v>
      </c>
      <c r="J613" s="403" t="s">
        <v>10667</v>
      </c>
      <c r="K613" s="258">
        <v>42730.0</v>
      </c>
      <c r="L613" s="258">
        <v>42726.0</v>
      </c>
      <c r="M613" s="403" t="s">
        <v>90</v>
      </c>
      <c r="N613" s="252">
        <v>2.0161100194053E13</v>
      </c>
      <c r="O613" s="581">
        <v>11.6025</v>
      </c>
      <c r="P613" s="1006"/>
      <c r="Q613" s="320" t="s">
        <v>6081</v>
      </c>
      <c r="R613" s="330"/>
      <c r="S613" s="1145">
        <v>42771.0</v>
      </c>
      <c r="T613" s="771">
        <v>42726.0</v>
      </c>
      <c r="U613" s="252" t="s">
        <v>10668</v>
      </c>
      <c r="V613" s="1030" t="s">
        <v>7993</v>
      </c>
      <c r="W613" s="832">
        <v>42769.0</v>
      </c>
      <c r="X613" s="310" t="s">
        <v>10669</v>
      </c>
      <c r="Y613" s="1007"/>
      <c r="Z613" s="1008"/>
      <c r="AA613" s="1007"/>
      <c r="AB613" s="330" t="s">
        <v>284</v>
      </c>
    </row>
    <row r="614" ht="15.75" customHeight="1">
      <c r="A614" s="258">
        <v>42688.0</v>
      </c>
      <c r="B614" s="578" t="s">
        <v>3506</v>
      </c>
      <c r="C614" s="252"/>
      <c r="D614" s="310" t="s">
        <v>10674</v>
      </c>
      <c r="E614" s="578" t="s">
        <v>10675</v>
      </c>
      <c r="F614" s="581">
        <v>1.0</v>
      </c>
      <c r="G614" s="581">
        <v>0.0</v>
      </c>
      <c r="H614" s="267">
        <f t="shared" si="33"/>
        <v>0</v>
      </c>
      <c r="I614" s="266" t="s">
        <v>171</v>
      </c>
      <c r="J614" s="403" t="s">
        <v>10676</v>
      </c>
      <c r="K614" s="886">
        <v>42719.0</v>
      </c>
      <c r="L614" s="258">
        <v>42706.0</v>
      </c>
      <c r="M614" s="403" t="s">
        <v>9870</v>
      </c>
      <c r="N614" s="252"/>
      <c r="O614" s="581"/>
      <c r="P614" s="1200" t="s">
        <v>10677</v>
      </c>
      <c r="Q614" s="310"/>
      <c r="R614" s="330"/>
      <c r="S614" s="1032"/>
      <c r="T614" s="771">
        <v>42719.0</v>
      </c>
      <c r="U614" s="252" t="s">
        <v>9867</v>
      </c>
      <c r="V614" s="1200" t="s">
        <v>10677</v>
      </c>
      <c r="W614" s="1019"/>
      <c r="X614" s="310"/>
      <c r="Y614" s="1007"/>
      <c r="Z614" s="1008"/>
      <c r="AA614" s="1007"/>
      <c r="AB614" s="902"/>
    </row>
    <row r="615" ht="15.75" customHeight="1">
      <c r="A615" s="258">
        <v>42688.0</v>
      </c>
      <c r="B615" s="578" t="s">
        <v>101</v>
      </c>
      <c r="C615" s="252"/>
      <c r="D615" s="310" t="s">
        <v>10678</v>
      </c>
      <c r="E615" s="578" t="s">
        <v>10679</v>
      </c>
      <c r="F615" s="581">
        <v>1.0</v>
      </c>
      <c r="G615" s="581">
        <v>70.0</v>
      </c>
      <c r="H615" s="267">
        <f t="shared" si="33"/>
        <v>70</v>
      </c>
      <c r="I615" s="266" t="s">
        <v>3474</v>
      </c>
      <c r="J615" s="333" t="s">
        <v>6027</v>
      </c>
      <c r="K615" s="832">
        <v>42691.0</v>
      </c>
      <c r="L615" s="792"/>
      <c r="M615" s="333" t="s">
        <v>2032</v>
      </c>
      <c r="N615" s="252"/>
      <c r="O615" s="581"/>
      <c r="P615" s="1189">
        <v>2153.0</v>
      </c>
      <c r="Q615" s="320" t="s">
        <v>2033</v>
      </c>
      <c r="R615" s="330"/>
      <c r="S615" s="768">
        <v>42729.0</v>
      </c>
      <c r="T615" s="771">
        <v>42699.0</v>
      </c>
      <c r="U615" s="310" t="s">
        <v>10680</v>
      </c>
      <c r="V615" s="1030">
        <v>2153.0</v>
      </c>
      <c r="W615" s="832">
        <v>42725.0</v>
      </c>
      <c r="X615" s="265" t="s">
        <v>10651</v>
      </c>
      <c r="Y615" s="310"/>
      <c r="Z615" s="637"/>
      <c r="AA615" s="310"/>
      <c r="AB615" s="388" t="s">
        <v>284</v>
      </c>
    </row>
    <row r="616" ht="15.75" customHeight="1">
      <c r="A616" s="258">
        <v>42688.0</v>
      </c>
      <c r="B616" s="578" t="s">
        <v>10681</v>
      </c>
      <c r="C616" s="252" t="s">
        <v>10682</v>
      </c>
      <c r="D616" s="310" t="s">
        <v>10683</v>
      </c>
      <c r="E616" s="578" t="s">
        <v>10684</v>
      </c>
      <c r="F616" s="581">
        <v>2.0</v>
      </c>
      <c r="G616" s="581">
        <v>184.0</v>
      </c>
      <c r="H616" s="267">
        <f t="shared" si="33"/>
        <v>368</v>
      </c>
      <c r="I616" s="266" t="s">
        <v>3474</v>
      </c>
      <c r="J616" s="403" t="s">
        <v>10685</v>
      </c>
      <c r="K616" s="258">
        <v>42698.0</v>
      </c>
      <c r="L616" s="258">
        <v>42696.0</v>
      </c>
      <c r="M616" s="333" t="s">
        <v>6120</v>
      </c>
      <c r="N616" s="252" t="s">
        <v>10686</v>
      </c>
      <c r="O616" s="581"/>
      <c r="P616" s="1010">
        <v>10718.0</v>
      </c>
      <c r="Q616" s="320" t="s">
        <v>6122</v>
      </c>
      <c r="R616" s="330"/>
      <c r="S616" s="1145">
        <v>42740.0</v>
      </c>
      <c r="T616" s="771">
        <v>42695.0</v>
      </c>
      <c r="U616" s="252" t="s">
        <v>10687</v>
      </c>
      <c r="V616" s="1030">
        <v>10718.0</v>
      </c>
      <c r="W616" s="258">
        <v>42734.0</v>
      </c>
      <c r="X616" s="310" t="s">
        <v>10688</v>
      </c>
      <c r="Y616" s="310"/>
      <c r="Z616" s="637"/>
      <c r="AA616" s="310"/>
      <c r="AB616" s="330" t="s">
        <v>284</v>
      </c>
    </row>
    <row r="617" ht="15.75" customHeight="1">
      <c r="A617" s="258">
        <v>42688.0</v>
      </c>
      <c r="B617" s="578" t="s">
        <v>10681</v>
      </c>
      <c r="C617" s="252" t="s">
        <v>10682</v>
      </c>
      <c r="D617" s="310" t="s">
        <v>10683</v>
      </c>
      <c r="E617" s="340" t="s">
        <v>700</v>
      </c>
      <c r="F617" s="773">
        <v>1.0</v>
      </c>
      <c r="G617" s="773">
        <f>25</f>
        <v>25</v>
      </c>
      <c r="H617" s="267">
        <f t="shared" si="33"/>
        <v>25</v>
      </c>
      <c r="I617" s="266" t="s">
        <v>3474</v>
      </c>
      <c r="J617" s="403"/>
      <c r="K617" s="630"/>
      <c r="L617" s="792"/>
      <c r="M617" s="403"/>
      <c r="N617" s="252"/>
      <c r="O617" s="581"/>
      <c r="P617" s="1006"/>
      <c r="Q617" s="310"/>
      <c r="R617" s="330"/>
      <c r="S617" s="1032"/>
      <c r="T617" s="771"/>
      <c r="U617" s="252"/>
      <c r="V617" s="1030"/>
      <c r="W617" s="1019"/>
      <c r="X617" s="310"/>
      <c r="Y617" s="1007"/>
      <c r="Z617" s="1008"/>
      <c r="AA617" s="1007"/>
      <c r="AB617" s="330" t="s">
        <v>284</v>
      </c>
    </row>
    <row r="618" ht="15.75" customHeight="1">
      <c r="A618" s="258">
        <v>42688.0</v>
      </c>
      <c r="B618" s="578" t="s">
        <v>4754</v>
      </c>
      <c r="C618" s="252"/>
      <c r="D618" s="310" t="s">
        <v>10689</v>
      </c>
      <c r="E618" s="578" t="s">
        <v>6385</v>
      </c>
      <c r="F618" s="581">
        <v>50.0</v>
      </c>
      <c r="G618" s="581">
        <f>58</f>
        <v>58</v>
      </c>
      <c r="H618" s="267">
        <f t="shared" si="33"/>
        <v>2900</v>
      </c>
      <c r="I618" s="1031" t="s">
        <v>3474</v>
      </c>
      <c r="J618" s="333" t="s">
        <v>6027</v>
      </c>
      <c r="K618" s="258">
        <v>42702.0</v>
      </c>
      <c r="L618" s="258">
        <v>42699.0</v>
      </c>
      <c r="M618" s="333" t="s">
        <v>6386</v>
      </c>
      <c r="N618" s="252" t="s">
        <v>10690</v>
      </c>
      <c r="O618" s="581"/>
      <c r="P618" s="1010">
        <v>84416.0</v>
      </c>
      <c r="Q618" s="604" t="s">
        <v>10543</v>
      </c>
      <c r="R618" s="330"/>
      <c r="S618" s="768">
        <v>42691.0</v>
      </c>
      <c r="T618" s="771">
        <v>42697.0</v>
      </c>
      <c r="U618" s="252" t="s">
        <v>10691</v>
      </c>
      <c r="V618" s="1030">
        <v>84416.0</v>
      </c>
      <c r="W618" s="258">
        <v>42691.0</v>
      </c>
      <c r="X618" s="252" t="s">
        <v>10692</v>
      </c>
      <c r="Y618" s="310"/>
      <c r="Z618" s="637"/>
      <c r="AA618" s="310"/>
      <c r="AB618" s="330" t="s">
        <v>284</v>
      </c>
    </row>
    <row r="619" ht="15.75" customHeight="1">
      <c r="A619" s="258">
        <v>42688.0</v>
      </c>
      <c r="B619" s="578" t="s">
        <v>4754</v>
      </c>
      <c r="C619" s="252"/>
      <c r="D619" s="310" t="s">
        <v>10689</v>
      </c>
      <c r="E619" s="578" t="s">
        <v>10693</v>
      </c>
      <c r="F619" s="581">
        <v>1.0</v>
      </c>
      <c r="G619" s="581">
        <v>175.0</v>
      </c>
      <c r="H619" s="267">
        <f t="shared" si="33"/>
        <v>175</v>
      </c>
      <c r="I619" s="1031" t="s">
        <v>3474</v>
      </c>
      <c r="J619" s="333" t="s">
        <v>6027</v>
      </c>
      <c r="K619" s="258">
        <v>42702.0</v>
      </c>
      <c r="L619" s="792"/>
      <c r="M619" s="333" t="s">
        <v>2032</v>
      </c>
      <c r="N619" s="252"/>
      <c r="O619" s="581"/>
      <c r="P619" s="1201">
        <v>4597.0</v>
      </c>
      <c r="Q619" s="320" t="s">
        <v>2033</v>
      </c>
      <c r="R619" s="330"/>
      <c r="S619" s="768">
        <v>42743.0</v>
      </c>
      <c r="T619" s="771">
        <v>42713.0</v>
      </c>
      <c r="U619" s="310" t="s">
        <v>10694</v>
      </c>
      <c r="V619" s="266" t="s">
        <v>5432</v>
      </c>
      <c r="W619" s="258">
        <v>42740.0</v>
      </c>
      <c r="X619" s="252" t="s">
        <v>10692</v>
      </c>
      <c r="Y619" s="1007"/>
      <c r="Z619" s="1008"/>
      <c r="AA619" s="1007"/>
      <c r="AB619" s="330" t="s">
        <v>284</v>
      </c>
    </row>
    <row r="620" ht="15.75" customHeight="1">
      <c r="A620" s="258">
        <v>42688.0</v>
      </c>
      <c r="B620" s="578" t="s">
        <v>4754</v>
      </c>
      <c r="C620" s="252"/>
      <c r="D620" s="310" t="s">
        <v>10695</v>
      </c>
      <c r="E620" s="578" t="s">
        <v>6385</v>
      </c>
      <c r="F620" s="581">
        <v>50.0</v>
      </c>
      <c r="G620" s="581">
        <f>58</f>
        <v>58</v>
      </c>
      <c r="H620" s="267">
        <f t="shared" si="33"/>
        <v>2900</v>
      </c>
      <c r="I620" s="1031" t="s">
        <v>3474</v>
      </c>
      <c r="J620" s="333" t="s">
        <v>6027</v>
      </c>
      <c r="K620" s="258">
        <v>42719.0</v>
      </c>
      <c r="L620" s="258">
        <v>42719.0</v>
      </c>
      <c r="M620" s="333" t="s">
        <v>6386</v>
      </c>
      <c r="N620" s="252" t="s">
        <v>10690</v>
      </c>
      <c r="O620" s="581"/>
      <c r="P620" s="1010">
        <v>84416.0</v>
      </c>
      <c r="Q620" s="604" t="s">
        <v>10543</v>
      </c>
      <c r="R620" s="330"/>
      <c r="S620" s="768">
        <v>42691.0</v>
      </c>
      <c r="T620" s="771">
        <v>42718.0</v>
      </c>
      <c r="U620" s="252" t="s">
        <v>10696</v>
      </c>
      <c r="V620" s="1030">
        <v>84416.0</v>
      </c>
      <c r="W620" s="258">
        <v>42691.0</v>
      </c>
      <c r="X620" s="310" t="s">
        <v>10697</v>
      </c>
      <c r="Y620" s="1007"/>
      <c r="Z620" s="1008"/>
      <c r="AA620" s="1007"/>
      <c r="AB620" s="330" t="s">
        <v>284</v>
      </c>
    </row>
    <row r="621" ht="15.75" customHeight="1">
      <c r="A621" s="258">
        <v>42688.0</v>
      </c>
      <c r="B621" s="578" t="s">
        <v>4754</v>
      </c>
      <c r="C621" s="252"/>
      <c r="D621" s="310" t="s">
        <v>10695</v>
      </c>
      <c r="E621" s="578" t="s">
        <v>10698</v>
      </c>
      <c r="F621" s="581">
        <v>1.0</v>
      </c>
      <c r="G621" s="581">
        <v>175.0</v>
      </c>
      <c r="H621" s="267">
        <f t="shared" si="33"/>
        <v>175</v>
      </c>
      <c r="I621" s="1031" t="s">
        <v>3474</v>
      </c>
      <c r="J621" s="333" t="s">
        <v>6027</v>
      </c>
      <c r="K621" s="258">
        <v>42719.0</v>
      </c>
      <c r="L621" s="792"/>
      <c r="M621" s="333" t="s">
        <v>2032</v>
      </c>
      <c r="N621" s="252"/>
      <c r="O621" s="581"/>
      <c r="P621" s="1201">
        <v>4648.0</v>
      </c>
      <c r="Q621" s="320" t="s">
        <v>2033</v>
      </c>
      <c r="R621" s="330"/>
      <c r="S621" s="768">
        <v>42757.0</v>
      </c>
      <c r="T621" s="771">
        <v>42727.0</v>
      </c>
      <c r="U621" s="310" t="s">
        <v>10699</v>
      </c>
      <c r="V621" s="266" t="s">
        <v>10700</v>
      </c>
      <c r="W621" s="258">
        <v>42754.0</v>
      </c>
      <c r="X621" s="310" t="s">
        <v>10697</v>
      </c>
      <c r="Y621" s="1007"/>
      <c r="Z621" s="1008"/>
      <c r="AA621" s="1007"/>
      <c r="AB621" s="330" t="s">
        <v>284</v>
      </c>
    </row>
    <row r="622" ht="15.75" customHeight="1">
      <c r="A622" s="258">
        <v>42689.0</v>
      </c>
      <c r="B622" s="578" t="s">
        <v>101</v>
      </c>
      <c r="C622" s="252" t="s">
        <v>10701</v>
      </c>
      <c r="D622" s="310" t="s">
        <v>10702</v>
      </c>
      <c r="E622" s="578" t="s">
        <v>10703</v>
      </c>
      <c r="F622" s="581">
        <v>6.0</v>
      </c>
      <c r="G622" s="581">
        <v>1085.0</v>
      </c>
      <c r="H622" s="47">
        <f t="shared" si="33"/>
        <v>6510</v>
      </c>
      <c r="I622" s="266" t="s">
        <v>3474</v>
      </c>
      <c r="J622" s="333" t="s">
        <v>6027</v>
      </c>
      <c r="K622" s="258">
        <v>42705.0</v>
      </c>
      <c r="L622" s="258">
        <v>42699.0</v>
      </c>
      <c r="M622" s="333" t="s">
        <v>1439</v>
      </c>
      <c r="N622" s="252" t="s">
        <v>10704</v>
      </c>
      <c r="O622" s="581"/>
      <c r="P622" s="1010">
        <v>191565.0</v>
      </c>
      <c r="Q622" s="320" t="s">
        <v>1976</v>
      </c>
      <c r="R622" s="330"/>
      <c r="S622" s="1145">
        <v>42709.0</v>
      </c>
      <c r="T622" s="771">
        <v>42696.0</v>
      </c>
      <c r="U622" s="252" t="s">
        <v>10705</v>
      </c>
      <c r="V622" s="1030">
        <v>191565.0</v>
      </c>
      <c r="W622" s="832">
        <v>42710.0</v>
      </c>
      <c r="X622" s="310" t="s">
        <v>10706</v>
      </c>
      <c r="Y622" s="1007"/>
      <c r="Z622" s="1008"/>
      <c r="AA622" s="1007"/>
      <c r="AB622" s="388" t="s">
        <v>284</v>
      </c>
    </row>
    <row r="623" ht="15.75" customHeight="1">
      <c r="A623" s="258">
        <v>42689.0</v>
      </c>
      <c r="B623" s="578" t="s">
        <v>101</v>
      </c>
      <c r="C623" s="252" t="s">
        <v>10701</v>
      </c>
      <c r="D623" s="310" t="s">
        <v>10702</v>
      </c>
      <c r="E623" s="578" t="s">
        <v>6305</v>
      </c>
      <c r="F623" s="581">
        <v>6.0</v>
      </c>
      <c r="G623" s="581">
        <v>70.0</v>
      </c>
      <c r="H623" s="47">
        <f t="shared" si="33"/>
        <v>420</v>
      </c>
      <c r="I623" s="266" t="s">
        <v>3474</v>
      </c>
      <c r="J623" s="333" t="s">
        <v>6027</v>
      </c>
      <c r="K623" s="258">
        <v>42705.0</v>
      </c>
      <c r="L623" s="258">
        <v>42695.0</v>
      </c>
      <c r="M623" s="403" t="s">
        <v>10707</v>
      </c>
      <c r="N623" s="252" t="s">
        <v>10708</v>
      </c>
      <c r="O623" s="581"/>
      <c r="P623" s="1010">
        <v>9872.0</v>
      </c>
      <c r="Q623" s="320" t="s">
        <v>2172</v>
      </c>
      <c r="R623" s="330"/>
      <c r="S623" s="773" t="s">
        <v>10083</v>
      </c>
      <c r="T623" s="771">
        <v>42692.0</v>
      </c>
      <c r="U623" s="252" t="s">
        <v>10709</v>
      </c>
      <c r="V623" s="1030">
        <v>9872.0</v>
      </c>
      <c r="W623" s="832">
        <v>42670.0</v>
      </c>
      <c r="X623" s="310" t="s">
        <v>10706</v>
      </c>
      <c r="Y623" s="1007"/>
      <c r="Z623" s="1008"/>
      <c r="AA623" s="1007"/>
      <c r="AB623" s="388" t="s">
        <v>284</v>
      </c>
    </row>
    <row r="624" ht="15.75" customHeight="1">
      <c r="A624" s="258">
        <v>42689.0</v>
      </c>
      <c r="B624" s="578" t="s">
        <v>101</v>
      </c>
      <c r="C624" s="252" t="s">
        <v>10701</v>
      </c>
      <c r="D624" s="310" t="s">
        <v>10702</v>
      </c>
      <c r="E624" s="578" t="s">
        <v>10710</v>
      </c>
      <c r="F624" s="581">
        <v>1.0</v>
      </c>
      <c r="G624" s="581">
        <v>187.0</v>
      </c>
      <c r="H624" s="47">
        <f t="shared" si="33"/>
        <v>187</v>
      </c>
      <c r="I624" s="266" t="s">
        <v>3474</v>
      </c>
      <c r="J624" s="333" t="s">
        <v>6027</v>
      </c>
      <c r="K624" s="258">
        <v>42705.0</v>
      </c>
      <c r="L624" s="792"/>
      <c r="M624" s="333" t="s">
        <v>2032</v>
      </c>
      <c r="N624" s="252"/>
      <c r="O624" s="581"/>
      <c r="P624" s="1189">
        <v>5677.0</v>
      </c>
      <c r="Q624" s="320" t="s">
        <v>2033</v>
      </c>
      <c r="R624" s="330"/>
      <c r="S624" s="768">
        <v>42743.0</v>
      </c>
      <c r="T624" s="771">
        <v>42713.0</v>
      </c>
      <c r="U624" s="252" t="s">
        <v>10694</v>
      </c>
      <c r="V624" s="266" t="s">
        <v>5432</v>
      </c>
      <c r="W624" s="258">
        <v>42740.0</v>
      </c>
      <c r="X624" s="310" t="s">
        <v>10706</v>
      </c>
      <c r="Y624" s="1007"/>
      <c r="Z624" s="1008"/>
      <c r="AA624" s="1007"/>
      <c r="AB624" s="388" t="s">
        <v>284</v>
      </c>
    </row>
    <row r="625" ht="15.75" customHeight="1">
      <c r="A625" s="258">
        <v>42689.0</v>
      </c>
      <c r="B625" s="578" t="s">
        <v>9317</v>
      </c>
      <c r="C625" s="252">
        <v>141116.0</v>
      </c>
      <c r="D625" s="310" t="s">
        <v>10711</v>
      </c>
      <c r="E625" s="578" t="s">
        <v>10712</v>
      </c>
      <c r="F625" s="581">
        <v>11.0</v>
      </c>
      <c r="G625" s="581">
        <v>281.0</v>
      </c>
      <c r="H625" s="1202">
        <f t="shared" si="33"/>
        <v>3091</v>
      </c>
      <c r="I625" s="266" t="s">
        <v>3474</v>
      </c>
      <c r="J625" s="333" t="s">
        <v>6027</v>
      </c>
      <c r="K625" s="258">
        <v>42698.0</v>
      </c>
      <c r="L625" s="258">
        <v>42695.0</v>
      </c>
      <c r="M625" s="266" t="s">
        <v>3593</v>
      </c>
      <c r="N625" s="252" t="s">
        <v>10713</v>
      </c>
      <c r="O625" s="581"/>
      <c r="P625" s="1010">
        <v>91592.0</v>
      </c>
      <c r="Q625" s="310" t="s">
        <v>6122</v>
      </c>
      <c r="R625" s="330"/>
      <c r="S625" s="768">
        <v>42740.0</v>
      </c>
      <c r="T625" s="771">
        <v>42692.0</v>
      </c>
      <c r="U625" s="252" t="s">
        <v>10714</v>
      </c>
      <c r="V625" s="1030">
        <v>91592.0</v>
      </c>
      <c r="W625" s="258">
        <v>42734.0</v>
      </c>
      <c r="X625" s="310" t="s">
        <v>10715</v>
      </c>
      <c r="Y625" s="1007"/>
      <c r="Z625" s="1008"/>
      <c r="AA625" s="1007"/>
      <c r="AB625" s="330" t="s">
        <v>284</v>
      </c>
    </row>
    <row r="626" ht="15.75" customHeight="1">
      <c r="A626" s="30">
        <v>42689.0</v>
      </c>
      <c r="B626" s="35" t="s">
        <v>9317</v>
      </c>
      <c r="C626" s="21">
        <v>141116.0</v>
      </c>
      <c r="D626" s="22" t="s">
        <v>10711</v>
      </c>
      <c r="E626" s="35" t="s">
        <v>10716</v>
      </c>
      <c r="F626" s="352">
        <v>1.0</v>
      </c>
      <c r="G626" s="352">
        <f>171</f>
        <v>171</v>
      </c>
      <c r="H626" s="1203">
        <f t="shared" si="33"/>
        <v>171</v>
      </c>
      <c r="I626" s="49" t="s">
        <v>3474</v>
      </c>
      <c r="J626" s="31" t="s">
        <v>6027</v>
      </c>
      <c r="K626" s="30">
        <v>42698.0</v>
      </c>
      <c r="L626" s="355"/>
      <c r="M626" s="82" t="s">
        <v>2032</v>
      </c>
      <c r="N626" s="21"/>
      <c r="O626" s="352"/>
      <c r="P626" s="1204">
        <v>8508.0</v>
      </c>
      <c r="Q626" s="22" t="s">
        <v>2033</v>
      </c>
      <c r="R626" s="150"/>
      <c r="S626" s="350">
        <v>42743.0</v>
      </c>
      <c r="T626" s="984">
        <v>42713.0</v>
      </c>
      <c r="U626" s="22" t="s">
        <v>10694</v>
      </c>
      <c r="V626" s="432">
        <v>21633.0</v>
      </c>
      <c r="W626" s="30">
        <v>42740.0</v>
      </c>
      <c r="X626" s="22" t="s">
        <v>10715</v>
      </c>
      <c r="Y626" s="409"/>
      <c r="Z626" s="1205"/>
      <c r="AA626" s="409"/>
      <c r="AB626" s="150" t="s">
        <v>284</v>
      </c>
    </row>
    <row r="627" ht="15.75" customHeight="1">
      <c r="A627" s="258">
        <v>42690.0</v>
      </c>
      <c r="B627" s="578" t="s">
        <v>101</v>
      </c>
      <c r="C627" s="252" t="s">
        <v>10717</v>
      </c>
      <c r="D627" s="310" t="s">
        <v>10718</v>
      </c>
      <c r="E627" s="578" t="s">
        <v>10719</v>
      </c>
      <c r="F627" s="581">
        <v>3.0</v>
      </c>
      <c r="G627" s="581">
        <f>723</f>
        <v>723</v>
      </c>
      <c r="H627" s="47">
        <f t="shared" si="33"/>
        <v>2169</v>
      </c>
      <c r="I627" s="266" t="s">
        <v>3474</v>
      </c>
      <c r="J627" s="333" t="s">
        <v>10720</v>
      </c>
      <c r="K627" s="258">
        <v>42716.0</v>
      </c>
      <c r="L627" s="258">
        <v>42713.0</v>
      </c>
      <c r="M627" s="403" t="s">
        <v>10660</v>
      </c>
      <c r="N627" s="265" t="s">
        <v>10721</v>
      </c>
      <c r="O627" s="581"/>
      <c r="P627" s="1010">
        <v>54161.0</v>
      </c>
      <c r="Q627" s="310" t="s">
        <v>10722</v>
      </c>
      <c r="R627" s="330" t="s">
        <v>10723</v>
      </c>
      <c r="S627" s="768">
        <v>42716.0</v>
      </c>
      <c r="T627" s="771">
        <v>42710.0</v>
      </c>
      <c r="U627" s="252" t="s">
        <v>10724</v>
      </c>
      <c r="V627" s="1030">
        <v>54161.0</v>
      </c>
      <c r="W627" s="258">
        <v>42717.0</v>
      </c>
      <c r="X627" s="310" t="s">
        <v>10725</v>
      </c>
      <c r="Y627" s="1007"/>
      <c r="Z627" s="1008"/>
      <c r="AA627" s="1007"/>
      <c r="AB627" s="388" t="s">
        <v>284</v>
      </c>
    </row>
    <row r="628" ht="15.75" customHeight="1">
      <c r="A628" s="258">
        <v>42690.0</v>
      </c>
      <c r="B628" s="578" t="s">
        <v>101</v>
      </c>
      <c r="C628" s="252" t="s">
        <v>10717</v>
      </c>
      <c r="D628" s="310" t="s">
        <v>10718</v>
      </c>
      <c r="E628" s="340" t="s">
        <v>10345</v>
      </c>
      <c r="F628" s="773">
        <v>3.0</v>
      </c>
      <c r="G628" s="773">
        <v>339.0</v>
      </c>
      <c r="H628" s="47">
        <f t="shared" si="33"/>
        <v>1017</v>
      </c>
      <c r="I628" s="266" t="s">
        <v>3474</v>
      </c>
      <c r="J628" s="333" t="s">
        <v>10720</v>
      </c>
      <c r="K628" s="258">
        <v>42716.0</v>
      </c>
      <c r="L628" s="258">
        <v>42710.0</v>
      </c>
      <c r="M628" s="333" t="s">
        <v>2028</v>
      </c>
      <c r="N628" s="252" t="s">
        <v>10726</v>
      </c>
      <c r="O628" s="581"/>
      <c r="P628" s="1010">
        <v>30590.0</v>
      </c>
      <c r="Q628" s="340" t="s">
        <v>2030</v>
      </c>
      <c r="R628" s="330"/>
      <c r="S628" s="768">
        <v>42703.0</v>
      </c>
      <c r="T628" s="771">
        <v>42709.0</v>
      </c>
      <c r="U628" s="252" t="s">
        <v>10727</v>
      </c>
      <c r="V628" s="1030">
        <v>30590.0</v>
      </c>
      <c r="W628" s="258">
        <v>42702.0</v>
      </c>
      <c r="X628" s="310" t="s">
        <v>10725</v>
      </c>
      <c r="Y628" s="1007"/>
      <c r="Z628" s="1008"/>
      <c r="AA628" s="1007"/>
      <c r="AB628" s="388" t="s">
        <v>284</v>
      </c>
    </row>
    <row r="629" ht="15.75" customHeight="1">
      <c r="A629" s="258">
        <v>42690.0</v>
      </c>
      <c r="B629" s="578" t="s">
        <v>101</v>
      </c>
      <c r="C629" s="252" t="s">
        <v>10717</v>
      </c>
      <c r="D629" s="310" t="s">
        <v>10718</v>
      </c>
      <c r="E629" s="340" t="s">
        <v>10728</v>
      </c>
      <c r="F629" s="773">
        <v>3.0</v>
      </c>
      <c r="G629" s="773">
        <v>36.0</v>
      </c>
      <c r="H629" s="47">
        <f t="shared" si="33"/>
        <v>108</v>
      </c>
      <c r="I629" s="266" t="s">
        <v>3474</v>
      </c>
      <c r="J629" s="333" t="s">
        <v>10720</v>
      </c>
      <c r="K629" s="258">
        <v>42716.0</v>
      </c>
      <c r="L629" s="258">
        <v>42698.0</v>
      </c>
      <c r="M629" s="403" t="s">
        <v>10230</v>
      </c>
      <c r="N629" s="252" t="s">
        <v>10729</v>
      </c>
      <c r="O629" s="581"/>
      <c r="P629" s="1010">
        <v>2558.0</v>
      </c>
      <c r="Q629" s="320" t="s">
        <v>2172</v>
      </c>
      <c r="R629" s="330"/>
      <c r="S629" s="773" t="s">
        <v>10083</v>
      </c>
      <c r="T629" s="771">
        <v>42696.0</v>
      </c>
      <c r="U629" s="252" t="s">
        <v>10730</v>
      </c>
      <c r="V629" s="1030">
        <v>2558.0</v>
      </c>
      <c r="W629" s="258">
        <v>42692.0</v>
      </c>
      <c r="X629" s="310" t="s">
        <v>10725</v>
      </c>
      <c r="Y629" s="1007"/>
      <c r="Z629" s="1008"/>
      <c r="AA629" s="1007"/>
      <c r="AB629" s="388" t="s">
        <v>284</v>
      </c>
    </row>
    <row r="630" ht="15.75" customHeight="1">
      <c r="A630" s="258">
        <v>42690.0</v>
      </c>
      <c r="B630" s="578" t="s">
        <v>101</v>
      </c>
      <c r="C630" s="252" t="s">
        <v>10717</v>
      </c>
      <c r="D630" s="310" t="s">
        <v>10718</v>
      </c>
      <c r="E630" s="340" t="s">
        <v>8996</v>
      </c>
      <c r="F630" s="581">
        <v>1.0</v>
      </c>
      <c r="G630" s="581">
        <v>357.0</v>
      </c>
      <c r="H630" s="47">
        <f t="shared" si="33"/>
        <v>357</v>
      </c>
      <c r="I630" s="266" t="s">
        <v>3474</v>
      </c>
      <c r="J630" s="333" t="s">
        <v>10720</v>
      </c>
      <c r="K630" s="258">
        <v>42716.0</v>
      </c>
      <c r="L630" s="258">
        <v>42710.0</v>
      </c>
      <c r="M630" s="333" t="s">
        <v>2034</v>
      </c>
      <c r="N630" s="252" t="s">
        <v>10731</v>
      </c>
      <c r="O630" s="581"/>
      <c r="P630" s="1010">
        <v>11550.0</v>
      </c>
      <c r="Q630" s="320" t="s">
        <v>6086</v>
      </c>
      <c r="R630" s="330"/>
      <c r="S630" s="768">
        <v>42771.0</v>
      </c>
      <c r="T630" s="771">
        <v>42709.0</v>
      </c>
      <c r="U630" s="252" t="s">
        <v>10732</v>
      </c>
      <c r="V630" s="1030">
        <v>11550.0</v>
      </c>
      <c r="W630" s="258">
        <v>42769.0</v>
      </c>
      <c r="X630" s="310" t="s">
        <v>10725</v>
      </c>
      <c r="Y630" s="1007"/>
      <c r="Z630" s="1008"/>
      <c r="AA630" s="1007"/>
      <c r="AB630" s="388" t="s">
        <v>284</v>
      </c>
    </row>
    <row r="631" ht="15.75" customHeight="1">
      <c r="A631" s="258">
        <v>42700.0</v>
      </c>
      <c r="B631" s="340" t="s">
        <v>6167</v>
      </c>
      <c r="C631" s="252">
        <v>7.000125548E9</v>
      </c>
      <c r="D631" s="310" t="s">
        <v>10733</v>
      </c>
      <c r="E631" s="578" t="s">
        <v>3727</v>
      </c>
      <c r="F631" s="581">
        <v>7.0</v>
      </c>
      <c r="G631" s="581">
        <v>55.0</v>
      </c>
      <c r="H631" s="47">
        <f t="shared" si="33"/>
        <v>385</v>
      </c>
      <c r="I631" s="266" t="s">
        <v>43</v>
      </c>
      <c r="J631" s="777" t="s">
        <v>3623</v>
      </c>
      <c r="K631" s="258">
        <v>42698.0</v>
      </c>
      <c r="L631" s="1011">
        <v>42695.0</v>
      </c>
      <c r="M631" s="266" t="s">
        <v>3593</v>
      </c>
      <c r="N631" s="252" t="s">
        <v>10734</v>
      </c>
      <c r="O631" s="581"/>
      <c r="P631" s="1010">
        <v>11466.0</v>
      </c>
      <c r="Q631" s="310" t="s">
        <v>6122</v>
      </c>
      <c r="R631" s="330"/>
      <c r="S631" s="768">
        <v>42740.0</v>
      </c>
      <c r="T631" s="771">
        <v>42691.0</v>
      </c>
      <c r="U631" s="252" t="s">
        <v>10735</v>
      </c>
      <c r="V631" s="1030">
        <v>19125.0</v>
      </c>
      <c r="W631" s="258">
        <v>42734.0</v>
      </c>
      <c r="X631" s="310" t="s">
        <v>10627</v>
      </c>
      <c r="Y631" s="1007"/>
      <c r="Z631" s="1008"/>
      <c r="AA631" s="1007"/>
      <c r="AB631" s="592" t="s">
        <v>284</v>
      </c>
    </row>
    <row r="632" ht="15.75" customHeight="1">
      <c r="A632" s="258">
        <v>42700.0</v>
      </c>
      <c r="B632" s="340" t="s">
        <v>6167</v>
      </c>
      <c r="C632" s="252">
        <v>7.000125548E9</v>
      </c>
      <c r="D632" s="310" t="s">
        <v>10733</v>
      </c>
      <c r="E632" s="578" t="s">
        <v>3728</v>
      </c>
      <c r="F632" s="581">
        <v>7.0</v>
      </c>
      <c r="G632" s="581">
        <v>37.0</v>
      </c>
      <c r="H632" s="47">
        <f t="shared" si="33"/>
        <v>259</v>
      </c>
      <c r="I632" s="266" t="s">
        <v>43</v>
      </c>
      <c r="J632" s="777" t="s">
        <v>3623</v>
      </c>
      <c r="K632" s="258">
        <v>42698.0</v>
      </c>
      <c r="L632" s="1011">
        <v>42695.0</v>
      </c>
      <c r="M632" s="266" t="s">
        <v>3593</v>
      </c>
      <c r="N632" s="252" t="s">
        <v>10734</v>
      </c>
      <c r="O632" s="581"/>
      <c r="P632" s="1010">
        <v>7659.0</v>
      </c>
      <c r="Q632" s="310" t="s">
        <v>6122</v>
      </c>
      <c r="R632" s="330"/>
      <c r="S632" s="768">
        <v>42740.0</v>
      </c>
      <c r="T632" s="771">
        <v>42691.0</v>
      </c>
      <c r="U632" s="252" t="s">
        <v>10735</v>
      </c>
      <c r="V632" s="1030" t="s">
        <v>10736</v>
      </c>
      <c r="W632" s="258">
        <v>42734.0</v>
      </c>
      <c r="X632" s="310" t="s">
        <v>10627</v>
      </c>
      <c r="Y632" s="1007"/>
      <c r="Z632" s="1008"/>
      <c r="AA632" s="1007"/>
      <c r="AB632" s="592" t="s">
        <v>284</v>
      </c>
    </row>
    <row r="633" ht="15.75" customHeight="1">
      <c r="A633" s="258">
        <v>42700.0</v>
      </c>
      <c r="B633" s="340" t="s">
        <v>6167</v>
      </c>
      <c r="C633" s="252">
        <v>7.000125548E9</v>
      </c>
      <c r="D633" s="310" t="s">
        <v>10733</v>
      </c>
      <c r="E633" s="578" t="s">
        <v>3720</v>
      </c>
      <c r="F633" s="581">
        <v>2.0</v>
      </c>
      <c r="G633" s="581">
        <v>4.5</v>
      </c>
      <c r="H633" s="47">
        <f t="shared" si="33"/>
        <v>9</v>
      </c>
      <c r="I633" s="266" t="s">
        <v>43</v>
      </c>
      <c r="J633" s="777" t="s">
        <v>3623</v>
      </c>
      <c r="K633" s="258">
        <v>42716.0</v>
      </c>
      <c r="L633" s="258">
        <v>42703.0</v>
      </c>
      <c r="M633" s="266" t="s">
        <v>3593</v>
      </c>
      <c r="N633" s="252" t="s">
        <v>10734</v>
      </c>
      <c r="O633" s="581"/>
      <c r="P633" s="578">
        <v>231.0</v>
      </c>
      <c r="Q633" s="310" t="s">
        <v>6122</v>
      </c>
      <c r="R633" s="330"/>
      <c r="S633" s="768">
        <v>42771.0</v>
      </c>
      <c r="T633" s="771">
        <v>42702.0</v>
      </c>
      <c r="U633" s="252" t="s">
        <v>10737</v>
      </c>
      <c r="V633" s="1030">
        <v>231.0</v>
      </c>
      <c r="W633" s="258">
        <v>42739.0</v>
      </c>
      <c r="X633" s="310" t="s">
        <v>10738</v>
      </c>
      <c r="Y633" s="1007"/>
      <c r="Z633" s="1008"/>
      <c r="AA633" s="1007"/>
      <c r="AB633" s="253" t="s">
        <v>284</v>
      </c>
    </row>
    <row r="634" ht="15.75" customHeight="1">
      <c r="A634" s="258">
        <v>42700.0</v>
      </c>
      <c r="B634" s="340" t="s">
        <v>6167</v>
      </c>
      <c r="C634" s="252">
        <v>7.000125548E9</v>
      </c>
      <c r="D634" s="310" t="s">
        <v>10733</v>
      </c>
      <c r="E634" s="578" t="s">
        <v>3724</v>
      </c>
      <c r="F634" s="581">
        <v>7.0</v>
      </c>
      <c r="G634" s="581">
        <v>8.5</v>
      </c>
      <c r="H634" s="47">
        <f t="shared" si="33"/>
        <v>59.5</v>
      </c>
      <c r="I634" s="266" t="s">
        <v>43</v>
      </c>
      <c r="J634" s="777" t="s">
        <v>3623</v>
      </c>
      <c r="K634" s="258">
        <v>42698.0</v>
      </c>
      <c r="L634" s="258">
        <v>42695.0</v>
      </c>
      <c r="M634" s="266" t="s">
        <v>3593</v>
      </c>
      <c r="N634" s="252" t="s">
        <v>10734</v>
      </c>
      <c r="O634" s="581"/>
      <c r="P634" s="578">
        <v>1588.0</v>
      </c>
      <c r="Q634" s="310" t="s">
        <v>6122</v>
      </c>
      <c r="R634" s="330"/>
      <c r="S634" s="768">
        <v>42740.0</v>
      </c>
      <c r="T634" s="771">
        <v>42692.0</v>
      </c>
      <c r="U634" s="252" t="s">
        <v>10739</v>
      </c>
      <c r="V634" s="1030">
        <v>1588.0</v>
      </c>
      <c r="W634" s="258">
        <v>42734.0</v>
      </c>
      <c r="X634" s="310" t="s">
        <v>10627</v>
      </c>
      <c r="Y634" s="1007"/>
      <c r="Z634" s="1008" t="s">
        <v>10740</v>
      </c>
      <c r="AA634" s="1007"/>
      <c r="AB634" s="592" t="s">
        <v>284</v>
      </c>
    </row>
    <row r="635" ht="15.75" customHeight="1">
      <c r="A635" s="258">
        <v>42700.0</v>
      </c>
      <c r="B635" s="340" t="s">
        <v>6167</v>
      </c>
      <c r="C635" s="252">
        <v>7.000125548E9</v>
      </c>
      <c r="D635" s="310" t="s">
        <v>10733</v>
      </c>
      <c r="E635" s="578" t="s">
        <v>3726</v>
      </c>
      <c r="F635" s="581">
        <v>7.0</v>
      </c>
      <c r="G635" s="581">
        <v>236.0</v>
      </c>
      <c r="H635" s="47">
        <f t="shared" si="33"/>
        <v>1652</v>
      </c>
      <c r="I635" s="266" t="s">
        <v>43</v>
      </c>
      <c r="J635" s="777" t="s">
        <v>3623</v>
      </c>
      <c r="K635" s="258">
        <v>42698.0</v>
      </c>
      <c r="L635" s="258">
        <v>42695.0</v>
      </c>
      <c r="M635" s="266" t="s">
        <v>3593</v>
      </c>
      <c r="N635" s="252" t="s">
        <v>10741</v>
      </c>
      <c r="O635" s="581"/>
      <c r="P635" s="1010">
        <v>49862.0</v>
      </c>
      <c r="Q635" s="310" t="s">
        <v>6122</v>
      </c>
      <c r="R635" s="330"/>
      <c r="S635" s="768">
        <v>42740.0</v>
      </c>
      <c r="T635" s="771">
        <v>42691.0</v>
      </c>
      <c r="U635" s="252" t="s">
        <v>10742</v>
      </c>
      <c r="V635" s="1030">
        <v>49862.0</v>
      </c>
      <c r="W635" s="258">
        <v>42734.0</v>
      </c>
      <c r="X635" s="310" t="s">
        <v>10627</v>
      </c>
      <c r="Y635" s="1007"/>
      <c r="Z635" s="1008"/>
      <c r="AA635" s="1007"/>
      <c r="AB635" s="592" t="s">
        <v>284</v>
      </c>
    </row>
    <row r="636" ht="15.75" customHeight="1">
      <c r="A636" s="258">
        <v>42695.0</v>
      </c>
      <c r="B636" s="340" t="s">
        <v>5073</v>
      </c>
      <c r="C636" s="252"/>
      <c r="D636" s="330" t="s">
        <v>10743</v>
      </c>
      <c r="E636" s="330" t="s">
        <v>9718</v>
      </c>
      <c r="F636" s="581">
        <v>1.0</v>
      </c>
      <c r="G636" s="581">
        <v>0.0</v>
      </c>
      <c r="H636" s="267">
        <v>0.0</v>
      </c>
      <c r="I636" s="266" t="s">
        <v>3474</v>
      </c>
      <c r="J636" s="333" t="s">
        <v>10744</v>
      </c>
      <c r="K636" s="258">
        <v>42705.0</v>
      </c>
      <c r="L636" s="258"/>
      <c r="M636" s="333" t="s">
        <v>2032</v>
      </c>
      <c r="N636" s="252"/>
      <c r="O636" s="581"/>
      <c r="P636" s="1206"/>
      <c r="Q636" s="320"/>
      <c r="R636" s="330"/>
      <c r="S636" s="1032"/>
      <c r="T636" s="771"/>
      <c r="U636" s="252"/>
      <c r="V636" s="1030"/>
      <c r="W636" s="1019"/>
      <c r="X636" s="310" t="s">
        <v>10743</v>
      </c>
      <c r="Y636" s="1007"/>
      <c r="Z636" s="1008"/>
      <c r="AA636" s="1007"/>
      <c r="AB636" s="902"/>
    </row>
    <row r="637" ht="15.75" customHeight="1">
      <c r="A637" s="258">
        <v>42695.0</v>
      </c>
      <c r="B637" s="340" t="s">
        <v>326</v>
      </c>
      <c r="C637" s="252">
        <v>1607100.0</v>
      </c>
      <c r="D637" s="310" t="s">
        <v>10745</v>
      </c>
      <c r="E637" s="578" t="s">
        <v>8930</v>
      </c>
      <c r="F637" s="388">
        <v>10.0</v>
      </c>
      <c r="G637" s="388">
        <v>607.0</v>
      </c>
      <c r="H637" s="267">
        <f t="shared" ref="H637:H677" si="34">G637*F637</f>
        <v>6070</v>
      </c>
      <c r="I637" s="266" t="s">
        <v>3474</v>
      </c>
      <c r="J637" s="333" t="s">
        <v>3774</v>
      </c>
      <c r="K637" s="258">
        <v>42719.0</v>
      </c>
      <c r="L637" s="258">
        <v>42716.0</v>
      </c>
      <c r="M637" s="592" t="s">
        <v>9786</v>
      </c>
      <c r="N637" s="252" t="s">
        <v>10746</v>
      </c>
      <c r="O637" s="320">
        <v>5932.5</v>
      </c>
      <c r="P637" s="926"/>
      <c r="Q637" s="388" t="s">
        <v>6376</v>
      </c>
      <c r="R637" s="330"/>
      <c r="S637" s="768">
        <v>42766.0</v>
      </c>
      <c r="T637" s="771">
        <v>42712.0</v>
      </c>
      <c r="U637" s="252" t="s">
        <v>10747</v>
      </c>
      <c r="V637" s="1030">
        <v>197633.0</v>
      </c>
      <c r="W637" s="258">
        <v>42769.0</v>
      </c>
      <c r="X637" s="310" t="s">
        <v>10748</v>
      </c>
      <c r="Y637" s="1007"/>
      <c r="Z637" s="1008"/>
      <c r="AA637" s="1007"/>
      <c r="AB637" s="330" t="s">
        <v>284</v>
      </c>
    </row>
    <row r="638" ht="15.75" customHeight="1">
      <c r="A638" s="258">
        <v>42695.0</v>
      </c>
      <c r="B638" s="340" t="s">
        <v>326</v>
      </c>
      <c r="C638" s="252">
        <v>1607100.0</v>
      </c>
      <c r="D638" s="310" t="s">
        <v>10745</v>
      </c>
      <c r="E638" s="578" t="s">
        <v>4419</v>
      </c>
      <c r="F638" s="388">
        <v>10.0</v>
      </c>
      <c r="G638" s="388">
        <v>27.0</v>
      </c>
      <c r="H638" s="267">
        <f t="shared" si="34"/>
        <v>270</v>
      </c>
      <c r="I638" s="266" t="s">
        <v>3474</v>
      </c>
      <c r="J638" s="333" t="s">
        <v>3774</v>
      </c>
      <c r="K638" s="258">
        <v>42719.0</v>
      </c>
      <c r="L638" s="258">
        <v>42716.0</v>
      </c>
      <c r="M638" s="592" t="s">
        <v>9786</v>
      </c>
      <c r="N638" s="252" t="s">
        <v>10746</v>
      </c>
      <c r="O638" s="320">
        <v>262.5</v>
      </c>
      <c r="P638" s="926"/>
      <c r="Q638" s="388" t="s">
        <v>6376</v>
      </c>
      <c r="R638" s="330"/>
      <c r="S638" s="768">
        <v>42766.0</v>
      </c>
      <c r="T638" s="771">
        <v>42712.0</v>
      </c>
      <c r="U638" s="252" t="s">
        <v>10747</v>
      </c>
      <c r="V638" s="1030" t="s">
        <v>10749</v>
      </c>
      <c r="W638" s="258">
        <v>42769.0</v>
      </c>
      <c r="X638" s="310" t="s">
        <v>10748</v>
      </c>
      <c r="Y638" s="1007"/>
      <c r="Z638" s="1008"/>
      <c r="AA638" s="1007"/>
      <c r="AB638" s="330" t="s">
        <v>284</v>
      </c>
    </row>
    <row r="639" ht="15.75" customHeight="1">
      <c r="A639" s="258">
        <v>42696.0</v>
      </c>
      <c r="B639" s="340" t="s">
        <v>101</v>
      </c>
      <c r="C639" s="252" t="s">
        <v>10750</v>
      </c>
      <c r="D639" s="310" t="s">
        <v>10751</v>
      </c>
      <c r="E639" s="578" t="s">
        <v>10752</v>
      </c>
      <c r="F639" s="581">
        <v>6.0</v>
      </c>
      <c r="G639" s="581">
        <v>1085.0</v>
      </c>
      <c r="H639" s="47">
        <f t="shared" si="34"/>
        <v>6510</v>
      </c>
      <c r="I639" s="266" t="s">
        <v>3474</v>
      </c>
      <c r="J639" s="333" t="s">
        <v>10720</v>
      </c>
      <c r="K639" s="258">
        <v>42716.0</v>
      </c>
      <c r="L639" s="258">
        <v>42712.0</v>
      </c>
      <c r="M639" s="333" t="s">
        <v>1439</v>
      </c>
      <c r="N639" s="252" t="s">
        <v>10753</v>
      </c>
      <c r="O639" s="581"/>
      <c r="P639" s="1010">
        <v>191986.0</v>
      </c>
      <c r="Q639" s="320" t="s">
        <v>1976</v>
      </c>
      <c r="R639" s="330"/>
      <c r="S639" s="768">
        <v>42740.0</v>
      </c>
      <c r="T639" s="771">
        <v>42711.0</v>
      </c>
      <c r="U639" s="252" t="s">
        <v>10754</v>
      </c>
      <c r="V639" s="262">
        <v>191986.0</v>
      </c>
      <c r="W639" s="258">
        <v>42744.0</v>
      </c>
      <c r="X639" s="310" t="s">
        <v>10725</v>
      </c>
      <c r="Y639" s="1007"/>
      <c r="Z639" s="1008"/>
      <c r="AA639" s="1007"/>
      <c r="AB639" s="388" t="s">
        <v>284</v>
      </c>
    </row>
    <row r="640" ht="15.75" customHeight="1">
      <c r="A640" s="258">
        <v>42696.0</v>
      </c>
      <c r="B640" s="340" t="s">
        <v>101</v>
      </c>
      <c r="C640" s="252" t="s">
        <v>10750</v>
      </c>
      <c r="D640" s="310" t="s">
        <v>10751</v>
      </c>
      <c r="E640" s="578" t="s">
        <v>6305</v>
      </c>
      <c r="F640" s="581">
        <v>6.0</v>
      </c>
      <c r="G640" s="581">
        <v>70.0</v>
      </c>
      <c r="H640" s="47">
        <f t="shared" si="34"/>
        <v>420</v>
      </c>
      <c r="I640" s="266" t="s">
        <v>3474</v>
      </c>
      <c r="J640" s="333" t="s">
        <v>10720</v>
      </c>
      <c r="K640" s="258">
        <v>42716.0</v>
      </c>
      <c r="L640" s="258">
        <v>42702.0</v>
      </c>
      <c r="M640" s="403" t="s">
        <v>10707</v>
      </c>
      <c r="N640" s="252" t="s">
        <v>10755</v>
      </c>
      <c r="O640" s="581"/>
      <c r="P640" s="1010">
        <v>9891.0</v>
      </c>
      <c r="Q640" s="320" t="s">
        <v>2172</v>
      </c>
      <c r="R640" s="330"/>
      <c r="S640" s="773" t="s">
        <v>10083</v>
      </c>
      <c r="T640" s="771">
        <v>42699.0</v>
      </c>
      <c r="U640" s="252" t="s">
        <v>10756</v>
      </c>
      <c r="V640" s="1030">
        <v>9891.0</v>
      </c>
      <c r="W640" s="258">
        <v>42692.0</v>
      </c>
      <c r="X640" s="310" t="s">
        <v>10725</v>
      </c>
      <c r="Y640" s="1007"/>
      <c r="Z640" s="1008"/>
      <c r="AA640" s="1007"/>
      <c r="AB640" s="388" t="s">
        <v>284</v>
      </c>
    </row>
    <row r="641" ht="15.75" customHeight="1">
      <c r="A641" s="258">
        <v>42696.0</v>
      </c>
      <c r="B641" s="340" t="s">
        <v>101</v>
      </c>
      <c r="C641" s="252" t="s">
        <v>10750</v>
      </c>
      <c r="D641" s="310" t="s">
        <v>10751</v>
      </c>
      <c r="E641" s="578" t="s">
        <v>10757</v>
      </c>
      <c r="F641" s="581">
        <v>1.0</v>
      </c>
      <c r="G641" s="581">
        <v>187.0</v>
      </c>
      <c r="H641" s="47">
        <f t="shared" si="34"/>
        <v>187</v>
      </c>
      <c r="I641" s="266" t="s">
        <v>3474</v>
      </c>
      <c r="J641" s="333" t="s">
        <v>10720</v>
      </c>
      <c r="K641" s="258">
        <v>42716.0</v>
      </c>
      <c r="L641" s="630"/>
      <c r="M641" s="333" t="s">
        <v>934</v>
      </c>
      <c r="N641" s="252"/>
      <c r="O641" s="581"/>
      <c r="P641" s="1189">
        <v>8076.0</v>
      </c>
      <c r="Q641" s="320"/>
      <c r="R641" s="330"/>
      <c r="S641" s="1186"/>
      <c r="T641" s="771">
        <v>42727.0</v>
      </c>
      <c r="U641" s="310" t="s">
        <v>10758</v>
      </c>
      <c r="V641" s="1030">
        <v>9459.0</v>
      </c>
      <c r="W641" s="258">
        <v>42740.0</v>
      </c>
      <c r="X641" s="310" t="s">
        <v>10725</v>
      </c>
      <c r="Y641" s="1007"/>
      <c r="Z641" s="1008"/>
      <c r="AA641" s="1007"/>
      <c r="AB641" s="388" t="s">
        <v>284</v>
      </c>
    </row>
    <row r="642" ht="15.75" customHeight="1">
      <c r="A642" s="258">
        <v>42696.0</v>
      </c>
      <c r="B642" s="340" t="s">
        <v>5073</v>
      </c>
      <c r="C642" s="252" t="s">
        <v>10759</v>
      </c>
      <c r="D642" s="310" t="s">
        <v>10760</v>
      </c>
      <c r="E642" s="578" t="s">
        <v>6350</v>
      </c>
      <c r="F642" s="581">
        <v>7.0</v>
      </c>
      <c r="G642" s="581">
        <v>582.0</v>
      </c>
      <c r="H642" s="267">
        <f t="shared" si="34"/>
        <v>4074</v>
      </c>
      <c r="I642" s="266" t="s">
        <v>3474</v>
      </c>
      <c r="J642" s="333" t="s">
        <v>3749</v>
      </c>
      <c r="K642" s="258">
        <v>42705.0</v>
      </c>
      <c r="L642" s="258">
        <v>42703.0</v>
      </c>
      <c r="M642" s="333" t="s">
        <v>6120</v>
      </c>
      <c r="N642" s="252" t="s">
        <v>10761</v>
      </c>
      <c r="O642" s="581"/>
      <c r="P642" s="1010">
        <v>126949.0</v>
      </c>
      <c r="Q642" s="320" t="s">
        <v>6122</v>
      </c>
      <c r="R642" s="330"/>
      <c r="S642" s="768">
        <v>42771.0</v>
      </c>
      <c r="T642" s="771">
        <v>42702.0</v>
      </c>
      <c r="U642" s="252" t="s">
        <v>10762</v>
      </c>
      <c r="V642" s="1030">
        <v>126949.0</v>
      </c>
      <c r="W642" s="258">
        <v>42739.0</v>
      </c>
      <c r="X642" s="310" t="s">
        <v>10763</v>
      </c>
      <c r="Y642" s="1007"/>
      <c r="Z642" s="1008"/>
      <c r="AA642" s="1007"/>
      <c r="AB642" s="330" t="s">
        <v>284</v>
      </c>
    </row>
    <row r="643" ht="15.75" customHeight="1">
      <c r="A643" s="258">
        <v>42697.0</v>
      </c>
      <c r="B643" s="340" t="s">
        <v>101</v>
      </c>
      <c r="C643" s="252" t="s">
        <v>10764</v>
      </c>
      <c r="D643" s="310" t="s">
        <v>10765</v>
      </c>
      <c r="E643" s="578" t="s">
        <v>10766</v>
      </c>
      <c r="F643" s="581">
        <v>2.0</v>
      </c>
      <c r="G643" s="581">
        <v>99.0</v>
      </c>
      <c r="H643" s="47">
        <f t="shared" si="34"/>
        <v>198</v>
      </c>
      <c r="I643" s="266" t="s">
        <v>3474</v>
      </c>
      <c r="J643" s="333" t="s">
        <v>10767</v>
      </c>
      <c r="K643" s="258">
        <v>42705.0</v>
      </c>
      <c r="L643" s="258">
        <v>42699.0</v>
      </c>
      <c r="M643" s="403" t="s">
        <v>3489</v>
      </c>
      <c r="N643" s="252" t="s">
        <v>10768</v>
      </c>
      <c r="O643" s="1061">
        <v>168.0</v>
      </c>
      <c r="P643" s="1010">
        <v>5363.0</v>
      </c>
      <c r="Q643" s="310" t="s">
        <v>9071</v>
      </c>
      <c r="R643" s="330"/>
      <c r="S643" s="810">
        <v>42728.0</v>
      </c>
      <c r="T643" s="771">
        <v>42699.0</v>
      </c>
      <c r="U643" s="252" t="s">
        <v>10769</v>
      </c>
      <c r="V643" s="1030">
        <v>5362.0</v>
      </c>
      <c r="W643" s="258">
        <v>42725.0</v>
      </c>
      <c r="X643" s="310" t="s">
        <v>10706</v>
      </c>
      <c r="Y643" s="1007"/>
      <c r="Z643" s="1008"/>
      <c r="AA643" s="1007"/>
      <c r="AB643" s="388" t="s">
        <v>284</v>
      </c>
    </row>
    <row r="644" ht="15.75" customHeight="1">
      <c r="A644" s="258">
        <v>42697.0</v>
      </c>
      <c r="B644" s="340" t="s">
        <v>101</v>
      </c>
      <c r="C644" s="252" t="s">
        <v>10764</v>
      </c>
      <c r="D644" s="310" t="s">
        <v>10765</v>
      </c>
      <c r="E644" s="578" t="s">
        <v>10770</v>
      </c>
      <c r="F644" s="581">
        <v>4.0</v>
      </c>
      <c r="G644" s="581">
        <v>2.0</v>
      </c>
      <c r="H644" s="47">
        <f t="shared" si="34"/>
        <v>8</v>
      </c>
      <c r="I644" s="266" t="s">
        <v>3474</v>
      </c>
      <c r="J644" s="333" t="s">
        <v>10767</v>
      </c>
      <c r="K644" s="258">
        <v>42705.0</v>
      </c>
      <c r="L644" s="258">
        <v>42697.0</v>
      </c>
      <c r="M644" s="403" t="s">
        <v>3769</v>
      </c>
      <c r="N644" s="265" t="s">
        <v>10771</v>
      </c>
      <c r="O644" s="581"/>
      <c r="P644" s="1006"/>
      <c r="Q644" s="310"/>
      <c r="R644" s="330" t="s">
        <v>9570</v>
      </c>
      <c r="S644" s="1032"/>
      <c r="T644" s="330" t="s">
        <v>9570</v>
      </c>
      <c r="U644" s="330" t="s">
        <v>9570</v>
      </c>
      <c r="V644" s="330" t="s">
        <v>9570</v>
      </c>
      <c r="W644" s="1019"/>
      <c r="X644" s="310" t="s">
        <v>10706</v>
      </c>
      <c r="Y644" s="1007"/>
      <c r="Z644" s="1008"/>
      <c r="AA644" s="1007"/>
      <c r="AB644" s="388" t="s">
        <v>284</v>
      </c>
    </row>
    <row r="645" ht="15.75" customHeight="1">
      <c r="A645" s="258">
        <v>42697.0</v>
      </c>
      <c r="B645" s="340" t="s">
        <v>101</v>
      </c>
      <c r="C645" s="252" t="s">
        <v>10764</v>
      </c>
      <c r="D645" s="310" t="s">
        <v>10765</v>
      </c>
      <c r="E645" s="578" t="s">
        <v>10772</v>
      </c>
      <c r="F645" s="581">
        <v>2.0</v>
      </c>
      <c r="G645" s="581">
        <v>3.0</v>
      </c>
      <c r="H645" s="47">
        <f t="shared" si="34"/>
        <v>6</v>
      </c>
      <c r="I645" s="266" t="s">
        <v>3474</v>
      </c>
      <c r="J645" s="333" t="s">
        <v>10767</v>
      </c>
      <c r="K645" s="258">
        <v>42705.0</v>
      </c>
      <c r="L645" s="258">
        <v>42697.0</v>
      </c>
      <c r="M645" s="403" t="s">
        <v>3769</v>
      </c>
      <c r="N645" s="265" t="s">
        <v>10771</v>
      </c>
      <c r="O645" s="581"/>
      <c r="P645" s="1006"/>
      <c r="Q645" s="310"/>
      <c r="R645" s="330" t="s">
        <v>9570</v>
      </c>
      <c r="S645" s="1032"/>
      <c r="T645" s="330" t="s">
        <v>9570</v>
      </c>
      <c r="U645" s="330" t="s">
        <v>9570</v>
      </c>
      <c r="V645" s="330" t="s">
        <v>9570</v>
      </c>
      <c r="W645" s="1019"/>
      <c r="X645" s="310" t="s">
        <v>10706</v>
      </c>
      <c r="Y645" s="1007"/>
      <c r="Z645" s="1008"/>
      <c r="AA645" s="1007"/>
      <c r="AB645" s="388" t="s">
        <v>284</v>
      </c>
    </row>
    <row r="646" ht="15.75" customHeight="1">
      <c r="A646" s="258">
        <v>42697.0</v>
      </c>
      <c r="B646" s="340" t="s">
        <v>101</v>
      </c>
      <c r="C646" s="252" t="s">
        <v>10764</v>
      </c>
      <c r="D646" s="310" t="s">
        <v>10765</v>
      </c>
      <c r="E646" s="578" t="s">
        <v>10773</v>
      </c>
      <c r="F646" s="581">
        <v>2.0</v>
      </c>
      <c r="G646" s="581">
        <v>7.0</v>
      </c>
      <c r="H646" s="47">
        <f t="shared" si="34"/>
        <v>14</v>
      </c>
      <c r="I646" s="266" t="s">
        <v>3474</v>
      </c>
      <c r="J646" s="333" t="s">
        <v>10767</v>
      </c>
      <c r="K646" s="258">
        <v>42705.0</v>
      </c>
      <c r="L646" s="258">
        <v>42703.0</v>
      </c>
      <c r="M646" s="403" t="s">
        <v>3769</v>
      </c>
      <c r="N646" s="265" t="s">
        <v>10774</v>
      </c>
      <c r="O646" s="581"/>
      <c r="P646" s="1006"/>
      <c r="Q646" s="1207"/>
      <c r="R646" s="330" t="s">
        <v>10775</v>
      </c>
      <c r="S646" s="1049"/>
      <c r="T646" s="330" t="s">
        <v>10775</v>
      </c>
      <c r="U646" s="330" t="s">
        <v>10775</v>
      </c>
      <c r="V646" s="330" t="s">
        <v>10775</v>
      </c>
      <c r="W646" s="1019"/>
      <c r="X646" s="310" t="s">
        <v>10706</v>
      </c>
      <c r="Y646" s="1007"/>
      <c r="Z646" s="1008"/>
      <c r="AA646" s="1007"/>
      <c r="AB646" s="388" t="s">
        <v>284</v>
      </c>
    </row>
    <row r="647" ht="15.75" customHeight="1">
      <c r="A647" s="258">
        <v>42699.0</v>
      </c>
      <c r="B647" s="340" t="s">
        <v>77</v>
      </c>
      <c r="C647" s="252">
        <v>1043.0</v>
      </c>
      <c r="D647" s="310" t="s">
        <v>10776</v>
      </c>
      <c r="E647" s="578" t="s">
        <v>9326</v>
      </c>
      <c r="F647" s="773">
        <v>10.0</v>
      </c>
      <c r="G647" s="773">
        <v>285.0</v>
      </c>
      <c r="H647" s="578">
        <f t="shared" si="34"/>
        <v>2850</v>
      </c>
      <c r="I647" s="266" t="s">
        <v>171</v>
      </c>
      <c r="J647" s="269" t="s">
        <v>10777</v>
      </c>
      <c r="K647" s="258">
        <v>42712.0</v>
      </c>
      <c r="L647" s="258">
        <v>42710.0</v>
      </c>
      <c r="M647" s="266" t="s">
        <v>1998</v>
      </c>
      <c r="N647" s="252" t="s">
        <v>10778</v>
      </c>
      <c r="O647" s="581">
        <v>2625.0</v>
      </c>
      <c r="P647" s="1006"/>
      <c r="Q647" s="1116" t="s">
        <v>10559</v>
      </c>
      <c r="R647" s="330"/>
      <c r="S647" s="768">
        <v>42771.0</v>
      </c>
      <c r="T647" s="771">
        <v>42709.0</v>
      </c>
      <c r="U647" s="252" t="s">
        <v>10779</v>
      </c>
      <c r="V647" s="1030">
        <v>224546.0</v>
      </c>
      <c r="W647" s="258">
        <v>42807.0</v>
      </c>
      <c r="X647" s="310" t="s">
        <v>10780</v>
      </c>
      <c r="Y647" s="1007"/>
      <c r="Z647" s="1008"/>
      <c r="AA647" s="1007"/>
      <c r="AB647" s="330" t="s">
        <v>284</v>
      </c>
    </row>
    <row r="648" ht="15.75" customHeight="1">
      <c r="A648" s="258">
        <v>42699.0</v>
      </c>
      <c r="B648" s="340" t="s">
        <v>77</v>
      </c>
      <c r="C648" s="252">
        <v>1043.0</v>
      </c>
      <c r="D648" s="310" t="s">
        <v>10776</v>
      </c>
      <c r="E648" s="340" t="s">
        <v>10557</v>
      </c>
      <c r="F648" s="773">
        <v>15.0</v>
      </c>
      <c r="G648" s="773">
        <v>234.0</v>
      </c>
      <c r="H648" s="578">
        <f t="shared" si="34"/>
        <v>3510</v>
      </c>
      <c r="I648" s="266" t="s">
        <v>171</v>
      </c>
      <c r="J648" s="269" t="s">
        <v>10777</v>
      </c>
      <c r="K648" s="258">
        <v>42712.0</v>
      </c>
      <c r="L648" s="258">
        <v>42710.0</v>
      </c>
      <c r="M648" s="266" t="s">
        <v>1998</v>
      </c>
      <c r="N648" s="252" t="s">
        <v>10778</v>
      </c>
      <c r="O648" s="581">
        <v>3780.0</v>
      </c>
      <c r="P648" s="1006"/>
      <c r="Q648" s="1116" t="s">
        <v>10559</v>
      </c>
      <c r="R648" s="330"/>
      <c r="S648" s="768">
        <v>42771.0</v>
      </c>
      <c r="T648" s="771">
        <v>42709.0</v>
      </c>
      <c r="U648" s="252" t="s">
        <v>10779</v>
      </c>
      <c r="V648" s="1030" t="s">
        <v>5499</v>
      </c>
      <c r="W648" s="258">
        <v>42807.0</v>
      </c>
      <c r="X648" s="310" t="s">
        <v>10780</v>
      </c>
      <c r="Y648" s="1007"/>
      <c r="Z648" s="1008"/>
      <c r="AA648" s="1007"/>
      <c r="AB648" s="330" t="s">
        <v>284</v>
      </c>
    </row>
    <row r="649" ht="15.75" customHeight="1">
      <c r="A649" s="258">
        <v>42699.0</v>
      </c>
      <c r="B649" s="340" t="s">
        <v>77</v>
      </c>
      <c r="C649" s="252">
        <v>1043.0</v>
      </c>
      <c r="D649" s="310" t="s">
        <v>10776</v>
      </c>
      <c r="E649" s="340" t="s">
        <v>9091</v>
      </c>
      <c r="F649" s="773">
        <v>15.0</v>
      </c>
      <c r="G649" s="773">
        <v>25.0</v>
      </c>
      <c r="H649" s="578">
        <f t="shared" si="34"/>
        <v>375</v>
      </c>
      <c r="I649" s="266" t="s">
        <v>171</v>
      </c>
      <c r="J649" s="269" t="s">
        <v>10777</v>
      </c>
      <c r="K649" s="258">
        <v>42712.0</v>
      </c>
      <c r="L649" s="258">
        <v>42710.0</v>
      </c>
      <c r="M649" s="266" t="s">
        <v>1998</v>
      </c>
      <c r="N649" s="252" t="s">
        <v>10778</v>
      </c>
      <c r="O649" s="581">
        <v>393.75</v>
      </c>
      <c r="P649" s="1006"/>
      <c r="Q649" s="1116" t="s">
        <v>10559</v>
      </c>
      <c r="R649" s="330"/>
      <c r="S649" s="768">
        <v>42771.0</v>
      </c>
      <c r="T649" s="771">
        <v>42709.0</v>
      </c>
      <c r="U649" s="252" t="s">
        <v>10779</v>
      </c>
      <c r="V649" s="1030" t="s">
        <v>5499</v>
      </c>
      <c r="W649" s="258">
        <v>42807.0</v>
      </c>
      <c r="X649" s="310" t="s">
        <v>10780</v>
      </c>
      <c r="Y649" s="1007"/>
      <c r="Z649" s="1008"/>
      <c r="AA649" s="1007"/>
      <c r="AB649" s="330" t="s">
        <v>284</v>
      </c>
    </row>
    <row r="650" ht="15.75" customHeight="1">
      <c r="A650" s="258">
        <v>42699.0</v>
      </c>
      <c r="B650" s="340" t="s">
        <v>77</v>
      </c>
      <c r="C650" s="252">
        <v>1043.0</v>
      </c>
      <c r="D650" s="310" t="s">
        <v>10776</v>
      </c>
      <c r="E650" s="340" t="s">
        <v>9128</v>
      </c>
      <c r="F650" s="773">
        <v>15.0</v>
      </c>
      <c r="G650" s="773">
        <v>18.0</v>
      </c>
      <c r="H650" s="578">
        <f t="shared" si="34"/>
        <v>270</v>
      </c>
      <c r="I650" s="266" t="s">
        <v>171</v>
      </c>
      <c r="J650" s="269" t="s">
        <v>10777</v>
      </c>
      <c r="K650" s="258">
        <v>42712.0</v>
      </c>
      <c r="L650" s="258">
        <v>42710.0</v>
      </c>
      <c r="M650" s="266" t="s">
        <v>1998</v>
      </c>
      <c r="N650" s="252" t="s">
        <v>10778</v>
      </c>
      <c r="O650" s="581">
        <v>220.5</v>
      </c>
      <c r="P650" s="1006"/>
      <c r="Q650" s="1116" t="s">
        <v>10559</v>
      </c>
      <c r="R650" s="330"/>
      <c r="S650" s="768">
        <v>42771.0</v>
      </c>
      <c r="T650" s="771">
        <v>42709.0</v>
      </c>
      <c r="U650" s="252" t="s">
        <v>10779</v>
      </c>
      <c r="V650" s="1030" t="s">
        <v>5499</v>
      </c>
      <c r="W650" s="258">
        <v>42807.0</v>
      </c>
      <c r="X650" s="310" t="s">
        <v>10780</v>
      </c>
      <c r="Y650" s="1007"/>
      <c r="Z650" s="1008"/>
      <c r="AA650" s="1007"/>
      <c r="AB650" s="330" t="s">
        <v>284</v>
      </c>
    </row>
    <row r="651" ht="15.75" customHeight="1">
      <c r="A651" s="258">
        <v>42699.0</v>
      </c>
      <c r="B651" s="340" t="s">
        <v>77</v>
      </c>
      <c r="C651" s="252">
        <v>1043.0</v>
      </c>
      <c r="D651" s="310" t="s">
        <v>10776</v>
      </c>
      <c r="E651" s="578" t="s">
        <v>9132</v>
      </c>
      <c r="F651" s="581">
        <v>15.0</v>
      </c>
      <c r="G651" s="581">
        <v>6.0</v>
      </c>
      <c r="H651" s="578">
        <f t="shared" si="34"/>
        <v>90</v>
      </c>
      <c r="I651" s="266" t="s">
        <v>171</v>
      </c>
      <c r="J651" s="269" t="s">
        <v>10777</v>
      </c>
      <c r="K651" s="258">
        <v>42712.0</v>
      </c>
      <c r="L651" s="258">
        <v>42712.0</v>
      </c>
      <c r="M651" s="333" t="s">
        <v>2039</v>
      </c>
      <c r="N651" s="252" t="s">
        <v>10781</v>
      </c>
      <c r="O651" s="340"/>
      <c r="P651" s="340">
        <v>1496.0</v>
      </c>
      <c r="Q651" s="320" t="s">
        <v>2194</v>
      </c>
      <c r="R651" s="330"/>
      <c r="S651" s="768">
        <v>42723.0</v>
      </c>
      <c r="T651" s="771">
        <v>42711.0</v>
      </c>
      <c r="U651" s="252" t="s">
        <v>10782</v>
      </c>
      <c r="V651" s="1030">
        <v>1859.0</v>
      </c>
      <c r="W651" s="258">
        <v>42724.0</v>
      </c>
      <c r="X651" s="310" t="s">
        <v>10780</v>
      </c>
      <c r="Y651" s="1007"/>
      <c r="Z651" s="1008"/>
      <c r="AA651" s="1007"/>
      <c r="AB651" s="330" t="s">
        <v>284</v>
      </c>
    </row>
    <row r="652" ht="15.75" customHeight="1">
      <c r="A652" s="258">
        <v>42699.0</v>
      </c>
      <c r="B652" s="340" t="s">
        <v>77</v>
      </c>
      <c r="C652" s="252">
        <v>1043.0</v>
      </c>
      <c r="D652" s="310" t="s">
        <v>10776</v>
      </c>
      <c r="E652" s="578" t="s">
        <v>9134</v>
      </c>
      <c r="F652" s="581">
        <v>15.0</v>
      </c>
      <c r="G652" s="581">
        <v>2.0</v>
      </c>
      <c r="H652" s="578">
        <f t="shared" si="34"/>
        <v>30</v>
      </c>
      <c r="I652" s="266" t="s">
        <v>171</v>
      </c>
      <c r="J652" s="269" t="s">
        <v>10777</v>
      </c>
      <c r="K652" s="258">
        <v>42712.0</v>
      </c>
      <c r="L652" s="258">
        <v>42712.0</v>
      </c>
      <c r="M652" s="333" t="s">
        <v>2039</v>
      </c>
      <c r="N652" s="252" t="s">
        <v>10781</v>
      </c>
      <c r="O652" s="340"/>
      <c r="P652" s="340">
        <v>363.0</v>
      </c>
      <c r="Q652" s="320" t="s">
        <v>2194</v>
      </c>
      <c r="R652" s="330"/>
      <c r="S652" s="768">
        <v>42723.0</v>
      </c>
      <c r="T652" s="771">
        <v>42711.0</v>
      </c>
      <c r="U652" s="252" t="s">
        <v>10782</v>
      </c>
      <c r="V652" s="1030" t="s">
        <v>10736</v>
      </c>
      <c r="W652" s="258">
        <v>42724.0</v>
      </c>
      <c r="X652" s="310" t="s">
        <v>10780</v>
      </c>
      <c r="Y652" s="1007"/>
      <c r="Z652" s="1008"/>
      <c r="AA652" s="1007"/>
      <c r="AB652" s="330" t="s">
        <v>284</v>
      </c>
    </row>
    <row r="653" ht="15.75" customHeight="1">
      <c r="A653" s="258">
        <v>42702.0</v>
      </c>
      <c r="B653" s="340" t="s">
        <v>6167</v>
      </c>
      <c r="C653" s="252">
        <v>7.000125819E9</v>
      </c>
      <c r="D653" s="310" t="s">
        <v>10783</v>
      </c>
      <c r="E653" s="578" t="s">
        <v>3865</v>
      </c>
      <c r="F653" s="581">
        <v>11.0</v>
      </c>
      <c r="G653" s="581">
        <v>127.0</v>
      </c>
      <c r="H653" s="47">
        <f t="shared" si="34"/>
        <v>1397</v>
      </c>
      <c r="I653" s="266" t="s">
        <v>43</v>
      </c>
      <c r="J653" s="777" t="s">
        <v>3623</v>
      </c>
      <c r="K653" s="258">
        <v>42716.0</v>
      </c>
      <c r="L653" s="258">
        <v>42709.0</v>
      </c>
      <c r="M653" s="266" t="s">
        <v>3593</v>
      </c>
      <c r="N653" s="252" t="s">
        <v>10784</v>
      </c>
      <c r="O653" s="581"/>
      <c r="P653" s="1010">
        <v>41580.0</v>
      </c>
      <c r="Q653" s="310" t="s">
        <v>6122</v>
      </c>
      <c r="R653" s="330"/>
      <c r="S653" s="768">
        <v>42771.0</v>
      </c>
      <c r="T653" s="771">
        <v>42706.0</v>
      </c>
      <c r="U653" s="252" t="s">
        <v>10785</v>
      </c>
      <c r="V653" s="1030">
        <v>41580.0</v>
      </c>
      <c r="W653" s="258">
        <v>42739.0</v>
      </c>
      <c r="X653" s="310" t="s">
        <v>10738</v>
      </c>
      <c r="Y653" s="1007"/>
      <c r="Z653" s="1008"/>
      <c r="AA653" s="1007"/>
      <c r="AB653" s="253" t="s">
        <v>284</v>
      </c>
    </row>
    <row r="654" ht="15.75" customHeight="1">
      <c r="A654" s="258">
        <v>42702.0</v>
      </c>
      <c r="B654" s="340" t="s">
        <v>6167</v>
      </c>
      <c r="C654" s="252">
        <v>7.000125819E9</v>
      </c>
      <c r="D654" s="310" t="s">
        <v>10783</v>
      </c>
      <c r="E654" s="422">
        <v>1.700002204E9</v>
      </c>
      <c r="F654" s="581">
        <v>1.0</v>
      </c>
      <c r="G654" s="581">
        <v>4.0</v>
      </c>
      <c r="H654" s="47">
        <f t="shared" si="34"/>
        <v>4</v>
      </c>
      <c r="I654" s="266" t="s">
        <v>43</v>
      </c>
      <c r="J654" s="777" t="s">
        <v>3623</v>
      </c>
      <c r="K654" s="258">
        <v>42716.0</v>
      </c>
      <c r="L654" s="258">
        <v>42710.0</v>
      </c>
      <c r="M654" s="266" t="s">
        <v>3593</v>
      </c>
      <c r="N654" s="252" t="s">
        <v>10786</v>
      </c>
      <c r="O654" s="581"/>
      <c r="P654" s="578">
        <v>100.0</v>
      </c>
      <c r="Q654" s="310" t="s">
        <v>6122</v>
      </c>
      <c r="R654" s="330"/>
      <c r="S654" s="768">
        <v>42771.0</v>
      </c>
      <c r="T654" s="771">
        <v>42709.0</v>
      </c>
      <c r="U654" s="252" t="s">
        <v>10787</v>
      </c>
      <c r="V654" s="1030">
        <v>8658.0</v>
      </c>
      <c r="W654" s="258">
        <v>42739.0</v>
      </c>
      <c r="X654" s="310" t="s">
        <v>10738</v>
      </c>
      <c r="Y654" s="1007"/>
      <c r="Z654" s="1008"/>
      <c r="AA654" s="1007"/>
      <c r="AB654" s="253" t="s">
        <v>284</v>
      </c>
    </row>
    <row r="655" ht="15.75" customHeight="1">
      <c r="A655" s="258">
        <v>42702.0</v>
      </c>
      <c r="B655" s="340" t="s">
        <v>6167</v>
      </c>
      <c r="C655" s="252">
        <v>7.000125819E9</v>
      </c>
      <c r="D655" s="310" t="s">
        <v>10783</v>
      </c>
      <c r="E655" s="578" t="s">
        <v>7801</v>
      </c>
      <c r="F655" s="581">
        <v>1.0</v>
      </c>
      <c r="G655" s="581">
        <v>5.0</v>
      </c>
      <c r="H655" s="47">
        <f t="shared" si="34"/>
        <v>5</v>
      </c>
      <c r="I655" s="266" t="s">
        <v>43</v>
      </c>
      <c r="J655" s="777" t="s">
        <v>3623</v>
      </c>
      <c r="K655" s="258">
        <v>42716.0</v>
      </c>
      <c r="L655" s="258">
        <v>42710.0</v>
      </c>
      <c r="M655" s="266" t="s">
        <v>3593</v>
      </c>
      <c r="N655" s="252" t="s">
        <v>10786</v>
      </c>
      <c r="O655" s="581"/>
      <c r="P655" s="578">
        <v>128.0</v>
      </c>
      <c r="Q655" s="310" t="s">
        <v>6122</v>
      </c>
      <c r="R655" s="330"/>
      <c r="S655" s="768">
        <v>42771.0</v>
      </c>
      <c r="T655" s="771">
        <v>42709.0</v>
      </c>
      <c r="U655" s="252" t="s">
        <v>10787</v>
      </c>
      <c r="V655" s="1030" t="s">
        <v>8086</v>
      </c>
      <c r="W655" s="258">
        <v>42739.0</v>
      </c>
      <c r="X655" s="310" t="s">
        <v>10738</v>
      </c>
      <c r="Y655" s="1007"/>
      <c r="Z655" s="1008"/>
      <c r="AA655" s="1007"/>
      <c r="AB655" s="253" t="s">
        <v>284</v>
      </c>
    </row>
    <row r="656" ht="15.75" customHeight="1">
      <c r="A656" s="258">
        <v>42702.0</v>
      </c>
      <c r="B656" s="340" t="s">
        <v>6167</v>
      </c>
      <c r="C656" s="252">
        <v>7.000125819E9</v>
      </c>
      <c r="D656" s="310" t="s">
        <v>10783</v>
      </c>
      <c r="E656" s="422">
        <v>1.702002605E9</v>
      </c>
      <c r="F656" s="581">
        <v>1.0</v>
      </c>
      <c r="G656" s="581">
        <v>3.6</v>
      </c>
      <c r="H656" s="47">
        <f t="shared" si="34"/>
        <v>3.6</v>
      </c>
      <c r="I656" s="266" t="s">
        <v>43</v>
      </c>
      <c r="J656" s="777" t="s">
        <v>3623</v>
      </c>
      <c r="K656" s="258">
        <v>42716.0</v>
      </c>
      <c r="L656" s="258">
        <v>42710.0</v>
      </c>
      <c r="M656" s="266" t="s">
        <v>3593</v>
      </c>
      <c r="N656" s="252" t="s">
        <v>10786</v>
      </c>
      <c r="O656" s="581"/>
      <c r="P656" s="578">
        <v>92.0</v>
      </c>
      <c r="Q656" s="310" t="s">
        <v>6122</v>
      </c>
      <c r="R656" s="330"/>
      <c r="S656" s="768">
        <v>42771.0</v>
      </c>
      <c r="T656" s="771">
        <v>42709.0</v>
      </c>
      <c r="U656" s="252" t="s">
        <v>10787</v>
      </c>
      <c r="V656" s="1030" t="s">
        <v>8086</v>
      </c>
      <c r="W656" s="258">
        <v>42739.0</v>
      </c>
      <c r="X656" s="310" t="s">
        <v>10738</v>
      </c>
      <c r="Y656" s="1007"/>
      <c r="Z656" s="1008"/>
      <c r="AA656" s="1007"/>
      <c r="AB656" s="253" t="s">
        <v>284</v>
      </c>
    </row>
    <row r="657" ht="15.75" customHeight="1">
      <c r="A657" s="258">
        <v>42702.0</v>
      </c>
      <c r="B657" s="340" t="s">
        <v>6167</v>
      </c>
      <c r="C657" s="252">
        <v>7.000125819E9</v>
      </c>
      <c r="D657" s="310" t="s">
        <v>10783</v>
      </c>
      <c r="E657" s="578" t="s">
        <v>7800</v>
      </c>
      <c r="F657" s="581">
        <v>1.0</v>
      </c>
      <c r="G657" s="581">
        <v>81.0</v>
      </c>
      <c r="H657" s="47">
        <f t="shared" si="34"/>
        <v>81</v>
      </c>
      <c r="I657" s="266" t="s">
        <v>43</v>
      </c>
      <c r="J657" s="777" t="s">
        <v>3623</v>
      </c>
      <c r="K657" s="258">
        <v>42716.0</v>
      </c>
      <c r="L657" s="258">
        <v>42710.0</v>
      </c>
      <c r="M657" s="266" t="s">
        <v>3593</v>
      </c>
      <c r="N657" s="252" t="s">
        <v>10786</v>
      </c>
      <c r="O657" s="581"/>
      <c r="P657" s="1010">
        <v>2406.0</v>
      </c>
      <c r="Q657" s="310" t="s">
        <v>6122</v>
      </c>
      <c r="R657" s="330"/>
      <c r="S657" s="768">
        <v>42771.0</v>
      </c>
      <c r="T657" s="771">
        <v>42709.0</v>
      </c>
      <c r="U657" s="252" t="s">
        <v>10787</v>
      </c>
      <c r="V657" s="1030" t="s">
        <v>8086</v>
      </c>
      <c r="W657" s="258">
        <v>42739.0</v>
      </c>
      <c r="X657" s="310" t="s">
        <v>10738</v>
      </c>
      <c r="Y657" s="1007"/>
      <c r="Z657" s="1008"/>
      <c r="AA657" s="1007"/>
      <c r="AB657" s="253" t="s">
        <v>284</v>
      </c>
    </row>
    <row r="658" ht="15.75" customHeight="1">
      <c r="A658" s="258">
        <v>42702.0</v>
      </c>
      <c r="B658" s="340" t="s">
        <v>6167</v>
      </c>
      <c r="C658" s="252">
        <v>7.000125819E9</v>
      </c>
      <c r="D658" s="310" t="s">
        <v>10783</v>
      </c>
      <c r="E658" s="578" t="s">
        <v>7802</v>
      </c>
      <c r="F658" s="581">
        <v>1.0</v>
      </c>
      <c r="G658" s="581">
        <v>163.0</v>
      </c>
      <c r="H658" s="47">
        <f t="shared" si="34"/>
        <v>163</v>
      </c>
      <c r="I658" s="266" t="s">
        <v>43</v>
      </c>
      <c r="J658" s="777" t="s">
        <v>3623</v>
      </c>
      <c r="K658" s="258">
        <v>42716.0</v>
      </c>
      <c r="L658" s="258">
        <v>42710.0</v>
      </c>
      <c r="M658" s="266" t="s">
        <v>3593</v>
      </c>
      <c r="N658" s="252" t="s">
        <v>10786</v>
      </c>
      <c r="O658" s="581"/>
      <c r="P658" s="1010">
        <v>4838.0</v>
      </c>
      <c r="Q658" s="310" t="s">
        <v>6122</v>
      </c>
      <c r="R658" s="330"/>
      <c r="S658" s="768">
        <v>42771.0</v>
      </c>
      <c r="T658" s="771">
        <v>42709.0</v>
      </c>
      <c r="U658" s="252" t="s">
        <v>10787</v>
      </c>
      <c r="V658" s="1030" t="s">
        <v>8086</v>
      </c>
      <c r="W658" s="258">
        <v>42739.0</v>
      </c>
      <c r="X658" s="310" t="s">
        <v>10738</v>
      </c>
      <c r="Y658" s="1007"/>
      <c r="Z658" s="1008"/>
      <c r="AA658" s="1007"/>
      <c r="AB658" s="253" t="s">
        <v>284</v>
      </c>
    </row>
    <row r="659" ht="15.75" customHeight="1">
      <c r="A659" s="258">
        <v>42702.0</v>
      </c>
      <c r="B659" s="340" t="s">
        <v>6167</v>
      </c>
      <c r="C659" s="252">
        <v>7.000125819E9</v>
      </c>
      <c r="D659" s="310" t="s">
        <v>10783</v>
      </c>
      <c r="E659" s="578" t="s">
        <v>3728</v>
      </c>
      <c r="F659" s="581">
        <v>1.0</v>
      </c>
      <c r="G659" s="581">
        <v>37.0</v>
      </c>
      <c r="H659" s="47">
        <f t="shared" si="34"/>
        <v>37</v>
      </c>
      <c r="I659" s="266" t="s">
        <v>43</v>
      </c>
      <c r="J659" s="777" t="s">
        <v>3623</v>
      </c>
      <c r="K659" s="258">
        <v>42716.0</v>
      </c>
      <c r="L659" s="258">
        <v>42710.0</v>
      </c>
      <c r="M659" s="266" t="s">
        <v>3593</v>
      </c>
      <c r="N659" s="252" t="s">
        <v>10786</v>
      </c>
      <c r="O659" s="581"/>
      <c r="P659" s="1010">
        <v>1094.0</v>
      </c>
      <c r="Q659" s="310" t="s">
        <v>6122</v>
      </c>
      <c r="R659" s="330"/>
      <c r="S659" s="768">
        <v>42771.0</v>
      </c>
      <c r="T659" s="771">
        <v>42709.0</v>
      </c>
      <c r="U659" s="252" t="s">
        <v>10787</v>
      </c>
      <c r="V659" s="1030" t="s">
        <v>8086</v>
      </c>
      <c r="W659" s="258">
        <v>42739.0</v>
      </c>
      <c r="X659" s="310" t="s">
        <v>10738</v>
      </c>
      <c r="Y659" s="1007"/>
      <c r="Z659" s="1008"/>
      <c r="AA659" s="1007"/>
      <c r="AB659" s="253" t="s">
        <v>284</v>
      </c>
    </row>
    <row r="660" ht="15.75" customHeight="1">
      <c r="A660" s="258">
        <v>42702.0</v>
      </c>
      <c r="B660" s="340" t="s">
        <v>6167</v>
      </c>
      <c r="C660" s="252">
        <v>7.000125819E9</v>
      </c>
      <c r="D660" s="310" t="s">
        <v>10783</v>
      </c>
      <c r="E660" s="578" t="s">
        <v>7803</v>
      </c>
      <c r="F660" s="581">
        <v>1.0</v>
      </c>
      <c r="G660" s="581">
        <v>236.0</v>
      </c>
      <c r="H660" s="47">
        <f t="shared" si="34"/>
        <v>236</v>
      </c>
      <c r="I660" s="266" t="s">
        <v>43</v>
      </c>
      <c r="J660" s="777" t="s">
        <v>3623</v>
      </c>
      <c r="K660" s="258">
        <v>42716.0</v>
      </c>
      <c r="L660" s="258">
        <v>42716.0</v>
      </c>
      <c r="M660" s="266" t="s">
        <v>3593</v>
      </c>
      <c r="N660" s="252" t="s">
        <v>10788</v>
      </c>
      <c r="O660" s="581"/>
      <c r="P660" s="1010">
        <v>7123.0</v>
      </c>
      <c r="Q660" s="310" t="s">
        <v>6122</v>
      </c>
      <c r="R660" s="330"/>
      <c r="S660" s="768">
        <v>42771.0</v>
      </c>
      <c r="T660" s="771">
        <v>42713.0</v>
      </c>
      <c r="U660" s="252" t="s">
        <v>10789</v>
      </c>
      <c r="V660" s="1030">
        <v>7123.0</v>
      </c>
      <c r="W660" s="258">
        <v>42755.0</v>
      </c>
      <c r="X660" s="310" t="s">
        <v>10738</v>
      </c>
      <c r="Y660" s="1007"/>
      <c r="Z660" s="1008"/>
      <c r="AA660" s="1007"/>
      <c r="AB660" s="253" t="s">
        <v>284</v>
      </c>
    </row>
    <row r="661" ht="15.75" customHeight="1">
      <c r="A661" s="258">
        <v>42702.0</v>
      </c>
      <c r="B661" s="340" t="s">
        <v>6167</v>
      </c>
      <c r="C661" s="252">
        <v>7.000125819E9</v>
      </c>
      <c r="D661" s="310" t="s">
        <v>10783</v>
      </c>
      <c r="E661" s="578" t="s">
        <v>7804</v>
      </c>
      <c r="F661" s="581">
        <v>1.0</v>
      </c>
      <c r="G661" s="581">
        <v>17.0</v>
      </c>
      <c r="H661" s="47">
        <f t="shared" si="34"/>
        <v>17</v>
      </c>
      <c r="I661" s="266" t="s">
        <v>43</v>
      </c>
      <c r="J661" s="777" t="s">
        <v>3623</v>
      </c>
      <c r="K661" s="258">
        <v>42716.0</v>
      </c>
      <c r="L661" s="258">
        <v>42716.0</v>
      </c>
      <c r="M661" s="266" t="s">
        <v>3593</v>
      </c>
      <c r="N661" s="252" t="s">
        <v>10790</v>
      </c>
      <c r="O661" s="581"/>
      <c r="P661" s="578">
        <v>521.0</v>
      </c>
      <c r="Q661" s="310" t="s">
        <v>6122</v>
      </c>
      <c r="R661" s="330"/>
      <c r="S661" s="768">
        <v>42771.0</v>
      </c>
      <c r="T661" s="771">
        <v>42711.0</v>
      </c>
      <c r="U661" s="252" t="s">
        <v>10791</v>
      </c>
      <c r="V661" s="1030">
        <v>521.0</v>
      </c>
      <c r="W661" s="258">
        <v>42755.0</v>
      </c>
      <c r="X661" s="310" t="s">
        <v>10738</v>
      </c>
      <c r="Y661" s="1007"/>
      <c r="Z661" s="1008"/>
      <c r="AA661" s="1007"/>
      <c r="AB661" s="253" t="s">
        <v>284</v>
      </c>
    </row>
    <row r="662" ht="15.75" customHeight="1">
      <c r="A662" s="258">
        <v>42703.0</v>
      </c>
      <c r="B662" s="340" t="s">
        <v>229</v>
      </c>
      <c r="C662" s="265" t="s">
        <v>10792</v>
      </c>
      <c r="D662" s="310" t="s">
        <v>10793</v>
      </c>
      <c r="E662" s="578" t="s">
        <v>462</v>
      </c>
      <c r="F662" s="773">
        <v>77.0</v>
      </c>
      <c r="G662" s="581">
        <v>415.8</v>
      </c>
      <c r="H662" s="47">
        <f t="shared" si="34"/>
        <v>32016.6</v>
      </c>
      <c r="I662" s="266" t="s">
        <v>171</v>
      </c>
      <c r="J662" s="333" t="s">
        <v>90</v>
      </c>
      <c r="K662" s="258">
        <v>42716.0</v>
      </c>
      <c r="L662" s="792"/>
      <c r="M662" s="333" t="s">
        <v>90</v>
      </c>
      <c r="N662" s="252" t="s">
        <v>10794</v>
      </c>
      <c r="O662" s="773">
        <v>28701.75</v>
      </c>
      <c r="P662" s="1006"/>
      <c r="Q662" s="320" t="s">
        <v>6081</v>
      </c>
      <c r="R662" s="330"/>
      <c r="S662" s="768">
        <v>42771.0</v>
      </c>
      <c r="T662" s="771">
        <v>42713.0</v>
      </c>
      <c r="U662" s="310" t="s">
        <v>10795</v>
      </c>
      <c r="V662" s="1030">
        <v>943981.0</v>
      </c>
      <c r="W662" s="258">
        <v>42748.0</v>
      </c>
      <c r="X662" s="310" t="s">
        <v>10796</v>
      </c>
      <c r="Y662" s="310" t="s">
        <v>10797</v>
      </c>
      <c r="Z662" s="637">
        <v>1048201.0</v>
      </c>
      <c r="AA662" s="310" t="s">
        <v>10798</v>
      </c>
      <c r="AB662" s="902"/>
    </row>
    <row r="663" ht="15.75" customHeight="1">
      <c r="A663" s="258">
        <v>42703.0</v>
      </c>
      <c r="B663" s="340" t="s">
        <v>229</v>
      </c>
      <c r="C663" s="265" t="s">
        <v>10792</v>
      </c>
      <c r="D663" s="310" t="s">
        <v>10793</v>
      </c>
      <c r="E663" s="599" t="s">
        <v>3765</v>
      </c>
      <c r="F663" s="773">
        <v>3.0</v>
      </c>
      <c r="G663" s="773">
        <v>336.0</v>
      </c>
      <c r="H663" s="267">
        <f t="shared" si="34"/>
        <v>1008</v>
      </c>
      <c r="I663" s="266" t="s">
        <v>171</v>
      </c>
      <c r="J663" s="333" t="s">
        <v>90</v>
      </c>
      <c r="K663" s="258">
        <v>42716.0</v>
      </c>
      <c r="L663" s="792"/>
      <c r="M663" s="333" t="s">
        <v>90</v>
      </c>
      <c r="N663" s="252" t="s">
        <v>10794</v>
      </c>
      <c r="O663" s="581">
        <v>904.05</v>
      </c>
      <c r="P663" s="1006"/>
      <c r="Q663" s="320" t="s">
        <v>6081</v>
      </c>
      <c r="R663" s="330"/>
      <c r="S663" s="768">
        <v>42771.0</v>
      </c>
      <c r="T663" s="771">
        <v>42713.0</v>
      </c>
      <c r="U663" s="310" t="s">
        <v>10795</v>
      </c>
      <c r="V663" s="1030" t="s">
        <v>10799</v>
      </c>
      <c r="W663" s="258">
        <v>42748.0</v>
      </c>
      <c r="X663" s="310" t="s">
        <v>10796</v>
      </c>
      <c r="Y663" s="310" t="s">
        <v>10797</v>
      </c>
      <c r="Z663" s="637" t="s">
        <v>10800</v>
      </c>
      <c r="AA663" s="310" t="s">
        <v>10798</v>
      </c>
      <c r="AB663" s="902"/>
    </row>
    <row r="664" ht="15.75" customHeight="1">
      <c r="A664" s="258">
        <v>42703.0</v>
      </c>
      <c r="B664" s="340" t="s">
        <v>5073</v>
      </c>
      <c r="C664" s="252" t="s">
        <v>6046</v>
      </c>
      <c r="D664" s="310" t="s">
        <v>10801</v>
      </c>
      <c r="E664" s="578" t="s">
        <v>10802</v>
      </c>
      <c r="F664" s="581">
        <v>41.0</v>
      </c>
      <c r="G664" s="581">
        <v>95.0</v>
      </c>
      <c r="H664" s="267">
        <f t="shared" si="34"/>
        <v>3895</v>
      </c>
      <c r="I664" s="266" t="s">
        <v>3474</v>
      </c>
      <c r="J664" s="333" t="s">
        <v>3749</v>
      </c>
      <c r="K664" s="258">
        <v>42723.0</v>
      </c>
      <c r="L664" s="258">
        <v>42720.0</v>
      </c>
      <c r="M664" s="403" t="s">
        <v>90</v>
      </c>
      <c r="N664" s="310" t="s">
        <v>10803</v>
      </c>
      <c r="O664" s="581">
        <v>3837.75</v>
      </c>
      <c r="P664" s="1006"/>
      <c r="Q664" s="320" t="s">
        <v>6081</v>
      </c>
      <c r="R664" s="330"/>
      <c r="S664" s="768">
        <v>42771.0</v>
      </c>
      <c r="T664" s="771">
        <v>42720.0</v>
      </c>
      <c r="U664" s="252" t="s">
        <v>10804</v>
      </c>
      <c r="V664" s="1030">
        <v>173198.0</v>
      </c>
      <c r="W664" s="258">
        <v>42769.0</v>
      </c>
      <c r="X664" s="310" t="s">
        <v>10805</v>
      </c>
      <c r="Y664" s="1007"/>
      <c r="Z664" s="1008"/>
      <c r="AA664" s="1007"/>
      <c r="AB664" s="902" t="s">
        <v>10420</v>
      </c>
    </row>
    <row r="665" ht="15.75" customHeight="1">
      <c r="A665" s="258">
        <v>42703.0</v>
      </c>
      <c r="B665" s="340" t="s">
        <v>5073</v>
      </c>
      <c r="C665" s="252" t="s">
        <v>6046</v>
      </c>
      <c r="D665" s="310" t="s">
        <v>10801</v>
      </c>
      <c r="E665" s="578" t="s">
        <v>6053</v>
      </c>
      <c r="F665" s="581">
        <v>41.0</v>
      </c>
      <c r="G665" s="581">
        <v>49.0</v>
      </c>
      <c r="H665" s="267">
        <f t="shared" si="34"/>
        <v>2009</v>
      </c>
      <c r="I665" s="266" t="s">
        <v>3474</v>
      </c>
      <c r="J665" s="333" t="s">
        <v>3749</v>
      </c>
      <c r="K665" s="258">
        <v>42723.0</v>
      </c>
      <c r="L665" s="258">
        <v>42720.0</v>
      </c>
      <c r="M665" s="403" t="s">
        <v>90</v>
      </c>
      <c r="N665" s="310" t="s">
        <v>10803</v>
      </c>
      <c r="O665" s="581">
        <v>1851.15</v>
      </c>
      <c r="P665" s="1006"/>
      <c r="Q665" s="320" t="s">
        <v>6081</v>
      </c>
      <c r="R665" s="330"/>
      <c r="S665" s="768">
        <v>42771.0</v>
      </c>
      <c r="T665" s="771">
        <v>42720.0</v>
      </c>
      <c r="U665" s="252" t="s">
        <v>10804</v>
      </c>
      <c r="V665" s="1030" t="s">
        <v>10806</v>
      </c>
      <c r="W665" s="258">
        <v>42769.0</v>
      </c>
      <c r="X665" s="310" t="s">
        <v>10805</v>
      </c>
      <c r="Y665" s="1007"/>
      <c r="Z665" s="1008"/>
      <c r="AA665" s="1007"/>
      <c r="AB665" s="902" t="s">
        <v>10420</v>
      </c>
    </row>
    <row r="666" ht="15.75" customHeight="1">
      <c r="A666" s="258">
        <v>42703.0</v>
      </c>
      <c r="B666" s="340" t="s">
        <v>5073</v>
      </c>
      <c r="C666" s="252" t="s">
        <v>6046</v>
      </c>
      <c r="D666" s="310" t="s">
        <v>10807</v>
      </c>
      <c r="E666" s="578" t="s">
        <v>10802</v>
      </c>
      <c r="F666" s="581">
        <v>2.0</v>
      </c>
      <c r="G666" s="581">
        <v>95.0</v>
      </c>
      <c r="H666" s="267">
        <f t="shared" si="34"/>
        <v>190</v>
      </c>
      <c r="I666" s="266" t="s">
        <v>3474</v>
      </c>
      <c r="J666" s="333" t="s">
        <v>3749</v>
      </c>
      <c r="K666" s="258">
        <v>42716.0</v>
      </c>
      <c r="L666" s="258">
        <v>42716.0</v>
      </c>
      <c r="M666" s="403" t="s">
        <v>90</v>
      </c>
      <c r="N666" s="310"/>
      <c r="O666" s="581" t="s">
        <v>10808</v>
      </c>
      <c r="P666" s="1006"/>
      <c r="Q666" s="320" t="s">
        <v>6081</v>
      </c>
      <c r="R666" s="330"/>
      <c r="S666" s="768">
        <v>42771.0</v>
      </c>
      <c r="T666" s="771">
        <v>42716.0</v>
      </c>
      <c r="U666" s="252" t="s">
        <v>10809</v>
      </c>
      <c r="V666" s="1030">
        <v>8449.0</v>
      </c>
      <c r="W666" s="258">
        <v>42769.0</v>
      </c>
      <c r="X666" s="310" t="s">
        <v>10810</v>
      </c>
      <c r="Y666" s="1007"/>
      <c r="Z666" s="1008"/>
      <c r="AA666" s="1007"/>
      <c r="AB666" s="330" t="s">
        <v>284</v>
      </c>
    </row>
    <row r="667" ht="15.75" customHeight="1">
      <c r="A667" s="258">
        <v>42703.0</v>
      </c>
      <c r="B667" s="340" t="s">
        <v>5073</v>
      </c>
      <c r="C667" s="252" t="s">
        <v>6046</v>
      </c>
      <c r="D667" s="310" t="s">
        <v>10807</v>
      </c>
      <c r="E667" s="578" t="s">
        <v>6053</v>
      </c>
      <c r="F667" s="581">
        <v>2.0</v>
      </c>
      <c r="G667" s="581">
        <v>49.0</v>
      </c>
      <c r="H667" s="267">
        <f t="shared" si="34"/>
        <v>98</v>
      </c>
      <c r="I667" s="266" t="s">
        <v>3474</v>
      </c>
      <c r="J667" s="333" t="s">
        <v>3749</v>
      </c>
      <c r="K667" s="258">
        <v>42716.0</v>
      </c>
      <c r="L667" s="258">
        <v>42716.0</v>
      </c>
      <c r="M667" s="403" t="s">
        <v>90</v>
      </c>
      <c r="N667" s="310"/>
      <c r="O667" s="581" t="s">
        <v>10808</v>
      </c>
      <c r="P667" s="1006"/>
      <c r="Q667" s="320" t="s">
        <v>6081</v>
      </c>
      <c r="R667" s="330"/>
      <c r="S667" s="768">
        <v>42771.0</v>
      </c>
      <c r="T667" s="771">
        <v>42716.0</v>
      </c>
      <c r="U667" s="252" t="s">
        <v>10809</v>
      </c>
      <c r="V667" s="1030" t="s">
        <v>10811</v>
      </c>
      <c r="W667" s="258">
        <v>42769.0</v>
      </c>
      <c r="X667" s="310" t="s">
        <v>10810</v>
      </c>
      <c r="Y667" s="1007"/>
      <c r="Z667" s="1008"/>
      <c r="AA667" s="1007"/>
      <c r="AB667" s="330" t="s">
        <v>284</v>
      </c>
    </row>
    <row r="668" ht="15.75" customHeight="1">
      <c r="A668" s="258">
        <v>42704.0</v>
      </c>
      <c r="B668" s="252" t="s">
        <v>229</v>
      </c>
      <c r="C668" s="252"/>
      <c r="D668" s="330" t="s">
        <v>10812</v>
      </c>
      <c r="E668" s="330" t="s">
        <v>10813</v>
      </c>
      <c r="F668" s="581">
        <v>1.0</v>
      </c>
      <c r="G668" s="581">
        <v>0.0</v>
      </c>
      <c r="H668" s="267">
        <f t="shared" si="34"/>
        <v>0</v>
      </c>
      <c r="I668" s="266" t="s">
        <v>171</v>
      </c>
      <c r="J668" s="333"/>
      <c r="K668" s="630"/>
      <c r="L668" s="792"/>
      <c r="M668" s="403"/>
      <c r="N668" s="252"/>
      <c r="O668" s="581"/>
      <c r="P668" s="1006"/>
      <c r="Q668" s="320"/>
      <c r="R668" s="330"/>
      <c r="S668" s="1032"/>
      <c r="T668" s="771"/>
      <c r="U668" s="252"/>
      <c r="V668" s="1030"/>
      <c r="W668" s="1019"/>
      <c r="X668" s="310"/>
      <c r="Y668" s="1007"/>
      <c r="Z668" s="1008"/>
      <c r="AA668" s="1007"/>
      <c r="AB668" s="902"/>
    </row>
    <row r="669" ht="15.75" customHeight="1">
      <c r="A669" s="258">
        <v>42704.0</v>
      </c>
      <c r="B669" s="252" t="s">
        <v>229</v>
      </c>
      <c r="C669" s="252"/>
      <c r="D669" s="330" t="s">
        <v>10812</v>
      </c>
      <c r="E669" s="330" t="s">
        <v>10814</v>
      </c>
      <c r="F669" s="581">
        <v>1.0</v>
      </c>
      <c r="G669" s="581">
        <v>0.0</v>
      </c>
      <c r="H669" s="267">
        <f t="shared" si="34"/>
        <v>0</v>
      </c>
      <c r="I669" s="266" t="s">
        <v>171</v>
      </c>
      <c r="J669" s="333"/>
      <c r="K669" s="630"/>
      <c r="L669" s="792"/>
      <c r="M669" s="403"/>
      <c r="N669" s="252"/>
      <c r="O669" s="581"/>
      <c r="P669" s="1006"/>
      <c r="Q669" s="320"/>
      <c r="R669" s="330"/>
      <c r="S669" s="1032"/>
      <c r="T669" s="771"/>
      <c r="U669" s="252"/>
      <c r="V669" s="1030"/>
      <c r="W669" s="1019"/>
      <c r="X669" s="310"/>
      <c r="Y669" s="1007"/>
      <c r="Z669" s="1008"/>
      <c r="AA669" s="1007"/>
      <c r="AB669" s="902"/>
    </row>
    <row r="670" ht="15.75" customHeight="1">
      <c r="A670" s="258">
        <v>42704.0</v>
      </c>
      <c r="B670" s="340" t="s">
        <v>9899</v>
      </c>
      <c r="C670" s="252"/>
      <c r="D670" s="310" t="s">
        <v>10815</v>
      </c>
      <c r="E670" s="578" t="s">
        <v>10816</v>
      </c>
      <c r="F670" s="581">
        <v>1.0</v>
      </c>
      <c r="G670" s="581">
        <v>140.0</v>
      </c>
      <c r="H670" s="267">
        <f t="shared" si="34"/>
        <v>140</v>
      </c>
      <c r="I670" s="1031" t="s">
        <v>3474</v>
      </c>
      <c r="J670" s="333" t="s">
        <v>6027</v>
      </c>
      <c r="K670" s="258">
        <v>42719.0</v>
      </c>
      <c r="L670" s="258">
        <v>42718.0</v>
      </c>
      <c r="M670" s="333" t="s">
        <v>1439</v>
      </c>
      <c r="N670" s="252" t="s">
        <v>10817</v>
      </c>
      <c r="O670" s="581"/>
      <c r="P670" s="1010">
        <v>4352.0</v>
      </c>
      <c r="Q670" s="320" t="s">
        <v>1976</v>
      </c>
      <c r="R670" s="330"/>
      <c r="S670" s="768">
        <v>42740.0</v>
      </c>
      <c r="T670" s="771">
        <v>42718.0</v>
      </c>
      <c r="U670" s="310" t="s">
        <v>10818</v>
      </c>
      <c r="V670" s="1030">
        <v>4352.0</v>
      </c>
      <c r="W670" s="258">
        <v>42744.0</v>
      </c>
      <c r="X670" s="310" t="s">
        <v>6547</v>
      </c>
      <c r="Y670" s="1007"/>
      <c r="Z670" s="1008"/>
      <c r="AA670" s="1007"/>
      <c r="AB670" s="330" t="s">
        <v>284</v>
      </c>
    </row>
    <row r="671" ht="15.75" customHeight="1">
      <c r="A671" s="258">
        <v>42704.0</v>
      </c>
      <c r="B671" s="340" t="s">
        <v>9899</v>
      </c>
      <c r="C671" s="252"/>
      <c r="D671" s="310" t="s">
        <v>10815</v>
      </c>
      <c r="E671" s="578" t="s">
        <v>10819</v>
      </c>
      <c r="F671" s="581">
        <v>1.0</v>
      </c>
      <c r="G671" s="581">
        <v>48.0</v>
      </c>
      <c r="H671" s="267">
        <f t="shared" si="34"/>
        <v>48</v>
      </c>
      <c r="I671" s="1031" t="s">
        <v>3474</v>
      </c>
      <c r="J671" s="333" t="s">
        <v>6027</v>
      </c>
      <c r="K671" s="258">
        <v>42719.0</v>
      </c>
      <c r="L671" s="258">
        <v>42718.0</v>
      </c>
      <c r="M671" s="333" t="s">
        <v>2032</v>
      </c>
      <c r="N671" s="252"/>
      <c r="O671" s="581"/>
      <c r="P671" s="1189">
        <v>1700.0</v>
      </c>
      <c r="Q671" s="320" t="s">
        <v>2033</v>
      </c>
      <c r="R671" s="330"/>
      <c r="S671" s="768">
        <v>42757.0</v>
      </c>
      <c r="T671" s="771">
        <v>42727.0</v>
      </c>
      <c r="U671" s="310" t="s">
        <v>10699</v>
      </c>
      <c r="V671" s="266" t="s">
        <v>10700</v>
      </c>
      <c r="W671" s="258">
        <v>42754.0</v>
      </c>
      <c r="X671" s="310" t="s">
        <v>6547</v>
      </c>
      <c r="Y671" s="1007"/>
      <c r="Z671" s="1008"/>
      <c r="AA671" s="1007"/>
      <c r="AB671" s="330" t="s">
        <v>284</v>
      </c>
    </row>
    <row r="672" ht="15.75" customHeight="1">
      <c r="A672" s="258">
        <v>42704.0</v>
      </c>
      <c r="B672" s="340" t="s">
        <v>9899</v>
      </c>
      <c r="C672" s="252"/>
      <c r="D672" s="310" t="s">
        <v>10815</v>
      </c>
      <c r="E672" s="578" t="s">
        <v>700</v>
      </c>
      <c r="F672" s="581">
        <v>1.0</v>
      </c>
      <c r="G672" s="581">
        <v>25.0</v>
      </c>
      <c r="H672" s="267">
        <f t="shared" si="34"/>
        <v>25</v>
      </c>
      <c r="I672" s="266" t="s">
        <v>3474</v>
      </c>
      <c r="J672" s="333" t="s">
        <v>6027</v>
      </c>
      <c r="K672" s="258">
        <v>42719.0</v>
      </c>
      <c r="L672" s="258">
        <v>42718.0</v>
      </c>
      <c r="M672" s="403"/>
      <c r="N672" s="252"/>
      <c r="O672" s="581"/>
      <c r="P672" s="1006"/>
      <c r="Q672" s="320"/>
      <c r="R672" s="330"/>
      <c r="S672" s="1032"/>
      <c r="T672" s="771"/>
      <c r="U672" s="252"/>
      <c r="V672" s="1030"/>
      <c r="W672" s="1019"/>
      <c r="X672" s="310" t="s">
        <v>6547</v>
      </c>
      <c r="Y672" s="1007"/>
      <c r="Z672" s="1008"/>
      <c r="AA672" s="1007"/>
      <c r="AB672" s="330" t="s">
        <v>284</v>
      </c>
    </row>
    <row r="673" ht="15.75" customHeight="1">
      <c r="A673" s="258">
        <v>42704.0</v>
      </c>
      <c r="B673" s="340" t="s">
        <v>9899</v>
      </c>
      <c r="C673" s="252"/>
      <c r="D673" s="310" t="s">
        <v>10815</v>
      </c>
      <c r="E673" s="578" t="s">
        <v>9910</v>
      </c>
      <c r="F673" s="581">
        <v>1.0</v>
      </c>
      <c r="G673" s="581">
        <v>8.0</v>
      </c>
      <c r="H673" s="267">
        <f t="shared" si="34"/>
        <v>8</v>
      </c>
      <c r="I673" s="266" t="s">
        <v>3474</v>
      </c>
      <c r="J673" s="333" t="s">
        <v>6027</v>
      </c>
      <c r="K673" s="258">
        <v>42719.0</v>
      </c>
      <c r="L673" s="258">
        <v>42718.0</v>
      </c>
      <c r="M673" s="403"/>
      <c r="N673" s="252"/>
      <c r="O673" s="581"/>
      <c r="P673" s="1006"/>
      <c r="Q673" s="320"/>
      <c r="R673" s="330"/>
      <c r="S673" s="1032"/>
      <c r="T673" s="771"/>
      <c r="U673" s="252"/>
      <c r="V673" s="1030"/>
      <c r="W673" s="1019"/>
      <c r="X673" s="310" t="s">
        <v>6547</v>
      </c>
      <c r="Y673" s="1007"/>
      <c r="Z673" s="1008"/>
      <c r="AA673" s="1007"/>
      <c r="AB673" s="330" t="s">
        <v>284</v>
      </c>
    </row>
    <row r="674" ht="15.75" customHeight="1">
      <c r="A674" s="776">
        <v>42705.0</v>
      </c>
      <c r="B674" s="340" t="s">
        <v>101</v>
      </c>
      <c r="C674" s="265" t="s">
        <v>10820</v>
      </c>
      <c r="D674" s="310" t="s">
        <v>10821</v>
      </c>
      <c r="E674" s="578" t="s">
        <v>6849</v>
      </c>
      <c r="F674" s="581">
        <v>5.0</v>
      </c>
      <c r="G674" s="581">
        <v>399.0</v>
      </c>
      <c r="H674" s="47">
        <f t="shared" si="34"/>
        <v>1995</v>
      </c>
      <c r="I674" s="266" t="s">
        <v>3474</v>
      </c>
      <c r="J674" s="333" t="s">
        <v>6027</v>
      </c>
      <c r="K674" s="258">
        <v>42719.0</v>
      </c>
      <c r="L674" s="258">
        <v>42716.0</v>
      </c>
      <c r="M674" s="403" t="s">
        <v>6850</v>
      </c>
      <c r="N674" s="252" t="s">
        <v>10822</v>
      </c>
      <c r="O674" s="581"/>
      <c r="P674" s="1010">
        <v>56700.0</v>
      </c>
      <c r="Q674" s="310" t="s">
        <v>6852</v>
      </c>
      <c r="R674" s="330"/>
      <c r="S674" s="768">
        <v>42712.0</v>
      </c>
      <c r="T674" s="771">
        <v>42713.0</v>
      </c>
      <c r="U674" s="252" t="s">
        <v>10823</v>
      </c>
      <c r="V674" s="1030">
        <v>56700.0</v>
      </c>
      <c r="W674" s="258">
        <v>42712.0</v>
      </c>
      <c r="X674" s="310" t="s">
        <v>10824</v>
      </c>
      <c r="Y674" s="1007"/>
      <c r="Z674" s="1008"/>
      <c r="AA674" s="1007"/>
      <c r="AB674" s="902" t="s">
        <v>284</v>
      </c>
    </row>
    <row r="675" ht="15.75" customHeight="1">
      <c r="A675" s="776">
        <v>42705.0</v>
      </c>
      <c r="B675" s="340" t="s">
        <v>3871</v>
      </c>
      <c r="C675" s="265" t="s">
        <v>10825</v>
      </c>
      <c r="D675" s="310" t="s">
        <v>10826</v>
      </c>
      <c r="E675" s="578" t="s">
        <v>8759</v>
      </c>
      <c r="F675" s="581">
        <v>2.0</v>
      </c>
      <c r="G675" s="581">
        <v>97.0</v>
      </c>
      <c r="H675" s="1202">
        <f t="shared" si="34"/>
        <v>194</v>
      </c>
      <c r="I675" s="266" t="s">
        <v>3874</v>
      </c>
      <c r="J675" s="403" t="s">
        <v>6206</v>
      </c>
      <c r="K675" s="258">
        <v>42716.0</v>
      </c>
      <c r="L675" s="266" t="s">
        <v>10827</v>
      </c>
      <c r="M675" s="403" t="s">
        <v>90</v>
      </c>
      <c r="N675" s="252" t="s">
        <v>10828</v>
      </c>
      <c r="O675" s="581">
        <v>172.2</v>
      </c>
      <c r="P675" s="1006"/>
      <c r="Q675" s="320" t="s">
        <v>6081</v>
      </c>
      <c r="R675" s="330"/>
      <c r="S675" s="768">
        <v>42771.0</v>
      </c>
      <c r="T675" s="252" t="s">
        <v>10829</v>
      </c>
      <c r="U675" s="252" t="s">
        <v>10830</v>
      </c>
      <c r="V675" s="1030" t="s">
        <v>10831</v>
      </c>
      <c r="W675" s="258">
        <v>42724.0</v>
      </c>
      <c r="X675" s="310" t="s">
        <v>10832</v>
      </c>
      <c r="Y675" s="1007"/>
      <c r="Z675" s="1008"/>
      <c r="AA675" s="1007"/>
      <c r="AB675" s="330" t="s">
        <v>284</v>
      </c>
    </row>
    <row r="676" ht="28.5" customHeight="1">
      <c r="A676" s="258">
        <v>42710.0</v>
      </c>
      <c r="B676" s="340" t="s">
        <v>6167</v>
      </c>
      <c r="C676" s="252">
        <v>7.000125991E9</v>
      </c>
      <c r="D676" s="310" t="s">
        <v>10833</v>
      </c>
      <c r="E676" s="578" t="s">
        <v>10834</v>
      </c>
      <c r="F676" s="773">
        <v>2.0</v>
      </c>
      <c r="G676" s="581">
        <v>467.0</v>
      </c>
      <c r="H676" s="47">
        <f t="shared" si="34"/>
        <v>934</v>
      </c>
      <c r="I676" s="266" t="s">
        <v>43</v>
      </c>
      <c r="J676" s="777" t="s">
        <v>3623</v>
      </c>
      <c r="K676" s="258">
        <v>42726.0</v>
      </c>
      <c r="L676" s="258">
        <v>42727.0</v>
      </c>
      <c r="M676" s="266" t="s">
        <v>3593</v>
      </c>
      <c r="N676" s="252" t="s">
        <v>10835</v>
      </c>
      <c r="O676" s="581"/>
      <c r="P676" s="1010">
        <v>28224.0</v>
      </c>
      <c r="Q676" s="310" t="s">
        <v>6122</v>
      </c>
      <c r="R676" s="330"/>
      <c r="S676" s="768">
        <v>42771.0</v>
      </c>
      <c r="T676" s="771">
        <v>42725.0</v>
      </c>
      <c r="U676" s="252" t="s">
        <v>10836</v>
      </c>
      <c r="V676" s="1030">
        <v>28224.0</v>
      </c>
      <c r="W676" s="258">
        <v>42755.0</v>
      </c>
      <c r="X676" s="310" t="s">
        <v>10837</v>
      </c>
      <c r="Y676" s="1007"/>
      <c r="Z676" s="1008"/>
      <c r="AA676" s="1007"/>
      <c r="AB676" s="253" t="s">
        <v>284</v>
      </c>
    </row>
    <row r="677" ht="15.75" customHeight="1" collapsed="1">
      <c r="A677" s="258">
        <v>42710.0</v>
      </c>
      <c r="B677" s="340" t="s">
        <v>6167</v>
      </c>
      <c r="C677" s="252">
        <v>7.000125991E9</v>
      </c>
      <c r="D677" s="310" t="s">
        <v>10833</v>
      </c>
      <c r="E677" s="578" t="s">
        <v>6596</v>
      </c>
      <c r="F677" s="773">
        <v>5.0</v>
      </c>
      <c r="G677" s="581">
        <v>116.0</v>
      </c>
      <c r="H677" s="47">
        <f t="shared" si="34"/>
        <v>580</v>
      </c>
      <c r="I677" s="266" t="s">
        <v>43</v>
      </c>
      <c r="J677" s="777" t="s">
        <v>3623</v>
      </c>
      <c r="K677" s="258">
        <v>42716.0</v>
      </c>
      <c r="L677" s="258">
        <v>42713.0</v>
      </c>
      <c r="M677" s="403" t="s">
        <v>6120</v>
      </c>
      <c r="N677" s="252" t="s">
        <v>10838</v>
      </c>
      <c r="O677" s="581"/>
      <c r="P677" s="1010">
        <v>17005.0</v>
      </c>
      <c r="Q677" s="310" t="s">
        <v>6122</v>
      </c>
      <c r="R677" s="330"/>
      <c r="S677" s="768">
        <v>42771.0</v>
      </c>
      <c r="T677" s="771">
        <v>42712.0</v>
      </c>
      <c r="U677" s="252" t="s">
        <v>10839</v>
      </c>
      <c r="V677" s="1030">
        <v>17005.0</v>
      </c>
      <c r="W677" s="258">
        <v>42755.0</v>
      </c>
      <c r="X677" s="310" t="s">
        <v>10738</v>
      </c>
      <c r="Y677" s="1007"/>
      <c r="Z677" s="1008"/>
      <c r="AA677" s="1007"/>
      <c r="AB677" s="253" t="s">
        <v>284</v>
      </c>
    </row>
    <row r="678" ht="15.75" hidden="1" customHeight="1" outlineLevel="1">
      <c r="A678" s="291">
        <v>42710.0</v>
      </c>
      <c r="B678" s="786" t="s">
        <v>6167</v>
      </c>
      <c r="C678" s="276">
        <v>7.000125991E9</v>
      </c>
      <c r="D678" s="798" t="s">
        <v>10833</v>
      </c>
      <c r="E678" s="1164" t="s">
        <v>10840</v>
      </c>
      <c r="F678" s="930">
        <v>1.0</v>
      </c>
      <c r="G678" s="858"/>
      <c r="H678" s="1208"/>
      <c r="I678" s="797" t="s">
        <v>43</v>
      </c>
      <c r="J678" s="283" t="s">
        <v>71</v>
      </c>
      <c r="K678" s="797" t="s">
        <v>71</v>
      </c>
      <c r="L678" s="837"/>
      <c r="M678" s="797" t="s">
        <v>3593</v>
      </c>
      <c r="N678" s="276"/>
      <c r="O678" s="858"/>
      <c r="P678" s="1022"/>
      <c r="Q678" s="798" t="s">
        <v>6122</v>
      </c>
      <c r="R678" s="582"/>
      <c r="S678" s="1029"/>
      <c r="T678" s="1209"/>
      <c r="U678" s="276"/>
      <c r="V678" s="1210"/>
      <c r="W678" s="1025"/>
      <c r="X678" s="798"/>
      <c r="Y678" s="1020"/>
      <c r="Z678" s="1021"/>
      <c r="AA678" s="1020"/>
      <c r="AB678" s="1211"/>
    </row>
    <row r="679" ht="15.75" customHeight="1">
      <c r="A679" s="776">
        <v>42710.0</v>
      </c>
      <c r="B679" s="340" t="s">
        <v>54</v>
      </c>
      <c r="C679" s="265" t="s">
        <v>10841</v>
      </c>
      <c r="D679" s="310" t="s">
        <v>10842</v>
      </c>
      <c r="E679" s="578" t="s">
        <v>3793</v>
      </c>
      <c r="F679" s="773">
        <v>5.0</v>
      </c>
      <c r="G679" s="254">
        <v>150.15</v>
      </c>
      <c r="H679" s="47">
        <f t="shared" ref="H679:H702" si="35">G679*F679</f>
        <v>750.75</v>
      </c>
      <c r="I679" s="266" t="s">
        <v>8675</v>
      </c>
      <c r="J679" s="333" t="s">
        <v>90</v>
      </c>
      <c r="K679" s="258">
        <v>42716.0</v>
      </c>
      <c r="L679" s="792"/>
      <c r="M679" s="403" t="s">
        <v>90</v>
      </c>
      <c r="N679" s="252" t="s">
        <v>10843</v>
      </c>
      <c r="O679" s="581">
        <v>672.0</v>
      </c>
      <c r="P679" s="1006"/>
      <c r="Q679" s="320" t="s">
        <v>6081</v>
      </c>
      <c r="R679" s="330"/>
      <c r="S679" s="768">
        <v>42771.0</v>
      </c>
      <c r="T679" s="771">
        <v>42718.0</v>
      </c>
      <c r="U679" s="310" t="s">
        <v>10844</v>
      </c>
      <c r="V679" s="1030">
        <v>21457.0</v>
      </c>
      <c r="W679" s="258">
        <v>42724.0</v>
      </c>
      <c r="X679" s="310" t="s">
        <v>10845</v>
      </c>
      <c r="Y679" s="310" t="s">
        <v>10846</v>
      </c>
      <c r="Z679" s="637">
        <v>23919.0</v>
      </c>
      <c r="AA679" s="310" t="s">
        <v>10798</v>
      </c>
      <c r="AB679" s="902"/>
    </row>
    <row r="680" ht="15.75" customHeight="1">
      <c r="A680" s="776">
        <v>42710.0</v>
      </c>
      <c r="B680" s="340" t="s">
        <v>631</v>
      </c>
      <c r="C680" s="265" t="s">
        <v>10847</v>
      </c>
      <c r="D680" s="310" t="s">
        <v>10848</v>
      </c>
      <c r="E680" s="340" t="s">
        <v>4269</v>
      </c>
      <c r="F680" s="581">
        <v>10.0</v>
      </c>
      <c r="G680" s="466">
        <v>164.85</v>
      </c>
      <c r="H680" s="47">
        <f t="shared" si="35"/>
        <v>1648.5</v>
      </c>
      <c r="I680" s="266" t="s">
        <v>171</v>
      </c>
      <c r="J680" s="333" t="s">
        <v>6141</v>
      </c>
      <c r="K680" s="258">
        <v>42726.0</v>
      </c>
      <c r="L680" s="258">
        <v>42725.0</v>
      </c>
      <c r="M680" s="403" t="s">
        <v>2263</v>
      </c>
      <c r="N680" s="252" t="s">
        <v>10849</v>
      </c>
      <c r="O680" s="581"/>
      <c r="P680" s="1010">
        <v>50925.0</v>
      </c>
      <c r="Q680" s="320" t="s">
        <v>2265</v>
      </c>
      <c r="R680" s="330"/>
      <c r="S680" s="810">
        <v>42718.0</v>
      </c>
      <c r="T680" s="771">
        <v>42725.0</v>
      </c>
      <c r="U680" s="310" t="s">
        <v>10850</v>
      </c>
      <c r="V680" s="1030">
        <v>50925.0</v>
      </c>
      <c r="W680" s="258">
        <v>42718.0</v>
      </c>
      <c r="X680" s="310" t="s">
        <v>10851</v>
      </c>
      <c r="Y680" s="310" t="s">
        <v>10852</v>
      </c>
      <c r="Z680" s="637">
        <v>52760.0</v>
      </c>
      <c r="AA680" s="310" t="s">
        <v>10853</v>
      </c>
      <c r="AB680" s="902"/>
    </row>
    <row r="681" ht="15.75" customHeight="1">
      <c r="A681" s="258">
        <v>42711.0</v>
      </c>
      <c r="B681" s="340" t="s">
        <v>3506</v>
      </c>
      <c r="C681" s="265"/>
      <c r="D681" s="310" t="s">
        <v>10854</v>
      </c>
      <c r="E681" s="259" t="s">
        <v>10855</v>
      </c>
      <c r="F681" s="581">
        <v>1.0</v>
      </c>
      <c r="G681" s="581">
        <v>0.0</v>
      </c>
      <c r="H681" s="47">
        <f t="shared" si="35"/>
        <v>0</v>
      </c>
      <c r="I681" s="266" t="s">
        <v>171</v>
      </c>
      <c r="J681" s="403" t="s">
        <v>10676</v>
      </c>
      <c r="K681" s="886">
        <v>42719.0</v>
      </c>
      <c r="L681" s="792"/>
      <c r="M681" s="403" t="s">
        <v>9870</v>
      </c>
      <c r="N681" s="252"/>
      <c r="O681" s="581"/>
      <c r="P681" s="1200" t="s">
        <v>10677</v>
      </c>
      <c r="Q681" s="310"/>
      <c r="R681" s="330"/>
      <c r="S681" s="1032"/>
      <c r="T681" s="771">
        <v>42719.0</v>
      </c>
      <c r="U681" s="252" t="s">
        <v>9867</v>
      </c>
      <c r="V681" s="1200" t="s">
        <v>10677</v>
      </c>
      <c r="W681" s="1019"/>
      <c r="X681" s="310"/>
      <c r="Y681" s="1007"/>
      <c r="Z681" s="1008"/>
      <c r="AA681" s="1007"/>
      <c r="AB681" s="902"/>
    </row>
    <row r="682" ht="15.75" customHeight="1">
      <c r="A682" s="776">
        <v>42711.0</v>
      </c>
      <c r="B682" s="340" t="s">
        <v>101</v>
      </c>
      <c r="C682" s="265"/>
      <c r="D682" s="310" t="s">
        <v>10856</v>
      </c>
      <c r="E682" s="578" t="s">
        <v>10857</v>
      </c>
      <c r="F682" s="581">
        <v>1.0</v>
      </c>
      <c r="G682" s="581">
        <v>100.0</v>
      </c>
      <c r="H682" s="47">
        <f t="shared" si="35"/>
        <v>100</v>
      </c>
      <c r="I682" s="266" t="s">
        <v>3474</v>
      </c>
      <c r="J682" s="333" t="s">
        <v>10720</v>
      </c>
      <c r="K682" s="258">
        <v>42716.0</v>
      </c>
      <c r="L682" s="792"/>
      <c r="M682" s="333" t="s">
        <v>934</v>
      </c>
      <c r="N682" s="252"/>
      <c r="O682" s="581"/>
      <c r="P682" s="852" t="s">
        <v>10858</v>
      </c>
      <c r="Q682" s="310"/>
      <c r="R682" s="330"/>
      <c r="S682" s="1032"/>
      <c r="T682" s="771">
        <v>42727.0</v>
      </c>
      <c r="U682" s="310" t="s">
        <v>10758</v>
      </c>
      <c r="V682" s="266" t="s">
        <v>10859</v>
      </c>
      <c r="W682" s="258">
        <v>42740.0</v>
      </c>
      <c r="X682" s="310" t="s">
        <v>10725</v>
      </c>
      <c r="Y682" s="1007"/>
      <c r="Z682" s="1008"/>
      <c r="AA682" s="1007"/>
      <c r="AB682" s="388" t="s">
        <v>284</v>
      </c>
    </row>
    <row r="683" ht="15.75" customHeight="1">
      <c r="A683" s="776">
        <v>42711.0</v>
      </c>
      <c r="B683" s="340" t="s">
        <v>326</v>
      </c>
      <c r="C683" s="265">
        <v>1607559.0</v>
      </c>
      <c r="D683" s="310" t="s">
        <v>10860</v>
      </c>
      <c r="E683" s="578" t="s">
        <v>10861</v>
      </c>
      <c r="F683" s="581">
        <v>1.0</v>
      </c>
      <c r="G683" s="581">
        <f>235</f>
        <v>235</v>
      </c>
      <c r="H683" s="47">
        <f t="shared" si="35"/>
        <v>235</v>
      </c>
      <c r="I683" s="266" t="s">
        <v>3474</v>
      </c>
      <c r="J683" s="333" t="s">
        <v>3774</v>
      </c>
      <c r="K683" s="258">
        <v>42719.0</v>
      </c>
      <c r="L683" s="258">
        <v>42717.0</v>
      </c>
      <c r="M683" s="403" t="s">
        <v>6120</v>
      </c>
      <c r="N683" s="252" t="s">
        <v>10862</v>
      </c>
      <c r="O683" s="581"/>
      <c r="P683" s="1010">
        <v>7056.0</v>
      </c>
      <c r="Q683" s="310" t="s">
        <v>6122</v>
      </c>
      <c r="R683" s="330"/>
      <c r="S683" s="768">
        <v>42771.0</v>
      </c>
      <c r="T683" s="771">
        <v>42716.0</v>
      </c>
      <c r="U683" s="252" t="s">
        <v>10863</v>
      </c>
      <c r="V683" s="1030">
        <v>7056.0</v>
      </c>
      <c r="W683" s="258">
        <v>42755.0</v>
      </c>
      <c r="X683" s="310" t="s">
        <v>10748</v>
      </c>
      <c r="Y683" s="1007"/>
      <c r="Z683" s="1008"/>
      <c r="AA683" s="1007"/>
      <c r="AB683" s="902" t="s">
        <v>284</v>
      </c>
    </row>
    <row r="684" ht="15.75" customHeight="1">
      <c r="A684" s="258">
        <v>42716.0</v>
      </c>
      <c r="B684" s="340" t="s">
        <v>6167</v>
      </c>
      <c r="C684" s="252">
        <v>7.000126161E9</v>
      </c>
      <c r="D684" s="310" t="s">
        <v>10864</v>
      </c>
      <c r="E684" s="578" t="s">
        <v>6866</v>
      </c>
      <c r="F684" s="581">
        <v>1.0</v>
      </c>
      <c r="G684" s="581">
        <v>262.0</v>
      </c>
      <c r="H684" s="47">
        <f t="shared" si="35"/>
        <v>262</v>
      </c>
      <c r="I684" s="266" t="s">
        <v>43</v>
      </c>
      <c r="J684" s="777" t="s">
        <v>3623</v>
      </c>
      <c r="K684" s="258">
        <v>42724.0</v>
      </c>
      <c r="L684" s="258">
        <v>42724.0</v>
      </c>
      <c r="M684" s="266" t="s">
        <v>3593</v>
      </c>
      <c r="N684" s="252" t="s">
        <v>10865</v>
      </c>
      <c r="O684" s="581"/>
      <c r="P684" s="1010">
        <v>7930.0</v>
      </c>
      <c r="Q684" s="310" t="s">
        <v>6122</v>
      </c>
      <c r="R684" s="330"/>
      <c r="S684" s="768">
        <v>42771.0</v>
      </c>
      <c r="T684" s="771">
        <v>42719.0</v>
      </c>
      <c r="U684" s="252" t="s">
        <v>10866</v>
      </c>
      <c r="V684" s="1030">
        <v>7930.0</v>
      </c>
      <c r="W684" s="258">
        <v>42755.0</v>
      </c>
      <c r="X684" s="310" t="s">
        <v>10867</v>
      </c>
      <c r="Y684" s="1007"/>
      <c r="Z684" s="1008"/>
      <c r="AA684" s="1007"/>
      <c r="AB684" s="253" t="s">
        <v>284</v>
      </c>
    </row>
    <row r="685" ht="15.75" customHeight="1">
      <c r="A685" s="776">
        <v>42717.0</v>
      </c>
      <c r="B685" s="340" t="s">
        <v>77</v>
      </c>
      <c r="C685" s="252">
        <v>1087.0</v>
      </c>
      <c r="D685" s="310" t="s">
        <v>10868</v>
      </c>
      <c r="E685" s="578" t="s">
        <v>9326</v>
      </c>
      <c r="F685" s="773">
        <v>15.0</v>
      </c>
      <c r="G685" s="773">
        <v>285.0</v>
      </c>
      <c r="H685" s="35">
        <f t="shared" si="35"/>
        <v>4275</v>
      </c>
      <c r="I685" s="266" t="s">
        <v>171</v>
      </c>
      <c r="J685" s="269" t="s">
        <v>316</v>
      </c>
      <c r="K685" s="258">
        <v>42726.0</v>
      </c>
      <c r="L685" s="258">
        <v>42724.0</v>
      </c>
      <c r="M685" s="266" t="s">
        <v>1998</v>
      </c>
      <c r="N685" s="252" t="s">
        <v>10869</v>
      </c>
      <c r="O685" s="773">
        <v>3937.5</v>
      </c>
      <c r="P685" s="1006"/>
      <c r="Q685" s="1116" t="s">
        <v>10559</v>
      </c>
      <c r="R685" s="330"/>
      <c r="S685" s="768">
        <v>42771.0</v>
      </c>
      <c r="T685" s="771">
        <v>42723.0</v>
      </c>
      <c r="U685" s="252" t="s">
        <v>10870</v>
      </c>
      <c r="V685" s="1030">
        <v>125843.0</v>
      </c>
      <c r="W685" s="258">
        <v>42807.0</v>
      </c>
      <c r="X685" s="310" t="s">
        <v>10871</v>
      </c>
      <c r="Y685" s="1007"/>
      <c r="Z685" s="1008"/>
      <c r="AA685" s="1007"/>
      <c r="AB685" s="330" t="s">
        <v>284</v>
      </c>
    </row>
    <row r="686" ht="15.75" customHeight="1">
      <c r="A686" s="776">
        <v>42717.0</v>
      </c>
      <c r="B686" s="340" t="s">
        <v>101</v>
      </c>
      <c r="C686" s="252"/>
      <c r="D686" s="310" t="s">
        <v>10872</v>
      </c>
      <c r="E686" s="578" t="s">
        <v>10873</v>
      </c>
      <c r="F686" s="581">
        <v>1.0</v>
      </c>
      <c r="G686" s="581">
        <v>268.0</v>
      </c>
      <c r="H686" s="47">
        <f t="shared" si="35"/>
        <v>268</v>
      </c>
      <c r="I686" s="266" t="s">
        <v>3474</v>
      </c>
      <c r="J686" s="333" t="s">
        <v>6027</v>
      </c>
      <c r="K686" s="258">
        <v>42719.0</v>
      </c>
      <c r="L686" s="792"/>
      <c r="M686" s="333" t="s">
        <v>2032</v>
      </c>
      <c r="N686" s="252"/>
      <c r="O686" s="581"/>
      <c r="P686" s="1189">
        <v>7701.0</v>
      </c>
      <c r="Q686" s="320" t="s">
        <v>2033</v>
      </c>
      <c r="R686" s="330"/>
      <c r="S686" s="768">
        <v>42757.0</v>
      </c>
      <c r="T686" s="771">
        <v>42727.0</v>
      </c>
      <c r="U686" s="310" t="s">
        <v>10699</v>
      </c>
      <c r="V686" s="1030">
        <v>16839.0</v>
      </c>
      <c r="W686" s="258">
        <v>42754.0</v>
      </c>
      <c r="X686" s="310" t="s">
        <v>10824</v>
      </c>
      <c r="Y686" s="1007"/>
      <c r="Z686" s="1008"/>
      <c r="AA686" s="1007"/>
      <c r="AB686" s="902" t="s">
        <v>284</v>
      </c>
    </row>
    <row r="687" ht="15.75" customHeight="1">
      <c r="A687" s="776">
        <v>42718.0</v>
      </c>
      <c r="B687" s="340" t="s">
        <v>6825</v>
      </c>
      <c r="C687" s="252"/>
      <c r="D687" s="310" t="s">
        <v>10874</v>
      </c>
      <c r="E687" s="578" t="s">
        <v>7567</v>
      </c>
      <c r="F687" s="581">
        <v>20.0</v>
      </c>
      <c r="G687" s="581">
        <v>107.0</v>
      </c>
      <c r="H687" s="267">
        <f t="shared" si="35"/>
        <v>2140</v>
      </c>
      <c r="I687" s="266" t="s">
        <v>3474</v>
      </c>
      <c r="J687" s="333" t="s">
        <v>5360</v>
      </c>
      <c r="K687" s="258">
        <v>42731.0</v>
      </c>
      <c r="L687" s="258">
        <v>42731.0</v>
      </c>
      <c r="M687" s="403" t="s">
        <v>90</v>
      </c>
      <c r="N687" s="252" t="s">
        <v>10874</v>
      </c>
      <c r="O687" s="581">
        <v>2016.0</v>
      </c>
      <c r="P687" s="1006"/>
      <c r="Q687" s="320" t="s">
        <v>6081</v>
      </c>
      <c r="R687" s="330"/>
      <c r="S687" s="768">
        <v>42799.0</v>
      </c>
      <c r="T687" s="771">
        <v>42730.0</v>
      </c>
      <c r="U687" s="252" t="s">
        <v>10875</v>
      </c>
      <c r="V687" s="1030">
        <v>64230.0</v>
      </c>
      <c r="W687" s="258">
        <v>42801.0</v>
      </c>
      <c r="X687" s="310" t="s">
        <v>10876</v>
      </c>
      <c r="Y687" s="1007"/>
      <c r="Z687" s="1008"/>
      <c r="AA687" s="1007"/>
      <c r="AB687" s="330" t="s">
        <v>284</v>
      </c>
    </row>
    <row r="688" ht="15.75" customHeight="1">
      <c r="A688" s="776">
        <v>42723.0</v>
      </c>
      <c r="B688" s="340" t="s">
        <v>6167</v>
      </c>
      <c r="C688" s="252">
        <v>7.000126291E9</v>
      </c>
      <c r="D688" s="310" t="s">
        <v>10877</v>
      </c>
      <c r="E688" s="578" t="s">
        <v>3676</v>
      </c>
      <c r="F688" s="581">
        <v>1.0</v>
      </c>
      <c r="G688" s="581">
        <v>46.0</v>
      </c>
      <c r="H688" s="47">
        <f t="shared" si="35"/>
        <v>46</v>
      </c>
      <c r="I688" s="266" t="s">
        <v>43</v>
      </c>
      <c r="J688" s="777" t="s">
        <v>3623</v>
      </c>
      <c r="K688" s="258">
        <v>42726.0</v>
      </c>
      <c r="L688" s="258">
        <v>42726.0</v>
      </c>
      <c r="M688" s="266" t="s">
        <v>3593</v>
      </c>
      <c r="N688" s="252" t="s">
        <v>10878</v>
      </c>
      <c r="O688" s="581"/>
      <c r="P688" s="1010">
        <v>1342.0</v>
      </c>
      <c r="Q688" s="310" t="s">
        <v>6122</v>
      </c>
      <c r="R688" s="330"/>
      <c r="S688" s="768">
        <v>42771.0</v>
      </c>
      <c r="T688" s="771">
        <v>42724.0</v>
      </c>
      <c r="U688" s="252" t="s">
        <v>10879</v>
      </c>
      <c r="V688" s="1030">
        <v>21670.0</v>
      </c>
      <c r="W688" s="258">
        <v>42755.0</v>
      </c>
      <c r="X688" s="310" t="s">
        <v>10837</v>
      </c>
      <c r="Y688" s="1007"/>
      <c r="Z688" s="1008"/>
      <c r="AA688" s="1007"/>
      <c r="AB688" s="253" t="s">
        <v>284</v>
      </c>
    </row>
    <row r="689" ht="15.75" customHeight="1">
      <c r="A689" s="776">
        <v>42723.0</v>
      </c>
      <c r="B689" s="340" t="s">
        <v>6167</v>
      </c>
      <c r="C689" s="252">
        <v>7.000126291E9</v>
      </c>
      <c r="D689" s="310" t="s">
        <v>10877</v>
      </c>
      <c r="E689" s="578" t="s">
        <v>3720</v>
      </c>
      <c r="F689" s="581">
        <v>2.0</v>
      </c>
      <c r="G689" s="581">
        <v>4.5</v>
      </c>
      <c r="H689" s="267">
        <f t="shared" si="35"/>
        <v>9</v>
      </c>
      <c r="I689" s="266" t="s">
        <v>43</v>
      </c>
      <c r="J689" s="777" t="s">
        <v>3623</v>
      </c>
      <c r="K689" s="258">
        <v>42726.0</v>
      </c>
      <c r="L689" s="258">
        <v>42726.0</v>
      </c>
      <c r="M689" s="266" t="s">
        <v>3593</v>
      </c>
      <c r="N689" s="252" t="s">
        <v>10878</v>
      </c>
      <c r="O689" s="581"/>
      <c r="P689" s="578">
        <v>210.0</v>
      </c>
      <c r="Q689" s="310" t="s">
        <v>6122</v>
      </c>
      <c r="R689" s="330"/>
      <c r="S689" s="768">
        <v>42771.0</v>
      </c>
      <c r="T689" s="771">
        <v>42724.0</v>
      </c>
      <c r="U689" s="252" t="s">
        <v>10879</v>
      </c>
      <c r="V689" s="1030" t="s">
        <v>10880</v>
      </c>
      <c r="W689" s="258">
        <v>42755.0</v>
      </c>
      <c r="X689" s="310" t="s">
        <v>10837</v>
      </c>
      <c r="Y689" s="1007"/>
      <c r="Z689" s="1008"/>
      <c r="AA689" s="1007"/>
      <c r="AB689" s="253" t="s">
        <v>284</v>
      </c>
    </row>
    <row r="690" ht="15.75" customHeight="1">
      <c r="A690" s="776">
        <v>42723.0</v>
      </c>
      <c r="B690" s="340" t="s">
        <v>6167</v>
      </c>
      <c r="C690" s="252">
        <v>7.000126291E9</v>
      </c>
      <c r="D690" s="310" t="s">
        <v>10877</v>
      </c>
      <c r="E690" s="578" t="s">
        <v>3728</v>
      </c>
      <c r="F690" s="581">
        <v>2.0</v>
      </c>
      <c r="G690" s="581">
        <v>37.0</v>
      </c>
      <c r="H690" s="267">
        <f t="shared" si="35"/>
        <v>74</v>
      </c>
      <c r="I690" s="266" t="s">
        <v>43</v>
      </c>
      <c r="J690" s="777" t="s">
        <v>3623</v>
      </c>
      <c r="K690" s="258">
        <v>42726.0</v>
      </c>
      <c r="L690" s="258">
        <v>42726.0</v>
      </c>
      <c r="M690" s="266" t="s">
        <v>3593</v>
      </c>
      <c r="N690" s="252" t="s">
        <v>10878</v>
      </c>
      <c r="O690" s="581"/>
      <c r="P690" s="1010">
        <v>2188.0</v>
      </c>
      <c r="Q690" s="310" t="s">
        <v>6122</v>
      </c>
      <c r="R690" s="330"/>
      <c r="S690" s="768">
        <v>42771.0</v>
      </c>
      <c r="T690" s="771">
        <v>42724.0</v>
      </c>
      <c r="U690" s="252" t="s">
        <v>10879</v>
      </c>
      <c r="V690" s="1030" t="s">
        <v>10880</v>
      </c>
      <c r="W690" s="258">
        <v>42755.0</v>
      </c>
      <c r="X690" s="310" t="s">
        <v>10837</v>
      </c>
      <c r="Y690" s="1007"/>
      <c r="Z690" s="1008"/>
      <c r="AA690" s="1007"/>
      <c r="AB690" s="253" t="s">
        <v>284</v>
      </c>
    </row>
    <row r="691" ht="15.75" customHeight="1">
      <c r="A691" s="776">
        <v>42723.0</v>
      </c>
      <c r="B691" s="340" t="s">
        <v>6167</v>
      </c>
      <c r="C691" s="252">
        <v>7.000126291E9</v>
      </c>
      <c r="D691" s="310" t="s">
        <v>10877</v>
      </c>
      <c r="E691" s="578" t="s">
        <v>3724</v>
      </c>
      <c r="F691" s="581">
        <v>2.0</v>
      </c>
      <c r="G691" s="581">
        <v>8.5</v>
      </c>
      <c r="H691" s="267">
        <f t="shared" si="35"/>
        <v>17</v>
      </c>
      <c r="I691" s="266" t="s">
        <v>43</v>
      </c>
      <c r="J691" s="777" t="s">
        <v>3623</v>
      </c>
      <c r="K691" s="258">
        <v>42726.0</v>
      </c>
      <c r="L691" s="258">
        <v>42726.0</v>
      </c>
      <c r="M691" s="266" t="s">
        <v>3593</v>
      </c>
      <c r="N691" s="252" t="s">
        <v>10878</v>
      </c>
      <c r="O691" s="581"/>
      <c r="P691" s="578">
        <v>408.0</v>
      </c>
      <c r="Q691" s="310" t="s">
        <v>6122</v>
      </c>
      <c r="R691" s="330"/>
      <c r="S691" s="768">
        <v>42771.0</v>
      </c>
      <c r="T691" s="771">
        <v>42724.0</v>
      </c>
      <c r="U691" s="252" t="s">
        <v>10879</v>
      </c>
      <c r="V691" s="1030" t="s">
        <v>10880</v>
      </c>
      <c r="W691" s="258">
        <v>42755.0</v>
      </c>
      <c r="X691" s="310" t="s">
        <v>10837</v>
      </c>
      <c r="Y691" s="1007"/>
      <c r="Z691" s="1008"/>
      <c r="AA691" s="1007"/>
      <c r="AB691" s="253" t="s">
        <v>284</v>
      </c>
    </row>
    <row r="692" ht="15.75" customHeight="1">
      <c r="A692" s="776">
        <v>42723.0</v>
      </c>
      <c r="B692" s="340" t="s">
        <v>6167</v>
      </c>
      <c r="C692" s="252">
        <v>7.000126291E9</v>
      </c>
      <c r="D692" s="310" t="s">
        <v>10877</v>
      </c>
      <c r="E692" s="578" t="s">
        <v>3726</v>
      </c>
      <c r="F692" s="581">
        <v>2.0</v>
      </c>
      <c r="G692" s="581">
        <v>236.0</v>
      </c>
      <c r="H692" s="267">
        <f t="shared" si="35"/>
        <v>472</v>
      </c>
      <c r="I692" s="266" t="s">
        <v>43</v>
      </c>
      <c r="J692" s="777" t="s">
        <v>3623</v>
      </c>
      <c r="K692" s="258">
        <v>42726.0</v>
      </c>
      <c r="L692" s="258">
        <v>42726.0</v>
      </c>
      <c r="M692" s="266" t="s">
        <v>3593</v>
      </c>
      <c r="N692" s="252" t="s">
        <v>10878</v>
      </c>
      <c r="O692" s="581"/>
      <c r="P692" s="1010">
        <v>14246.0</v>
      </c>
      <c r="Q692" s="310" t="s">
        <v>6122</v>
      </c>
      <c r="R692" s="330"/>
      <c r="S692" s="768">
        <v>42771.0</v>
      </c>
      <c r="T692" s="771">
        <v>42724.0</v>
      </c>
      <c r="U692" s="252" t="s">
        <v>10879</v>
      </c>
      <c r="V692" s="1030" t="s">
        <v>10880</v>
      </c>
      <c r="W692" s="258">
        <v>42755.0</v>
      </c>
      <c r="X692" s="310" t="s">
        <v>10837</v>
      </c>
      <c r="Y692" s="1007"/>
      <c r="Z692" s="1008"/>
      <c r="AA692" s="1007"/>
      <c r="AB692" s="253" t="s">
        <v>284</v>
      </c>
    </row>
    <row r="693" ht="15.75" customHeight="1">
      <c r="A693" s="776">
        <v>42723.0</v>
      </c>
      <c r="B693" s="340" t="s">
        <v>6167</v>
      </c>
      <c r="C693" s="252">
        <v>7.000126291E9</v>
      </c>
      <c r="D693" s="310" t="s">
        <v>10877</v>
      </c>
      <c r="E693" s="578" t="s">
        <v>3727</v>
      </c>
      <c r="F693" s="581">
        <v>2.0</v>
      </c>
      <c r="G693" s="581">
        <v>55.0</v>
      </c>
      <c r="H693" s="267">
        <f t="shared" si="35"/>
        <v>110</v>
      </c>
      <c r="I693" s="266" t="s">
        <v>43</v>
      </c>
      <c r="J693" s="777" t="s">
        <v>3623</v>
      </c>
      <c r="K693" s="258">
        <v>42726.0</v>
      </c>
      <c r="L693" s="258">
        <v>42726.0</v>
      </c>
      <c r="M693" s="266" t="s">
        <v>3593</v>
      </c>
      <c r="N693" s="252" t="s">
        <v>10878</v>
      </c>
      <c r="O693" s="581"/>
      <c r="P693" s="1010">
        <v>3276.0</v>
      </c>
      <c r="Q693" s="310" t="s">
        <v>6122</v>
      </c>
      <c r="R693" s="330"/>
      <c r="S693" s="768">
        <v>42771.0</v>
      </c>
      <c r="T693" s="771">
        <v>42724.0</v>
      </c>
      <c r="U693" s="252" t="s">
        <v>10879</v>
      </c>
      <c r="V693" s="1030" t="s">
        <v>10880</v>
      </c>
      <c r="W693" s="258">
        <v>42755.0</v>
      </c>
      <c r="X693" s="310" t="s">
        <v>10837</v>
      </c>
      <c r="Y693" s="1007"/>
      <c r="Z693" s="1008"/>
      <c r="AA693" s="1007"/>
      <c r="AB693" s="253" t="s">
        <v>284</v>
      </c>
    </row>
    <row r="694" ht="15.75" customHeight="1">
      <c r="A694" s="776">
        <v>42724.0</v>
      </c>
      <c r="B694" s="252" t="s">
        <v>101</v>
      </c>
      <c r="C694" s="252"/>
      <c r="D694" s="310" t="s">
        <v>10881</v>
      </c>
      <c r="E694" s="578" t="s">
        <v>10882</v>
      </c>
      <c r="F694" s="581">
        <v>1.0</v>
      </c>
      <c r="G694" s="581">
        <v>40.0</v>
      </c>
      <c r="H694" s="267">
        <f t="shared" si="35"/>
        <v>40</v>
      </c>
      <c r="I694" s="266" t="s">
        <v>3474</v>
      </c>
      <c r="J694" s="333" t="s">
        <v>6027</v>
      </c>
      <c r="K694" s="258">
        <v>42724.0</v>
      </c>
      <c r="L694" s="832">
        <v>42724.0</v>
      </c>
      <c r="M694" s="333" t="s">
        <v>2032</v>
      </c>
      <c r="N694" s="252"/>
      <c r="O694" s="581"/>
      <c r="P694" s="1189">
        <v>2790.0</v>
      </c>
      <c r="Q694" s="320" t="s">
        <v>2033</v>
      </c>
      <c r="R694" s="330"/>
      <c r="S694" s="768">
        <v>42757.0</v>
      </c>
      <c r="T694" s="771">
        <v>42727.0</v>
      </c>
      <c r="U694" s="310" t="s">
        <v>10699</v>
      </c>
      <c r="V694" s="266" t="s">
        <v>10700</v>
      </c>
      <c r="W694" s="258">
        <v>42754.0</v>
      </c>
      <c r="X694" s="310" t="s">
        <v>10443</v>
      </c>
      <c r="Y694" s="1007"/>
      <c r="Z694" s="1008"/>
      <c r="AA694" s="1007"/>
      <c r="AB694" s="902" t="s">
        <v>284</v>
      </c>
    </row>
    <row r="695" ht="15.75" customHeight="1">
      <c r="A695" s="776">
        <v>42724.0</v>
      </c>
      <c r="B695" s="340" t="s">
        <v>101</v>
      </c>
      <c r="C695" s="252" t="s">
        <v>10883</v>
      </c>
      <c r="D695" s="310" t="s">
        <v>10884</v>
      </c>
      <c r="E695" s="578" t="s">
        <v>10885</v>
      </c>
      <c r="F695" s="581">
        <v>8.0</v>
      </c>
      <c r="G695" s="581">
        <v>1131.0</v>
      </c>
      <c r="H695" s="267">
        <f t="shared" si="35"/>
        <v>9048</v>
      </c>
      <c r="I695" s="266" t="s">
        <v>3474</v>
      </c>
      <c r="J695" s="333" t="s">
        <v>6027</v>
      </c>
      <c r="K695" s="258">
        <v>42733.0</v>
      </c>
      <c r="L695" s="258">
        <v>42733.0</v>
      </c>
      <c r="M695" s="333" t="s">
        <v>1439</v>
      </c>
      <c r="N695" s="252" t="s">
        <v>10886</v>
      </c>
      <c r="O695" s="581"/>
      <c r="P695" s="1010">
        <v>267456.0</v>
      </c>
      <c r="Q695" s="320" t="s">
        <v>1976</v>
      </c>
      <c r="R695" s="330"/>
      <c r="S695" s="768">
        <v>42740.0</v>
      </c>
      <c r="T695" s="771">
        <v>42732.0</v>
      </c>
      <c r="U695" s="252" t="s">
        <v>10887</v>
      </c>
      <c r="V695" s="1030">
        <v>267456.0</v>
      </c>
      <c r="W695" s="258">
        <v>42744.0</v>
      </c>
      <c r="X695" s="310" t="s">
        <v>10888</v>
      </c>
      <c r="Y695" s="1007"/>
      <c r="Z695" s="1008"/>
      <c r="AA695" s="1007"/>
      <c r="AB695" s="902" t="s">
        <v>284</v>
      </c>
    </row>
    <row r="696" ht="15.75" customHeight="1">
      <c r="A696" s="776">
        <v>42724.0</v>
      </c>
      <c r="B696" s="340" t="s">
        <v>101</v>
      </c>
      <c r="C696" s="252" t="s">
        <v>10883</v>
      </c>
      <c r="D696" s="310" t="s">
        <v>10884</v>
      </c>
      <c r="E696" s="578" t="s">
        <v>10889</v>
      </c>
      <c r="F696" s="581">
        <v>8.0</v>
      </c>
      <c r="G696" s="581">
        <v>70.0</v>
      </c>
      <c r="H696" s="267">
        <f t="shared" si="35"/>
        <v>560</v>
      </c>
      <c r="I696" s="266" t="s">
        <v>3474</v>
      </c>
      <c r="J696" s="333" t="s">
        <v>6027</v>
      </c>
      <c r="K696" s="258">
        <v>42733.0</v>
      </c>
      <c r="L696" s="258">
        <v>42727.0</v>
      </c>
      <c r="M696" s="403" t="s">
        <v>10890</v>
      </c>
      <c r="N696" s="252" t="s">
        <v>10891</v>
      </c>
      <c r="O696" s="581"/>
      <c r="P696" s="1010">
        <v>13037.0</v>
      </c>
      <c r="Q696" s="310" t="s">
        <v>6228</v>
      </c>
      <c r="R696" s="330"/>
      <c r="S696" s="768">
        <v>42726.0</v>
      </c>
      <c r="T696" s="771">
        <v>42727.0</v>
      </c>
      <c r="U696" s="310" t="s">
        <v>10892</v>
      </c>
      <c r="V696" s="1030">
        <v>13037.0</v>
      </c>
      <c r="W696" s="258">
        <v>42726.0</v>
      </c>
      <c r="X696" s="310" t="s">
        <v>10888</v>
      </c>
      <c r="Y696" s="1007"/>
      <c r="Z696" s="1008"/>
      <c r="AA696" s="1007"/>
      <c r="AB696" s="902" t="s">
        <v>284</v>
      </c>
    </row>
    <row r="697" ht="15.75" customHeight="1">
      <c r="A697" s="776">
        <v>42719.0</v>
      </c>
      <c r="B697" s="340" t="s">
        <v>101</v>
      </c>
      <c r="C697" s="252" t="s">
        <v>10893</v>
      </c>
      <c r="D697" s="252" t="s">
        <v>10894</v>
      </c>
      <c r="E697" s="604" t="s">
        <v>10895</v>
      </c>
      <c r="F697" s="254">
        <v>1.0</v>
      </c>
      <c r="G697" s="254">
        <v>761.0</v>
      </c>
      <c r="H697" s="267">
        <f t="shared" si="35"/>
        <v>761</v>
      </c>
      <c r="I697" s="266" t="s">
        <v>3474</v>
      </c>
      <c r="J697" s="333" t="s">
        <v>6027</v>
      </c>
      <c r="K697" s="258">
        <v>42733.0</v>
      </c>
      <c r="L697" s="258">
        <v>42733.0</v>
      </c>
      <c r="M697" s="333" t="s">
        <v>2028</v>
      </c>
      <c r="N697" s="252" t="s">
        <v>10896</v>
      </c>
      <c r="O697" s="581"/>
      <c r="P697" s="1010">
        <v>22980.0</v>
      </c>
      <c r="Q697" s="340" t="s">
        <v>2030</v>
      </c>
      <c r="R697" s="330"/>
      <c r="S697" s="768">
        <v>42730.0</v>
      </c>
      <c r="T697" s="771">
        <v>42732.0</v>
      </c>
      <c r="U697" s="252" t="s">
        <v>10897</v>
      </c>
      <c r="V697" s="1030">
        <v>27577.0</v>
      </c>
      <c r="W697" s="258">
        <v>42730.0</v>
      </c>
      <c r="X697" s="310" t="s">
        <v>10888</v>
      </c>
      <c r="Y697" s="1007"/>
      <c r="Z697" s="1008"/>
      <c r="AA697" s="1007"/>
      <c r="AB697" s="902" t="s">
        <v>284</v>
      </c>
    </row>
    <row r="698" ht="15.75" customHeight="1">
      <c r="A698" s="776">
        <v>42719.0</v>
      </c>
      <c r="B698" s="340" t="s">
        <v>101</v>
      </c>
      <c r="C698" s="252" t="s">
        <v>10893</v>
      </c>
      <c r="D698" s="252" t="s">
        <v>10894</v>
      </c>
      <c r="E698" s="340" t="s">
        <v>6674</v>
      </c>
      <c r="F698" s="254">
        <v>1.0</v>
      </c>
      <c r="G698" s="254">
        <v>352.0</v>
      </c>
      <c r="H698" s="267">
        <f t="shared" si="35"/>
        <v>352</v>
      </c>
      <c r="I698" s="266" t="s">
        <v>3474</v>
      </c>
      <c r="J698" s="333" t="s">
        <v>6027</v>
      </c>
      <c r="K698" s="258">
        <v>42733.0</v>
      </c>
      <c r="L698" s="258">
        <v>42727.0</v>
      </c>
      <c r="M698" s="333" t="s">
        <v>10233</v>
      </c>
      <c r="N698" s="252" t="s">
        <v>10898</v>
      </c>
      <c r="O698" s="581"/>
      <c r="P698" s="1010">
        <v>9561.0</v>
      </c>
      <c r="Q698" s="320" t="s">
        <v>3916</v>
      </c>
      <c r="R698" s="330"/>
      <c r="S698" s="810">
        <v>42726.0</v>
      </c>
      <c r="T698" s="771">
        <v>42726.0</v>
      </c>
      <c r="U698" s="252" t="s">
        <v>10899</v>
      </c>
      <c r="V698" s="1030">
        <v>9561.0</v>
      </c>
      <c r="W698" s="258">
        <v>42726.0</v>
      </c>
      <c r="X698" s="310" t="s">
        <v>10888</v>
      </c>
      <c r="Y698" s="1007"/>
      <c r="Z698" s="1008"/>
      <c r="AA698" s="1007"/>
      <c r="AB698" s="902" t="s">
        <v>284</v>
      </c>
    </row>
    <row r="699" ht="15.75" customHeight="1">
      <c r="A699" s="776">
        <v>42719.0</v>
      </c>
      <c r="B699" s="340" t="s">
        <v>101</v>
      </c>
      <c r="C699" s="252" t="s">
        <v>10893</v>
      </c>
      <c r="D699" s="252" t="s">
        <v>10894</v>
      </c>
      <c r="E699" s="604" t="s">
        <v>7497</v>
      </c>
      <c r="F699" s="254">
        <v>1.0</v>
      </c>
      <c r="G699" s="254">
        <v>138.0</v>
      </c>
      <c r="H699" s="267">
        <f t="shared" si="35"/>
        <v>138</v>
      </c>
      <c r="I699" s="266" t="s">
        <v>3474</v>
      </c>
      <c r="J699" s="333" t="s">
        <v>6027</v>
      </c>
      <c r="K699" s="258">
        <v>42733.0</v>
      </c>
      <c r="L699" s="258">
        <v>42727.0</v>
      </c>
      <c r="M699" s="403" t="s">
        <v>10230</v>
      </c>
      <c r="N699" s="252" t="s">
        <v>10900</v>
      </c>
      <c r="O699" s="581"/>
      <c r="P699" s="1010">
        <v>3711.0</v>
      </c>
      <c r="Q699" s="320" t="s">
        <v>2172</v>
      </c>
      <c r="R699" s="330"/>
      <c r="S699" s="768">
        <v>42725.0</v>
      </c>
      <c r="T699" s="771">
        <v>42726.0</v>
      </c>
      <c r="U699" s="252" t="s">
        <v>10901</v>
      </c>
      <c r="V699" s="1030">
        <v>3711.0</v>
      </c>
      <c r="W699" s="258">
        <v>42725.0</v>
      </c>
      <c r="X699" s="310" t="s">
        <v>10888</v>
      </c>
      <c r="Y699" s="1007"/>
      <c r="Z699" s="1008"/>
      <c r="AA699" s="1007"/>
      <c r="AB699" s="902" t="s">
        <v>284</v>
      </c>
    </row>
    <row r="700" ht="15.75" customHeight="1">
      <c r="A700" s="776">
        <v>42719.0</v>
      </c>
      <c r="B700" s="340" t="s">
        <v>101</v>
      </c>
      <c r="C700" s="252" t="s">
        <v>10893</v>
      </c>
      <c r="D700" s="252" t="s">
        <v>10894</v>
      </c>
      <c r="E700" s="604" t="s">
        <v>10902</v>
      </c>
      <c r="F700" s="254">
        <v>1.0</v>
      </c>
      <c r="G700" s="254">
        <v>78.0</v>
      </c>
      <c r="H700" s="267">
        <f t="shared" si="35"/>
        <v>78</v>
      </c>
      <c r="I700" s="266" t="s">
        <v>3474</v>
      </c>
      <c r="J700" s="333" t="s">
        <v>6027</v>
      </c>
      <c r="K700" s="258">
        <v>42733.0</v>
      </c>
      <c r="L700" s="258">
        <v>42733.0</v>
      </c>
      <c r="M700" s="333" t="s">
        <v>2028</v>
      </c>
      <c r="N700" s="252" t="s">
        <v>10896</v>
      </c>
      <c r="O700" s="581"/>
      <c r="P700" s="1010">
        <v>2349.0</v>
      </c>
      <c r="Q700" s="340" t="s">
        <v>2030</v>
      </c>
      <c r="R700" s="330"/>
      <c r="S700" s="768">
        <v>42730.0</v>
      </c>
      <c r="T700" s="771">
        <v>42732.0</v>
      </c>
      <c r="U700" s="252" t="s">
        <v>10897</v>
      </c>
      <c r="V700" s="1030" t="s">
        <v>5650</v>
      </c>
      <c r="W700" s="258">
        <v>42730.0</v>
      </c>
      <c r="X700" s="310" t="s">
        <v>10888</v>
      </c>
      <c r="Y700" s="1007"/>
      <c r="Z700" s="1008"/>
      <c r="AA700" s="1007"/>
      <c r="AB700" s="902" t="s">
        <v>284</v>
      </c>
    </row>
    <row r="701" ht="15.75" customHeight="1">
      <c r="A701" s="776">
        <v>42719.0</v>
      </c>
      <c r="B701" s="340" t="s">
        <v>101</v>
      </c>
      <c r="C701" s="252" t="s">
        <v>10893</v>
      </c>
      <c r="D701" s="252" t="s">
        <v>10894</v>
      </c>
      <c r="E701" s="604" t="s">
        <v>7490</v>
      </c>
      <c r="F701" s="254">
        <v>1.0</v>
      </c>
      <c r="G701" s="254">
        <v>74.0</v>
      </c>
      <c r="H701" s="267">
        <f t="shared" si="35"/>
        <v>74</v>
      </c>
      <c r="I701" s="266" t="s">
        <v>3474</v>
      </c>
      <c r="J701" s="333" t="s">
        <v>6027</v>
      </c>
      <c r="K701" s="258">
        <v>42733.0</v>
      </c>
      <c r="L701" s="258">
        <v>42733.0</v>
      </c>
      <c r="M701" s="333" t="s">
        <v>2028</v>
      </c>
      <c r="N701" s="252" t="s">
        <v>10896</v>
      </c>
      <c r="O701" s="581"/>
      <c r="P701" s="1010">
        <v>2248.0</v>
      </c>
      <c r="Q701" s="340" t="s">
        <v>2030</v>
      </c>
      <c r="R701" s="330"/>
      <c r="S701" s="768">
        <v>42730.0</v>
      </c>
      <c r="T701" s="771">
        <v>42732.0</v>
      </c>
      <c r="U701" s="252" t="s">
        <v>10897</v>
      </c>
      <c r="V701" s="1030" t="s">
        <v>5650</v>
      </c>
      <c r="W701" s="258">
        <v>42730.0</v>
      </c>
      <c r="X701" s="310" t="s">
        <v>10888</v>
      </c>
      <c r="Y701" s="1007"/>
      <c r="Z701" s="1008"/>
      <c r="AA701" s="1007"/>
      <c r="AB701" s="902" t="s">
        <v>284</v>
      </c>
    </row>
    <row r="702" ht="14.25" customHeight="1">
      <c r="A702" s="601">
        <v>42733.0</v>
      </c>
      <c r="B702" s="340" t="s">
        <v>101</v>
      </c>
      <c r="C702" s="765"/>
      <c r="D702" s="330" t="s">
        <v>10903</v>
      </c>
      <c r="E702" s="604" t="s">
        <v>10904</v>
      </c>
      <c r="F702" s="330">
        <v>1.0</v>
      </c>
      <c r="G702" s="330">
        <v>285.0</v>
      </c>
      <c r="H702" s="267">
        <f t="shared" si="35"/>
        <v>285</v>
      </c>
      <c r="I702" s="266" t="s">
        <v>3474</v>
      </c>
      <c r="J702" s="333" t="s">
        <v>6027</v>
      </c>
      <c r="K702" s="258">
        <v>42733.0</v>
      </c>
      <c r="L702" s="330"/>
      <c r="M702" s="333" t="s">
        <v>2032</v>
      </c>
      <c r="N702" s="330"/>
      <c r="O702" s="330"/>
      <c r="P702" s="637">
        <v>8168.0</v>
      </c>
      <c r="Q702" s="320" t="s">
        <v>2033</v>
      </c>
      <c r="R702" s="330"/>
      <c r="S702" s="768">
        <v>42774.0</v>
      </c>
      <c r="T702" s="771">
        <v>42744.0</v>
      </c>
      <c r="U702" s="310" t="s">
        <v>10905</v>
      </c>
      <c r="V702" s="1030">
        <v>8168.0</v>
      </c>
      <c r="W702" s="601">
        <v>42769.0</v>
      </c>
      <c r="X702" s="310" t="s">
        <v>10888</v>
      </c>
      <c r="Y702" s="330"/>
      <c r="Z702" s="330"/>
      <c r="AA702" s="330"/>
      <c r="AB702" s="902" t="s">
        <v>284</v>
      </c>
    </row>
    <row r="703" ht="15.75" customHeight="1">
      <c r="A703" s="963"/>
      <c r="B703" s="340"/>
      <c r="C703" s="70"/>
      <c r="D703" s="20"/>
      <c r="E703" s="51"/>
      <c r="F703" s="693"/>
      <c r="G703" s="693"/>
      <c r="H703" s="1212"/>
      <c r="I703" s="27"/>
      <c r="J703" s="349"/>
      <c r="K703" s="1213"/>
      <c r="L703" s="521"/>
      <c r="M703" s="349"/>
      <c r="N703" s="521"/>
      <c r="O703" s="521"/>
      <c r="P703" s="521"/>
      <c r="Q703" s="521"/>
      <c r="R703" s="521"/>
      <c r="S703" s="521"/>
      <c r="T703" s="974"/>
      <c r="U703" s="974"/>
      <c r="V703" s="974"/>
      <c r="W703" s="1214"/>
      <c r="X703" s="974"/>
      <c r="Y703" s="974"/>
      <c r="Z703" s="974"/>
      <c r="AA703" s="974"/>
      <c r="AB703" s="974"/>
    </row>
    <row r="704" ht="15.75" customHeight="1">
      <c r="A704" s="91"/>
      <c r="B704" s="952"/>
      <c r="C704" s="91"/>
      <c r="D704" s="91"/>
      <c r="E704" s="91"/>
      <c r="F704" s="91"/>
      <c r="G704" s="91"/>
      <c r="H704" s="1215">
        <f>SUM(H2:H703)</f>
        <v>1228391.374</v>
      </c>
      <c r="I704" s="57"/>
      <c r="J704" s="91"/>
      <c r="K704" s="1216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57"/>
      <c r="X704" s="91"/>
      <c r="Y704" s="91"/>
      <c r="Z704" s="91"/>
      <c r="AA704" s="91"/>
      <c r="AB704" s="91"/>
    </row>
    <row r="705" ht="15.75" customHeight="1">
      <c r="A705" s="57"/>
      <c r="B705" s="952"/>
      <c r="C705" s="241"/>
      <c r="D705" s="91"/>
      <c r="E705" s="91"/>
      <c r="F705" s="91"/>
      <c r="G705" s="91"/>
      <c r="H705" s="91"/>
      <c r="I705" s="57"/>
      <c r="J705" s="91"/>
      <c r="K705" s="1216"/>
      <c r="L705" s="91"/>
      <c r="M705" s="91"/>
      <c r="N705" s="91"/>
      <c r="O705" s="91"/>
      <c r="P705" s="91"/>
      <c r="Q705" s="91"/>
      <c r="R705" s="91"/>
      <c r="S705" s="91"/>
      <c r="T705" s="91"/>
      <c r="U705" s="57"/>
      <c r="V705" s="91"/>
      <c r="W705" s="57"/>
      <c r="X705" s="91"/>
      <c r="Y705" s="91"/>
      <c r="Z705" s="91"/>
      <c r="AA705" s="91"/>
      <c r="AB705" s="91"/>
    </row>
    <row r="706" ht="15.75" customHeight="1">
      <c r="A706" s="57"/>
      <c r="B706" s="952" t="s">
        <v>8651</v>
      </c>
      <c r="C706" s="241"/>
      <c r="D706" s="91"/>
      <c r="E706" s="91"/>
      <c r="F706" s="91"/>
      <c r="G706" s="91"/>
      <c r="H706" s="91"/>
      <c r="I706" s="57"/>
      <c r="J706" s="91"/>
      <c r="K706" s="1216"/>
      <c r="L706" s="91"/>
      <c r="M706" s="91"/>
      <c r="N706" s="91"/>
      <c r="O706" s="91"/>
      <c r="P706" s="91"/>
      <c r="Q706" s="91"/>
      <c r="R706" s="91"/>
      <c r="S706" s="91"/>
      <c r="T706" s="91"/>
      <c r="U706" s="57"/>
      <c r="V706" s="91"/>
      <c r="W706" s="57"/>
      <c r="X706" s="91"/>
      <c r="Y706" s="91"/>
      <c r="Z706" s="91"/>
      <c r="AA706" s="91"/>
      <c r="AB706" s="91"/>
    </row>
    <row r="707" ht="15.75" customHeight="1">
      <c r="A707" s="54"/>
      <c r="B707" s="150" t="s">
        <v>264</v>
      </c>
      <c r="C707" s="148" t="s">
        <v>265</v>
      </c>
      <c r="D707" s="91"/>
      <c r="E707" s="91"/>
      <c r="F707" s="91"/>
      <c r="G707" s="91"/>
      <c r="H707" s="91"/>
      <c r="I707" s="57"/>
      <c r="J707" s="91"/>
      <c r="K707" s="1216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57"/>
      <c r="X707" s="91"/>
      <c r="Y707" s="91"/>
      <c r="Z707" s="91"/>
      <c r="AA707" s="91"/>
      <c r="AB707" s="91"/>
    </row>
    <row r="708" ht="15.75" customHeight="1">
      <c r="A708" s="54" t="s">
        <v>267</v>
      </c>
      <c r="B708" s="518">
        <v>33.5</v>
      </c>
      <c r="C708" s="148"/>
      <c r="D708" s="91"/>
      <c r="E708" s="91"/>
      <c r="F708" s="91"/>
      <c r="G708" s="91"/>
      <c r="H708" s="91"/>
      <c r="I708" s="57"/>
      <c r="J708" s="91"/>
      <c r="K708" s="1216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57"/>
      <c r="X708" s="91"/>
      <c r="Y708" s="91"/>
      <c r="Z708" s="91"/>
      <c r="AA708" s="91"/>
      <c r="AB708" s="91"/>
    </row>
    <row r="709" ht="15.75" customHeight="1">
      <c r="A709" s="54" t="s">
        <v>268</v>
      </c>
      <c r="B709" s="518">
        <v>33.5</v>
      </c>
      <c r="C709" s="148"/>
      <c r="D709" s="91"/>
      <c r="E709" s="91"/>
      <c r="F709" s="91"/>
      <c r="G709" s="91"/>
      <c r="H709" s="91"/>
      <c r="I709" s="57"/>
      <c r="J709" s="91"/>
      <c r="K709" s="1216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57"/>
      <c r="X709" s="91"/>
      <c r="Y709" s="91"/>
      <c r="Z709" s="91"/>
      <c r="AA709" s="91"/>
      <c r="AB709" s="91"/>
    </row>
    <row r="710" ht="15.75" customHeight="1">
      <c r="A710" s="54" t="s">
        <v>269</v>
      </c>
      <c r="B710" s="518">
        <v>33.0</v>
      </c>
      <c r="C710" s="148"/>
      <c r="D710" s="91"/>
      <c r="E710" s="91"/>
      <c r="F710" s="91"/>
      <c r="G710" s="91"/>
      <c r="H710" s="91"/>
      <c r="I710" s="57"/>
      <c r="J710" s="91"/>
      <c r="K710" s="1216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57"/>
      <c r="X710" s="91"/>
      <c r="Y710" s="91"/>
      <c r="Z710" s="91"/>
      <c r="AA710" s="91"/>
      <c r="AB710" s="91"/>
    </row>
    <row r="711" ht="15.75" customHeight="1">
      <c r="A711" s="54" t="s">
        <v>270</v>
      </c>
      <c r="B711" s="246">
        <v>32.2</v>
      </c>
      <c r="C711" s="148"/>
      <c r="D711" s="91"/>
      <c r="E711" s="91"/>
      <c r="F711" s="91"/>
      <c r="G711" s="91"/>
      <c r="H711" s="91"/>
      <c r="I711" s="57"/>
      <c r="J711" s="91"/>
      <c r="K711" s="1216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57"/>
      <c r="X711" s="91"/>
      <c r="Y711" s="91"/>
      <c r="Z711" s="91"/>
      <c r="AA711" s="91"/>
      <c r="AB711" s="91"/>
    </row>
    <row r="712" ht="15.75" customHeight="1">
      <c r="A712" s="54" t="s">
        <v>271</v>
      </c>
      <c r="B712" s="246">
        <v>32.5</v>
      </c>
      <c r="C712" s="148">
        <v>32.6</v>
      </c>
      <c r="D712" s="91"/>
      <c r="E712" s="91"/>
      <c r="F712" s="91"/>
      <c r="G712" s="91"/>
      <c r="H712" s="91"/>
      <c r="I712" s="57"/>
      <c r="J712" s="91"/>
      <c r="K712" s="1216"/>
      <c r="L712" s="91"/>
      <c r="M712" s="91" t="s">
        <v>10906</v>
      </c>
      <c r="N712" s="91"/>
      <c r="O712" s="91"/>
      <c r="P712" s="91"/>
      <c r="Q712" s="91"/>
      <c r="R712" s="91"/>
      <c r="S712" s="91"/>
      <c r="T712" s="91"/>
      <c r="U712" s="91"/>
      <c r="V712" s="91"/>
      <c r="W712" s="57"/>
      <c r="X712" s="91"/>
      <c r="Y712" s="91"/>
      <c r="Z712" s="91"/>
      <c r="AA712" s="91"/>
      <c r="AB712" s="91"/>
    </row>
    <row r="713" ht="15.75" customHeight="1">
      <c r="A713" s="54" t="s">
        <v>272</v>
      </c>
      <c r="B713" s="246">
        <v>32.6</v>
      </c>
      <c r="C713" s="148">
        <v>32.3</v>
      </c>
      <c r="D713" s="91"/>
      <c r="E713" s="91"/>
      <c r="F713" s="91"/>
      <c r="G713" s="91"/>
      <c r="H713" s="91"/>
      <c r="I713" s="57"/>
      <c r="J713" s="91"/>
      <c r="K713" s="1216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57"/>
      <c r="X713" s="91"/>
      <c r="Y713" s="91"/>
      <c r="Z713" s="91"/>
      <c r="AA713" s="91"/>
      <c r="AB713" s="91"/>
    </row>
    <row r="714" ht="15.75" customHeight="1">
      <c r="A714" s="54" t="s">
        <v>273</v>
      </c>
      <c r="B714" s="246">
        <v>32.3</v>
      </c>
      <c r="C714" s="148">
        <v>32.0</v>
      </c>
      <c r="D714" s="91"/>
      <c r="E714" s="91"/>
      <c r="F714" s="91"/>
      <c r="G714" s="91"/>
      <c r="H714" s="91"/>
      <c r="I714" s="57"/>
      <c r="J714" s="91"/>
      <c r="K714" s="1216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57"/>
      <c r="X714" s="91"/>
      <c r="Y714" s="91"/>
      <c r="Z714" s="91"/>
      <c r="AA714" s="91"/>
      <c r="AB714" s="91"/>
    </row>
    <row r="715" ht="15.75" customHeight="1">
      <c r="A715" s="54" t="s">
        <v>274</v>
      </c>
      <c r="B715" s="246">
        <v>31.7</v>
      </c>
      <c r="C715" s="148">
        <v>31.5</v>
      </c>
      <c r="D715" s="91"/>
      <c r="E715" s="91"/>
      <c r="F715" s="91"/>
      <c r="G715" s="91"/>
      <c r="H715" s="91"/>
      <c r="I715" s="57"/>
      <c r="J715" s="91"/>
      <c r="K715" s="1216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57"/>
      <c r="X715" s="91"/>
      <c r="Y715" s="91"/>
      <c r="Z715" s="91"/>
      <c r="AA715" s="91"/>
      <c r="AB715" s="91"/>
    </row>
    <row r="716" ht="15.75" customHeight="1">
      <c r="A716" s="54" t="s">
        <v>275</v>
      </c>
      <c r="B716" s="246">
        <v>31.0</v>
      </c>
      <c r="C716" s="953">
        <v>31.3</v>
      </c>
      <c r="D716" s="91"/>
      <c r="E716" s="91"/>
      <c r="F716" s="91"/>
      <c r="G716" s="91"/>
      <c r="H716" s="91"/>
      <c r="I716" s="57"/>
      <c r="J716" s="91"/>
      <c r="K716" s="1216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57"/>
      <c r="X716" s="91"/>
      <c r="Y716" s="91"/>
      <c r="Z716" s="91"/>
      <c r="AA716" s="91"/>
      <c r="AB716" s="91"/>
    </row>
    <row r="717" ht="15.75" customHeight="1">
      <c r="A717" s="54" t="s">
        <v>276</v>
      </c>
      <c r="B717" s="246">
        <v>31.3</v>
      </c>
      <c r="C717" s="148">
        <v>31.5</v>
      </c>
      <c r="D717" s="91"/>
      <c r="E717" s="91"/>
      <c r="F717" s="91"/>
      <c r="G717" s="91"/>
      <c r="H717" s="91"/>
      <c r="I717" s="57"/>
      <c r="J717" s="91"/>
      <c r="K717" s="1216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57"/>
      <c r="X717" s="91"/>
      <c r="Y717" s="91"/>
      <c r="Z717" s="91"/>
      <c r="AA717" s="91"/>
      <c r="AB717" s="91"/>
    </row>
    <row r="718" ht="15.75" customHeight="1">
      <c r="A718" s="54" t="s">
        <v>277</v>
      </c>
      <c r="B718" s="246">
        <v>31.5</v>
      </c>
      <c r="C718" s="148">
        <v>31.76</v>
      </c>
      <c r="D718" s="91"/>
      <c r="E718" s="91"/>
      <c r="F718" s="91"/>
      <c r="G718" s="91"/>
      <c r="H718" s="91"/>
      <c r="I718" s="57"/>
      <c r="J718" s="91"/>
      <c r="K718" s="1216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57"/>
      <c r="X718" s="91"/>
      <c r="Y718" s="91"/>
      <c r="Z718" s="91"/>
      <c r="AA718" s="91"/>
      <c r="AB718" s="91"/>
    </row>
    <row r="719" ht="15.75" customHeight="1">
      <c r="A719" s="54" t="s">
        <v>278</v>
      </c>
      <c r="B719" s="246">
        <v>31.9</v>
      </c>
      <c r="C719" s="148">
        <v>32.0</v>
      </c>
      <c r="D719" s="91"/>
      <c r="E719" s="91"/>
      <c r="F719" s="91"/>
      <c r="G719" s="91"/>
      <c r="H719" s="91"/>
      <c r="I719" s="57"/>
      <c r="J719" s="91"/>
      <c r="K719" s="1216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57"/>
      <c r="X719" s="91"/>
      <c r="Y719" s="91"/>
      <c r="Z719" s="91"/>
      <c r="AA719" s="91"/>
      <c r="AB719" s="91"/>
    </row>
    <row r="720" ht="15.75" customHeight="1">
      <c r="A720" s="57"/>
      <c r="B720" s="952"/>
      <c r="C720" s="241"/>
      <c r="D720" s="91"/>
      <c r="E720" s="91"/>
      <c r="F720" s="91"/>
      <c r="G720" s="91"/>
      <c r="H720" s="91"/>
      <c r="I720" s="57"/>
      <c r="J720" s="91"/>
      <c r="K720" s="1216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57"/>
      <c r="X720" s="91"/>
      <c r="Y720" s="91"/>
      <c r="Z720" s="91"/>
      <c r="AA720" s="91"/>
      <c r="AB720" s="91"/>
    </row>
    <row r="721" ht="15.75" customHeight="1">
      <c r="A721" s="57"/>
      <c r="B721" s="952"/>
      <c r="C721" s="241"/>
      <c r="D721" s="91"/>
      <c r="E721" s="91"/>
      <c r="F721" s="91"/>
      <c r="G721" s="91"/>
      <c r="H721" s="91"/>
      <c r="I721" s="57"/>
      <c r="J721" s="91"/>
      <c r="K721" s="1216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57"/>
      <c r="X721" s="91"/>
      <c r="Y721" s="91"/>
      <c r="Z721" s="91"/>
      <c r="AA721" s="91"/>
      <c r="AB721" s="91"/>
    </row>
    <row r="722" ht="15.75" customHeight="1">
      <c r="A722" s="57"/>
      <c r="B722" s="952"/>
      <c r="C722" s="241"/>
      <c r="D722" s="91"/>
      <c r="E722" s="91"/>
      <c r="F722" s="91"/>
      <c r="G722" s="91"/>
      <c r="H722" s="91"/>
      <c r="I722" s="57"/>
      <c r="J722" s="91"/>
      <c r="K722" s="1216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57"/>
      <c r="X722" s="91"/>
      <c r="Y722" s="91"/>
      <c r="Z722" s="91"/>
      <c r="AA722" s="91"/>
      <c r="AB722" s="91"/>
    </row>
    <row r="723" ht="15.75" customHeight="1">
      <c r="A723" s="57"/>
      <c r="B723" s="952"/>
      <c r="C723" s="1217"/>
      <c r="D723" s="1218"/>
      <c r="E723" s="1218"/>
      <c r="F723" s="1219"/>
      <c r="G723" s="1218"/>
      <c r="H723" s="1218"/>
      <c r="I723" s="57"/>
      <c r="J723" s="91"/>
      <c r="K723" s="1216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57"/>
      <c r="X723" s="91"/>
      <c r="Y723" s="91"/>
      <c r="Z723" s="91"/>
      <c r="AA723" s="91"/>
      <c r="AB723" s="91"/>
    </row>
    <row r="724" ht="15.75" customHeight="1">
      <c r="B724" s="249"/>
      <c r="C724" s="1220" t="s">
        <v>10907</v>
      </c>
      <c r="D724" s="1221"/>
      <c r="E724" s="1221"/>
      <c r="F724" s="1221"/>
      <c r="G724" s="1221"/>
      <c r="H724" s="1221"/>
      <c r="I724" s="1221"/>
      <c r="J724" s="1221"/>
      <c r="K724" s="1216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57"/>
      <c r="X724" s="91"/>
      <c r="Y724" s="91"/>
      <c r="Z724" s="91"/>
      <c r="AA724" s="91"/>
      <c r="AB724" s="91"/>
    </row>
    <row r="725" ht="15.75" customHeight="1">
      <c r="B725" s="249"/>
      <c r="C725" s="686" t="s">
        <v>10908</v>
      </c>
      <c r="D725" s="686" t="s">
        <v>10909</v>
      </c>
      <c r="E725" s="686" t="s">
        <v>10910</v>
      </c>
      <c r="F725" s="686" t="s">
        <v>10911</v>
      </c>
      <c r="G725" s="686" t="s">
        <v>10912</v>
      </c>
      <c r="H725" s="686" t="s">
        <v>10913</v>
      </c>
      <c r="I725" s="686" t="s">
        <v>10914</v>
      </c>
      <c r="J725" s="1220" t="s">
        <v>10915</v>
      </c>
      <c r="K725" s="1216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57"/>
      <c r="X725" s="91"/>
      <c r="Y725" s="91"/>
      <c r="Z725" s="91"/>
      <c r="AA725" s="91"/>
      <c r="AB725" s="91"/>
    </row>
    <row r="726" ht="15.75" customHeight="1">
      <c r="B726" s="249"/>
      <c r="C726" s="1222" t="s">
        <v>10916</v>
      </c>
      <c r="D726" s="1222" t="s">
        <v>6054</v>
      </c>
      <c r="E726" s="1222" t="s">
        <v>10917</v>
      </c>
      <c r="F726" s="1222">
        <v>50.0</v>
      </c>
      <c r="G726" s="1222">
        <v>612.0</v>
      </c>
      <c r="H726" s="1222">
        <v>581.0</v>
      </c>
      <c r="I726" s="1222">
        <v>1550.0</v>
      </c>
      <c r="J726" s="1223">
        <v>1627.5</v>
      </c>
      <c r="K726" s="1216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57"/>
      <c r="X726" s="91"/>
      <c r="Y726" s="91"/>
      <c r="Z726" s="91"/>
      <c r="AA726" s="91"/>
      <c r="AB726" s="91"/>
    </row>
    <row r="727" ht="15.75" customHeight="1">
      <c r="B727" s="249"/>
      <c r="C727" s="1222" t="s">
        <v>10916</v>
      </c>
      <c r="D727" s="1222" t="s">
        <v>6054</v>
      </c>
      <c r="E727" s="1222" t="s">
        <v>10918</v>
      </c>
      <c r="F727" s="1222">
        <v>10.0</v>
      </c>
      <c r="G727" s="1222">
        <v>235.2</v>
      </c>
      <c r="H727" s="1222">
        <v>219.0</v>
      </c>
      <c r="I727" s="1222">
        <v>162.0</v>
      </c>
      <c r="J727" s="1223">
        <v>170.1</v>
      </c>
      <c r="K727" s="1216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57"/>
      <c r="X727" s="91"/>
      <c r="Y727" s="91"/>
      <c r="Z727" s="91"/>
      <c r="AA727" s="91"/>
      <c r="AB727" s="91"/>
    </row>
    <row r="728" ht="15.75" customHeight="1">
      <c r="B728" s="249"/>
      <c r="C728" s="1222" t="s">
        <v>10916</v>
      </c>
      <c r="D728" s="1222" t="s">
        <v>6054</v>
      </c>
      <c r="E728" s="1222" t="s">
        <v>10919</v>
      </c>
      <c r="F728" s="1222">
        <v>10.0</v>
      </c>
      <c r="G728" s="1222">
        <v>348.0</v>
      </c>
      <c r="H728" s="1222">
        <v>324.0</v>
      </c>
      <c r="I728" s="1222">
        <v>240.0</v>
      </c>
      <c r="J728" s="1223">
        <v>252.0</v>
      </c>
      <c r="K728" s="1216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57"/>
      <c r="X728" s="91"/>
      <c r="Y728" s="91"/>
      <c r="Z728" s="91"/>
      <c r="AA728" s="91"/>
      <c r="AB728" s="91"/>
    </row>
    <row r="729" ht="15.75" customHeight="1">
      <c r="B729" s="249"/>
      <c r="C729" s="1222" t="s">
        <v>10920</v>
      </c>
      <c r="D729" s="1222" t="s">
        <v>6054</v>
      </c>
      <c r="E729" s="1222" t="s">
        <v>10921</v>
      </c>
      <c r="F729" s="1222">
        <v>50.0</v>
      </c>
      <c r="G729" s="1222">
        <v>175.5</v>
      </c>
      <c r="H729" s="1222">
        <v>166.0</v>
      </c>
      <c r="I729" s="1222">
        <v>475.0</v>
      </c>
      <c r="J729" s="1223">
        <v>498.75</v>
      </c>
      <c r="K729" s="1216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57"/>
      <c r="X729" s="91"/>
      <c r="Y729" s="91"/>
      <c r="Z729" s="91"/>
      <c r="AA729" s="91"/>
      <c r="AB729" s="91"/>
    </row>
    <row r="730" ht="15.75" customHeight="1">
      <c r="B730" s="249"/>
      <c r="C730" s="1222" t="s">
        <v>10922</v>
      </c>
      <c r="D730" s="1222" t="s">
        <v>6054</v>
      </c>
      <c r="E730" s="1222" t="s">
        <v>10921</v>
      </c>
      <c r="F730" s="1222">
        <v>50.0</v>
      </c>
      <c r="G730" s="1222">
        <v>175.5</v>
      </c>
      <c r="H730" s="1222">
        <v>166.0</v>
      </c>
      <c r="I730" s="1222">
        <v>475.0</v>
      </c>
      <c r="J730" s="1223">
        <v>498.75</v>
      </c>
      <c r="K730" s="1216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57"/>
      <c r="X730" s="91"/>
      <c r="Y730" s="91"/>
      <c r="Z730" s="91"/>
      <c r="AA730" s="91"/>
      <c r="AB730" s="91"/>
    </row>
    <row r="731" ht="15.75" customHeight="1">
      <c r="B731" s="249"/>
      <c r="C731" s="1222" t="s">
        <v>10923</v>
      </c>
      <c r="D731" s="1222" t="s">
        <v>10924</v>
      </c>
      <c r="E731" s="1222" t="s">
        <v>462</v>
      </c>
      <c r="F731" s="1222">
        <v>35.0</v>
      </c>
      <c r="G731" s="1222">
        <v>387.0</v>
      </c>
      <c r="H731" s="1222">
        <v>368.0</v>
      </c>
      <c r="I731" s="1222">
        <v>665.0</v>
      </c>
      <c r="J731" s="1223">
        <v>698.25</v>
      </c>
      <c r="K731" s="1216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57"/>
      <c r="X731" s="91"/>
      <c r="Y731" s="91"/>
      <c r="Z731" s="91"/>
      <c r="AA731" s="91"/>
      <c r="AB731" s="91"/>
    </row>
    <row r="732" ht="15.75" customHeight="1">
      <c r="B732" s="249"/>
      <c r="C732" s="1222" t="s">
        <v>10923</v>
      </c>
      <c r="D732" s="1222" t="s">
        <v>10924</v>
      </c>
      <c r="E732" s="1222" t="s">
        <v>3765</v>
      </c>
      <c r="F732" s="1222">
        <v>15.0</v>
      </c>
      <c r="G732" s="1222">
        <v>287.0</v>
      </c>
      <c r="H732" s="1222">
        <v>273.0</v>
      </c>
      <c r="I732" s="1222">
        <v>210.0</v>
      </c>
      <c r="J732" s="1223">
        <v>220.5</v>
      </c>
      <c r="K732" s="1216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57"/>
      <c r="X732" s="91"/>
      <c r="Y732" s="91"/>
      <c r="Z732" s="91"/>
      <c r="AA732" s="91"/>
      <c r="AB732" s="91"/>
    </row>
    <row r="733" ht="15.75" customHeight="1">
      <c r="B733" s="249"/>
      <c r="C733" s="1222" t="s">
        <v>10925</v>
      </c>
      <c r="D733" s="1222" t="s">
        <v>10926</v>
      </c>
      <c r="E733" s="1222" t="s">
        <v>7065</v>
      </c>
      <c r="F733" s="1222">
        <v>10.0</v>
      </c>
      <c r="G733" s="1222">
        <v>128.0</v>
      </c>
      <c r="H733" s="1222">
        <v>120.0</v>
      </c>
      <c r="I733" s="1222">
        <v>80.0</v>
      </c>
      <c r="J733" s="1223">
        <v>84.0</v>
      </c>
      <c r="K733" s="1216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57"/>
      <c r="X733" s="91"/>
      <c r="Y733" s="91"/>
      <c r="Z733" s="91"/>
      <c r="AA733" s="91"/>
      <c r="AB733" s="91"/>
    </row>
    <row r="734" ht="15.75" customHeight="1">
      <c r="B734" s="249"/>
      <c r="C734" s="1222" t="s">
        <v>10925</v>
      </c>
      <c r="D734" s="1222" t="s">
        <v>10926</v>
      </c>
      <c r="E734" s="1222" t="s">
        <v>4808</v>
      </c>
      <c r="F734" s="1222">
        <v>10.0</v>
      </c>
      <c r="G734" s="1222">
        <v>3.0</v>
      </c>
      <c r="H734" s="1222">
        <v>2.0</v>
      </c>
      <c r="I734" s="1222">
        <v>10.0</v>
      </c>
      <c r="J734" s="1223">
        <v>10.5</v>
      </c>
      <c r="K734" s="1216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57"/>
      <c r="X734" s="91"/>
      <c r="Y734" s="91"/>
      <c r="Z734" s="91"/>
      <c r="AA734" s="91"/>
      <c r="AB734" s="91"/>
    </row>
    <row r="735" ht="15.75" customHeight="1">
      <c r="B735" s="249"/>
      <c r="C735" s="1224">
        <v>2.015E13</v>
      </c>
      <c r="D735" s="1222" t="s">
        <v>10927</v>
      </c>
      <c r="E735" s="1222" t="s">
        <v>4774</v>
      </c>
      <c r="F735" s="1222">
        <v>14.0</v>
      </c>
      <c r="G735" s="1222">
        <v>272.0</v>
      </c>
      <c r="H735" s="1222">
        <v>230.0</v>
      </c>
      <c r="I735" s="1222">
        <v>588.0</v>
      </c>
      <c r="J735" s="1223">
        <v>617.4</v>
      </c>
      <c r="K735" s="1216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57"/>
      <c r="X735" s="91"/>
      <c r="Y735" s="91"/>
      <c r="Z735" s="91"/>
      <c r="AA735" s="91"/>
      <c r="AB735" s="91"/>
    </row>
    <row r="736" ht="15.75" customHeight="1">
      <c r="B736" s="249"/>
      <c r="C736" s="1222" t="s">
        <v>10928</v>
      </c>
      <c r="D736" s="1222" t="s">
        <v>6246</v>
      </c>
      <c r="E736" s="1222" t="s">
        <v>10929</v>
      </c>
      <c r="F736" s="1222">
        <v>15.0</v>
      </c>
      <c r="G736" s="1222">
        <v>234.0</v>
      </c>
      <c r="H736" s="1222">
        <v>198.0</v>
      </c>
      <c r="I736" s="1222">
        <v>540.0</v>
      </c>
      <c r="J736" s="1223">
        <v>567.0</v>
      </c>
      <c r="K736" s="1216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57"/>
      <c r="X736" s="91"/>
      <c r="Y736" s="91"/>
      <c r="Z736" s="91"/>
      <c r="AA736" s="91"/>
      <c r="AB736" s="91"/>
    </row>
    <row r="737" ht="15.75" customHeight="1">
      <c r="B737" s="249"/>
      <c r="C737" s="1222" t="s">
        <v>10930</v>
      </c>
      <c r="D737" s="1222" t="s">
        <v>10931</v>
      </c>
      <c r="E737" s="1222" t="s">
        <v>6110</v>
      </c>
      <c r="F737" s="1222">
        <v>50.0</v>
      </c>
      <c r="G737" s="1222">
        <v>97.5</v>
      </c>
      <c r="H737" s="1222">
        <v>82.5</v>
      </c>
      <c r="I737" s="1222">
        <v>750.0</v>
      </c>
      <c r="J737" s="1223">
        <v>787.5</v>
      </c>
      <c r="K737" s="1216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57"/>
      <c r="X737" s="91"/>
      <c r="Y737" s="91"/>
      <c r="Z737" s="91"/>
      <c r="AA737" s="91"/>
      <c r="AB737" s="91"/>
    </row>
    <row r="738" ht="15.75" customHeight="1">
      <c r="B738" s="249"/>
      <c r="C738" s="1222" t="s">
        <v>10932</v>
      </c>
      <c r="D738" s="1222" t="s">
        <v>10924</v>
      </c>
      <c r="E738" s="1222" t="s">
        <v>462</v>
      </c>
      <c r="F738" s="1222">
        <v>40.0</v>
      </c>
      <c r="G738" s="1222">
        <v>387.0</v>
      </c>
      <c r="H738" s="1222">
        <v>368.0</v>
      </c>
      <c r="I738" s="1222">
        <v>760.0</v>
      </c>
      <c r="J738" s="1223">
        <v>798.0</v>
      </c>
      <c r="K738" s="1216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57"/>
      <c r="X738" s="91"/>
      <c r="Y738" s="91"/>
      <c r="Z738" s="91"/>
      <c r="AA738" s="91"/>
      <c r="AB738" s="91"/>
    </row>
    <row r="739" ht="15.75" customHeight="1">
      <c r="B739" s="249"/>
      <c r="C739" s="1222" t="s">
        <v>10932</v>
      </c>
      <c r="D739" s="1222" t="s">
        <v>10924</v>
      </c>
      <c r="E739" s="1222" t="s">
        <v>3765</v>
      </c>
      <c r="F739" s="1222">
        <v>10.0</v>
      </c>
      <c r="G739" s="1222">
        <v>287.0</v>
      </c>
      <c r="H739" s="1222">
        <v>273.0</v>
      </c>
      <c r="I739" s="1222">
        <v>140.0</v>
      </c>
      <c r="J739" s="1223">
        <v>147.0</v>
      </c>
      <c r="K739" s="1216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57"/>
      <c r="X739" s="91"/>
      <c r="Y739" s="91"/>
      <c r="Z739" s="91"/>
      <c r="AA739" s="91"/>
      <c r="AB739" s="91"/>
    </row>
    <row r="740" ht="15.75" customHeight="1">
      <c r="B740" s="249"/>
      <c r="C740" s="1222" t="s">
        <v>10933</v>
      </c>
      <c r="D740" s="1222" t="s">
        <v>6246</v>
      </c>
      <c r="E740" s="1222" t="s">
        <v>10031</v>
      </c>
      <c r="F740" s="1222">
        <v>20.0</v>
      </c>
      <c r="G740" s="1222">
        <v>85.0</v>
      </c>
      <c r="H740" s="1222">
        <v>71.5</v>
      </c>
      <c r="I740" s="1222">
        <v>270.0</v>
      </c>
      <c r="J740" s="1223">
        <v>283.5</v>
      </c>
      <c r="K740" s="1216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57"/>
      <c r="X740" s="91"/>
      <c r="Y740" s="91"/>
      <c r="Z740" s="91"/>
      <c r="AA740" s="91"/>
      <c r="AB740" s="91"/>
    </row>
    <row r="741" ht="15.75" customHeight="1">
      <c r="B741" s="249"/>
      <c r="C741" s="1222" t="s">
        <v>10933</v>
      </c>
      <c r="D741" s="1222" t="s">
        <v>6246</v>
      </c>
      <c r="E741" s="1222" t="s">
        <v>10934</v>
      </c>
      <c r="F741" s="1222">
        <v>15.0</v>
      </c>
      <c r="G741" s="1222">
        <v>52.0</v>
      </c>
      <c r="H741" s="1222">
        <v>44.0</v>
      </c>
      <c r="I741" s="1222">
        <v>120.0</v>
      </c>
      <c r="J741" s="1223">
        <v>126.0</v>
      </c>
      <c r="K741" s="1216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57"/>
      <c r="X741" s="91"/>
      <c r="Y741" s="91"/>
      <c r="Z741" s="91"/>
      <c r="AA741" s="91"/>
      <c r="AB741" s="91"/>
    </row>
    <row r="742" ht="15.75" customHeight="1">
      <c r="B742" s="249"/>
      <c r="C742" s="1222" t="s">
        <v>8685</v>
      </c>
      <c r="D742" s="1222" t="s">
        <v>1000</v>
      </c>
      <c r="E742" s="1222" t="s">
        <v>6590</v>
      </c>
      <c r="F742" s="1222">
        <v>13.0</v>
      </c>
      <c r="G742" s="1222">
        <v>266.0</v>
      </c>
      <c r="H742" s="1222">
        <v>210.0</v>
      </c>
      <c r="I742" s="1222">
        <v>728.0</v>
      </c>
      <c r="J742" s="1223">
        <v>764.4</v>
      </c>
      <c r="K742" s="1216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57"/>
      <c r="X742" s="91"/>
      <c r="Y742" s="91"/>
      <c r="Z742" s="91"/>
      <c r="AA742" s="91"/>
      <c r="AB742" s="91"/>
    </row>
    <row r="743" ht="15.75" customHeight="1">
      <c r="B743" s="249"/>
      <c r="C743" s="1222" t="s">
        <v>10935</v>
      </c>
      <c r="D743" s="1222" t="s">
        <v>10924</v>
      </c>
      <c r="E743" s="1222" t="s">
        <v>462</v>
      </c>
      <c r="F743" s="1222">
        <v>35.0</v>
      </c>
      <c r="G743" s="1222">
        <v>387.0</v>
      </c>
      <c r="H743" s="1222">
        <v>368.0</v>
      </c>
      <c r="I743" s="1222">
        <v>665.0</v>
      </c>
      <c r="J743" s="1223">
        <v>698.25</v>
      </c>
      <c r="K743" s="1216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57"/>
      <c r="X743" s="91"/>
      <c r="Y743" s="91"/>
      <c r="Z743" s="91"/>
      <c r="AA743" s="91"/>
      <c r="AB743" s="91"/>
    </row>
    <row r="744" ht="15.75" customHeight="1">
      <c r="B744" s="249"/>
      <c r="C744" s="1222" t="s">
        <v>10936</v>
      </c>
      <c r="D744" s="1222" t="s">
        <v>6054</v>
      </c>
      <c r="E744" s="1222" t="s">
        <v>10921</v>
      </c>
      <c r="F744" s="1222">
        <v>105.0</v>
      </c>
      <c r="G744" s="1222">
        <v>175.5</v>
      </c>
      <c r="H744" s="1222">
        <v>166.0</v>
      </c>
      <c r="I744" s="1222">
        <v>997.5</v>
      </c>
      <c r="J744" s="1223">
        <v>1047.375</v>
      </c>
      <c r="K744" s="1216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57"/>
      <c r="X744" s="91"/>
      <c r="Y744" s="91"/>
      <c r="Z744" s="91"/>
      <c r="AA744" s="91"/>
      <c r="AB744" s="91"/>
    </row>
    <row r="745" ht="15.75" customHeight="1">
      <c r="B745" s="249"/>
      <c r="C745" s="1222" t="s">
        <v>10937</v>
      </c>
      <c r="D745" s="1222" t="s">
        <v>10924</v>
      </c>
      <c r="E745" s="1222" t="s">
        <v>462</v>
      </c>
      <c r="F745" s="1222">
        <v>16.0</v>
      </c>
      <c r="G745" s="1222">
        <v>387.0</v>
      </c>
      <c r="H745" s="1222">
        <v>368.0</v>
      </c>
      <c r="I745" s="1222">
        <v>304.0</v>
      </c>
      <c r="J745" s="1223">
        <v>319.2</v>
      </c>
      <c r="K745" s="1216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57"/>
      <c r="X745" s="91"/>
      <c r="Y745" s="91"/>
      <c r="Z745" s="91"/>
      <c r="AA745" s="91"/>
      <c r="AB745" s="91"/>
    </row>
    <row r="746" ht="15.75" customHeight="1">
      <c r="B746" s="249"/>
      <c r="C746" s="1222" t="s">
        <v>8734</v>
      </c>
      <c r="D746" s="1222" t="s">
        <v>6054</v>
      </c>
      <c r="E746" s="1222" t="s">
        <v>10921</v>
      </c>
      <c r="F746" s="1222">
        <v>105.0</v>
      </c>
      <c r="G746" s="1222">
        <v>175.5</v>
      </c>
      <c r="H746" s="1222">
        <v>166.0</v>
      </c>
      <c r="I746" s="1222">
        <v>997.5</v>
      </c>
      <c r="J746" s="1223">
        <v>1047.375</v>
      </c>
      <c r="K746" s="1216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57"/>
      <c r="X746" s="91"/>
      <c r="Y746" s="91"/>
      <c r="Z746" s="91"/>
      <c r="AA746" s="91"/>
      <c r="AB746" s="91"/>
    </row>
    <row r="747" ht="15.75" customHeight="1">
      <c r="B747" s="249"/>
      <c r="C747" s="1222" t="s">
        <v>10938</v>
      </c>
      <c r="D747" s="1222" t="s">
        <v>6054</v>
      </c>
      <c r="E747" s="1222" t="s">
        <v>10919</v>
      </c>
      <c r="F747" s="1222">
        <v>20.0</v>
      </c>
      <c r="G747" s="1222">
        <v>348.0</v>
      </c>
      <c r="H747" s="1222">
        <v>324.0</v>
      </c>
      <c r="I747" s="1222">
        <v>480.0</v>
      </c>
      <c r="J747" s="1223">
        <v>504.0</v>
      </c>
      <c r="K747" s="1216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57"/>
      <c r="X747" s="91"/>
      <c r="Y747" s="91"/>
      <c r="Z747" s="91"/>
      <c r="AA747" s="91"/>
      <c r="AB747" s="91"/>
    </row>
    <row r="748" ht="15.75" customHeight="1">
      <c r="B748" s="249"/>
      <c r="C748" s="1222" t="s">
        <v>10939</v>
      </c>
      <c r="D748" s="1222" t="s">
        <v>6246</v>
      </c>
      <c r="E748" s="1222" t="s">
        <v>10929</v>
      </c>
      <c r="F748" s="1222">
        <v>15.0</v>
      </c>
      <c r="G748" s="1222">
        <v>234.0</v>
      </c>
      <c r="H748" s="1222">
        <v>198.0</v>
      </c>
      <c r="I748" s="1222">
        <v>540.0</v>
      </c>
      <c r="J748" s="1223">
        <v>567.0</v>
      </c>
      <c r="K748" s="1216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57"/>
      <c r="X748" s="91"/>
      <c r="Y748" s="91"/>
      <c r="Z748" s="91"/>
      <c r="AA748" s="91"/>
      <c r="AB748" s="91"/>
    </row>
    <row r="749" ht="15.75" customHeight="1">
      <c r="B749" s="249"/>
      <c r="C749" s="1222" t="s">
        <v>8758</v>
      </c>
      <c r="D749" s="1222" t="s">
        <v>3871</v>
      </c>
      <c r="E749" s="1222" t="s">
        <v>10940</v>
      </c>
      <c r="F749" s="1222">
        <v>35.0</v>
      </c>
      <c r="G749" s="1222">
        <v>82.0</v>
      </c>
      <c r="H749" s="1222">
        <v>72.6</v>
      </c>
      <c r="I749" s="1222">
        <v>329.0</v>
      </c>
      <c r="J749" s="1223">
        <v>345.45</v>
      </c>
      <c r="K749" s="1216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57"/>
      <c r="X749" s="91"/>
      <c r="Y749" s="91"/>
      <c r="Z749" s="91"/>
      <c r="AA749" s="91"/>
      <c r="AB749" s="91"/>
    </row>
    <row r="750" ht="15.75" customHeight="1">
      <c r="B750" s="249"/>
      <c r="C750" s="1222" t="s">
        <v>8874</v>
      </c>
      <c r="D750" s="1222" t="s">
        <v>10924</v>
      </c>
      <c r="E750" s="1222" t="s">
        <v>462</v>
      </c>
      <c r="F750" s="1222">
        <v>10.0</v>
      </c>
      <c r="G750" s="1222">
        <v>387.0</v>
      </c>
      <c r="H750" s="1222">
        <v>368.0</v>
      </c>
      <c r="I750" s="1222">
        <v>190.0</v>
      </c>
      <c r="J750" s="1223">
        <v>199.5</v>
      </c>
      <c r="K750" s="1216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57"/>
      <c r="X750" s="91"/>
      <c r="Y750" s="91"/>
      <c r="Z750" s="91"/>
      <c r="AA750" s="91"/>
      <c r="AB750" s="91"/>
    </row>
    <row r="751" ht="15.75" customHeight="1">
      <c r="B751" s="249"/>
      <c r="C751" s="1222" t="s">
        <v>9082</v>
      </c>
      <c r="D751" s="1222" t="s">
        <v>6054</v>
      </c>
      <c r="E751" s="1222" t="s">
        <v>10921</v>
      </c>
      <c r="F751" s="1222">
        <v>30.0</v>
      </c>
      <c r="G751" s="1222">
        <v>175.5</v>
      </c>
      <c r="H751" s="1222">
        <v>166.0</v>
      </c>
      <c r="I751" s="1222">
        <v>285.0</v>
      </c>
      <c r="J751" s="1223">
        <v>299.25</v>
      </c>
      <c r="K751" s="1216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57"/>
      <c r="X751" s="91"/>
      <c r="Y751" s="91"/>
      <c r="Z751" s="91"/>
      <c r="AA751" s="91"/>
      <c r="AB751" s="91"/>
    </row>
    <row r="752" ht="15.75" customHeight="1">
      <c r="B752" s="249"/>
      <c r="C752" s="1222" t="s">
        <v>8938</v>
      </c>
      <c r="D752" s="1222" t="s">
        <v>673</v>
      </c>
      <c r="E752" s="1222" t="s">
        <v>8936</v>
      </c>
      <c r="F752" s="1222">
        <v>4.0</v>
      </c>
      <c r="G752" s="1222">
        <v>830.0</v>
      </c>
      <c r="H752" s="1222">
        <v>783.0</v>
      </c>
      <c r="I752" s="1222">
        <v>188.0</v>
      </c>
      <c r="J752" s="1223">
        <v>197.4</v>
      </c>
      <c r="K752" s="1216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57"/>
      <c r="X752" s="91"/>
      <c r="Y752" s="91"/>
      <c r="Z752" s="91"/>
      <c r="AA752" s="91"/>
      <c r="AB752" s="91"/>
    </row>
    <row r="753" ht="15.75" customHeight="1">
      <c r="B753" s="249"/>
      <c r="C753" s="1222" t="s">
        <v>8938</v>
      </c>
      <c r="D753" s="1222" t="s">
        <v>673</v>
      </c>
      <c r="E753" s="1222" t="s">
        <v>8941</v>
      </c>
      <c r="F753" s="1222">
        <v>4.0</v>
      </c>
      <c r="G753" s="1222">
        <v>93.0</v>
      </c>
      <c r="H753" s="1222">
        <v>76.8</v>
      </c>
      <c r="I753" s="1222">
        <v>64.8</v>
      </c>
      <c r="J753" s="1223">
        <v>68.04</v>
      </c>
      <c r="K753" s="1216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57"/>
      <c r="X753" s="91"/>
      <c r="Y753" s="91"/>
      <c r="Z753" s="91"/>
      <c r="AA753" s="91"/>
      <c r="AB753" s="91"/>
    </row>
    <row r="754" ht="15.75" customHeight="1">
      <c r="B754" s="249"/>
      <c r="C754" s="1222" t="s">
        <v>9055</v>
      </c>
      <c r="D754" s="1222" t="s">
        <v>10941</v>
      </c>
      <c r="E754" s="1222" t="s">
        <v>9054</v>
      </c>
      <c r="F754" s="1222">
        <v>15.0</v>
      </c>
      <c r="G754" s="1222">
        <v>128.0</v>
      </c>
      <c r="H754" s="1222">
        <v>121.0</v>
      </c>
      <c r="I754" s="1222">
        <v>105.0</v>
      </c>
      <c r="J754" s="1223">
        <v>110.25</v>
      </c>
      <c r="K754" s="1216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57"/>
      <c r="X754" s="91"/>
      <c r="Y754" s="91"/>
      <c r="Z754" s="91"/>
      <c r="AA754" s="91"/>
      <c r="AB754" s="91"/>
    </row>
    <row r="755" ht="15.75" customHeight="1">
      <c r="B755" s="249"/>
      <c r="C755" s="1222" t="s">
        <v>9088</v>
      </c>
      <c r="D755" s="1222" t="s">
        <v>6054</v>
      </c>
      <c r="E755" s="1222" t="s">
        <v>10921</v>
      </c>
      <c r="F755" s="1222">
        <v>70.0</v>
      </c>
      <c r="G755" s="1222">
        <v>175.5</v>
      </c>
      <c r="H755" s="1222">
        <v>166.0</v>
      </c>
      <c r="I755" s="1222">
        <v>665.0</v>
      </c>
      <c r="J755" s="1223">
        <v>698.25</v>
      </c>
      <c r="K755" s="1216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57"/>
      <c r="X755" s="91"/>
      <c r="Y755" s="91"/>
      <c r="Z755" s="91"/>
      <c r="AA755" s="91"/>
      <c r="AB755" s="91"/>
    </row>
    <row r="756" ht="15.75" customHeight="1">
      <c r="B756" s="249"/>
      <c r="C756" s="1222" t="s">
        <v>9099</v>
      </c>
      <c r="D756" s="1222" t="s">
        <v>6054</v>
      </c>
      <c r="E756" s="1222" t="s">
        <v>10921</v>
      </c>
      <c r="F756" s="1222">
        <v>100.0</v>
      </c>
      <c r="G756" s="1222">
        <v>175.5</v>
      </c>
      <c r="H756" s="1222">
        <v>166.0</v>
      </c>
      <c r="I756" s="1222">
        <v>950.0</v>
      </c>
      <c r="J756" s="1223">
        <v>997.5</v>
      </c>
      <c r="K756" s="1216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57"/>
      <c r="X756" s="91"/>
      <c r="Y756" s="91"/>
      <c r="Z756" s="91"/>
      <c r="AA756" s="91"/>
      <c r="AB756" s="91"/>
    </row>
    <row r="757" ht="15.75" customHeight="1">
      <c r="B757" s="249"/>
      <c r="C757" s="1222" t="s">
        <v>9093</v>
      </c>
      <c r="D757" s="1222" t="s">
        <v>10924</v>
      </c>
      <c r="E757" s="1222" t="s">
        <v>462</v>
      </c>
      <c r="F757" s="1222">
        <v>20.0</v>
      </c>
      <c r="G757" s="1222">
        <v>387.0</v>
      </c>
      <c r="H757" s="1222">
        <v>368.0</v>
      </c>
      <c r="I757" s="1222">
        <v>380.0</v>
      </c>
      <c r="J757" s="1223">
        <v>399.0</v>
      </c>
      <c r="K757" s="1216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57"/>
      <c r="X757" s="91"/>
      <c r="Y757" s="91"/>
      <c r="Z757" s="91"/>
      <c r="AA757" s="91"/>
      <c r="AB757" s="91"/>
    </row>
    <row r="758" ht="15.75" customHeight="1">
      <c r="B758" s="249"/>
      <c r="C758" s="1222" t="s">
        <v>9137</v>
      </c>
      <c r="D758" s="1222" t="s">
        <v>6054</v>
      </c>
      <c r="E758" s="1222" t="s">
        <v>10919</v>
      </c>
      <c r="F758" s="1222">
        <v>10.0</v>
      </c>
      <c r="G758" s="1222">
        <v>331.0</v>
      </c>
      <c r="H758" s="1222">
        <v>307.0</v>
      </c>
      <c r="I758" s="1222">
        <v>240.0</v>
      </c>
      <c r="J758" s="1223">
        <v>252.0</v>
      </c>
      <c r="K758" s="1216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57"/>
      <c r="X758" s="91"/>
      <c r="Y758" s="91"/>
      <c r="Z758" s="91"/>
      <c r="AA758" s="91"/>
      <c r="AB758" s="91"/>
    </row>
    <row r="759" ht="15.75" customHeight="1">
      <c r="B759" s="249"/>
      <c r="C759" s="1222" t="s">
        <v>9250</v>
      </c>
      <c r="D759" s="1222" t="s">
        <v>10924</v>
      </c>
      <c r="E759" s="1222" t="s">
        <v>462</v>
      </c>
      <c r="F759" s="1222">
        <v>25.0</v>
      </c>
      <c r="G759" s="1222">
        <v>387.0</v>
      </c>
      <c r="H759" s="1222">
        <v>368.0</v>
      </c>
      <c r="I759" s="1222">
        <v>475.0</v>
      </c>
      <c r="J759" s="1223">
        <v>498.75</v>
      </c>
      <c r="K759" s="1216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57"/>
      <c r="X759" s="91"/>
      <c r="Y759" s="91"/>
      <c r="Z759" s="91"/>
      <c r="AA759" s="91"/>
      <c r="AB759" s="91"/>
    </row>
    <row r="760" ht="15.75" customHeight="1">
      <c r="B760" s="249"/>
      <c r="C760" s="1222" t="s">
        <v>9262</v>
      </c>
      <c r="D760" s="1222" t="s">
        <v>6054</v>
      </c>
      <c r="E760" s="1222" t="s">
        <v>10921</v>
      </c>
      <c r="F760" s="1222">
        <v>100.0</v>
      </c>
      <c r="G760" s="1222">
        <v>166.5</v>
      </c>
      <c r="H760" s="1222">
        <v>157.0</v>
      </c>
      <c r="I760" s="1222">
        <v>950.0</v>
      </c>
      <c r="J760" s="1223">
        <v>997.5</v>
      </c>
      <c r="K760" s="1216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57"/>
      <c r="X760" s="91"/>
      <c r="Y760" s="91"/>
      <c r="Z760" s="91"/>
      <c r="AA760" s="91"/>
      <c r="AB760" s="91"/>
    </row>
    <row r="761" ht="15.75" customHeight="1">
      <c r="B761" s="249"/>
      <c r="C761" s="1222" t="s">
        <v>9265</v>
      </c>
      <c r="D761" s="1222" t="s">
        <v>6054</v>
      </c>
      <c r="E761" s="1222" t="s">
        <v>10919</v>
      </c>
      <c r="F761" s="1222">
        <v>10.0</v>
      </c>
      <c r="G761" s="1222">
        <v>331.0</v>
      </c>
      <c r="H761" s="1222">
        <v>307.0</v>
      </c>
      <c r="I761" s="1222">
        <v>240.0</v>
      </c>
      <c r="J761" s="1223">
        <v>252.0</v>
      </c>
      <c r="K761" s="1216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57"/>
      <c r="X761" s="91"/>
      <c r="Y761" s="91"/>
      <c r="Z761" s="91"/>
      <c r="AA761" s="91"/>
      <c r="AB761" s="91"/>
    </row>
    <row r="762" ht="15.75" customHeight="1">
      <c r="B762" s="249"/>
      <c r="C762" s="1222" t="s">
        <v>9391</v>
      </c>
      <c r="D762" s="1222" t="s">
        <v>6054</v>
      </c>
      <c r="E762" s="1222" t="s">
        <v>10921</v>
      </c>
      <c r="F762" s="1222">
        <v>100.0</v>
      </c>
      <c r="G762" s="1222">
        <v>166.5</v>
      </c>
      <c r="H762" s="1222">
        <v>157.0</v>
      </c>
      <c r="I762" s="1222">
        <v>950.0</v>
      </c>
      <c r="J762" s="1223">
        <v>997.5</v>
      </c>
      <c r="K762" s="1216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57"/>
      <c r="X762" s="91"/>
      <c r="Y762" s="91"/>
      <c r="Z762" s="91"/>
      <c r="AA762" s="91"/>
      <c r="AB762" s="91"/>
    </row>
    <row r="763" ht="15.75" customHeight="1">
      <c r="B763" s="249"/>
      <c r="C763" s="1222" t="s">
        <v>9391</v>
      </c>
      <c r="D763" s="1222" t="s">
        <v>6054</v>
      </c>
      <c r="E763" s="1222" t="s">
        <v>10919</v>
      </c>
      <c r="F763" s="1222">
        <v>20.0</v>
      </c>
      <c r="G763" s="1222">
        <v>331.0</v>
      </c>
      <c r="H763" s="1222">
        <v>307.0</v>
      </c>
      <c r="I763" s="1222">
        <v>480.0</v>
      </c>
      <c r="J763" s="1223">
        <v>504.0</v>
      </c>
      <c r="K763" s="1216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57"/>
      <c r="X763" s="91"/>
      <c r="Y763" s="91"/>
      <c r="Z763" s="91"/>
      <c r="AA763" s="91"/>
      <c r="AB763" s="91"/>
    </row>
    <row r="764" ht="15.75" customHeight="1">
      <c r="B764" s="249"/>
      <c r="C764" s="686" t="s">
        <v>9423</v>
      </c>
      <c r="D764" s="686" t="s">
        <v>6054</v>
      </c>
      <c r="E764" s="686" t="s">
        <v>10921</v>
      </c>
      <c r="F764" s="686">
        <v>100.0</v>
      </c>
      <c r="G764" s="686">
        <v>166.5</v>
      </c>
      <c r="H764" s="686">
        <v>157.0</v>
      </c>
      <c r="I764" s="686">
        <v>950.0</v>
      </c>
      <c r="J764" s="1220">
        <v>997.5</v>
      </c>
      <c r="K764" s="1216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57"/>
      <c r="X764" s="91"/>
      <c r="Y764" s="91"/>
      <c r="Z764" s="91"/>
      <c r="AA764" s="91"/>
      <c r="AB764" s="91"/>
    </row>
    <row r="765" ht="15.75" customHeight="1">
      <c r="B765" s="249"/>
      <c r="C765" s="1225" t="s">
        <v>9509</v>
      </c>
      <c r="D765" s="1225" t="s">
        <v>10924</v>
      </c>
      <c r="E765" s="1225" t="s">
        <v>462</v>
      </c>
      <c r="F765" s="1225">
        <v>25.0</v>
      </c>
      <c r="G765" s="1225">
        <v>387.0</v>
      </c>
      <c r="H765" s="1225">
        <v>368.0</v>
      </c>
      <c r="I765" s="1225">
        <v>475.0</v>
      </c>
      <c r="J765" s="1226">
        <v>498.75</v>
      </c>
      <c r="K765" s="1216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57"/>
      <c r="X765" s="91"/>
      <c r="Y765" s="91"/>
      <c r="Z765" s="91"/>
      <c r="AA765" s="91"/>
      <c r="AB765" s="91"/>
    </row>
    <row r="766" ht="15.75" customHeight="1">
      <c r="B766" s="249"/>
      <c r="C766" s="1225" t="s">
        <v>9699</v>
      </c>
      <c r="D766" s="1225" t="s">
        <v>10924</v>
      </c>
      <c r="E766" s="1225" t="s">
        <v>462</v>
      </c>
      <c r="F766" s="1225">
        <v>40.0</v>
      </c>
      <c r="G766" s="1225">
        <v>387.0</v>
      </c>
      <c r="H766" s="1225">
        <v>368.0</v>
      </c>
      <c r="I766" s="1225">
        <v>760.0</v>
      </c>
      <c r="J766" s="1226">
        <v>798.0</v>
      </c>
      <c r="K766" s="1227"/>
      <c r="L766" s="952"/>
      <c r="M766" s="952"/>
      <c r="N766" s="952"/>
      <c r="O766" s="952"/>
      <c r="P766" s="952"/>
      <c r="Q766" s="952"/>
      <c r="R766" s="952"/>
      <c r="S766" s="952"/>
      <c r="T766" s="952"/>
      <c r="U766" s="952"/>
      <c r="V766" s="952"/>
      <c r="W766" s="40"/>
      <c r="X766" s="952"/>
      <c r="Y766" s="952"/>
      <c r="Z766" s="952"/>
      <c r="AA766" s="952"/>
      <c r="AB766" s="952"/>
    </row>
    <row r="767" ht="15.75" customHeight="1">
      <c r="B767" s="249"/>
      <c r="C767" s="1225" t="s">
        <v>9801</v>
      </c>
      <c r="D767" s="1225" t="s">
        <v>6054</v>
      </c>
      <c r="E767" s="1225" t="s">
        <v>10919</v>
      </c>
      <c r="F767" s="1225">
        <v>10.0</v>
      </c>
      <c r="G767" s="1225">
        <v>331.0</v>
      </c>
      <c r="H767" s="1225">
        <v>307.0</v>
      </c>
      <c r="I767" s="1225">
        <v>240.0</v>
      </c>
      <c r="J767" s="1226">
        <v>252.0</v>
      </c>
      <c r="K767" s="1216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57"/>
      <c r="X767" s="91"/>
      <c r="Y767" s="91"/>
      <c r="Z767" s="91"/>
      <c r="AA767" s="91"/>
      <c r="AB767" s="91"/>
    </row>
    <row r="768" ht="15.75" customHeight="1">
      <c r="B768" s="249"/>
      <c r="C768" s="686" t="s">
        <v>10164</v>
      </c>
      <c r="D768" s="686" t="s">
        <v>6054</v>
      </c>
      <c r="E768" s="76" t="s">
        <v>10163</v>
      </c>
      <c r="F768" s="686">
        <v>100.0</v>
      </c>
      <c r="G768" s="686">
        <v>166.5</v>
      </c>
      <c r="H768" s="686">
        <v>157.0</v>
      </c>
      <c r="I768" s="686">
        <v>950.0</v>
      </c>
      <c r="J768" s="1220">
        <v>997.5</v>
      </c>
      <c r="K768" s="1216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57"/>
      <c r="X768" s="91"/>
      <c r="Y768" s="91"/>
      <c r="Z768" s="91"/>
      <c r="AA768" s="91"/>
      <c r="AB768" s="91"/>
    </row>
    <row r="769" ht="15.75" customHeight="1">
      <c r="B769" s="249"/>
      <c r="C769" s="1225" t="s">
        <v>10066</v>
      </c>
      <c r="D769" s="1225" t="s">
        <v>10924</v>
      </c>
      <c r="E769" s="1225" t="s">
        <v>462</v>
      </c>
      <c r="F769" s="1225">
        <v>35.0</v>
      </c>
      <c r="G769" s="1225">
        <v>387.0</v>
      </c>
      <c r="H769" s="1225">
        <v>368.0</v>
      </c>
      <c r="I769" s="686">
        <v>665.0</v>
      </c>
      <c r="J769" s="1220">
        <v>698.25</v>
      </c>
      <c r="K769" s="1216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57"/>
      <c r="X769" s="91"/>
      <c r="Y769" s="91"/>
      <c r="Z769" s="91"/>
      <c r="AA769" s="91"/>
      <c r="AB769" s="91"/>
    </row>
    <row r="770" ht="15.75" customHeight="1">
      <c r="B770" s="249"/>
      <c r="C770" s="1225" t="s">
        <v>10066</v>
      </c>
      <c r="D770" s="1225" t="s">
        <v>10924</v>
      </c>
      <c r="E770" s="1225" t="s">
        <v>3765</v>
      </c>
      <c r="F770" s="1225">
        <v>3.0</v>
      </c>
      <c r="G770" s="1225">
        <v>287.0</v>
      </c>
      <c r="H770" s="1225">
        <v>273.0</v>
      </c>
      <c r="I770" s="686">
        <v>42.0</v>
      </c>
      <c r="J770" s="1220">
        <v>44.1</v>
      </c>
      <c r="K770" s="1216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57"/>
      <c r="X770" s="91"/>
      <c r="Y770" s="91"/>
      <c r="Z770" s="91"/>
      <c r="AA770" s="91"/>
      <c r="AB770" s="91"/>
    </row>
    <row r="771" ht="15.75" customHeight="1">
      <c r="B771" s="249"/>
      <c r="C771" s="1225" t="s">
        <v>10942</v>
      </c>
      <c r="D771" s="1225" t="s">
        <v>6054</v>
      </c>
      <c r="E771" s="1225" t="s">
        <v>10919</v>
      </c>
      <c r="F771" s="1225">
        <v>10.0</v>
      </c>
      <c r="G771" s="1225">
        <v>331.0</v>
      </c>
      <c r="H771" s="1225">
        <v>307.0</v>
      </c>
      <c r="I771" s="1225">
        <v>240.0</v>
      </c>
      <c r="J771" s="1226">
        <v>252.0</v>
      </c>
      <c r="K771" s="1216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57"/>
      <c r="X771" s="91"/>
      <c r="Y771" s="91"/>
      <c r="Z771" s="91"/>
      <c r="AA771" s="91"/>
      <c r="AB771" s="91"/>
    </row>
    <row r="772" ht="15.75" customHeight="1">
      <c r="B772" s="249"/>
      <c r="C772" s="1225" t="s">
        <v>10173</v>
      </c>
      <c r="D772" s="1225" t="s">
        <v>10924</v>
      </c>
      <c r="E772" s="1225" t="s">
        <v>462</v>
      </c>
      <c r="F772" s="1225">
        <v>40.0</v>
      </c>
      <c r="G772" s="1225">
        <v>387.0</v>
      </c>
      <c r="H772" s="1225">
        <v>368.0</v>
      </c>
      <c r="I772" s="686">
        <v>760.0</v>
      </c>
      <c r="J772" s="1220">
        <v>798.0</v>
      </c>
      <c r="K772" s="1216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57"/>
      <c r="X772" s="91"/>
      <c r="Y772" s="91"/>
      <c r="Z772" s="91"/>
      <c r="AA772" s="91"/>
      <c r="AB772" s="91"/>
    </row>
    <row r="773" ht="15.75" customHeight="1">
      <c r="B773" s="249"/>
      <c r="C773" s="1225" t="s">
        <v>10173</v>
      </c>
      <c r="D773" s="1225" t="s">
        <v>10924</v>
      </c>
      <c r="E773" s="1225" t="s">
        <v>3765</v>
      </c>
      <c r="F773" s="1225">
        <v>9.0</v>
      </c>
      <c r="G773" s="1225">
        <v>287.0</v>
      </c>
      <c r="H773" s="1225">
        <v>273.0</v>
      </c>
      <c r="I773" s="686">
        <v>126.0</v>
      </c>
      <c r="J773" s="1226">
        <v>132.3</v>
      </c>
      <c r="K773" s="1216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57"/>
      <c r="X773" s="91"/>
      <c r="Y773" s="91"/>
      <c r="Z773" s="91"/>
      <c r="AA773" s="91"/>
      <c r="AB773" s="91"/>
    </row>
    <row r="774" ht="15.75" customHeight="1">
      <c r="B774" s="249"/>
      <c r="C774" s="686" t="s">
        <v>10303</v>
      </c>
      <c r="D774" s="686" t="s">
        <v>6054</v>
      </c>
      <c r="E774" s="76" t="s">
        <v>10163</v>
      </c>
      <c r="F774" s="686">
        <v>100.0</v>
      </c>
      <c r="G774" s="686">
        <v>160.0</v>
      </c>
      <c r="H774" s="686">
        <v>157.0</v>
      </c>
      <c r="I774" s="686">
        <v>300.0</v>
      </c>
      <c r="J774" s="1220">
        <v>315.0</v>
      </c>
      <c r="K774" s="1216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57"/>
      <c r="X774" s="91"/>
      <c r="Y774" s="91"/>
      <c r="Z774" s="91"/>
      <c r="AA774" s="91"/>
      <c r="AB774" s="91"/>
    </row>
    <row r="775" ht="15.75" customHeight="1">
      <c r="B775" s="249"/>
      <c r="C775" s="1225" t="s">
        <v>10943</v>
      </c>
      <c r="D775" s="1225" t="s">
        <v>6054</v>
      </c>
      <c r="E775" s="1225" t="s">
        <v>10919</v>
      </c>
      <c r="F775" s="1225">
        <v>20.0</v>
      </c>
      <c r="G775" s="1225">
        <v>331.0</v>
      </c>
      <c r="H775" s="1225">
        <v>307.0</v>
      </c>
      <c r="I775" s="686">
        <v>480.0</v>
      </c>
      <c r="J775" s="1220">
        <v>504.0</v>
      </c>
      <c r="K775" s="1216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57"/>
      <c r="X775" s="91"/>
      <c r="Y775" s="91"/>
      <c r="Z775" s="91"/>
      <c r="AA775" s="91"/>
      <c r="AB775" s="91"/>
    </row>
    <row r="776" ht="15.75" customHeight="1">
      <c r="B776" s="249"/>
      <c r="C776" s="686"/>
      <c r="D776" s="1225"/>
      <c r="E776" s="686"/>
      <c r="F776" s="686"/>
      <c r="G776" s="686"/>
      <c r="H776" s="686"/>
      <c r="I776" s="686"/>
      <c r="J776" s="1220"/>
      <c r="K776" s="1216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57"/>
      <c r="X776" s="91"/>
      <c r="Y776" s="91"/>
      <c r="Z776" s="91"/>
      <c r="AA776" s="91"/>
      <c r="AB776" s="91"/>
    </row>
    <row r="777" ht="15.75" customHeight="1">
      <c r="B777" s="249"/>
      <c r="C777" s="1228"/>
      <c r="D777" s="1228"/>
      <c r="E777" s="1228"/>
      <c r="F777" s="1228"/>
      <c r="G777" s="1228"/>
      <c r="H777" s="1228"/>
      <c r="I777" s="1228">
        <f t="shared" ref="I777:J777" si="36">SUM(I726:I776)</f>
        <v>24226.8</v>
      </c>
      <c r="J777" s="1228">
        <f t="shared" si="36"/>
        <v>25438.14</v>
      </c>
      <c r="K777" s="1216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57"/>
      <c r="X777" s="91"/>
      <c r="Y777" s="91"/>
      <c r="Z777" s="91"/>
      <c r="AA777" s="91"/>
      <c r="AB777" s="91"/>
    </row>
    <row r="778" ht="15.75" customHeight="1">
      <c r="A778" s="57"/>
      <c r="B778" s="952"/>
      <c r="C778" s="241"/>
      <c r="D778" s="91"/>
      <c r="E778" s="91"/>
      <c r="F778" s="91"/>
      <c r="G778" s="91"/>
      <c r="H778" s="91"/>
      <c r="I778" s="57"/>
      <c r="J778" s="91"/>
      <c r="K778" s="1216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57"/>
      <c r="X778" s="91"/>
      <c r="Y778" s="91"/>
      <c r="Z778" s="91"/>
      <c r="AA778" s="91"/>
      <c r="AB778" s="91"/>
    </row>
    <row r="779" ht="15.75" customHeight="1">
      <c r="A779" s="57"/>
      <c r="B779" s="952"/>
      <c r="C779" s="241"/>
      <c r="D779" s="91"/>
      <c r="E779" s="91"/>
      <c r="F779" s="91"/>
      <c r="G779" s="91"/>
      <c r="H779" s="91"/>
      <c r="I779" s="57"/>
      <c r="J779" s="91"/>
      <c r="K779" s="1216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57"/>
      <c r="X779" s="91"/>
      <c r="Y779" s="91"/>
      <c r="Z779" s="91"/>
      <c r="AA779" s="91"/>
      <c r="AB779" s="91"/>
    </row>
    <row r="780" ht="15.75" customHeight="1">
      <c r="A780" s="57"/>
      <c r="B780" s="952"/>
      <c r="C780" s="241"/>
      <c r="D780" s="91"/>
      <c r="E780" s="91"/>
      <c r="F780" s="91"/>
      <c r="G780" s="91"/>
      <c r="H780" s="91"/>
      <c r="I780" s="57"/>
      <c r="J780" s="91"/>
      <c r="K780" s="1216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57"/>
      <c r="X780" s="91"/>
      <c r="Y780" s="91"/>
      <c r="Z780" s="91"/>
      <c r="AA780" s="91"/>
      <c r="AB780" s="91"/>
    </row>
    <row r="781" ht="15.75" customHeight="1">
      <c r="A781" s="57"/>
      <c r="B781" s="952"/>
      <c r="C781" s="241"/>
      <c r="D781" s="91"/>
      <c r="E781" s="91"/>
      <c r="F781" s="91"/>
      <c r="G781" s="91"/>
      <c r="H781" s="91"/>
      <c r="I781" s="57"/>
      <c r="J781" s="91"/>
      <c r="K781" s="1216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57"/>
      <c r="X781" s="91"/>
      <c r="Y781" s="91"/>
      <c r="Z781" s="91"/>
      <c r="AA781" s="91"/>
      <c r="AB781" s="91"/>
    </row>
    <row r="782" ht="15.75" customHeight="1">
      <c r="A782" s="57"/>
      <c r="B782" s="952"/>
      <c r="C782" s="241"/>
      <c r="D782" s="91"/>
      <c r="E782" s="91"/>
      <c r="F782" s="91"/>
      <c r="G782" s="91"/>
      <c r="H782" s="91"/>
      <c r="I782" s="57"/>
      <c r="J782" s="91"/>
      <c r="K782" s="1216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57"/>
      <c r="X782" s="91"/>
      <c r="Y782" s="91"/>
      <c r="Z782" s="91"/>
      <c r="AA782" s="91"/>
      <c r="AB782" s="91"/>
    </row>
    <row r="783" ht="15.75" customHeight="1">
      <c r="A783" s="57"/>
      <c r="B783" s="952"/>
      <c r="C783" s="241"/>
      <c r="D783" s="91"/>
      <c r="E783" s="91"/>
      <c r="F783" s="91"/>
      <c r="G783" s="91"/>
      <c r="H783" s="91"/>
      <c r="I783" s="57"/>
      <c r="J783" s="91"/>
      <c r="K783" s="1216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57"/>
      <c r="X783" s="91"/>
      <c r="Y783" s="91"/>
      <c r="Z783" s="91"/>
      <c r="AA783" s="91"/>
      <c r="AB783" s="91"/>
    </row>
    <row r="784" ht="15.75" customHeight="1">
      <c r="A784" s="57"/>
      <c r="B784" s="952"/>
      <c r="C784" s="241"/>
      <c r="D784" s="91"/>
      <c r="E784" s="91"/>
      <c r="F784" s="91"/>
      <c r="G784" s="91"/>
      <c r="H784" s="91"/>
      <c r="I784" s="57"/>
      <c r="J784" s="91"/>
      <c r="K784" s="1216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57"/>
      <c r="X784" s="91"/>
      <c r="Y784" s="91"/>
      <c r="Z784" s="91"/>
      <c r="AA784" s="91"/>
      <c r="AB784" s="91"/>
    </row>
    <row r="785" ht="15.75" customHeight="1">
      <c r="A785" s="57"/>
      <c r="B785" s="952"/>
      <c r="C785" s="241"/>
      <c r="D785" s="91"/>
      <c r="E785" s="91"/>
      <c r="F785" s="91"/>
      <c r="G785" s="91"/>
      <c r="H785" s="91"/>
      <c r="I785" s="57"/>
      <c r="J785" s="91"/>
      <c r="K785" s="1216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57"/>
      <c r="X785" s="91"/>
      <c r="Y785" s="91"/>
      <c r="Z785" s="91"/>
      <c r="AA785" s="91"/>
      <c r="AB785" s="91"/>
    </row>
    <row r="786" ht="15.75" customHeight="1">
      <c r="A786" s="57"/>
      <c r="B786" s="952"/>
      <c r="C786" s="241"/>
      <c r="D786" s="91"/>
      <c r="E786" s="91"/>
      <c r="F786" s="91"/>
      <c r="G786" s="91"/>
      <c r="H786" s="91"/>
      <c r="I786" s="57"/>
      <c r="J786" s="91"/>
      <c r="K786" s="1216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57"/>
      <c r="X786" s="91"/>
      <c r="Y786" s="91"/>
      <c r="Z786" s="91"/>
      <c r="AA786" s="91"/>
      <c r="AB786" s="91"/>
    </row>
    <row r="787" ht="15.75" customHeight="1">
      <c r="A787" s="57"/>
      <c r="B787" s="952"/>
      <c r="C787" s="241"/>
      <c r="D787" s="91"/>
      <c r="E787" s="91"/>
      <c r="F787" s="91"/>
      <c r="G787" s="91"/>
      <c r="H787" s="91"/>
      <c r="I787" s="57"/>
      <c r="J787" s="91"/>
      <c r="K787" s="1216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57"/>
      <c r="X787" s="91"/>
      <c r="Y787" s="91"/>
      <c r="Z787" s="91"/>
      <c r="AA787" s="91"/>
      <c r="AB787" s="91"/>
    </row>
    <row r="788" ht="15.75" customHeight="1">
      <c r="A788" s="57"/>
      <c r="B788" s="952"/>
      <c r="C788" s="241"/>
      <c r="D788" s="91"/>
      <c r="E788" s="91"/>
      <c r="F788" s="91"/>
      <c r="G788" s="91"/>
      <c r="H788" s="91"/>
      <c r="I788" s="57"/>
      <c r="J788" s="91"/>
      <c r="K788" s="1216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57"/>
      <c r="X788" s="91"/>
      <c r="Y788" s="91"/>
      <c r="Z788" s="91"/>
      <c r="AA788" s="91"/>
      <c r="AB788" s="91"/>
    </row>
    <row r="789" ht="15.75" customHeight="1">
      <c r="A789" s="57"/>
      <c r="B789" s="952"/>
      <c r="C789" s="241"/>
      <c r="D789" s="91"/>
      <c r="E789" s="91"/>
      <c r="F789" s="91"/>
      <c r="G789" s="91"/>
      <c r="H789" s="91"/>
      <c r="I789" s="57"/>
      <c r="J789" s="91"/>
      <c r="K789" s="1216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57"/>
      <c r="X789" s="91"/>
      <c r="Y789" s="91"/>
      <c r="Z789" s="91"/>
      <c r="AA789" s="91"/>
      <c r="AB789" s="91"/>
    </row>
    <row r="790" ht="15.75" customHeight="1">
      <c r="A790" s="57"/>
      <c r="B790" s="952"/>
      <c r="C790" s="241"/>
      <c r="D790" s="91"/>
      <c r="E790" s="91"/>
      <c r="F790" s="91"/>
      <c r="G790" s="91"/>
      <c r="H790" s="91"/>
      <c r="I790" s="57"/>
      <c r="J790" s="91"/>
      <c r="K790" s="1216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57"/>
      <c r="X790" s="91"/>
      <c r="Y790" s="91"/>
      <c r="Z790" s="91"/>
      <c r="AA790" s="91"/>
      <c r="AB790" s="91"/>
    </row>
    <row r="791" ht="15.75" customHeight="1">
      <c r="A791" s="57"/>
      <c r="B791" s="952"/>
      <c r="C791" s="241"/>
      <c r="D791" s="91"/>
      <c r="E791" s="91"/>
      <c r="F791" s="91"/>
      <c r="G791" s="91"/>
      <c r="H791" s="91"/>
      <c r="I791" s="57"/>
      <c r="J791" s="91"/>
      <c r="K791" s="1216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57"/>
      <c r="X791" s="91"/>
      <c r="Y791" s="91"/>
      <c r="Z791" s="91"/>
      <c r="AA791" s="91"/>
      <c r="AB791" s="91"/>
    </row>
    <row r="792" ht="15.75" customHeight="1">
      <c r="A792" s="57"/>
      <c r="B792" s="952"/>
      <c r="C792" s="241"/>
      <c r="D792" s="91"/>
      <c r="E792" s="91"/>
      <c r="F792" s="91"/>
      <c r="G792" s="91"/>
      <c r="H792" s="91"/>
      <c r="I792" s="57"/>
      <c r="J792" s="91"/>
      <c r="K792" s="1216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57"/>
      <c r="X792" s="91"/>
      <c r="Y792" s="91"/>
      <c r="Z792" s="91"/>
      <c r="AA792" s="91"/>
      <c r="AB792" s="91"/>
    </row>
    <row r="793" ht="15.75" customHeight="1">
      <c r="A793" s="57"/>
      <c r="B793" s="952"/>
      <c r="C793" s="241"/>
      <c r="D793" s="91"/>
      <c r="E793" s="91"/>
      <c r="F793" s="91"/>
      <c r="G793" s="91"/>
      <c r="H793" s="91"/>
      <c r="I793" s="57"/>
      <c r="J793" s="91"/>
      <c r="K793" s="1216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57"/>
      <c r="X793" s="91"/>
      <c r="Y793" s="91"/>
      <c r="Z793" s="91"/>
      <c r="AA793" s="91"/>
      <c r="AB793" s="91"/>
    </row>
    <row r="794" ht="15.75" customHeight="1">
      <c r="A794" s="57"/>
      <c r="B794" s="952"/>
      <c r="C794" s="241"/>
      <c r="D794" s="91"/>
      <c r="E794" s="91"/>
      <c r="F794" s="91"/>
      <c r="G794" s="91"/>
      <c r="H794" s="91"/>
      <c r="I794" s="57"/>
      <c r="J794" s="91"/>
      <c r="K794" s="1216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57"/>
      <c r="X794" s="91"/>
      <c r="Y794" s="91"/>
      <c r="Z794" s="91"/>
      <c r="AA794" s="91"/>
      <c r="AB794" s="91"/>
    </row>
    <row r="795" ht="15.75" customHeight="1">
      <c r="A795" s="57"/>
      <c r="B795" s="952"/>
      <c r="C795" s="241"/>
      <c r="D795" s="91"/>
      <c r="E795" s="91"/>
      <c r="F795" s="91"/>
      <c r="G795" s="91"/>
      <c r="H795" s="91"/>
      <c r="I795" s="57"/>
      <c r="J795" s="91"/>
      <c r="K795" s="1216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57"/>
      <c r="X795" s="91"/>
      <c r="Y795" s="91"/>
      <c r="Z795" s="91"/>
      <c r="AA795" s="91"/>
      <c r="AB795" s="91"/>
    </row>
    <row r="796" ht="15.75" customHeight="1">
      <c r="A796" s="57"/>
      <c r="B796" s="952"/>
      <c r="C796" s="241"/>
      <c r="D796" s="91"/>
      <c r="E796" s="91"/>
      <c r="F796" s="91"/>
      <c r="G796" s="91"/>
      <c r="H796" s="91"/>
      <c r="I796" s="57"/>
      <c r="J796" s="91"/>
      <c r="K796" s="1216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57"/>
      <c r="X796" s="91"/>
      <c r="Y796" s="91"/>
      <c r="Z796" s="91"/>
      <c r="AA796" s="91"/>
      <c r="AB796" s="91"/>
    </row>
    <row r="797" ht="15.75" customHeight="1">
      <c r="A797" s="57"/>
      <c r="B797" s="952"/>
      <c r="C797" s="241"/>
      <c r="D797" s="91"/>
      <c r="E797" s="91"/>
      <c r="F797" s="91"/>
      <c r="G797" s="91"/>
      <c r="H797" s="91"/>
      <c r="I797" s="57"/>
      <c r="J797" s="91"/>
      <c r="K797" s="1216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57"/>
      <c r="X797" s="91"/>
      <c r="Y797" s="91"/>
      <c r="Z797" s="91"/>
      <c r="AA797" s="91"/>
      <c r="AB797" s="91"/>
    </row>
    <row r="798" ht="15.75" customHeight="1">
      <c r="A798" s="57"/>
      <c r="B798" s="952"/>
      <c r="C798" s="241"/>
      <c r="D798" s="91"/>
      <c r="E798" s="91"/>
      <c r="F798" s="91"/>
      <c r="G798" s="91"/>
      <c r="H798" s="91"/>
      <c r="I798" s="57"/>
      <c r="J798" s="91"/>
      <c r="K798" s="1216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57"/>
      <c r="X798" s="91"/>
      <c r="Y798" s="91"/>
      <c r="Z798" s="91"/>
      <c r="AA798" s="91"/>
      <c r="AB798" s="91"/>
    </row>
    <row r="799" ht="15.75" customHeight="1">
      <c r="A799" s="57"/>
      <c r="B799" s="952"/>
      <c r="C799" s="241"/>
      <c r="D799" s="91"/>
      <c r="E799" s="91"/>
      <c r="F799" s="91"/>
      <c r="G799" s="91"/>
      <c r="H799" s="91"/>
      <c r="I799" s="57"/>
      <c r="J799" s="91"/>
      <c r="K799" s="1216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57"/>
      <c r="X799" s="91"/>
      <c r="Y799" s="91"/>
      <c r="Z799" s="91"/>
      <c r="AA799" s="91"/>
      <c r="AB799" s="91"/>
    </row>
    <row r="800" ht="15.75" customHeight="1">
      <c r="A800" s="57"/>
      <c r="B800" s="952"/>
      <c r="C800" s="241"/>
      <c r="D800" s="91"/>
      <c r="E800" s="91"/>
      <c r="F800" s="91"/>
      <c r="G800" s="91"/>
      <c r="H800" s="91"/>
      <c r="I800" s="57"/>
      <c r="J800" s="91"/>
      <c r="K800" s="1216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57"/>
      <c r="X800" s="91"/>
      <c r="Y800" s="91"/>
      <c r="Z800" s="91"/>
      <c r="AA800" s="91"/>
      <c r="AB800" s="91"/>
    </row>
    <row r="801" ht="15.75" customHeight="1">
      <c r="A801" s="57"/>
      <c r="B801" s="952"/>
      <c r="C801" s="241"/>
      <c r="D801" s="91"/>
      <c r="E801" s="91"/>
      <c r="F801" s="91"/>
      <c r="G801" s="91"/>
      <c r="H801" s="91"/>
      <c r="I801" s="57"/>
      <c r="J801" s="91"/>
      <c r="K801" s="1216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57"/>
      <c r="X801" s="91"/>
      <c r="Y801" s="91"/>
      <c r="Z801" s="91"/>
      <c r="AA801" s="91"/>
      <c r="AB801" s="91"/>
    </row>
    <row r="802" ht="15.75" customHeight="1">
      <c r="A802" s="57"/>
      <c r="B802" s="952"/>
      <c r="C802" s="241"/>
      <c r="D802" s="91"/>
      <c r="E802" s="91"/>
      <c r="F802" s="91"/>
      <c r="G802" s="91"/>
      <c r="H802" s="91"/>
      <c r="I802" s="57"/>
      <c r="J802" s="91"/>
      <c r="K802" s="1216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57"/>
      <c r="X802" s="91"/>
      <c r="Y802" s="91"/>
      <c r="Z802" s="91"/>
      <c r="AA802" s="91"/>
      <c r="AB802" s="91"/>
    </row>
    <row r="803" ht="15.75" customHeight="1">
      <c r="A803" s="57"/>
      <c r="B803" s="952"/>
      <c r="C803" s="241"/>
      <c r="D803" s="91"/>
      <c r="E803" s="91"/>
      <c r="F803" s="91"/>
      <c r="G803" s="91"/>
      <c r="H803" s="91"/>
      <c r="I803" s="57"/>
      <c r="J803" s="91"/>
      <c r="K803" s="1216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57"/>
      <c r="X803" s="91"/>
      <c r="Y803" s="91"/>
      <c r="Z803" s="91"/>
      <c r="AA803" s="91"/>
      <c r="AB803" s="91"/>
    </row>
    <row r="804" ht="15.75" customHeight="1">
      <c r="A804" s="57"/>
      <c r="B804" s="952"/>
      <c r="C804" s="241"/>
      <c r="D804" s="91"/>
      <c r="E804" s="91"/>
      <c r="F804" s="91"/>
      <c r="G804" s="91"/>
      <c r="H804" s="91"/>
      <c r="I804" s="57"/>
      <c r="J804" s="91"/>
      <c r="K804" s="1216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57"/>
      <c r="X804" s="91"/>
      <c r="Y804" s="91"/>
      <c r="Z804" s="91"/>
      <c r="AA804" s="91"/>
      <c r="AB804" s="91"/>
    </row>
    <row r="805" ht="15.75" customHeight="1">
      <c r="A805" s="57"/>
      <c r="B805" s="952"/>
      <c r="C805" s="241"/>
      <c r="D805" s="91"/>
      <c r="E805" s="91"/>
      <c r="F805" s="91"/>
      <c r="G805" s="91"/>
      <c r="H805" s="91"/>
      <c r="I805" s="57"/>
      <c r="J805" s="91"/>
      <c r="K805" s="1216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57"/>
      <c r="X805" s="91"/>
      <c r="Y805" s="91"/>
      <c r="Z805" s="91"/>
      <c r="AA805" s="91"/>
      <c r="AB805" s="91"/>
    </row>
    <row r="806" ht="15.75" customHeight="1">
      <c r="A806" s="57"/>
      <c r="B806" s="952"/>
      <c r="C806" s="241"/>
      <c r="D806" s="91"/>
      <c r="E806" s="91"/>
      <c r="F806" s="91"/>
      <c r="G806" s="91"/>
      <c r="H806" s="91"/>
      <c r="I806" s="57"/>
      <c r="J806" s="91"/>
      <c r="K806" s="1216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57"/>
      <c r="X806" s="91"/>
      <c r="Y806" s="91"/>
      <c r="Z806" s="91"/>
      <c r="AA806" s="91"/>
      <c r="AB806" s="91"/>
    </row>
    <row r="807" ht="15.75" customHeight="1">
      <c r="A807" s="57"/>
      <c r="B807" s="952"/>
      <c r="C807" s="241"/>
      <c r="D807" s="91"/>
      <c r="E807" s="91"/>
      <c r="F807" s="91"/>
      <c r="G807" s="91"/>
      <c r="H807" s="91"/>
      <c r="I807" s="57"/>
      <c r="J807" s="91"/>
      <c r="K807" s="1216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57"/>
      <c r="X807" s="91"/>
      <c r="Y807" s="91"/>
      <c r="Z807" s="91"/>
      <c r="AA807" s="91"/>
      <c r="AB807" s="91"/>
    </row>
    <row r="808" ht="15.75" customHeight="1">
      <c r="A808" s="57"/>
      <c r="B808" s="952"/>
      <c r="C808" s="241"/>
      <c r="D808" s="91"/>
      <c r="E808" s="91"/>
      <c r="F808" s="91"/>
      <c r="G808" s="91"/>
      <c r="H808" s="91"/>
      <c r="I808" s="57"/>
      <c r="J808" s="91"/>
      <c r="K808" s="1216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57"/>
      <c r="X808" s="91"/>
      <c r="Y808" s="91"/>
      <c r="Z808" s="91"/>
      <c r="AA808" s="91"/>
      <c r="AB808" s="91"/>
    </row>
    <row r="809" ht="15.75" customHeight="1">
      <c r="A809" s="57"/>
      <c r="B809" s="952"/>
      <c r="C809" s="241"/>
      <c r="D809" s="91"/>
      <c r="E809" s="91"/>
      <c r="F809" s="91"/>
      <c r="G809" s="91"/>
      <c r="H809" s="91"/>
      <c r="I809" s="57"/>
      <c r="J809" s="91"/>
      <c r="K809" s="1216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57"/>
      <c r="X809" s="91"/>
      <c r="Y809" s="91"/>
      <c r="Z809" s="91"/>
      <c r="AA809" s="91"/>
      <c r="AB809" s="91"/>
    </row>
    <row r="810" ht="15.75" customHeight="1">
      <c r="A810" s="57"/>
      <c r="B810" s="952"/>
      <c r="C810" s="241"/>
      <c r="D810" s="91"/>
      <c r="E810" s="91"/>
      <c r="F810" s="91"/>
      <c r="G810" s="91"/>
      <c r="H810" s="91"/>
      <c r="I810" s="57"/>
      <c r="J810" s="91"/>
      <c r="K810" s="1216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57"/>
      <c r="X810" s="91"/>
      <c r="Y810" s="91"/>
      <c r="Z810" s="91"/>
      <c r="AA810" s="91"/>
      <c r="AB810" s="91"/>
    </row>
    <row r="811" ht="15.75" customHeight="1">
      <c r="A811" s="57"/>
      <c r="B811" s="952"/>
      <c r="C811" s="241"/>
      <c r="D811" s="91"/>
      <c r="E811" s="91"/>
      <c r="F811" s="91"/>
      <c r="G811" s="91"/>
      <c r="H811" s="91"/>
      <c r="I811" s="57"/>
      <c r="J811" s="91"/>
      <c r="K811" s="1216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57"/>
      <c r="X811" s="91"/>
      <c r="Y811" s="91"/>
      <c r="Z811" s="91"/>
      <c r="AA811" s="91"/>
      <c r="AB811" s="91"/>
    </row>
    <row r="812" ht="15.75" customHeight="1">
      <c r="A812" s="57"/>
      <c r="B812" s="952"/>
      <c r="C812" s="241"/>
      <c r="D812" s="91"/>
      <c r="E812" s="91"/>
      <c r="F812" s="91"/>
      <c r="G812" s="91"/>
      <c r="H812" s="91"/>
      <c r="I812" s="57"/>
      <c r="J812" s="91"/>
      <c r="K812" s="1216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57"/>
      <c r="X812" s="91"/>
      <c r="Y812" s="91"/>
      <c r="Z812" s="91"/>
      <c r="AA812" s="91"/>
      <c r="AB812" s="91"/>
    </row>
    <row r="813" ht="15.75" customHeight="1">
      <c r="A813" s="57"/>
      <c r="B813" s="952"/>
      <c r="C813" s="241"/>
      <c r="D813" s="91"/>
      <c r="E813" s="91"/>
      <c r="F813" s="91"/>
      <c r="G813" s="91"/>
      <c r="H813" s="91"/>
      <c r="I813" s="57"/>
      <c r="J813" s="91"/>
      <c r="K813" s="1216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57"/>
      <c r="X813" s="91"/>
      <c r="Y813" s="91"/>
      <c r="Z813" s="91"/>
      <c r="AA813" s="91"/>
      <c r="AB813" s="91"/>
    </row>
    <row r="814" ht="15.75" customHeight="1">
      <c r="A814" s="57"/>
      <c r="B814" s="952"/>
      <c r="C814" s="241"/>
      <c r="D814" s="91"/>
      <c r="E814" s="91"/>
      <c r="F814" s="91"/>
      <c r="G814" s="91"/>
      <c r="H814" s="91"/>
      <c r="I814" s="57"/>
      <c r="J814" s="91"/>
      <c r="K814" s="1216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57"/>
      <c r="X814" s="91"/>
      <c r="Y814" s="91"/>
      <c r="Z814" s="91"/>
      <c r="AA814" s="91"/>
      <c r="AB814" s="91"/>
    </row>
    <row r="815" ht="15.75" customHeight="1">
      <c r="A815" s="57"/>
      <c r="B815" s="952"/>
      <c r="C815" s="241"/>
      <c r="D815" s="91"/>
      <c r="E815" s="91"/>
      <c r="F815" s="91"/>
      <c r="G815" s="91"/>
      <c r="H815" s="91"/>
      <c r="I815" s="57"/>
      <c r="J815" s="91"/>
      <c r="K815" s="1216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57"/>
      <c r="X815" s="91"/>
      <c r="Y815" s="91"/>
      <c r="Z815" s="91"/>
      <c r="AA815" s="91"/>
      <c r="AB815" s="91"/>
    </row>
    <row r="816" ht="15.75" customHeight="1">
      <c r="A816" s="57"/>
      <c r="B816" s="952"/>
      <c r="C816" s="241"/>
      <c r="D816" s="91"/>
      <c r="E816" s="91"/>
      <c r="F816" s="91"/>
      <c r="G816" s="91"/>
      <c r="H816" s="91"/>
      <c r="I816" s="57"/>
      <c r="J816" s="91"/>
      <c r="K816" s="1216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57"/>
      <c r="X816" s="91"/>
      <c r="Y816" s="91"/>
      <c r="Z816" s="91"/>
      <c r="AA816" s="91"/>
      <c r="AB816" s="91"/>
    </row>
    <row r="817" ht="15.75" customHeight="1">
      <c r="A817" s="57"/>
      <c r="B817" s="952"/>
      <c r="C817" s="241"/>
      <c r="D817" s="91"/>
      <c r="E817" s="91"/>
      <c r="F817" s="91"/>
      <c r="G817" s="91"/>
      <c r="H817" s="91"/>
      <c r="I817" s="57"/>
      <c r="J817" s="91"/>
      <c r="K817" s="1216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57"/>
      <c r="X817" s="91"/>
      <c r="Y817" s="91"/>
      <c r="Z817" s="91"/>
      <c r="AA817" s="91"/>
      <c r="AB817" s="91"/>
    </row>
    <row r="818" ht="15.75" customHeight="1">
      <c r="A818" s="57"/>
      <c r="B818" s="952"/>
      <c r="C818" s="241"/>
      <c r="D818" s="91"/>
      <c r="E818" s="91"/>
      <c r="F818" s="91"/>
      <c r="G818" s="91"/>
      <c r="H818" s="91"/>
      <c r="I818" s="57"/>
      <c r="J818" s="91"/>
      <c r="K818" s="1216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57"/>
      <c r="X818" s="91"/>
      <c r="Y818" s="91"/>
      <c r="Z818" s="91"/>
      <c r="AA818" s="91"/>
      <c r="AB818" s="91"/>
    </row>
    <row r="819" ht="15.75" customHeight="1">
      <c r="A819" s="57"/>
      <c r="B819" s="952"/>
      <c r="C819" s="241"/>
      <c r="D819" s="91"/>
      <c r="E819" s="91"/>
      <c r="F819" s="91"/>
      <c r="G819" s="91"/>
      <c r="H819" s="91"/>
      <c r="I819" s="57"/>
      <c r="J819" s="91"/>
      <c r="K819" s="1216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57"/>
      <c r="X819" s="91"/>
      <c r="Y819" s="91"/>
      <c r="Z819" s="91"/>
      <c r="AA819" s="91"/>
      <c r="AB819" s="91"/>
    </row>
    <row r="820" ht="15.75" customHeight="1">
      <c r="A820" s="57"/>
      <c r="B820" s="952"/>
      <c r="C820" s="241"/>
      <c r="D820" s="91"/>
      <c r="E820" s="91"/>
      <c r="F820" s="91"/>
      <c r="G820" s="91"/>
      <c r="H820" s="91"/>
      <c r="I820" s="57"/>
      <c r="J820" s="91"/>
      <c r="K820" s="1216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57"/>
      <c r="X820" s="91"/>
      <c r="Y820" s="91"/>
      <c r="Z820" s="91"/>
      <c r="AA820" s="91"/>
      <c r="AB820" s="91"/>
    </row>
    <row r="821" ht="15.75" customHeight="1">
      <c r="A821" s="57"/>
      <c r="B821" s="952"/>
      <c r="C821" s="241"/>
      <c r="D821" s="91"/>
      <c r="E821" s="91"/>
      <c r="F821" s="91"/>
      <c r="G821" s="91"/>
      <c r="H821" s="91"/>
      <c r="I821" s="57"/>
      <c r="J821" s="91"/>
      <c r="K821" s="1216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57"/>
      <c r="X821" s="91"/>
      <c r="Y821" s="91"/>
      <c r="Z821" s="91"/>
      <c r="AA821" s="91"/>
      <c r="AB821" s="91"/>
    </row>
    <row r="822" ht="15.75" customHeight="1">
      <c r="A822" s="57"/>
      <c r="B822" s="952"/>
      <c r="C822" s="241"/>
      <c r="D822" s="91"/>
      <c r="E822" s="91"/>
      <c r="F822" s="91"/>
      <c r="G822" s="91"/>
      <c r="H822" s="91"/>
      <c r="I822" s="57"/>
      <c r="J822" s="91"/>
      <c r="K822" s="1216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57"/>
      <c r="X822" s="91"/>
      <c r="Y822" s="91"/>
      <c r="Z822" s="91"/>
      <c r="AA822" s="91"/>
      <c r="AB822" s="91"/>
    </row>
    <row r="823" ht="15.75" customHeight="1">
      <c r="A823" s="57"/>
      <c r="B823" s="952"/>
      <c r="C823" s="241"/>
      <c r="D823" s="91"/>
      <c r="E823" s="91"/>
      <c r="F823" s="91"/>
      <c r="G823" s="91"/>
      <c r="H823" s="91"/>
      <c r="I823" s="57"/>
      <c r="J823" s="91"/>
      <c r="K823" s="1216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57"/>
      <c r="X823" s="91"/>
      <c r="Y823" s="91"/>
      <c r="Z823" s="91"/>
      <c r="AA823" s="91"/>
      <c r="AB823" s="91"/>
    </row>
    <row r="824" ht="15.75" customHeight="1">
      <c r="A824" s="57"/>
      <c r="B824" s="952"/>
      <c r="C824" s="241"/>
      <c r="D824" s="91"/>
      <c r="E824" s="91"/>
      <c r="F824" s="91"/>
      <c r="G824" s="91"/>
      <c r="H824" s="91"/>
      <c r="I824" s="57"/>
      <c r="J824" s="91"/>
      <c r="K824" s="1216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57"/>
      <c r="X824" s="91"/>
      <c r="Y824" s="91"/>
      <c r="Z824" s="91"/>
      <c r="AA824" s="91"/>
      <c r="AB824" s="91"/>
    </row>
    <row r="825" ht="15.75" customHeight="1">
      <c r="A825" s="57"/>
      <c r="B825" s="952"/>
      <c r="C825" s="241"/>
      <c r="D825" s="91"/>
      <c r="E825" s="91"/>
      <c r="F825" s="91"/>
      <c r="G825" s="91"/>
      <c r="H825" s="91"/>
      <c r="I825" s="57"/>
      <c r="J825" s="91"/>
      <c r="K825" s="1216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57"/>
      <c r="X825" s="91"/>
      <c r="Y825" s="91"/>
      <c r="Z825" s="91"/>
      <c r="AA825" s="91"/>
      <c r="AB825" s="91"/>
    </row>
    <row r="826" ht="15.75" customHeight="1">
      <c r="A826" s="57"/>
      <c r="B826" s="952"/>
      <c r="C826" s="241"/>
      <c r="D826" s="91"/>
      <c r="E826" s="91"/>
      <c r="F826" s="91"/>
      <c r="G826" s="91"/>
      <c r="H826" s="91"/>
      <c r="I826" s="57"/>
      <c r="J826" s="91"/>
      <c r="K826" s="1216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57"/>
      <c r="X826" s="91"/>
      <c r="Y826" s="91"/>
      <c r="Z826" s="91"/>
      <c r="AA826" s="91"/>
      <c r="AB826" s="91"/>
    </row>
    <row r="827" ht="15.75" customHeight="1">
      <c r="A827" s="57"/>
      <c r="B827" s="952"/>
      <c r="C827" s="241"/>
      <c r="D827" s="91"/>
      <c r="E827" s="91"/>
      <c r="F827" s="91"/>
      <c r="G827" s="91"/>
      <c r="H827" s="91"/>
      <c r="I827" s="57"/>
      <c r="J827" s="91"/>
      <c r="K827" s="1216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57"/>
      <c r="X827" s="91"/>
      <c r="Y827" s="91"/>
      <c r="Z827" s="91"/>
      <c r="AA827" s="91"/>
      <c r="AB827" s="91"/>
    </row>
    <row r="828" ht="15.75" customHeight="1">
      <c r="A828" s="57"/>
      <c r="B828" s="952"/>
      <c r="C828" s="241"/>
      <c r="D828" s="91"/>
      <c r="E828" s="91"/>
      <c r="F828" s="91"/>
      <c r="G828" s="91"/>
      <c r="H828" s="91"/>
      <c r="I828" s="57"/>
      <c r="J828" s="91"/>
      <c r="K828" s="1216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57"/>
      <c r="X828" s="91"/>
      <c r="Y828" s="91"/>
      <c r="Z828" s="91"/>
      <c r="AA828" s="91"/>
      <c r="AB828" s="91"/>
    </row>
    <row r="829" ht="15.75" customHeight="1">
      <c r="A829" s="57"/>
      <c r="B829" s="952"/>
      <c r="C829" s="241"/>
      <c r="D829" s="91"/>
      <c r="E829" s="91"/>
      <c r="F829" s="91"/>
      <c r="G829" s="91"/>
      <c r="H829" s="91"/>
      <c r="I829" s="57"/>
      <c r="J829" s="91"/>
      <c r="K829" s="1216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57"/>
      <c r="X829" s="91"/>
      <c r="Y829" s="91"/>
      <c r="Z829" s="91"/>
      <c r="AA829" s="91"/>
      <c r="AB829" s="91"/>
    </row>
    <row r="830" ht="15.75" customHeight="1">
      <c r="A830" s="57"/>
      <c r="B830" s="952"/>
      <c r="C830" s="241"/>
      <c r="D830" s="91"/>
      <c r="E830" s="91"/>
      <c r="F830" s="91"/>
      <c r="G830" s="91"/>
      <c r="H830" s="91"/>
      <c r="I830" s="57"/>
      <c r="J830" s="91"/>
      <c r="K830" s="1216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57"/>
      <c r="X830" s="91"/>
      <c r="Y830" s="91"/>
      <c r="Z830" s="91"/>
      <c r="AA830" s="91"/>
      <c r="AB830" s="91"/>
    </row>
    <row r="831" ht="15.75" customHeight="1">
      <c r="A831" s="57"/>
      <c r="B831" s="952"/>
      <c r="C831" s="241"/>
      <c r="D831" s="91"/>
      <c r="E831" s="91"/>
      <c r="F831" s="91"/>
      <c r="G831" s="91"/>
      <c r="H831" s="91"/>
      <c r="I831" s="57"/>
      <c r="J831" s="91"/>
      <c r="K831" s="1216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57"/>
      <c r="X831" s="91"/>
      <c r="Y831" s="91"/>
      <c r="Z831" s="91"/>
      <c r="AA831" s="91"/>
      <c r="AB831" s="91"/>
    </row>
    <row r="832" ht="15.75" customHeight="1">
      <c r="A832" s="57"/>
      <c r="B832" s="952"/>
      <c r="C832" s="241"/>
      <c r="D832" s="91"/>
      <c r="E832" s="91"/>
      <c r="F832" s="91"/>
      <c r="G832" s="91"/>
      <c r="H832" s="91"/>
      <c r="I832" s="57"/>
      <c r="J832" s="91"/>
      <c r="K832" s="1216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57"/>
      <c r="X832" s="91"/>
      <c r="Y832" s="91"/>
      <c r="Z832" s="91"/>
      <c r="AA832" s="91"/>
      <c r="AB832" s="91"/>
    </row>
    <row r="833" ht="15.75" customHeight="1">
      <c r="A833" s="57"/>
      <c r="B833" s="952"/>
      <c r="C833" s="241"/>
      <c r="D833" s="91"/>
      <c r="E833" s="91"/>
      <c r="F833" s="91"/>
      <c r="G833" s="91"/>
      <c r="H833" s="91"/>
      <c r="I833" s="57"/>
      <c r="J833" s="91"/>
      <c r="K833" s="1216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57"/>
      <c r="X833" s="91"/>
      <c r="Y833" s="91"/>
      <c r="Z833" s="91"/>
      <c r="AA833" s="91"/>
      <c r="AB833" s="91"/>
    </row>
    <row r="834" ht="15.75" customHeight="1">
      <c r="A834" s="57"/>
      <c r="B834" s="952"/>
      <c r="C834" s="241"/>
      <c r="D834" s="91"/>
      <c r="E834" s="91"/>
      <c r="F834" s="91"/>
      <c r="G834" s="91"/>
      <c r="H834" s="91"/>
      <c r="I834" s="57"/>
      <c r="J834" s="91"/>
      <c r="K834" s="1216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57"/>
      <c r="X834" s="91"/>
      <c r="Y834" s="91"/>
      <c r="Z834" s="91"/>
      <c r="AA834" s="91"/>
      <c r="AB834" s="91"/>
    </row>
    <row r="835" ht="15.75" customHeight="1">
      <c r="A835" s="57"/>
      <c r="B835" s="952"/>
      <c r="C835" s="241"/>
      <c r="D835" s="91"/>
      <c r="E835" s="91"/>
      <c r="F835" s="91"/>
      <c r="G835" s="91"/>
      <c r="H835" s="91"/>
      <c r="I835" s="57"/>
      <c r="J835" s="91"/>
      <c r="K835" s="1216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57"/>
      <c r="X835" s="91"/>
      <c r="Y835" s="91"/>
      <c r="Z835" s="91"/>
      <c r="AA835" s="91"/>
      <c r="AB835" s="91"/>
    </row>
    <row r="836" ht="15.75" customHeight="1">
      <c r="A836" s="57"/>
      <c r="B836" s="952"/>
      <c r="C836" s="241"/>
      <c r="D836" s="91"/>
      <c r="E836" s="91"/>
      <c r="F836" s="91"/>
      <c r="G836" s="91"/>
      <c r="H836" s="91"/>
      <c r="I836" s="57"/>
      <c r="J836" s="91"/>
      <c r="K836" s="1216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57"/>
      <c r="X836" s="91"/>
      <c r="Y836" s="91"/>
      <c r="Z836" s="91"/>
      <c r="AA836" s="91"/>
      <c r="AB836" s="91"/>
    </row>
    <row r="837" ht="15.75" customHeight="1">
      <c r="A837" s="57"/>
      <c r="B837" s="952"/>
      <c r="C837" s="241"/>
      <c r="D837" s="91"/>
      <c r="E837" s="91"/>
      <c r="F837" s="91"/>
      <c r="G837" s="91"/>
      <c r="H837" s="91"/>
      <c r="I837" s="57"/>
      <c r="J837" s="91"/>
      <c r="K837" s="1216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57"/>
      <c r="X837" s="91"/>
      <c r="Y837" s="91"/>
      <c r="Z837" s="91"/>
      <c r="AA837" s="91"/>
      <c r="AB837" s="91"/>
    </row>
    <row r="838" ht="15.75" customHeight="1">
      <c r="A838" s="57"/>
      <c r="B838" s="952"/>
      <c r="C838" s="241"/>
      <c r="D838" s="91"/>
      <c r="E838" s="91"/>
      <c r="F838" s="91"/>
      <c r="G838" s="91"/>
      <c r="H838" s="91"/>
      <c r="I838" s="57"/>
      <c r="J838" s="91"/>
      <c r="K838" s="1216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57"/>
      <c r="X838" s="91"/>
      <c r="Y838" s="91"/>
      <c r="Z838" s="91"/>
      <c r="AA838" s="91"/>
      <c r="AB838" s="91"/>
    </row>
    <row r="839" ht="15.75" customHeight="1">
      <c r="A839" s="57"/>
      <c r="B839" s="952"/>
      <c r="C839" s="241"/>
      <c r="D839" s="91"/>
      <c r="E839" s="91"/>
      <c r="F839" s="91"/>
      <c r="G839" s="91"/>
      <c r="H839" s="91"/>
      <c r="I839" s="57"/>
      <c r="J839" s="91"/>
      <c r="K839" s="1216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57"/>
      <c r="X839" s="91"/>
      <c r="Y839" s="91"/>
      <c r="Z839" s="91"/>
      <c r="AA839" s="91"/>
      <c r="AB839" s="91"/>
    </row>
    <row r="840" ht="15.75" customHeight="1">
      <c r="A840" s="57"/>
      <c r="B840" s="952"/>
      <c r="C840" s="241"/>
      <c r="D840" s="91"/>
      <c r="E840" s="91"/>
      <c r="F840" s="91"/>
      <c r="G840" s="91"/>
      <c r="H840" s="91"/>
      <c r="I840" s="57"/>
      <c r="J840" s="91"/>
      <c r="K840" s="1216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57"/>
      <c r="X840" s="91"/>
      <c r="Y840" s="91"/>
      <c r="Z840" s="91"/>
      <c r="AA840" s="91"/>
      <c r="AB840" s="91"/>
    </row>
    <row r="841" ht="15.75" customHeight="1">
      <c r="A841" s="57"/>
      <c r="B841" s="952"/>
      <c r="C841" s="241"/>
      <c r="D841" s="91"/>
      <c r="E841" s="91"/>
      <c r="F841" s="91"/>
      <c r="G841" s="91"/>
      <c r="H841" s="91"/>
      <c r="I841" s="57"/>
      <c r="J841" s="91"/>
      <c r="K841" s="1216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57"/>
      <c r="X841" s="91"/>
      <c r="Y841" s="91"/>
      <c r="Z841" s="91"/>
      <c r="AA841" s="91"/>
      <c r="AB841" s="91"/>
    </row>
    <row r="842" ht="15.75" customHeight="1">
      <c r="A842" s="57"/>
      <c r="B842" s="952"/>
      <c r="C842" s="241"/>
      <c r="D842" s="91"/>
      <c r="E842" s="91"/>
      <c r="F842" s="91"/>
      <c r="G842" s="91"/>
      <c r="H842" s="91"/>
      <c r="I842" s="57"/>
      <c r="J842" s="91"/>
      <c r="K842" s="1216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57"/>
      <c r="X842" s="91"/>
      <c r="Y842" s="91"/>
      <c r="Z842" s="91"/>
      <c r="AA842" s="91"/>
      <c r="AB842" s="91"/>
    </row>
    <row r="843" ht="15.75" customHeight="1">
      <c r="A843" s="57"/>
      <c r="B843" s="952"/>
      <c r="C843" s="241"/>
      <c r="D843" s="91"/>
      <c r="E843" s="91"/>
      <c r="F843" s="91"/>
      <c r="G843" s="91"/>
      <c r="H843" s="91"/>
      <c r="I843" s="57"/>
      <c r="J843" s="91"/>
      <c r="K843" s="1216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57"/>
      <c r="X843" s="91"/>
      <c r="Y843" s="91"/>
      <c r="Z843" s="91"/>
      <c r="AA843" s="91"/>
      <c r="AB843" s="91"/>
    </row>
    <row r="844" ht="15.75" customHeight="1">
      <c r="A844" s="57"/>
      <c r="B844" s="952"/>
      <c r="C844" s="241"/>
      <c r="D844" s="91"/>
      <c r="E844" s="91"/>
      <c r="F844" s="91"/>
      <c r="G844" s="91"/>
      <c r="H844" s="91"/>
      <c r="I844" s="57"/>
      <c r="J844" s="91"/>
      <c r="K844" s="1216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57"/>
      <c r="X844" s="91"/>
      <c r="Y844" s="91"/>
      <c r="Z844" s="91"/>
      <c r="AA844" s="91"/>
      <c r="AB844" s="91"/>
    </row>
    <row r="845" ht="15.75" customHeight="1">
      <c r="A845" s="57"/>
      <c r="B845" s="952"/>
      <c r="C845" s="241"/>
      <c r="D845" s="91"/>
      <c r="E845" s="91"/>
      <c r="F845" s="91"/>
      <c r="G845" s="91"/>
      <c r="H845" s="91"/>
      <c r="I845" s="57"/>
      <c r="J845" s="91"/>
      <c r="K845" s="1216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57"/>
      <c r="X845" s="91"/>
      <c r="Y845" s="91"/>
      <c r="Z845" s="91"/>
      <c r="AA845" s="91"/>
      <c r="AB845" s="91"/>
    </row>
    <row r="846" ht="15.75" customHeight="1">
      <c r="A846" s="57"/>
      <c r="B846" s="952"/>
      <c r="C846" s="241"/>
      <c r="D846" s="91"/>
      <c r="E846" s="91"/>
      <c r="F846" s="91"/>
      <c r="G846" s="91"/>
      <c r="H846" s="91"/>
      <c r="I846" s="57"/>
      <c r="J846" s="91"/>
      <c r="K846" s="1216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57"/>
      <c r="X846" s="91"/>
      <c r="Y846" s="91"/>
      <c r="Z846" s="91"/>
      <c r="AA846" s="91"/>
      <c r="AB846" s="91"/>
    </row>
    <row r="847" ht="15.75" customHeight="1">
      <c r="A847" s="57"/>
      <c r="B847" s="952"/>
      <c r="C847" s="241"/>
      <c r="D847" s="91"/>
      <c r="E847" s="91"/>
      <c r="F847" s="91"/>
      <c r="G847" s="91"/>
      <c r="H847" s="91"/>
      <c r="I847" s="57"/>
      <c r="J847" s="91"/>
      <c r="K847" s="1216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57"/>
      <c r="X847" s="91"/>
      <c r="Y847" s="91"/>
      <c r="Z847" s="91"/>
      <c r="AA847" s="91"/>
      <c r="AB847" s="91"/>
    </row>
    <row r="848" ht="15.75" customHeight="1">
      <c r="A848" s="57"/>
      <c r="B848" s="952"/>
      <c r="C848" s="241"/>
      <c r="D848" s="91"/>
      <c r="E848" s="91"/>
      <c r="F848" s="91"/>
      <c r="G848" s="91"/>
      <c r="H848" s="91"/>
      <c r="I848" s="57"/>
      <c r="J848" s="91"/>
      <c r="K848" s="1216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57"/>
      <c r="X848" s="91"/>
      <c r="Y848" s="91"/>
      <c r="Z848" s="91"/>
      <c r="AA848" s="91"/>
      <c r="AB848" s="91"/>
    </row>
    <row r="849" ht="15.75" customHeight="1">
      <c r="A849" s="57"/>
      <c r="B849" s="952"/>
      <c r="C849" s="241"/>
      <c r="D849" s="91"/>
      <c r="E849" s="91"/>
      <c r="F849" s="91"/>
      <c r="G849" s="91"/>
      <c r="H849" s="91"/>
      <c r="I849" s="57"/>
      <c r="J849" s="91"/>
      <c r="K849" s="1216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57"/>
      <c r="X849" s="91"/>
      <c r="Y849" s="91"/>
      <c r="Z849" s="91"/>
      <c r="AA849" s="91"/>
      <c r="AB849" s="91"/>
    </row>
    <row r="850" ht="15.75" customHeight="1">
      <c r="A850" s="57"/>
      <c r="B850" s="952"/>
      <c r="C850" s="241"/>
      <c r="D850" s="91"/>
      <c r="E850" s="91"/>
      <c r="F850" s="91"/>
      <c r="G850" s="91"/>
      <c r="H850" s="91"/>
      <c r="I850" s="57"/>
      <c r="J850" s="91"/>
      <c r="K850" s="1216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57"/>
      <c r="X850" s="91"/>
      <c r="Y850" s="91"/>
      <c r="Z850" s="91"/>
      <c r="AA850" s="91"/>
      <c r="AB850" s="91"/>
    </row>
    <row r="851" ht="15.75" customHeight="1">
      <c r="A851" s="57"/>
      <c r="B851" s="952"/>
      <c r="C851" s="241"/>
      <c r="D851" s="91"/>
      <c r="E851" s="91"/>
      <c r="F851" s="91"/>
      <c r="G851" s="91"/>
      <c r="H851" s="91"/>
      <c r="I851" s="57"/>
      <c r="J851" s="91"/>
      <c r="K851" s="1216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57"/>
      <c r="X851" s="91"/>
      <c r="Y851" s="91"/>
      <c r="Z851" s="91"/>
      <c r="AA851" s="91"/>
      <c r="AB851" s="91"/>
    </row>
    <row r="852" ht="15.75" customHeight="1">
      <c r="A852" s="57"/>
      <c r="B852" s="952"/>
      <c r="C852" s="241"/>
      <c r="D852" s="91"/>
      <c r="E852" s="91"/>
      <c r="F852" s="91"/>
      <c r="G852" s="91"/>
      <c r="H852" s="91"/>
      <c r="I852" s="57"/>
      <c r="J852" s="91"/>
      <c r="K852" s="1216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57"/>
      <c r="X852" s="91"/>
      <c r="Y852" s="91"/>
      <c r="Z852" s="91"/>
      <c r="AA852" s="91"/>
      <c r="AB852" s="91"/>
    </row>
    <row r="853" ht="15.75" customHeight="1">
      <c r="A853" s="57"/>
      <c r="B853" s="952"/>
      <c r="C853" s="241"/>
      <c r="D853" s="91"/>
      <c r="E853" s="91"/>
      <c r="F853" s="91"/>
      <c r="G853" s="91"/>
      <c r="H853" s="91"/>
      <c r="I853" s="57"/>
      <c r="J853" s="91"/>
      <c r="K853" s="1216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57"/>
      <c r="X853" s="91"/>
      <c r="Y853" s="91"/>
      <c r="Z853" s="91"/>
      <c r="AA853" s="91"/>
      <c r="AB853" s="91"/>
    </row>
    <row r="854" ht="15.75" customHeight="1">
      <c r="A854" s="57"/>
      <c r="B854" s="952"/>
      <c r="C854" s="241"/>
      <c r="D854" s="91"/>
      <c r="E854" s="91"/>
      <c r="F854" s="91"/>
      <c r="G854" s="91"/>
      <c r="H854" s="91"/>
      <c r="I854" s="57"/>
      <c r="J854" s="91"/>
      <c r="K854" s="1216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57"/>
      <c r="X854" s="91"/>
      <c r="Y854" s="91"/>
      <c r="Z854" s="91"/>
      <c r="AA854" s="91"/>
      <c r="AB854" s="91"/>
    </row>
    <row r="855" ht="15.75" customHeight="1">
      <c r="A855" s="57"/>
      <c r="B855" s="952"/>
      <c r="C855" s="241"/>
      <c r="D855" s="91"/>
      <c r="E855" s="91"/>
      <c r="F855" s="91"/>
      <c r="G855" s="91"/>
      <c r="H855" s="91"/>
      <c r="I855" s="57"/>
      <c r="J855" s="91"/>
      <c r="K855" s="1216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57"/>
      <c r="X855" s="91"/>
      <c r="Y855" s="91"/>
      <c r="Z855" s="91"/>
      <c r="AA855" s="91"/>
      <c r="AB855" s="91"/>
    </row>
    <row r="856" ht="15.75" customHeight="1">
      <c r="A856" s="57"/>
      <c r="B856" s="952"/>
      <c r="C856" s="241"/>
      <c r="D856" s="91"/>
      <c r="E856" s="91"/>
      <c r="F856" s="91"/>
      <c r="G856" s="91"/>
      <c r="H856" s="91"/>
      <c r="I856" s="57"/>
      <c r="J856" s="91"/>
      <c r="K856" s="1216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57"/>
      <c r="X856" s="91"/>
      <c r="Y856" s="91"/>
      <c r="Z856" s="91"/>
      <c r="AA856" s="91"/>
      <c r="AB856" s="91"/>
    </row>
    <row r="857" ht="15.75" customHeight="1">
      <c r="A857" s="57"/>
      <c r="B857" s="952"/>
      <c r="C857" s="241"/>
      <c r="D857" s="91"/>
      <c r="E857" s="91"/>
      <c r="F857" s="91"/>
      <c r="G857" s="91"/>
      <c r="H857" s="91"/>
      <c r="I857" s="57"/>
      <c r="J857" s="91"/>
      <c r="K857" s="1216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57"/>
      <c r="X857" s="91"/>
      <c r="Y857" s="91"/>
      <c r="Z857" s="91"/>
      <c r="AA857" s="91"/>
      <c r="AB857" s="91"/>
    </row>
    <row r="858" ht="15.75" customHeight="1">
      <c r="A858" s="57"/>
      <c r="B858" s="952"/>
      <c r="C858" s="241"/>
      <c r="D858" s="91"/>
      <c r="E858" s="91"/>
      <c r="F858" s="91"/>
      <c r="G858" s="91"/>
      <c r="H858" s="91"/>
      <c r="I858" s="57"/>
      <c r="J858" s="91"/>
      <c r="K858" s="1216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57"/>
      <c r="X858" s="91"/>
      <c r="Y858" s="91"/>
      <c r="Z858" s="91"/>
      <c r="AA858" s="91"/>
      <c r="AB858" s="91"/>
    </row>
    <row r="859" ht="15.75" customHeight="1">
      <c r="A859" s="57"/>
      <c r="B859" s="952"/>
      <c r="C859" s="241"/>
      <c r="D859" s="91"/>
      <c r="E859" s="91"/>
      <c r="F859" s="91"/>
      <c r="G859" s="91"/>
      <c r="H859" s="91"/>
      <c r="I859" s="57"/>
      <c r="J859" s="91"/>
      <c r="K859" s="1216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57"/>
      <c r="X859" s="91"/>
      <c r="Y859" s="91"/>
      <c r="Z859" s="91"/>
      <c r="AA859" s="91"/>
      <c r="AB859" s="91"/>
    </row>
    <row r="860" ht="15.75" customHeight="1">
      <c r="A860" s="57"/>
      <c r="B860" s="952"/>
      <c r="C860" s="241"/>
      <c r="D860" s="91"/>
      <c r="E860" s="91"/>
      <c r="F860" s="91"/>
      <c r="G860" s="91"/>
      <c r="H860" s="91"/>
      <c r="I860" s="57"/>
      <c r="J860" s="91"/>
      <c r="K860" s="1216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57"/>
      <c r="X860" s="91"/>
      <c r="Y860" s="91"/>
      <c r="Z860" s="91"/>
      <c r="AA860" s="91"/>
      <c r="AB860" s="91"/>
    </row>
    <row r="861" ht="15.75" customHeight="1">
      <c r="A861" s="57"/>
      <c r="B861" s="952"/>
      <c r="C861" s="241"/>
      <c r="D861" s="91"/>
      <c r="E861" s="91"/>
      <c r="F861" s="91"/>
      <c r="G861" s="91"/>
      <c r="H861" s="91"/>
      <c r="I861" s="57"/>
      <c r="J861" s="91"/>
      <c r="K861" s="1216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57"/>
      <c r="X861" s="91"/>
      <c r="Y861" s="91"/>
      <c r="Z861" s="91"/>
      <c r="AA861" s="91"/>
      <c r="AB861" s="91"/>
    </row>
    <row r="862" ht="15.75" customHeight="1">
      <c r="A862" s="57"/>
      <c r="B862" s="952"/>
      <c r="C862" s="241"/>
      <c r="D862" s="91"/>
      <c r="E862" s="91"/>
      <c r="F862" s="91"/>
      <c r="G862" s="91"/>
      <c r="H862" s="91"/>
      <c r="I862" s="57"/>
      <c r="J862" s="91"/>
      <c r="K862" s="1216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57"/>
      <c r="X862" s="91"/>
      <c r="Y862" s="91"/>
      <c r="Z862" s="91"/>
      <c r="AA862" s="91"/>
      <c r="AB862" s="91"/>
    </row>
    <row r="863" ht="15.75" customHeight="1">
      <c r="A863" s="57"/>
      <c r="B863" s="952"/>
      <c r="C863" s="241"/>
      <c r="D863" s="91"/>
      <c r="E863" s="91"/>
      <c r="F863" s="91"/>
      <c r="G863" s="91"/>
      <c r="H863" s="91"/>
      <c r="I863" s="57"/>
      <c r="J863" s="91"/>
      <c r="K863" s="1216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57"/>
      <c r="X863" s="91"/>
      <c r="Y863" s="91"/>
      <c r="Z863" s="91"/>
      <c r="AA863" s="91"/>
      <c r="AB863" s="91"/>
    </row>
    <row r="864" ht="15.75" customHeight="1">
      <c r="A864" s="57"/>
      <c r="B864" s="952"/>
      <c r="C864" s="241"/>
      <c r="D864" s="91"/>
      <c r="E864" s="91"/>
      <c r="F864" s="91"/>
      <c r="G864" s="91"/>
      <c r="H864" s="91"/>
      <c r="I864" s="57"/>
      <c r="J864" s="91"/>
      <c r="K864" s="1216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57"/>
      <c r="X864" s="91"/>
      <c r="Y864" s="91"/>
      <c r="Z864" s="91"/>
      <c r="AA864" s="91"/>
      <c r="AB864" s="91"/>
    </row>
    <row r="865" ht="15.75" customHeight="1">
      <c r="A865" s="57"/>
      <c r="B865" s="952"/>
      <c r="C865" s="241"/>
      <c r="D865" s="91"/>
      <c r="E865" s="91"/>
      <c r="F865" s="91"/>
      <c r="G865" s="91"/>
      <c r="H865" s="91"/>
      <c r="I865" s="57"/>
      <c r="J865" s="91"/>
      <c r="K865" s="1216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57"/>
      <c r="X865" s="91"/>
      <c r="Y865" s="91"/>
      <c r="Z865" s="91"/>
      <c r="AA865" s="91"/>
      <c r="AB865" s="91"/>
    </row>
    <row r="866" ht="15.75" customHeight="1">
      <c r="A866" s="57"/>
      <c r="B866" s="952"/>
      <c r="C866" s="241"/>
      <c r="D866" s="91"/>
      <c r="E866" s="91"/>
      <c r="F866" s="91"/>
      <c r="G866" s="91"/>
      <c r="H866" s="91"/>
      <c r="I866" s="57"/>
      <c r="J866" s="91"/>
      <c r="K866" s="1216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57"/>
      <c r="X866" s="91"/>
      <c r="Y866" s="91"/>
      <c r="Z866" s="91"/>
      <c r="AA866" s="91"/>
      <c r="AB866" s="91"/>
    </row>
    <row r="867" ht="15.75" customHeight="1">
      <c r="A867" s="57"/>
      <c r="B867" s="952"/>
      <c r="C867" s="241"/>
      <c r="D867" s="91"/>
      <c r="E867" s="91"/>
      <c r="F867" s="91"/>
      <c r="G867" s="91"/>
      <c r="H867" s="91"/>
      <c r="I867" s="57"/>
      <c r="J867" s="91"/>
      <c r="K867" s="1216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57"/>
      <c r="X867" s="91"/>
      <c r="Y867" s="91"/>
      <c r="Z867" s="91"/>
      <c r="AA867" s="91"/>
      <c r="AB867" s="91"/>
    </row>
    <row r="868" ht="15.75" customHeight="1">
      <c r="A868" s="57"/>
      <c r="B868" s="952"/>
      <c r="C868" s="241"/>
      <c r="D868" s="91"/>
      <c r="E868" s="91"/>
      <c r="F868" s="91"/>
      <c r="G868" s="91"/>
      <c r="H868" s="91"/>
      <c r="I868" s="57"/>
      <c r="J868" s="91"/>
      <c r="K868" s="1216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57"/>
      <c r="X868" s="91"/>
      <c r="Y868" s="91"/>
      <c r="Z868" s="91"/>
      <c r="AA868" s="91"/>
      <c r="AB868" s="91"/>
    </row>
    <row r="869" ht="15.75" customHeight="1">
      <c r="A869" s="57"/>
      <c r="B869" s="952"/>
      <c r="C869" s="241"/>
      <c r="D869" s="91"/>
      <c r="E869" s="91"/>
      <c r="F869" s="91"/>
      <c r="G869" s="91"/>
      <c r="H869" s="91"/>
      <c r="I869" s="57"/>
      <c r="J869" s="91"/>
      <c r="K869" s="1216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57"/>
      <c r="X869" s="91"/>
      <c r="Y869" s="91"/>
      <c r="Z869" s="91"/>
      <c r="AA869" s="91"/>
      <c r="AB869" s="91"/>
    </row>
    <row r="870" ht="15.75" customHeight="1">
      <c r="A870" s="57"/>
      <c r="B870" s="952"/>
      <c r="C870" s="241"/>
      <c r="D870" s="91"/>
      <c r="E870" s="91"/>
      <c r="F870" s="91"/>
      <c r="G870" s="91"/>
      <c r="H870" s="91"/>
      <c r="I870" s="57"/>
      <c r="J870" s="91"/>
      <c r="K870" s="1216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57"/>
      <c r="X870" s="91"/>
      <c r="Y870" s="91"/>
      <c r="Z870" s="91"/>
      <c r="AA870" s="91"/>
      <c r="AB870" s="91"/>
    </row>
    <row r="871" ht="15.75" customHeight="1">
      <c r="A871" s="57"/>
      <c r="B871" s="952"/>
      <c r="C871" s="241"/>
      <c r="D871" s="91"/>
      <c r="E871" s="91"/>
      <c r="F871" s="91"/>
      <c r="G871" s="91"/>
      <c r="H871" s="91"/>
      <c r="I871" s="57"/>
      <c r="J871" s="91"/>
      <c r="K871" s="1216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57"/>
      <c r="X871" s="91"/>
      <c r="Y871" s="91"/>
      <c r="Z871" s="91"/>
      <c r="AA871" s="91"/>
      <c r="AB871" s="91"/>
    </row>
    <row r="872" ht="15.75" customHeight="1">
      <c r="A872" s="57"/>
      <c r="B872" s="952"/>
      <c r="C872" s="241"/>
      <c r="D872" s="91"/>
      <c r="E872" s="91"/>
      <c r="F872" s="91"/>
      <c r="G872" s="91"/>
      <c r="H872" s="91"/>
      <c r="I872" s="57"/>
      <c r="J872" s="91"/>
      <c r="K872" s="1216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57"/>
      <c r="X872" s="91"/>
      <c r="Y872" s="91"/>
      <c r="Z872" s="91"/>
      <c r="AA872" s="91"/>
      <c r="AB872" s="91"/>
    </row>
    <row r="873" ht="15.75" customHeight="1">
      <c r="A873" s="57"/>
      <c r="B873" s="952"/>
      <c r="C873" s="241"/>
      <c r="D873" s="91"/>
      <c r="E873" s="91"/>
      <c r="F873" s="91"/>
      <c r="G873" s="91"/>
      <c r="H873" s="91"/>
      <c r="I873" s="57"/>
      <c r="J873" s="91"/>
      <c r="K873" s="1216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57"/>
      <c r="X873" s="91"/>
      <c r="Y873" s="91"/>
      <c r="Z873" s="91"/>
      <c r="AA873" s="91"/>
      <c r="AB873" s="91"/>
    </row>
    <row r="874" ht="15.75" customHeight="1">
      <c r="A874" s="57"/>
      <c r="B874" s="952"/>
      <c r="C874" s="241"/>
      <c r="D874" s="91"/>
      <c r="E874" s="91"/>
      <c r="F874" s="91"/>
      <c r="G874" s="91"/>
      <c r="H874" s="91"/>
      <c r="I874" s="57"/>
      <c r="J874" s="91"/>
      <c r="K874" s="1216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57"/>
      <c r="X874" s="91"/>
      <c r="Y874" s="91"/>
      <c r="Z874" s="91"/>
      <c r="AA874" s="91"/>
      <c r="AB874" s="91"/>
    </row>
    <row r="875" ht="15.75" customHeight="1">
      <c r="A875" s="57"/>
      <c r="B875" s="952"/>
      <c r="C875" s="241"/>
      <c r="D875" s="91"/>
      <c r="E875" s="91"/>
      <c r="F875" s="91"/>
      <c r="G875" s="91"/>
      <c r="H875" s="91"/>
      <c r="I875" s="57"/>
      <c r="J875" s="91"/>
      <c r="K875" s="1216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57"/>
      <c r="X875" s="91"/>
      <c r="Y875" s="91"/>
      <c r="Z875" s="91"/>
      <c r="AA875" s="91"/>
      <c r="AB875" s="91"/>
    </row>
    <row r="876" ht="15.75" customHeight="1">
      <c r="A876" s="57"/>
      <c r="B876" s="952"/>
      <c r="C876" s="241"/>
      <c r="D876" s="91"/>
      <c r="E876" s="91"/>
      <c r="F876" s="91"/>
      <c r="G876" s="91"/>
      <c r="H876" s="91"/>
      <c r="I876" s="57"/>
      <c r="J876" s="91"/>
      <c r="K876" s="1216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57"/>
      <c r="X876" s="91"/>
      <c r="Y876" s="91"/>
      <c r="Z876" s="91"/>
      <c r="AA876" s="91"/>
      <c r="AB876" s="91"/>
    </row>
    <row r="877" ht="15.75" customHeight="1">
      <c r="A877" s="57"/>
      <c r="B877" s="952"/>
      <c r="C877" s="241"/>
      <c r="D877" s="91"/>
      <c r="E877" s="91"/>
      <c r="F877" s="91"/>
      <c r="G877" s="91"/>
      <c r="H877" s="91"/>
      <c r="I877" s="57"/>
      <c r="J877" s="91"/>
      <c r="K877" s="1216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57"/>
      <c r="X877" s="91"/>
      <c r="Y877" s="91"/>
      <c r="Z877" s="91"/>
      <c r="AA877" s="91"/>
      <c r="AB877" s="91"/>
    </row>
    <row r="878" ht="15.75" customHeight="1">
      <c r="A878" s="57"/>
      <c r="B878" s="952"/>
      <c r="C878" s="241"/>
      <c r="D878" s="91"/>
      <c r="E878" s="91"/>
      <c r="F878" s="91"/>
      <c r="G878" s="91"/>
      <c r="H878" s="91"/>
      <c r="I878" s="57"/>
      <c r="J878" s="91"/>
      <c r="K878" s="1216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57"/>
      <c r="X878" s="91"/>
      <c r="Y878" s="91"/>
      <c r="Z878" s="91"/>
      <c r="AA878" s="91"/>
      <c r="AB878" s="91"/>
    </row>
    <row r="879" ht="15.75" customHeight="1">
      <c r="A879" s="57"/>
      <c r="B879" s="952"/>
      <c r="C879" s="241"/>
      <c r="D879" s="91"/>
      <c r="E879" s="91"/>
      <c r="F879" s="91"/>
      <c r="G879" s="91"/>
      <c r="H879" s="91"/>
      <c r="I879" s="57"/>
      <c r="J879" s="91"/>
      <c r="K879" s="1216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57"/>
      <c r="X879" s="91"/>
      <c r="Y879" s="91"/>
      <c r="Z879" s="91"/>
      <c r="AA879" s="91"/>
      <c r="AB879" s="91"/>
    </row>
    <row r="880" ht="15.75" customHeight="1">
      <c r="A880" s="57"/>
      <c r="B880" s="952"/>
      <c r="C880" s="241"/>
      <c r="D880" s="91"/>
      <c r="E880" s="91"/>
      <c r="F880" s="91"/>
      <c r="G880" s="91"/>
      <c r="H880" s="91"/>
      <c r="I880" s="57"/>
      <c r="J880" s="91"/>
      <c r="K880" s="1216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57"/>
      <c r="X880" s="91"/>
      <c r="Y880" s="91"/>
      <c r="Z880" s="91"/>
      <c r="AA880" s="91"/>
      <c r="AB880" s="91"/>
    </row>
    <row r="881" ht="15.75" customHeight="1">
      <c r="A881" s="57"/>
      <c r="B881" s="952"/>
      <c r="C881" s="241"/>
      <c r="D881" s="91"/>
      <c r="E881" s="91"/>
      <c r="F881" s="91"/>
      <c r="G881" s="91"/>
      <c r="H881" s="91"/>
      <c r="I881" s="57"/>
      <c r="J881" s="91"/>
      <c r="K881" s="1216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57"/>
      <c r="X881" s="91"/>
      <c r="Y881" s="91"/>
      <c r="Z881" s="91"/>
      <c r="AA881" s="91"/>
      <c r="AB881" s="91"/>
    </row>
    <row r="882" ht="15.75" customHeight="1">
      <c r="A882" s="57"/>
      <c r="B882" s="952"/>
      <c r="C882" s="241"/>
      <c r="D882" s="91"/>
      <c r="E882" s="91"/>
      <c r="F882" s="91"/>
      <c r="G882" s="91"/>
      <c r="H882" s="91"/>
      <c r="I882" s="57"/>
      <c r="J882" s="91"/>
      <c r="K882" s="1216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57"/>
      <c r="X882" s="91"/>
      <c r="Y882" s="91"/>
      <c r="Z882" s="91"/>
      <c r="AA882" s="91"/>
      <c r="AB882" s="91"/>
    </row>
    <row r="883" ht="15.75" customHeight="1">
      <c r="A883" s="57"/>
      <c r="B883" s="952"/>
      <c r="C883" s="241"/>
      <c r="D883" s="91"/>
      <c r="E883" s="91"/>
      <c r="F883" s="91"/>
      <c r="G883" s="91"/>
      <c r="H883" s="91"/>
      <c r="I883" s="57"/>
      <c r="J883" s="91"/>
      <c r="K883" s="1216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57"/>
      <c r="X883" s="91"/>
      <c r="Y883" s="91"/>
      <c r="Z883" s="91"/>
      <c r="AA883" s="91"/>
      <c r="AB883" s="91"/>
    </row>
    <row r="884" ht="15.75" customHeight="1">
      <c r="A884" s="57"/>
      <c r="B884" s="952"/>
      <c r="C884" s="241"/>
      <c r="D884" s="91"/>
      <c r="E884" s="91"/>
      <c r="F884" s="91"/>
      <c r="G884" s="91"/>
      <c r="H884" s="91"/>
      <c r="I884" s="57"/>
      <c r="J884" s="91"/>
      <c r="K884" s="1216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57"/>
      <c r="X884" s="91"/>
      <c r="Y884" s="91"/>
      <c r="Z884" s="91"/>
      <c r="AA884" s="91"/>
      <c r="AB884" s="91"/>
    </row>
    <row r="885" ht="15.75" customHeight="1">
      <c r="A885" s="57"/>
      <c r="B885" s="952"/>
      <c r="C885" s="241"/>
      <c r="D885" s="91"/>
      <c r="E885" s="91"/>
      <c r="F885" s="91"/>
      <c r="G885" s="91"/>
      <c r="H885" s="91"/>
      <c r="I885" s="57"/>
      <c r="J885" s="91"/>
      <c r="K885" s="1216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57"/>
      <c r="X885" s="91"/>
      <c r="Y885" s="91"/>
      <c r="Z885" s="91"/>
      <c r="AA885" s="91"/>
      <c r="AB885" s="91"/>
    </row>
    <row r="886" ht="15.75" customHeight="1">
      <c r="A886" s="57"/>
      <c r="B886" s="952"/>
      <c r="C886" s="241"/>
      <c r="D886" s="91"/>
      <c r="E886" s="91"/>
      <c r="F886" s="91"/>
      <c r="G886" s="91"/>
      <c r="H886" s="91"/>
      <c r="I886" s="57"/>
      <c r="J886" s="91"/>
      <c r="K886" s="1216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57"/>
      <c r="X886" s="91"/>
      <c r="Y886" s="91"/>
      <c r="Z886" s="91"/>
      <c r="AA886" s="91"/>
      <c r="AB886" s="91"/>
    </row>
    <row r="887" ht="15.75" customHeight="1">
      <c r="A887" s="57"/>
      <c r="B887" s="952"/>
      <c r="C887" s="241"/>
      <c r="D887" s="91"/>
      <c r="E887" s="91"/>
      <c r="F887" s="91"/>
      <c r="G887" s="91"/>
      <c r="H887" s="91"/>
      <c r="I887" s="57"/>
      <c r="J887" s="91"/>
      <c r="K887" s="1216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57"/>
      <c r="X887" s="91"/>
      <c r="Y887" s="91"/>
      <c r="Z887" s="91"/>
      <c r="AA887" s="91"/>
      <c r="AB887" s="91"/>
    </row>
    <row r="888" ht="15.75" customHeight="1">
      <c r="A888" s="57"/>
      <c r="B888" s="952"/>
      <c r="C888" s="241"/>
      <c r="D888" s="91"/>
      <c r="E888" s="91"/>
      <c r="F888" s="91"/>
      <c r="G888" s="91"/>
      <c r="H888" s="91"/>
      <c r="I888" s="57"/>
      <c r="J888" s="91"/>
      <c r="K888" s="1216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57"/>
      <c r="X888" s="91"/>
      <c r="Y888" s="91"/>
      <c r="Z888" s="91"/>
      <c r="AA888" s="91"/>
      <c r="AB888" s="91"/>
    </row>
    <row r="889" ht="15.75" customHeight="1">
      <c r="A889" s="57"/>
      <c r="B889" s="952"/>
      <c r="C889" s="241"/>
      <c r="D889" s="91"/>
      <c r="E889" s="91"/>
      <c r="F889" s="91"/>
      <c r="G889" s="91"/>
      <c r="H889" s="91"/>
      <c r="I889" s="57"/>
      <c r="J889" s="91"/>
      <c r="K889" s="1216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57"/>
      <c r="X889" s="91"/>
      <c r="Y889" s="91"/>
      <c r="Z889" s="91"/>
      <c r="AA889" s="91"/>
      <c r="AB889" s="91"/>
    </row>
    <row r="890" ht="15.75" customHeight="1">
      <c r="A890" s="57"/>
      <c r="B890" s="952"/>
      <c r="C890" s="241"/>
      <c r="D890" s="91"/>
      <c r="E890" s="91"/>
      <c r="F890" s="91"/>
      <c r="G890" s="91"/>
      <c r="H890" s="91"/>
      <c r="I890" s="57"/>
      <c r="J890" s="91"/>
      <c r="K890" s="1216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57"/>
      <c r="X890" s="91"/>
      <c r="Y890" s="91"/>
      <c r="Z890" s="91"/>
      <c r="AA890" s="91"/>
      <c r="AB890" s="91"/>
    </row>
    <row r="891" ht="15.75" customHeight="1">
      <c r="A891" s="57"/>
      <c r="B891" s="952"/>
      <c r="C891" s="241"/>
      <c r="D891" s="91"/>
      <c r="E891" s="91"/>
      <c r="F891" s="91"/>
      <c r="G891" s="91"/>
      <c r="H891" s="91"/>
      <c r="I891" s="57"/>
      <c r="J891" s="91"/>
      <c r="K891" s="1216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57"/>
      <c r="X891" s="91"/>
      <c r="Y891" s="91"/>
      <c r="Z891" s="91"/>
      <c r="AA891" s="91"/>
      <c r="AB891" s="91"/>
    </row>
    <row r="892" ht="15.75" customHeight="1">
      <c r="A892" s="57"/>
      <c r="B892" s="952"/>
      <c r="C892" s="241"/>
      <c r="D892" s="91"/>
      <c r="E892" s="91"/>
      <c r="F892" s="91"/>
      <c r="G892" s="91"/>
      <c r="H892" s="91"/>
      <c r="I892" s="57"/>
      <c r="J892" s="91"/>
      <c r="K892" s="1216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57"/>
      <c r="X892" s="91"/>
      <c r="Y892" s="91"/>
      <c r="Z892" s="91"/>
      <c r="AA892" s="91"/>
      <c r="AB892" s="91"/>
    </row>
    <row r="893" ht="15.75" customHeight="1">
      <c r="A893" s="57"/>
      <c r="B893" s="952"/>
      <c r="C893" s="241"/>
      <c r="D893" s="91"/>
      <c r="E893" s="91"/>
      <c r="F893" s="91"/>
      <c r="G893" s="91"/>
      <c r="H893" s="91"/>
      <c r="I893" s="57"/>
      <c r="J893" s="91"/>
      <c r="K893" s="1216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57"/>
      <c r="X893" s="91"/>
      <c r="Y893" s="91"/>
      <c r="Z893" s="91"/>
      <c r="AA893" s="91"/>
      <c r="AB893" s="91"/>
    </row>
    <row r="894" ht="15.75" customHeight="1">
      <c r="A894" s="57"/>
      <c r="B894" s="952"/>
      <c r="C894" s="241"/>
      <c r="D894" s="91"/>
      <c r="E894" s="91"/>
      <c r="F894" s="91"/>
      <c r="G894" s="91"/>
      <c r="H894" s="91"/>
      <c r="I894" s="57"/>
      <c r="J894" s="91"/>
      <c r="K894" s="1216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57"/>
      <c r="X894" s="91"/>
      <c r="Y894" s="91"/>
      <c r="Z894" s="91"/>
      <c r="AA894" s="91"/>
      <c r="AB894" s="91"/>
    </row>
    <row r="895" ht="15.75" customHeight="1">
      <c r="A895" s="57"/>
      <c r="B895" s="952"/>
      <c r="C895" s="241"/>
      <c r="D895" s="91"/>
      <c r="E895" s="91"/>
      <c r="F895" s="91"/>
      <c r="G895" s="91"/>
      <c r="H895" s="91"/>
      <c r="I895" s="57"/>
      <c r="J895" s="91"/>
      <c r="K895" s="1216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57"/>
      <c r="X895" s="91"/>
      <c r="Y895" s="91"/>
      <c r="Z895" s="91"/>
      <c r="AA895" s="91"/>
      <c r="AB895" s="91"/>
    </row>
    <row r="896" ht="15.75" customHeight="1">
      <c r="A896" s="57"/>
      <c r="B896" s="952"/>
      <c r="C896" s="241"/>
      <c r="D896" s="91"/>
      <c r="E896" s="91"/>
      <c r="F896" s="91"/>
      <c r="G896" s="91"/>
      <c r="H896" s="91"/>
      <c r="I896" s="57"/>
      <c r="J896" s="91"/>
      <c r="K896" s="1216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57"/>
      <c r="X896" s="91"/>
      <c r="Y896" s="91"/>
      <c r="Z896" s="91"/>
      <c r="AA896" s="91"/>
      <c r="AB896" s="91"/>
    </row>
    <row r="897" ht="15.75" customHeight="1">
      <c r="A897" s="57"/>
      <c r="B897" s="952"/>
      <c r="C897" s="241"/>
      <c r="D897" s="91"/>
      <c r="E897" s="91"/>
      <c r="F897" s="91"/>
      <c r="G897" s="91"/>
      <c r="H897" s="91"/>
      <c r="I897" s="57"/>
      <c r="J897" s="91"/>
      <c r="K897" s="1216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57"/>
      <c r="X897" s="91"/>
      <c r="Y897" s="91"/>
      <c r="Z897" s="91"/>
      <c r="AA897" s="91"/>
      <c r="AB897" s="91"/>
    </row>
    <row r="898" ht="15.75" customHeight="1">
      <c r="A898" s="57"/>
      <c r="B898" s="952"/>
      <c r="C898" s="241"/>
      <c r="D898" s="91"/>
      <c r="E898" s="91"/>
      <c r="F898" s="91"/>
      <c r="G898" s="91"/>
      <c r="H898" s="91"/>
      <c r="I898" s="57"/>
      <c r="J898" s="91"/>
      <c r="K898" s="1216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57"/>
      <c r="X898" s="91"/>
      <c r="Y898" s="91"/>
      <c r="Z898" s="91"/>
      <c r="AA898" s="91"/>
      <c r="AB898" s="91"/>
    </row>
    <row r="899" ht="15.75" customHeight="1">
      <c r="A899" s="57"/>
      <c r="B899" s="952"/>
      <c r="C899" s="241"/>
      <c r="D899" s="91"/>
      <c r="E899" s="91"/>
      <c r="F899" s="91"/>
      <c r="G899" s="91"/>
      <c r="H899" s="91"/>
      <c r="I899" s="57"/>
      <c r="J899" s="91"/>
      <c r="K899" s="1216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57"/>
      <c r="X899" s="91"/>
      <c r="Y899" s="91"/>
      <c r="Z899" s="91"/>
      <c r="AA899" s="91"/>
      <c r="AB899" s="91"/>
    </row>
    <row r="900" ht="15.75" customHeight="1">
      <c r="A900" s="57"/>
      <c r="B900" s="952"/>
      <c r="C900" s="241"/>
      <c r="D900" s="91"/>
      <c r="E900" s="91"/>
      <c r="F900" s="91"/>
      <c r="G900" s="91"/>
      <c r="H900" s="91"/>
      <c r="I900" s="57"/>
      <c r="J900" s="91"/>
      <c r="K900" s="1216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57"/>
      <c r="X900" s="91"/>
      <c r="Y900" s="91"/>
      <c r="Z900" s="91"/>
      <c r="AA900" s="91"/>
      <c r="AB900" s="91"/>
    </row>
    <row r="901" ht="15.75" customHeight="1">
      <c r="A901" s="57"/>
      <c r="B901" s="952"/>
      <c r="C901" s="241"/>
      <c r="D901" s="91"/>
      <c r="E901" s="91"/>
      <c r="F901" s="91"/>
      <c r="G901" s="91"/>
      <c r="H901" s="91"/>
      <c r="I901" s="57"/>
      <c r="J901" s="91"/>
      <c r="K901" s="1216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57"/>
      <c r="X901" s="91"/>
      <c r="Y901" s="91"/>
      <c r="Z901" s="91"/>
      <c r="AA901" s="91"/>
      <c r="AB901" s="91"/>
    </row>
    <row r="902" ht="15.75" customHeight="1">
      <c r="A902" s="57"/>
      <c r="B902" s="952"/>
      <c r="C902" s="241"/>
      <c r="D902" s="91"/>
      <c r="E902" s="91"/>
      <c r="F902" s="91"/>
      <c r="G902" s="91"/>
      <c r="H902" s="91"/>
      <c r="I902" s="57"/>
      <c r="J902" s="91"/>
      <c r="K902" s="1216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57"/>
      <c r="X902" s="91"/>
      <c r="Y902" s="91"/>
      <c r="Z902" s="91"/>
      <c r="AA902" s="91"/>
      <c r="AB902" s="91"/>
    </row>
    <row r="903" ht="15.75" customHeight="1">
      <c r="A903" s="57"/>
      <c r="B903" s="952"/>
      <c r="C903" s="241"/>
      <c r="D903" s="91"/>
      <c r="E903" s="91"/>
      <c r="F903" s="91"/>
      <c r="G903" s="91"/>
      <c r="H903" s="91"/>
      <c r="I903" s="57"/>
      <c r="J903" s="91"/>
      <c r="K903" s="1216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57"/>
      <c r="X903" s="91"/>
      <c r="Y903" s="91"/>
      <c r="Z903" s="91"/>
      <c r="AA903" s="91"/>
      <c r="AB903" s="91"/>
    </row>
    <row r="904" ht="15.75" customHeight="1">
      <c r="A904" s="57"/>
      <c r="B904" s="952"/>
      <c r="C904" s="241"/>
      <c r="D904" s="91"/>
      <c r="E904" s="91"/>
      <c r="F904" s="91"/>
      <c r="G904" s="91"/>
      <c r="H904" s="91"/>
      <c r="I904" s="57"/>
      <c r="J904" s="91"/>
      <c r="K904" s="1216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57"/>
      <c r="X904" s="91"/>
      <c r="Y904" s="91"/>
      <c r="Z904" s="91"/>
      <c r="AA904" s="91"/>
      <c r="AB904" s="91"/>
    </row>
    <row r="905" ht="15.75" customHeight="1">
      <c r="A905" s="57"/>
      <c r="B905" s="952"/>
      <c r="C905" s="241"/>
      <c r="D905" s="91"/>
      <c r="E905" s="91"/>
      <c r="F905" s="91"/>
      <c r="G905" s="91"/>
      <c r="H905" s="91"/>
      <c r="I905" s="57"/>
      <c r="J905" s="91"/>
      <c r="K905" s="1216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57"/>
      <c r="X905" s="91"/>
      <c r="Y905" s="91"/>
      <c r="Z905" s="91"/>
      <c r="AA905" s="91"/>
      <c r="AB905" s="91"/>
    </row>
    <row r="906" ht="15.75" customHeight="1">
      <c r="A906" s="57"/>
      <c r="B906" s="952"/>
      <c r="C906" s="241"/>
      <c r="D906" s="91"/>
      <c r="E906" s="91"/>
      <c r="F906" s="91"/>
      <c r="G906" s="91"/>
      <c r="H906" s="91"/>
      <c r="I906" s="57"/>
      <c r="J906" s="91"/>
      <c r="K906" s="1216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57"/>
      <c r="X906" s="91"/>
      <c r="Y906" s="91"/>
      <c r="Z906" s="91"/>
      <c r="AA906" s="91"/>
      <c r="AB906" s="91"/>
    </row>
    <row r="907" ht="15.75" customHeight="1">
      <c r="A907" s="57"/>
      <c r="B907" s="952"/>
      <c r="C907" s="241"/>
      <c r="D907" s="91"/>
      <c r="E907" s="91"/>
      <c r="F907" s="91"/>
      <c r="G907" s="91"/>
      <c r="H907" s="91"/>
      <c r="I907" s="57"/>
      <c r="J907" s="91"/>
      <c r="K907" s="1216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57"/>
      <c r="X907" s="91"/>
      <c r="Y907" s="91"/>
      <c r="Z907" s="91"/>
      <c r="AA907" s="91"/>
      <c r="AB907" s="91"/>
    </row>
    <row r="908" ht="15.75" customHeight="1">
      <c r="A908" s="57"/>
      <c r="B908" s="952"/>
      <c r="C908" s="241"/>
      <c r="D908" s="91"/>
      <c r="E908" s="91"/>
      <c r="F908" s="91"/>
      <c r="G908" s="91"/>
      <c r="H908" s="91"/>
      <c r="I908" s="57"/>
      <c r="J908" s="91"/>
      <c r="K908" s="1216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57"/>
      <c r="X908" s="91"/>
      <c r="Y908" s="91"/>
      <c r="Z908" s="91"/>
      <c r="AA908" s="91"/>
      <c r="AB908" s="91"/>
    </row>
    <row r="909" ht="15.75" customHeight="1">
      <c r="A909" s="57"/>
      <c r="B909" s="952"/>
      <c r="C909" s="241"/>
      <c r="D909" s="91"/>
      <c r="E909" s="91"/>
      <c r="F909" s="91"/>
      <c r="G909" s="91"/>
      <c r="H909" s="91"/>
      <c r="I909" s="57"/>
      <c r="J909" s="91"/>
      <c r="K909" s="1216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57"/>
      <c r="X909" s="91"/>
      <c r="Y909" s="91"/>
      <c r="Z909" s="91"/>
      <c r="AA909" s="91"/>
      <c r="AB909" s="91"/>
    </row>
    <row r="910" ht="15.75" customHeight="1">
      <c r="A910" s="57"/>
      <c r="B910" s="952"/>
      <c r="C910" s="241"/>
      <c r="D910" s="91"/>
      <c r="E910" s="91"/>
      <c r="F910" s="91"/>
      <c r="G910" s="91"/>
      <c r="H910" s="91"/>
      <c r="I910" s="57"/>
      <c r="J910" s="91"/>
      <c r="K910" s="1216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57"/>
      <c r="X910" s="91"/>
      <c r="Y910" s="91"/>
      <c r="Z910" s="91"/>
      <c r="AA910" s="91"/>
      <c r="AB910" s="91"/>
    </row>
    <row r="911" ht="15.75" customHeight="1">
      <c r="A911" s="57"/>
      <c r="B911" s="952"/>
      <c r="C911" s="241"/>
      <c r="D911" s="91"/>
      <c r="E911" s="91"/>
      <c r="F911" s="91"/>
      <c r="G911" s="91"/>
      <c r="H911" s="91"/>
      <c r="I911" s="57"/>
      <c r="J911" s="91"/>
      <c r="K911" s="1216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57"/>
      <c r="X911" s="91"/>
      <c r="Y911" s="91"/>
      <c r="Z911" s="91"/>
      <c r="AA911" s="91"/>
      <c r="AB911" s="91"/>
    </row>
    <row r="912" ht="15.75" customHeight="1">
      <c r="A912" s="57"/>
      <c r="B912" s="952"/>
      <c r="C912" s="241"/>
      <c r="D912" s="91"/>
      <c r="E912" s="91"/>
      <c r="F912" s="91"/>
      <c r="G912" s="91"/>
      <c r="H912" s="91"/>
      <c r="I912" s="57"/>
      <c r="J912" s="91"/>
      <c r="K912" s="1216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57"/>
      <c r="X912" s="91"/>
      <c r="Y912" s="91"/>
      <c r="Z912" s="91"/>
      <c r="AA912" s="91"/>
      <c r="AB912" s="91"/>
    </row>
    <row r="913" ht="15.75" customHeight="1">
      <c r="A913" s="57"/>
      <c r="B913" s="952"/>
      <c r="C913" s="241"/>
      <c r="D913" s="91"/>
      <c r="E913" s="91"/>
      <c r="F913" s="91"/>
      <c r="G913" s="91"/>
      <c r="H913" s="91"/>
      <c r="I913" s="57"/>
      <c r="J913" s="91"/>
      <c r="K913" s="1216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57"/>
      <c r="X913" s="91"/>
      <c r="Y913" s="91"/>
      <c r="Z913" s="91"/>
      <c r="AA913" s="91"/>
      <c r="AB913" s="91"/>
    </row>
    <row r="914" ht="15.75" customHeight="1">
      <c r="A914" s="57"/>
      <c r="B914" s="952"/>
      <c r="C914" s="241"/>
      <c r="D914" s="91"/>
      <c r="E914" s="91"/>
      <c r="F914" s="91"/>
      <c r="G914" s="91"/>
      <c r="H914" s="91"/>
      <c r="I914" s="57"/>
      <c r="J914" s="91"/>
      <c r="K914" s="1216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57"/>
      <c r="X914" s="91"/>
      <c r="Y914" s="91"/>
      <c r="Z914" s="91"/>
      <c r="AA914" s="91"/>
      <c r="AB914" s="91"/>
    </row>
    <row r="915" ht="15.75" customHeight="1">
      <c r="A915" s="57"/>
      <c r="B915" s="952"/>
      <c r="C915" s="241"/>
      <c r="D915" s="91"/>
      <c r="E915" s="91"/>
      <c r="F915" s="91"/>
      <c r="G915" s="91"/>
      <c r="H915" s="91"/>
      <c r="I915" s="57"/>
      <c r="J915" s="91"/>
      <c r="K915" s="1216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57"/>
      <c r="X915" s="91"/>
      <c r="Y915" s="91"/>
      <c r="Z915" s="91"/>
      <c r="AA915" s="91"/>
      <c r="AB915" s="91"/>
    </row>
    <row r="916" ht="15.75" customHeight="1">
      <c r="A916" s="57"/>
      <c r="B916" s="952"/>
      <c r="C916" s="241"/>
      <c r="D916" s="91"/>
      <c r="E916" s="91"/>
      <c r="F916" s="91"/>
      <c r="G916" s="91"/>
      <c r="H916" s="91"/>
      <c r="I916" s="57"/>
      <c r="J916" s="91"/>
      <c r="K916" s="1216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57"/>
      <c r="X916" s="91"/>
      <c r="Y916" s="91"/>
      <c r="Z916" s="91"/>
      <c r="AA916" s="91"/>
      <c r="AB916" s="91"/>
    </row>
    <row r="917" ht="15.75" customHeight="1">
      <c r="A917" s="57"/>
      <c r="B917" s="952"/>
      <c r="C917" s="241"/>
      <c r="D917" s="91"/>
      <c r="E917" s="91"/>
      <c r="F917" s="91"/>
      <c r="G917" s="91"/>
      <c r="H917" s="91"/>
      <c r="I917" s="57"/>
      <c r="J917" s="91"/>
      <c r="K917" s="1216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57"/>
      <c r="X917" s="91"/>
      <c r="Y917" s="91"/>
      <c r="Z917" s="91"/>
      <c r="AA917" s="91"/>
      <c r="AB917" s="91"/>
    </row>
    <row r="918" ht="15.75" customHeight="1">
      <c r="A918" s="57"/>
      <c r="B918" s="952"/>
      <c r="C918" s="241"/>
      <c r="D918" s="91"/>
      <c r="E918" s="91"/>
      <c r="F918" s="91"/>
      <c r="G918" s="91"/>
      <c r="H918" s="91"/>
      <c r="I918" s="57"/>
      <c r="J918" s="91"/>
      <c r="K918" s="1216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57"/>
      <c r="X918" s="91"/>
      <c r="Y918" s="91"/>
      <c r="Z918" s="91"/>
      <c r="AA918" s="91"/>
      <c r="AB918" s="91"/>
    </row>
    <row r="919" ht="15.75" customHeight="1">
      <c r="A919" s="57"/>
      <c r="B919" s="952"/>
      <c r="C919" s="241"/>
      <c r="D919" s="91"/>
      <c r="E919" s="91"/>
      <c r="F919" s="91"/>
      <c r="G919" s="91"/>
      <c r="H919" s="91"/>
      <c r="I919" s="57"/>
      <c r="J919" s="91"/>
      <c r="K919" s="1216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57"/>
      <c r="X919" s="91"/>
      <c r="Y919" s="91"/>
      <c r="Z919" s="91"/>
      <c r="AA919" s="91"/>
      <c r="AB919" s="91"/>
    </row>
    <row r="920" ht="15.75" customHeight="1">
      <c r="A920" s="57"/>
      <c r="B920" s="952"/>
      <c r="C920" s="241"/>
      <c r="D920" s="91"/>
      <c r="E920" s="91"/>
      <c r="F920" s="91"/>
      <c r="G920" s="91"/>
      <c r="H920" s="91"/>
      <c r="I920" s="57"/>
      <c r="J920" s="91"/>
      <c r="K920" s="1216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57"/>
      <c r="X920" s="91"/>
      <c r="Y920" s="91"/>
      <c r="Z920" s="91"/>
      <c r="AA920" s="91"/>
      <c r="AB920" s="91"/>
    </row>
    <row r="921" ht="15.75" customHeight="1">
      <c r="A921" s="57"/>
      <c r="B921" s="952"/>
      <c r="C921" s="241"/>
      <c r="D921" s="91"/>
      <c r="E921" s="91"/>
      <c r="F921" s="91"/>
      <c r="G921" s="91"/>
      <c r="H921" s="91"/>
      <c r="I921" s="57"/>
      <c r="J921" s="91"/>
      <c r="K921" s="1216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57"/>
      <c r="X921" s="91"/>
      <c r="Y921" s="91"/>
      <c r="Z921" s="91"/>
      <c r="AA921" s="91"/>
      <c r="AB921" s="91"/>
    </row>
    <row r="922" ht="15.75" customHeight="1">
      <c r="A922" s="57"/>
      <c r="B922" s="952"/>
      <c r="C922" s="241"/>
      <c r="D922" s="91"/>
      <c r="E922" s="91"/>
      <c r="F922" s="91"/>
      <c r="G922" s="91"/>
      <c r="H922" s="91"/>
      <c r="I922" s="57"/>
      <c r="J922" s="91"/>
      <c r="K922" s="1216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57"/>
      <c r="X922" s="91"/>
      <c r="Y922" s="91"/>
      <c r="Z922" s="91"/>
      <c r="AA922" s="91"/>
      <c r="AB922" s="91"/>
    </row>
    <row r="923" ht="15.75" customHeight="1">
      <c r="A923" s="57"/>
      <c r="B923" s="952"/>
      <c r="C923" s="241"/>
      <c r="D923" s="91"/>
      <c r="E923" s="91"/>
      <c r="F923" s="91"/>
      <c r="G923" s="91"/>
      <c r="H923" s="91"/>
      <c r="I923" s="57"/>
      <c r="J923" s="91"/>
      <c r="K923" s="1216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57"/>
      <c r="X923" s="91"/>
      <c r="Y923" s="91"/>
      <c r="Z923" s="91"/>
      <c r="AA923" s="91"/>
      <c r="AB923" s="91"/>
    </row>
    <row r="924" ht="15.75" customHeight="1">
      <c r="A924" s="57"/>
      <c r="B924" s="952"/>
      <c r="C924" s="241"/>
      <c r="D924" s="91"/>
      <c r="E924" s="91"/>
      <c r="F924" s="91"/>
      <c r="G924" s="91"/>
      <c r="H924" s="91"/>
      <c r="I924" s="57"/>
      <c r="J924" s="91"/>
      <c r="K924" s="1216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57"/>
      <c r="X924" s="91"/>
      <c r="Y924" s="91"/>
      <c r="Z924" s="91"/>
      <c r="AA924" s="91"/>
      <c r="AB924" s="91"/>
    </row>
    <row r="925" ht="15.75" customHeight="1">
      <c r="A925" s="57"/>
      <c r="B925" s="952"/>
      <c r="C925" s="241"/>
      <c r="D925" s="91"/>
      <c r="E925" s="91"/>
      <c r="F925" s="91"/>
      <c r="G925" s="91"/>
      <c r="H925" s="91"/>
      <c r="I925" s="57"/>
      <c r="J925" s="91"/>
      <c r="K925" s="1216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57"/>
      <c r="X925" s="91"/>
      <c r="Y925" s="91"/>
      <c r="Z925" s="91"/>
      <c r="AA925" s="91"/>
      <c r="AB925" s="91"/>
    </row>
    <row r="926" ht="15.75" customHeight="1">
      <c r="A926" s="57"/>
      <c r="B926" s="952"/>
      <c r="C926" s="241"/>
      <c r="D926" s="91"/>
      <c r="E926" s="91"/>
      <c r="F926" s="91"/>
      <c r="G926" s="91"/>
      <c r="H926" s="91"/>
      <c r="I926" s="57"/>
      <c r="J926" s="91"/>
      <c r="K926" s="1216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57"/>
      <c r="X926" s="91"/>
      <c r="Y926" s="91"/>
      <c r="Z926" s="91"/>
      <c r="AA926" s="91"/>
      <c r="AB926" s="91"/>
    </row>
    <row r="927" ht="15.75" customHeight="1">
      <c r="A927" s="57"/>
      <c r="B927" s="952"/>
      <c r="C927" s="241"/>
      <c r="D927" s="91"/>
      <c r="E927" s="91"/>
      <c r="F927" s="91"/>
      <c r="G927" s="91"/>
      <c r="H927" s="91"/>
      <c r="I927" s="57"/>
      <c r="J927" s="91"/>
      <c r="K927" s="1216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57"/>
      <c r="X927" s="91"/>
      <c r="Y927" s="91"/>
      <c r="Z927" s="91"/>
      <c r="AA927" s="91"/>
      <c r="AB927" s="91"/>
    </row>
    <row r="928" ht="15.75" customHeight="1">
      <c r="A928" s="57"/>
      <c r="B928" s="952"/>
      <c r="C928" s="241"/>
      <c r="D928" s="91"/>
      <c r="E928" s="91"/>
      <c r="F928" s="91"/>
      <c r="G928" s="91"/>
      <c r="H928" s="91"/>
      <c r="I928" s="57"/>
      <c r="J928" s="91"/>
      <c r="K928" s="1216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57"/>
      <c r="X928" s="91"/>
      <c r="Y928" s="91"/>
      <c r="Z928" s="91"/>
      <c r="AA928" s="91"/>
      <c r="AB928" s="91"/>
    </row>
    <row r="929" ht="15.75" customHeight="1">
      <c r="A929" s="57"/>
      <c r="B929" s="952"/>
      <c r="C929" s="241"/>
      <c r="D929" s="91"/>
      <c r="E929" s="91"/>
      <c r="F929" s="91"/>
      <c r="G929" s="91"/>
      <c r="H929" s="91"/>
      <c r="I929" s="57"/>
      <c r="J929" s="91"/>
      <c r="K929" s="1216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57"/>
      <c r="X929" s="91"/>
      <c r="Y929" s="91"/>
      <c r="Z929" s="91"/>
      <c r="AA929" s="91"/>
      <c r="AB929" s="91"/>
    </row>
    <row r="930" ht="15.75" customHeight="1">
      <c r="A930" s="57"/>
      <c r="B930" s="952"/>
      <c r="C930" s="241"/>
      <c r="D930" s="91"/>
      <c r="E930" s="91"/>
      <c r="F930" s="91"/>
      <c r="G930" s="91"/>
      <c r="H930" s="91"/>
      <c r="I930" s="57"/>
      <c r="J930" s="91"/>
      <c r="K930" s="1216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57"/>
      <c r="X930" s="91"/>
      <c r="Y930" s="91"/>
      <c r="Z930" s="91"/>
      <c r="AA930" s="91"/>
      <c r="AB930" s="91"/>
    </row>
    <row r="931" ht="15.75" customHeight="1">
      <c r="A931" s="57"/>
      <c r="B931" s="952"/>
      <c r="C931" s="241"/>
      <c r="D931" s="91"/>
      <c r="E931" s="91"/>
      <c r="F931" s="91"/>
      <c r="G931" s="91"/>
      <c r="H931" s="91"/>
      <c r="I931" s="57"/>
      <c r="J931" s="91"/>
      <c r="K931" s="1216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57"/>
      <c r="X931" s="91"/>
      <c r="Y931" s="91"/>
      <c r="Z931" s="91"/>
      <c r="AA931" s="91"/>
      <c r="AB931" s="91"/>
    </row>
    <row r="932" ht="15.75" customHeight="1">
      <c r="A932" s="57"/>
      <c r="B932" s="952"/>
      <c r="C932" s="241"/>
      <c r="D932" s="91"/>
      <c r="E932" s="91"/>
      <c r="F932" s="91"/>
      <c r="G932" s="91"/>
      <c r="H932" s="91"/>
      <c r="I932" s="57"/>
      <c r="J932" s="91"/>
      <c r="K932" s="1216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57"/>
      <c r="X932" s="91"/>
      <c r="Y932" s="91"/>
      <c r="Z932" s="91"/>
      <c r="AA932" s="91"/>
      <c r="AB932" s="91"/>
    </row>
    <row r="933" ht="15.75" customHeight="1">
      <c r="A933" s="57"/>
      <c r="B933" s="952"/>
      <c r="C933" s="241"/>
      <c r="D933" s="91"/>
      <c r="E933" s="91"/>
      <c r="F933" s="91"/>
      <c r="G933" s="91"/>
      <c r="H933" s="91"/>
      <c r="I933" s="57"/>
      <c r="J933" s="91"/>
      <c r="K933" s="1216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57"/>
      <c r="X933" s="91"/>
      <c r="Y933" s="91"/>
      <c r="Z933" s="91"/>
      <c r="AA933" s="91"/>
      <c r="AB933" s="91"/>
    </row>
    <row r="934" ht="15.75" customHeight="1">
      <c r="A934" s="57"/>
      <c r="B934" s="952"/>
      <c r="C934" s="241"/>
      <c r="D934" s="91"/>
      <c r="E934" s="91"/>
      <c r="F934" s="91"/>
      <c r="G934" s="91"/>
      <c r="H934" s="91"/>
      <c r="I934" s="57"/>
      <c r="J934" s="91"/>
      <c r="K934" s="1216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57"/>
      <c r="X934" s="91"/>
      <c r="Y934" s="91"/>
      <c r="Z934" s="91"/>
      <c r="AA934" s="91"/>
      <c r="AB934" s="91"/>
    </row>
    <row r="935" ht="15.75" customHeight="1">
      <c r="A935" s="57"/>
      <c r="B935" s="952"/>
      <c r="C935" s="241"/>
      <c r="D935" s="91"/>
      <c r="E935" s="91"/>
      <c r="F935" s="91"/>
      <c r="G935" s="91"/>
      <c r="H935" s="91"/>
      <c r="I935" s="57"/>
      <c r="J935" s="91"/>
      <c r="K935" s="1216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57"/>
      <c r="X935" s="91"/>
      <c r="Y935" s="91"/>
      <c r="Z935" s="91"/>
      <c r="AA935" s="91"/>
      <c r="AB935" s="91"/>
    </row>
    <row r="936" ht="15.75" customHeight="1">
      <c r="A936" s="57"/>
      <c r="B936" s="952"/>
      <c r="C936" s="241"/>
      <c r="D936" s="91"/>
      <c r="E936" s="91"/>
      <c r="F936" s="91"/>
      <c r="G936" s="91"/>
      <c r="H936" s="91"/>
      <c r="I936" s="57"/>
      <c r="J936" s="91"/>
      <c r="K936" s="1216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57"/>
      <c r="X936" s="91"/>
      <c r="Y936" s="91"/>
      <c r="Z936" s="91"/>
      <c r="AA936" s="91"/>
      <c r="AB936" s="91"/>
    </row>
    <row r="937" ht="15.75" customHeight="1">
      <c r="A937" s="57"/>
      <c r="B937" s="952"/>
      <c r="C937" s="241"/>
      <c r="D937" s="91"/>
      <c r="E937" s="91"/>
      <c r="F937" s="91"/>
      <c r="G937" s="91"/>
      <c r="H937" s="91"/>
      <c r="I937" s="57"/>
      <c r="J937" s="91"/>
      <c r="K937" s="1216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57"/>
      <c r="X937" s="91"/>
      <c r="Y937" s="91"/>
      <c r="Z937" s="91"/>
      <c r="AA937" s="91"/>
      <c r="AB937" s="91"/>
    </row>
    <row r="938" ht="15.75" customHeight="1">
      <c r="A938" s="57"/>
      <c r="B938" s="952"/>
      <c r="C938" s="241"/>
      <c r="D938" s="91"/>
      <c r="E938" s="91"/>
      <c r="F938" s="91"/>
      <c r="G938" s="91"/>
      <c r="H938" s="91"/>
      <c r="I938" s="57"/>
      <c r="J938" s="91"/>
      <c r="K938" s="1216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57"/>
      <c r="X938" s="91"/>
      <c r="Y938" s="91"/>
      <c r="Z938" s="91"/>
      <c r="AA938" s="91"/>
      <c r="AB938" s="91"/>
    </row>
    <row r="939" ht="15.75" customHeight="1">
      <c r="A939" s="57"/>
      <c r="B939" s="952"/>
      <c r="C939" s="241"/>
      <c r="D939" s="91"/>
      <c r="E939" s="91"/>
      <c r="F939" s="91"/>
      <c r="G939" s="91"/>
      <c r="H939" s="91"/>
      <c r="I939" s="57"/>
      <c r="J939" s="91"/>
      <c r="K939" s="1216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57"/>
      <c r="X939" s="91"/>
      <c r="Y939" s="91"/>
      <c r="Z939" s="91"/>
      <c r="AA939" s="91"/>
      <c r="AB939" s="91"/>
    </row>
    <row r="940" ht="15.75" customHeight="1">
      <c r="A940" s="57"/>
      <c r="B940" s="952"/>
      <c r="C940" s="241"/>
      <c r="D940" s="91"/>
      <c r="E940" s="91"/>
      <c r="F940" s="91"/>
      <c r="G940" s="91"/>
      <c r="H940" s="91"/>
      <c r="I940" s="57"/>
      <c r="J940" s="91"/>
      <c r="K940" s="1216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57"/>
      <c r="X940" s="91"/>
      <c r="Y940" s="91"/>
      <c r="Z940" s="91"/>
      <c r="AA940" s="91"/>
      <c r="AB940" s="91"/>
    </row>
    <row r="941" ht="15.75" customHeight="1">
      <c r="A941" s="57"/>
      <c r="B941" s="952"/>
      <c r="C941" s="241"/>
      <c r="D941" s="91"/>
      <c r="E941" s="91"/>
      <c r="F941" s="91"/>
      <c r="G941" s="91"/>
      <c r="H941" s="91"/>
      <c r="I941" s="57"/>
      <c r="J941" s="91"/>
      <c r="K941" s="1216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57"/>
      <c r="X941" s="91"/>
      <c r="Y941" s="91"/>
      <c r="Z941" s="91"/>
      <c r="AA941" s="91"/>
      <c r="AB941" s="91"/>
    </row>
    <row r="942" ht="15.75" customHeight="1">
      <c r="A942" s="57"/>
      <c r="B942" s="952"/>
      <c r="C942" s="241"/>
      <c r="D942" s="91"/>
      <c r="E942" s="91"/>
      <c r="F942" s="91"/>
      <c r="G942" s="91"/>
      <c r="H942" s="91"/>
      <c r="I942" s="57"/>
      <c r="J942" s="91"/>
      <c r="K942" s="1216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57"/>
      <c r="X942" s="91"/>
      <c r="Y942" s="91"/>
      <c r="Z942" s="91"/>
      <c r="AA942" s="91"/>
      <c r="AB942" s="91"/>
    </row>
    <row r="943" ht="15.75" customHeight="1">
      <c r="A943" s="57"/>
      <c r="B943" s="952"/>
      <c r="C943" s="241"/>
      <c r="D943" s="91"/>
      <c r="E943" s="91"/>
      <c r="F943" s="91"/>
      <c r="G943" s="91"/>
      <c r="H943" s="91"/>
      <c r="I943" s="57"/>
      <c r="J943" s="91"/>
      <c r="K943" s="1216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57"/>
      <c r="X943" s="91"/>
      <c r="Y943" s="91"/>
      <c r="Z943" s="91"/>
      <c r="AA943" s="91"/>
      <c r="AB943" s="91"/>
    </row>
    <row r="944" ht="15.75" customHeight="1">
      <c r="A944" s="57"/>
      <c r="B944" s="952"/>
      <c r="C944" s="241"/>
      <c r="D944" s="91"/>
      <c r="E944" s="91"/>
      <c r="F944" s="91"/>
      <c r="G944" s="91"/>
      <c r="H944" s="91"/>
      <c r="I944" s="57"/>
      <c r="J944" s="91"/>
      <c r="K944" s="1216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57"/>
      <c r="X944" s="91"/>
      <c r="Y944" s="91"/>
      <c r="Z944" s="91"/>
      <c r="AA944" s="91"/>
      <c r="AB944" s="91"/>
    </row>
    <row r="945" ht="15.75" customHeight="1">
      <c r="A945" s="57"/>
      <c r="B945" s="952"/>
      <c r="C945" s="241"/>
      <c r="D945" s="91"/>
      <c r="E945" s="91"/>
      <c r="F945" s="91"/>
      <c r="G945" s="91"/>
      <c r="H945" s="91"/>
      <c r="I945" s="57"/>
      <c r="J945" s="91"/>
      <c r="K945" s="1216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57"/>
      <c r="X945" s="91"/>
      <c r="Y945" s="91"/>
      <c r="Z945" s="91"/>
      <c r="AA945" s="91"/>
      <c r="AB945" s="91"/>
    </row>
    <row r="946" ht="15.75" customHeight="1">
      <c r="A946" s="57"/>
      <c r="B946" s="952"/>
      <c r="C946" s="241"/>
      <c r="D946" s="91"/>
      <c r="E946" s="91"/>
      <c r="F946" s="91"/>
      <c r="G946" s="91"/>
      <c r="H946" s="91"/>
      <c r="I946" s="57"/>
      <c r="J946" s="91"/>
      <c r="K946" s="1216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57"/>
      <c r="X946" s="91"/>
      <c r="Y946" s="91"/>
      <c r="Z946" s="91"/>
      <c r="AA946" s="91"/>
      <c r="AB946" s="91"/>
    </row>
    <row r="947" ht="15.75" customHeight="1">
      <c r="A947" s="57"/>
      <c r="B947" s="952"/>
      <c r="C947" s="241"/>
      <c r="D947" s="91"/>
      <c r="E947" s="91"/>
      <c r="F947" s="91"/>
      <c r="G947" s="91"/>
      <c r="H947" s="91"/>
      <c r="I947" s="57"/>
      <c r="J947" s="91"/>
      <c r="K947" s="1216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57"/>
      <c r="X947" s="91"/>
      <c r="Y947" s="91"/>
      <c r="Z947" s="91"/>
      <c r="AA947" s="91"/>
      <c r="AB947" s="91"/>
    </row>
    <row r="948" ht="15.75" customHeight="1">
      <c r="A948" s="57"/>
      <c r="B948" s="952"/>
      <c r="C948" s="241"/>
      <c r="D948" s="91"/>
      <c r="E948" s="91"/>
      <c r="F948" s="91"/>
      <c r="G948" s="91"/>
      <c r="H948" s="91"/>
      <c r="I948" s="57"/>
      <c r="J948" s="91"/>
      <c r="K948" s="1216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57"/>
      <c r="X948" s="91"/>
      <c r="Y948" s="91"/>
      <c r="Z948" s="91"/>
      <c r="AA948" s="91"/>
      <c r="AB948" s="91"/>
    </row>
    <row r="949" ht="15.75" customHeight="1">
      <c r="A949" s="57"/>
      <c r="B949" s="952"/>
      <c r="C949" s="241"/>
      <c r="D949" s="91"/>
      <c r="E949" s="91"/>
      <c r="F949" s="91"/>
      <c r="G949" s="91"/>
      <c r="H949" s="91"/>
      <c r="I949" s="57"/>
      <c r="J949" s="91"/>
      <c r="K949" s="1216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57"/>
      <c r="X949" s="91"/>
      <c r="Y949" s="91"/>
      <c r="Z949" s="91"/>
      <c r="AA949" s="91"/>
      <c r="AB949" s="91"/>
    </row>
    <row r="950" ht="15.75" customHeight="1">
      <c r="A950" s="57"/>
      <c r="B950" s="952"/>
      <c r="C950" s="241"/>
      <c r="D950" s="91"/>
      <c r="E950" s="91"/>
      <c r="F950" s="91"/>
      <c r="G950" s="91"/>
      <c r="H950" s="91"/>
      <c r="I950" s="57"/>
      <c r="J950" s="91"/>
      <c r="K950" s="1216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57"/>
      <c r="X950" s="91"/>
      <c r="Y950" s="91"/>
      <c r="Z950" s="91"/>
      <c r="AA950" s="91"/>
      <c r="AB950" s="91"/>
    </row>
    <row r="951" ht="15.75" customHeight="1">
      <c r="A951" s="57"/>
      <c r="B951" s="952"/>
      <c r="C951" s="241"/>
      <c r="D951" s="91"/>
      <c r="E951" s="91"/>
      <c r="F951" s="91"/>
      <c r="G951" s="91"/>
      <c r="H951" s="91"/>
      <c r="I951" s="57"/>
      <c r="J951" s="91"/>
      <c r="K951" s="1216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57"/>
      <c r="X951" s="91"/>
      <c r="Y951" s="91"/>
      <c r="Z951" s="91"/>
      <c r="AA951" s="91"/>
      <c r="AB951" s="91"/>
    </row>
    <row r="952" ht="15.75" customHeight="1">
      <c r="A952" s="57"/>
      <c r="B952" s="952"/>
      <c r="C952" s="241"/>
      <c r="D952" s="91"/>
      <c r="E952" s="91"/>
      <c r="F952" s="91"/>
      <c r="G952" s="91"/>
      <c r="H952" s="91"/>
      <c r="I952" s="57"/>
      <c r="J952" s="91"/>
      <c r="K952" s="1216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57"/>
      <c r="X952" s="91"/>
      <c r="Y952" s="91"/>
      <c r="Z952" s="91"/>
      <c r="AA952" s="91"/>
      <c r="AB952" s="91"/>
    </row>
    <row r="953" ht="15.75" customHeight="1">
      <c r="A953" s="57"/>
      <c r="B953" s="952"/>
      <c r="C953" s="241"/>
      <c r="D953" s="91"/>
      <c r="E953" s="91"/>
      <c r="F953" s="91"/>
      <c r="G953" s="91"/>
      <c r="H953" s="91"/>
      <c r="I953" s="57"/>
      <c r="J953" s="91"/>
      <c r="K953" s="1216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57"/>
      <c r="X953" s="91"/>
      <c r="Y953" s="91"/>
      <c r="Z953" s="91"/>
      <c r="AA953" s="91"/>
      <c r="AB953" s="91"/>
    </row>
    <row r="954" ht="15.75" customHeight="1">
      <c r="A954" s="57"/>
      <c r="B954" s="952"/>
      <c r="C954" s="241"/>
      <c r="D954" s="91"/>
      <c r="E954" s="91"/>
      <c r="F954" s="91"/>
      <c r="G954" s="91"/>
      <c r="H954" s="91"/>
      <c r="I954" s="57"/>
      <c r="J954" s="91"/>
      <c r="K954" s="1216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57"/>
      <c r="X954" s="91"/>
      <c r="Y954" s="91"/>
      <c r="Z954" s="91"/>
      <c r="AA954" s="91"/>
      <c r="AB954" s="91"/>
    </row>
    <row r="955" ht="15.75" customHeight="1">
      <c r="A955" s="57"/>
      <c r="B955" s="952"/>
      <c r="C955" s="241"/>
      <c r="D955" s="91"/>
      <c r="E955" s="91"/>
      <c r="F955" s="91"/>
      <c r="G955" s="91"/>
      <c r="H955" s="91"/>
      <c r="I955" s="57"/>
      <c r="J955" s="91"/>
      <c r="K955" s="1216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57"/>
      <c r="X955" s="91"/>
      <c r="Y955" s="91"/>
      <c r="Z955" s="91"/>
      <c r="AA955" s="91"/>
      <c r="AB955" s="91"/>
    </row>
    <row r="956" ht="15.75" customHeight="1">
      <c r="A956" s="57"/>
      <c r="B956" s="952"/>
      <c r="C956" s="241"/>
      <c r="D956" s="91"/>
      <c r="E956" s="91"/>
      <c r="F956" s="91"/>
      <c r="G956" s="91"/>
      <c r="H956" s="91"/>
      <c r="I956" s="57"/>
      <c r="J956" s="91"/>
      <c r="K956" s="1216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57"/>
      <c r="X956" s="91"/>
      <c r="Y956" s="91"/>
      <c r="Z956" s="91"/>
      <c r="AA956" s="91"/>
      <c r="AB956" s="91"/>
    </row>
    <row r="957" ht="15.75" customHeight="1">
      <c r="A957" s="57"/>
      <c r="B957" s="952"/>
      <c r="C957" s="241"/>
      <c r="D957" s="91"/>
      <c r="E957" s="91"/>
      <c r="F957" s="91"/>
      <c r="G957" s="91"/>
      <c r="H957" s="91"/>
      <c r="I957" s="57"/>
      <c r="J957" s="91"/>
      <c r="K957" s="1216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57"/>
      <c r="X957" s="91"/>
      <c r="Y957" s="91"/>
      <c r="Z957" s="91"/>
      <c r="AA957" s="91"/>
      <c r="AB957" s="91"/>
    </row>
    <row r="958" ht="15.75" customHeight="1">
      <c r="A958" s="57"/>
      <c r="B958" s="952"/>
      <c r="C958" s="241"/>
      <c r="D958" s="91"/>
      <c r="E958" s="91"/>
      <c r="F958" s="91"/>
      <c r="G958" s="91"/>
      <c r="H958" s="91"/>
      <c r="I958" s="57"/>
      <c r="J958" s="91"/>
      <c r="K958" s="1216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57"/>
      <c r="X958" s="91"/>
      <c r="Y958" s="91"/>
      <c r="Z958" s="91"/>
      <c r="AA958" s="91"/>
      <c r="AB958" s="91"/>
    </row>
    <row r="959" ht="15.75" customHeight="1">
      <c r="A959" s="57"/>
      <c r="B959" s="952"/>
      <c r="C959" s="241"/>
      <c r="D959" s="91"/>
      <c r="E959" s="91"/>
      <c r="F959" s="91"/>
      <c r="G959" s="91"/>
      <c r="H959" s="91"/>
      <c r="I959" s="57"/>
      <c r="J959" s="91"/>
      <c r="K959" s="1216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57"/>
      <c r="X959" s="91"/>
      <c r="Y959" s="91"/>
      <c r="Z959" s="91"/>
      <c r="AA959" s="91"/>
      <c r="AB959" s="91"/>
    </row>
    <row r="960" ht="15.75" customHeight="1">
      <c r="A960" s="57"/>
      <c r="B960" s="952"/>
      <c r="C960" s="241"/>
      <c r="D960" s="91"/>
      <c r="E960" s="91"/>
      <c r="F960" s="91"/>
      <c r="G960" s="91"/>
      <c r="H960" s="91"/>
      <c r="I960" s="57"/>
      <c r="J960" s="91"/>
      <c r="K960" s="1216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57"/>
      <c r="X960" s="91"/>
      <c r="Y960" s="91"/>
      <c r="Z960" s="91"/>
      <c r="AA960" s="91"/>
      <c r="AB960" s="91"/>
    </row>
    <row r="961" ht="15.75" customHeight="1">
      <c r="A961" s="57"/>
      <c r="B961" s="952"/>
      <c r="C961" s="241"/>
      <c r="D961" s="91"/>
      <c r="E961" s="91"/>
      <c r="F961" s="91"/>
      <c r="G961" s="91"/>
      <c r="H961" s="91"/>
      <c r="I961" s="57"/>
      <c r="J961" s="91"/>
      <c r="K961" s="1216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57"/>
      <c r="X961" s="91"/>
      <c r="Y961" s="91"/>
      <c r="Z961" s="91"/>
      <c r="AA961" s="91"/>
      <c r="AB961" s="91"/>
    </row>
    <row r="962" ht="15.75" customHeight="1">
      <c r="A962" s="57"/>
      <c r="B962" s="952"/>
      <c r="C962" s="241"/>
      <c r="D962" s="91"/>
      <c r="E962" s="91"/>
      <c r="F962" s="91"/>
      <c r="G962" s="91"/>
      <c r="H962" s="91"/>
      <c r="I962" s="57"/>
      <c r="J962" s="91"/>
      <c r="K962" s="1216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57"/>
      <c r="X962" s="91"/>
      <c r="Y962" s="91"/>
      <c r="Z962" s="91"/>
      <c r="AA962" s="91"/>
      <c r="AB962" s="91"/>
    </row>
    <row r="963" ht="15.75" customHeight="1">
      <c r="A963" s="57"/>
      <c r="B963" s="952"/>
      <c r="C963" s="241"/>
      <c r="D963" s="91"/>
      <c r="E963" s="91"/>
      <c r="F963" s="91"/>
      <c r="G963" s="91"/>
      <c r="H963" s="91"/>
      <c r="I963" s="57"/>
      <c r="J963" s="91"/>
      <c r="K963" s="1216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57"/>
      <c r="X963" s="91"/>
      <c r="Y963" s="91"/>
      <c r="Z963" s="91"/>
      <c r="AA963" s="91"/>
      <c r="AB963" s="91"/>
    </row>
    <row r="964" ht="15.75" customHeight="1">
      <c r="A964" s="57"/>
      <c r="B964" s="952"/>
      <c r="C964" s="241"/>
      <c r="D964" s="91"/>
      <c r="E964" s="91"/>
      <c r="F964" s="91"/>
      <c r="G964" s="91"/>
      <c r="H964" s="91"/>
      <c r="I964" s="57"/>
      <c r="J964" s="91"/>
      <c r="K964" s="1216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57"/>
      <c r="X964" s="91"/>
      <c r="Y964" s="91"/>
      <c r="Z964" s="91"/>
      <c r="AA964" s="91"/>
      <c r="AB964" s="91"/>
    </row>
    <row r="965" ht="15.75" customHeight="1">
      <c r="A965" s="57"/>
      <c r="B965" s="952"/>
      <c r="C965" s="241"/>
      <c r="D965" s="91"/>
      <c r="E965" s="91"/>
      <c r="F965" s="91"/>
      <c r="G965" s="91"/>
      <c r="H965" s="91"/>
      <c r="I965" s="57"/>
      <c r="J965" s="91"/>
      <c r="K965" s="1216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57"/>
      <c r="X965" s="91"/>
      <c r="Y965" s="91"/>
      <c r="Z965" s="91"/>
      <c r="AA965" s="91"/>
      <c r="AB965" s="91"/>
    </row>
    <row r="966" ht="15.75" customHeight="1">
      <c r="A966" s="57"/>
      <c r="B966" s="952"/>
      <c r="C966" s="241"/>
      <c r="D966" s="91"/>
      <c r="E966" s="91"/>
      <c r="F966" s="91"/>
      <c r="G966" s="91"/>
      <c r="H966" s="91"/>
      <c r="I966" s="57"/>
      <c r="J966" s="91"/>
      <c r="K966" s="1216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57"/>
      <c r="X966" s="91"/>
      <c r="Y966" s="91"/>
      <c r="Z966" s="91"/>
      <c r="AA966" s="91"/>
      <c r="AB966" s="91"/>
    </row>
    <row r="967" ht="15.75" customHeight="1">
      <c r="A967" s="57"/>
      <c r="B967" s="952"/>
      <c r="C967" s="241"/>
      <c r="D967" s="91"/>
      <c r="E967" s="91"/>
      <c r="F967" s="91"/>
      <c r="G967" s="91"/>
      <c r="H967" s="91"/>
      <c r="I967" s="57"/>
      <c r="J967" s="91"/>
      <c r="K967" s="1216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57"/>
      <c r="X967" s="91"/>
      <c r="Y967" s="91"/>
      <c r="Z967" s="91"/>
      <c r="AA967" s="91"/>
      <c r="AB967" s="91"/>
    </row>
    <row r="968" ht="15.75" customHeight="1">
      <c r="A968" s="57"/>
      <c r="B968" s="952"/>
      <c r="C968" s="241"/>
      <c r="D968" s="91"/>
      <c r="E968" s="91"/>
      <c r="F968" s="91"/>
      <c r="G968" s="91"/>
      <c r="H968" s="91"/>
      <c r="I968" s="57"/>
      <c r="J968" s="91"/>
      <c r="K968" s="1216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57"/>
      <c r="X968" s="91"/>
      <c r="Y968" s="91"/>
      <c r="Z968" s="91"/>
      <c r="AA968" s="91"/>
      <c r="AB968" s="91"/>
    </row>
    <row r="969" ht="15.75" customHeight="1">
      <c r="A969" s="57"/>
      <c r="B969" s="952"/>
      <c r="C969" s="241"/>
      <c r="D969" s="91"/>
      <c r="E969" s="91"/>
      <c r="F969" s="91"/>
      <c r="G969" s="91"/>
      <c r="H969" s="91"/>
      <c r="I969" s="57"/>
      <c r="J969" s="91"/>
      <c r="K969" s="1216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57"/>
      <c r="X969" s="91"/>
      <c r="Y969" s="91"/>
      <c r="Z969" s="91"/>
      <c r="AA969" s="91"/>
      <c r="AB969" s="91"/>
    </row>
    <row r="970" ht="15.75" customHeight="1">
      <c r="A970" s="57"/>
      <c r="B970" s="952"/>
      <c r="C970" s="241"/>
      <c r="D970" s="91"/>
      <c r="E970" s="91"/>
      <c r="F970" s="91"/>
      <c r="G970" s="91"/>
      <c r="H970" s="91"/>
      <c r="I970" s="57"/>
      <c r="J970" s="91"/>
      <c r="K970" s="1216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57"/>
      <c r="X970" s="91"/>
      <c r="Y970" s="91"/>
      <c r="Z970" s="91"/>
      <c r="AA970" s="91"/>
      <c r="AB970" s="91"/>
    </row>
    <row r="971" ht="15.75" customHeight="1">
      <c r="A971" s="57"/>
      <c r="B971" s="952"/>
      <c r="C971" s="241"/>
      <c r="D971" s="91"/>
      <c r="E971" s="91"/>
      <c r="F971" s="91"/>
      <c r="G971" s="91"/>
      <c r="H971" s="91"/>
      <c r="I971" s="57"/>
      <c r="J971" s="91"/>
      <c r="K971" s="1216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57"/>
      <c r="X971" s="91"/>
      <c r="Y971" s="91"/>
      <c r="Z971" s="91"/>
      <c r="AA971" s="91"/>
      <c r="AB971" s="91"/>
    </row>
    <row r="972" ht="15.75" customHeight="1">
      <c r="A972" s="57"/>
      <c r="B972" s="952"/>
      <c r="C972" s="241"/>
      <c r="D972" s="91"/>
      <c r="E972" s="91"/>
      <c r="F972" s="91"/>
      <c r="G972" s="91"/>
      <c r="H972" s="91"/>
      <c r="I972" s="57"/>
      <c r="J972" s="91"/>
      <c r="K972" s="1216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57"/>
      <c r="X972" s="91"/>
      <c r="Y972" s="91"/>
      <c r="Z972" s="91"/>
      <c r="AA972" s="91"/>
      <c r="AB972" s="91"/>
    </row>
    <row r="973" ht="15.75" customHeight="1">
      <c r="A973" s="57"/>
      <c r="B973" s="952"/>
      <c r="C973" s="241"/>
      <c r="D973" s="91"/>
      <c r="E973" s="91"/>
      <c r="F973" s="91"/>
      <c r="G973" s="91"/>
      <c r="H973" s="91"/>
      <c r="I973" s="57"/>
      <c r="J973" s="91"/>
      <c r="K973" s="1216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57"/>
      <c r="X973" s="91"/>
      <c r="Y973" s="91"/>
      <c r="Z973" s="91"/>
      <c r="AA973" s="91"/>
      <c r="AB973" s="91"/>
    </row>
    <row r="974" ht="15.75" customHeight="1">
      <c r="A974" s="57"/>
      <c r="B974" s="952"/>
      <c r="C974" s="241"/>
      <c r="D974" s="91"/>
      <c r="E974" s="91"/>
      <c r="F974" s="91"/>
      <c r="G974" s="91"/>
      <c r="H974" s="91"/>
      <c r="I974" s="57"/>
      <c r="J974" s="91"/>
      <c r="K974" s="1216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57"/>
      <c r="X974" s="91"/>
      <c r="Y974" s="91"/>
      <c r="Z974" s="91"/>
      <c r="AA974" s="91"/>
      <c r="AB974" s="91"/>
    </row>
    <row r="975" ht="15.75" customHeight="1">
      <c r="A975" s="57"/>
      <c r="B975" s="952"/>
      <c r="C975" s="241"/>
      <c r="D975" s="91"/>
      <c r="E975" s="91"/>
      <c r="F975" s="91"/>
      <c r="G975" s="91"/>
      <c r="H975" s="91"/>
      <c r="I975" s="57"/>
      <c r="J975" s="91"/>
      <c r="K975" s="1216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57"/>
      <c r="X975" s="91"/>
      <c r="Y975" s="91"/>
      <c r="Z975" s="91"/>
      <c r="AA975" s="91"/>
      <c r="AB975" s="91"/>
    </row>
    <row r="976" ht="15.75" customHeight="1">
      <c r="A976" s="57"/>
      <c r="B976" s="952"/>
      <c r="C976" s="241"/>
      <c r="D976" s="91"/>
      <c r="E976" s="91"/>
      <c r="F976" s="91"/>
      <c r="G976" s="91"/>
      <c r="H976" s="91"/>
      <c r="I976" s="57"/>
      <c r="J976" s="91"/>
      <c r="K976" s="1216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57"/>
      <c r="X976" s="91"/>
      <c r="Y976" s="91"/>
      <c r="Z976" s="91"/>
      <c r="AA976" s="91"/>
      <c r="AB976" s="91"/>
    </row>
    <row r="977" ht="15.75" customHeight="1">
      <c r="A977" s="57"/>
      <c r="B977" s="952"/>
      <c r="C977" s="241"/>
      <c r="D977" s="91"/>
      <c r="E977" s="91"/>
      <c r="F977" s="91"/>
      <c r="G977" s="91"/>
      <c r="H977" s="91"/>
      <c r="I977" s="57"/>
      <c r="J977" s="91"/>
      <c r="K977" s="1216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57"/>
      <c r="X977" s="91"/>
      <c r="Y977" s="91"/>
      <c r="Z977" s="91"/>
      <c r="AA977" s="91"/>
      <c r="AB977" s="91"/>
    </row>
  </sheetData>
  <autoFilter ref="$A$1:$AB$702"/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9.86"/>
    <col customWidth="1" min="2" max="2" width="15.0"/>
    <col customWidth="1" min="3" max="3" width="18.0"/>
    <col customWidth="1" min="4" max="4" width="13.86"/>
    <col customWidth="1" min="5" max="5" width="23.57"/>
    <col customWidth="1" min="6" max="6" width="8.29"/>
    <col customWidth="1" min="7" max="7" width="16.14"/>
    <col customWidth="1" min="8" max="8" width="15.86"/>
    <col customWidth="1" min="9" max="9" width="16.43"/>
    <col customWidth="1" min="10" max="10" width="15.71"/>
    <col customWidth="1" min="11" max="11" width="12.71"/>
    <col customWidth="1" min="12" max="12" width="16.57"/>
    <col customWidth="1" min="13" max="15" width="12.57"/>
    <col customWidth="1" min="16" max="16" width="21.43"/>
    <col customWidth="1" min="17" max="17" width="17.71"/>
    <col customWidth="1" min="18" max="18" width="18.14"/>
    <col customWidth="1" min="19" max="19" width="23.14"/>
    <col customWidth="1" min="20" max="20" width="16.14"/>
    <col customWidth="1" min="21" max="21" width="16.43"/>
    <col customWidth="1" min="23" max="23" width="15.86"/>
    <col customWidth="1" min="24" max="24" width="16.57"/>
    <col customWidth="1" min="25" max="25" width="14.86"/>
    <col customWidth="1" min="26" max="26" width="21.43"/>
    <col customWidth="1" min="27" max="27" width="16.43"/>
    <col customWidth="1" min="28" max="28" width="15.71"/>
    <col customWidth="1" min="29" max="29" width="19.43"/>
    <col customWidth="1" min="30" max="30" width="17.14"/>
  </cols>
  <sheetData>
    <row r="1" ht="15.75" customHeight="1">
      <c r="A1" s="752" t="s">
        <v>3462</v>
      </c>
      <c r="B1" s="1122" t="s">
        <v>3463</v>
      </c>
      <c r="C1" s="1229" t="s">
        <v>2</v>
      </c>
      <c r="D1" s="1123" t="s">
        <v>3</v>
      </c>
      <c r="E1" s="1122" t="s">
        <v>4</v>
      </c>
      <c r="F1" s="1123" t="s">
        <v>5</v>
      </c>
      <c r="G1" s="1124" t="s">
        <v>5973</v>
      </c>
      <c r="H1" s="1124" t="s">
        <v>5974</v>
      </c>
      <c r="I1" s="1124" t="s">
        <v>10944</v>
      </c>
      <c r="J1" s="1124" t="s">
        <v>10945</v>
      </c>
      <c r="K1" s="1123" t="s">
        <v>8</v>
      </c>
      <c r="L1" s="1122" t="s">
        <v>9</v>
      </c>
      <c r="M1" s="1230" t="s">
        <v>10</v>
      </c>
      <c r="N1" s="575" t="s">
        <v>8652</v>
      </c>
      <c r="O1" s="760" t="s">
        <v>12</v>
      </c>
      <c r="P1" s="1125" t="s">
        <v>8653</v>
      </c>
      <c r="Q1" s="1126" t="s">
        <v>5977</v>
      </c>
      <c r="R1" s="1126" t="s">
        <v>5978</v>
      </c>
      <c r="S1" s="1127" t="s">
        <v>5979</v>
      </c>
      <c r="T1" s="1128" t="s">
        <v>5980</v>
      </c>
      <c r="U1" s="1130" t="s">
        <v>5981</v>
      </c>
      <c r="V1" s="1130" t="s">
        <v>20</v>
      </c>
      <c r="W1" s="1130" t="s">
        <v>21</v>
      </c>
      <c r="X1" s="1130" t="s">
        <v>5982</v>
      </c>
      <c r="Y1" s="1231" t="s">
        <v>23</v>
      </c>
      <c r="Z1" s="1130" t="s">
        <v>5983</v>
      </c>
      <c r="AA1" s="1130" t="s">
        <v>8654</v>
      </c>
      <c r="AB1" s="1130" t="s">
        <v>8655</v>
      </c>
      <c r="AC1" s="1130" t="s">
        <v>8656</v>
      </c>
      <c r="AD1" s="1131" t="s">
        <v>29</v>
      </c>
    </row>
    <row r="2" ht="15.75" customHeight="1">
      <c r="A2" s="764">
        <v>42004.0</v>
      </c>
      <c r="B2" s="844" t="s">
        <v>10946</v>
      </c>
      <c r="C2" s="388"/>
      <c r="D2" s="388" t="s">
        <v>10947</v>
      </c>
      <c r="E2" s="599" t="s">
        <v>10948</v>
      </c>
      <c r="F2" s="1137">
        <v>1.0</v>
      </c>
      <c r="G2" s="325">
        <v>1050.0</v>
      </c>
      <c r="H2" s="466">
        <f t="shared" ref="H2:H5" si="1">F2*G2</f>
        <v>1050</v>
      </c>
      <c r="I2" s="466">
        <v>31500.0</v>
      </c>
      <c r="J2" s="1149">
        <f t="shared" ref="J2:J5" si="2">F2*I2</f>
        <v>31500</v>
      </c>
      <c r="K2" s="265" t="s">
        <v>10949</v>
      </c>
      <c r="L2" s="269" t="s">
        <v>10950</v>
      </c>
      <c r="M2" s="832">
        <v>42046.0</v>
      </c>
      <c r="N2" s="388"/>
      <c r="O2" s="269" t="s">
        <v>10951</v>
      </c>
      <c r="P2" s="1004" t="s">
        <v>10952</v>
      </c>
      <c r="Q2" s="388"/>
      <c r="R2" s="773">
        <v>27720.0</v>
      </c>
      <c r="S2" s="388" t="s">
        <v>10953</v>
      </c>
      <c r="T2" s="388"/>
      <c r="U2" s="1139"/>
      <c r="V2" s="1132">
        <v>42045.0</v>
      </c>
      <c r="W2" s="265" t="s">
        <v>10954</v>
      </c>
      <c r="X2" s="1135">
        <v>27720.0</v>
      </c>
      <c r="Y2" s="1144">
        <v>42096.0</v>
      </c>
      <c r="Z2" s="320" t="s">
        <v>10955</v>
      </c>
      <c r="AA2" s="388"/>
      <c r="AB2" s="1159">
        <v>31500.0</v>
      </c>
      <c r="AC2" s="388" t="s">
        <v>10956</v>
      </c>
      <c r="AD2" s="388"/>
    </row>
    <row r="3" ht="15.75" customHeight="1">
      <c r="A3" s="764">
        <v>42023.0</v>
      </c>
      <c r="B3" s="844" t="s">
        <v>10946</v>
      </c>
      <c r="C3" s="388"/>
      <c r="D3" s="388" t="s">
        <v>10957</v>
      </c>
      <c r="E3" s="599" t="s">
        <v>10948</v>
      </c>
      <c r="F3" s="1137">
        <v>1.0</v>
      </c>
      <c r="G3" s="325">
        <v>1050.0</v>
      </c>
      <c r="H3" s="466">
        <f t="shared" si="1"/>
        <v>1050</v>
      </c>
      <c r="I3" s="466">
        <v>31500.0</v>
      </c>
      <c r="J3" s="1149">
        <f t="shared" si="2"/>
        <v>31500</v>
      </c>
      <c r="K3" s="265" t="s">
        <v>10949</v>
      </c>
      <c r="L3" s="269" t="s">
        <v>10950</v>
      </c>
      <c r="M3" s="832">
        <v>42048.0</v>
      </c>
      <c r="N3" s="388"/>
      <c r="O3" s="269" t="s">
        <v>10951</v>
      </c>
      <c r="P3" s="1004" t="s">
        <v>10958</v>
      </c>
      <c r="Q3" s="388"/>
      <c r="R3" s="773">
        <v>27720.0</v>
      </c>
      <c r="S3" s="388" t="s">
        <v>10953</v>
      </c>
      <c r="T3" s="388"/>
      <c r="U3" s="1139"/>
      <c r="V3" s="1132">
        <v>42048.0</v>
      </c>
      <c r="W3" s="265" t="s">
        <v>10959</v>
      </c>
      <c r="X3" s="1135">
        <v>27720.0</v>
      </c>
      <c r="Y3" s="1144">
        <v>42096.0</v>
      </c>
      <c r="Z3" s="388" t="s">
        <v>10960</v>
      </c>
      <c r="AA3" s="388"/>
      <c r="AB3" s="1159">
        <v>31500.0</v>
      </c>
      <c r="AC3" s="388" t="s">
        <v>10961</v>
      </c>
      <c r="AD3" s="388"/>
    </row>
    <row r="4" ht="15.75" customHeight="1">
      <c r="A4" s="764">
        <v>42051.0</v>
      </c>
      <c r="B4" s="1232" t="s">
        <v>10946</v>
      </c>
      <c r="C4" s="1004" t="s">
        <v>9131</v>
      </c>
      <c r="D4" s="388" t="s">
        <v>10962</v>
      </c>
      <c r="E4" s="599" t="s">
        <v>10963</v>
      </c>
      <c r="F4" s="1137">
        <v>1.0</v>
      </c>
      <c r="G4" s="1137">
        <v>26.25</v>
      </c>
      <c r="H4" s="773">
        <f t="shared" si="1"/>
        <v>26.25</v>
      </c>
      <c r="I4" s="1149">
        <v>787.5</v>
      </c>
      <c r="J4" s="1149">
        <f t="shared" si="2"/>
        <v>787.5</v>
      </c>
      <c r="K4" s="265" t="s">
        <v>10949</v>
      </c>
      <c r="L4" s="269" t="s">
        <v>10950</v>
      </c>
      <c r="M4" s="1148">
        <v>42065.0</v>
      </c>
      <c r="N4" s="388"/>
      <c r="O4" s="269" t="s">
        <v>10964</v>
      </c>
      <c r="P4" s="388"/>
      <c r="Q4" s="388"/>
      <c r="R4" s="773">
        <v>630.0</v>
      </c>
      <c r="S4" s="388" t="s">
        <v>10953</v>
      </c>
      <c r="T4" s="388"/>
      <c r="U4" s="1139"/>
      <c r="V4" s="1144">
        <v>42416.0</v>
      </c>
      <c r="W4" s="388" t="s">
        <v>10965</v>
      </c>
      <c r="X4" s="592">
        <v>630.0</v>
      </c>
      <c r="Y4" s="1144">
        <v>42096.0</v>
      </c>
      <c r="Z4" s="388" t="s">
        <v>10966</v>
      </c>
      <c r="AA4" s="388"/>
      <c r="AB4" s="1137">
        <v>788.0</v>
      </c>
      <c r="AC4" s="388" t="s">
        <v>10967</v>
      </c>
      <c r="AD4" s="388"/>
    </row>
    <row r="5" ht="15.75" customHeight="1">
      <c r="A5" s="764">
        <v>42080.0</v>
      </c>
      <c r="B5" s="844" t="s">
        <v>10946</v>
      </c>
      <c r="C5" s="388"/>
      <c r="D5" s="388" t="s">
        <v>10968</v>
      </c>
      <c r="E5" s="599" t="s">
        <v>10948</v>
      </c>
      <c r="F5" s="1137">
        <v>2.0</v>
      </c>
      <c r="G5" s="325">
        <v>1050.0</v>
      </c>
      <c r="H5" s="466">
        <f t="shared" si="1"/>
        <v>2100</v>
      </c>
      <c r="I5" s="466">
        <v>31500.0</v>
      </c>
      <c r="J5" s="1149">
        <f t="shared" si="2"/>
        <v>63000</v>
      </c>
      <c r="K5" s="265" t="s">
        <v>10949</v>
      </c>
      <c r="L5" s="269" t="s">
        <v>10950</v>
      </c>
      <c r="M5" s="832">
        <v>42149.0</v>
      </c>
      <c r="N5" s="832">
        <v>42146.0</v>
      </c>
      <c r="O5" s="269" t="s">
        <v>10951</v>
      </c>
      <c r="P5" s="1004" t="s">
        <v>10969</v>
      </c>
      <c r="Q5" s="388"/>
      <c r="R5" s="773">
        <v>55440.0</v>
      </c>
      <c r="S5" s="388" t="s">
        <v>10970</v>
      </c>
      <c r="T5" s="388"/>
      <c r="U5" s="388"/>
      <c r="V5" s="1144">
        <v>42146.0</v>
      </c>
      <c r="W5" s="388" t="s">
        <v>10971</v>
      </c>
      <c r="X5" s="845">
        <v>55440.0</v>
      </c>
      <c r="Y5" s="1144">
        <v>42160.0</v>
      </c>
      <c r="Z5" s="388" t="s">
        <v>10972</v>
      </c>
      <c r="AA5" s="388"/>
      <c r="AB5" s="1159">
        <v>63000.0</v>
      </c>
      <c r="AC5" s="388" t="s">
        <v>10973</v>
      </c>
      <c r="AD5" s="388"/>
    </row>
    <row r="6" ht="15.75" customHeight="1">
      <c r="A6" s="776">
        <v>42087.0</v>
      </c>
      <c r="B6" s="844" t="s">
        <v>10946</v>
      </c>
      <c r="C6" s="388"/>
      <c r="D6" s="320" t="s">
        <v>10974</v>
      </c>
      <c r="E6" s="340" t="s">
        <v>10975</v>
      </c>
      <c r="F6" s="773">
        <v>3.0</v>
      </c>
      <c r="G6" s="773">
        <v>45.0</v>
      </c>
      <c r="H6" s="466">
        <f t="shared" ref="H6:H7" si="3">G6*F6</f>
        <v>135</v>
      </c>
      <c r="I6" s="1149">
        <v>1348.0</v>
      </c>
      <c r="J6" s="1149">
        <v>4157.0</v>
      </c>
      <c r="K6" s="265" t="s">
        <v>10949</v>
      </c>
      <c r="L6" s="333" t="s">
        <v>10976</v>
      </c>
      <c r="M6" s="832">
        <v>42131.0</v>
      </c>
      <c r="N6" s="832">
        <v>42129.0</v>
      </c>
      <c r="O6" s="333" t="s">
        <v>10977</v>
      </c>
      <c r="P6" s="265" t="s">
        <v>10978</v>
      </c>
      <c r="Q6" s="388"/>
      <c r="R6" s="773">
        <v>2925.88</v>
      </c>
      <c r="S6" s="320" t="s">
        <v>10979</v>
      </c>
      <c r="T6" s="388"/>
      <c r="U6" s="388"/>
      <c r="V6" s="1132">
        <v>42128.0</v>
      </c>
      <c r="W6" s="320" t="s">
        <v>10980</v>
      </c>
      <c r="X6" s="1135">
        <v>32803.0</v>
      </c>
      <c r="Y6" s="1132">
        <v>42160.0</v>
      </c>
      <c r="Z6" s="320" t="s">
        <v>10981</v>
      </c>
      <c r="AA6" s="320" t="s">
        <v>10982</v>
      </c>
      <c r="AB6" s="1149">
        <v>4157.0</v>
      </c>
      <c r="AC6" s="320" t="s">
        <v>10983</v>
      </c>
      <c r="AD6" s="388"/>
    </row>
    <row r="7" ht="15.75" customHeight="1">
      <c r="A7" s="764">
        <v>42095.0</v>
      </c>
      <c r="B7" s="844" t="s">
        <v>10946</v>
      </c>
      <c r="C7" s="1004" t="s">
        <v>9131</v>
      </c>
      <c r="D7" s="388" t="s">
        <v>10984</v>
      </c>
      <c r="E7" s="599" t="s">
        <v>10963</v>
      </c>
      <c r="F7" s="1137">
        <v>1.0</v>
      </c>
      <c r="G7" s="325">
        <f>I7/31.2</f>
        <v>102.9807692</v>
      </c>
      <c r="H7" s="466">
        <f t="shared" si="3"/>
        <v>102.9807692</v>
      </c>
      <c r="I7" s="1149">
        <v>3213.0</v>
      </c>
      <c r="J7" s="1149">
        <f>F7*I7</f>
        <v>3213</v>
      </c>
      <c r="K7" s="265" t="s">
        <v>10949</v>
      </c>
      <c r="L7" s="269" t="s">
        <v>10950</v>
      </c>
      <c r="M7" s="832">
        <v>42114.0</v>
      </c>
      <c r="N7" s="388"/>
      <c r="O7" s="269" t="s">
        <v>10950</v>
      </c>
      <c r="P7" s="1004" t="s">
        <v>10985</v>
      </c>
      <c r="Q7" s="388"/>
      <c r="R7" s="773">
        <v>1607.0</v>
      </c>
      <c r="S7" s="388" t="s">
        <v>10970</v>
      </c>
      <c r="T7" s="388"/>
      <c r="U7" s="1139"/>
      <c r="V7" s="1144">
        <v>42108.0</v>
      </c>
      <c r="W7" s="388" t="s">
        <v>10986</v>
      </c>
      <c r="X7" s="845">
        <v>1607.0</v>
      </c>
      <c r="Y7" s="1144">
        <v>42129.0</v>
      </c>
      <c r="Z7" s="388" t="s">
        <v>10987</v>
      </c>
      <c r="AA7" s="388"/>
      <c r="AB7" s="1137">
        <v>3213.0</v>
      </c>
      <c r="AC7" s="388" t="s">
        <v>10988</v>
      </c>
      <c r="AD7" s="1137">
        <v>3183.0</v>
      </c>
    </row>
    <row r="8" ht="15.75" customHeight="1">
      <c r="A8" s="274">
        <v>42114.0</v>
      </c>
      <c r="B8" s="844" t="s">
        <v>10989</v>
      </c>
      <c r="C8" s="1058" t="s">
        <v>10990</v>
      </c>
      <c r="D8" s="857" t="s">
        <v>10991</v>
      </c>
      <c r="E8" s="1233" t="s">
        <v>10992</v>
      </c>
      <c r="F8" s="1234">
        <v>0.0</v>
      </c>
      <c r="G8" s="388"/>
      <c r="H8" s="388"/>
      <c r="I8" s="388"/>
      <c r="J8" s="1234">
        <v>0.0</v>
      </c>
      <c r="K8" s="1058" t="s">
        <v>171</v>
      </c>
      <c r="L8" s="599"/>
      <c r="M8" s="835">
        <v>42121.0</v>
      </c>
      <c r="N8" s="388"/>
      <c r="O8" s="269"/>
      <c r="P8" s="388"/>
      <c r="Q8" s="388"/>
      <c r="R8" s="388"/>
      <c r="S8" s="388"/>
      <c r="T8" s="388"/>
      <c r="U8" s="388"/>
      <c r="V8" s="388"/>
      <c r="W8" s="388"/>
      <c r="X8" s="388"/>
      <c r="Y8" s="388"/>
      <c r="Z8" s="388"/>
      <c r="AA8" s="388"/>
      <c r="AB8" s="388"/>
      <c r="AC8" s="388"/>
      <c r="AD8" s="388"/>
    </row>
    <row r="9" ht="15.75" customHeight="1">
      <c r="A9" s="764">
        <v>42195.0</v>
      </c>
      <c r="B9" s="844" t="s">
        <v>10993</v>
      </c>
      <c r="C9" s="388"/>
      <c r="D9" s="388" t="s">
        <v>10994</v>
      </c>
      <c r="E9" s="599" t="s">
        <v>5250</v>
      </c>
      <c r="F9" s="1137">
        <v>2.0</v>
      </c>
      <c r="G9" s="1137">
        <v>90.0</v>
      </c>
      <c r="H9" s="1147">
        <f t="shared" ref="H9:H10" si="4">F9*G9</f>
        <v>180</v>
      </c>
      <c r="I9" s="388"/>
      <c r="J9" s="388"/>
      <c r="K9" s="265" t="s">
        <v>3874</v>
      </c>
      <c r="L9" s="269" t="s">
        <v>10995</v>
      </c>
      <c r="M9" s="832">
        <v>42205.0</v>
      </c>
      <c r="N9" s="832">
        <v>42202.0</v>
      </c>
      <c r="O9" s="269" t="s">
        <v>10996</v>
      </c>
      <c r="P9" s="1004" t="s">
        <v>10997</v>
      </c>
      <c r="Q9" s="388"/>
      <c r="R9" s="773">
        <v>4830.0</v>
      </c>
      <c r="S9" s="388" t="s">
        <v>10998</v>
      </c>
      <c r="T9" s="388"/>
      <c r="U9" s="1132">
        <v>42246.0</v>
      </c>
      <c r="V9" s="1143">
        <v>42201.0</v>
      </c>
      <c r="W9" s="388" t="s">
        <v>10999</v>
      </c>
      <c r="X9" s="845">
        <v>18900.0</v>
      </c>
      <c r="Y9" s="1144">
        <v>42219.0</v>
      </c>
      <c r="Z9" s="388" t="s">
        <v>11000</v>
      </c>
      <c r="AA9" s="388"/>
      <c r="AB9" s="388"/>
      <c r="AC9" s="388"/>
      <c r="AD9" s="1235">
        <v>722.54</v>
      </c>
    </row>
    <row r="10" ht="15.75" customHeight="1">
      <c r="A10" s="764">
        <v>42195.0</v>
      </c>
      <c r="B10" s="844" t="s">
        <v>10993</v>
      </c>
      <c r="C10" s="388"/>
      <c r="D10" s="388" t="s">
        <v>10994</v>
      </c>
      <c r="E10" s="599" t="s">
        <v>11001</v>
      </c>
      <c r="F10" s="1137">
        <v>2.0</v>
      </c>
      <c r="G10" s="1137">
        <v>260.0</v>
      </c>
      <c r="H10" s="1147">
        <f t="shared" si="4"/>
        <v>520</v>
      </c>
      <c r="I10" s="388"/>
      <c r="J10" s="388"/>
      <c r="K10" s="265" t="s">
        <v>3874</v>
      </c>
      <c r="L10" s="269" t="s">
        <v>11002</v>
      </c>
      <c r="M10" s="832">
        <v>42205.0</v>
      </c>
      <c r="N10" s="832">
        <v>42202.0</v>
      </c>
      <c r="O10" s="269" t="s">
        <v>10996</v>
      </c>
      <c r="P10" s="1004" t="s">
        <v>10997</v>
      </c>
      <c r="Q10" s="388"/>
      <c r="R10" s="773">
        <v>14070.0</v>
      </c>
      <c r="S10" s="388" t="s">
        <v>10998</v>
      </c>
      <c r="T10" s="388"/>
      <c r="U10" s="1132">
        <v>42246.0</v>
      </c>
      <c r="V10" s="1143">
        <v>42201.0</v>
      </c>
      <c r="W10" s="388" t="s">
        <v>10999</v>
      </c>
      <c r="X10" s="592" t="s">
        <v>8836</v>
      </c>
      <c r="Y10" s="1144">
        <v>42219.0</v>
      </c>
      <c r="Z10" s="388" t="s">
        <v>11000</v>
      </c>
      <c r="AA10" s="388"/>
      <c r="AB10" s="388"/>
      <c r="AC10" s="388"/>
      <c r="AD10" s="1235">
        <v>722.54</v>
      </c>
    </row>
    <row r="11" ht="15.75" customHeight="1">
      <c r="A11" s="764">
        <v>42061.0</v>
      </c>
      <c r="B11" s="844" t="s">
        <v>6246</v>
      </c>
      <c r="C11" s="388"/>
      <c r="D11" s="388" t="s">
        <v>11003</v>
      </c>
      <c r="E11" s="599" t="s">
        <v>1241</v>
      </c>
      <c r="F11" s="1137">
        <v>5.0</v>
      </c>
      <c r="G11" s="1137">
        <v>53.0</v>
      </c>
      <c r="H11" s="466">
        <f t="shared" ref="H11:H15" si="5">G11*F11</f>
        <v>265</v>
      </c>
      <c r="I11" s="388"/>
      <c r="J11" s="388"/>
      <c r="K11" s="265" t="s">
        <v>87</v>
      </c>
      <c r="L11" s="269" t="s">
        <v>11004</v>
      </c>
      <c r="M11" s="832">
        <v>42075.0</v>
      </c>
      <c r="N11" s="832">
        <v>42069.0</v>
      </c>
      <c r="O11" s="269" t="s">
        <v>90</v>
      </c>
      <c r="P11" s="265" t="s">
        <v>11005</v>
      </c>
      <c r="Q11" s="773">
        <v>241.5</v>
      </c>
      <c r="R11" s="388"/>
      <c r="S11" s="388" t="s">
        <v>11006</v>
      </c>
      <c r="T11" s="388"/>
      <c r="U11" s="1139"/>
      <c r="V11" s="1132">
        <v>42069.0</v>
      </c>
      <c r="W11" s="265" t="s">
        <v>11007</v>
      </c>
      <c r="X11" s="1135">
        <v>36579.0</v>
      </c>
      <c r="Y11" s="1144">
        <v>42074.0</v>
      </c>
      <c r="Z11" s="320" t="s">
        <v>11008</v>
      </c>
      <c r="AA11" s="388"/>
      <c r="AB11" s="388"/>
      <c r="AC11" s="388"/>
      <c r="AD11" s="388" t="s">
        <v>8661</v>
      </c>
    </row>
    <row r="12" ht="15.75" customHeight="1">
      <c r="A12" s="764">
        <v>42061.0</v>
      </c>
      <c r="B12" s="844" t="s">
        <v>6246</v>
      </c>
      <c r="C12" s="388"/>
      <c r="D12" s="388" t="s">
        <v>11003</v>
      </c>
      <c r="E12" s="599" t="s">
        <v>6249</v>
      </c>
      <c r="F12" s="1137">
        <v>10.0</v>
      </c>
      <c r="G12" s="1137">
        <v>60.0</v>
      </c>
      <c r="H12" s="466">
        <f t="shared" si="5"/>
        <v>600</v>
      </c>
      <c r="I12" s="388"/>
      <c r="J12" s="388"/>
      <c r="K12" s="265" t="s">
        <v>87</v>
      </c>
      <c r="L12" s="269" t="s">
        <v>11004</v>
      </c>
      <c r="M12" s="832">
        <v>42075.0</v>
      </c>
      <c r="N12" s="832">
        <v>42069.0</v>
      </c>
      <c r="O12" s="269" t="s">
        <v>90</v>
      </c>
      <c r="P12" s="265" t="s">
        <v>11005</v>
      </c>
      <c r="Q12" s="773">
        <v>546.0</v>
      </c>
      <c r="R12" s="388"/>
      <c r="S12" s="388" t="s">
        <v>11006</v>
      </c>
      <c r="T12" s="388"/>
      <c r="U12" s="1139"/>
      <c r="V12" s="1132">
        <v>42069.0</v>
      </c>
      <c r="W12" s="265" t="s">
        <v>11007</v>
      </c>
      <c r="X12" s="256" t="s">
        <v>8836</v>
      </c>
      <c r="Y12" s="1144">
        <v>42074.0</v>
      </c>
      <c r="Z12" s="320" t="s">
        <v>11008</v>
      </c>
      <c r="AA12" s="388"/>
      <c r="AB12" s="388"/>
      <c r="AC12" s="388"/>
      <c r="AD12" s="388" t="s">
        <v>8661</v>
      </c>
    </row>
    <row r="13" ht="15.75" customHeight="1">
      <c r="A13" s="764">
        <v>42061.0</v>
      </c>
      <c r="B13" s="844" t="s">
        <v>6246</v>
      </c>
      <c r="C13" s="388"/>
      <c r="D13" s="388" t="s">
        <v>11003</v>
      </c>
      <c r="E13" s="599" t="s">
        <v>11009</v>
      </c>
      <c r="F13" s="1137">
        <v>6.0</v>
      </c>
      <c r="G13" s="1137">
        <v>81.0</v>
      </c>
      <c r="H13" s="466">
        <f t="shared" si="5"/>
        <v>486</v>
      </c>
      <c r="I13" s="388"/>
      <c r="J13" s="388"/>
      <c r="K13" s="265" t="s">
        <v>87</v>
      </c>
      <c r="L13" s="269" t="s">
        <v>11004</v>
      </c>
      <c r="M13" s="832">
        <v>42075.0</v>
      </c>
      <c r="N13" s="832">
        <v>42069.0</v>
      </c>
      <c r="O13" s="269" t="s">
        <v>90</v>
      </c>
      <c r="P13" s="265" t="s">
        <v>11005</v>
      </c>
      <c r="Q13" s="773">
        <v>378.0</v>
      </c>
      <c r="R13" s="388"/>
      <c r="S13" s="388" t="s">
        <v>11006</v>
      </c>
      <c r="T13" s="388"/>
      <c r="U13" s="1139"/>
      <c r="V13" s="1132">
        <v>42069.0</v>
      </c>
      <c r="W13" s="265" t="s">
        <v>11007</v>
      </c>
      <c r="X13" s="256" t="s">
        <v>8836</v>
      </c>
      <c r="Y13" s="1144">
        <v>42074.0</v>
      </c>
      <c r="Z13" s="320" t="s">
        <v>11008</v>
      </c>
      <c r="AA13" s="388"/>
      <c r="AB13" s="388"/>
      <c r="AC13" s="388"/>
      <c r="AD13" s="388" t="s">
        <v>8661</v>
      </c>
    </row>
    <row r="14" ht="15.75" customHeight="1">
      <c r="A14" s="764">
        <v>42082.0</v>
      </c>
      <c r="B14" s="844" t="s">
        <v>6246</v>
      </c>
      <c r="C14" s="388"/>
      <c r="D14" s="388" t="s">
        <v>11010</v>
      </c>
      <c r="E14" s="599" t="s">
        <v>1241</v>
      </c>
      <c r="F14" s="1137">
        <v>1.0</v>
      </c>
      <c r="G14" s="1137">
        <v>53.0</v>
      </c>
      <c r="H14" s="773">
        <f t="shared" si="5"/>
        <v>53</v>
      </c>
      <c r="I14" s="388"/>
      <c r="J14" s="388"/>
      <c r="K14" s="1185" t="s">
        <v>87</v>
      </c>
      <c r="L14" s="269" t="s">
        <v>11004</v>
      </c>
      <c r="M14" s="832">
        <v>42096.0</v>
      </c>
      <c r="N14" s="832">
        <v>42095.0</v>
      </c>
      <c r="O14" s="269" t="s">
        <v>90</v>
      </c>
      <c r="P14" s="265" t="s">
        <v>11011</v>
      </c>
      <c r="Q14" s="773">
        <v>48.3</v>
      </c>
      <c r="R14" s="388"/>
      <c r="S14" s="388" t="s">
        <v>11006</v>
      </c>
      <c r="T14" s="388"/>
      <c r="U14" s="388"/>
      <c r="V14" s="1132">
        <v>42095.0</v>
      </c>
      <c r="W14" s="265" t="s">
        <v>11012</v>
      </c>
      <c r="X14" s="1135">
        <v>4922.0</v>
      </c>
      <c r="Y14" s="388"/>
      <c r="Z14" s="265" t="s">
        <v>11013</v>
      </c>
      <c r="AA14" s="388"/>
      <c r="AB14" s="388"/>
      <c r="AC14" s="388"/>
      <c r="AD14" s="388"/>
    </row>
    <row r="15" ht="15.75" customHeight="1">
      <c r="A15" s="764">
        <v>42082.0</v>
      </c>
      <c r="B15" s="844" t="s">
        <v>6246</v>
      </c>
      <c r="C15" s="388"/>
      <c r="D15" s="388" t="s">
        <v>11010</v>
      </c>
      <c r="E15" s="599" t="s">
        <v>6249</v>
      </c>
      <c r="F15" s="1137">
        <v>2.0</v>
      </c>
      <c r="G15" s="1137">
        <v>60.0</v>
      </c>
      <c r="H15" s="773">
        <f t="shared" si="5"/>
        <v>120</v>
      </c>
      <c r="I15" s="388"/>
      <c r="J15" s="388"/>
      <c r="K15" s="1185" t="s">
        <v>87</v>
      </c>
      <c r="L15" s="269" t="s">
        <v>11004</v>
      </c>
      <c r="M15" s="832">
        <v>42096.0</v>
      </c>
      <c r="N15" s="832">
        <v>42095.0</v>
      </c>
      <c r="O15" s="269" t="s">
        <v>90</v>
      </c>
      <c r="P15" s="265" t="s">
        <v>11011</v>
      </c>
      <c r="Q15" s="773">
        <v>109.2</v>
      </c>
      <c r="R15" s="388"/>
      <c r="S15" s="388" t="s">
        <v>11006</v>
      </c>
      <c r="T15" s="388"/>
      <c r="U15" s="388"/>
      <c r="V15" s="1132">
        <v>42095.0</v>
      </c>
      <c r="W15" s="265" t="s">
        <v>11012</v>
      </c>
      <c r="X15" s="256" t="s">
        <v>8836</v>
      </c>
      <c r="Y15" s="388"/>
      <c r="Z15" s="265" t="s">
        <v>11013</v>
      </c>
      <c r="AA15" s="388"/>
      <c r="AB15" s="388"/>
      <c r="AC15" s="388"/>
      <c r="AD15" s="388"/>
    </row>
    <row r="16" ht="15.75" customHeight="1">
      <c r="A16" s="764">
        <v>42290.0</v>
      </c>
      <c r="B16" s="844" t="s">
        <v>6246</v>
      </c>
      <c r="C16" s="388"/>
      <c r="D16" s="388" t="s">
        <v>11014</v>
      </c>
      <c r="E16" s="599" t="s">
        <v>10929</v>
      </c>
      <c r="F16" s="1137">
        <v>15.0</v>
      </c>
      <c r="G16" s="1137">
        <v>250.0</v>
      </c>
      <c r="H16" s="1147">
        <f t="shared" ref="H16:H23" si="6">F16*G16</f>
        <v>3750</v>
      </c>
      <c r="I16" s="388"/>
      <c r="J16" s="388"/>
      <c r="K16" s="265" t="s">
        <v>171</v>
      </c>
      <c r="L16" s="333" t="s">
        <v>11004</v>
      </c>
      <c r="M16" s="832">
        <v>42304.0</v>
      </c>
      <c r="N16" s="832">
        <v>42300.0</v>
      </c>
      <c r="O16" s="269" t="s">
        <v>90</v>
      </c>
      <c r="P16" s="265" t="s">
        <v>10928</v>
      </c>
      <c r="Q16" s="773">
        <v>3685.5</v>
      </c>
      <c r="R16" s="388"/>
      <c r="S16" s="388" t="s">
        <v>11006</v>
      </c>
      <c r="T16" s="388"/>
      <c r="U16" s="388"/>
      <c r="V16" s="1143">
        <v>42300.0</v>
      </c>
      <c r="W16" s="388" t="s">
        <v>11015</v>
      </c>
      <c r="X16" s="845">
        <v>100369.0</v>
      </c>
      <c r="Y16" s="1144">
        <v>42321.0</v>
      </c>
      <c r="Z16" s="388" t="s">
        <v>11016</v>
      </c>
      <c r="AA16" s="388"/>
      <c r="AB16" s="388"/>
      <c r="AC16" s="388"/>
      <c r="AD16" s="388" t="s">
        <v>284</v>
      </c>
    </row>
    <row r="17" ht="15.75" customHeight="1">
      <c r="A17" s="764">
        <v>42317.0</v>
      </c>
      <c r="B17" s="844" t="s">
        <v>6246</v>
      </c>
      <c r="C17" s="388"/>
      <c r="D17" s="388" t="s">
        <v>11017</v>
      </c>
      <c r="E17" s="388" t="s">
        <v>10031</v>
      </c>
      <c r="F17" s="388">
        <v>20.0</v>
      </c>
      <c r="G17" s="388">
        <v>90.0</v>
      </c>
      <c r="H17" s="1147">
        <f t="shared" si="6"/>
        <v>1800</v>
      </c>
      <c r="I17" s="388"/>
      <c r="J17" s="388"/>
      <c r="K17" s="265" t="s">
        <v>171</v>
      </c>
      <c r="L17" s="333" t="s">
        <v>11004</v>
      </c>
      <c r="M17" s="832">
        <v>42331.0</v>
      </c>
      <c r="N17" s="1145">
        <v>42327.0</v>
      </c>
      <c r="O17" s="269" t="s">
        <v>90</v>
      </c>
      <c r="P17" s="320" t="s">
        <v>10933</v>
      </c>
      <c r="Q17" s="320">
        <v>1785.0</v>
      </c>
      <c r="R17" s="388"/>
      <c r="S17" s="388" t="s">
        <v>11006</v>
      </c>
      <c r="T17" s="388"/>
      <c r="U17" s="388"/>
      <c r="V17" s="1139">
        <v>42327.0</v>
      </c>
      <c r="W17" s="388" t="s">
        <v>11018</v>
      </c>
      <c r="X17" s="1146">
        <v>71014.0</v>
      </c>
      <c r="Y17" s="1139">
        <v>42341.0</v>
      </c>
      <c r="Z17" s="388" t="s">
        <v>11019</v>
      </c>
      <c r="AA17" s="388"/>
      <c r="AB17" s="388"/>
      <c r="AC17" s="388"/>
      <c r="AD17" s="388" t="s">
        <v>284</v>
      </c>
    </row>
    <row r="18" ht="15.75" customHeight="1">
      <c r="A18" s="764">
        <v>42317.0</v>
      </c>
      <c r="B18" s="844" t="s">
        <v>6246</v>
      </c>
      <c r="C18" s="388"/>
      <c r="D18" s="388" t="s">
        <v>11017</v>
      </c>
      <c r="E18" s="388" t="s">
        <v>10934</v>
      </c>
      <c r="F18" s="388">
        <v>15.0</v>
      </c>
      <c r="G18" s="388">
        <v>54.0</v>
      </c>
      <c r="H18" s="1147">
        <f t="shared" si="6"/>
        <v>810</v>
      </c>
      <c r="I18" s="388"/>
      <c r="J18" s="388"/>
      <c r="K18" s="265" t="s">
        <v>171</v>
      </c>
      <c r="L18" s="333" t="s">
        <v>11004</v>
      </c>
      <c r="M18" s="832">
        <v>42331.0</v>
      </c>
      <c r="N18" s="1145">
        <v>42327.0</v>
      </c>
      <c r="O18" s="269" t="s">
        <v>90</v>
      </c>
      <c r="P18" s="320" t="s">
        <v>10933</v>
      </c>
      <c r="Q18" s="320">
        <v>819.0</v>
      </c>
      <c r="R18" s="388"/>
      <c r="S18" s="388" t="s">
        <v>11006</v>
      </c>
      <c r="T18" s="388"/>
      <c r="U18" s="388"/>
      <c r="V18" s="1139">
        <v>42327.0</v>
      </c>
      <c r="W18" s="388" t="s">
        <v>11018</v>
      </c>
      <c r="X18" s="1137" t="s">
        <v>8836</v>
      </c>
      <c r="Y18" s="1139">
        <v>42341.0</v>
      </c>
      <c r="Z18" s="388" t="s">
        <v>11019</v>
      </c>
      <c r="AA18" s="388"/>
      <c r="AB18" s="388"/>
      <c r="AC18" s="388"/>
      <c r="AD18" s="388" t="s">
        <v>284</v>
      </c>
    </row>
    <row r="19" ht="15.75" customHeight="1">
      <c r="A19" s="764">
        <v>42347.0</v>
      </c>
      <c r="B19" s="844" t="s">
        <v>6246</v>
      </c>
      <c r="C19" s="388"/>
      <c r="D19" s="388" t="s">
        <v>11020</v>
      </c>
      <c r="E19" s="388" t="s">
        <v>11021</v>
      </c>
      <c r="F19" s="1137">
        <v>2.0</v>
      </c>
      <c r="G19" s="388">
        <v>95.6</v>
      </c>
      <c r="H19" s="1147">
        <f t="shared" si="6"/>
        <v>191.2</v>
      </c>
      <c r="I19" s="388"/>
      <c r="J19" s="388"/>
      <c r="K19" s="265" t="s">
        <v>171</v>
      </c>
      <c r="L19" s="333" t="s">
        <v>11004</v>
      </c>
      <c r="M19" s="832">
        <v>42367.0</v>
      </c>
      <c r="N19" s="832">
        <v>42354.0</v>
      </c>
      <c r="O19" s="269" t="s">
        <v>90</v>
      </c>
      <c r="P19" s="320" t="s">
        <v>11022</v>
      </c>
      <c r="Q19" s="320">
        <v>184.8</v>
      </c>
      <c r="R19" s="388"/>
      <c r="S19" s="320" t="s">
        <v>11006</v>
      </c>
      <c r="T19" s="388"/>
      <c r="U19" s="1137"/>
      <c r="V19" s="1139">
        <v>42354.0</v>
      </c>
      <c r="W19" s="388" t="s">
        <v>11023</v>
      </c>
      <c r="X19" s="845">
        <v>23846.0</v>
      </c>
      <c r="Y19" s="1139">
        <v>42398.0</v>
      </c>
      <c r="Z19" s="388" t="s">
        <v>11024</v>
      </c>
      <c r="AA19" s="388"/>
      <c r="AB19" s="388"/>
      <c r="AC19" s="388"/>
      <c r="AD19" s="388" t="s">
        <v>284</v>
      </c>
    </row>
    <row r="20" ht="15.75" customHeight="1">
      <c r="A20" s="764">
        <v>42347.0</v>
      </c>
      <c r="B20" s="844" t="s">
        <v>6246</v>
      </c>
      <c r="C20" s="388"/>
      <c r="D20" s="388" t="s">
        <v>11020</v>
      </c>
      <c r="E20" s="388" t="s">
        <v>10934</v>
      </c>
      <c r="F20" s="1137">
        <v>7.0</v>
      </c>
      <c r="G20" s="388">
        <v>55.6</v>
      </c>
      <c r="H20" s="1147">
        <f t="shared" si="6"/>
        <v>389.2</v>
      </c>
      <c r="I20" s="388"/>
      <c r="J20" s="388"/>
      <c r="K20" s="265" t="s">
        <v>171</v>
      </c>
      <c r="L20" s="333" t="s">
        <v>11004</v>
      </c>
      <c r="M20" s="832">
        <v>42367.0</v>
      </c>
      <c r="N20" s="832">
        <v>42354.0</v>
      </c>
      <c r="O20" s="269" t="s">
        <v>90</v>
      </c>
      <c r="P20" s="320" t="s">
        <v>11022</v>
      </c>
      <c r="Q20" s="320">
        <v>382.2</v>
      </c>
      <c r="R20" s="388"/>
      <c r="S20" s="320" t="s">
        <v>11006</v>
      </c>
      <c r="T20" s="388"/>
      <c r="U20" s="1137"/>
      <c r="V20" s="1139">
        <v>42354.0</v>
      </c>
      <c r="W20" s="388" t="s">
        <v>11023</v>
      </c>
      <c r="X20" s="592" t="s">
        <v>11025</v>
      </c>
      <c r="Y20" s="1139">
        <v>42398.0</v>
      </c>
      <c r="Z20" s="388" t="s">
        <v>11024</v>
      </c>
      <c r="AA20" s="388"/>
      <c r="AB20" s="388"/>
      <c r="AC20" s="388"/>
      <c r="AD20" s="388" t="s">
        <v>284</v>
      </c>
    </row>
    <row r="21" ht="15.75" customHeight="1">
      <c r="A21" s="764">
        <v>42347.0</v>
      </c>
      <c r="B21" s="844" t="s">
        <v>6246</v>
      </c>
      <c r="C21" s="388"/>
      <c r="D21" s="388" t="s">
        <v>11020</v>
      </c>
      <c r="E21" s="388" t="s">
        <v>11026</v>
      </c>
      <c r="F21" s="1137">
        <v>1.0</v>
      </c>
      <c r="G21" s="388">
        <v>170.0</v>
      </c>
      <c r="H21" s="1147">
        <f t="shared" si="6"/>
        <v>170</v>
      </c>
      <c r="I21" s="388"/>
      <c r="J21" s="388"/>
      <c r="K21" s="265" t="s">
        <v>171</v>
      </c>
      <c r="L21" s="333" t="s">
        <v>11004</v>
      </c>
      <c r="M21" s="832">
        <v>42367.0</v>
      </c>
      <c r="N21" s="832">
        <v>42354.0</v>
      </c>
      <c r="O21" s="269" t="s">
        <v>90</v>
      </c>
      <c r="P21" s="320" t="s">
        <v>11022</v>
      </c>
      <c r="Q21" s="320">
        <v>163.8</v>
      </c>
      <c r="R21" s="388"/>
      <c r="S21" s="320" t="s">
        <v>11006</v>
      </c>
      <c r="T21" s="388"/>
      <c r="U21" s="1137"/>
      <c r="V21" s="1139">
        <v>42354.0</v>
      </c>
      <c r="W21" s="388" t="s">
        <v>11023</v>
      </c>
      <c r="X21" s="592" t="s">
        <v>11025</v>
      </c>
      <c r="Y21" s="1139">
        <v>42398.0</v>
      </c>
      <c r="Z21" s="388" t="s">
        <v>11024</v>
      </c>
      <c r="AA21" s="388"/>
      <c r="AB21" s="388"/>
      <c r="AC21" s="388"/>
      <c r="AD21" s="388" t="s">
        <v>284</v>
      </c>
    </row>
    <row r="22" ht="15.75" customHeight="1">
      <c r="A22" s="764">
        <v>42352.0</v>
      </c>
      <c r="B22" s="844" t="s">
        <v>6246</v>
      </c>
      <c r="C22" s="388"/>
      <c r="D22" s="388" t="s">
        <v>10939</v>
      </c>
      <c r="E22" s="599" t="s">
        <v>10929</v>
      </c>
      <c r="F22" s="1137">
        <v>15.0</v>
      </c>
      <c r="G22" s="1137">
        <v>250.0</v>
      </c>
      <c r="H22" s="1147">
        <f t="shared" si="6"/>
        <v>3750</v>
      </c>
      <c r="I22" s="388"/>
      <c r="J22" s="388"/>
      <c r="K22" s="265" t="s">
        <v>171</v>
      </c>
      <c r="L22" s="333" t="s">
        <v>11004</v>
      </c>
      <c r="M22" s="832">
        <v>42367.0</v>
      </c>
      <c r="N22" s="832">
        <v>42366.0</v>
      </c>
      <c r="O22" s="269" t="s">
        <v>90</v>
      </c>
      <c r="P22" s="320" t="s">
        <v>11027</v>
      </c>
      <c r="Q22" s="773">
        <v>3685.5</v>
      </c>
      <c r="R22" s="388"/>
      <c r="S22" s="388" t="s">
        <v>11006</v>
      </c>
      <c r="T22" s="388"/>
      <c r="U22" s="1137"/>
      <c r="V22" s="1139">
        <v>42366.0</v>
      </c>
      <c r="W22" s="388" t="s">
        <v>11028</v>
      </c>
      <c r="X22" s="845">
        <v>102084.0</v>
      </c>
      <c r="Y22" s="1139">
        <v>42398.0</v>
      </c>
      <c r="Z22" s="388" t="s">
        <v>11024</v>
      </c>
      <c r="AA22" s="388"/>
      <c r="AB22" s="388"/>
      <c r="AC22" s="388"/>
      <c r="AD22" s="388" t="s">
        <v>284</v>
      </c>
    </row>
    <row r="23" ht="15.75" customHeight="1">
      <c r="A23" s="776">
        <v>41995.0</v>
      </c>
      <c r="B23" s="844" t="s">
        <v>11029</v>
      </c>
      <c r="C23" s="388"/>
      <c r="D23" s="320" t="s">
        <v>11030</v>
      </c>
      <c r="E23" s="340" t="s">
        <v>11031</v>
      </c>
      <c r="F23" s="773">
        <v>6.0</v>
      </c>
      <c r="G23" s="466">
        <v>217.0</v>
      </c>
      <c r="H23" s="466">
        <f t="shared" si="6"/>
        <v>1302</v>
      </c>
      <c r="I23" s="466">
        <v>6510.0</v>
      </c>
      <c r="J23" s="1149">
        <f>F23*I23</f>
        <v>39060</v>
      </c>
      <c r="K23" s="265" t="s">
        <v>10949</v>
      </c>
      <c r="L23" s="333" t="s">
        <v>11032</v>
      </c>
      <c r="M23" s="832">
        <v>42012.0</v>
      </c>
      <c r="N23" s="832">
        <v>41645.0</v>
      </c>
      <c r="O23" s="333" t="s">
        <v>11033</v>
      </c>
      <c r="P23" s="265" t="s">
        <v>11034</v>
      </c>
      <c r="Q23" s="388"/>
      <c r="R23" s="1149">
        <v>37624.0</v>
      </c>
      <c r="S23" s="320" t="s">
        <v>8689</v>
      </c>
      <c r="T23" s="388"/>
      <c r="U23" s="1139"/>
      <c r="V23" s="1132">
        <v>42009.0</v>
      </c>
      <c r="W23" s="265" t="s">
        <v>11035</v>
      </c>
      <c r="X23" s="1135">
        <v>37624.0</v>
      </c>
      <c r="Y23" s="1132">
        <v>42040.0</v>
      </c>
      <c r="Z23" s="320" t="s">
        <v>11036</v>
      </c>
      <c r="AA23" s="388"/>
      <c r="AB23" s="1149">
        <v>39060.0</v>
      </c>
      <c r="AC23" s="320" t="s">
        <v>11037</v>
      </c>
      <c r="AD23" s="388"/>
    </row>
    <row r="24" ht="15.75" customHeight="1">
      <c r="A24" s="764">
        <v>41963.0</v>
      </c>
      <c r="B24" s="844" t="s">
        <v>11038</v>
      </c>
      <c r="C24" s="388"/>
      <c r="D24" s="388" t="s">
        <v>11039</v>
      </c>
      <c r="E24" s="340" t="s">
        <v>11040</v>
      </c>
      <c r="F24" s="1137">
        <v>1.0</v>
      </c>
      <c r="G24" s="325">
        <v>515.0</v>
      </c>
      <c r="H24" s="466">
        <f>G24*F24</f>
        <v>515</v>
      </c>
      <c r="I24" s="793"/>
      <c r="J24" s="388"/>
      <c r="K24" s="265" t="s">
        <v>3874</v>
      </c>
      <c r="L24" s="269" t="s">
        <v>11041</v>
      </c>
      <c r="M24" s="832">
        <v>42019.0</v>
      </c>
      <c r="N24" s="832">
        <v>41969.0</v>
      </c>
      <c r="O24" s="269" t="s">
        <v>90</v>
      </c>
      <c r="P24" s="1004" t="s">
        <v>11042</v>
      </c>
      <c r="Q24" s="466">
        <v>472.5</v>
      </c>
      <c r="R24" s="793"/>
      <c r="S24" s="388" t="s">
        <v>6081</v>
      </c>
      <c r="T24" s="388"/>
      <c r="U24" s="1139"/>
      <c r="V24" s="1132">
        <v>41969.0</v>
      </c>
      <c r="W24" s="1134" t="s">
        <v>11043</v>
      </c>
      <c r="X24" s="1135">
        <v>14459.0</v>
      </c>
      <c r="Y24" s="1144">
        <v>41983.0</v>
      </c>
      <c r="Z24" s="320" t="s">
        <v>11044</v>
      </c>
      <c r="AA24" s="388"/>
      <c r="AB24" s="388"/>
      <c r="AC24" s="388"/>
      <c r="AD24" s="388" t="s">
        <v>284</v>
      </c>
    </row>
    <row r="25" ht="15.75" customHeight="1">
      <c r="A25" s="764">
        <v>42019.0</v>
      </c>
      <c r="B25" s="844" t="s">
        <v>11038</v>
      </c>
      <c r="C25" s="388"/>
      <c r="D25" s="388" t="s">
        <v>11045</v>
      </c>
      <c r="E25" s="340" t="s">
        <v>11046</v>
      </c>
      <c r="F25" s="1137">
        <v>11.0</v>
      </c>
      <c r="G25" s="1137">
        <v>137.0</v>
      </c>
      <c r="H25" s="466">
        <f t="shared" ref="H25:H30" si="7">F25*G25</f>
        <v>1507</v>
      </c>
      <c r="I25" s="388"/>
      <c r="J25" s="388"/>
      <c r="K25" s="265" t="s">
        <v>3874</v>
      </c>
      <c r="L25" s="1236" t="s">
        <v>11047</v>
      </c>
      <c r="M25" s="832">
        <v>42026.0</v>
      </c>
      <c r="N25" s="832">
        <v>42025.0</v>
      </c>
      <c r="O25" s="269" t="s">
        <v>90</v>
      </c>
      <c r="P25" s="265" t="s">
        <v>11048</v>
      </c>
      <c r="Q25" s="773">
        <v>1351.35</v>
      </c>
      <c r="R25" s="388"/>
      <c r="S25" s="388" t="s">
        <v>6081</v>
      </c>
      <c r="T25" s="388"/>
      <c r="U25" s="1139"/>
      <c r="V25" s="1132">
        <v>42025.0</v>
      </c>
      <c r="W25" s="265" t="s">
        <v>11049</v>
      </c>
      <c r="X25" s="1135">
        <v>42784.0</v>
      </c>
      <c r="Y25" s="1144">
        <v>42044.0</v>
      </c>
      <c r="Z25" s="320" t="s">
        <v>11050</v>
      </c>
      <c r="AA25" s="388"/>
      <c r="AB25" s="388"/>
      <c r="AC25" s="388"/>
      <c r="AD25" s="388" t="s">
        <v>284</v>
      </c>
    </row>
    <row r="26" ht="15.75" customHeight="1">
      <c r="A26" s="764">
        <v>42019.0</v>
      </c>
      <c r="B26" s="844" t="s">
        <v>11038</v>
      </c>
      <c r="C26" s="388"/>
      <c r="D26" s="388" t="s">
        <v>11045</v>
      </c>
      <c r="E26" s="340" t="s">
        <v>11046</v>
      </c>
      <c r="F26" s="1137">
        <v>7.0</v>
      </c>
      <c r="G26" s="1137">
        <v>137.0</v>
      </c>
      <c r="H26" s="466">
        <f t="shared" si="7"/>
        <v>959</v>
      </c>
      <c r="I26" s="388"/>
      <c r="J26" s="388"/>
      <c r="K26" s="265" t="s">
        <v>3874</v>
      </c>
      <c r="L26" s="1236" t="s">
        <v>11041</v>
      </c>
      <c r="M26" s="832">
        <v>42033.0</v>
      </c>
      <c r="N26" s="832">
        <v>42032.0</v>
      </c>
      <c r="O26" s="269" t="s">
        <v>90</v>
      </c>
      <c r="P26" s="265" t="s">
        <v>11048</v>
      </c>
      <c r="Q26" s="773">
        <v>859.95</v>
      </c>
      <c r="R26" s="388"/>
      <c r="S26" s="388" t="s">
        <v>6081</v>
      </c>
      <c r="T26" s="388"/>
      <c r="U26" s="1139"/>
      <c r="V26" s="1132">
        <v>42032.0</v>
      </c>
      <c r="W26" s="265" t="s">
        <v>11051</v>
      </c>
      <c r="X26" s="1135">
        <v>27226.0</v>
      </c>
      <c r="Y26" s="1144">
        <v>42044.0</v>
      </c>
      <c r="Z26" s="320" t="s">
        <v>11052</v>
      </c>
      <c r="AA26" s="388"/>
      <c r="AB26" s="388"/>
      <c r="AC26" s="388"/>
      <c r="AD26" s="388" t="s">
        <v>284</v>
      </c>
    </row>
    <row r="27" ht="15.75" customHeight="1">
      <c r="A27" s="764">
        <v>42019.0</v>
      </c>
      <c r="B27" s="844" t="s">
        <v>11038</v>
      </c>
      <c r="C27" s="388"/>
      <c r="D27" s="388" t="s">
        <v>11053</v>
      </c>
      <c r="E27" s="599" t="s">
        <v>11054</v>
      </c>
      <c r="F27" s="1137">
        <v>25.0</v>
      </c>
      <c r="G27" s="1137">
        <v>65.0</v>
      </c>
      <c r="H27" s="466">
        <f t="shared" si="7"/>
        <v>1625</v>
      </c>
      <c r="I27" s="388"/>
      <c r="J27" s="388"/>
      <c r="K27" s="265" t="s">
        <v>3874</v>
      </c>
      <c r="L27" s="1236" t="s">
        <v>11047</v>
      </c>
      <c r="M27" s="832">
        <v>42026.0</v>
      </c>
      <c r="N27" s="832">
        <v>42025.0</v>
      </c>
      <c r="O27" s="269" t="s">
        <v>11055</v>
      </c>
      <c r="P27" s="1004" t="s">
        <v>11056</v>
      </c>
      <c r="Q27" s="388"/>
      <c r="R27" s="773">
        <v>45938.0</v>
      </c>
      <c r="S27" s="320" t="s">
        <v>11057</v>
      </c>
      <c r="T27" s="388"/>
      <c r="U27" s="1139"/>
      <c r="V27" s="1144">
        <v>42024.0</v>
      </c>
      <c r="W27" s="1004" t="s">
        <v>11058</v>
      </c>
      <c r="X27" s="845">
        <v>66938.0</v>
      </c>
      <c r="Y27" s="1144">
        <v>42025.0</v>
      </c>
      <c r="Z27" s="320" t="s">
        <v>11050</v>
      </c>
      <c r="AA27" s="388"/>
      <c r="AB27" s="388"/>
      <c r="AC27" s="388"/>
      <c r="AD27" s="388" t="s">
        <v>284</v>
      </c>
    </row>
    <row r="28" ht="15.75" customHeight="1">
      <c r="A28" s="764">
        <v>42019.0</v>
      </c>
      <c r="B28" s="844" t="s">
        <v>11038</v>
      </c>
      <c r="C28" s="388"/>
      <c r="D28" s="388" t="s">
        <v>11053</v>
      </c>
      <c r="E28" s="599" t="s">
        <v>11059</v>
      </c>
      <c r="F28" s="1137">
        <v>25.0</v>
      </c>
      <c r="G28" s="1137">
        <v>30.0</v>
      </c>
      <c r="H28" s="466">
        <f t="shared" si="7"/>
        <v>750</v>
      </c>
      <c r="I28" s="388"/>
      <c r="J28" s="388"/>
      <c r="K28" s="265" t="s">
        <v>3874</v>
      </c>
      <c r="L28" s="1236" t="s">
        <v>11047</v>
      </c>
      <c r="M28" s="832">
        <v>42026.0</v>
      </c>
      <c r="N28" s="832">
        <v>42025.0</v>
      </c>
      <c r="O28" s="269" t="s">
        <v>11055</v>
      </c>
      <c r="P28" s="1004" t="s">
        <v>11056</v>
      </c>
      <c r="Q28" s="388"/>
      <c r="R28" s="773">
        <v>21000.0</v>
      </c>
      <c r="S28" s="320" t="s">
        <v>11057</v>
      </c>
      <c r="T28" s="388"/>
      <c r="U28" s="1139"/>
      <c r="V28" s="1144">
        <v>42024.0</v>
      </c>
      <c r="W28" s="1004" t="s">
        <v>11058</v>
      </c>
      <c r="X28" s="845" t="s">
        <v>11060</v>
      </c>
      <c r="Y28" s="1144">
        <v>42025.0</v>
      </c>
      <c r="Z28" s="320" t="s">
        <v>11050</v>
      </c>
      <c r="AA28" s="388"/>
      <c r="AB28" s="388"/>
      <c r="AC28" s="388"/>
      <c r="AD28" s="388" t="s">
        <v>284</v>
      </c>
    </row>
    <row r="29" ht="15.75" customHeight="1">
      <c r="A29" s="764">
        <v>42030.0</v>
      </c>
      <c r="B29" s="844" t="s">
        <v>11038</v>
      </c>
      <c r="C29" s="388"/>
      <c r="D29" s="388" t="s">
        <v>11061</v>
      </c>
      <c r="E29" s="340" t="s">
        <v>11062</v>
      </c>
      <c r="F29" s="1137">
        <v>15.0</v>
      </c>
      <c r="G29" s="1137">
        <v>137.0</v>
      </c>
      <c r="H29" s="466">
        <f t="shared" si="7"/>
        <v>2055</v>
      </c>
      <c r="I29" s="388"/>
      <c r="J29" s="388"/>
      <c r="K29" s="265" t="s">
        <v>3874</v>
      </c>
      <c r="L29" s="1236" t="s">
        <v>11041</v>
      </c>
      <c r="M29" s="832">
        <v>42037.0</v>
      </c>
      <c r="N29" s="832">
        <v>42034.0</v>
      </c>
      <c r="O29" s="269" t="s">
        <v>90</v>
      </c>
      <c r="P29" s="265" t="s">
        <v>11063</v>
      </c>
      <c r="Q29" s="773">
        <v>1795.5</v>
      </c>
      <c r="R29" s="388"/>
      <c r="S29" s="388" t="s">
        <v>11006</v>
      </c>
      <c r="T29" s="388"/>
      <c r="U29" s="1139"/>
      <c r="V29" s="1132">
        <v>42034.0</v>
      </c>
      <c r="W29" s="265" t="s">
        <v>11064</v>
      </c>
      <c r="X29" s="1135">
        <v>56846.0</v>
      </c>
      <c r="Y29" s="1144">
        <v>42044.0</v>
      </c>
      <c r="Z29" s="320" t="s">
        <v>11065</v>
      </c>
      <c r="AA29" s="388"/>
      <c r="AB29" s="388"/>
      <c r="AC29" s="388"/>
      <c r="AD29" s="388" t="s">
        <v>284</v>
      </c>
    </row>
    <row r="30" ht="15.75" customHeight="1">
      <c r="A30" s="764">
        <v>42044.0</v>
      </c>
      <c r="B30" s="844" t="s">
        <v>11038</v>
      </c>
      <c r="C30" s="388"/>
      <c r="D30" s="388" t="s">
        <v>11066</v>
      </c>
      <c r="E30" s="599" t="s">
        <v>9740</v>
      </c>
      <c r="F30" s="1137">
        <v>5.0</v>
      </c>
      <c r="G30" s="1137">
        <v>285.0</v>
      </c>
      <c r="H30" s="466">
        <f t="shared" si="7"/>
        <v>1425</v>
      </c>
      <c r="I30" s="388"/>
      <c r="J30" s="388"/>
      <c r="K30" s="265" t="s">
        <v>3874</v>
      </c>
      <c r="L30" s="1236" t="s">
        <v>11041</v>
      </c>
      <c r="M30" s="832">
        <v>42051.0</v>
      </c>
      <c r="N30" s="832">
        <v>42048.0</v>
      </c>
      <c r="O30" s="269" t="s">
        <v>90</v>
      </c>
      <c r="P30" s="265" t="s">
        <v>11067</v>
      </c>
      <c r="Q30" s="773">
        <v>1333.5</v>
      </c>
      <c r="R30" s="388"/>
      <c r="S30" s="388" t="s">
        <v>11006</v>
      </c>
      <c r="T30" s="388"/>
      <c r="U30" s="1139"/>
      <c r="V30" s="1132">
        <v>42048.0</v>
      </c>
      <c r="W30" s="265" t="s">
        <v>11068</v>
      </c>
      <c r="X30" s="1135">
        <v>41905.0</v>
      </c>
      <c r="Y30" s="1144">
        <v>42074.0</v>
      </c>
      <c r="Z30" s="320" t="s">
        <v>11069</v>
      </c>
      <c r="AA30" s="388"/>
      <c r="AB30" s="388"/>
      <c r="AC30" s="388"/>
      <c r="AD30" s="388" t="s">
        <v>8661</v>
      </c>
    </row>
    <row r="31" ht="15.75" customHeight="1">
      <c r="A31" s="764">
        <v>42059.0</v>
      </c>
      <c r="B31" s="844" t="s">
        <v>11038</v>
      </c>
      <c r="C31" s="388"/>
      <c r="D31" s="388" t="s">
        <v>11070</v>
      </c>
      <c r="E31" s="599" t="s">
        <v>11071</v>
      </c>
      <c r="F31" s="1137">
        <v>10.0</v>
      </c>
      <c r="G31" s="325">
        <v>50.0</v>
      </c>
      <c r="H31" s="466">
        <f t="shared" ref="H31:H33" si="8">G31*F31</f>
        <v>500</v>
      </c>
      <c r="I31" s="388"/>
      <c r="J31" s="388"/>
      <c r="K31" s="265" t="s">
        <v>3874</v>
      </c>
      <c r="L31" s="1236" t="s">
        <v>11041</v>
      </c>
      <c r="M31" s="832">
        <v>42072.0</v>
      </c>
      <c r="N31" s="832">
        <v>42069.0</v>
      </c>
      <c r="O31" s="269" t="s">
        <v>90</v>
      </c>
      <c r="P31" s="265" t="s">
        <v>11072</v>
      </c>
      <c r="Q31" s="773">
        <v>441.0</v>
      </c>
      <c r="R31" s="388"/>
      <c r="S31" s="388" t="s">
        <v>11006</v>
      </c>
      <c r="T31" s="388"/>
      <c r="U31" s="1139"/>
      <c r="V31" s="1132">
        <v>42069.0</v>
      </c>
      <c r="W31" s="265" t="s">
        <v>11073</v>
      </c>
      <c r="X31" s="1135">
        <v>15950.0</v>
      </c>
      <c r="Y31" s="1144">
        <v>42074.0</v>
      </c>
      <c r="Z31" s="320" t="s">
        <v>11074</v>
      </c>
      <c r="AA31" s="388"/>
      <c r="AB31" s="388"/>
      <c r="AC31" s="388"/>
      <c r="AD31" s="388" t="s">
        <v>8661</v>
      </c>
    </row>
    <row r="32" ht="15.75" customHeight="1">
      <c r="A32" s="764">
        <v>42059.0</v>
      </c>
      <c r="B32" s="844" t="s">
        <v>11038</v>
      </c>
      <c r="C32" s="388"/>
      <c r="D32" s="388" t="s">
        <v>11070</v>
      </c>
      <c r="E32" s="599" t="s">
        <v>11075</v>
      </c>
      <c r="F32" s="1137">
        <v>1.0</v>
      </c>
      <c r="G32" s="325">
        <v>75.0</v>
      </c>
      <c r="H32" s="466">
        <f t="shared" si="8"/>
        <v>75</v>
      </c>
      <c r="I32" s="388"/>
      <c r="J32" s="388"/>
      <c r="K32" s="265" t="s">
        <v>3874</v>
      </c>
      <c r="L32" s="1236" t="s">
        <v>11041</v>
      </c>
      <c r="M32" s="832">
        <v>42072.0</v>
      </c>
      <c r="N32" s="832">
        <v>42069.0</v>
      </c>
      <c r="O32" s="269" t="s">
        <v>90</v>
      </c>
      <c r="P32" s="265" t="s">
        <v>11072</v>
      </c>
      <c r="Q32" s="773">
        <v>67.2</v>
      </c>
      <c r="R32" s="388"/>
      <c r="S32" s="388" t="s">
        <v>11006</v>
      </c>
      <c r="T32" s="388"/>
      <c r="U32" s="1139"/>
      <c r="V32" s="1132">
        <v>42069.0</v>
      </c>
      <c r="W32" s="265" t="s">
        <v>11073</v>
      </c>
      <c r="X32" s="256" t="s">
        <v>8836</v>
      </c>
      <c r="Y32" s="1144">
        <v>42074.0</v>
      </c>
      <c r="Z32" s="320" t="s">
        <v>11074</v>
      </c>
      <c r="AA32" s="388"/>
      <c r="AB32" s="388"/>
      <c r="AC32" s="388"/>
      <c r="AD32" s="388" t="s">
        <v>8661</v>
      </c>
    </row>
    <row r="33" ht="15.75" customHeight="1">
      <c r="A33" s="764">
        <v>42059.0</v>
      </c>
      <c r="B33" s="844" t="s">
        <v>11038</v>
      </c>
      <c r="C33" s="388"/>
      <c r="D33" s="388" t="s">
        <v>11070</v>
      </c>
      <c r="E33" s="599" t="s">
        <v>11054</v>
      </c>
      <c r="F33" s="1137">
        <v>10.0</v>
      </c>
      <c r="G33" s="325">
        <v>65.0</v>
      </c>
      <c r="H33" s="466">
        <f t="shared" si="8"/>
        <v>650</v>
      </c>
      <c r="I33" s="388"/>
      <c r="J33" s="388"/>
      <c r="K33" s="265" t="s">
        <v>3874</v>
      </c>
      <c r="L33" s="1236" t="s">
        <v>11041</v>
      </c>
      <c r="M33" s="832">
        <v>42072.0</v>
      </c>
      <c r="N33" s="832">
        <v>42067.0</v>
      </c>
      <c r="O33" s="269" t="s">
        <v>11055</v>
      </c>
      <c r="P33" s="1004" t="s">
        <v>11076</v>
      </c>
      <c r="Q33" s="388"/>
      <c r="R33" s="773">
        <v>18375.0</v>
      </c>
      <c r="S33" s="320" t="s">
        <v>11057</v>
      </c>
      <c r="T33" s="388"/>
      <c r="U33" s="1139"/>
      <c r="V33" s="1132">
        <v>42066.0</v>
      </c>
      <c r="W33" s="265" t="s">
        <v>11077</v>
      </c>
      <c r="X33" s="1135">
        <v>18375.0</v>
      </c>
      <c r="Y33" s="1144">
        <v>42090.0</v>
      </c>
      <c r="Z33" s="320" t="s">
        <v>11074</v>
      </c>
      <c r="AA33" s="388"/>
      <c r="AB33" s="388"/>
      <c r="AC33" s="388"/>
      <c r="AD33" s="388" t="s">
        <v>8661</v>
      </c>
    </row>
    <row r="34" ht="15.75" customHeight="1">
      <c r="A34" s="764">
        <v>42081.0</v>
      </c>
      <c r="B34" s="844" t="s">
        <v>11038</v>
      </c>
      <c r="C34" s="388"/>
      <c r="D34" s="388" t="s">
        <v>11078</v>
      </c>
      <c r="E34" s="599" t="s">
        <v>11079</v>
      </c>
      <c r="F34" s="1137">
        <v>2.0</v>
      </c>
      <c r="G34" s="1137">
        <v>217.0</v>
      </c>
      <c r="H34" s="466">
        <f t="shared" ref="H34:H36" si="9">F34*G34</f>
        <v>434</v>
      </c>
      <c r="I34" s="388"/>
      <c r="J34" s="388"/>
      <c r="K34" s="265" t="s">
        <v>3874</v>
      </c>
      <c r="L34" s="1236" t="s">
        <v>11041</v>
      </c>
      <c r="M34" s="832">
        <v>42103.0</v>
      </c>
      <c r="N34" s="832">
        <v>42102.0</v>
      </c>
      <c r="O34" s="269" t="s">
        <v>90</v>
      </c>
      <c r="P34" s="265" t="s">
        <v>11080</v>
      </c>
      <c r="Q34" s="773">
        <v>357.0</v>
      </c>
      <c r="R34" s="388"/>
      <c r="S34" s="388" t="s">
        <v>11006</v>
      </c>
      <c r="T34" s="388"/>
      <c r="U34" s="388"/>
      <c r="V34" s="1132">
        <v>42102.0</v>
      </c>
      <c r="W34" s="320" t="s">
        <v>11081</v>
      </c>
      <c r="X34" s="1135">
        <v>11156.0</v>
      </c>
      <c r="Y34" s="388"/>
      <c r="Z34" s="320" t="s">
        <v>11082</v>
      </c>
      <c r="AA34" s="388"/>
      <c r="AB34" s="388"/>
      <c r="AC34" s="388"/>
      <c r="AD34" s="388" t="s">
        <v>284</v>
      </c>
    </row>
    <row r="35" ht="15.75" customHeight="1">
      <c r="A35" s="776">
        <v>42012.0</v>
      </c>
      <c r="B35" s="844" t="s">
        <v>8749</v>
      </c>
      <c r="C35" s="265" t="s">
        <v>11083</v>
      </c>
      <c r="D35" s="320" t="s">
        <v>11084</v>
      </c>
      <c r="E35" s="340" t="s">
        <v>11085</v>
      </c>
      <c r="F35" s="773">
        <v>0.0</v>
      </c>
      <c r="G35" s="466">
        <v>224.7</v>
      </c>
      <c r="H35" s="466">
        <f t="shared" si="9"/>
        <v>0</v>
      </c>
      <c r="I35" s="388"/>
      <c r="J35" s="388"/>
      <c r="K35" s="265" t="s">
        <v>11086</v>
      </c>
      <c r="L35" s="333" t="s">
        <v>11087</v>
      </c>
      <c r="M35" s="832">
        <v>42012.0</v>
      </c>
      <c r="N35" s="388"/>
      <c r="O35" s="333" t="s">
        <v>90</v>
      </c>
      <c r="P35" s="388"/>
      <c r="Q35" s="388"/>
      <c r="R35" s="388"/>
      <c r="S35" s="388"/>
      <c r="T35" s="388"/>
      <c r="U35" s="388"/>
      <c r="V35" s="388"/>
      <c r="W35" s="388"/>
      <c r="X35" s="388"/>
      <c r="Y35" s="388"/>
      <c r="Z35" s="388"/>
      <c r="AA35" s="388"/>
      <c r="AB35" s="388"/>
      <c r="AC35" s="388"/>
      <c r="AD35" s="388"/>
    </row>
    <row r="36" ht="15.75" customHeight="1">
      <c r="A36" s="764">
        <v>42018.0</v>
      </c>
      <c r="B36" s="844" t="s">
        <v>8749</v>
      </c>
      <c r="C36" s="1004" t="s">
        <v>11088</v>
      </c>
      <c r="D36" s="388" t="s">
        <v>11089</v>
      </c>
      <c r="E36" s="599" t="s">
        <v>11090</v>
      </c>
      <c r="F36" s="1137">
        <v>1.0</v>
      </c>
      <c r="G36" s="773">
        <v>72.45</v>
      </c>
      <c r="H36" s="466">
        <f t="shared" si="9"/>
        <v>72.45</v>
      </c>
      <c r="I36" s="388"/>
      <c r="J36" s="388"/>
      <c r="K36" s="265" t="s">
        <v>11086</v>
      </c>
      <c r="L36" s="269" t="s">
        <v>90</v>
      </c>
      <c r="M36" s="832">
        <v>42033.0</v>
      </c>
      <c r="N36" s="388"/>
      <c r="O36" s="269" t="s">
        <v>90</v>
      </c>
      <c r="P36" s="265" t="s">
        <v>11091</v>
      </c>
      <c r="Q36" s="773">
        <v>64.05</v>
      </c>
      <c r="R36" s="388"/>
      <c r="S36" s="388" t="s">
        <v>6081</v>
      </c>
      <c r="T36" s="388"/>
      <c r="U36" s="1139"/>
      <c r="V36" s="1132">
        <v>42033.0</v>
      </c>
      <c r="W36" s="265" t="s">
        <v>11092</v>
      </c>
      <c r="X36" s="1135">
        <v>2028.0</v>
      </c>
      <c r="Y36" s="1144">
        <v>42044.0</v>
      </c>
      <c r="Z36" s="320" t="s">
        <v>11093</v>
      </c>
      <c r="AA36" s="388" t="s">
        <v>11094</v>
      </c>
      <c r="AB36" s="1159">
        <v>2262.0</v>
      </c>
      <c r="AC36" s="388" t="s">
        <v>11095</v>
      </c>
      <c r="AD36" s="388"/>
    </row>
    <row r="37" ht="15.75" customHeight="1">
      <c r="A37" s="764">
        <v>42038.0</v>
      </c>
      <c r="B37" s="844" t="s">
        <v>8749</v>
      </c>
      <c r="C37" s="1004" t="s">
        <v>11096</v>
      </c>
      <c r="D37" s="388" t="s">
        <v>11097</v>
      </c>
      <c r="E37" s="599" t="s">
        <v>11098</v>
      </c>
      <c r="F37" s="1137">
        <v>6.0</v>
      </c>
      <c r="G37" s="1137">
        <v>155.715</v>
      </c>
      <c r="H37" s="466">
        <f>G37*F37</f>
        <v>934.29</v>
      </c>
      <c r="I37" s="388"/>
      <c r="J37" s="388"/>
      <c r="K37" s="265" t="s">
        <v>11086</v>
      </c>
      <c r="L37" s="269" t="s">
        <v>90</v>
      </c>
      <c r="M37" s="832">
        <v>42065.0</v>
      </c>
      <c r="N37" s="388"/>
      <c r="O37" s="269" t="s">
        <v>90</v>
      </c>
      <c r="P37" s="265" t="s">
        <v>11099</v>
      </c>
      <c r="Q37" s="773">
        <v>762.3</v>
      </c>
      <c r="R37" s="388"/>
      <c r="S37" s="388" t="s">
        <v>11006</v>
      </c>
      <c r="T37" s="388"/>
      <c r="U37" s="1139"/>
      <c r="V37" s="1132">
        <v>42065.0</v>
      </c>
      <c r="W37" s="265" t="s">
        <v>11100</v>
      </c>
      <c r="X37" s="1135">
        <v>29355.0</v>
      </c>
      <c r="Y37" s="1144">
        <v>42074.0</v>
      </c>
      <c r="Z37" s="388" t="s">
        <v>11101</v>
      </c>
      <c r="AA37" s="388" t="s">
        <v>11102</v>
      </c>
      <c r="AB37" s="1159">
        <v>29355.0</v>
      </c>
      <c r="AC37" s="388" t="s">
        <v>11103</v>
      </c>
      <c r="AD37" s="388"/>
    </row>
    <row r="38" ht="15.75" customHeight="1">
      <c r="A38" s="764">
        <v>42081.0</v>
      </c>
      <c r="B38" s="844" t="s">
        <v>8749</v>
      </c>
      <c r="C38" s="1004" t="s">
        <v>11104</v>
      </c>
      <c r="D38" s="388" t="s">
        <v>11105</v>
      </c>
      <c r="E38" s="599" t="s">
        <v>11106</v>
      </c>
      <c r="F38" s="1137">
        <v>1.0</v>
      </c>
      <c r="G38" s="1137">
        <v>73.5</v>
      </c>
      <c r="H38" s="466">
        <f>F38*G38</f>
        <v>73.5</v>
      </c>
      <c r="I38" s="388"/>
      <c r="J38" s="388"/>
      <c r="K38" s="265" t="s">
        <v>11086</v>
      </c>
      <c r="L38" s="269" t="s">
        <v>90</v>
      </c>
      <c r="M38" s="832">
        <v>42096.0</v>
      </c>
      <c r="N38" s="388"/>
      <c r="O38" s="269" t="s">
        <v>90</v>
      </c>
      <c r="P38" s="265" t="s">
        <v>11107</v>
      </c>
      <c r="Q38" s="773">
        <v>63.0</v>
      </c>
      <c r="R38" s="388"/>
      <c r="S38" s="388" t="s">
        <v>11006</v>
      </c>
      <c r="T38" s="388"/>
      <c r="U38" s="388"/>
      <c r="V38" s="1132">
        <v>42096.0</v>
      </c>
      <c r="W38" s="320" t="s">
        <v>11108</v>
      </c>
      <c r="X38" s="1135">
        <v>1969.0</v>
      </c>
      <c r="Y38" s="388"/>
      <c r="Z38" s="388" t="s">
        <v>11109</v>
      </c>
      <c r="AA38" s="388" t="s">
        <v>11110</v>
      </c>
      <c r="AB38" s="1159">
        <v>2294.0</v>
      </c>
      <c r="AC38" s="388" t="s">
        <v>11111</v>
      </c>
      <c r="AD38" s="388"/>
    </row>
    <row r="39" ht="15.75" customHeight="1">
      <c r="A39" s="764">
        <v>42103.0</v>
      </c>
      <c r="B39" s="844" t="s">
        <v>8749</v>
      </c>
      <c r="C39" s="1004" t="s">
        <v>11112</v>
      </c>
      <c r="D39" s="388" t="s">
        <v>11113</v>
      </c>
      <c r="E39" s="599" t="s">
        <v>11114</v>
      </c>
      <c r="F39" s="1137">
        <v>7.0</v>
      </c>
      <c r="G39" s="1137">
        <v>2.625</v>
      </c>
      <c r="H39" s="466">
        <f t="shared" ref="H39:H46" si="10">G39*F39</f>
        <v>18.375</v>
      </c>
      <c r="I39" s="388"/>
      <c r="J39" s="388"/>
      <c r="K39" s="265" t="s">
        <v>11086</v>
      </c>
      <c r="L39" s="269" t="s">
        <v>90</v>
      </c>
      <c r="M39" s="832">
        <v>42110.0</v>
      </c>
      <c r="N39" s="388"/>
      <c r="O39" s="269" t="s">
        <v>90</v>
      </c>
      <c r="P39" s="265" t="s">
        <v>11115</v>
      </c>
      <c r="Q39" s="773">
        <v>14.7</v>
      </c>
      <c r="R39" s="388"/>
      <c r="S39" s="388" t="s">
        <v>11006</v>
      </c>
      <c r="T39" s="388"/>
      <c r="U39" s="388"/>
      <c r="V39" s="1132">
        <v>42109.0</v>
      </c>
      <c r="W39" s="320" t="s">
        <v>11116</v>
      </c>
      <c r="X39" s="1135">
        <v>64792.0</v>
      </c>
      <c r="Y39" s="388"/>
      <c r="Z39" s="388" t="s">
        <v>11117</v>
      </c>
      <c r="AA39" s="388" t="s">
        <v>11118</v>
      </c>
      <c r="AB39" s="1159">
        <v>53352.0</v>
      </c>
      <c r="AC39" s="388" t="s">
        <v>10988</v>
      </c>
      <c r="AD39" s="388"/>
    </row>
    <row r="40" ht="15.75" customHeight="1">
      <c r="A40" s="764">
        <v>42103.0</v>
      </c>
      <c r="B40" s="844" t="s">
        <v>8749</v>
      </c>
      <c r="C40" s="1004" t="s">
        <v>11112</v>
      </c>
      <c r="D40" s="388" t="s">
        <v>11113</v>
      </c>
      <c r="E40" s="599" t="s">
        <v>11119</v>
      </c>
      <c r="F40" s="1137">
        <v>7.0</v>
      </c>
      <c r="G40" s="1137">
        <v>233.1</v>
      </c>
      <c r="H40" s="466">
        <f t="shared" si="10"/>
        <v>1631.7</v>
      </c>
      <c r="I40" s="388"/>
      <c r="J40" s="388"/>
      <c r="K40" s="265" t="s">
        <v>11086</v>
      </c>
      <c r="L40" s="269" t="s">
        <v>90</v>
      </c>
      <c r="M40" s="832">
        <v>42110.0</v>
      </c>
      <c r="N40" s="388"/>
      <c r="O40" s="269" t="s">
        <v>90</v>
      </c>
      <c r="P40" s="265" t="s">
        <v>11115</v>
      </c>
      <c r="Q40" s="773">
        <v>1389.15</v>
      </c>
      <c r="R40" s="388"/>
      <c r="S40" s="388" t="s">
        <v>11006</v>
      </c>
      <c r="T40" s="388"/>
      <c r="U40" s="388"/>
      <c r="V40" s="1132">
        <v>42109.0</v>
      </c>
      <c r="W40" s="320" t="s">
        <v>11116</v>
      </c>
      <c r="X40" s="256" t="s">
        <v>8836</v>
      </c>
      <c r="Y40" s="388"/>
      <c r="Z40" s="388" t="s">
        <v>11117</v>
      </c>
      <c r="AA40" s="388" t="s">
        <v>11118</v>
      </c>
      <c r="AB40" s="1137" t="s">
        <v>8836</v>
      </c>
      <c r="AC40" s="388" t="s">
        <v>10988</v>
      </c>
      <c r="AD40" s="388"/>
    </row>
    <row r="41" ht="15.75" customHeight="1">
      <c r="A41" s="764">
        <v>42103.0</v>
      </c>
      <c r="B41" s="844" t="s">
        <v>8749</v>
      </c>
      <c r="C41" s="1004" t="s">
        <v>11112</v>
      </c>
      <c r="D41" s="388" t="s">
        <v>11113</v>
      </c>
      <c r="E41" s="599" t="s">
        <v>11120</v>
      </c>
      <c r="F41" s="1137">
        <v>7.0</v>
      </c>
      <c r="G41" s="1137">
        <v>8.715</v>
      </c>
      <c r="H41" s="466">
        <f t="shared" si="10"/>
        <v>61.005</v>
      </c>
      <c r="I41" s="388"/>
      <c r="J41" s="388"/>
      <c r="K41" s="265" t="s">
        <v>11086</v>
      </c>
      <c r="L41" s="269" t="s">
        <v>90</v>
      </c>
      <c r="M41" s="832">
        <v>42110.0</v>
      </c>
      <c r="N41" s="388"/>
      <c r="O41" s="269" t="s">
        <v>90</v>
      </c>
      <c r="P41" s="265" t="s">
        <v>11115</v>
      </c>
      <c r="Q41" s="773">
        <v>51.45</v>
      </c>
      <c r="R41" s="388"/>
      <c r="S41" s="388" t="s">
        <v>11006</v>
      </c>
      <c r="T41" s="388"/>
      <c r="U41" s="388"/>
      <c r="V41" s="1132">
        <v>42109.0</v>
      </c>
      <c r="W41" s="320" t="s">
        <v>11116</v>
      </c>
      <c r="X41" s="256" t="s">
        <v>8836</v>
      </c>
      <c r="Y41" s="388"/>
      <c r="Z41" s="388" t="s">
        <v>11117</v>
      </c>
      <c r="AA41" s="388" t="s">
        <v>11118</v>
      </c>
      <c r="AB41" s="1137" t="s">
        <v>8836</v>
      </c>
      <c r="AC41" s="388" t="s">
        <v>10988</v>
      </c>
      <c r="AD41" s="388"/>
    </row>
    <row r="42" ht="15.75" customHeight="1">
      <c r="A42" s="764">
        <v>42103.0</v>
      </c>
      <c r="B42" s="844" t="s">
        <v>8749</v>
      </c>
      <c r="C42" s="1004" t="s">
        <v>11112</v>
      </c>
      <c r="D42" s="388" t="s">
        <v>11113</v>
      </c>
      <c r="E42" s="599" t="s">
        <v>11114</v>
      </c>
      <c r="F42" s="1137">
        <v>3.0</v>
      </c>
      <c r="G42" s="1137">
        <v>2.625</v>
      </c>
      <c r="H42" s="466">
        <f t="shared" si="10"/>
        <v>7.875</v>
      </c>
      <c r="I42" s="388"/>
      <c r="J42" s="388"/>
      <c r="K42" s="265" t="s">
        <v>11086</v>
      </c>
      <c r="L42" s="269" t="s">
        <v>90</v>
      </c>
      <c r="M42" s="832">
        <v>42110.0</v>
      </c>
      <c r="N42" s="388"/>
      <c r="O42" s="269" t="s">
        <v>90</v>
      </c>
      <c r="P42" s="265" t="s">
        <v>11115</v>
      </c>
      <c r="Q42" s="773">
        <v>6.3</v>
      </c>
      <c r="R42" s="388"/>
      <c r="S42" s="388" t="s">
        <v>11006</v>
      </c>
      <c r="T42" s="388"/>
      <c r="U42" s="388"/>
      <c r="V42" s="1132">
        <v>42109.0</v>
      </c>
      <c r="W42" s="320" t="s">
        <v>11116</v>
      </c>
      <c r="X42" s="256" t="s">
        <v>8836</v>
      </c>
      <c r="Y42" s="388"/>
      <c r="Z42" s="388" t="s">
        <v>11121</v>
      </c>
      <c r="AA42" s="388" t="s">
        <v>11118</v>
      </c>
      <c r="AB42" s="1159">
        <v>22865.0</v>
      </c>
      <c r="AC42" s="388" t="s">
        <v>10988</v>
      </c>
      <c r="AD42" s="388"/>
    </row>
    <row r="43" ht="15.75" customHeight="1">
      <c r="A43" s="764">
        <v>42103.0</v>
      </c>
      <c r="B43" s="844" t="s">
        <v>8749</v>
      </c>
      <c r="C43" s="1004" t="s">
        <v>11112</v>
      </c>
      <c r="D43" s="388" t="s">
        <v>11113</v>
      </c>
      <c r="E43" s="599" t="s">
        <v>11119</v>
      </c>
      <c r="F43" s="1137">
        <v>3.0</v>
      </c>
      <c r="G43" s="1137">
        <v>233.1</v>
      </c>
      <c r="H43" s="466">
        <f t="shared" si="10"/>
        <v>699.3</v>
      </c>
      <c r="I43" s="388"/>
      <c r="J43" s="388"/>
      <c r="K43" s="265" t="s">
        <v>11086</v>
      </c>
      <c r="L43" s="269" t="s">
        <v>90</v>
      </c>
      <c r="M43" s="832">
        <v>42110.0</v>
      </c>
      <c r="N43" s="388"/>
      <c r="O43" s="269" t="s">
        <v>90</v>
      </c>
      <c r="P43" s="265" t="s">
        <v>11115</v>
      </c>
      <c r="Q43" s="773">
        <v>595.35</v>
      </c>
      <c r="R43" s="388"/>
      <c r="S43" s="388" t="s">
        <v>11006</v>
      </c>
      <c r="T43" s="388"/>
      <c r="U43" s="388"/>
      <c r="V43" s="1132">
        <v>42109.0</v>
      </c>
      <c r="W43" s="320" t="s">
        <v>11116</v>
      </c>
      <c r="X43" s="256" t="s">
        <v>8836</v>
      </c>
      <c r="Y43" s="388"/>
      <c r="Z43" s="388" t="s">
        <v>11121</v>
      </c>
      <c r="AA43" s="388" t="s">
        <v>11118</v>
      </c>
      <c r="AB43" s="1137" t="s">
        <v>8836</v>
      </c>
      <c r="AC43" s="388" t="s">
        <v>10988</v>
      </c>
      <c r="AD43" s="388"/>
    </row>
    <row r="44" ht="15.75" customHeight="1">
      <c r="A44" s="764">
        <v>42103.0</v>
      </c>
      <c r="B44" s="844" t="s">
        <v>8749</v>
      </c>
      <c r="C44" s="1004" t="s">
        <v>11112</v>
      </c>
      <c r="D44" s="388" t="s">
        <v>11113</v>
      </c>
      <c r="E44" s="599" t="s">
        <v>11120</v>
      </c>
      <c r="F44" s="1137">
        <v>3.0</v>
      </c>
      <c r="G44" s="1137">
        <v>8.715</v>
      </c>
      <c r="H44" s="466">
        <f t="shared" si="10"/>
        <v>26.145</v>
      </c>
      <c r="I44" s="388"/>
      <c r="J44" s="388"/>
      <c r="K44" s="265" t="s">
        <v>11086</v>
      </c>
      <c r="L44" s="269" t="s">
        <v>90</v>
      </c>
      <c r="M44" s="832">
        <v>42110.0</v>
      </c>
      <c r="N44" s="388"/>
      <c r="O44" s="269" t="s">
        <v>90</v>
      </c>
      <c r="P44" s="265" t="s">
        <v>11115</v>
      </c>
      <c r="Q44" s="773">
        <v>22.05</v>
      </c>
      <c r="R44" s="388"/>
      <c r="S44" s="388" t="s">
        <v>11006</v>
      </c>
      <c r="T44" s="388"/>
      <c r="U44" s="388"/>
      <c r="V44" s="1132">
        <v>42109.0</v>
      </c>
      <c r="W44" s="320" t="s">
        <v>11116</v>
      </c>
      <c r="X44" s="256" t="s">
        <v>8836</v>
      </c>
      <c r="Y44" s="388"/>
      <c r="Z44" s="388" t="s">
        <v>11121</v>
      </c>
      <c r="AA44" s="388" t="s">
        <v>11118</v>
      </c>
      <c r="AB44" s="1137" t="s">
        <v>8836</v>
      </c>
      <c r="AC44" s="388" t="s">
        <v>10988</v>
      </c>
      <c r="AD44" s="388"/>
    </row>
    <row r="45" ht="15.75" customHeight="1">
      <c r="A45" s="764">
        <v>42117.0</v>
      </c>
      <c r="B45" s="844" t="s">
        <v>8749</v>
      </c>
      <c r="C45" s="1004" t="s">
        <v>11122</v>
      </c>
      <c r="D45" s="388" t="s">
        <v>11123</v>
      </c>
      <c r="E45" s="599" t="s">
        <v>11124</v>
      </c>
      <c r="F45" s="1137">
        <v>6.0</v>
      </c>
      <c r="G45" s="1137">
        <v>155.715</v>
      </c>
      <c r="H45" s="466">
        <f t="shared" si="10"/>
        <v>934.29</v>
      </c>
      <c r="I45" s="388"/>
      <c r="J45" s="388"/>
      <c r="K45" s="265" t="s">
        <v>11086</v>
      </c>
      <c r="L45" s="269" t="s">
        <v>90</v>
      </c>
      <c r="M45" s="832">
        <v>42158.0</v>
      </c>
      <c r="N45" s="388"/>
      <c r="O45" s="269" t="s">
        <v>90</v>
      </c>
      <c r="P45" s="265" t="s">
        <v>11125</v>
      </c>
      <c r="Q45" s="773">
        <v>762.3</v>
      </c>
      <c r="R45" s="388"/>
      <c r="S45" s="388" t="s">
        <v>11006</v>
      </c>
      <c r="T45" s="388"/>
      <c r="U45" s="388"/>
      <c r="V45" s="1132">
        <v>42158.0</v>
      </c>
      <c r="W45" s="320" t="s">
        <v>11126</v>
      </c>
      <c r="X45" s="1135">
        <v>23208.0</v>
      </c>
      <c r="Y45" s="1144">
        <v>42177.0</v>
      </c>
      <c r="Z45" s="388" t="s">
        <v>11127</v>
      </c>
      <c r="AA45" s="388" t="s">
        <v>11128</v>
      </c>
      <c r="AB45" s="1237">
        <v>28860.0</v>
      </c>
      <c r="AC45" s="388" t="s">
        <v>11129</v>
      </c>
      <c r="AD45" s="388"/>
    </row>
    <row r="46" ht="15.75" customHeight="1">
      <c r="A46" s="764">
        <v>42128.0</v>
      </c>
      <c r="B46" s="844" t="s">
        <v>8749</v>
      </c>
      <c r="C46" s="1004" t="s">
        <v>11130</v>
      </c>
      <c r="D46" s="388" t="s">
        <v>11131</v>
      </c>
      <c r="E46" s="599" t="s">
        <v>11124</v>
      </c>
      <c r="F46" s="1137">
        <v>3.0</v>
      </c>
      <c r="G46" s="1137">
        <v>155.715</v>
      </c>
      <c r="H46" s="466">
        <f t="shared" si="10"/>
        <v>467.145</v>
      </c>
      <c r="I46" s="388"/>
      <c r="J46" s="388"/>
      <c r="K46" s="265" t="s">
        <v>11086</v>
      </c>
      <c r="L46" s="269" t="s">
        <v>90</v>
      </c>
      <c r="M46" s="832">
        <v>42158.0</v>
      </c>
      <c r="N46" s="388"/>
      <c r="O46" s="269" t="s">
        <v>90</v>
      </c>
      <c r="P46" s="265" t="s">
        <v>11132</v>
      </c>
      <c r="Q46" s="773">
        <v>381.15</v>
      </c>
      <c r="R46" s="388"/>
      <c r="S46" s="388" t="s">
        <v>11006</v>
      </c>
      <c r="T46" s="388"/>
      <c r="U46" s="1139"/>
      <c r="V46" s="1132">
        <v>42158.0</v>
      </c>
      <c r="W46" s="320" t="s">
        <v>11133</v>
      </c>
      <c r="X46" s="1135">
        <v>11604.0</v>
      </c>
      <c r="Y46" s="388"/>
      <c r="Z46" s="388" t="s">
        <v>11134</v>
      </c>
      <c r="AA46" s="388" t="s">
        <v>11135</v>
      </c>
      <c r="AB46" s="1237">
        <v>14246.0</v>
      </c>
      <c r="AC46" s="388" t="s">
        <v>11129</v>
      </c>
      <c r="AD46" s="388"/>
    </row>
    <row r="47" ht="15.75" customHeight="1">
      <c r="A47" s="764">
        <v>42151.0</v>
      </c>
      <c r="B47" s="844" t="s">
        <v>8749</v>
      </c>
      <c r="C47" s="1004" t="s">
        <v>11136</v>
      </c>
      <c r="D47" s="388" t="s">
        <v>11137</v>
      </c>
      <c r="E47" s="599" t="s">
        <v>11138</v>
      </c>
      <c r="F47" s="1137">
        <v>2.0</v>
      </c>
      <c r="G47" s="1137">
        <v>159.6</v>
      </c>
      <c r="H47" s="773">
        <f t="shared" ref="H47:H55" si="11">F47*G47</f>
        <v>319.2</v>
      </c>
      <c r="I47" s="388"/>
      <c r="J47" s="388"/>
      <c r="K47" s="265" t="s">
        <v>11139</v>
      </c>
      <c r="L47" s="269" t="s">
        <v>90</v>
      </c>
      <c r="M47" s="832">
        <v>42163.0</v>
      </c>
      <c r="N47" s="388"/>
      <c r="O47" s="269" t="s">
        <v>90</v>
      </c>
      <c r="P47" s="265" t="s">
        <v>11140</v>
      </c>
      <c r="Q47" s="773">
        <v>281.4</v>
      </c>
      <c r="R47" s="388"/>
      <c r="S47" s="388" t="s">
        <v>11006</v>
      </c>
      <c r="T47" s="388"/>
      <c r="U47" s="388"/>
      <c r="V47" s="1132">
        <v>42163.0</v>
      </c>
      <c r="W47" s="320" t="s">
        <v>11141</v>
      </c>
      <c r="X47" s="1135">
        <v>8567.0</v>
      </c>
      <c r="Y47" s="1144">
        <v>42177.0</v>
      </c>
      <c r="Z47" s="388" t="s">
        <v>11142</v>
      </c>
      <c r="AA47" s="1137">
        <v>30.62</v>
      </c>
      <c r="AB47" s="1237">
        <v>9774.0</v>
      </c>
      <c r="AC47" s="388" t="s">
        <v>11143</v>
      </c>
      <c r="AD47" s="388"/>
    </row>
    <row r="48" ht="15.75" customHeight="1">
      <c r="A48" s="764">
        <v>42171.0</v>
      </c>
      <c r="B48" s="844" t="s">
        <v>8749</v>
      </c>
      <c r="C48" s="1004" t="s">
        <v>11144</v>
      </c>
      <c r="D48" s="388" t="s">
        <v>11145</v>
      </c>
      <c r="E48" s="599" t="s">
        <v>11146</v>
      </c>
      <c r="F48" s="1137">
        <v>2.0</v>
      </c>
      <c r="G48" s="1137">
        <v>73.5</v>
      </c>
      <c r="H48" s="1238">
        <f t="shared" si="11"/>
        <v>147</v>
      </c>
      <c r="I48" s="388"/>
      <c r="J48" s="1146"/>
      <c r="K48" s="265" t="s">
        <v>11139</v>
      </c>
      <c r="L48" s="269" t="s">
        <v>90</v>
      </c>
      <c r="M48" s="832">
        <v>42184.0</v>
      </c>
      <c r="N48" s="388"/>
      <c r="O48" s="269" t="s">
        <v>90</v>
      </c>
      <c r="P48" s="265" t="s">
        <v>11147</v>
      </c>
      <c r="Q48" s="773">
        <v>126.0</v>
      </c>
      <c r="R48" s="388"/>
      <c r="S48" s="388" t="s">
        <v>11006</v>
      </c>
      <c r="T48" s="388"/>
      <c r="U48" s="388"/>
      <c r="V48" s="1132">
        <v>42184.0</v>
      </c>
      <c r="W48" s="320" t="s">
        <v>11148</v>
      </c>
      <c r="X48" s="1135">
        <v>3894.0</v>
      </c>
      <c r="Y48" s="1144">
        <v>42180.0</v>
      </c>
      <c r="Z48" s="388" t="s">
        <v>11149</v>
      </c>
      <c r="AA48" s="388" t="s">
        <v>11150</v>
      </c>
      <c r="AB48" s="1137">
        <v>4542.0</v>
      </c>
      <c r="AC48" s="388" t="s">
        <v>11151</v>
      </c>
      <c r="AD48" s="388"/>
    </row>
    <row r="49" ht="15.75" customHeight="1">
      <c r="A49" s="764">
        <v>42261.0</v>
      </c>
      <c r="B49" s="844" t="s">
        <v>8749</v>
      </c>
      <c r="C49" s="1004" t="s">
        <v>11152</v>
      </c>
      <c r="D49" s="388" t="s">
        <v>11153</v>
      </c>
      <c r="E49" s="599" t="s">
        <v>11154</v>
      </c>
      <c r="F49" s="1137">
        <v>1.0</v>
      </c>
      <c r="G49" s="1137">
        <v>32.13</v>
      </c>
      <c r="H49" s="1147">
        <f t="shared" si="11"/>
        <v>32.13</v>
      </c>
      <c r="I49" s="388"/>
      <c r="J49" s="388"/>
      <c r="K49" s="265" t="s">
        <v>11155</v>
      </c>
      <c r="L49" s="269" t="s">
        <v>90</v>
      </c>
      <c r="M49" s="832">
        <v>42289.0</v>
      </c>
      <c r="N49" s="388"/>
      <c r="O49" s="269" t="s">
        <v>90</v>
      </c>
      <c r="P49" s="320" t="s">
        <v>11156</v>
      </c>
      <c r="Q49" s="773">
        <v>27.3</v>
      </c>
      <c r="R49" s="388"/>
      <c r="S49" s="388" t="s">
        <v>11006</v>
      </c>
      <c r="T49" s="388"/>
      <c r="U49" s="1139"/>
      <c r="V49" s="1143">
        <v>42289.0</v>
      </c>
      <c r="W49" s="388" t="s">
        <v>11157</v>
      </c>
      <c r="X49" s="592">
        <v>893.0</v>
      </c>
      <c r="Y49" s="1144">
        <v>42263.0</v>
      </c>
      <c r="Z49" s="388" t="s">
        <v>11158</v>
      </c>
      <c r="AA49" s="388" t="s">
        <v>11159</v>
      </c>
      <c r="AB49" s="1159">
        <v>1047.0</v>
      </c>
      <c r="AC49" s="388" t="s">
        <v>11160</v>
      </c>
      <c r="AD49" s="388"/>
    </row>
    <row r="50" ht="15.75" customHeight="1">
      <c r="A50" s="764">
        <v>42282.0</v>
      </c>
      <c r="B50" s="844" t="s">
        <v>8749</v>
      </c>
      <c r="C50" s="1004" t="s">
        <v>11161</v>
      </c>
      <c r="D50" s="388" t="s">
        <v>11162</v>
      </c>
      <c r="E50" s="599" t="s">
        <v>11163</v>
      </c>
      <c r="F50" s="1137">
        <v>1.0</v>
      </c>
      <c r="G50" s="1137">
        <f>30.6*1.05</f>
        <v>32.13</v>
      </c>
      <c r="H50" s="1147">
        <f t="shared" si="11"/>
        <v>32.13</v>
      </c>
      <c r="I50" s="388"/>
      <c r="J50" s="1239"/>
      <c r="K50" s="265" t="s">
        <v>11155</v>
      </c>
      <c r="L50" s="269" t="s">
        <v>90</v>
      </c>
      <c r="M50" s="832">
        <v>42292.0</v>
      </c>
      <c r="N50" s="388"/>
      <c r="O50" s="269" t="s">
        <v>90</v>
      </c>
      <c r="P50" s="1004" t="s">
        <v>11164</v>
      </c>
      <c r="Q50" s="773">
        <v>27.3</v>
      </c>
      <c r="R50" s="388"/>
      <c r="S50" s="388" t="s">
        <v>11006</v>
      </c>
      <c r="T50" s="388"/>
      <c r="U50" s="388"/>
      <c r="V50" s="1143">
        <v>42292.0</v>
      </c>
      <c r="W50" s="388" t="s">
        <v>11165</v>
      </c>
      <c r="X50" s="592">
        <v>893.0</v>
      </c>
      <c r="Y50" s="1144">
        <v>42321.0</v>
      </c>
      <c r="Z50" s="388" t="s">
        <v>11166</v>
      </c>
      <c r="AA50" s="388" t="s">
        <v>11167</v>
      </c>
      <c r="AB50" s="1159">
        <v>1044.0</v>
      </c>
      <c r="AC50" s="388" t="s">
        <v>11168</v>
      </c>
      <c r="AD50" s="388"/>
    </row>
    <row r="51" ht="15.75" customHeight="1">
      <c r="A51" s="764">
        <v>42299.0</v>
      </c>
      <c r="B51" s="844" t="s">
        <v>8749</v>
      </c>
      <c r="C51" s="1004" t="s">
        <v>11169</v>
      </c>
      <c r="D51" s="388" t="s">
        <v>11170</v>
      </c>
      <c r="E51" s="599" t="s">
        <v>11171</v>
      </c>
      <c r="F51" s="1137">
        <v>2.0</v>
      </c>
      <c r="G51" s="1137">
        <v>109.2</v>
      </c>
      <c r="H51" s="1147">
        <f t="shared" si="11"/>
        <v>218.4</v>
      </c>
      <c r="I51" s="388"/>
      <c r="J51" s="388"/>
      <c r="K51" s="265" t="s">
        <v>11155</v>
      </c>
      <c r="L51" s="269" t="s">
        <v>90</v>
      </c>
      <c r="M51" s="832">
        <v>42306.0</v>
      </c>
      <c r="N51" s="388"/>
      <c r="O51" s="269" t="s">
        <v>90</v>
      </c>
      <c r="P51" s="265" t="s">
        <v>11172</v>
      </c>
      <c r="Q51" s="773">
        <v>184.8</v>
      </c>
      <c r="R51" s="388"/>
      <c r="S51" s="388" t="s">
        <v>11006</v>
      </c>
      <c r="T51" s="388"/>
      <c r="U51" s="1139"/>
      <c r="V51" s="1143">
        <v>42306.0</v>
      </c>
      <c r="W51" s="388" t="s">
        <v>11173</v>
      </c>
      <c r="X51" s="845">
        <v>5948.0</v>
      </c>
      <c r="Y51" s="1139">
        <v>42321.0</v>
      </c>
      <c r="Z51" s="388" t="s">
        <v>11174</v>
      </c>
      <c r="AA51" s="388" t="s">
        <v>11175</v>
      </c>
      <c r="AB51" s="1159">
        <v>7083.0</v>
      </c>
      <c r="AC51" s="388" t="s">
        <v>11176</v>
      </c>
      <c r="AD51" s="388"/>
    </row>
    <row r="52" ht="15.75" customHeight="1">
      <c r="A52" s="764">
        <v>42303.0</v>
      </c>
      <c r="B52" s="844" t="s">
        <v>8749</v>
      </c>
      <c r="C52" s="1004" t="s">
        <v>11177</v>
      </c>
      <c r="D52" s="388" t="s">
        <v>11178</v>
      </c>
      <c r="E52" s="599" t="s">
        <v>8752</v>
      </c>
      <c r="F52" s="1137">
        <v>2.0</v>
      </c>
      <c r="G52" s="1137">
        <f t="shared" ref="G52:G53" si="12">97*1.05</f>
        <v>101.85</v>
      </c>
      <c r="H52" s="1147">
        <f t="shared" si="11"/>
        <v>203.7</v>
      </c>
      <c r="I52" s="388"/>
      <c r="J52" s="388"/>
      <c r="K52" s="265" t="s">
        <v>11155</v>
      </c>
      <c r="L52" s="269" t="s">
        <v>90</v>
      </c>
      <c r="M52" s="832">
        <v>42306.0</v>
      </c>
      <c r="N52" s="388"/>
      <c r="O52" s="269" t="s">
        <v>90</v>
      </c>
      <c r="P52" s="265" t="s">
        <v>11179</v>
      </c>
      <c r="Q52" s="773">
        <v>178.5</v>
      </c>
      <c r="R52" s="388"/>
      <c r="S52" s="388" t="s">
        <v>11006</v>
      </c>
      <c r="T52" s="388"/>
      <c r="U52" s="388"/>
      <c r="V52" s="1143">
        <v>42306.0</v>
      </c>
      <c r="W52" s="388" t="s">
        <v>11180</v>
      </c>
      <c r="X52" s="845">
        <v>5745.0</v>
      </c>
      <c r="Y52" s="1139">
        <v>42321.0</v>
      </c>
      <c r="Z52" s="388" t="s">
        <v>11181</v>
      </c>
      <c r="AA52" s="388" t="s">
        <v>11175</v>
      </c>
      <c r="AB52" s="1159">
        <v>6607.0</v>
      </c>
      <c r="AC52" s="388" t="s">
        <v>11176</v>
      </c>
      <c r="AD52" s="388"/>
    </row>
    <row r="53" ht="15.75" customHeight="1">
      <c r="A53" s="764">
        <v>42312.0</v>
      </c>
      <c r="B53" s="844" t="s">
        <v>8749</v>
      </c>
      <c r="C53" s="1004" t="s">
        <v>11182</v>
      </c>
      <c r="D53" s="388" t="s">
        <v>11183</v>
      </c>
      <c r="E53" s="599" t="s">
        <v>8752</v>
      </c>
      <c r="F53" s="1137">
        <v>1.0</v>
      </c>
      <c r="G53" s="1137">
        <f t="shared" si="12"/>
        <v>101.85</v>
      </c>
      <c r="H53" s="1147">
        <f t="shared" si="11"/>
        <v>101.85</v>
      </c>
      <c r="I53" s="388"/>
      <c r="J53" s="388"/>
      <c r="K53" s="265" t="s">
        <v>11155</v>
      </c>
      <c r="L53" s="269" t="s">
        <v>90</v>
      </c>
      <c r="M53" s="832">
        <v>42317.0</v>
      </c>
      <c r="N53" s="388"/>
      <c r="O53" s="269" t="s">
        <v>90</v>
      </c>
      <c r="P53" s="388" t="s">
        <v>11184</v>
      </c>
      <c r="Q53" s="320">
        <v>89.25</v>
      </c>
      <c r="R53" s="388"/>
      <c r="S53" s="388" t="s">
        <v>11006</v>
      </c>
      <c r="T53" s="388"/>
      <c r="U53" s="388"/>
      <c r="V53" s="1139">
        <v>42317.0</v>
      </c>
      <c r="W53" s="388" t="s">
        <v>11185</v>
      </c>
      <c r="X53" s="1146">
        <v>2882.0</v>
      </c>
      <c r="Y53" s="1139">
        <v>42341.0</v>
      </c>
      <c r="Z53" s="388" t="s">
        <v>11186</v>
      </c>
      <c r="AA53" s="388">
        <v>32.475</v>
      </c>
      <c r="AB53" s="1146">
        <v>3308.0</v>
      </c>
      <c r="AC53" s="388" t="s">
        <v>11187</v>
      </c>
      <c r="AD53" s="388"/>
    </row>
    <row r="54" ht="15.75" customHeight="1">
      <c r="A54" s="764">
        <v>42331.0</v>
      </c>
      <c r="B54" s="844" t="s">
        <v>11188</v>
      </c>
      <c r="C54" s="388" t="s">
        <v>11189</v>
      </c>
      <c r="D54" s="388" t="s">
        <v>11190</v>
      </c>
      <c r="E54" s="599" t="s">
        <v>11191</v>
      </c>
      <c r="F54" s="388">
        <v>2.0</v>
      </c>
      <c r="G54" s="388">
        <v>114.0</v>
      </c>
      <c r="H54" s="1147">
        <f t="shared" si="11"/>
        <v>228</v>
      </c>
      <c r="I54" s="388"/>
      <c r="J54" s="388"/>
      <c r="K54" s="265" t="s">
        <v>171</v>
      </c>
      <c r="L54" s="333" t="s">
        <v>8708</v>
      </c>
      <c r="M54" s="832">
        <v>42341.0</v>
      </c>
      <c r="N54" s="832">
        <v>42340.0</v>
      </c>
      <c r="O54" s="269" t="s">
        <v>11192</v>
      </c>
      <c r="P54" s="320" t="s">
        <v>11193</v>
      </c>
      <c r="Q54" s="388"/>
      <c r="R54" s="320">
        <v>6090.0</v>
      </c>
      <c r="S54" s="388" t="s">
        <v>11194</v>
      </c>
      <c r="T54" s="388"/>
      <c r="U54" s="1137"/>
      <c r="V54" s="1240">
        <v>42340.0</v>
      </c>
      <c r="W54" s="1140" t="s">
        <v>11195</v>
      </c>
      <c r="X54" s="1241">
        <v>6090.0</v>
      </c>
      <c r="Y54" s="1240">
        <v>42339.0</v>
      </c>
      <c r="Z54" s="1140" t="s">
        <v>11196</v>
      </c>
      <c r="AA54" s="388"/>
      <c r="AB54" s="388"/>
      <c r="AC54" s="388"/>
      <c r="AD54" s="388" t="s">
        <v>284</v>
      </c>
    </row>
    <row r="55" ht="15.75" customHeight="1">
      <c r="A55" s="764">
        <v>42331.0</v>
      </c>
      <c r="B55" s="844" t="s">
        <v>11188</v>
      </c>
      <c r="C55" s="388" t="s">
        <v>11189</v>
      </c>
      <c r="D55" s="388" t="s">
        <v>11190</v>
      </c>
      <c r="E55" s="599" t="s">
        <v>11197</v>
      </c>
      <c r="F55" s="388">
        <v>1.0</v>
      </c>
      <c r="G55" s="388">
        <v>58.0</v>
      </c>
      <c r="H55" s="1147">
        <f t="shared" si="11"/>
        <v>58</v>
      </c>
      <c r="I55" s="388"/>
      <c r="J55" s="388"/>
      <c r="K55" s="265" t="s">
        <v>171</v>
      </c>
      <c r="L55" s="333" t="s">
        <v>8708</v>
      </c>
      <c r="M55" s="832">
        <v>42341.0</v>
      </c>
      <c r="N55" s="592"/>
      <c r="O55" s="269" t="s">
        <v>11198</v>
      </c>
      <c r="P55" s="388"/>
      <c r="Q55" s="388"/>
      <c r="R55" s="320">
        <v>2133.0</v>
      </c>
      <c r="S55" s="388" t="s">
        <v>11199</v>
      </c>
      <c r="T55" s="388"/>
      <c r="U55" s="1139">
        <v>42376.0</v>
      </c>
      <c r="V55" s="1240">
        <v>42340.0</v>
      </c>
      <c r="W55" s="1140" t="s">
        <v>11200</v>
      </c>
      <c r="X55" s="1242" t="s">
        <v>11201</v>
      </c>
      <c r="Y55" s="1240">
        <v>42373.0</v>
      </c>
      <c r="Z55" s="1140" t="s">
        <v>11196</v>
      </c>
      <c r="AA55" s="388"/>
      <c r="AB55" s="388"/>
      <c r="AC55" s="388"/>
      <c r="AD55" s="388" t="s">
        <v>284</v>
      </c>
    </row>
    <row r="56" ht="15.75" customHeight="1">
      <c r="A56" s="764">
        <v>42110.0</v>
      </c>
      <c r="B56" s="844" t="s">
        <v>721</v>
      </c>
      <c r="C56" s="388"/>
      <c r="D56" s="388" t="s">
        <v>11202</v>
      </c>
      <c r="E56" s="599" t="s">
        <v>11203</v>
      </c>
      <c r="F56" s="1137">
        <v>10.0</v>
      </c>
      <c r="G56" s="1137">
        <v>52.0</v>
      </c>
      <c r="H56" s="466">
        <f t="shared" ref="H56:H61" si="13">G56*F56</f>
        <v>520</v>
      </c>
      <c r="I56" s="388"/>
      <c r="J56" s="388"/>
      <c r="K56" s="265" t="s">
        <v>3874</v>
      </c>
      <c r="L56" s="269" t="s">
        <v>11204</v>
      </c>
      <c r="M56" s="832">
        <v>42124.0</v>
      </c>
      <c r="N56" s="832">
        <v>42123.0</v>
      </c>
      <c r="O56" s="269" t="s">
        <v>90</v>
      </c>
      <c r="P56" s="265" t="s">
        <v>11205</v>
      </c>
      <c r="Q56" s="1137">
        <v>462.0</v>
      </c>
      <c r="R56" s="388"/>
      <c r="S56" s="388" t="s">
        <v>11006</v>
      </c>
      <c r="T56" s="388"/>
      <c r="U56" s="1139"/>
      <c r="V56" s="1144">
        <v>42122.0</v>
      </c>
      <c r="W56" s="388" t="s">
        <v>11206</v>
      </c>
      <c r="X56" s="845">
        <v>73511.0</v>
      </c>
      <c r="Y56" s="1144">
        <v>42129.0</v>
      </c>
      <c r="Z56" s="320" t="s">
        <v>11207</v>
      </c>
      <c r="AA56" s="388"/>
      <c r="AB56" s="388"/>
      <c r="AC56" s="388"/>
      <c r="AD56" s="388" t="s">
        <v>8661</v>
      </c>
    </row>
    <row r="57" ht="15.75" customHeight="1">
      <c r="A57" s="764">
        <v>42110.0</v>
      </c>
      <c r="B57" s="844" t="s">
        <v>721</v>
      </c>
      <c r="C57" s="388"/>
      <c r="D57" s="388" t="s">
        <v>11202</v>
      </c>
      <c r="E57" s="599" t="s">
        <v>11208</v>
      </c>
      <c r="F57" s="1137">
        <v>5.0</v>
      </c>
      <c r="G57" s="1137">
        <v>107.0</v>
      </c>
      <c r="H57" s="466">
        <f t="shared" si="13"/>
        <v>535</v>
      </c>
      <c r="I57" s="388"/>
      <c r="J57" s="388"/>
      <c r="K57" s="265" t="s">
        <v>3874</v>
      </c>
      <c r="L57" s="269" t="s">
        <v>11204</v>
      </c>
      <c r="M57" s="832">
        <v>42124.0</v>
      </c>
      <c r="N57" s="832">
        <v>42123.0</v>
      </c>
      <c r="O57" s="269" t="s">
        <v>90</v>
      </c>
      <c r="P57" s="265" t="s">
        <v>11205</v>
      </c>
      <c r="Q57" s="1137">
        <v>488.25</v>
      </c>
      <c r="R57" s="388"/>
      <c r="S57" s="388" t="s">
        <v>11006</v>
      </c>
      <c r="T57" s="388"/>
      <c r="U57" s="1139"/>
      <c r="V57" s="1144">
        <v>42122.0</v>
      </c>
      <c r="W57" s="388" t="s">
        <v>11206</v>
      </c>
      <c r="X57" s="592" t="s">
        <v>8836</v>
      </c>
      <c r="Y57" s="1144">
        <v>42129.0</v>
      </c>
      <c r="Z57" s="320" t="s">
        <v>11207</v>
      </c>
      <c r="AA57" s="388"/>
      <c r="AB57" s="388"/>
      <c r="AC57" s="388"/>
      <c r="AD57" s="388" t="s">
        <v>8661</v>
      </c>
    </row>
    <row r="58" ht="15.75" customHeight="1">
      <c r="A58" s="764">
        <v>42110.0</v>
      </c>
      <c r="B58" s="844" t="s">
        <v>721</v>
      </c>
      <c r="C58" s="388"/>
      <c r="D58" s="388" t="s">
        <v>11202</v>
      </c>
      <c r="E58" s="599" t="s">
        <v>3628</v>
      </c>
      <c r="F58" s="1137">
        <v>1.0</v>
      </c>
      <c r="G58" s="1137">
        <v>205.0</v>
      </c>
      <c r="H58" s="466">
        <f t="shared" si="13"/>
        <v>205</v>
      </c>
      <c r="I58" s="388"/>
      <c r="J58" s="388"/>
      <c r="K58" s="265" t="s">
        <v>3874</v>
      </c>
      <c r="L58" s="269" t="s">
        <v>11204</v>
      </c>
      <c r="M58" s="832">
        <v>42124.0</v>
      </c>
      <c r="N58" s="832">
        <v>42123.0</v>
      </c>
      <c r="O58" s="269" t="s">
        <v>90</v>
      </c>
      <c r="P58" s="265" t="s">
        <v>11205</v>
      </c>
      <c r="Q58" s="1137">
        <v>178.5</v>
      </c>
      <c r="R58" s="388"/>
      <c r="S58" s="388" t="s">
        <v>11006</v>
      </c>
      <c r="T58" s="388"/>
      <c r="U58" s="1139"/>
      <c r="V58" s="1144">
        <v>42122.0</v>
      </c>
      <c r="W58" s="388" t="s">
        <v>11206</v>
      </c>
      <c r="X58" s="592" t="s">
        <v>8836</v>
      </c>
      <c r="Y58" s="1144">
        <v>42129.0</v>
      </c>
      <c r="Z58" s="320" t="s">
        <v>11207</v>
      </c>
      <c r="AA58" s="388"/>
      <c r="AB58" s="388"/>
      <c r="AC58" s="388"/>
      <c r="AD58" s="388" t="s">
        <v>8661</v>
      </c>
    </row>
    <row r="59" ht="15.75" customHeight="1">
      <c r="A59" s="764">
        <v>42110.0</v>
      </c>
      <c r="B59" s="844" t="s">
        <v>721</v>
      </c>
      <c r="C59" s="388"/>
      <c r="D59" s="388" t="s">
        <v>11202</v>
      </c>
      <c r="E59" s="599" t="s">
        <v>11046</v>
      </c>
      <c r="F59" s="1137">
        <v>10.0</v>
      </c>
      <c r="G59" s="1137">
        <v>137.0</v>
      </c>
      <c r="H59" s="466">
        <f t="shared" si="13"/>
        <v>1370</v>
      </c>
      <c r="I59" s="388"/>
      <c r="J59" s="388"/>
      <c r="K59" s="265" t="s">
        <v>3874</v>
      </c>
      <c r="L59" s="269" t="s">
        <v>11204</v>
      </c>
      <c r="M59" s="832">
        <v>42124.0</v>
      </c>
      <c r="N59" s="832">
        <v>42123.0</v>
      </c>
      <c r="O59" s="269" t="s">
        <v>90</v>
      </c>
      <c r="P59" s="265" t="s">
        <v>11205</v>
      </c>
      <c r="Q59" s="1137">
        <v>1228.5</v>
      </c>
      <c r="R59" s="388"/>
      <c r="S59" s="388" t="s">
        <v>11006</v>
      </c>
      <c r="T59" s="388"/>
      <c r="U59" s="1139"/>
      <c r="V59" s="1144">
        <v>42122.0</v>
      </c>
      <c r="W59" s="388" t="s">
        <v>11206</v>
      </c>
      <c r="X59" s="592" t="s">
        <v>8836</v>
      </c>
      <c r="Y59" s="1144">
        <v>42129.0</v>
      </c>
      <c r="Z59" s="320" t="s">
        <v>11207</v>
      </c>
      <c r="AA59" s="388"/>
      <c r="AB59" s="388"/>
      <c r="AC59" s="388"/>
      <c r="AD59" s="388" t="s">
        <v>8661</v>
      </c>
    </row>
    <row r="60" ht="15.75" customHeight="1">
      <c r="A60" s="764">
        <v>42124.0</v>
      </c>
      <c r="B60" s="844" t="s">
        <v>721</v>
      </c>
      <c r="C60" s="388"/>
      <c r="D60" s="388" t="s">
        <v>11209</v>
      </c>
      <c r="E60" s="599" t="s">
        <v>11046</v>
      </c>
      <c r="F60" s="1137">
        <v>13.0</v>
      </c>
      <c r="G60" s="1137">
        <v>137.0</v>
      </c>
      <c r="H60" s="466">
        <f t="shared" si="13"/>
        <v>1781</v>
      </c>
      <c r="I60" s="388"/>
      <c r="J60" s="388"/>
      <c r="K60" s="265" t="s">
        <v>3874</v>
      </c>
      <c r="L60" s="269" t="s">
        <v>11204</v>
      </c>
      <c r="M60" s="1243">
        <v>42135.0</v>
      </c>
      <c r="N60" s="832">
        <v>42132.0</v>
      </c>
      <c r="O60" s="269" t="s">
        <v>90</v>
      </c>
      <c r="P60" s="265" t="s">
        <v>11210</v>
      </c>
      <c r="Q60" s="773">
        <v>1597.05</v>
      </c>
      <c r="R60" s="388"/>
      <c r="S60" s="388" t="s">
        <v>11006</v>
      </c>
      <c r="T60" s="388"/>
      <c r="U60" s="1139"/>
      <c r="V60" s="1144">
        <v>42132.0</v>
      </c>
      <c r="W60" s="388" t="s">
        <v>11211</v>
      </c>
      <c r="X60" s="845">
        <v>70187.0</v>
      </c>
      <c r="Y60" s="1144">
        <v>42129.0</v>
      </c>
      <c r="Z60" s="320" t="s">
        <v>11212</v>
      </c>
      <c r="AA60" s="388"/>
      <c r="AB60" s="388"/>
      <c r="AC60" s="388"/>
      <c r="AD60" s="592" t="s">
        <v>8661</v>
      </c>
    </row>
    <row r="61" ht="15.75" customHeight="1">
      <c r="A61" s="764">
        <v>42124.0</v>
      </c>
      <c r="B61" s="844" t="s">
        <v>721</v>
      </c>
      <c r="C61" s="388"/>
      <c r="D61" s="388" t="s">
        <v>11209</v>
      </c>
      <c r="E61" s="340" t="s">
        <v>11213</v>
      </c>
      <c r="F61" s="1137">
        <v>5.0</v>
      </c>
      <c r="G61" s="325">
        <v>149.0</v>
      </c>
      <c r="H61" s="466">
        <f t="shared" si="13"/>
        <v>745</v>
      </c>
      <c r="I61" s="388"/>
      <c r="J61" s="388"/>
      <c r="K61" s="265" t="s">
        <v>3874</v>
      </c>
      <c r="L61" s="269" t="s">
        <v>11204</v>
      </c>
      <c r="M61" s="1243">
        <v>42135.0</v>
      </c>
      <c r="N61" s="832">
        <v>42132.0</v>
      </c>
      <c r="O61" s="269" t="s">
        <v>90</v>
      </c>
      <c r="P61" s="265" t="s">
        <v>11210</v>
      </c>
      <c r="Q61" s="773">
        <v>682.5</v>
      </c>
      <c r="R61" s="388"/>
      <c r="S61" s="388" t="s">
        <v>11006</v>
      </c>
      <c r="T61" s="388"/>
      <c r="U61" s="1139"/>
      <c r="V61" s="1144">
        <v>42132.0</v>
      </c>
      <c r="W61" s="388" t="s">
        <v>11211</v>
      </c>
      <c r="X61" s="592" t="s">
        <v>8836</v>
      </c>
      <c r="Y61" s="1144">
        <v>42129.0</v>
      </c>
      <c r="Z61" s="320" t="s">
        <v>11212</v>
      </c>
      <c r="AA61" s="388"/>
      <c r="AB61" s="388"/>
      <c r="AC61" s="388"/>
      <c r="AD61" s="592" t="s">
        <v>8661</v>
      </c>
    </row>
    <row r="62" ht="15.75" customHeight="1">
      <c r="A62" s="764">
        <v>42067.0</v>
      </c>
      <c r="B62" s="844" t="s">
        <v>11214</v>
      </c>
      <c r="C62" s="1004">
        <v>3.10004608E9</v>
      </c>
      <c r="D62" s="388" t="s">
        <v>11215</v>
      </c>
      <c r="E62" s="340" t="s">
        <v>11216</v>
      </c>
      <c r="F62" s="1137">
        <v>1.0</v>
      </c>
      <c r="G62" s="325">
        <v>116.55</v>
      </c>
      <c r="H62" s="466">
        <f t="shared" ref="H62:H63" si="14">F62*G62</f>
        <v>116.55</v>
      </c>
      <c r="I62" s="793"/>
      <c r="J62" s="793"/>
      <c r="K62" s="265" t="s">
        <v>10949</v>
      </c>
      <c r="L62" s="269" t="s">
        <v>90</v>
      </c>
      <c r="M62" s="832">
        <v>42073.0</v>
      </c>
      <c r="N62" s="388"/>
      <c r="O62" s="269" t="s">
        <v>90</v>
      </c>
      <c r="P62" s="265" t="s">
        <v>11217</v>
      </c>
      <c r="Q62" s="773">
        <v>92.4</v>
      </c>
      <c r="R62" s="388"/>
      <c r="S62" s="388" t="s">
        <v>11006</v>
      </c>
      <c r="T62" s="388"/>
      <c r="U62" s="1139"/>
      <c r="V62" s="1132">
        <v>42072.0</v>
      </c>
      <c r="W62" s="265" t="s">
        <v>11218</v>
      </c>
      <c r="X62" s="1135">
        <v>3460.0</v>
      </c>
      <c r="Y62" s="1144">
        <v>42074.0</v>
      </c>
      <c r="Z62" s="388" t="s">
        <v>11219</v>
      </c>
      <c r="AA62" s="388" t="s">
        <v>11220</v>
      </c>
      <c r="AB62" s="1159">
        <v>4392.0</v>
      </c>
      <c r="AC62" s="388" t="s">
        <v>11221</v>
      </c>
      <c r="AD62" s="388"/>
    </row>
    <row r="63" ht="15.75" customHeight="1">
      <c r="A63" s="764">
        <v>42067.0</v>
      </c>
      <c r="B63" s="844" t="s">
        <v>11214</v>
      </c>
      <c r="C63" s="1004">
        <v>3.10004608E9</v>
      </c>
      <c r="D63" s="388" t="s">
        <v>11215</v>
      </c>
      <c r="E63" s="340" t="s">
        <v>11222</v>
      </c>
      <c r="F63" s="1137">
        <v>1.0</v>
      </c>
      <c r="G63" s="325">
        <v>23.1</v>
      </c>
      <c r="H63" s="466">
        <f t="shared" si="14"/>
        <v>23.1</v>
      </c>
      <c r="I63" s="793"/>
      <c r="J63" s="793"/>
      <c r="K63" s="265" t="s">
        <v>10949</v>
      </c>
      <c r="L63" s="269" t="s">
        <v>90</v>
      </c>
      <c r="M63" s="832">
        <v>42073.0</v>
      </c>
      <c r="N63" s="388"/>
      <c r="O63" s="269" t="s">
        <v>90</v>
      </c>
      <c r="P63" s="265" t="s">
        <v>11217</v>
      </c>
      <c r="Q63" s="773">
        <v>17.85</v>
      </c>
      <c r="R63" s="388"/>
      <c r="S63" s="388" t="s">
        <v>11006</v>
      </c>
      <c r="T63" s="388"/>
      <c r="U63" s="1139"/>
      <c r="V63" s="1132">
        <v>42072.0</v>
      </c>
      <c r="W63" s="265" t="s">
        <v>11218</v>
      </c>
      <c r="X63" s="256" t="s">
        <v>8836</v>
      </c>
      <c r="Y63" s="1144">
        <v>42074.0</v>
      </c>
      <c r="Z63" s="388" t="s">
        <v>11219</v>
      </c>
      <c r="AA63" s="388" t="s">
        <v>11220</v>
      </c>
      <c r="AB63" s="1137" t="s">
        <v>8836</v>
      </c>
      <c r="AC63" s="388" t="s">
        <v>11221</v>
      </c>
      <c r="AD63" s="388"/>
    </row>
    <row r="64" ht="15.75" customHeight="1">
      <c r="A64" s="764">
        <v>42073.0</v>
      </c>
      <c r="B64" s="844" t="s">
        <v>11214</v>
      </c>
      <c r="C64" s="1004">
        <v>3.100046166E9</v>
      </c>
      <c r="D64" s="388" t="s">
        <v>11223</v>
      </c>
      <c r="E64" s="599" t="s">
        <v>7620</v>
      </c>
      <c r="F64" s="1137">
        <v>5.0</v>
      </c>
      <c r="G64" s="325">
        <v>163.8</v>
      </c>
      <c r="H64" s="466">
        <f t="shared" ref="H64:H65" si="15">G64*F64</f>
        <v>819</v>
      </c>
      <c r="I64" s="388"/>
      <c r="J64" s="388"/>
      <c r="K64" s="265" t="s">
        <v>10949</v>
      </c>
      <c r="L64" s="269" t="s">
        <v>90</v>
      </c>
      <c r="M64" s="832">
        <v>42082.0</v>
      </c>
      <c r="N64" s="388"/>
      <c r="O64" s="269" t="s">
        <v>90</v>
      </c>
      <c r="P64" s="265" t="s">
        <v>11224</v>
      </c>
      <c r="Q64" s="773">
        <v>792.75</v>
      </c>
      <c r="R64" s="388"/>
      <c r="S64" s="388" t="s">
        <v>11006</v>
      </c>
      <c r="T64" s="388"/>
      <c r="U64" s="1139"/>
      <c r="V64" s="1132">
        <v>42082.0</v>
      </c>
      <c r="W64" s="265" t="s">
        <v>11225</v>
      </c>
      <c r="X64" s="1135">
        <v>27721.0</v>
      </c>
      <c r="Y64" s="1144">
        <v>42082.0</v>
      </c>
      <c r="Z64" s="388" t="s">
        <v>11226</v>
      </c>
      <c r="AA64" s="388" t="s">
        <v>11227</v>
      </c>
      <c r="AB64" s="1159">
        <v>29577.0</v>
      </c>
      <c r="AC64" s="388" t="s">
        <v>11228</v>
      </c>
      <c r="AD64" s="388"/>
    </row>
    <row r="65" ht="15.75" customHeight="1">
      <c r="A65" s="764">
        <v>42073.0</v>
      </c>
      <c r="B65" s="844" t="s">
        <v>11214</v>
      </c>
      <c r="C65" s="1004">
        <v>3.100046166E9</v>
      </c>
      <c r="D65" s="388" t="s">
        <v>11223</v>
      </c>
      <c r="E65" s="599" t="s">
        <v>11229</v>
      </c>
      <c r="F65" s="1137">
        <v>5.0</v>
      </c>
      <c r="G65" s="325">
        <v>23.1</v>
      </c>
      <c r="H65" s="466">
        <f t="shared" si="15"/>
        <v>115.5</v>
      </c>
      <c r="I65" s="388"/>
      <c r="J65" s="388"/>
      <c r="K65" s="265" t="s">
        <v>10949</v>
      </c>
      <c r="L65" s="269" t="s">
        <v>90</v>
      </c>
      <c r="M65" s="832">
        <v>42082.0</v>
      </c>
      <c r="N65" s="388"/>
      <c r="O65" s="269" t="s">
        <v>90</v>
      </c>
      <c r="P65" s="265" t="s">
        <v>11224</v>
      </c>
      <c r="Q65" s="773">
        <v>89.25</v>
      </c>
      <c r="R65" s="388"/>
      <c r="S65" s="388" t="s">
        <v>11006</v>
      </c>
      <c r="T65" s="388"/>
      <c r="U65" s="1139"/>
      <c r="V65" s="1132">
        <v>42082.0</v>
      </c>
      <c r="W65" s="265" t="s">
        <v>11225</v>
      </c>
      <c r="X65" s="256" t="s">
        <v>8836</v>
      </c>
      <c r="Y65" s="1144">
        <v>42082.0</v>
      </c>
      <c r="Z65" s="388" t="s">
        <v>11226</v>
      </c>
      <c r="AA65" s="388" t="s">
        <v>11227</v>
      </c>
      <c r="AB65" s="1159" t="s">
        <v>8836</v>
      </c>
      <c r="AC65" s="388" t="s">
        <v>11228</v>
      </c>
      <c r="AD65" s="388"/>
    </row>
    <row r="66" ht="15.75" customHeight="1">
      <c r="A66" s="764">
        <v>42123.0</v>
      </c>
      <c r="B66" s="844" t="s">
        <v>11214</v>
      </c>
      <c r="C66" s="1004">
        <v>3.100046774E9</v>
      </c>
      <c r="D66" s="388" t="s">
        <v>11230</v>
      </c>
      <c r="E66" s="340" t="s">
        <v>11216</v>
      </c>
      <c r="F66" s="1137">
        <v>2.0</v>
      </c>
      <c r="G66" s="325">
        <v>116.55</v>
      </c>
      <c r="H66" s="466">
        <f t="shared" ref="H66:H68" si="16">F66*G66</f>
        <v>233.1</v>
      </c>
      <c r="I66" s="793"/>
      <c r="J66" s="793"/>
      <c r="K66" s="265" t="s">
        <v>11139</v>
      </c>
      <c r="L66" s="269" t="s">
        <v>10976</v>
      </c>
      <c r="M66" s="1243">
        <v>42138.0</v>
      </c>
      <c r="N66" s="388"/>
      <c r="O66" s="269" t="s">
        <v>90</v>
      </c>
      <c r="P66" s="265" t="s">
        <v>11231</v>
      </c>
      <c r="Q66" s="773">
        <v>184.8</v>
      </c>
      <c r="R66" s="388"/>
      <c r="S66" s="388" t="s">
        <v>11006</v>
      </c>
      <c r="T66" s="388"/>
      <c r="U66" s="1139"/>
      <c r="V66" s="1144">
        <v>42138.0</v>
      </c>
      <c r="W66" s="388" t="s">
        <v>11232</v>
      </c>
      <c r="X66" s="845">
        <v>5660.0</v>
      </c>
      <c r="Y66" s="1144">
        <v>42129.0</v>
      </c>
      <c r="Z66" s="388" t="s">
        <v>11233</v>
      </c>
      <c r="AA66" s="388" t="s">
        <v>11234</v>
      </c>
      <c r="AB66" s="1159">
        <v>8569.0</v>
      </c>
      <c r="AC66" s="388" t="s">
        <v>11235</v>
      </c>
      <c r="AD66" s="388"/>
    </row>
    <row r="67" ht="15.75" customHeight="1">
      <c r="A67" s="764">
        <v>42123.0</v>
      </c>
      <c r="B67" s="844" t="s">
        <v>11214</v>
      </c>
      <c r="C67" s="1004">
        <v>3.100046774E9</v>
      </c>
      <c r="D67" s="388" t="s">
        <v>11230</v>
      </c>
      <c r="E67" s="340" t="s">
        <v>11222</v>
      </c>
      <c r="F67" s="1137">
        <v>2.0</v>
      </c>
      <c r="G67" s="325">
        <v>23.1</v>
      </c>
      <c r="H67" s="466">
        <f t="shared" si="16"/>
        <v>46.2</v>
      </c>
      <c r="I67" s="793"/>
      <c r="J67" s="793"/>
      <c r="K67" s="265" t="s">
        <v>11139</v>
      </c>
      <c r="L67" s="269" t="s">
        <v>10976</v>
      </c>
      <c r="M67" s="1243">
        <v>42139.0</v>
      </c>
      <c r="N67" s="832">
        <v>42131.0</v>
      </c>
      <c r="O67" s="269" t="s">
        <v>11236</v>
      </c>
      <c r="P67" s="265" t="s">
        <v>9485</v>
      </c>
      <c r="Q67" s="388"/>
      <c r="R67" s="773">
        <v>472.5</v>
      </c>
      <c r="S67" s="388"/>
      <c r="T67" s="388" t="s">
        <v>9485</v>
      </c>
      <c r="U67" s="388"/>
      <c r="V67" s="1004" t="s">
        <v>11237</v>
      </c>
      <c r="W67" s="388" t="s">
        <v>11238</v>
      </c>
      <c r="X67" s="592" t="s">
        <v>11237</v>
      </c>
      <c r="Y67" s="388"/>
      <c r="Z67" s="388" t="s">
        <v>11233</v>
      </c>
      <c r="AA67" s="388" t="s">
        <v>11234</v>
      </c>
      <c r="AB67" s="1159" t="s">
        <v>8836</v>
      </c>
      <c r="AC67" s="388" t="s">
        <v>11235</v>
      </c>
      <c r="AD67" s="388"/>
    </row>
    <row r="68" ht="15.75" customHeight="1">
      <c r="A68" s="764">
        <v>42293.0</v>
      </c>
      <c r="B68" s="844" t="s">
        <v>11239</v>
      </c>
      <c r="C68" s="1004">
        <v>1.5000123E7</v>
      </c>
      <c r="D68" s="388" t="s">
        <v>11240</v>
      </c>
      <c r="E68" s="599" t="s">
        <v>11241</v>
      </c>
      <c r="F68" s="1137">
        <v>1.0</v>
      </c>
      <c r="G68" s="1137">
        <v>133.0</v>
      </c>
      <c r="H68" s="1244">
        <f t="shared" si="16"/>
        <v>133</v>
      </c>
      <c r="I68" s="388"/>
      <c r="J68" s="388"/>
      <c r="K68" s="265" t="s">
        <v>171</v>
      </c>
      <c r="L68" s="269" t="s">
        <v>11242</v>
      </c>
      <c r="M68" s="832">
        <v>42305.0</v>
      </c>
      <c r="N68" s="832">
        <v>42300.0</v>
      </c>
      <c r="O68" s="269" t="s">
        <v>90</v>
      </c>
      <c r="P68" s="265" t="s">
        <v>11243</v>
      </c>
      <c r="Q68" s="773">
        <v>127.05</v>
      </c>
      <c r="R68" s="388"/>
      <c r="S68" s="388" t="s">
        <v>11006</v>
      </c>
      <c r="T68" s="388"/>
      <c r="U68" s="388"/>
      <c r="V68" s="1143">
        <v>42300.0</v>
      </c>
      <c r="W68" s="388" t="s">
        <v>11244</v>
      </c>
      <c r="X68" s="845">
        <v>4089.0</v>
      </c>
      <c r="Y68" s="1139">
        <v>42321.0</v>
      </c>
      <c r="Z68" s="388" t="s">
        <v>11245</v>
      </c>
      <c r="AA68" s="388"/>
      <c r="AB68" s="388"/>
      <c r="AC68" s="388"/>
      <c r="AD68" s="388" t="s">
        <v>284</v>
      </c>
    </row>
    <row r="69" ht="15.75" customHeight="1">
      <c r="A69" s="764">
        <v>41992.0</v>
      </c>
      <c r="B69" s="844" t="s">
        <v>6587</v>
      </c>
      <c r="C69" s="388"/>
      <c r="D69" s="388" t="s">
        <v>11246</v>
      </c>
      <c r="E69" s="340" t="s">
        <v>11247</v>
      </c>
      <c r="F69" s="1137">
        <v>2.0</v>
      </c>
      <c r="G69" s="325">
        <v>772.0</v>
      </c>
      <c r="H69" s="466">
        <f t="shared" ref="H69:H71" si="17">G69*F69</f>
        <v>1544</v>
      </c>
      <c r="I69" s="793"/>
      <c r="J69" s="793"/>
      <c r="K69" s="265" t="s">
        <v>8675</v>
      </c>
      <c r="L69" s="269" t="s">
        <v>6591</v>
      </c>
      <c r="M69" s="832">
        <v>42037.0</v>
      </c>
      <c r="N69" s="832">
        <v>41655.0</v>
      </c>
      <c r="O69" s="269" t="s">
        <v>11248</v>
      </c>
      <c r="P69" s="1004" t="s">
        <v>11249</v>
      </c>
      <c r="Q69" s="388"/>
      <c r="R69" s="773">
        <v>45759.0</v>
      </c>
      <c r="S69" s="388" t="s">
        <v>11250</v>
      </c>
      <c r="T69" s="388"/>
      <c r="U69" s="1139"/>
      <c r="V69" s="1144">
        <v>42019.0</v>
      </c>
      <c r="W69" s="388" t="s">
        <v>11251</v>
      </c>
      <c r="X69" s="845">
        <v>45759.0</v>
      </c>
      <c r="Y69" s="1144">
        <v>42090.0</v>
      </c>
      <c r="Z69" s="320" t="s">
        <v>11252</v>
      </c>
      <c r="AA69" s="388"/>
      <c r="AB69" s="388"/>
      <c r="AC69" s="388"/>
      <c r="AD69" s="388" t="s">
        <v>284</v>
      </c>
    </row>
    <row r="70" ht="15.75" customHeight="1">
      <c r="A70" s="764">
        <v>42037.0</v>
      </c>
      <c r="B70" s="844" t="s">
        <v>6587</v>
      </c>
      <c r="C70" s="388"/>
      <c r="D70" s="388" t="s">
        <v>11253</v>
      </c>
      <c r="E70" s="340" t="s">
        <v>11247</v>
      </c>
      <c r="F70" s="1137">
        <v>2.0</v>
      </c>
      <c r="G70" s="325">
        <v>772.0</v>
      </c>
      <c r="H70" s="466">
        <f t="shared" si="17"/>
        <v>1544</v>
      </c>
      <c r="I70" s="793"/>
      <c r="J70" s="793"/>
      <c r="K70" s="265" t="s">
        <v>8675</v>
      </c>
      <c r="L70" s="269" t="s">
        <v>6591</v>
      </c>
      <c r="M70" s="832">
        <v>42061.0</v>
      </c>
      <c r="N70" s="832">
        <v>42060.0</v>
      </c>
      <c r="O70" s="269" t="s">
        <v>6841</v>
      </c>
      <c r="P70" s="1004" t="s">
        <v>11254</v>
      </c>
      <c r="Q70" s="388"/>
      <c r="R70" s="773">
        <v>45399.0</v>
      </c>
      <c r="S70" s="388" t="s">
        <v>11250</v>
      </c>
      <c r="T70" s="388"/>
      <c r="U70" s="1139"/>
      <c r="V70" s="1132">
        <v>42059.0</v>
      </c>
      <c r="W70" s="320" t="s">
        <v>11255</v>
      </c>
      <c r="X70" s="1135">
        <v>45399.0</v>
      </c>
      <c r="Y70" s="1144">
        <v>42090.0</v>
      </c>
      <c r="Z70" s="320" t="s">
        <v>11256</v>
      </c>
      <c r="AA70" s="388"/>
      <c r="AB70" s="388"/>
      <c r="AC70" s="388"/>
      <c r="AD70" s="388" t="s">
        <v>8661</v>
      </c>
    </row>
    <row r="71" ht="15.75" customHeight="1">
      <c r="A71" s="764">
        <v>42059.0</v>
      </c>
      <c r="B71" s="844" t="s">
        <v>6587</v>
      </c>
      <c r="C71" s="388"/>
      <c r="D71" s="388" t="s">
        <v>11257</v>
      </c>
      <c r="E71" s="340" t="s">
        <v>11247</v>
      </c>
      <c r="F71" s="1137">
        <v>4.0</v>
      </c>
      <c r="G71" s="325">
        <v>772.0</v>
      </c>
      <c r="H71" s="466">
        <f t="shared" si="17"/>
        <v>3088</v>
      </c>
      <c r="I71" s="388"/>
      <c r="J71" s="388"/>
      <c r="K71" s="265" t="s">
        <v>8675</v>
      </c>
      <c r="L71" s="269" t="s">
        <v>6591</v>
      </c>
      <c r="M71" s="832">
        <v>42086.0</v>
      </c>
      <c r="N71" s="832">
        <v>42083.0</v>
      </c>
      <c r="O71" s="269" t="s">
        <v>6841</v>
      </c>
      <c r="P71" s="1004" t="s">
        <v>11258</v>
      </c>
      <c r="Q71" s="388"/>
      <c r="R71" s="773">
        <v>90237.0</v>
      </c>
      <c r="S71" s="388" t="s">
        <v>11250</v>
      </c>
      <c r="T71" s="388"/>
      <c r="U71" s="1139"/>
      <c r="V71" s="1144">
        <v>42082.0</v>
      </c>
      <c r="W71" s="1004" t="s">
        <v>11259</v>
      </c>
      <c r="X71" s="845">
        <v>90237.0</v>
      </c>
      <c r="Y71" s="1144">
        <v>42129.0</v>
      </c>
      <c r="Z71" s="320" t="s">
        <v>11260</v>
      </c>
      <c r="AA71" s="388"/>
      <c r="AB71" s="388"/>
      <c r="AC71" s="388"/>
      <c r="AD71" s="388" t="s">
        <v>8661</v>
      </c>
    </row>
    <row r="72" ht="15.75" customHeight="1">
      <c r="A72" s="776">
        <v>41985.0</v>
      </c>
      <c r="B72" s="844" t="s">
        <v>10926</v>
      </c>
      <c r="C72" s="265" t="s">
        <v>11261</v>
      </c>
      <c r="D72" s="320" t="s">
        <v>11262</v>
      </c>
      <c r="E72" s="340" t="s">
        <v>11263</v>
      </c>
      <c r="F72" s="773">
        <v>3.0</v>
      </c>
      <c r="G72" s="466">
        <v>100.49</v>
      </c>
      <c r="H72" s="466">
        <f t="shared" ref="H72:H85" si="18">F72*G72</f>
        <v>301.47</v>
      </c>
      <c r="I72" s="466">
        <f>2871*1.05</f>
        <v>3014.55</v>
      </c>
      <c r="J72" s="1149">
        <f>F72*I72</f>
        <v>9043.65</v>
      </c>
      <c r="K72" s="265" t="s">
        <v>11086</v>
      </c>
      <c r="L72" s="333" t="s">
        <v>10976</v>
      </c>
      <c r="M72" s="832">
        <v>41652.0</v>
      </c>
      <c r="N72" s="832">
        <v>41648.0</v>
      </c>
      <c r="O72" s="333" t="s">
        <v>11033</v>
      </c>
      <c r="P72" s="265" t="s">
        <v>11264</v>
      </c>
      <c r="Q72" s="793"/>
      <c r="R72" s="1149">
        <f>2756*3*1.05</f>
        <v>8681.4</v>
      </c>
      <c r="S72" s="320" t="s">
        <v>8689</v>
      </c>
      <c r="T72" s="388"/>
      <c r="U72" s="1139"/>
      <c r="V72" s="1132">
        <v>42012.0</v>
      </c>
      <c r="W72" s="320" t="s">
        <v>11265</v>
      </c>
      <c r="X72" s="1135">
        <v>8681.0</v>
      </c>
      <c r="Y72" s="1132">
        <v>42040.0</v>
      </c>
      <c r="Z72" s="320" t="s">
        <v>11266</v>
      </c>
      <c r="AA72" s="388"/>
      <c r="AB72" s="1149">
        <v>9044.0</v>
      </c>
      <c r="AC72" s="320" t="s">
        <v>11267</v>
      </c>
      <c r="AD72" s="388"/>
    </row>
    <row r="73" ht="15.75" customHeight="1">
      <c r="A73" s="776">
        <v>41985.0</v>
      </c>
      <c r="B73" s="844" t="s">
        <v>10926</v>
      </c>
      <c r="C73" s="265" t="s">
        <v>11268</v>
      </c>
      <c r="D73" s="320" t="s">
        <v>11269</v>
      </c>
      <c r="E73" s="340" t="s">
        <v>11270</v>
      </c>
      <c r="F73" s="773">
        <v>1.0</v>
      </c>
      <c r="G73" s="773">
        <v>255.78</v>
      </c>
      <c r="H73" s="466">
        <f t="shared" si="18"/>
        <v>255.78</v>
      </c>
      <c r="I73" s="388"/>
      <c r="J73" s="388"/>
      <c r="K73" s="265" t="s">
        <v>11086</v>
      </c>
      <c r="L73" s="333" t="s">
        <v>90</v>
      </c>
      <c r="M73" s="832">
        <v>42030.0</v>
      </c>
      <c r="N73" s="388"/>
      <c r="O73" s="333" t="s">
        <v>90</v>
      </c>
      <c r="P73" s="265" t="s">
        <v>11271</v>
      </c>
      <c r="Q73" s="773">
        <v>245.7</v>
      </c>
      <c r="R73" s="388"/>
      <c r="S73" s="320" t="s">
        <v>6081</v>
      </c>
      <c r="T73" s="388"/>
      <c r="U73" s="1139"/>
      <c r="V73" s="1132">
        <v>42030.0</v>
      </c>
      <c r="W73" s="265" t="s">
        <v>11272</v>
      </c>
      <c r="X73" s="1135">
        <v>7779.0</v>
      </c>
      <c r="Y73" s="1132">
        <v>42044.0</v>
      </c>
      <c r="Z73" s="320" t="s">
        <v>11273</v>
      </c>
      <c r="AA73" s="320" t="s">
        <v>11274</v>
      </c>
      <c r="AB73" s="1149">
        <v>8001.0</v>
      </c>
      <c r="AC73" s="320" t="s">
        <v>11275</v>
      </c>
      <c r="AD73" s="388"/>
    </row>
    <row r="74" ht="15.75" customHeight="1">
      <c r="A74" s="764">
        <v>41985.0</v>
      </c>
      <c r="B74" s="844" t="s">
        <v>10926</v>
      </c>
      <c r="C74" s="1004" t="s">
        <v>11268</v>
      </c>
      <c r="D74" s="388" t="s">
        <v>11276</v>
      </c>
      <c r="E74" s="599" t="s">
        <v>11270</v>
      </c>
      <c r="F74" s="1137">
        <v>1.0</v>
      </c>
      <c r="G74" s="1137">
        <v>255.78</v>
      </c>
      <c r="H74" s="466">
        <f t="shared" si="18"/>
        <v>255.78</v>
      </c>
      <c r="I74" s="388"/>
      <c r="J74" s="388"/>
      <c r="K74" s="265" t="s">
        <v>11086</v>
      </c>
      <c r="L74" s="269" t="s">
        <v>90</v>
      </c>
      <c r="M74" s="832">
        <v>42086.0</v>
      </c>
      <c r="N74" s="388"/>
      <c r="O74" s="269" t="s">
        <v>90</v>
      </c>
      <c r="P74" s="265" t="s">
        <v>11277</v>
      </c>
      <c r="Q74" s="773">
        <v>245.7</v>
      </c>
      <c r="R74" s="388"/>
      <c r="S74" s="388" t="s">
        <v>6081</v>
      </c>
      <c r="T74" s="388"/>
      <c r="U74" s="1139"/>
      <c r="V74" s="1132">
        <v>42086.0</v>
      </c>
      <c r="W74" s="265" t="s">
        <v>11278</v>
      </c>
      <c r="X74" s="1135">
        <v>7762.0</v>
      </c>
      <c r="Y74" s="1144">
        <v>42082.0</v>
      </c>
      <c r="Z74" s="388" t="s">
        <v>11279</v>
      </c>
      <c r="AA74" s="320" t="s">
        <v>11280</v>
      </c>
      <c r="AB74" s="1159">
        <v>8042.0</v>
      </c>
      <c r="AC74" s="388" t="s">
        <v>11281</v>
      </c>
      <c r="AD74" s="388"/>
    </row>
    <row r="75" ht="15.75" customHeight="1">
      <c r="A75" s="764">
        <v>41985.0</v>
      </c>
      <c r="B75" s="844" t="s">
        <v>10926</v>
      </c>
      <c r="C75" s="1004" t="s">
        <v>11268</v>
      </c>
      <c r="D75" s="388" t="s">
        <v>11282</v>
      </c>
      <c r="E75" s="599" t="s">
        <v>11270</v>
      </c>
      <c r="F75" s="1137">
        <v>1.0</v>
      </c>
      <c r="G75" s="1137">
        <v>255.78</v>
      </c>
      <c r="H75" s="466">
        <f t="shared" si="18"/>
        <v>255.78</v>
      </c>
      <c r="I75" s="388"/>
      <c r="J75" s="388"/>
      <c r="K75" s="265" t="s">
        <v>11086</v>
      </c>
      <c r="L75" s="269" t="s">
        <v>90</v>
      </c>
      <c r="M75" s="832">
        <v>42093.0</v>
      </c>
      <c r="N75" s="388"/>
      <c r="O75" s="269" t="s">
        <v>90</v>
      </c>
      <c r="P75" s="265" t="s">
        <v>11283</v>
      </c>
      <c r="Q75" s="773">
        <v>245.7</v>
      </c>
      <c r="R75" s="388"/>
      <c r="S75" s="388" t="s">
        <v>6081</v>
      </c>
      <c r="T75" s="388"/>
      <c r="U75" s="388"/>
      <c r="V75" s="1132">
        <v>42093.0</v>
      </c>
      <c r="W75" s="320" t="s">
        <v>11284</v>
      </c>
      <c r="X75" s="1135">
        <v>7762.0</v>
      </c>
      <c r="Y75" s="388"/>
      <c r="Z75" s="388" t="s">
        <v>11285</v>
      </c>
      <c r="AA75" s="388" t="s">
        <v>11286</v>
      </c>
      <c r="AB75" s="1159">
        <v>8006.0</v>
      </c>
      <c r="AC75" s="388" t="s">
        <v>11287</v>
      </c>
      <c r="AD75" s="388"/>
    </row>
    <row r="76" ht="15.75" customHeight="1">
      <c r="A76" s="776">
        <v>42010.0</v>
      </c>
      <c r="B76" s="844" t="s">
        <v>10926</v>
      </c>
      <c r="C76" s="265" t="s">
        <v>11288</v>
      </c>
      <c r="D76" s="320" t="s">
        <v>11289</v>
      </c>
      <c r="E76" s="340" t="s">
        <v>11290</v>
      </c>
      <c r="F76" s="773">
        <v>2.0</v>
      </c>
      <c r="G76" s="773">
        <v>204.75</v>
      </c>
      <c r="H76" s="466">
        <f t="shared" si="18"/>
        <v>409.5</v>
      </c>
      <c r="I76" s="388"/>
      <c r="J76" s="388"/>
      <c r="K76" s="265" t="s">
        <v>11086</v>
      </c>
      <c r="L76" s="333" t="s">
        <v>90</v>
      </c>
      <c r="M76" s="832">
        <v>42023.0</v>
      </c>
      <c r="N76" s="388"/>
      <c r="O76" s="333" t="s">
        <v>90</v>
      </c>
      <c r="P76" s="265" t="s">
        <v>11291</v>
      </c>
      <c r="Q76" s="773">
        <v>357.0</v>
      </c>
      <c r="R76" s="388"/>
      <c r="S76" s="320" t="s">
        <v>6081</v>
      </c>
      <c r="T76" s="388"/>
      <c r="U76" s="1139"/>
      <c r="V76" s="1132">
        <v>42023.0</v>
      </c>
      <c r="W76" s="265" t="s">
        <v>11292</v>
      </c>
      <c r="X76" s="1135">
        <v>11388.0</v>
      </c>
      <c r="Y76" s="1132">
        <v>42044.0</v>
      </c>
      <c r="Z76" s="320" t="s">
        <v>11293</v>
      </c>
      <c r="AA76" s="320" t="s">
        <v>11294</v>
      </c>
      <c r="AB76" s="1149">
        <v>12957.0</v>
      </c>
      <c r="AC76" s="320" t="s">
        <v>11295</v>
      </c>
      <c r="AD76" s="388"/>
    </row>
    <row r="77" ht="15.75" customHeight="1">
      <c r="A77" s="776">
        <v>42013.0</v>
      </c>
      <c r="B77" s="844" t="s">
        <v>10926</v>
      </c>
      <c r="C77" s="265" t="s">
        <v>11296</v>
      </c>
      <c r="D77" s="320" t="s">
        <v>11297</v>
      </c>
      <c r="E77" s="340" t="s">
        <v>11263</v>
      </c>
      <c r="F77" s="773">
        <v>4.0</v>
      </c>
      <c r="G77" s="773">
        <v>100.485</v>
      </c>
      <c r="H77" s="466">
        <f t="shared" si="18"/>
        <v>401.94</v>
      </c>
      <c r="I77" s="773">
        <v>3014.55</v>
      </c>
      <c r="J77" s="1149">
        <f>F77*I77</f>
        <v>12058.2</v>
      </c>
      <c r="K77" s="265" t="s">
        <v>11086</v>
      </c>
      <c r="L77" s="599"/>
      <c r="M77" s="832">
        <v>42031.0</v>
      </c>
      <c r="N77" s="832">
        <v>42027.0</v>
      </c>
      <c r="O77" s="333" t="s">
        <v>11033</v>
      </c>
      <c r="P77" s="320" t="s">
        <v>11298</v>
      </c>
      <c r="Q77" s="388"/>
      <c r="R77" s="1149">
        <v>11575.0</v>
      </c>
      <c r="S77" s="320" t="s">
        <v>8689</v>
      </c>
      <c r="T77" s="388"/>
      <c r="U77" s="1139"/>
      <c r="V77" s="1132">
        <v>41659.0</v>
      </c>
      <c r="W77" s="265" t="s">
        <v>11299</v>
      </c>
      <c r="X77" s="1135">
        <v>11575.0</v>
      </c>
      <c r="Y77" s="1132">
        <v>42040.0</v>
      </c>
      <c r="Z77" s="320" t="s">
        <v>11300</v>
      </c>
      <c r="AA77" s="388"/>
      <c r="AB77" s="1149">
        <v>12058.0</v>
      </c>
      <c r="AC77" s="320" t="s">
        <v>11275</v>
      </c>
      <c r="AD77" s="388"/>
    </row>
    <row r="78" ht="15.75" customHeight="1">
      <c r="A78" s="776">
        <v>42013.0</v>
      </c>
      <c r="B78" s="844" t="s">
        <v>10926</v>
      </c>
      <c r="C78" s="265" t="s">
        <v>11301</v>
      </c>
      <c r="D78" s="320" t="s">
        <v>11302</v>
      </c>
      <c r="E78" s="340" t="s">
        <v>11303</v>
      </c>
      <c r="F78" s="773">
        <v>10.0</v>
      </c>
      <c r="G78" s="773">
        <v>76.65</v>
      </c>
      <c r="H78" s="466">
        <f t="shared" si="18"/>
        <v>766.5</v>
      </c>
      <c r="I78" s="388"/>
      <c r="J78" s="388"/>
      <c r="K78" s="265" t="s">
        <v>11086</v>
      </c>
      <c r="L78" s="599"/>
      <c r="M78" s="832">
        <v>42023.0</v>
      </c>
      <c r="N78" s="388"/>
      <c r="O78" s="333" t="s">
        <v>90</v>
      </c>
      <c r="P78" s="265" t="s">
        <v>11304</v>
      </c>
      <c r="Q78" s="773">
        <v>682.5</v>
      </c>
      <c r="R78" s="1146"/>
      <c r="S78" s="320" t="s">
        <v>6081</v>
      </c>
      <c r="T78" s="388"/>
      <c r="U78" s="1139"/>
      <c r="V78" s="1132">
        <v>42023.0</v>
      </c>
      <c r="W78" s="265" t="s">
        <v>11305</v>
      </c>
      <c r="X78" s="1135">
        <v>21772.0</v>
      </c>
      <c r="Y78" s="1132">
        <v>42033.0</v>
      </c>
      <c r="Z78" s="320" t="s">
        <v>11306</v>
      </c>
      <c r="AA78" s="320" t="s">
        <v>11307</v>
      </c>
      <c r="AB78" s="1149">
        <v>24122.0</v>
      </c>
      <c r="AC78" s="320" t="s">
        <v>11295</v>
      </c>
      <c r="AD78" s="388"/>
    </row>
    <row r="79" ht="15.75" customHeight="1">
      <c r="A79" s="776">
        <v>42017.0</v>
      </c>
      <c r="B79" s="844" t="s">
        <v>10926</v>
      </c>
      <c r="C79" s="265" t="s">
        <v>11308</v>
      </c>
      <c r="D79" s="320" t="s">
        <v>11309</v>
      </c>
      <c r="E79" s="340" t="s">
        <v>11310</v>
      </c>
      <c r="F79" s="773">
        <v>1.0</v>
      </c>
      <c r="G79" s="773">
        <v>193.69</v>
      </c>
      <c r="H79" s="466">
        <f t="shared" si="18"/>
        <v>193.69</v>
      </c>
      <c r="I79" s="773">
        <v>5810.0</v>
      </c>
      <c r="J79" s="1149">
        <v>5810.0</v>
      </c>
      <c r="K79" s="265" t="s">
        <v>11086</v>
      </c>
      <c r="L79" s="333" t="s">
        <v>11032</v>
      </c>
      <c r="M79" s="832">
        <v>42019.0</v>
      </c>
      <c r="N79" s="832">
        <v>42019.0</v>
      </c>
      <c r="O79" s="333" t="s">
        <v>11033</v>
      </c>
      <c r="P79" s="320" t="s">
        <v>11311</v>
      </c>
      <c r="Q79" s="388"/>
      <c r="R79" s="1149">
        <v>5625.0</v>
      </c>
      <c r="S79" s="320" t="s">
        <v>8689</v>
      </c>
      <c r="T79" s="388"/>
      <c r="U79" s="1139"/>
      <c r="V79" s="1132">
        <v>42023.0</v>
      </c>
      <c r="W79" s="265" t="s">
        <v>11312</v>
      </c>
      <c r="X79" s="1135">
        <v>22348.0</v>
      </c>
      <c r="Y79" s="1132">
        <v>42040.0</v>
      </c>
      <c r="Z79" s="320" t="s">
        <v>11313</v>
      </c>
      <c r="AA79" s="388"/>
      <c r="AB79" s="1149">
        <v>9210.0</v>
      </c>
      <c r="AC79" s="320" t="s">
        <v>11314</v>
      </c>
      <c r="AD79" s="388"/>
    </row>
    <row r="80" ht="15.75" customHeight="1">
      <c r="A80" s="776">
        <v>42017.0</v>
      </c>
      <c r="B80" s="844" t="s">
        <v>10926</v>
      </c>
      <c r="C80" s="265" t="s">
        <v>11308</v>
      </c>
      <c r="D80" s="320" t="s">
        <v>11309</v>
      </c>
      <c r="E80" s="340" t="s">
        <v>6968</v>
      </c>
      <c r="F80" s="773">
        <v>1.0</v>
      </c>
      <c r="G80" s="773">
        <v>111.65</v>
      </c>
      <c r="H80" s="466">
        <f t="shared" si="18"/>
        <v>111.65</v>
      </c>
      <c r="I80" s="773">
        <v>3349.5</v>
      </c>
      <c r="J80" s="1149">
        <f t="shared" ref="J80:J81" si="19">F80*I80</f>
        <v>3349.5</v>
      </c>
      <c r="K80" s="265" t="s">
        <v>11086</v>
      </c>
      <c r="L80" s="333" t="s">
        <v>11032</v>
      </c>
      <c r="M80" s="832">
        <v>42019.0</v>
      </c>
      <c r="N80" s="832">
        <v>42019.0</v>
      </c>
      <c r="O80" s="333" t="s">
        <v>11033</v>
      </c>
      <c r="P80" s="320" t="s">
        <v>11311</v>
      </c>
      <c r="Q80" s="388"/>
      <c r="R80" s="1149">
        <v>3216.0</v>
      </c>
      <c r="S80" s="320" t="s">
        <v>8689</v>
      </c>
      <c r="T80" s="388"/>
      <c r="U80" s="1139"/>
      <c r="V80" s="265" t="s">
        <v>11315</v>
      </c>
      <c r="W80" s="265" t="s">
        <v>11315</v>
      </c>
      <c r="X80" s="256" t="s">
        <v>11315</v>
      </c>
      <c r="Y80" s="1132">
        <v>42040.0</v>
      </c>
      <c r="Z80" s="320" t="s">
        <v>11316</v>
      </c>
      <c r="AA80" s="388"/>
      <c r="AB80" s="1149" t="s">
        <v>11317</v>
      </c>
      <c r="AC80" s="320" t="s">
        <v>11314</v>
      </c>
      <c r="AD80" s="388"/>
    </row>
    <row r="81" ht="15.75" customHeight="1">
      <c r="A81" s="776">
        <v>42017.0</v>
      </c>
      <c r="B81" s="844" t="s">
        <v>10926</v>
      </c>
      <c r="C81" s="265" t="s">
        <v>11308</v>
      </c>
      <c r="D81" s="320" t="s">
        <v>11318</v>
      </c>
      <c r="E81" s="340" t="s">
        <v>11319</v>
      </c>
      <c r="F81" s="773">
        <v>4.0</v>
      </c>
      <c r="G81" s="773">
        <v>117.25</v>
      </c>
      <c r="H81" s="466">
        <f t="shared" si="18"/>
        <v>469</v>
      </c>
      <c r="I81" s="773">
        <v>3517.5</v>
      </c>
      <c r="J81" s="1149">
        <f t="shared" si="19"/>
        <v>14070</v>
      </c>
      <c r="K81" s="265" t="s">
        <v>11086</v>
      </c>
      <c r="L81" s="599"/>
      <c r="M81" s="832">
        <v>42024.0</v>
      </c>
      <c r="N81" s="832">
        <v>42026.0</v>
      </c>
      <c r="O81" s="333" t="s">
        <v>11033</v>
      </c>
      <c r="P81" s="320" t="s">
        <v>11311</v>
      </c>
      <c r="Q81" s="388"/>
      <c r="R81" s="1149">
        <v>13507.0</v>
      </c>
      <c r="S81" s="320" t="s">
        <v>8689</v>
      </c>
      <c r="T81" s="388"/>
      <c r="U81" s="1139"/>
      <c r="V81" s="265" t="s">
        <v>11315</v>
      </c>
      <c r="W81" s="265" t="s">
        <v>11315</v>
      </c>
      <c r="X81" s="256" t="s">
        <v>11315</v>
      </c>
      <c r="Y81" s="1132">
        <v>42040.0</v>
      </c>
      <c r="Z81" s="320" t="s">
        <v>11320</v>
      </c>
      <c r="AA81" s="388"/>
      <c r="AB81" s="1149">
        <v>14070.0</v>
      </c>
      <c r="AC81" s="320" t="s">
        <v>11321</v>
      </c>
      <c r="AD81" s="388"/>
    </row>
    <row r="82" ht="15.75" customHeight="1">
      <c r="A82" s="776">
        <v>42019.0</v>
      </c>
      <c r="B82" s="844" t="s">
        <v>10926</v>
      </c>
      <c r="C82" s="265" t="s">
        <v>11322</v>
      </c>
      <c r="D82" s="320" t="s">
        <v>11323</v>
      </c>
      <c r="E82" s="340" t="s">
        <v>11290</v>
      </c>
      <c r="F82" s="773">
        <v>1.0</v>
      </c>
      <c r="G82" s="773">
        <v>204.75</v>
      </c>
      <c r="H82" s="466">
        <f t="shared" si="18"/>
        <v>204.75</v>
      </c>
      <c r="I82" s="388"/>
      <c r="J82" s="388"/>
      <c r="K82" s="265" t="s">
        <v>11086</v>
      </c>
      <c r="L82" s="333" t="s">
        <v>90</v>
      </c>
      <c r="M82" s="832">
        <v>42030.0</v>
      </c>
      <c r="N82" s="388"/>
      <c r="O82" s="333" t="s">
        <v>90</v>
      </c>
      <c r="P82" s="265" t="s">
        <v>11324</v>
      </c>
      <c r="Q82" s="773">
        <v>178.5</v>
      </c>
      <c r="R82" s="388"/>
      <c r="S82" s="320" t="s">
        <v>11006</v>
      </c>
      <c r="T82" s="388"/>
      <c r="U82" s="1139"/>
      <c r="V82" s="1132">
        <v>42030.0</v>
      </c>
      <c r="W82" s="265" t="s">
        <v>11325</v>
      </c>
      <c r="X82" s="1135">
        <v>5651.0</v>
      </c>
      <c r="Y82" s="1132">
        <v>42044.0</v>
      </c>
      <c r="Z82" s="320" t="s">
        <v>11326</v>
      </c>
      <c r="AA82" s="320" t="s">
        <v>11274</v>
      </c>
      <c r="AB82" s="1149">
        <v>6405.0</v>
      </c>
      <c r="AC82" s="320" t="s">
        <v>11275</v>
      </c>
      <c r="AD82" s="388"/>
    </row>
    <row r="83" ht="15.75" customHeight="1">
      <c r="A83" s="764">
        <v>42019.0</v>
      </c>
      <c r="B83" s="844" t="s">
        <v>10926</v>
      </c>
      <c r="C83" s="1004" t="s">
        <v>11327</v>
      </c>
      <c r="D83" s="388" t="s">
        <v>11328</v>
      </c>
      <c r="E83" s="599" t="s">
        <v>11329</v>
      </c>
      <c r="F83" s="1137">
        <v>10.0</v>
      </c>
      <c r="G83" s="1137">
        <v>181.65</v>
      </c>
      <c r="H83" s="466">
        <f t="shared" si="18"/>
        <v>1816.5</v>
      </c>
      <c r="I83" s="1137">
        <v>5449.5</v>
      </c>
      <c r="J83" s="1149">
        <f t="shared" ref="J83:J85" si="20">F83*I83</f>
        <v>54495</v>
      </c>
      <c r="K83" s="265" t="s">
        <v>11086</v>
      </c>
      <c r="L83" s="269" t="s">
        <v>10976</v>
      </c>
      <c r="M83" s="832">
        <v>42045.0</v>
      </c>
      <c r="N83" s="832">
        <v>42041.0</v>
      </c>
      <c r="O83" s="269" t="s">
        <v>11033</v>
      </c>
      <c r="P83" s="388" t="s">
        <v>11330</v>
      </c>
      <c r="Q83" s="388"/>
      <c r="R83" s="773">
        <v>52164.0</v>
      </c>
      <c r="S83" s="388" t="s">
        <v>8689</v>
      </c>
      <c r="T83" s="388"/>
      <c r="U83" s="1139"/>
      <c r="V83" s="1144">
        <v>42038.0</v>
      </c>
      <c r="W83" s="388" t="s">
        <v>11331</v>
      </c>
      <c r="X83" s="845">
        <v>52164.0</v>
      </c>
      <c r="Y83" s="1144">
        <v>42074.0</v>
      </c>
      <c r="Z83" s="388" t="s">
        <v>11332</v>
      </c>
      <c r="AA83" s="388"/>
      <c r="AB83" s="1159">
        <v>54495.0</v>
      </c>
      <c r="AC83" s="388" t="s">
        <v>11333</v>
      </c>
      <c r="AD83" s="388"/>
    </row>
    <row r="84" ht="15.75" customHeight="1">
      <c r="A84" s="776">
        <v>42019.0</v>
      </c>
      <c r="B84" s="844" t="s">
        <v>10926</v>
      </c>
      <c r="C84" s="265" t="s">
        <v>11334</v>
      </c>
      <c r="D84" s="320" t="s">
        <v>11335</v>
      </c>
      <c r="E84" s="340" t="s">
        <v>11336</v>
      </c>
      <c r="F84" s="773">
        <v>2.0</v>
      </c>
      <c r="G84" s="773">
        <v>72.17</v>
      </c>
      <c r="H84" s="466">
        <f t="shared" si="18"/>
        <v>144.34</v>
      </c>
      <c r="I84" s="773">
        <v>2165.1</v>
      </c>
      <c r="J84" s="1149">
        <f t="shared" si="20"/>
        <v>4330.2</v>
      </c>
      <c r="K84" s="265" t="s">
        <v>11086</v>
      </c>
      <c r="L84" s="333" t="s">
        <v>10976</v>
      </c>
      <c r="M84" s="832">
        <v>42024.0</v>
      </c>
      <c r="N84" s="832">
        <v>42023.0</v>
      </c>
      <c r="O84" s="333" t="s">
        <v>11033</v>
      </c>
      <c r="P84" s="320" t="s">
        <v>11337</v>
      </c>
      <c r="Q84" s="388"/>
      <c r="R84" s="1149">
        <v>4155.9</v>
      </c>
      <c r="S84" s="320" t="s">
        <v>8689</v>
      </c>
      <c r="T84" s="388"/>
      <c r="U84" s="1139"/>
      <c r="V84" s="1132">
        <v>42023.0</v>
      </c>
      <c r="W84" s="265" t="s">
        <v>11338</v>
      </c>
      <c r="X84" s="1135">
        <v>9224.0</v>
      </c>
      <c r="Y84" s="1132">
        <v>42040.0</v>
      </c>
      <c r="Z84" s="320" t="s">
        <v>11339</v>
      </c>
      <c r="AA84" s="388"/>
      <c r="AB84" s="1149">
        <v>9609.0</v>
      </c>
      <c r="AC84" s="320" t="s">
        <v>11340</v>
      </c>
      <c r="AD84" s="388"/>
    </row>
    <row r="85" ht="15.75" customHeight="1">
      <c r="A85" s="776">
        <v>42019.0</v>
      </c>
      <c r="B85" s="844" t="s">
        <v>10926</v>
      </c>
      <c r="C85" s="265" t="s">
        <v>11334</v>
      </c>
      <c r="D85" s="320" t="s">
        <v>11335</v>
      </c>
      <c r="E85" s="340" t="s">
        <v>11341</v>
      </c>
      <c r="F85" s="773">
        <v>3.0</v>
      </c>
      <c r="G85" s="773">
        <v>58.66</v>
      </c>
      <c r="H85" s="466">
        <f t="shared" si="18"/>
        <v>175.98</v>
      </c>
      <c r="I85" s="773">
        <v>1759.8</v>
      </c>
      <c r="J85" s="1149">
        <f t="shared" si="20"/>
        <v>5279.4</v>
      </c>
      <c r="K85" s="265" t="s">
        <v>11086</v>
      </c>
      <c r="L85" s="333" t="s">
        <v>10976</v>
      </c>
      <c r="M85" s="832">
        <v>42024.0</v>
      </c>
      <c r="N85" s="832">
        <v>42023.0</v>
      </c>
      <c r="O85" s="333" t="s">
        <v>11033</v>
      </c>
      <c r="P85" s="320" t="s">
        <v>11337</v>
      </c>
      <c r="Q85" s="388"/>
      <c r="R85" s="1149">
        <v>5068.35</v>
      </c>
      <c r="S85" s="320" t="s">
        <v>8689</v>
      </c>
      <c r="T85" s="388"/>
      <c r="U85" s="1139"/>
      <c r="V85" s="265" t="s">
        <v>11342</v>
      </c>
      <c r="W85" s="265" t="s">
        <v>11342</v>
      </c>
      <c r="X85" s="256" t="s">
        <v>11342</v>
      </c>
      <c r="Y85" s="1132">
        <v>42040.0</v>
      </c>
      <c r="Z85" s="265" t="s">
        <v>11342</v>
      </c>
      <c r="AA85" s="388"/>
      <c r="AB85" s="265" t="s">
        <v>11342</v>
      </c>
      <c r="AC85" s="320" t="s">
        <v>11340</v>
      </c>
      <c r="AD85" s="388"/>
    </row>
    <row r="86" ht="15.75" customHeight="1">
      <c r="A86" s="776">
        <v>42024.0</v>
      </c>
      <c r="B86" s="844" t="s">
        <v>10926</v>
      </c>
      <c r="C86" s="265" t="s">
        <v>11343</v>
      </c>
      <c r="D86" s="320" t="s">
        <v>11344</v>
      </c>
      <c r="E86" s="340" t="s">
        <v>11345</v>
      </c>
      <c r="F86" s="773">
        <v>20.0</v>
      </c>
      <c r="G86" s="773">
        <v>64.05</v>
      </c>
      <c r="H86" s="466">
        <f t="shared" ref="H86:H92" si="21">G86*F86</f>
        <v>1281</v>
      </c>
      <c r="I86" s="388"/>
      <c r="J86" s="388"/>
      <c r="K86" s="265" t="s">
        <v>11086</v>
      </c>
      <c r="L86" s="333" t="s">
        <v>90</v>
      </c>
      <c r="M86" s="832">
        <v>42030.0</v>
      </c>
      <c r="N86" s="388"/>
      <c r="O86" s="333" t="s">
        <v>90</v>
      </c>
      <c r="P86" s="265" t="s">
        <v>11346</v>
      </c>
      <c r="Q86" s="466">
        <v>1134.0</v>
      </c>
      <c r="R86" s="388"/>
      <c r="S86" s="320" t="s">
        <v>11006</v>
      </c>
      <c r="T86" s="388"/>
      <c r="U86" s="1139"/>
      <c r="V86" s="1132">
        <v>42030.0</v>
      </c>
      <c r="W86" s="265" t="s">
        <v>11347</v>
      </c>
      <c r="X86" s="1135">
        <v>35902.0</v>
      </c>
      <c r="Y86" s="1132">
        <v>42033.0</v>
      </c>
      <c r="Z86" s="320" t="s">
        <v>11348</v>
      </c>
      <c r="AA86" s="320" t="s">
        <v>11274</v>
      </c>
      <c r="AB86" s="1149">
        <v>40070.0</v>
      </c>
      <c r="AC86" s="320" t="s">
        <v>11275</v>
      </c>
      <c r="AD86" s="388"/>
    </row>
    <row r="87" ht="15.75" customHeight="1">
      <c r="A87" s="776">
        <v>42026.0</v>
      </c>
      <c r="B87" s="844" t="s">
        <v>10926</v>
      </c>
      <c r="C87" s="265" t="s">
        <v>11349</v>
      </c>
      <c r="D87" s="320" t="s">
        <v>11350</v>
      </c>
      <c r="E87" s="340" t="s">
        <v>6451</v>
      </c>
      <c r="F87" s="773">
        <v>5.0</v>
      </c>
      <c r="G87" s="773">
        <v>124.25</v>
      </c>
      <c r="H87" s="466">
        <f t="shared" si="21"/>
        <v>621.25</v>
      </c>
      <c r="I87" s="773">
        <v>3727.5</v>
      </c>
      <c r="J87" s="1149">
        <f t="shared" ref="J87:J91" si="22">F87*I87</f>
        <v>18637.5</v>
      </c>
      <c r="K87" s="265" t="s">
        <v>11086</v>
      </c>
      <c r="L87" s="333" t="s">
        <v>10976</v>
      </c>
      <c r="M87" s="832">
        <v>42031.0</v>
      </c>
      <c r="N87" s="832">
        <v>42030.0</v>
      </c>
      <c r="O87" s="333" t="s">
        <v>11033</v>
      </c>
      <c r="P87" s="320" t="s">
        <v>11351</v>
      </c>
      <c r="Q87" s="388"/>
      <c r="R87" s="1149">
        <v>18443.0</v>
      </c>
      <c r="S87" s="320" t="s">
        <v>8689</v>
      </c>
      <c r="T87" s="388"/>
      <c r="U87" s="1139"/>
      <c r="V87" s="1132">
        <v>42030.0</v>
      </c>
      <c r="W87" s="265" t="s">
        <v>11352</v>
      </c>
      <c r="X87" s="1135">
        <v>65419.0</v>
      </c>
      <c r="Y87" s="1132">
        <v>42040.0</v>
      </c>
      <c r="Z87" s="320" t="s">
        <v>11353</v>
      </c>
      <c r="AA87" s="388"/>
      <c r="AB87" s="1149">
        <v>67572.0</v>
      </c>
      <c r="AC87" s="320" t="s">
        <v>11275</v>
      </c>
      <c r="AD87" s="388"/>
    </row>
    <row r="88" ht="15.75" customHeight="1">
      <c r="A88" s="776">
        <v>42026.0</v>
      </c>
      <c r="B88" s="844" t="s">
        <v>10926</v>
      </c>
      <c r="C88" s="265" t="s">
        <v>11349</v>
      </c>
      <c r="D88" s="320" t="s">
        <v>11350</v>
      </c>
      <c r="E88" s="340" t="s">
        <v>11336</v>
      </c>
      <c r="F88" s="773">
        <v>1.0</v>
      </c>
      <c r="G88" s="773">
        <v>72.17</v>
      </c>
      <c r="H88" s="466">
        <f t="shared" si="21"/>
        <v>72.17</v>
      </c>
      <c r="I88" s="773">
        <v>2165.1</v>
      </c>
      <c r="J88" s="1149">
        <f t="shared" si="22"/>
        <v>2165.1</v>
      </c>
      <c r="K88" s="265" t="s">
        <v>11086</v>
      </c>
      <c r="L88" s="333" t="s">
        <v>10976</v>
      </c>
      <c r="M88" s="832">
        <v>42031.0</v>
      </c>
      <c r="N88" s="832">
        <v>42030.0</v>
      </c>
      <c r="O88" s="333" t="s">
        <v>11033</v>
      </c>
      <c r="P88" s="320" t="s">
        <v>11351</v>
      </c>
      <c r="Q88" s="388"/>
      <c r="R88" s="1149">
        <v>2078.0</v>
      </c>
      <c r="S88" s="320" t="s">
        <v>8689</v>
      </c>
      <c r="T88" s="388"/>
      <c r="U88" s="1139"/>
      <c r="V88" s="265" t="s">
        <v>11354</v>
      </c>
      <c r="W88" s="265" t="s">
        <v>11354</v>
      </c>
      <c r="X88" s="388"/>
      <c r="Y88" s="1132">
        <v>42040.0</v>
      </c>
      <c r="Z88" s="265" t="s">
        <v>11355</v>
      </c>
      <c r="AA88" s="388"/>
      <c r="AB88" s="773" t="s">
        <v>11355</v>
      </c>
      <c r="AC88" s="320" t="s">
        <v>11275</v>
      </c>
      <c r="AD88" s="388"/>
    </row>
    <row r="89" ht="15.75" customHeight="1">
      <c r="A89" s="776">
        <v>42026.0</v>
      </c>
      <c r="B89" s="844" t="s">
        <v>10926</v>
      </c>
      <c r="C89" s="265" t="s">
        <v>11349</v>
      </c>
      <c r="D89" s="320" t="s">
        <v>11350</v>
      </c>
      <c r="E89" s="340" t="s">
        <v>11356</v>
      </c>
      <c r="F89" s="773">
        <v>1.0</v>
      </c>
      <c r="G89" s="773">
        <v>147.28</v>
      </c>
      <c r="H89" s="466">
        <f t="shared" si="21"/>
        <v>147.28</v>
      </c>
      <c r="I89" s="773">
        <v>4418.4</v>
      </c>
      <c r="J89" s="1149">
        <f t="shared" si="22"/>
        <v>4418.4</v>
      </c>
      <c r="K89" s="265" t="s">
        <v>11086</v>
      </c>
      <c r="L89" s="333" t="s">
        <v>10976</v>
      </c>
      <c r="M89" s="832">
        <v>42031.0</v>
      </c>
      <c r="N89" s="832">
        <v>42030.0</v>
      </c>
      <c r="O89" s="333" t="s">
        <v>11033</v>
      </c>
      <c r="P89" s="320" t="s">
        <v>11351</v>
      </c>
      <c r="Q89" s="388"/>
      <c r="R89" s="1149">
        <v>4242.0</v>
      </c>
      <c r="S89" s="320" t="s">
        <v>8689</v>
      </c>
      <c r="T89" s="388"/>
      <c r="U89" s="1139"/>
      <c r="V89" s="265" t="s">
        <v>11354</v>
      </c>
      <c r="W89" s="265" t="s">
        <v>11354</v>
      </c>
      <c r="X89" s="388"/>
      <c r="Y89" s="1132">
        <v>42040.0</v>
      </c>
      <c r="Z89" s="265" t="s">
        <v>11355</v>
      </c>
      <c r="AA89" s="388"/>
      <c r="AB89" s="773" t="s">
        <v>11355</v>
      </c>
      <c r="AC89" s="320" t="s">
        <v>11275</v>
      </c>
      <c r="AD89" s="388"/>
    </row>
    <row r="90" ht="15.75" customHeight="1">
      <c r="A90" s="776">
        <v>42026.0</v>
      </c>
      <c r="B90" s="844" t="s">
        <v>10926</v>
      </c>
      <c r="C90" s="265" t="s">
        <v>11349</v>
      </c>
      <c r="D90" s="320" t="s">
        <v>11350</v>
      </c>
      <c r="E90" s="340" t="s">
        <v>11357</v>
      </c>
      <c r="F90" s="773">
        <v>2.0</v>
      </c>
      <c r="G90" s="773">
        <v>270.515</v>
      </c>
      <c r="H90" s="466">
        <f t="shared" si="21"/>
        <v>541.03</v>
      </c>
      <c r="I90" s="773">
        <v>8115.45</v>
      </c>
      <c r="J90" s="1149">
        <f t="shared" si="22"/>
        <v>16230.9</v>
      </c>
      <c r="K90" s="265" t="s">
        <v>11086</v>
      </c>
      <c r="L90" s="333" t="s">
        <v>10976</v>
      </c>
      <c r="M90" s="832">
        <v>42031.0</v>
      </c>
      <c r="N90" s="832">
        <v>42030.0</v>
      </c>
      <c r="O90" s="333" t="s">
        <v>11033</v>
      </c>
      <c r="P90" s="320" t="s">
        <v>11351</v>
      </c>
      <c r="Q90" s="388"/>
      <c r="R90" s="1149">
        <v>15582.0</v>
      </c>
      <c r="S90" s="320" t="s">
        <v>8689</v>
      </c>
      <c r="T90" s="388"/>
      <c r="U90" s="1139"/>
      <c r="V90" s="265" t="s">
        <v>11354</v>
      </c>
      <c r="W90" s="265" t="s">
        <v>11354</v>
      </c>
      <c r="X90" s="388"/>
      <c r="Y90" s="1132">
        <v>42040.0</v>
      </c>
      <c r="Z90" s="265" t="s">
        <v>11355</v>
      </c>
      <c r="AA90" s="388"/>
      <c r="AB90" s="773" t="s">
        <v>11355</v>
      </c>
      <c r="AC90" s="320" t="s">
        <v>11275</v>
      </c>
      <c r="AD90" s="388"/>
    </row>
    <row r="91" ht="15.75" customHeight="1">
      <c r="A91" s="776">
        <v>42026.0</v>
      </c>
      <c r="B91" s="844" t="s">
        <v>10926</v>
      </c>
      <c r="C91" s="265" t="s">
        <v>11349</v>
      </c>
      <c r="D91" s="320" t="s">
        <v>11350</v>
      </c>
      <c r="E91" s="340" t="s">
        <v>11358</v>
      </c>
      <c r="F91" s="773">
        <v>6.0</v>
      </c>
      <c r="G91" s="773">
        <v>145.11</v>
      </c>
      <c r="H91" s="466">
        <f t="shared" si="21"/>
        <v>870.66</v>
      </c>
      <c r="I91" s="773">
        <v>4353.3</v>
      </c>
      <c r="J91" s="1149">
        <f t="shared" si="22"/>
        <v>26119.8</v>
      </c>
      <c r="K91" s="265" t="s">
        <v>11086</v>
      </c>
      <c r="L91" s="333" t="s">
        <v>10976</v>
      </c>
      <c r="M91" s="832">
        <v>42031.0</v>
      </c>
      <c r="N91" s="832">
        <v>42030.0</v>
      </c>
      <c r="O91" s="333" t="s">
        <v>11033</v>
      </c>
      <c r="P91" s="320" t="s">
        <v>11351</v>
      </c>
      <c r="Q91" s="388"/>
      <c r="R91" s="1149">
        <v>25074.0</v>
      </c>
      <c r="S91" s="320" t="s">
        <v>8689</v>
      </c>
      <c r="T91" s="388"/>
      <c r="U91" s="1139"/>
      <c r="V91" s="265" t="s">
        <v>11354</v>
      </c>
      <c r="W91" s="265" t="s">
        <v>11354</v>
      </c>
      <c r="X91" s="388"/>
      <c r="Y91" s="1132">
        <v>42040.0</v>
      </c>
      <c r="Z91" s="265" t="s">
        <v>11355</v>
      </c>
      <c r="AA91" s="388"/>
      <c r="AB91" s="773" t="s">
        <v>11355</v>
      </c>
      <c r="AC91" s="320" t="s">
        <v>11275</v>
      </c>
      <c r="AD91" s="388"/>
    </row>
    <row r="92" ht="15.75" customHeight="1">
      <c r="A92" s="764">
        <v>42026.0</v>
      </c>
      <c r="B92" s="844" t="s">
        <v>10926</v>
      </c>
      <c r="C92" s="1004" t="s">
        <v>11359</v>
      </c>
      <c r="D92" s="388" t="s">
        <v>11360</v>
      </c>
      <c r="E92" s="599" t="s">
        <v>11290</v>
      </c>
      <c r="F92" s="1137">
        <v>20.0</v>
      </c>
      <c r="G92" s="1137">
        <v>204.75</v>
      </c>
      <c r="H92" s="466">
        <f t="shared" si="21"/>
        <v>4095</v>
      </c>
      <c r="I92" s="388"/>
      <c r="J92" s="388"/>
      <c r="K92" s="265" t="s">
        <v>11086</v>
      </c>
      <c r="L92" s="269" t="s">
        <v>90</v>
      </c>
      <c r="M92" s="832">
        <v>42037.0</v>
      </c>
      <c r="N92" s="388"/>
      <c r="O92" s="269" t="s">
        <v>90</v>
      </c>
      <c r="P92" s="265" t="s">
        <v>11361</v>
      </c>
      <c r="Q92" s="466">
        <v>3570.0</v>
      </c>
      <c r="R92" s="388"/>
      <c r="S92" s="388" t="s">
        <v>11006</v>
      </c>
      <c r="T92" s="388"/>
      <c r="U92" s="1139"/>
      <c r="V92" s="1144">
        <v>42037.0</v>
      </c>
      <c r="W92" s="1004" t="s">
        <v>11362</v>
      </c>
      <c r="X92" s="845">
        <v>111563.0</v>
      </c>
      <c r="Y92" s="1144">
        <v>42044.0</v>
      </c>
      <c r="Z92" s="388" t="s">
        <v>11363</v>
      </c>
      <c r="AA92" s="388" t="s">
        <v>11364</v>
      </c>
      <c r="AB92" s="1159">
        <v>129320.0</v>
      </c>
      <c r="AC92" s="388"/>
      <c r="AD92" s="388"/>
    </row>
    <row r="93" ht="15.75" customHeight="1">
      <c r="A93" s="764">
        <v>42030.0</v>
      </c>
      <c r="B93" s="844" t="s">
        <v>10926</v>
      </c>
      <c r="C93" s="1004" t="s">
        <v>11365</v>
      </c>
      <c r="D93" s="388" t="s">
        <v>11366</v>
      </c>
      <c r="E93" s="599" t="s">
        <v>6451</v>
      </c>
      <c r="F93" s="1137">
        <v>10.0</v>
      </c>
      <c r="G93" s="325">
        <v>122.070967741935</v>
      </c>
      <c r="H93" s="466">
        <f t="shared" ref="H93:H98" si="23">F93*G93</f>
        <v>1220.709677</v>
      </c>
      <c r="I93" s="1245">
        <v>3784.2</v>
      </c>
      <c r="J93" s="1149">
        <f t="shared" ref="J93:J98" si="24">F93*I93</f>
        <v>37842</v>
      </c>
      <c r="K93" s="265" t="s">
        <v>11086</v>
      </c>
      <c r="L93" s="269" t="s">
        <v>10976</v>
      </c>
      <c r="M93" s="832">
        <v>42038.0</v>
      </c>
      <c r="N93" s="832">
        <v>42038.0</v>
      </c>
      <c r="O93" s="269" t="s">
        <v>11033</v>
      </c>
      <c r="P93" s="388" t="s">
        <v>11367</v>
      </c>
      <c r="Q93" s="388"/>
      <c r="R93" s="773">
        <v>36887.0</v>
      </c>
      <c r="S93" s="388" t="s">
        <v>8689</v>
      </c>
      <c r="T93" s="388"/>
      <c r="U93" s="1139"/>
      <c r="V93" s="1144">
        <v>42037.0</v>
      </c>
      <c r="W93" s="388" t="s">
        <v>11368</v>
      </c>
      <c r="X93" s="845">
        <v>71756.0</v>
      </c>
      <c r="Y93" s="1144">
        <v>42074.0</v>
      </c>
      <c r="Z93" s="388" t="s">
        <v>11369</v>
      </c>
      <c r="AA93" s="388"/>
      <c r="AB93" s="1159">
        <v>73746.0</v>
      </c>
      <c r="AC93" s="388" t="s">
        <v>11370</v>
      </c>
      <c r="AD93" s="388"/>
    </row>
    <row r="94" ht="15.75" customHeight="1">
      <c r="A94" s="764">
        <v>42030.0</v>
      </c>
      <c r="B94" s="844" t="s">
        <v>10926</v>
      </c>
      <c r="C94" s="1004" t="s">
        <v>11365</v>
      </c>
      <c r="D94" s="388" t="s">
        <v>11366</v>
      </c>
      <c r="E94" s="599" t="s">
        <v>7014</v>
      </c>
      <c r="F94" s="1137">
        <v>2.0</v>
      </c>
      <c r="G94" s="325">
        <v>53.3129032258064</v>
      </c>
      <c r="H94" s="466">
        <f t="shared" si="23"/>
        <v>106.6258065</v>
      </c>
      <c r="I94" s="1245">
        <v>1652.7</v>
      </c>
      <c r="J94" s="1149">
        <f t="shared" si="24"/>
        <v>3305.4</v>
      </c>
      <c r="K94" s="265" t="s">
        <v>11086</v>
      </c>
      <c r="L94" s="269" t="s">
        <v>10976</v>
      </c>
      <c r="M94" s="832">
        <v>42038.0</v>
      </c>
      <c r="N94" s="832">
        <v>42038.0</v>
      </c>
      <c r="O94" s="269" t="s">
        <v>11033</v>
      </c>
      <c r="P94" s="388" t="s">
        <v>11367</v>
      </c>
      <c r="Q94" s="388"/>
      <c r="R94" s="773">
        <v>3221.0</v>
      </c>
      <c r="S94" s="388" t="s">
        <v>8689</v>
      </c>
      <c r="T94" s="388"/>
      <c r="U94" s="1139"/>
      <c r="V94" s="1144">
        <v>42037.0</v>
      </c>
      <c r="W94" s="388" t="s">
        <v>11368</v>
      </c>
      <c r="X94" s="845" t="s">
        <v>8836</v>
      </c>
      <c r="Y94" s="1144">
        <v>42074.0</v>
      </c>
      <c r="Z94" s="388" t="s">
        <v>11369</v>
      </c>
      <c r="AA94" s="388"/>
      <c r="AB94" s="1137" t="s">
        <v>8836</v>
      </c>
      <c r="AC94" s="388" t="s">
        <v>11370</v>
      </c>
      <c r="AD94" s="388"/>
    </row>
    <row r="95" ht="15.75" customHeight="1">
      <c r="A95" s="764">
        <v>42030.0</v>
      </c>
      <c r="B95" s="844" t="s">
        <v>10926</v>
      </c>
      <c r="C95" s="1004" t="s">
        <v>11365</v>
      </c>
      <c r="D95" s="388" t="s">
        <v>11366</v>
      </c>
      <c r="E95" s="599" t="s">
        <v>6194</v>
      </c>
      <c r="F95" s="1137">
        <v>2.0</v>
      </c>
      <c r="G95" s="325">
        <v>82.8822580645161</v>
      </c>
      <c r="H95" s="466">
        <f t="shared" si="23"/>
        <v>165.7645161</v>
      </c>
      <c r="I95" s="1246">
        <v>2569.35</v>
      </c>
      <c r="J95" s="1149">
        <f t="shared" si="24"/>
        <v>5138.7</v>
      </c>
      <c r="K95" s="265" t="s">
        <v>11086</v>
      </c>
      <c r="L95" s="269" t="s">
        <v>10976</v>
      </c>
      <c r="M95" s="832">
        <v>42038.0</v>
      </c>
      <c r="N95" s="832">
        <v>42038.0</v>
      </c>
      <c r="O95" s="269" t="s">
        <v>11033</v>
      </c>
      <c r="P95" s="388" t="s">
        <v>11367</v>
      </c>
      <c r="Q95" s="388"/>
      <c r="R95" s="320" t="s">
        <v>11371</v>
      </c>
      <c r="S95" s="388" t="s">
        <v>8689</v>
      </c>
      <c r="T95" s="388"/>
      <c r="U95" s="1139"/>
      <c r="V95" s="1144">
        <v>42037.0</v>
      </c>
      <c r="W95" s="388" t="s">
        <v>11368</v>
      </c>
      <c r="X95" s="845" t="s">
        <v>8836</v>
      </c>
      <c r="Y95" s="1144">
        <v>42074.0</v>
      </c>
      <c r="Z95" s="388" t="s">
        <v>11369</v>
      </c>
      <c r="AA95" s="388"/>
      <c r="AB95" s="1137" t="s">
        <v>8836</v>
      </c>
      <c r="AC95" s="388" t="s">
        <v>11370</v>
      </c>
      <c r="AD95" s="388"/>
    </row>
    <row r="96" ht="15.75" customHeight="1">
      <c r="A96" s="764">
        <v>42030.0</v>
      </c>
      <c r="B96" s="844" t="s">
        <v>10926</v>
      </c>
      <c r="C96" s="1004" t="s">
        <v>11365</v>
      </c>
      <c r="D96" s="388" t="s">
        <v>11366</v>
      </c>
      <c r="E96" s="599" t="s">
        <v>3676</v>
      </c>
      <c r="F96" s="1137">
        <v>10.0</v>
      </c>
      <c r="G96" s="325">
        <v>44.3032258064516</v>
      </c>
      <c r="H96" s="466">
        <f t="shared" si="23"/>
        <v>443.0322581</v>
      </c>
      <c r="I96" s="1245">
        <v>1373.4</v>
      </c>
      <c r="J96" s="1149">
        <f t="shared" si="24"/>
        <v>13734</v>
      </c>
      <c r="K96" s="265" t="s">
        <v>11086</v>
      </c>
      <c r="L96" s="269" t="s">
        <v>10976</v>
      </c>
      <c r="M96" s="832">
        <v>42038.0</v>
      </c>
      <c r="N96" s="832">
        <v>42038.0</v>
      </c>
      <c r="O96" s="269" t="s">
        <v>11033</v>
      </c>
      <c r="P96" s="388" t="s">
        <v>11367</v>
      </c>
      <c r="Q96" s="388"/>
      <c r="R96" s="773">
        <v>13419.0</v>
      </c>
      <c r="S96" s="388" t="s">
        <v>8689</v>
      </c>
      <c r="T96" s="388"/>
      <c r="U96" s="1139"/>
      <c r="V96" s="1144">
        <v>42037.0</v>
      </c>
      <c r="W96" s="388" t="s">
        <v>11368</v>
      </c>
      <c r="X96" s="845" t="s">
        <v>8836</v>
      </c>
      <c r="Y96" s="1144">
        <v>42074.0</v>
      </c>
      <c r="Z96" s="388" t="s">
        <v>11369</v>
      </c>
      <c r="AA96" s="388"/>
      <c r="AB96" s="1137" t="s">
        <v>8836</v>
      </c>
      <c r="AC96" s="388" t="s">
        <v>11370</v>
      </c>
      <c r="AD96" s="388"/>
    </row>
    <row r="97" ht="15.75" customHeight="1">
      <c r="A97" s="764">
        <v>42030.0</v>
      </c>
      <c r="B97" s="844" t="s">
        <v>10926</v>
      </c>
      <c r="C97" s="1004" t="s">
        <v>11365</v>
      </c>
      <c r="D97" s="388" t="s">
        <v>11366</v>
      </c>
      <c r="E97" s="599" t="s">
        <v>7196</v>
      </c>
      <c r="F97" s="1137">
        <v>3.0</v>
      </c>
      <c r="G97" s="325">
        <v>123.933870967742</v>
      </c>
      <c r="H97" s="466">
        <f t="shared" si="23"/>
        <v>371.8016129</v>
      </c>
      <c r="I97" s="1246">
        <v>3841.95</v>
      </c>
      <c r="J97" s="1149">
        <f t="shared" si="24"/>
        <v>11525.85</v>
      </c>
      <c r="K97" s="265" t="s">
        <v>11086</v>
      </c>
      <c r="L97" s="269" t="s">
        <v>10976</v>
      </c>
      <c r="M97" s="832">
        <v>42038.0</v>
      </c>
      <c r="N97" s="832">
        <v>42038.0</v>
      </c>
      <c r="O97" s="269" t="s">
        <v>11033</v>
      </c>
      <c r="P97" s="388" t="s">
        <v>11367</v>
      </c>
      <c r="Q97" s="388"/>
      <c r="R97" s="773">
        <v>11066.0</v>
      </c>
      <c r="S97" s="388" t="s">
        <v>8689</v>
      </c>
      <c r="T97" s="388"/>
      <c r="U97" s="1139"/>
      <c r="V97" s="1144">
        <v>42037.0</v>
      </c>
      <c r="W97" s="388" t="s">
        <v>11368</v>
      </c>
      <c r="X97" s="845" t="s">
        <v>8836</v>
      </c>
      <c r="Y97" s="1144">
        <v>42074.0</v>
      </c>
      <c r="Z97" s="388" t="s">
        <v>11369</v>
      </c>
      <c r="AA97" s="388"/>
      <c r="AB97" s="1137" t="s">
        <v>8836</v>
      </c>
      <c r="AC97" s="388" t="s">
        <v>11370</v>
      </c>
      <c r="AD97" s="388"/>
    </row>
    <row r="98" ht="15.75" customHeight="1">
      <c r="A98" s="764">
        <v>42030.0</v>
      </c>
      <c r="B98" s="844" t="s">
        <v>10926</v>
      </c>
      <c r="C98" s="1004" t="s">
        <v>11365</v>
      </c>
      <c r="D98" s="388" t="s">
        <v>11366</v>
      </c>
      <c r="E98" s="599" t="s">
        <v>4196</v>
      </c>
      <c r="F98" s="1137">
        <v>1.0</v>
      </c>
      <c r="G98" s="325">
        <v>70.9596774193548</v>
      </c>
      <c r="H98" s="466">
        <f t="shared" si="23"/>
        <v>70.95967742</v>
      </c>
      <c r="I98" s="1246">
        <v>2199.75</v>
      </c>
      <c r="J98" s="1149">
        <f t="shared" si="24"/>
        <v>2199.75</v>
      </c>
      <c r="K98" s="265" t="s">
        <v>11086</v>
      </c>
      <c r="L98" s="269" t="s">
        <v>10976</v>
      </c>
      <c r="M98" s="832">
        <v>42038.0</v>
      </c>
      <c r="N98" s="832">
        <v>42038.0</v>
      </c>
      <c r="O98" s="269" t="s">
        <v>11033</v>
      </c>
      <c r="P98" s="388" t="s">
        <v>11367</v>
      </c>
      <c r="Q98" s="388"/>
      <c r="R98" s="773">
        <v>2150.0</v>
      </c>
      <c r="S98" s="388" t="s">
        <v>8689</v>
      </c>
      <c r="T98" s="388"/>
      <c r="U98" s="1139"/>
      <c r="V98" s="1144">
        <v>42037.0</v>
      </c>
      <c r="W98" s="388" t="s">
        <v>11368</v>
      </c>
      <c r="X98" s="845" t="s">
        <v>8836</v>
      </c>
      <c r="Y98" s="1144">
        <v>42074.0</v>
      </c>
      <c r="Z98" s="388" t="s">
        <v>11369</v>
      </c>
      <c r="AA98" s="388"/>
      <c r="AB98" s="1137" t="s">
        <v>8836</v>
      </c>
      <c r="AC98" s="388" t="s">
        <v>11370</v>
      </c>
      <c r="AD98" s="388"/>
    </row>
    <row r="99" ht="15.75" customHeight="1">
      <c r="A99" s="764">
        <v>42046.0</v>
      </c>
      <c r="B99" s="844" t="s">
        <v>10926</v>
      </c>
      <c r="C99" s="1004" t="s">
        <v>11372</v>
      </c>
      <c r="D99" s="388" t="s">
        <v>11373</v>
      </c>
      <c r="E99" s="599" t="s">
        <v>11310</v>
      </c>
      <c r="F99" s="1137">
        <v>2.0</v>
      </c>
      <c r="G99" s="1137">
        <v>184.4</v>
      </c>
      <c r="H99" s="466">
        <f>G99*F99</f>
        <v>368.8</v>
      </c>
      <c r="I99" s="1137">
        <v>5810.0</v>
      </c>
      <c r="J99" s="466">
        <f t="shared" ref="J99:J100" si="25">I99*F99</f>
        <v>11620</v>
      </c>
      <c r="K99" s="265" t="s">
        <v>11086</v>
      </c>
      <c r="L99" s="269" t="s">
        <v>10976</v>
      </c>
      <c r="M99" s="832">
        <v>42059.0</v>
      </c>
      <c r="N99" s="832">
        <v>42048.0</v>
      </c>
      <c r="O99" s="269" t="s">
        <v>11033</v>
      </c>
      <c r="P99" s="1004" t="s">
        <v>11374</v>
      </c>
      <c r="Q99" s="388"/>
      <c r="R99" s="773">
        <v>11250.0</v>
      </c>
      <c r="S99" s="388" t="s">
        <v>8689</v>
      </c>
      <c r="T99" s="388"/>
      <c r="U99" s="1139"/>
      <c r="V99" s="1144">
        <v>42047.0</v>
      </c>
      <c r="W99" s="1004" t="s">
        <v>11375</v>
      </c>
      <c r="X99" s="845">
        <v>11250.0</v>
      </c>
      <c r="Y99" s="1144">
        <v>42074.0</v>
      </c>
      <c r="Z99" s="388" t="s">
        <v>11376</v>
      </c>
      <c r="AA99" s="388"/>
      <c r="AB99" s="1159">
        <v>11619.0</v>
      </c>
      <c r="AC99" s="388" t="s">
        <v>11377</v>
      </c>
      <c r="AD99" s="388"/>
    </row>
    <row r="100" ht="15.75" customHeight="1">
      <c r="A100" s="764">
        <v>42047.0</v>
      </c>
      <c r="B100" s="844" t="s">
        <v>10926</v>
      </c>
      <c r="C100" s="1004" t="s">
        <v>11378</v>
      </c>
      <c r="D100" s="388" t="s">
        <v>11379</v>
      </c>
      <c r="E100" s="599" t="s">
        <v>11329</v>
      </c>
      <c r="F100" s="1137">
        <v>10.0</v>
      </c>
      <c r="G100" s="1137">
        <v>172.466</v>
      </c>
      <c r="H100" s="466">
        <v>1742.67</v>
      </c>
      <c r="I100" s="1137">
        <v>5432.7</v>
      </c>
      <c r="J100" s="466">
        <f t="shared" si="25"/>
        <v>54327</v>
      </c>
      <c r="K100" s="265" t="s">
        <v>11086</v>
      </c>
      <c r="L100" s="269" t="s">
        <v>10976</v>
      </c>
      <c r="M100" s="832">
        <v>42080.0</v>
      </c>
      <c r="N100" s="1247">
        <v>42073.0</v>
      </c>
      <c r="O100" s="269" t="s">
        <v>11033</v>
      </c>
      <c r="P100" s="1004" t="s">
        <v>11380</v>
      </c>
      <c r="Q100" s="388"/>
      <c r="R100" s="773">
        <v>52164.0</v>
      </c>
      <c r="S100" s="388" t="s">
        <v>8689</v>
      </c>
      <c r="T100" s="388"/>
      <c r="U100" s="1139"/>
      <c r="V100" s="1132">
        <v>42069.0</v>
      </c>
      <c r="W100" s="388" t="s">
        <v>11381</v>
      </c>
      <c r="X100" s="845">
        <v>52164.0</v>
      </c>
      <c r="Y100" s="1144">
        <v>42096.0</v>
      </c>
      <c r="Z100" s="388" t="s">
        <v>11382</v>
      </c>
      <c r="AA100" s="388"/>
      <c r="AB100" s="1159">
        <v>54327.0</v>
      </c>
      <c r="AC100" s="388" t="s">
        <v>11383</v>
      </c>
      <c r="AD100" s="388"/>
    </row>
    <row r="101" ht="15.75" customHeight="1">
      <c r="A101" s="764">
        <v>42051.0</v>
      </c>
      <c r="B101" s="844" t="s">
        <v>10926</v>
      </c>
      <c r="C101" s="1004" t="s">
        <v>11384</v>
      </c>
      <c r="D101" s="388" t="s">
        <v>11385</v>
      </c>
      <c r="E101" s="599" t="s">
        <v>7065</v>
      </c>
      <c r="F101" s="1137">
        <v>10.0</v>
      </c>
      <c r="G101" s="1137">
        <v>142.8</v>
      </c>
      <c r="H101" s="466">
        <f t="shared" ref="H101:H103" si="26">G101*F101</f>
        <v>1428</v>
      </c>
      <c r="I101" s="388"/>
      <c r="J101" s="388"/>
      <c r="K101" s="265" t="s">
        <v>11086</v>
      </c>
      <c r="L101" s="599"/>
      <c r="M101" s="832">
        <v>42072.0</v>
      </c>
      <c r="N101" s="388"/>
      <c r="O101" s="269" t="s">
        <v>90</v>
      </c>
      <c r="P101" s="1004" t="s">
        <v>11386</v>
      </c>
      <c r="Q101" s="773">
        <v>1344.0</v>
      </c>
      <c r="R101" s="388"/>
      <c r="S101" s="388" t="s">
        <v>11006</v>
      </c>
      <c r="T101" s="388"/>
      <c r="U101" s="1139"/>
      <c r="V101" s="1132">
        <v>42072.0</v>
      </c>
      <c r="W101" s="265" t="s">
        <v>11387</v>
      </c>
      <c r="X101" s="1135">
        <v>64590.0</v>
      </c>
      <c r="Y101" s="1144">
        <v>42074.0</v>
      </c>
      <c r="Z101" s="388" t="s">
        <v>11388</v>
      </c>
      <c r="AA101" s="388" t="s">
        <v>11389</v>
      </c>
      <c r="AB101" s="1159">
        <v>69964.0</v>
      </c>
      <c r="AC101" s="388" t="s">
        <v>11390</v>
      </c>
      <c r="AD101" s="388"/>
    </row>
    <row r="102" ht="15.75" customHeight="1">
      <c r="A102" s="764">
        <v>42051.0</v>
      </c>
      <c r="B102" s="844" t="s">
        <v>10926</v>
      </c>
      <c r="C102" s="1004" t="s">
        <v>11384</v>
      </c>
      <c r="D102" s="388" t="s">
        <v>11385</v>
      </c>
      <c r="E102" s="599" t="s">
        <v>4808</v>
      </c>
      <c r="F102" s="1137">
        <v>10.0</v>
      </c>
      <c r="G102" s="1137">
        <v>3.15</v>
      </c>
      <c r="H102" s="466">
        <f t="shared" si="26"/>
        <v>31.5</v>
      </c>
      <c r="I102" s="388"/>
      <c r="J102" s="388"/>
      <c r="K102" s="265" t="s">
        <v>11086</v>
      </c>
      <c r="L102" s="599"/>
      <c r="M102" s="832">
        <v>42072.0</v>
      </c>
      <c r="N102" s="388"/>
      <c r="O102" s="269" t="s">
        <v>90</v>
      </c>
      <c r="P102" s="1004" t="s">
        <v>11386</v>
      </c>
      <c r="Q102" s="773">
        <v>31.5</v>
      </c>
      <c r="R102" s="388"/>
      <c r="S102" s="388" t="s">
        <v>11006</v>
      </c>
      <c r="T102" s="388"/>
      <c r="U102" s="1139"/>
      <c r="V102" s="1132">
        <v>42072.0</v>
      </c>
      <c r="W102" s="265" t="s">
        <v>11387</v>
      </c>
      <c r="X102" s="256" t="s">
        <v>8836</v>
      </c>
      <c r="Y102" s="1144">
        <v>42074.0</v>
      </c>
      <c r="Z102" s="388" t="s">
        <v>11388</v>
      </c>
      <c r="AA102" s="388" t="s">
        <v>11389</v>
      </c>
      <c r="AB102" s="1137" t="s">
        <v>8836</v>
      </c>
      <c r="AC102" s="388" t="s">
        <v>11390</v>
      </c>
      <c r="AD102" s="388"/>
    </row>
    <row r="103" ht="15.75" customHeight="1">
      <c r="A103" s="764">
        <v>42051.0</v>
      </c>
      <c r="B103" s="844" t="s">
        <v>10926</v>
      </c>
      <c r="C103" s="1004" t="s">
        <v>11384</v>
      </c>
      <c r="D103" s="388" t="s">
        <v>11385</v>
      </c>
      <c r="E103" s="599" t="s">
        <v>11391</v>
      </c>
      <c r="F103" s="1137">
        <v>10.0</v>
      </c>
      <c r="G103" s="1137">
        <v>76.65</v>
      </c>
      <c r="H103" s="466">
        <f t="shared" si="26"/>
        <v>766.5</v>
      </c>
      <c r="I103" s="388"/>
      <c r="J103" s="388"/>
      <c r="K103" s="265" t="s">
        <v>11086</v>
      </c>
      <c r="L103" s="599"/>
      <c r="M103" s="832">
        <v>42072.0</v>
      </c>
      <c r="N103" s="388"/>
      <c r="O103" s="269" t="s">
        <v>90</v>
      </c>
      <c r="P103" s="1004" t="s">
        <v>11386</v>
      </c>
      <c r="Q103" s="773">
        <v>682.5</v>
      </c>
      <c r="R103" s="388"/>
      <c r="S103" s="388" t="s">
        <v>11006</v>
      </c>
      <c r="T103" s="388"/>
      <c r="U103" s="1139"/>
      <c r="V103" s="1132">
        <v>42072.0</v>
      </c>
      <c r="W103" s="265" t="s">
        <v>11387</v>
      </c>
      <c r="X103" s="256" t="s">
        <v>8836</v>
      </c>
      <c r="Y103" s="1144">
        <v>42074.0</v>
      </c>
      <c r="Z103" s="388" t="s">
        <v>11388</v>
      </c>
      <c r="AA103" s="388" t="s">
        <v>11389</v>
      </c>
      <c r="AB103" s="1137" t="s">
        <v>8836</v>
      </c>
      <c r="AC103" s="388" t="s">
        <v>11390</v>
      </c>
      <c r="AD103" s="388"/>
    </row>
    <row r="104" ht="15.75" customHeight="1">
      <c r="A104" s="764">
        <v>42059.0</v>
      </c>
      <c r="B104" s="844" t="s">
        <v>10926</v>
      </c>
      <c r="C104" s="1004" t="s">
        <v>11392</v>
      </c>
      <c r="D104" s="388" t="s">
        <v>11393</v>
      </c>
      <c r="E104" s="599" t="s">
        <v>11263</v>
      </c>
      <c r="F104" s="1137">
        <v>14.0</v>
      </c>
      <c r="G104" s="1137">
        <v>103.88</v>
      </c>
      <c r="H104" s="466">
        <f>F104*G104</f>
        <v>1454.32</v>
      </c>
      <c r="I104" s="1137">
        <v>3116.4</v>
      </c>
      <c r="J104" s="466">
        <f t="shared" ref="J104:J116" si="27">I104*F104</f>
        <v>43629.6</v>
      </c>
      <c r="K104" s="265" t="s">
        <v>11086</v>
      </c>
      <c r="L104" s="599"/>
      <c r="M104" s="832">
        <v>42066.0</v>
      </c>
      <c r="N104" s="832">
        <v>42061.0</v>
      </c>
      <c r="O104" s="269" t="s">
        <v>11033</v>
      </c>
      <c r="P104" s="1004" t="s">
        <v>11394</v>
      </c>
      <c r="Q104" s="388"/>
      <c r="R104" s="773">
        <v>40513.0</v>
      </c>
      <c r="S104" s="388" t="s">
        <v>8689</v>
      </c>
      <c r="T104" s="388"/>
      <c r="U104" s="1139"/>
      <c r="V104" s="1144">
        <v>42061.0</v>
      </c>
      <c r="W104" s="388" t="s">
        <v>11395</v>
      </c>
      <c r="X104" s="845">
        <v>40513.0</v>
      </c>
      <c r="Y104" s="1144">
        <v>42096.0</v>
      </c>
      <c r="Z104" s="388" t="s">
        <v>11396</v>
      </c>
      <c r="AA104" s="388"/>
      <c r="AB104" s="1159">
        <v>43630.0</v>
      </c>
      <c r="AC104" s="388" t="s">
        <v>11397</v>
      </c>
      <c r="AD104" s="388"/>
    </row>
    <row r="105" ht="15.75" customHeight="1">
      <c r="A105" s="764">
        <v>42060.0</v>
      </c>
      <c r="B105" s="844" t="s">
        <v>10926</v>
      </c>
      <c r="C105" s="1004" t="s">
        <v>11398</v>
      </c>
      <c r="D105" s="388" t="s">
        <v>11399</v>
      </c>
      <c r="E105" s="599" t="s">
        <v>3671</v>
      </c>
      <c r="F105" s="1137">
        <v>11.0</v>
      </c>
      <c r="G105" s="325">
        <v>142.94</v>
      </c>
      <c r="H105" s="466">
        <f t="shared" ref="H105:H110" si="28">G105*F105</f>
        <v>1572.34</v>
      </c>
      <c r="I105" s="773">
        <v>4288.2</v>
      </c>
      <c r="J105" s="466">
        <f t="shared" si="27"/>
        <v>47170.2</v>
      </c>
      <c r="K105" s="265" t="s">
        <v>11086</v>
      </c>
      <c r="L105" s="599"/>
      <c r="M105" s="832">
        <v>42073.0</v>
      </c>
      <c r="N105" s="832">
        <v>42072.0</v>
      </c>
      <c r="O105" s="269" t="s">
        <v>11033</v>
      </c>
      <c r="P105" s="388" t="s">
        <v>11400</v>
      </c>
      <c r="Q105" s="388"/>
      <c r="R105" s="773">
        <v>45288.0</v>
      </c>
      <c r="S105" s="388" t="s">
        <v>8689</v>
      </c>
      <c r="T105" s="388"/>
      <c r="U105" s="1139"/>
      <c r="V105" s="1132">
        <v>42069.0</v>
      </c>
      <c r="W105" s="265" t="s">
        <v>11401</v>
      </c>
      <c r="X105" s="1135">
        <v>45288.0</v>
      </c>
      <c r="Y105" s="1144">
        <v>42096.0</v>
      </c>
      <c r="Z105" s="388" t="s">
        <v>11402</v>
      </c>
      <c r="AA105" s="388"/>
      <c r="AB105" s="1159">
        <v>47170.0</v>
      </c>
      <c r="AC105" s="388" t="s">
        <v>11403</v>
      </c>
      <c r="AD105" s="388"/>
    </row>
    <row r="106" ht="15.75" customHeight="1">
      <c r="A106" s="764">
        <v>42060.0</v>
      </c>
      <c r="B106" s="844" t="s">
        <v>10926</v>
      </c>
      <c r="C106" s="1004" t="s">
        <v>11398</v>
      </c>
      <c r="D106" s="388" t="s">
        <v>11404</v>
      </c>
      <c r="E106" s="599" t="s">
        <v>6190</v>
      </c>
      <c r="F106" s="1137">
        <v>8.0</v>
      </c>
      <c r="G106" s="325">
        <v>146.055</v>
      </c>
      <c r="H106" s="466">
        <f t="shared" si="28"/>
        <v>1168.44</v>
      </c>
      <c r="I106" s="773">
        <v>4381.65</v>
      </c>
      <c r="J106" s="466">
        <f t="shared" si="27"/>
        <v>35053.2</v>
      </c>
      <c r="K106" s="265" t="s">
        <v>11086</v>
      </c>
      <c r="L106" s="599"/>
      <c r="M106" s="832">
        <v>42066.0</v>
      </c>
      <c r="N106" s="832">
        <v>42065.0</v>
      </c>
      <c r="O106" s="269" t="s">
        <v>11033</v>
      </c>
      <c r="P106" s="388" t="s">
        <v>11405</v>
      </c>
      <c r="Q106" s="388"/>
      <c r="R106" s="773">
        <v>33650.0</v>
      </c>
      <c r="S106" s="388" t="s">
        <v>8689</v>
      </c>
      <c r="T106" s="388"/>
      <c r="U106" s="1139"/>
      <c r="V106" s="1144">
        <v>42061.0</v>
      </c>
      <c r="W106" s="1004" t="s">
        <v>11406</v>
      </c>
      <c r="X106" s="845">
        <v>58391.0</v>
      </c>
      <c r="Y106" s="1144">
        <v>42096.0</v>
      </c>
      <c r="Z106" s="388" t="s">
        <v>11407</v>
      </c>
      <c r="AA106" s="388"/>
      <c r="AB106" s="1159">
        <v>60822.0</v>
      </c>
      <c r="AC106" s="388" t="s">
        <v>11397</v>
      </c>
      <c r="AD106" s="388"/>
    </row>
    <row r="107" ht="15.75" customHeight="1">
      <c r="A107" s="764">
        <v>42060.0</v>
      </c>
      <c r="B107" s="844" t="s">
        <v>10926</v>
      </c>
      <c r="C107" s="1004" t="s">
        <v>11398</v>
      </c>
      <c r="D107" s="388" t="s">
        <v>11404</v>
      </c>
      <c r="E107" s="599" t="s">
        <v>6194</v>
      </c>
      <c r="F107" s="1137">
        <v>4.0</v>
      </c>
      <c r="G107" s="325">
        <v>87.01</v>
      </c>
      <c r="H107" s="466">
        <f t="shared" si="28"/>
        <v>348.04</v>
      </c>
      <c r="I107" s="773">
        <v>2610.3</v>
      </c>
      <c r="J107" s="466">
        <f t="shared" si="27"/>
        <v>10441.2</v>
      </c>
      <c r="K107" s="265" t="s">
        <v>11086</v>
      </c>
      <c r="L107" s="599"/>
      <c r="M107" s="832">
        <v>42066.0</v>
      </c>
      <c r="N107" s="832">
        <v>42065.0</v>
      </c>
      <c r="O107" s="269" t="s">
        <v>11033</v>
      </c>
      <c r="P107" s="388" t="s">
        <v>11405</v>
      </c>
      <c r="Q107" s="388"/>
      <c r="R107" s="773">
        <v>10025.0</v>
      </c>
      <c r="S107" s="388" t="s">
        <v>8689</v>
      </c>
      <c r="T107" s="388"/>
      <c r="U107" s="1139"/>
      <c r="V107" s="1144">
        <v>42061.0</v>
      </c>
      <c r="W107" s="1004" t="s">
        <v>11406</v>
      </c>
      <c r="X107" s="845">
        <v>58391.0</v>
      </c>
      <c r="Y107" s="1144">
        <v>42096.0</v>
      </c>
      <c r="Z107" s="388" t="s">
        <v>11407</v>
      </c>
      <c r="AA107" s="388"/>
      <c r="AB107" s="1137" t="s">
        <v>8836</v>
      </c>
      <c r="AC107" s="388" t="s">
        <v>11397</v>
      </c>
      <c r="AD107" s="388"/>
    </row>
    <row r="108" ht="15.75" customHeight="1">
      <c r="A108" s="764">
        <v>42060.0</v>
      </c>
      <c r="B108" s="844" t="s">
        <v>10926</v>
      </c>
      <c r="C108" s="1004" t="s">
        <v>11398</v>
      </c>
      <c r="D108" s="388" t="s">
        <v>11404</v>
      </c>
      <c r="E108" s="599" t="s">
        <v>4193</v>
      </c>
      <c r="F108" s="1137">
        <v>4.0</v>
      </c>
      <c r="G108" s="325">
        <v>68.355</v>
      </c>
      <c r="H108" s="466">
        <f t="shared" si="28"/>
        <v>273.42</v>
      </c>
      <c r="I108" s="773">
        <v>2050.65</v>
      </c>
      <c r="J108" s="466">
        <f t="shared" si="27"/>
        <v>8202.6</v>
      </c>
      <c r="K108" s="265" t="s">
        <v>11086</v>
      </c>
      <c r="L108" s="599"/>
      <c r="M108" s="832">
        <v>42066.0</v>
      </c>
      <c r="N108" s="832">
        <v>42065.0</v>
      </c>
      <c r="O108" s="269" t="s">
        <v>11033</v>
      </c>
      <c r="P108" s="388" t="s">
        <v>11405</v>
      </c>
      <c r="Q108" s="388"/>
      <c r="R108" s="773">
        <v>7875.0</v>
      </c>
      <c r="S108" s="388" t="s">
        <v>8689</v>
      </c>
      <c r="T108" s="388"/>
      <c r="U108" s="1139"/>
      <c r="V108" s="1144">
        <v>42061.0</v>
      </c>
      <c r="W108" s="1004" t="s">
        <v>11406</v>
      </c>
      <c r="X108" s="845">
        <v>58391.0</v>
      </c>
      <c r="Y108" s="1144">
        <v>42096.0</v>
      </c>
      <c r="Z108" s="388" t="s">
        <v>11407</v>
      </c>
      <c r="AA108" s="388"/>
      <c r="AB108" s="1137" t="s">
        <v>8836</v>
      </c>
      <c r="AC108" s="388" t="s">
        <v>11397</v>
      </c>
      <c r="AD108" s="388"/>
    </row>
    <row r="109" ht="15.75" customHeight="1">
      <c r="A109" s="764">
        <v>42060.0</v>
      </c>
      <c r="B109" s="844" t="s">
        <v>10926</v>
      </c>
      <c r="C109" s="1004" t="s">
        <v>11398</v>
      </c>
      <c r="D109" s="388" t="s">
        <v>11404</v>
      </c>
      <c r="E109" s="599" t="s">
        <v>11408</v>
      </c>
      <c r="F109" s="1137">
        <v>2.0</v>
      </c>
      <c r="G109" s="325">
        <v>118.755</v>
      </c>
      <c r="H109" s="466">
        <f t="shared" si="28"/>
        <v>237.51</v>
      </c>
      <c r="I109" s="773">
        <v>3562.65</v>
      </c>
      <c r="J109" s="466">
        <f t="shared" si="27"/>
        <v>7125.3</v>
      </c>
      <c r="K109" s="265" t="s">
        <v>11086</v>
      </c>
      <c r="L109" s="599"/>
      <c r="M109" s="832">
        <v>42066.0</v>
      </c>
      <c r="N109" s="832">
        <v>42065.0</v>
      </c>
      <c r="O109" s="269" t="s">
        <v>11033</v>
      </c>
      <c r="P109" s="388" t="s">
        <v>11405</v>
      </c>
      <c r="Q109" s="388"/>
      <c r="R109" s="773">
        <v>6840.0</v>
      </c>
      <c r="S109" s="388" t="s">
        <v>8689</v>
      </c>
      <c r="T109" s="388"/>
      <c r="U109" s="1139"/>
      <c r="V109" s="1144">
        <v>42061.0</v>
      </c>
      <c r="W109" s="1004" t="s">
        <v>11406</v>
      </c>
      <c r="X109" s="845">
        <v>58391.0</v>
      </c>
      <c r="Y109" s="1144">
        <v>42096.0</v>
      </c>
      <c r="Z109" s="388" t="s">
        <v>11407</v>
      </c>
      <c r="AA109" s="388"/>
      <c r="AB109" s="1137" t="s">
        <v>8836</v>
      </c>
      <c r="AC109" s="388" t="s">
        <v>11397</v>
      </c>
      <c r="AD109" s="388"/>
    </row>
    <row r="110" ht="15.75" customHeight="1">
      <c r="A110" s="764">
        <v>42066.0</v>
      </c>
      <c r="B110" s="844" t="s">
        <v>10926</v>
      </c>
      <c r="C110" s="1004" t="s">
        <v>11409</v>
      </c>
      <c r="D110" s="388" t="s">
        <v>11410</v>
      </c>
      <c r="E110" s="599" t="s">
        <v>11411</v>
      </c>
      <c r="F110" s="1137">
        <v>5.0</v>
      </c>
      <c r="G110" s="1137">
        <v>3.5</v>
      </c>
      <c r="H110" s="466">
        <f t="shared" si="28"/>
        <v>17.5</v>
      </c>
      <c r="I110" s="773">
        <v>105.0</v>
      </c>
      <c r="J110" s="466">
        <f t="shared" si="27"/>
        <v>525</v>
      </c>
      <c r="K110" s="265" t="s">
        <v>11086</v>
      </c>
      <c r="L110" s="599"/>
      <c r="M110" s="832">
        <v>42073.0</v>
      </c>
      <c r="N110" s="832">
        <v>42072.0</v>
      </c>
      <c r="O110" s="269" t="s">
        <v>11033</v>
      </c>
      <c r="P110" s="1004" t="s">
        <v>11412</v>
      </c>
      <c r="Q110" s="388"/>
      <c r="R110" s="773">
        <v>394.0</v>
      </c>
      <c r="S110" s="388" t="s">
        <v>8689</v>
      </c>
      <c r="T110" s="388"/>
      <c r="U110" s="1139"/>
      <c r="V110" s="1144">
        <v>42068.0</v>
      </c>
      <c r="W110" s="388" t="s">
        <v>11413</v>
      </c>
      <c r="X110" s="592">
        <v>394.0</v>
      </c>
      <c r="Y110" s="1144">
        <v>42096.0</v>
      </c>
      <c r="Z110" s="388" t="s">
        <v>11414</v>
      </c>
      <c r="AA110" s="388"/>
      <c r="AB110" s="1137">
        <v>525.0</v>
      </c>
      <c r="AC110" s="388" t="s">
        <v>11403</v>
      </c>
      <c r="AD110" s="388"/>
    </row>
    <row r="111" ht="15.75" customHeight="1">
      <c r="A111" s="764">
        <v>42068.0</v>
      </c>
      <c r="B111" s="844" t="s">
        <v>10926</v>
      </c>
      <c r="C111" s="1004" t="s">
        <v>11415</v>
      </c>
      <c r="D111" s="388" t="s">
        <v>11416</v>
      </c>
      <c r="E111" s="599" t="s">
        <v>6194</v>
      </c>
      <c r="F111" s="1137">
        <v>2.0</v>
      </c>
      <c r="G111" s="1137">
        <v>87.01</v>
      </c>
      <c r="H111" s="466">
        <f t="shared" ref="H111:H115" si="29">F111*G111</f>
        <v>174.02</v>
      </c>
      <c r="I111" s="773">
        <v>2610.3</v>
      </c>
      <c r="J111" s="466">
        <f t="shared" si="27"/>
        <v>5220.6</v>
      </c>
      <c r="K111" s="265" t="s">
        <v>11086</v>
      </c>
      <c r="L111" s="599"/>
      <c r="M111" s="832">
        <v>42073.0</v>
      </c>
      <c r="N111" s="832">
        <v>42072.0</v>
      </c>
      <c r="O111" s="269" t="s">
        <v>11033</v>
      </c>
      <c r="P111" s="388" t="s">
        <v>11417</v>
      </c>
      <c r="Q111" s="388"/>
      <c r="R111" s="1248">
        <v>5013.0</v>
      </c>
      <c r="S111" s="388" t="s">
        <v>8689</v>
      </c>
      <c r="T111" s="388"/>
      <c r="U111" s="1139"/>
      <c r="V111" s="1144">
        <v>42068.0</v>
      </c>
      <c r="W111" s="388" t="s">
        <v>11418</v>
      </c>
      <c r="X111" s="845">
        <v>55940.0</v>
      </c>
      <c r="Y111" s="1144">
        <v>42096.0</v>
      </c>
      <c r="Z111" s="388" t="s">
        <v>11419</v>
      </c>
      <c r="AA111" s="388"/>
      <c r="AB111" s="1159">
        <v>58260.0</v>
      </c>
      <c r="AC111" s="388" t="s">
        <v>11403</v>
      </c>
      <c r="AD111" s="388"/>
    </row>
    <row r="112" ht="15.75" customHeight="1">
      <c r="A112" s="764">
        <v>42068.0</v>
      </c>
      <c r="B112" s="844" t="s">
        <v>10926</v>
      </c>
      <c r="C112" s="1004" t="s">
        <v>11415</v>
      </c>
      <c r="D112" s="388" t="s">
        <v>11416</v>
      </c>
      <c r="E112" s="599" t="s">
        <v>4193</v>
      </c>
      <c r="F112" s="1137">
        <v>2.0</v>
      </c>
      <c r="G112" s="1137">
        <v>68.355</v>
      </c>
      <c r="H112" s="466">
        <f t="shared" si="29"/>
        <v>136.71</v>
      </c>
      <c r="I112" s="773">
        <v>2050.65</v>
      </c>
      <c r="J112" s="466">
        <f t="shared" si="27"/>
        <v>4101.3</v>
      </c>
      <c r="K112" s="265" t="s">
        <v>11086</v>
      </c>
      <c r="L112" s="599"/>
      <c r="M112" s="832">
        <v>42073.0</v>
      </c>
      <c r="N112" s="832">
        <v>42072.0</v>
      </c>
      <c r="O112" s="269" t="s">
        <v>11033</v>
      </c>
      <c r="P112" s="388" t="s">
        <v>11417</v>
      </c>
      <c r="Q112" s="388"/>
      <c r="R112" s="773">
        <v>3938.0</v>
      </c>
      <c r="S112" s="388" t="s">
        <v>8689</v>
      </c>
      <c r="T112" s="388"/>
      <c r="U112" s="1139"/>
      <c r="V112" s="1144">
        <v>42068.0</v>
      </c>
      <c r="W112" s="388" t="s">
        <v>11418</v>
      </c>
      <c r="X112" s="845" t="s">
        <v>8836</v>
      </c>
      <c r="Y112" s="1144">
        <v>42096.0</v>
      </c>
      <c r="Z112" s="388" t="s">
        <v>11419</v>
      </c>
      <c r="AA112" s="388"/>
      <c r="AB112" s="1137" t="s">
        <v>8836</v>
      </c>
      <c r="AC112" s="388" t="s">
        <v>11403</v>
      </c>
      <c r="AD112" s="388"/>
    </row>
    <row r="113" ht="15.75" customHeight="1">
      <c r="A113" s="764">
        <v>42068.0</v>
      </c>
      <c r="B113" s="844" t="s">
        <v>10926</v>
      </c>
      <c r="C113" s="1004" t="s">
        <v>11415</v>
      </c>
      <c r="D113" s="388" t="s">
        <v>11416</v>
      </c>
      <c r="E113" s="599" t="s">
        <v>11420</v>
      </c>
      <c r="F113" s="1137">
        <v>4.0</v>
      </c>
      <c r="G113" s="1137">
        <v>51.625</v>
      </c>
      <c r="H113" s="466">
        <f t="shared" si="29"/>
        <v>206.5</v>
      </c>
      <c r="I113" s="773">
        <v>1548.75</v>
      </c>
      <c r="J113" s="466">
        <f t="shared" si="27"/>
        <v>6195</v>
      </c>
      <c r="K113" s="265" t="s">
        <v>11086</v>
      </c>
      <c r="L113" s="599"/>
      <c r="M113" s="832">
        <v>42073.0</v>
      </c>
      <c r="N113" s="832">
        <v>42072.0</v>
      </c>
      <c r="O113" s="269" t="s">
        <v>11033</v>
      </c>
      <c r="P113" s="388" t="s">
        <v>11417</v>
      </c>
      <c r="Q113" s="388"/>
      <c r="R113" s="773">
        <v>5947.0</v>
      </c>
      <c r="S113" s="388" t="s">
        <v>8689</v>
      </c>
      <c r="T113" s="388"/>
      <c r="U113" s="1139"/>
      <c r="V113" s="1144">
        <v>42068.0</v>
      </c>
      <c r="W113" s="388" t="s">
        <v>11418</v>
      </c>
      <c r="X113" s="845" t="s">
        <v>8836</v>
      </c>
      <c r="Y113" s="1144">
        <v>42096.0</v>
      </c>
      <c r="Z113" s="388" t="s">
        <v>11419</v>
      </c>
      <c r="AA113" s="388"/>
      <c r="AB113" s="1137" t="s">
        <v>8836</v>
      </c>
      <c r="AC113" s="388" t="s">
        <v>11403</v>
      </c>
      <c r="AD113" s="388"/>
    </row>
    <row r="114" ht="15.75" customHeight="1">
      <c r="A114" s="764">
        <v>42068.0</v>
      </c>
      <c r="B114" s="844" t="s">
        <v>10926</v>
      </c>
      <c r="C114" s="1004" t="s">
        <v>11415</v>
      </c>
      <c r="D114" s="388" t="s">
        <v>11416</v>
      </c>
      <c r="E114" s="599" t="s">
        <v>11421</v>
      </c>
      <c r="F114" s="1137">
        <v>4.0</v>
      </c>
      <c r="G114" s="1137">
        <v>137.06</v>
      </c>
      <c r="H114" s="466">
        <f t="shared" si="29"/>
        <v>548.24</v>
      </c>
      <c r="I114" s="773">
        <v>4111.8</v>
      </c>
      <c r="J114" s="466">
        <f t="shared" si="27"/>
        <v>16447.2</v>
      </c>
      <c r="K114" s="265" t="s">
        <v>11086</v>
      </c>
      <c r="L114" s="599"/>
      <c r="M114" s="832">
        <v>42073.0</v>
      </c>
      <c r="N114" s="832">
        <v>42072.0</v>
      </c>
      <c r="O114" s="269" t="s">
        <v>11033</v>
      </c>
      <c r="P114" s="388" t="s">
        <v>11417</v>
      </c>
      <c r="Q114" s="388"/>
      <c r="R114" s="773">
        <v>15792.0</v>
      </c>
      <c r="S114" s="388" t="s">
        <v>8689</v>
      </c>
      <c r="T114" s="388"/>
      <c r="U114" s="1139"/>
      <c r="V114" s="1144">
        <v>42068.0</v>
      </c>
      <c r="W114" s="388" t="s">
        <v>11418</v>
      </c>
      <c r="X114" s="845" t="s">
        <v>8836</v>
      </c>
      <c r="Y114" s="1144">
        <v>42096.0</v>
      </c>
      <c r="Z114" s="388" t="s">
        <v>11419</v>
      </c>
      <c r="AA114" s="388"/>
      <c r="AB114" s="1137" t="s">
        <v>8836</v>
      </c>
      <c r="AC114" s="388" t="s">
        <v>11403</v>
      </c>
      <c r="AD114" s="388"/>
    </row>
    <row r="115" ht="15.75" customHeight="1">
      <c r="A115" s="764">
        <v>42068.0</v>
      </c>
      <c r="B115" s="844" t="s">
        <v>10926</v>
      </c>
      <c r="C115" s="1004" t="s">
        <v>11415</v>
      </c>
      <c r="D115" s="388" t="s">
        <v>11416</v>
      </c>
      <c r="E115" s="599" t="s">
        <v>11422</v>
      </c>
      <c r="F115" s="1137">
        <v>4.0</v>
      </c>
      <c r="G115" s="1137">
        <v>219.135</v>
      </c>
      <c r="H115" s="466">
        <f t="shared" si="29"/>
        <v>876.54</v>
      </c>
      <c r="I115" s="773">
        <v>6574.05</v>
      </c>
      <c r="J115" s="466">
        <f t="shared" si="27"/>
        <v>26296.2</v>
      </c>
      <c r="K115" s="265" t="s">
        <v>11086</v>
      </c>
      <c r="L115" s="599"/>
      <c r="M115" s="832">
        <v>42073.0</v>
      </c>
      <c r="N115" s="832">
        <v>42072.0</v>
      </c>
      <c r="O115" s="269" t="s">
        <v>11033</v>
      </c>
      <c r="P115" s="388" t="s">
        <v>11417</v>
      </c>
      <c r="Q115" s="388"/>
      <c r="R115" s="773">
        <v>25250.0</v>
      </c>
      <c r="S115" s="388" t="s">
        <v>8689</v>
      </c>
      <c r="T115" s="388"/>
      <c r="U115" s="1139"/>
      <c r="V115" s="1144">
        <v>42068.0</v>
      </c>
      <c r="W115" s="388" t="s">
        <v>11418</v>
      </c>
      <c r="X115" s="845" t="s">
        <v>8836</v>
      </c>
      <c r="Y115" s="1144">
        <v>42096.0</v>
      </c>
      <c r="Z115" s="388" t="s">
        <v>11419</v>
      </c>
      <c r="AA115" s="388"/>
      <c r="AB115" s="1137" t="s">
        <v>8836</v>
      </c>
      <c r="AC115" s="388" t="s">
        <v>11403</v>
      </c>
      <c r="AD115" s="388"/>
    </row>
    <row r="116" ht="15.75" customHeight="1">
      <c r="A116" s="776">
        <v>42072.0</v>
      </c>
      <c r="B116" s="844" t="s">
        <v>10926</v>
      </c>
      <c r="C116" s="265" t="s">
        <v>11423</v>
      </c>
      <c r="D116" s="320" t="s">
        <v>11424</v>
      </c>
      <c r="E116" s="340" t="s">
        <v>4657</v>
      </c>
      <c r="F116" s="773">
        <v>1.0</v>
      </c>
      <c r="G116" s="773">
        <v>111.65</v>
      </c>
      <c r="H116" s="466">
        <f t="shared" ref="H116:H119" si="30">G116*F116</f>
        <v>111.65</v>
      </c>
      <c r="I116" s="773">
        <v>3349.5</v>
      </c>
      <c r="J116" s="466">
        <f t="shared" si="27"/>
        <v>3349.5</v>
      </c>
      <c r="K116" s="265" t="s">
        <v>11086</v>
      </c>
      <c r="L116" s="599"/>
      <c r="M116" s="832">
        <v>42080.0</v>
      </c>
      <c r="N116" s="832">
        <v>42073.0</v>
      </c>
      <c r="O116" s="333" t="s">
        <v>11033</v>
      </c>
      <c r="P116" s="265" t="s">
        <v>11425</v>
      </c>
      <c r="Q116" s="388"/>
      <c r="R116" s="773">
        <v>3216.0</v>
      </c>
      <c r="S116" s="320" t="s">
        <v>8689</v>
      </c>
      <c r="T116" s="388"/>
      <c r="U116" s="1139"/>
      <c r="V116" s="1132">
        <v>42072.0</v>
      </c>
      <c r="W116" s="320" t="s">
        <v>11426</v>
      </c>
      <c r="X116" s="1135">
        <v>3216.0</v>
      </c>
      <c r="Y116" s="1132">
        <v>42096.0</v>
      </c>
      <c r="Z116" s="320" t="s">
        <v>11427</v>
      </c>
      <c r="AA116" s="388"/>
      <c r="AB116" s="1149">
        <v>3350.0</v>
      </c>
      <c r="AC116" s="320" t="s">
        <v>11428</v>
      </c>
      <c r="AD116" s="388"/>
    </row>
    <row r="117" ht="15.75" customHeight="1">
      <c r="A117" s="764">
        <v>42074.0</v>
      </c>
      <c r="B117" s="844" t="s">
        <v>10926</v>
      </c>
      <c r="C117" s="1004" t="s">
        <v>11429</v>
      </c>
      <c r="D117" s="388" t="s">
        <v>11430</v>
      </c>
      <c r="E117" s="599" t="s">
        <v>11391</v>
      </c>
      <c r="F117" s="1137">
        <v>10.0</v>
      </c>
      <c r="G117" s="1137">
        <f>73*1.05</f>
        <v>76.65</v>
      </c>
      <c r="H117" s="773">
        <f t="shared" si="30"/>
        <v>766.5</v>
      </c>
      <c r="I117" s="388"/>
      <c r="J117" s="388"/>
      <c r="K117" s="265" t="s">
        <v>11086</v>
      </c>
      <c r="L117" s="269" t="s">
        <v>90</v>
      </c>
      <c r="M117" s="832">
        <v>42089.0</v>
      </c>
      <c r="N117" s="388"/>
      <c r="O117" s="269" t="s">
        <v>90</v>
      </c>
      <c r="P117" s="1004" t="s">
        <v>11431</v>
      </c>
      <c r="Q117" s="773">
        <v>682.5</v>
      </c>
      <c r="R117" s="388"/>
      <c r="S117" s="388" t="s">
        <v>11006</v>
      </c>
      <c r="T117" s="388"/>
      <c r="U117" s="1139"/>
      <c r="V117" s="1132">
        <v>42089.0</v>
      </c>
      <c r="W117" s="265" t="s">
        <v>11432</v>
      </c>
      <c r="X117" s="1135">
        <v>21560.0</v>
      </c>
      <c r="Y117" s="1144">
        <v>42090.0</v>
      </c>
      <c r="Z117" s="388" t="s">
        <v>11433</v>
      </c>
      <c r="AA117" s="388" t="s">
        <v>11434</v>
      </c>
      <c r="AB117" s="1159">
        <v>23999.0</v>
      </c>
      <c r="AC117" s="388" t="s">
        <v>11435</v>
      </c>
      <c r="AD117" s="388"/>
    </row>
    <row r="118" ht="15.75" customHeight="1">
      <c r="A118" s="764">
        <v>42075.0</v>
      </c>
      <c r="B118" s="844" t="s">
        <v>10926</v>
      </c>
      <c r="C118" s="1004" t="s">
        <v>11436</v>
      </c>
      <c r="D118" s="388" t="s">
        <v>11437</v>
      </c>
      <c r="E118" s="599" t="s">
        <v>6596</v>
      </c>
      <c r="F118" s="1137">
        <v>3.0</v>
      </c>
      <c r="G118" s="1137">
        <v>118.055</v>
      </c>
      <c r="H118" s="466">
        <f t="shared" si="30"/>
        <v>354.165</v>
      </c>
      <c r="I118" s="773">
        <v>3541.65</v>
      </c>
      <c r="J118" s="466">
        <f>I118*F118</f>
        <v>10624.95</v>
      </c>
      <c r="K118" s="265" t="s">
        <v>11086</v>
      </c>
      <c r="L118" s="269" t="s">
        <v>10976</v>
      </c>
      <c r="M118" s="832">
        <v>42080.0</v>
      </c>
      <c r="N118" s="832">
        <v>42079.0</v>
      </c>
      <c r="O118" s="269" t="s">
        <v>11033</v>
      </c>
      <c r="P118" s="388" t="s">
        <v>11438</v>
      </c>
      <c r="Q118" s="388"/>
      <c r="R118" s="773">
        <v>10203.0</v>
      </c>
      <c r="S118" s="388" t="s">
        <v>8689</v>
      </c>
      <c r="T118" s="388"/>
      <c r="U118" s="1139"/>
      <c r="V118" s="1144">
        <v>42075.0</v>
      </c>
      <c r="W118" s="1004" t="s">
        <v>11439</v>
      </c>
      <c r="X118" s="845">
        <v>10230.0</v>
      </c>
      <c r="Y118" s="1144">
        <v>42096.0</v>
      </c>
      <c r="Z118" s="1004" t="s">
        <v>11440</v>
      </c>
      <c r="AA118" s="388"/>
      <c r="AB118" s="1159">
        <v>10625.0</v>
      </c>
      <c r="AC118" s="388" t="s">
        <v>11428</v>
      </c>
      <c r="AD118" s="388"/>
    </row>
    <row r="119" ht="15.75" customHeight="1">
      <c r="A119" s="764">
        <v>42079.0</v>
      </c>
      <c r="B119" s="844" t="s">
        <v>10926</v>
      </c>
      <c r="C119" s="1004" t="s">
        <v>11441</v>
      </c>
      <c r="D119" s="388" t="s">
        <v>11442</v>
      </c>
      <c r="E119" s="599" t="s">
        <v>11345</v>
      </c>
      <c r="F119" s="1137">
        <v>30.0</v>
      </c>
      <c r="G119" s="1137">
        <v>64.05</v>
      </c>
      <c r="H119" s="773">
        <f t="shared" si="30"/>
        <v>1921.5</v>
      </c>
      <c r="I119" s="388"/>
      <c r="J119" s="388"/>
      <c r="K119" s="265" t="s">
        <v>11086</v>
      </c>
      <c r="L119" s="269" t="s">
        <v>90</v>
      </c>
      <c r="M119" s="832">
        <v>42089.0</v>
      </c>
      <c r="N119" s="388"/>
      <c r="O119" s="269" t="s">
        <v>90</v>
      </c>
      <c r="P119" s="265" t="s">
        <v>11443</v>
      </c>
      <c r="Q119" s="773">
        <v>1701.0</v>
      </c>
      <c r="R119" s="388"/>
      <c r="S119" s="388" t="s">
        <v>11006</v>
      </c>
      <c r="T119" s="388"/>
      <c r="U119" s="1139"/>
      <c r="V119" s="1132">
        <v>42089.0</v>
      </c>
      <c r="W119" s="265" t="s">
        <v>11444</v>
      </c>
      <c r="X119" s="1135">
        <v>53735.0</v>
      </c>
      <c r="Y119" s="1144">
        <v>42090.0</v>
      </c>
      <c r="Z119" s="388" t="s">
        <v>11445</v>
      </c>
      <c r="AA119" s="388" t="s">
        <v>11434</v>
      </c>
      <c r="AB119" s="1159">
        <v>60162.0</v>
      </c>
      <c r="AC119" s="388" t="s">
        <v>11435</v>
      </c>
      <c r="AD119" s="388"/>
    </row>
    <row r="120" ht="15.75" customHeight="1">
      <c r="A120" s="764">
        <v>42081.0</v>
      </c>
      <c r="B120" s="844" t="s">
        <v>10926</v>
      </c>
      <c r="C120" s="1004" t="s">
        <v>11446</v>
      </c>
      <c r="D120" s="388" t="s">
        <v>11447</v>
      </c>
      <c r="E120" s="599" t="s">
        <v>11448</v>
      </c>
      <c r="F120" s="1137">
        <v>5.0</v>
      </c>
      <c r="G120" s="1137">
        <v>30.45</v>
      </c>
      <c r="H120" s="466">
        <f t="shared" ref="H120:H127" si="31">F120*G120</f>
        <v>152.25</v>
      </c>
      <c r="I120" s="388"/>
      <c r="J120" s="388"/>
      <c r="K120" s="265" t="s">
        <v>11086</v>
      </c>
      <c r="L120" s="269" t="s">
        <v>90</v>
      </c>
      <c r="M120" s="832">
        <v>42093.0</v>
      </c>
      <c r="N120" s="388"/>
      <c r="O120" s="269" t="s">
        <v>90</v>
      </c>
      <c r="P120" s="265" t="s">
        <v>11449</v>
      </c>
      <c r="Q120" s="773">
        <v>141.75</v>
      </c>
      <c r="R120" s="388"/>
      <c r="S120" s="388" t="s">
        <v>11006</v>
      </c>
      <c r="T120" s="388"/>
      <c r="U120" s="388"/>
      <c r="V120" s="1132">
        <v>42093.0</v>
      </c>
      <c r="W120" s="320" t="s">
        <v>11450</v>
      </c>
      <c r="X120" s="1135">
        <v>4766.0</v>
      </c>
      <c r="Y120" s="388"/>
      <c r="Z120" s="388" t="s">
        <v>11451</v>
      </c>
      <c r="AA120" s="388" t="s">
        <v>11286</v>
      </c>
      <c r="AB120" s="1159">
        <v>4766.0</v>
      </c>
      <c r="AC120" s="388" t="s">
        <v>11287</v>
      </c>
      <c r="AD120" s="388"/>
    </row>
    <row r="121" ht="15.75" customHeight="1">
      <c r="A121" s="764">
        <v>42081.0</v>
      </c>
      <c r="B121" s="844" t="s">
        <v>10926</v>
      </c>
      <c r="C121" s="1004" t="s">
        <v>11446</v>
      </c>
      <c r="D121" s="388" t="s">
        <v>11447</v>
      </c>
      <c r="E121" s="599" t="s">
        <v>11452</v>
      </c>
      <c r="F121" s="1137">
        <v>9.0</v>
      </c>
      <c r="G121" s="1137">
        <v>204.75</v>
      </c>
      <c r="H121" s="466">
        <f t="shared" si="31"/>
        <v>1842.75</v>
      </c>
      <c r="I121" s="388"/>
      <c r="J121" s="388"/>
      <c r="K121" s="265" t="s">
        <v>11086</v>
      </c>
      <c r="L121" s="269" t="s">
        <v>90</v>
      </c>
      <c r="M121" s="832">
        <v>42110.0</v>
      </c>
      <c r="N121" s="388"/>
      <c r="O121" s="269" t="s">
        <v>90</v>
      </c>
      <c r="P121" s="265" t="s">
        <v>11453</v>
      </c>
      <c r="Q121" s="773">
        <v>1606.5</v>
      </c>
      <c r="R121" s="388"/>
      <c r="S121" s="388" t="s">
        <v>11006</v>
      </c>
      <c r="T121" s="388"/>
      <c r="U121" s="388"/>
      <c r="V121" s="1132">
        <v>42110.0</v>
      </c>
      <c r="W121" s="320" t="s">
        <v>11454</v>
      </c>
      <c r="X121" s="1135">
        <v>50067.0</v>
      </c>
      <c r="Y121" s="388"/>
      <c r="Z121" s="388" t="s">
        <v>11455</v>
      </c>
      <c r="AA121" s="388" t="s">
        <v>11456</v>
      </c>
      <c r="AB121" s="1159">
        <v>57567.0</v>
      </c>
      <c r="AC121" s="388" t="s">
        <v>11457</v>
      </c>
      <c r="AD121" s="388"/>
    </row>
    <row r="122" ht="15.75" customHeight="1">
      <c r="A122" s="764">
        <v>42082.0</v>
      </c>
      <c r="B122" s="844" t="s">
        <v>10926</v>
      </c>
      <c r="C122" s="1004" t="s">
        <v>11458</v>
      </c>
      <c r="D122" s="388" t="s">
        <v>11459</v>
      </c>
      <c r="E122" s="599" t="s">
        <v>3671</v>
      </c>
      <c r="F122" s="1137">
        <v>5.0</v>
      </c>
      <c r="G122" s="1137">
        <v>142.94</v>
      </c>
      <c r="H122" s="466">
        <f t="shared" si="31"/>
        <v>714.7</v>
      </c>
      <c r="I122" s="773">
        <v>4288.2</v>
      </c>
      <c r="J122" s="1149">
        <f t="shared" ref="J122:J127" si="32">F122*I122</f>
        <v>21441</v>
      </c>
      <c r="K122" s="265" t="s">
        <v>11086</v>
      </c>
      <c r="L122" s="269" t="s">
        <v>10976</v>
      </c>
      <c r="M122" s="832">
        <v>42088.0</v>
      </c>
      <c r="N122" s="832">
        <v>42111.0</v>
      </c>
      <c r="O122" s="269" t="s">
        <v>11033</v>
      </c>
      <c r="P122" s="388" t="s">
        <v>11460</v>
      </c>
      <c r="Q122" s="388"/>
      <c r="R122" s="1249">
        <v>20585.25</v>
      </c>
      <c r="S122" s="388" t="s">
        <v>8689</v>
      </c>
      <c r="T122" s="388"/>
      <c r="U122" s="1139"/>
      <c r="V122" s="1132">
        <v>42089.0</v>
      </c>
      <c r="W122" s="320" t="s">
        <v>11461</v>
      </c>
      <c r="X122" s="1135">
        <v>53637.0</v>
      </c>
      <c r="Y122" s="1144">
        <v>42096.0</v>
      </c>
      <c r="Z122" s="388" t="s">
        <v>11462</v>
      </c>
      <c r="AA122" s="388"/>
      <c r="AB122" s="1159">
        <v>55870.0</v>
      </c>
      <c r="AC122" s="388" t="s">
        <v>11463</v>
      </c>
      <c r="AD122" s="388"/>
    </row>
    <row r="123" ht="15.75" customHeight="1">
      <c r="A123" s="764">
        <v>42082.0</v>
      </c>
      <c r="B123" s="844" t="s">
        <v>10926</v>
      </c>
      <c r="C123" s="1004" t="s">
        <v>11458</v>
      </c>
      <c r="D123" s="388" t="s">
        <v>11464</v>
      </c>
      <c r="E123" s="599" t="s">
        <v>6190</v>
      </c>
      <c r="F123" s="1137">
        <v>5.0</v>
      </c>
      <c r="G123" s="1137">
        <v>146.055</v>
      </c>
      <c r="H123" s="466">
        <f t="shared" si="31"/>
        <v>730.275</v>
      </c>
      <c r="I123" s="773">
        <v>4381.65</v>
      </c>
      <c r="J123" s="1149">
        <f t="shared" si="32"/>
        <v>21908.25</v>
      </c>
      <c r="K123" s="265" t="s">
        <v>11086</v>
      </c>
      <c r="L123" s="269" t="s">
        <v>10976</v>
      </c>
      <c r="M123" s="832">
        <v>42088.0</v>
      </c>
      <c r="N123" s="832">
        <v>42086.0</v>
      </c>
      <c r="O123" s="269" t="s">
        <v>11033</v>
      </c>
      <c r="P123" s="388" t="s">
        <v>11465</v>
      </c>
      <c r="Q123" s="388"/>
      <c r="R123" s="1250">
        <v>21031.5</v>
      </c>
      <c r="S123" s="388" t="s">
        <v>8689</v>
      </c>
      <c r="T123" s="388"/>
      <c r="U123" s="1139"/>
      <c r="V123" s="1132">
        <v>42089.0</v>
      </c>
      <c r="W123" s="320" t="s">
        <v>11461</v>
      </c>
      <c r="X123" s="1135" t="s">
        <v>8836</v>
      </c>
      <c r="Y123" s="1144">
        <v>42096.0</v>
      </c>
      <c r="Z123" s="388" t="s">
        <v>11462</v>
      </c>
      <c r="AA123" s="388"/>
      <c r="AB123" s="1137" t="s">
        <v>8836</v>
      </c>
      <c r="AC123" s="388" t="s">
        <v>11463</v>
      </c>
      <c r="AD123" s="388"/>
    </row>
    <row r="124" ht="15.75" customHeight="1">
      <c r="A124" s="764">
        <v>42082.0</v>
      </c>
      <c r="B124" s="844" t="s">
        <v>10926</v>
      </c>
      <c r="C124" s="1004" t="s">
        <v>11458</v>
      </c>
      <c r="D124" s="388" t="s">
        <v>11464</v>
      </c>
      <c r="E124" s="599" t="s">
        <v>11466</v>
      </c>
      <c r="F124" s="1137">
        <v>1.0</v>
      </c>
      <c r="G124" s="1137">
        <v>104.755</v>
      </c>
      <c r="H124" s="466">
        <f t="shared" si="31"/>
        <v>104.755</v>
      </c>
      <c r="I124" s="773">
        <v>3142.65</v>
      </c>
      <c r="J124" s="1149">
        <f t="shared" si="32"/>
        <v>3142.65</v>
      </c>
      <c r="K124" s="265" t="s">
        <v>11086</v>
      </c>
      <c r="L124" s="269" t="s">
        <v>10976</v>
      </c>
      <c r="M124" s="832">
        <v>42088.0</v>
      </c>
      <c r="N124" s="832">
        <v>42086.0</v>
      </c>
      <c r="O124" s="269" t="s">
        <v>11033</v>
      </c>
      <c r="P124" s="388" t="s">
        <v>11465</v>
      </c>
      <c r="Q124" s="388"/>
      <c r="R124" s="1249">
        <v>3016.65</v>
      </c>
      <c r="S124" s="388" t="s">
        <v>8689</v>
      </c>
      <c r="T124" s="388"/>
      <c r="U124" s="1139"/>
      <c r="V124" s="1132">
        <v>42089.0</v>
      </c>
      <c r="W124" s="320" t="s">
        <v>11461</v>
      </c>
      <c r="X124" s="1135" t="s">
        <v>8836</v>
      </c>
      <c r="Y124" s="1144">
        <v>42096.0</v>
      </c>
      <c r="Z124" s="388" t="s">
        <v>11462</v>
      </c>
      <c r="AA124" s="388"/>
      <c r="AB124" s="1137" t="s">
        <v>8836</v>
      </c>
      <c r="AC124" s="388" t="s">
        <v>11463</v>
      </c>
      <c r="AD124" s="388"/>
    </row>
    <row r="125" ht="15.75" customHeight="1">
      <c r="A125" s="764">
        <v>42082.0</v>
      </c>
      <c r="B125" s="844" t="s">
        <v>10926</v>
      </c>
      <c r="C125" s="1004" t="s">
        <v>11458</v>
      </c>
      <c r="D125" s="388" t="s">
        <v>11464</v>
      </c>
      <c r="E125" s="599" t="s">
        <v>11467</v>
      </c>
      <c r="F125" s="1137">
        <v>1.0</v>
      </c>
      <c r="G125" s="1137">
        <v>41.825</v>
      </c>
      <c r="H125" s="466">
        <f t="shared" si="31"/>
        <v>41.825</v>
      </c>
      <c r="I125" s="773">
        <v>1254.75</v>
      </c>
      <c r="J125" s="1149">
        <f t="shared" si="32"/>
        <v>1254.75</v>
      </c>
      <c r="K125" s="265" t="s">
        <v>11086</v>
      </c>
      <c r="L125" s="269" t="s">
        <v>10976</v>
      </c>
      <c r="M125" s="832">
        <v>42088.0</v>
      </c>
      <c r="N125" s="832">
        <v>42086.0</v>
      </c>
      <c r="O125" s="269" t="s">
        <v>11033</v>
      </c>
      <c r="P125" s="388" t="s">
        <v>11465</v>
      </c>
      <c r="Q125" s="388"/>
      <c r="R125" s="1249">
        <v>1204.35</v>
      </c>
      <c r="S125" s="388" t="s">
        <v>8689</v>
      </c>
      <c r="T125" s="388"/>
      <c r="U125" s="1139"/>
      <c r="V125" s="1132">
        <v>42089.0</v>
      </c>
      <c r="W125" s="320" t="s">
        <v>11461</v>
      </c>
      <c r="X125" s="1135" t="s">
        <v>8836</v>
      </c>
      <c r="Y125" s="1144">
        <v>42096.0</v>
      </c>
      <c r="Z125" s="388" t="s">
        <v>11462</v>
      </c>
      <c r="AA125" s="388"/>
      <c r="AB125" s="1137" t="s">
        <v>8836</v>
      </c>
      <c r="AC125" s="388" t="s">
        <v>11463</v>
      </c>
      <c r="AD125" s="388"/>
    </row>
    <row r="126" ht="15.75" customHeight="1">
      <c r="A126" s="764">
        <v>42082.0</v>
      </c>
      <c r="B126" s="844" t="s">
        <v>10926</v>
      </c>
      <c r="C126" s="1004" t="s">
        <v>11458</v>
      </c>
      <c r="D126" s="388" t="s">
        <v>11464</v>
      </c>
      <c r="E126" s="599" t="s">
        <v>11420</v>
      </c>
      <c r="F126" s="1137">
        <v>1.0</v>
      </c>
      <c r="G126" s="1137">
        <v>51.625</v>
      </c>
      <c r="H126" s="466">
        <f t="shared" si="31"/>
        <v>51.625</v>
      </c>
      <c r="I126" s="773">
        <v>1548.75</v>
      </c>
      <c r="J126" s="1149">
        <f t="shared" si="32"/>
        <v>1548.75</v>
      </c>
      <c r="K126" s="265" t="s">
        <v>11086</v>
      </c>
      <c r="L126" s="269" t="s">
        <v>10976</v>
      </c>
      <c r="M126" s="832">
        <v>42088.0</v>
      </c>
      <c r="N126" s="832">
        <v>42086.0</v>
      </c>
      <c r="O126" s="269" t="s">
        <v>11033</v>
      </c>
      <c r="P126" s="388" t="s">
        <v>11465</v>
      </c>
      <c r="Q126" s="388"/>
      <c r="R126" s="1250">
        <v>1486.8</v>
      </c>
      <c r="S126" s="388" t="s">
        <v>8689</v>
      </c>
      <c r="T126" s="388"/>
      <c r="U126" s="1139"/>
      <c r="V126" s="1132">
        <v>42089.0</v>
      </c>
      <c r="W126" s="320" t="s">
        <v>11461</v>
      </c>
      <c r="X126" s="1135" t="s">
        <v>8836</v>
      </c>
      <c r="Y126" s="1144">
        <v>42096.0</v>
      </c>
      <c r="Z126" s="388" t="s">
        <v>11462</v>
      </c>
      <c r="AA126" s="388"/>
      <c r="AB126" s="1137" t="s">
        <v>8836</v>
      </c>
      <c r="AC126" s="388" t="s">
        <v>11463</v>
      </c>
      <c r="AD126" s="388"/>
    </row>
    <row r="127" ht="15.75" customHeight="1">
      <c r="A127" s="764">
        <v>42082.0</v>
      </c>
      <c r="B127" s="844" t="s">
        <v>10926</v>
      </c>
      <c r="C127" s="1004" t="s">
        <v>11458</v>
      </c>
      <c r="D127" s="388" t="s">
        <v>11468</v>
      </c>
      <c r="E127" s="599" t="s">
        <v>11422</v>
      </c>
      <c r="F127" s="1137">
        <v>1.0</v>
      </c>
      <c r="G127" s="1137">
        <v>219.135</v>
      </c>
      <c r="H127" s="466">
        <f t="shared" si="31"/>
        <v>219.135</v>
      </c>
      <c r="I127" s="773">
        <v>6574.05</v>
      </c>
      <c r="J127" s="1149">
        <f t="shared" si="32"/>
        <v>6574.05</v>
      </c>
      <c r="K127" s="265" t="s">
        <v>11086</v>
      </c>
      <c r="L127" s="269" t="s">
        <v>10976</v>
      </c>
      <c r="M127" s="832">
        <v>42088.0</v>
      </c>
      <c r="N127" s="832">
        <v>42088.0</v>
      </c>
      <c r="O127" s="269" t="s">
        <v>11033</v>
      </c>
      <c r="P127" s="388" t="s">
        <v>11469</v>
      </c>
      <c r="Q127" s="388"/>
      <c r="R127" s="1250">
        <v>6312.6</v>
      </c>
      <c r="S127" s="388" t="s">
        <v>8689</v>
      </c>
      <c r="T127" s="388"/>
      <c r="U127" s="1139"/>
      <c r="V127" s="1132">
        <v>42089.0</v>
      </c>
      <c r="W127" s="320" t="s">
        <v>11461</v>
      </c>
      <c r="X127" s="1135" t="s">
        <v>8836</v>
      </c>
      <c r="Y127" s="1144">
        <v>42096.0</v>
      </c>
      <c r="Z127" s="388" t="s">
        <v>11462</v>
      </c>
      <c r="AA127" s="388"/>
      <c r="AB127" s="1137" t="s">
        <v>8836</v>
      </c>
      <c r="AC127" s="388" t="s">
        <v>11463</v>
      </c>
      <c r="AD127" s="388"/>
    </row>
    <row r="128" ht="15.75" customHeight="1">
      <c r="A128" s="764">
        <v>42082.0</v>
      </c>
      <c r="B128" s="844" t="s">
        <v>10926</v>
      </c>
      <c r="C128" s="1004" t="s">
        <v>11470</v>
      </c>
      <c r="D128" s="388" t="s">
        <v>11471</v>
      </c>
      <c r="E128" s="599" t="s">
        <v>11345</v>
      </c>
      <c r="F128" s="1137">
        <v>20.0</v>
      </c>
      <c r="G128" s="1137">
        <v>64.05</v>
      </c>
      <c r="H128" s="466">
        <f t="shared" ref="H128:H172" si="33">G128*F128</f>
        <v>1281</v>
      </c>
      <c r="I128" s="388"/>
      <c r="J128" s="388"/>
      <c r="K128" s="265" t="s">
        <v>11086</v>
      </c>
      <c r="L128" s="269" t="s">
        <v>90</v>
      </c>
      <c r="M128" s="832">
        <v>42093.0</v>
      </c>
      <c r="N128" s="388"/>
      <c r="O128" s="269" t="s">
        <v>90</v>
      </c>
      <c r="P128" s="265" t="s">
        <v>11472</v>
      </c>
      <c r="Q128" s="773">
        <v>1134.0</v>
      </c>
      <c r="R128" s="388"/>
      <c r="S128" s="388" t="s">
        <v>11006</v>
      </c>
      <c r="T128" s="388"/>
      <c r="U128" s="388"/>
      <c r="V128" s="1132">
        <v>42093.0</v>
      </c>
      <c r="W128" s="320" t="s">
        <v>11473</v>
      </c>
      <c r="X128" s="1135">
        <v>139312.0</v>
      </c>
      <c r="Y128" s="388"/>
      <c r="Z128" s="388" t="s">
        <v>11474</v>
      </c>
      <c r="AA128" s="388" t="s">
        <v>11286</v>
      </c>
      <c r="AB128" s="1159">
        <v>145263.0</v>
      </c>
      <c r="AC128" s="388" t="s">
        <v>11287</v>
      </c>
      <c r="AD128" s="388"/>
    </row>
    <row r="129" ht="15.75" customHeight="1">
      <c r="A129" s="764">
        <v>42082.0</v>
      </c>
      <c r="B129" s="844" t="s">
        <v>10926</v>
      </c>
      <c r="C129" s="1004" t="s">
        <v>11470</v>
      </c>
      <c r="D129" s="388" t="s">
        <v>11471</v>
      </c>
      <c r="E129" s="599" t="s">
        <v>10395</v>
      </c>
      <c r="F129" s="1137">
        <v>40.0</v>
      </c>
      <c r="G129" s="1137">
        <v>84.0</v>
      </c>
      <c r="H129" s="466">
        <f t="shared" si="33"/>
        <v>3360</v>
      </c>
      <c r="I129" s="388"/>
      <c r="J129" s="388"/>
      <c r="K129" s="265" t="s">
        <v>11086</v>
      </c>
      <c r="L129" s="269" t="s">
        <v>90</v>
      </c>
      <c r="M129" s="832">
        <v>42093.0</v>
      </c>
      <c r="N129" s="388"/>
      <c r="O129" s="269" t="s">
        <v>90</v>
      </c>
      <c r="P129" s="265" t="s">
        <v>11472</v>
      </c>
      <c r="Q129" s="773">
        <v>3276.0</v>
      </c>
      <c r="R129" s="388"/>
      <c r="S129" s="388" t="s">
        <v>11006</v>
      </c>
      <c r="T129" s="388"/>
      <c r="U129" s="388"/>
      <c r="V129" s="1132">
        <v>42093.0</v>
      </c>
      <c r="W129" s="320" t="s">
        <v>11473</v>
      </c>
      <c r="X129" s="592" t="s">
        <v>8836</v>
      </c>
      <c r="Y129" s="388"/>
      <c r="Z129" s="388" t="s">
        <v>11474</v>
      </c>
      <c r="AA129" s="388" t="s">
        <v>11286</v>
      </c>
      <c r="AB129" s="1159" t="s">
        <v>8836</v>
      </c>
      <c r="AC129" s="388" t="s">
        <v>11287</v>
      </c>
      <c r="AD129" s="388"/>
    </row>
    <row r="130" ht="15.75" customHeight="1">
      <c r="A130" s="764">
        <v>42087.0</v>
      </c>
      <c r="B130" s="844" t="s">
        <v>10926</v>
      </c>
      <c r="C130" s="1004" t="s">
        <v>11475</v>
      </c>
      <c r="D130" s="388" t="s">
        <v>11476</v>
      </c>
      <c r="E130" s="599" t="s">
        <v>11391</v>
      </c>
      <c r="F130" s="1137">
        <v>20.0</v>
      </c>
      <c r="G130" s="1137">
        <v>76.65</v>
      </c>
      <c r="H130" s="466">
        <f t="shared" si="33"/>
        <v>1533</v>
      </c>
      <c r="I130" s="388"/>
      <c r="J130" s="388"/>
      <c r="K130" s="265" t="s">
        <v>11086</v>
      </c>
      <c r="L130" s="269" t="s">
        <v>90</v>
      </c>
      <c r="M130" s="832">
        <v>42096.0</v>
      </c>
      <c r="N130" s="388"/>
      <c r="O130" s="269" t="s">
        <v>90</v>
      </c>
      <c r="P130" s="265" t="s">
        <v>11477</v>
      </c>
      <c r="Q130" s="773">
        <v>1365.0</v>
      </c>
      <c r="R130" s="388"/>
      <c r="S130" s="388" t="s">
        <v>11006</v>
      </c>
      <c r="T130" s="388"/>
      <c r="U130" s="388"/>
      <c r="V130" s="1132">
        <v>42096.0</v>
      </c>
      <c r="W130" s="320" t="s">
        <v>11478</v>
      </c>
      <c r="X130" s="1135">
        <v>42656.0</v>
      </c>
      <c r="Y130" s="388"/>
      <c r="Z130" s="388" t="s">
        <v>11479</v>
      </c>
      <c r="AA130" s="388" t="s">
        <v>11480</v>
      </c>
      <c r="AB130" s="1159">
        <v>47860.0</v>
      </c>
      <c r="AC130" s="388" t="s">
        <v>11481</v>
      </c>
      <c r="AD130" s="388"/>
    </row>
    <row r="131" ht="15.75" customHeight="1">
      <c r="A131" s="764">
        <v>42088.0</v>
      </c>
      <c r="B131" s="844" t="s">
        <v>10926</v>
      </c>
      <c r="C131" s="1004" t="s">
        <v>11482</v>
      </c>
      <c r="D131" s="388" t="s">
        <v>11483</v>
      </c>
      <c r="E131" s="599" t="s">
        <v>3799</v>
      </c>
      <c r="F131" s="1137">
        <v>2.0</v>
      </c>
      <c r="G131" s="1137">
        <v>96.32</v>
      </c>
      <c r="H131" s="466">
        <f t="shared" si="33"/>
        <v>192.64</v>
      </c>
      <c r="I131" s="773">
        <v>2889.6</v>
      </c>
      <c r="J131" s="1149">
        <f t="shared" ref="J131:J139" si="34">F131*I131</f>
        <v>5779.2</v>
      </c>
      <c r="K131" s="265" t="s">
        <v>11086</v>
      </c>
      <c r="L131" s="269" t="s">
        <v>10976</v>
      </c>
      <c r="M131" s="832">
        <v>42093.0</v>
      </c>
      <c r="N131" s="832">
        <v>42090.0</v>
      </c>
      <c r="O131" s="269" t="s">
        <v>11033</v>
      </c>
      <c r="P131" s="388" t="s">
        <v>11484</v>
      </c>
      <c r="Q131" s="388"/>
      <c r="R131" s="1149">
        <v>5548.2</v>
      </c>
      <c r="S131" s="388" t="s">
        <v>8689</v>
      </c>
      <c r="T131" s="388"/>
      <c r="U131" s="388"/>
      <c r="V131" s="1132">
        <v>42083.0</v>
      </c>
      <c r="W131" s="320" t="s">
        <v>11485</v>
      </c>
      <c r="X131" s="1135">
        <v>67421.0</v>
      </c>
      <c r="Y131" s="1144">
        <v>42129.0</v>
      </c>
      <c r="Z131" s="388" t="s">
        <v>11486</v>
      </c>
      <c r="AA131" s="388" t="s">
        <v>11286</v>
      </c>
      <c r="AB131" s="1159">
        <v>70276.0</v>
      </c>
      <c r="AC131" s="388" t="s">
        <v>11287</v>
      </c>
      <c r="AD131" s="388"/>
    </row>
    <row r="132" ht="15.75" customHeight="1">
      <c r="A132" s="764">
        <v>42088.0</v>
      </c>
      <c r="B132" s="844" t="s">
        <v>10926</v>
      </c>
      <c r="C132" s="1004" t="s">
        <v>11482</v>
      </c>
      <c r="D132" s="388" t="s">
        <v>11483</v>
      </c>
      <c r="E132" s="599" t="s">
        <v>11310</v>
      </c>
      <c r="F132" s="1137">
        <v>1.0</v>
      </c>
      <c r="G132" s="1137">
        <v>193.655</v>
      </c>
      <c r="H132" s="466">
        <f t="shared" si="33"/>
        <v>193.655</v>
      </c>
      <c r="I132" s="773">
        <v>5860.05</v>
      </c>
      <c r="J132" s="1149">
        <f t="shared" si="34"/>
        <v>5860.05</v>
      </c>
      <c r="K132" s="265" t="s">
        <v>11086</v>
      </c>
      <c r="L132" s="269" t="s">
        <v>10976</v>
      </c>
      <c r="M132" s="832">
        <v>42093.0</v>
      </c>
      <c r="N132" s="832">
        <v>42090.0</v>
      </c>
      <c r="O132" s="269" t="s">
        <v>11033</v>
      </c>
      <c r="P132" s="388" t="s">
        <v>11484</v>
      </c>
      <c r="Q132" s="388"/>
      <c r="R132" s="1149">
        <v>5577.6</v>
      </c>
      <c r="S132" s="388" t="s">
        <v>8689</v>
      </c>
      <c r="T132" s="388"/>
      <c r="U132" s="388"/>
      <c r="V132" s="1132">
        <v>42083.0</v>
      </c>
      <c r="W132" s="320" t="s">
        <v>11485</v>
      </c>
      <c r="X132" s="592" t="s">
        <v>8836</v>
      </c>
      <c r="Y132" s="1144">
        <v>42129.0</v>
      </c>
      <c r="Z132" s="388" t="s">
        <v>11486</v>
      </c>
      <c r="AA132" s="388" t="s">
        <v>11286</v>
      </c>
      <c r="AB132" s="1137" t="s">
        <v>8836</v>
      </c>
      <c r="AC132" s="388" t="s">
        <v>11287</v>
      </c>
      <c r="AD132" s="388"/>
    </row>
    <row r="133" ht="15.75" customHeight="1">
      <c r="A133" s="764">
        <v>42088.0</v>
      </c>
      <c r="B133" s="844" t="s">
        <v>10926</v>
      </c>
      <c r="C133" s="1004" t="s">
        <v>11482</v>
      </c>
      <c r="D133" s="388" t="s">
        <v>11483</v>
      </c>
      <c r="E133" s="599" t="s">
        <v>3671</v>
      </c>
      <c r="F133" s="1137">
        <v>5.0</v>
      </c>
      <c r="G133" s="1137">
        <v>142.94</v>
      </c>
      <c r="H133" s="466">
        <f t="shared" si="33"/>
        <v>714.7</v>
      </c>
      <c r="I133" s="773">
        <v>4288.2</v>
      </c>
      <c r="J133" s="1149">
        <f t="shared" si="34"/>
        <v>21441</v>
      </c>
      <c r="K133" s="265" t="s">
        <v>11086</v>
      </c>
      <c r="L133" s="269" t="s">
        <v>10976</v>
      </c>
      <c r="M133" s="832">
        <v>42093.0</v>
      </c>
      <c r="N133" s="832">
        <v>42090.0</v>
      </c>
      <c r="O133" s="269" t="s">
        <v>11033</v>
      </c>
      <c r="P133" s="388" t="s">
        <v>11484</v>
      </c>
      <c r="Q133" s="388"/>
      <c r="R133" s="1149">
        <v>20585.25</v>
      </c>
      <c r="S133" s="388" t="s">
        <v>8689</v>
      </c>
      <c r="T133" s="388"/>
      <c r="U133" s="388"/>
      <c r="V133" s="1132">
        <v>42083.0</v>
      </c>
      <c r="W133" s="320" t="s">
        <v>11485</v>
      </c>
      <c r="X133" s="592" t="s">
        <v>8836</v>
      </c>
      <c r="Y133" s="1144">
        <v>42129.0</v>
      </c>
      <c r="Z133" s="388" t="s">
        <v>11486</v>
      </c>
      <c r="AA133" s="388" t="s">
        <v>11286</v>
      </c>
      <c r="AB133" s="1137" t="s">
        <v>8836</v>
      </c>
      <c r="AC133" s="388" t="s">
        <v>11287</v>
      </c>
      <c r="AD133" s="388"/>
    </row>
    <row r="134" ht="15.75" customHeight="1">
      <c r="A134" s="764">
        <v>42088.0</v>
      </c>
      <c r="B134" s="844" t="s">
        <v>10926</v>
      </c>
      <c r="C134" s="1004" t="s">
        <v>11482</v>
      </c>
      <c r="D134" s="388" t="s">
        <v>11483</v>
      </c>
      <c r="E134" s="599" t="s">
        <v>6190</v>
      </c>
      <c r="F134" s="1137">
        <v>5.0</v>
      </c>
      <c r="G134" s="1137">
        <v>146.055</v>
      </c>
      <c r="H134" s="466">
        <f t="shared" si="33"/>
        <v>730.275</v>
      </c>
      <c r="I134" s="773">
        <v>4381.65</v>
      </c>
      <c r="J134" s="1149">
        <f t="shared" si="34"/>
        <v>21908.25</v>
      </c>
      <c r="K134" s="265" t="s">
        <v>11086</v>
      </c>
      <c r="L134" s="269" t="s">
        <v>10976</v>
      </c>
      <c r="M134" s="832">
        <v>42093.0</v>
      </c>
      <c r="N134" s="832">
        <v>42090.0</v>
      </c>
      <c r="O134" s="269" t="s">
        <v>11033</v>
      </c>
      <c r="P134" s="388" t="s">
        <v>11484</v>
      </c>
      <c r="Q134" s="388"/>
      <c r="R134" s="1149">
        <v>21031.5</v>
      </c>
      <c r="S134" s="388" t="s">
        <v>8689</v>
      </c>
      <c r="T134" s="388"/>
      <c r="U134" s="388"/>
      <c r="V134" s="1132">
        <v>42083.0</v>
      </c>
      <c r="W134" s="320" t="s">
        <v>11485</v>
      </c>
      <c r="X134" s="592" t="s">
        <v>8836</v>
      </c>
      <c r="Y134" s="1144">
        <v>42129.0</v>
      </c>
      <c r="Z134" s="388" t="s">
        <v>11486</v>
      </c>
      <c r="AA134" s="388" t="s">
        <v>11286</v>
      </c>
      <c r="AB134" s="1137" t="s">
        <v>8836</v>
      </c>
      <c r="AC134" s="388" t="s">
        <v>11287</v>
      </c>
      <c r="AD134" s="388"/>
    </row>
    <row r="135" ht="15.75" customHeight="1">
      <c r="A135" s="764">
        <v>42088.0</v>
      </c>
      <c r="B135" s="844" t="s">
        <v>10926</v>
      </c>
      <c r="C135" s="1004" t="s">
        <v>11482</v>
      </c>
      <c r="D135" s="388" t="s">
        <v>11483</v>
      </c>
      <c r="E135" s="599" t="s">
        <v>7014</v>
      </c>
      <c r="F135" s="1137">
        <v>2.0</v>
      </c>
      <c r="G135" s="1137">
        <v>55.93</v>
      </c>
      <c r="H135" s="466">
        <f t="shared" si="33"/>
        <v>111.86</v>
      </c>
      <c r="I135" s="773">
        <v>1677.9</v>
      </c>
      <c r="J135" s="1149">
        <f t="shared" si="34"/>
        <v>3355.8</v>
      </c>
      <c r="K135" s="265" t="s">
        <v>11086</v>
      </c>
      <c r="L135" s="269" t="s">
        <v>10976</v>
      </c>
      <c r="M135" s="832">
        <v>42093.0</v>
      </c>
      <c r="N135" s="832">
        <v>42090.0</v>
      </c>
      <c r="O135" s="269" t="s">
        <v>11033</v>
      </c>
      <c r="P135" s="388" t="s">
        <v>11484</v>
      </c>
      <c r="Q135" s="388"/>
      <c r="R135" s="1149">
        <v>3221.4</v>
      </c>
      <c r="S135" s="388" t="s">
        <v>8689</v>
      </c>
      <c r="T135" s="388"/>
      <c r="U135" s="388"/>
      <c r="V135" s="1132">
        <v>42083.0</v>
      </c>
      <c r="W135" s="320" t="s">
        <v>11485</v>
      </c>
      <c r="X135" s="592" t="s">
        <v>8836</v>
      </c>
      <c r="Y135" s="1144">
        <v>42129.0</v>
      </c>
      <c r="Z135" s="388" t="s">
        <v>11486</v>
      </c>
      <c r="AA135" s="388" t="s">
        <v>11286</v>
      </c>
      <c r="AB135" s="1137" t="s">
        <v>8836</v>
      </c>
      <c r="AC135" s="388" t="s">
        <v>11287</v>
      </c>
      <c r="AD135" s="388"/>
    </row>
    <row r="136" ht="15.75" customHeight="1">
      <c r="A136" s="764">
        <v>42088.0</v>
      </c>
      <c r="B136" s="844" t="s">
        <v>10926</v>
      </c>
      <c r="C136" s="1004" t="s">
        <v>11482</v>
      </c>
      <c r="D136" s="388" t="s">
        <v>11483</v>
      </c>
      <c r="E136" s="599" t="s">
        <v>6194</v>
      </c>
      <c r="F136" s="1137">
        <v>3.0</v>
      </c>
      <c r="G136" s="1137">
        <v>87.01</v>
      </c>
      <c r="H136" s="466">
        <f t="shared" si="33"/>
        <v>261.03</v>
      </c>
      <c r="I136" s="773">
        <v>2610.3</v>
      </c>
      <c r="J136" s="1149">
        <f t="shared" si="34"/>
        <v>7830.9</v>
      </c>
      <c r="K136" s="265" t="s">
        <v>11086</v>
      </c>
      <c r="L136" s="269" t="s">
        <v>10976</v>
      </c>
      <c r="M136" s="832">
        <v>42093.0</v>
      </c>
      <c r="N136" s="832">
        <v>42090.0</v>
      </c>
      <c r="O136" s="269" t="s">
        <v>11033</v>
      </c>
      <c r="P136" s="388" t="s">
        <v>11484</v>
      </c>
      <c r="Q136" s="388"/>
      <c r="R136" s="1149">
        <v>7519.05</v>
      </c>
      <c r="S136" s="388" t="s">
        <v>8689</v>
      </c>
      <c r="T136" s="388"/>
      <c r="U136" s="388"/>
      <c r="V136" s="1132">
        <v>42083.0</v>
      </c>
      <c r="W136" s="320" t="s">
        <v>11485</v>
      </c>
      <c r="X136" s="592" t="s">
        <v>8836</v>
      </c>
      <c r="Y136" s="1144">
        <v>42129.0</v>
      </c>
      <c r="Z136" s="388" t="s">
        <v>11486</v>
      </c>
      <c r="AA136" s="388" t="s">
        <v>11286</v>
      </c>
      <c r="AB136" s="1137" t="s">
        <v>8836</v>
      </c>
      <c r="AC136" s="388" t="s">
        <v>11287</v>
      </c>
      <c r="AD136" s="388"/>
    </row>
    <row r="137" ht="15.75" customHeight="1">
      <c r="A137" s="764">
        <v>42088.0</v>
      </c>
      <c r="B137" s="844" t="s">
        <v>10926</v>
      </c>
      <c r="C137" s="1004" t="s">
        <v>11482</v>
      </c>
      <c r="D137" s="388" t="s">
        <v>11483</v>
      </c>
      <c r="E137" s="599" t="s">
        <v>4193</v>
      </c>
      <c r="F137" s="1137">
        <v>2.0</v>
      </c>
      <c r="G137" s="1137">
        <v>68.355</v>
      </c>
      <c r="H137" s="466">
        <f t="shared" si="33"/>
        <v>136.71</v>
      </c>
      <c r="I137" s="773">
        <v>2050.65</v>
      </c>
      <c r="J137" s="1149">
        <f t="shared" si="34"/>
        <v>4101.3</v>
      </c>
      <c r="K137" s="265" t="s">
        <v>11086</v>
      </c>
      <c r="L137" s="269" t="s">
        <v>10976</v>
      </c>
      <c r="M137" s="832">
        <v>42093.0</v>
      </c>
      <c r="N137" s="832">
        <v>42090.0</v>
      </c>
      <c r="O137" s="269" t="s">
        <v>11033</v>
      </c>
      <c r="P137" s="388" t="s">
        <v>11484</v>
      </c>
      <c r="Q137" s="388"/>
      <c r="R137" s="1149">
        <v>3937.5</v>
      </c>
      <c r="S137" s="388" t="s">
        <v>8689</v>
      </c>
      <c r="T137" s="388"/>
      <c r="U137" s="388"/>
      <c r="V137" s="1132">
        <v>42083.0</v>
      </c>
      <c r="W137" s="320" t="s">
        <v>11485</v>
      </c>
      <c r="X137" s="592" t="s">
        <v>8836</v>
      </c>
      <c r="Y137" s="1144">
        <v>42129.0</v>
      </c>
      <c r="Z137" s="388" t="s">
        <v>11486</v>
      </c>
      <c r="AA137" s="388" t="s">
        <v>11286</v>
      </c>
      <c r="AB137" s="1137" t="s">
        <v>8836</v>
      </c>
      <c r="AC137" s="388" t="s">
        <v>11287</v>
      </c>
      <c r="AD137" s="388"/>
    </row>
    <row r="138" ht="15.75" customHeight="1">
      <c r="A138" s="764">
        <v>42090.0</v>
      </c>
      <c r="B138" s="844" t="s">
        <v>10926</v>
      </c>
      <c r="C138" s="1004" t="s">
        <v>11487</v>
      </c>
      <c r="D138" s="388" t="s">
        <v>11488</v>
      </c>
      <c r="E138" s="599" t="s">
        <v>6596</v>
      </c>
      <c r="F138" s="1137">
        <v>3.0</v>
      </c>
      <c r="G138" s="1137">
        <f>I138/30</f>
        <v>118.055</v>
      </c>
      <c r="H138" s="466">
        <f t="shared" si="33"/>
        <v>354.165</v>
      </c>
      <c r="I138" s="773">
        <f>3373*1.05</f>
        <v>3541.65</v>
      </c>
      <c r="J138" s="1149">
        <f t="shared" si="34"/>
        <v>10624.95</v>
      </c>
      <c r="K138" s="265" t="s">
        <v>11086</v>
      </c>
      <c r="L138" s="269" t="s">
        <v>10976</v>
      </c>
      <c r="M138" s="832">
        <v>42095.0</v>
      </c>
      <c r="N138" s="832">
        <v>42094.0</v>
      </c>
      <c r="O138" s="269" t="s">
        <v>11033</v>
      </c>
      <c r="P138" s="1004" t="s">
        <v>11489</v>
      </c>
      <c r="Q138" s="388"/>
      <c r="R138" s="773">
        <f>3239*3*1.05</f>
        <v>10202.85</v>
      </c>
      <c r="S138" s="388" t="s">
        <v>8689</v>
      </c>
      <c r="T138" s="388"/>
      <c r="U138" s="388"/>
      <c r="V138" s="1144">
        <v>42093.0</v>
      </c>
      <c r="W138" s="388" t="s">
        <v>11490</v>
      </c>
      <c r="X138" s="845">
        <v>10203.0</v>
      </c>
      <c r="Y138" s="1144">
        <v>42129.0</v>
      </c>
      <c r="Z138" s="388" t="s">
        <v>11491</v>
      </c>
      <c r="AA138" s="388"/>
      <c r="AB138" s="1159">
        <v>10625.0</v>
      </c>
      <c r="AC138" s="388" t="s">
        <v>11287</v>
      </c>
      <c r="AD138" s="388"/>
    </row>
    <row r="139" ht="15.75" customHeight="1">
      <c r="A139" s="764">
        <v>42095.0</v>
      </c>
      <c r="B139" s="844" t="s">
        <v>10926</v>
      </c>
      <c r="C139" s="1004" t="s">
        <v>11492</v>
      </c>
      <c r="D139" s="388" t="s">
        <v>11493</v>
      </c>
      <c r="E139" s="599" t="s">
        <v>11319</v>
      </c>
      <c r="F139" s="1137">
        <v>6.0</v>
      </c>
      <c r="G139" s="1137">
        <v>121.205</v>
      </c>
      <c r="H139" s="466">
        <f t="shared" si="33"/>
        <v>727.23</v>
      </c>
      <c r="I139" s="773">
        <v>3636.15</v>
      </c>
      <c r="J139" s="1149">
        <f t="shared" si="34"/>
        <v>21816.9</v>
      </c>
      <c r="K139" s="265" t="s">
        <v>11086</v>
      </c>
      <c r="L139" s="269" t="s">
        <v>10976</v>
      </c>
      <c r="M139" s="832">
        <v>42101.0</v>
      </c>
      <c r="N139" s="832">
        <v>42101.0</v>
      </c>
      <c r="O139" s="269" t="s">
        <v>11033</v>
      </c>
      <c r="P139" s="1004" t="s">
        <v>11494</v>
      </c>
      <c r="Q139" s="388"/>
      <c r="R139" s="773">
        <v>20941.0</v>
      </c>
      <c r="S139" s="388" t="s">
        <v>8689</v>
      </c>
      <c r="T139" s="388"/>
      <c r="U139" s="388"/>
      <c r="V139" s="1144">
        <v>42096.0</v>
      </c>
      <c r="W139" s="388" t="s">
        <v>11495</v>
      </c>
      <c r="X139" s="845">
        <v>20941.0</v>
      </c>
      <c r="Y139" s="1144">
        <v>42129.0</v>
      </c>
      <c r="Z139" s="388" t="s">
        <v>11496</v>
      </c>
      <c r="AA139" s="388"/>
      <c r="AB139" s="1159">
        <v>21817.0</v>
      </c>
      <c r="AC139" s="388" t="s">
        <v>11497</v>
      </c>
      <c r="AD139" s="388"/>
    </row>
    <row r="140" ht="15.75" customHeight="1">
      <c r="A140" s="764">
        <v>42101.0</v>
      </c>
      <c r="B140" s="844" t="s">
        <v>10926</v>
      </c>
      <c r="C140" s="1004" t="s">
        <v>11498</v>
      </c>
      <c r="D140" s="388" t="s">
        <v>11499</v>
      </c>
      <c r="E140" s="599" t="s">
        <v>11500</v>
      </c>
      <c r="F140" s="1137">
        <v>20.0</v>
      </c>
      <c r="G140" s="1137">
        <f>61*1.05</f>
        <v>64.05</v>
      </c>
      <c r="H140" s="466">
        <f t="shared" si="33"/>
        <v>1281</v>
      </c>
      <c r="I140" s="388"/>
      <c r="J140" s="388"/>
      <c r="K140" s="265" t="s">
        <v>11086</v>
      </c>
      <c r="L140" s="269" t="s">
        <v>90</v>
      </c>
      <c r="M140" s="832">
        <v>42110.0</v>
      </c>
      <c r="N140" s="388"/>
      <c r="O140" s="269" t="s">
        <v>90</v>
      </c>
      <c r="P140" s="265" t="s">
        <v>11501</v>
      </c>
      <c r="Q140" s="773">
        <v>1134.0</v>
      </c>
      <c r="R140" s="388"/>
      <c r="S140" s="388" t="s">
        <v>11006</v>
      </c>
      <c r="T140" s="388"/>
      <c r="U140" s="388"/>
      <c r="V140" s="1132">
        <v>42109.0</v>
      </c>
      <c r="W140" s="320" t="s">
        <v>11502</v>
      </c>
      <c r="X140" s="1135">
        <v>44176.0</v>
      </c>
      <c r="Y140" s="388"/>
      <c r="Z140" s="388" t="s">
        <v>11503</v>
      </c>
      <c r="AA140" s="388" t="s">
        <v>11504</v>
      </c>
      <c r="AB140" s="1159">
        <v>49579.0</v>
      </c>
      <c r="AC140" s="388" t="s">
        <v>11457</v>
      </c>
      <c r="AD140" s="388"/>
    </row>
    <row r="141" ht="15.75" customHeight="1">
      <c r="A141" s="764">
        <v>42101.0</v>
      </c>
      <c r="B141" s="844" t="s">
        <v>10926</v>
      </c>
      <c r="C141" s="1004" t="s">
        <v>11498</v>
      </c>
      <c r="D141" s="388" t="s">
        <v>11499</v>
      </c>
      <c r="E141" s="599" t="s">
        <v>11505</v>
      </c>
      <c r="F141" s="1137">
        <v>10.0</v>
      </c>
      <c r="G141" s="1137">
        <f t="shared" ref="G141:G142" si="35">29*1.05</f>
        <v>30.45</v>
      </c>
      <c r="H141" s="466">
        <f t="shared" si="33"/>
        <v>304.5</v>
      </c>
      <c r="I141" s="388"/>
      <c r="J141" s="388"/>
      <c r="K141" s="265" t="s">
        <v>11086</v>
      </c>
      <c r="L141" s="269" t="s">
        <v>90</v>
      </c>
      <c r="M141" s="832">
        <v>42110.0</v>
      </c>
      <c r="N141" s="388"/>
      <c r="O141" s="269" t="s">
        <v>90</v>
      </c>
      <c r="P141" s="265" t="s">
        <v>11501</v>
      </c>
      <c r="Q141" s="773">
        <v>283.5</v>
      </c>
      <c r="R141" s="388"/>
      <c r="S141" s="388" t="s">
        <v>11006</v>
      </c>
      <c r="T141" s="388"/>
      <c r="U141" s="388"/>
      <c r="V141" s="1132">
        <v>42109.0</v>
      </c>
      <c r="W141" s="320" t="s">
        <v>11502</v>
      </c>
      <c r="X141" s="1135" t="s">
        <v>8836</v>
      </c>
      <c r="Y141" s="388"/>
      <c r="Z141" s="388" t="s">
        <v>11503</v>
      </c>
      <c r="AA141" s="388" t="s">
        <v>11504</v>
      </c>
      <c r="AB141" s="1137" t="s">
        <v>8836</v>
      </c>
      <c r="AC141" s="388" t="s">
        <v>11457</v>
      </c>
      <c r="AD141" s="388"/>
    </row>
    <row r="142" ht="15.75" customHeight="1">
      <c r="A142" s="764">
        <v>42102.0</v>
      </c>
      <c r="B142" s="844" t="s">
        <v>10926</v>
      </c>
      <c r="C142" s="1004" t="s">
        <v>11506</v>
      </c>
      <c r="D142" s="388" t="s">
        <v>11507</v>
      </c>
      <c r="E142" s="599" t="s">
        <v>11505</v>
      </c>
      <c r="F142" s="1137">
        <v>10.0</v>
      </c>
      <c r="G142" s="1137">
        <f t="shared" si="35"/>
        <v>30.45</v>
      </c>
      <c r="H142" s="466">
        <f t="shared" si="33"/>
        <v>304.5</v>
      </c>
      <c r="I142" s="388"/>
      <c r="J142" s="388"/>
      <c r="K142" s="265" t="s">
        <v>11086</v>
      </c>
      <c r="L142" s="269" t="s">
        <v>90</v>
      </c>
      <c r="M142" s="832">
        <v>42110.0</v>
      </c>
      <c r="N142" s="388"/>
      <c r="O142" s="269" t="s">
        <v>90</v>
      </c>
      <c r="P142" s="265" t="s">
        <v>11508</v>
      </c>
      <c r="Q142" s="773">
        <v>283.5</v>
      </c>
      <c r="R142" s="388"/>
      <c r="S142" s="388" t="s">
        <v>11006</v>
      </c>
      <c r="T142" s="388"/>
      <c r="U142" s="388"/>
      <c r="V142" s="1132">
        <v>42109.0</v>
      </c>
      <c r="W142" s="320" t="s">
        <v>11509</v>
      </c>
      <c r="X142" s="1135">
        <v>8835.0</v>
      </c>
      <c r="Y142" s="388"/>
      <c r="Z142" s="388" t="s">
        <v>11510</v>
      </c>
      <c r="AA142" s="388" t="s">
        <v>11504</v>
      </c>
      <c r="AB142" s="1159">
        <v>9521.0</v>
      </c>
      <c r="AC142" s="388" t="s">
        <v>11457</v>
      </c>
      <c r="AD142" s="388"/>
    </row>
    <row r="143" ht="15.75" customHeight="1">
      <c r="A143" s="764">
        <v>42103.0</v>
      </c>
      <c r="B143" s="844" t="s">
        <v>10926</v>
      </c>
      <c r="C143" s="1004" t="s">
        <v>11511</v>
      </c>
      <c r="D143" s="388" t="s">
        <v>11512</v>
      </c>
      <c r="E143" s="599" t="s">
        <v>7065</v>
      </c>
      <c r="F143" s="1137">
        <v>10.0</v>
      </c>
      <c r="G143" s="1137">
        <v>142.8</v>
      </c>
      <c r="H143" s="466">
        <f t="shared" si="33"/>
        <v>1428</v>
      </c>
      <c r="I143" s="388"/>
      <c r="J143" s="388"/>
      <c r="K143" s="265" t="s">
        <v>11086</v>
      </c>
      <c r="L143" s="269" t="s">
        <v>90</v>
      </c>
      <c r="M143" s="832">
        <v>42114.0</v>
      </c>
      <c r="N143" s="388"/>
      <c r="O143" s="269" t="s">
        <v>90</v>
      </c>
      <c r="P143" s="265" t="s">
        <v>11513</v>
      </c>
      <c r="Q143" s="773">
        <v>1344.0</v>
      </c>
      <c r="R143" s="388"/>
      <c r="S143" s="388" t="s">
        <v>11006</v>
      </c>
      <c r="T143" s="388"/>
      <c r="U143" s="388"/>
      <c r="V143" s="1132">
        <v>42111.0</v>
      </c>
      <c r="W143" s="320" t="s">
        <v>11514</v>
      </c>
      <c r="X143" s="1135">
        <v>42867.0</v>
      </c>
      <c r="Y143" s="388"/>
      <c r="Z143" s="388" t="s">
        <v>11515</v>
      </c>
      <c r="AA143" s="388" t="s">
        <v>11516</v>
      </c>
      <c r="AB143" s="1159">
        <v>45245.0</v>
      </c>
      <c r="AC143" s="388" t="s">
        <v>11457</v>
      </c>
      <c r="AD143" s="388"/>
    </row>
    <row r="144" ht="15.75" customHeight="1">
      <c r="A144" s="764">
        <v>42103.0</v>
      </c>
      <c r="B144" s="844" t="s">
        <v>10926</v>
      </c>
      <c r="C144" s="1004" t="s">
        <v>11511</v>
      </c>
      <c r="D144" s="388" t="s">
        <v>11512</v>
      </c>
      <c r="E144" s="599" t="s">
        <v>4808</v>
      </c>
      <c r="F144" s="1137">
        <v>10.0</v>
      </c>
      <c r="G144" s="1137">
        <v>3.15</v>
      </c>
      <c r="H144" s="466">
        <f t="shared" si="33"/>
        <v>31.5</v>
      </c>
      <c r="I144" s="388"/>
      <c r="J144" s="388"/>
      <c r="K144" s="265" t="s">
        <v>11086</v>
      </c>
      <c r="L144" s="269" t="s">
        <v>90</v>
      </c>
      <c r="M144" s="832">
        <v>42114.0</v>
      </c>
      <c r="N144" s="388"/>
      <c r="O144" s="269" t="s">
        <v>90</v>
      </c>
      <c r="P144" s="265" t="s">
        <v>11513</v>
      </c>
      <c r="Q144" s="773">
        <v>31.5</v>
      </c>
      <c r="R144" s="388"/>
      <c r="S144" s="388" t="s">
        <v>11006</v>
      </c>
      <c r="T144" s="388"/>
      <c r="U144" s="388"/>
      <c r="V144" s="1132">
        <v>42111.0</v>
      </c>
      <c r="W144" s="320" t="s">
        <v>11514</v>
      </c>
      <c r="X144" s="256" t="s">
        <v>8836</v>
      </c>
      <c r="Y144" s="388"/>
      <c r="Z144" s="388" t="s">
        <v>11515</v>
      </c>
      <c r="AA144" s="388" t="s">
        <v>11516</v>
      </c>
      <c r="AB144" s="1137" t="s">
        <v>8836</v>
      </c>
      <c r="AC144" s="388" t="s">
        <v>11457</v>
      </c>
      <c r="AD144" s="388"/>
    </row>
    <row r="145" ht="15.75" customHeight="1">
      <c r="A145" s="764">
        <v>42109.0</v>
      </c>
      <c r="B145" s="844" t="s">
        <v>10926</v>
      </c>
      <c r="C145" s="1004" t="s">
        <v>11517</v>
      </c>
      <c r="D145" s="388" t="s">
        <v>11518</v>
      </c>
      <c r="E145" s="599" t="s">
        <v>7584</v>
      </c>
      <c r="F145" s="1137">
        <v>10.0</v>
      </c>
      <c r="G145" s="1137">
        <v>113.5</v>
      </c>
      <c r="H145" s="466">
        <f t="shared" si="33"/>
        <v>1135</v>
      </c>
      <c r="I145" s="773">
        <v>3541.65</v>
      </c>
      <c r="J145" s="1149">
        <f t="shared" ref="J145:J147" si="36">F145*I145</f>
        <v>35416.5</v>
      </c>
      <c r="K145" s="265" t="s">
        <v>11086</v>
      </c>
      <c r="L145" s="269" t="s">
        <v>10976</v>
      </c>
      <c r="M145" s="832">
        <v>42115.0</v>
      </c>
      <c r="N145" s="832">
        <v>42111.0</v>
      </c>
      <c r="O145" s="269" t="s">
        <v>11033</v>
      </c>
      <c r="P145" s="1004" t="s">
        <v>11519</v>
      </c>
      <c r="Q145" s="388"/>
      <c r="R145" s="773">
        <v>34010.0</v>
      </c>
      <c r="S145" s="388" t="s">
        <v>8689</v>
      </c>
      <c r="T145" s="388"/>
      <c r="U145" s="388"/>
      <c r="V145" s="1144">
        <v>42110.0</v>
      </c>
      <c r="W145" s="388" t="s">
        <v>11520</v>
      </c>
      <c r="X145" s="845">
        <v>34010.0</v>
      </c>
      <c r="Y145" s="1144">
        <v>42129.0</v>
      </c>
      <c r="Z145" s="388" t="s">
        <v>11521</v>
      </c>
      <c r="AA145" s="388"/>
      <c r="AB145" s="1159">
        <v>46041.0</v>
      </c>
      <c r="AC145" s="388" t="s">
        <v>11457</v>
      </c>
      <c r="AD145" s="388"/>
    </row>
    <row r="146" ht="15.75" customHeight="1">
      <c r="A146" s="764">
        <v>42109.0</v>
      </c>
      <c r="B146" s="844" t="s">
        <v>10926</v>
      </c>
      <c r="C146" s="1004" t="s">
        <v>11522</v>
      </c>
      <c r="D146" s="388" t="s">
        <v>11523</v>
      </c>
      <c r="E146" s="599" t="s">
        <v>6596</v>
      </c>
      <c r="F146" s="1137">
        <v>3.0</v>
      </c>
      <c r="G146" s="1137">
        <v>113.5</v>
      </c>
      <c r="H146" s="466">
        <f t="shared" si="33"/>
        <v>340.5</v>
      </c>
      <c r="I146" s="773">
        <v>3541.65</v>
      </c>
      <c r="J146" s="1149">
        <f t="shared" si="36"/>
        <v>10624.95</v>
      </c>
      <c r="K146" s="265" t="s">
        <v>11086</v>
      </c>
      <c r="L146" s="269" t="s">
        <v>10976</v>
      </c>
      <c r="M146" s="832">
        <v>42115.0</v>
      </c>
      <c r="N146" s="832">
        <v>42111.0</v>
      </c>
      <c r="O146" s="269" t="s">
        <v>11033</v>
      </c>
      <c r="P146" s="1004" t="s">
        <v>11524</v>
      </c>
      <c r="Q146" s="388"/>
      <c r="R146" s="773">
        <v>10203.0</v>
      </c>
      <c r="S146" s="388" t="s">
        <v>8689</v>
      </c>
      <c r="T146" s="388"/>
      <c r="U146" s="388"/>
      <c r="V146" s="1144">
        <v>42111.0</v>
      </c>
      <c r="W146" s="388" t="s">
        <v>11525</v>
      </c>
      <c r="X146" s="845">
        <v>10203.0</v>
      </c>
      <c r="Y146" s="1144">
        <v>42129.0</v>
      </c>
      <c r="Z146" s="388" t="s">
        <v>11521</v>
      </c>
      <c r="AA146" s="388"/>
      <c r="AB146" s="1137" t="s">
        <v>8836</v>
      </c>
      <c r="AC146" s="388" t="s">
        <v>11457</v>
      </c>
      <c r="AD146" s="388"/>
    </row>
    <row r="147" ht="15.75" customHeight="1">
      <c r="A147" s="764">
        <v>42109.0</v>
      </c>
      <c r="B147" s="844" t="s">
        <v>10926</v>
      </c>
      <c r="C147" s="1004" t="s">
        <v>11522</v>
      </c>
      <c r="D147" s="388" t="s">
        <v>11526</v>
      </c>
      <c r="E147" s="599" t="s">
        <v>11527</v>
      </c>
      <c r="F147" s="1137">
        <v>4.0</v>
      </c>
      <c r="G147" s="1137">
        <v>99.885</v>
      </c>
      <c r="H147" s="466">
        <f t="shared" si="33"/>
        <v>399.54</v>
      </c>
      <c r="I147" s="1137">
        <v>3116.4</v>
      </c>
      <c r="J147" s="1149">
        <f t="shared" si="36"/>
        <v>12465.6</v>
      </c>
      <c r="K147" s="265" t="s">
        <v>11086</v>
      </c>
      <c r="L147" s="269" t="s">
        <v>10976</v>
      </c>
      <c r="M147" s="832">
        <v>42129.0</v>
      </c>
      <c r="N147" s="832">
        <v>42124.0</v>
      </c>
      <c r="O147" s="269" t="s">
        <v>11033</v>
      </c>
      <c r="P147" s="1004" t="s">
        <v>11528</v>
      </c>
      <c r="Q147" s="388"/>
      <c r="R147" s="773">
        <v>11966.0</v>
      </c>
      <c r="S147" s="388" t="s">
        <v>8689</v>
      </c>
      <c r="T147" s="388"/>
      <c r="U147" s="388"/>
      <c r="V147" s="1144">
        <v>42124.0</v>
      </c>
      <c r="W147" s="388" t="s">
        <v>11529</v>
      </c>
      <c r="X147" s="1135">
        <v>11966.0</v>
      </c>
      <c r="Y147" s="1144">
        <v>42159.0</v>
      </c>
      <c r="Z147" s="388" t="s">
        <v>11530</v>
      </c>
      <c r="AA147" s="388"/>
      <c r="AB147" s="1159">
        <v>12466.0</v>
      </c>
      <c r="AC147" s="388" t="s">
        <v>11531</v>
      </c>
      <c r="AD147" s="388"/>
    </row>
    <row r="148" ht="15.75" customHeight="1">
      <c r="A148" s="764">
        <v>42110.0</v>
      </c>
      <c r="B148" s="844" t="s">
        <v>10926</v>
      </c>
      <c r="C148" s="1004" t="s">
        <v>11532</v>
      </c>
      <c r="D148" s="388" t="s">
        <v>11533</v>
      </c>
      <c r="E148" s="599" t="s">
        <v>11534</v>
      </c>
      <c r="F148" s="1137">
        <v>10.0</v>
      </c>
      <c r="G148" s="1137">
        <v>142.8</v>
      </c>
      <c r="H148" s="466">
        <f t="shared" si="33"/>
        <v>1428</v>
      </c>
      <c r="I148" s="388"/>
      <c r="J148" s="388"/>
      <c r="K148" s="265" t="s">
        <v>11086</v>
      </c>
      <c r="L148" s="599"/>
      <c r="M148" s="832">
        <v>42121.0</v>
      </c>
      <c r="N148" s="388"/>
      <c r="O148" s="269" t="s">
        <v>90</v>
      </c>
      <c r="P148" s="265" t="s">
        <v>11535</v>
      </c>
      <c r="Q148" s="773">
        <v>1344.0</v>
      </c>
      <c r="R148" s="388"/>
      <c r="S148" s="388" t="s">
        <v>11006</v>
      </c>
      <c r="T148" s="388"/>
      <c r="U148" s="1139"/>
      <c r="V148" s="1144">
        <v>42117.0</v>
      </c>
      <c r="W148" s="388" t="s">
        <v>11536</v>
      </c>
      <c r="X148" s="845">
        <v>42895.0</v>
      </c>
      <c r="Y148" s="1144">
        <v>42129.0</v>
      </c>
      <c r="Z148" s="388" t="s">
        <v>11537</v>
      </c>
      <c r="AA148" s="388" t="s">
        <v>11538</v>
      </c>
      <c r="AB148" s="1159">
        <v>45026.0</v>
      </c>
      <c r="AC148" s="388" t="s">
        <v>11539</v>
      </c>
      <c r="AD148" s="388"/>
    </row>
    <row r="149" ht="15.75" customHeight="1">
      <c r="A149" s="764">
        <v>42110.0</v>
      </c>
      <c r="B149" s="844" t="s">
        <v>10926</v>
      </c>
      <c r="C149" s="1004" t="s">
        <v>11532</v>
      </c>
      <c r="D149" s="388" t="s">
        <v>11533</v>
      </c>
      <c r="E149" s="599" t="s">
        <v>4808</v>
      </c>
      <c r="F149" s="1137">
        <v>10.0</v>
      </c>
      <c r="G149" s="1137">
        <v>3.15</v>
      </c>
      <c r="H149" s="466">
        <f t="shared" si="33"/>
        <v>31.5</v>
      </c>
      <c r="I149" s="388"/>
      <c r="J149" s="388"/>
      <c r="K149" s="265" t="s">
        <v>11086</v>
      </c>
      <c r="L149" s="599"/>
      <c r="M149" s="832">
        <v>42121.0</v>
      </c>
      <c r="N149" s="388"/>
      <c r="O149" s="269" t="s">
        <v>90</v>
      </c>
      <c r="P149" s="265" t="s">
        <v>11535</v>
      </c>
      <c r="Q149" s="773">
        <v>31.5</v>
      </c>
      <c r="R149" s="388"/>
      <c r="S149" s="388" t="s">
        <v>11006</v>
      </c>
      <c r="T149" s="388"/>
      <c r="U149" s="1139"/>
      <c r="V149" s="1144">
        <v>42117.0</v>
      </c>
      <c r="W149" s="388" t="s">
        <v>11536</v>
      </c>
      <c r="X149" s="592" t="s">
        <v>8836</v>
      </c>
      <c r="Y149" s="1144">
        <v>42129.0</v>
      </c>
      <c r="Z149" s="388" t="s">
        <v>11537</v>
      </c>
      <c r="AA149" s="388" t="s">
        <v>11538</v>
      </c>
      <c r="AB149" s="1137" t="s">
        <v>8836</v>
      </c>
      <c r="AC149" s="388" t="s">
        <v>11539</v>
      </c>
      <c r="AD149" s="388"/>
    </row>
    <row r="150" ht="15.75" customHeight="1">
      <c r="A150" s="764">
        <v>42111.0</v>
      </c>
      <c r="B150" s="844" t="s">
        <v>10926</v>
      </c>
      <c r="C150" s="1004" t="s">
        <v>11540</v>
      </c>
      <c r="D150" s="388" t="s">
        <v>11541</v>
      </c>
      <c r="E150" s="599" t="s">
        <v>11345</v>
      </c>
      <c r="F150" s="1137">
        <v>40.0</v>
      </c>
      <c r="G150" s="1137">
        <v>64.05</v>
      </c>
      <c r="H150" s="466">
        <f t="shared" si="33"/>
        <v>2562</v>
      </c>
      <c r="I150" s="388"/>
      <c r="J150" s="388"/>
      <c r="K150" s="265" t="s">
        <v>11086</v>
      </c>
      <c r="L150" s="599"/>
      <c r="M150" s="832">
        <v>42121.0</v>
      </c>
      <c r="N150" s="388"/>
      <c r="O150" s="269" t="s">
        <v>90</v>
      </c>
      <c r="P150" s="265" t="s">
        <v>11542</v>
      </c>
      <c r="Q150" s="773">
        <v>2268.0</v>
      </c>
      <c r="R150" s="388"/>
      <c r="S150" s="388" t="s">
        <v>11006</v>
      </c>
      <c r="T150" s="388"/>
      <c r="U150" s="1139"/>
      <c r="V150" s="1144">
        <v>42117.0</v>
      </c>
      <c r="W150" s="388" t="s">
        <v>11543</v>
      </c>
      <c r="X150" s="845">
        <v>70728.0</v>
      </c>
      <c r="Y150" s="1144">
        <v>42129.0</v>
      </c>
      <c r="Z150" s="388" t="s">
        <v>11544</v>
      </c>
      <c r="AA150" s="388" t="s">
        <v>11538</v>
      </c>
      <c r="AB150" s="1159">
        <v>79038.0</v>
      </c>
      <c r="AC150" s="388" t="s">
        <v>11539</v>
      </c>
      <c r="AD150" s="388"/>
    </row>
    <row r="151" ht="15.75" customHeight="1">
      <c r="A151" s="764">
        <v>42114.0</v>
      </c>
      <c r="B151" s="844" t="s">
        <v>10926</v>
      </c>
      <c r="C151" s="1004" t="s">
        <v>11545</v>
      </c>
      <c r="D151" s="388" t="s">
        <v>11546</v>
      </c>
      <c r="E151" s="599" t="s">
        <v>11263</v>
      </c>
      <c r="F151" s="1137">
        <v>1.0</v>
      </c>
      <c r="G151" s="1137">
        <v>99.88</v>
      </c>
      <c r="H151" s="466">
        <f t="shared" si="33"/>
        <v>99.88</v>
      </c>
      <c r="I151" s="1137">
        <f>2968*1.05</f>
        <v>3116.4</v>
      </c>
      <c r="J151" s="1149">
        <f t="shared" ref="J151:J155" si="37">F151*I151</f>
        <v>3116.4</v>
      </c>
      <c r="K151" s="265" t="s">
        <v>11086</v>
      </c>
      <c r="L151" s="599"/>
      <c r="M151" s="832">
        <v>42121.0</v>
      </c>
      <c r="N151" s="1148">
        <v>42117.0</v>
      </c>
      <c r="O151" s="269" t="s">
        <v>11033</v>
      </c>
      <c r="P151" s="1004" t="s">
        <v>11547</v>
      </c>
      <c r="Q151" s="388"/>
      <c r="R151" s="773">
        <v>2991.0</v>
      </c>
      <c r="S151" s="388" t="s">
        <v>8689</v>
      </c>
      <c r="T151" s="388"/>
      <c r="U151" s="388"/>
      <c r="V151" s="1144">
        <v>42116.0</v>
      </c>
      <c r="W151" s="388" t="s">
        <v>11548</v>
      </c>
      <c r="X151" s="845">
        <v>2991.0</v>
      </c>
      <c r="Y151" s="1144">
        <v>42129.0</v>
      </c>
      <c r="Z151" s="388" t="s">
        <v>11549</v>
      </c>
      <c r="AA151" s="388"/>
      <c r="AB151" s="1159">
        <v>3116.0</v>
      </c>
      <c r="AC151" s="388" t="s">
        <v>11539</v>
      </c>
      <c r="AD151" s="388"/>
    </row>
    <row r="152" ht="15.75" customHeight="1">
      <c r="A152" s="764">
        <v>42116.0</v>
      </c>
      <c r="B152" s="844" t="s">
        <v>10926</v>
      </c>
      <c r="C152" s="1004" t="s">
        <v>11550</v>
      </c>
      <c r="D152" s="388" t="s">
        <v>11551</v>
      </c>
      <c r="E152" s="599" t="s">
        <v>11552</v>
      </c>
      <c r="F152" s="1137">
        <v>1.0</v>
      </c>
      <c r="G152" s="325">
        <v>176.346153846154</v>
      </c>
      <c r="H152" s="466">
        <f t="shared" si="33"/>
        <v>176.3461538</v>
      </c>
      <c r="I152" s="1137">
        <v>5502.0</v>
      </c>
      <c r="J152" s="1149">
        <f t="shared" si="37"/>
        <v>5502</v>
      </c>
      <c r="K152" s="265" t="s">
        <v>11086</v>
      </c>
      <c r="L152" s="269" t="s">
        <v>10976</v>
      </c>
      <c r="M152" s="832">
        <v>42121.0</v>
      </c>
      <c r="N152" s="832">
        <v>42121.0</v>
      </c>
      <c r="O152" s="269" t="s">
        <v>11033</v>
      </c>
      <c r="P152" s="1004" t="s">
        <v>11553</v>
      </c>
      <c r="Q152" s="388"/>
      <c r="R152" s="1251">
        <v>5282.0</v>
      </c>
      <c r="S152" s="388" t="s">
        <v>8689</v>
      </c>
      <c r="T152" s="388"/>
      <c r="U152" s="388"/>
      <c r="V152" s="1132">
        <v>42124.0</v>
      </c>
      <c r="W152" s="265" t="s">
        <v>11554</v>
      </c>
      <c r="X152" s="1135">
        <v>26097.0</v>
      </c>
      <c r="Y152" s="1144">
        <v>42159.0</v>
      </c>
      <c r="Z152" s="388" t="s">
        <v>11555</v>
      </c>
      <c r="AA152" s="388"/>
      <c r="AB152" s="1159">
        <v>27180.0</v>
      </c>
      <c r="AC152" s="1146" t="s">
        <v>11539</v>
      </c>
      <c r="AD152" s="388"/>
    </row>
    <row r="153" ht="15.75" customHeight="1">
      <c r="A153" s="764">
        <v>42116.0</v>
      </c>
      <c r="B153" s="844" t="s">
        <v>10926</v>
      </c>
      <c r="C153" s="1004" t="s">
        <v>11550</v>
      </c>
      <c r="D153" s="388" t="s">
        <v>11551</v>
      </c>
      <c r="E153" s="599" t="s">
        <v>11556</v>
      </c>
      <c r="F153" s="1137">
        <v>1.0</v>
      </c>
      <c r="G153" s="325">
        <v>146.394230769231</v>
      </c>
      <c r="H153" s="466">
        <f t="shared" si="33"/>
        <v>146.3942308</v>
      </c>
      <c r="I153" s="1137">
        <v>4567.5</v>
      </c>
      <c r="J153" s="1149">
        <f t="shared" si="37"/>
        <v>4567.5</v>
      </c>
      <c r="K153" s="265" t="s">
        <v>11086</v>
      </c>
      <c r="L153" s="269" t="s">
        <v>10976</v>
      </c>
      <c r="M153" s="832">
        <v>42121.0</v>
      </c>
      <c r="N153" s="832">
        <v>42121.0</v>
      </c>
      <c r="O153" s="269" t="s">
        <v>11033</v>
      </c>
      <c r="P153" s="1004" t="s">
        <v>11553</v>
      </c>
      <c r="Q153" s="388"/>
      <c r="R153" s="1251">
        <v>4385.0</v>
      </c>
      <c r="S153" s="388" t="s">
        <v>8689</v>
      </c>
      <c r="T153" s="388"/>
      <c r="U153" s="388"/>
      <c r="V153" s="1132">
        <v>42124.0</v>
      </c>
      <c r="W153" s="265" t="s">
        <v>11554</v>
      </c>
      <c r="X153" s="1135" t="s">
        <v>8836</v>
      </c>
      <c r="Y153" s="1144">
        <v>42159.0</v>
      </c>
      <c r="Z153" s="388" t="s">
        <v>11555</v>
      </c>
      <c r="AA153" s="388"/>
      <c r="AB153" s="1159" t="s">
        <v>8836</v>
      </c>
      <c r="AC153" s="1146" t="s">
        <v>11539</v>
      </c>
      <c r="AD153" s="388"/>
    </row>
    <row r="154" ht="15.75" customHeight="1">
      <c r="A154" s="764">
        <v>42116.0</v>
      </c>
      <c r="B154" s="844" t="s">
        <v>10926</v>
      </c>
      <c r="C154" s="1004" t="s">
        <v>11550</v>
      </c>
      <c r="D154" s="388" t="s">
        <v>11551</v>
      </c>
      <c r="E154" s="599" t="s">
        <v>11557</v>
      </c>
      <c r="F154" s="1137">
        <v>4.0</v>
      </c>
      <c r="G154" s="325">
        <v>71.7163461538462</v>
      </c>
      <c r="H154" s="466">
        <f t="shared" si="33"/>
        <v>286.8653846</v>
      </c>
      <c r="I154" s="1137">
        <v>2237.55</v>
      </c>
      <c r="J154" s="1149">
        <f t="shared" si="37"/>
        <v>8950.2</v>
      </c>
      <c r="K154" s="265" t="s">
        <v>11086</v>
      </c>
      <c r="L154" s="269" t="s">
        <v>10976</v>
      </c>
      <c r="M154" s="832">
        <v>42121.0</v>
      </c>
      <c r="N154" s="832">
        <v>42121.0</v>
      </c>
      <c r="O154" s="269" t="s">
        <v>11033</v>
      </c>
      <c r="P154" s="1004" t="s">
        <v>11553</v>
      </c>
      <c r="Q154" s="388"/>
      <c r="R154" s="1251">
        <v>8593.0</v>
      </c>
      <c r="S154" s="388" t="s">
        <v>8689</v>
      </c>
      <c r="T154" s="388"/>
      <c r="U154" s="388"/>
      <c r="V154" s="1132">
        <v>42124.0</v>
      </c>
      <c r="W154" s="265" t="s">
        <v>11554</v>
      </c>
      <c r="X154" s="1135" t="s">
        <v>8836</v>
      </c>
      <c r="Y154" s="1144">
        <v>42159.0</v>
      </c>
      <c r="Z154" s="388" t="s">
        <v>11555</v>
      </c>
      <c r="AA154" s="388"/>
      <c r="AB154" s="1159" t="s">
        <v>8836</v>
      </c>
      <c r="AC154" s="1146" t="s">
        <v>11539</v>
      </c>
      <c r="AD154" s="388"/>
    </row>
    <row r="155" ht="15.75" customHeight="1">
      <c r="A155" s="764">
        <v>42116.0</v>
      </c>
      <c r="B155" s="844" t="s">
        <v>10926</v>
      </c>
      <c r="C155" s="1004" t="s">
        <v>11550</v>
      </c>
      <c r="D155" s="388" t="s">
        <v>11551</v>
      </c>
      <c r="E155" s="599" t="s">
        <v>10104</v>
      </c>
      <c r="F155" s="1137">
        <v>2.0</v>
      </c>
      <c r="G155" s="325">
        <v>130.778846153846</v>
      </c>
      <c r="H155" s="466">
        <f t="shared" si="33"/>
        <v>261.5576923</v>
      </c>
      <c r="I155" s="1137">
        <v>4080.3</v>
      </c>
      <c r="J155" s="1149">
        <f t="shared" si="37"/>
        <v>8160.6</v>
      </c>
      <c r="K155" s="265" t="s">
        <v>11086</v>
      </c>
      <c r="L155" s="269" t="s">
        <v>10976</v>
      </c>
      <c r="M155" s="832">
        <v>42121.0</v>
      </c>
      <c r="N155" s="832">
        <v>42121.0</v>
      </c>
      <c r="O155" s="269" t="s">
        <v>11033</v>
      </c>
      <c r="P155" s="1004" t="s">
        <v>11553</v>
      </c>
      <c r="Q155" s="388"/>
      <c r="R155" s="1251">
        <v>7837.0</v>
      </c>
      <c r="S155" s="388" t="s">
        <v>8689</v>
      </c>
      <c r="T155" s="388"/>
      <c r="U155" s="388"/>
      <c r="V155" s="1132">
        <v>42124.0</v>
      </c>
      <c r="W155" s="265" t="s">
        <v>11554</v>
      </c>
      <c r="X155" s="1135" t="s">
        <v>8836</v>
      </c>
      <c r="Y155" s="1144">
        <v>42159.0</v>
      </c>
      <c r="Z155" s="388" t="s">
        <v>11555</v>
      </c>
      <c r="AA155" s="388"/>
      <c r="AB155" s="1159" t="s">
        <v>8836</v>
      </c>
      <c r="AC155" s="1146" t="s">
        <v>11539</v>
      </c>
      <c r="AD155" s="388"/>
    </row>
    <row r="156" ht="15.75" customHeight="1">
      <c r="A156" s="764">
        <v>42117.0</v>
      </c>
      <c r="B156" s="844" t="s">
        <v>10926</v>
      </c>
      <c r="C156" s="1004" t="s">
        <v>11558</v>
      </c>
      <c r="D156" s="388" t="s">
        <v>11559</v>
      </c>
      <c r="E156" s="599" t="s">
        <v>11560</v>
      </c>
      <c r="F156" s="1137">
        <v>20.0</v>
      </c>
      <c r="G156" s="1137">
        <v>76.65</v>
      </c>
      <c r="H156" s="466">
        <f t="shared" si="33"/>
        <v>1533</v>
      </c>
      <c r="I156" s="388"/>
      <c r="J156" s="388"/>
      <c r="K156" s="265" t="s">
        <v>11086</v>
      </c>
      <c r="L156" s="269" t="s">
        <v>90</v>
      </c>
      <c r="M156" s="832">
        <v>42124.0</v>
      </c>
      <c r="N156" s="388"/>
      <c r="O156" s="269" t="s">
        <v>90</v>
      </c>
      <c r="P156" s="265" t="s">
        <v>11561</v>
      </c>
      <c r="Q156" s="773">
        <v>1365.0</v>
      </c>
      <c r="R156" s="388"/>
      <c r="S156" s="388" t="s">
        <v>11006</v>
      </c>
      <c r="T156" s="388"/>
      <c r="U156" s="1139"/>
      <c r="V156" s="1132">
        <v>42123.0</v>
      </c>
      <c r="W156" s="265" t="s">
        <v>11562</v>
      </c>
      <c r="X156" s="1135">
        <v>42568.0</v>
      </c>
      <c r="Y156" s="1144">
        <v>42129.0</v>
      </c>
      <c r="Z156" s="388" t="s">
        <v>11563</v>
      </c>
      <c r="AA156" s="388" t="s">
        <v>11564</v>
      </c>
      <c r="AB156" s="1159">
        <v>58388.0</v>
      </c>
      <c r="AC156" s="1146" t="s">
        <v>11565</v>
      </c>
      <c r="AD156" s="388"/>
    </row>
    <row r="157" ht="15.75" customHeight="1">
      <c r="A157" s="764">
        <v>42117.0</v>
      </c>
      <c r="B157" s="844" t="s">
        <v>10926</v>
      </c>
      <c r="C157" s="1004" t="s">
        <v>11566</v>
      </c>
      <c r="D157" s="388" t="s">
        <v>11567</v>
      </c>
      <c r="E157" s="599" t="s">
        <v>11560</v>
      </c>
      <c r="F157" s="1137">
        <v>5.0</v>
      </c>
      <c r="G157" s="1137">
        <v>76.65</v>
      </c>
      <c r="H157" s="466">
        <f t="shared" si="33"/>
        <v>383.25</v>
      </c>
      <c r="I157" s="388"/>
      <c r="J157" s="388"/>
      <c r="K157" s="265" t="s">
        <v>11086</v>
      </c>
      <c r="L157" s="269" t="s">
        <v>90</v>
      </c>
      <c r="M157" s="832">
        <v>42124.0</v>
      </c>
      <c r="N157" s="388"/>
      <c r="O157" s="269" t="s">
        <v>90</v>
      </c>
      <c r="P157" s="265" t="s">
        <v>11568</v>
      </c>
      <c r="Q157" s="773">
        <v>341.25</v>
      </c>
      <c r="R157" s="388"/>
      <c r="S157" s="388" t="s">
        <v>11006</v>
      </c>
      <c r="T157" s="388"/>
      <c r="U157" s="388"/>
      <c r="V157" s="1132">
        <v>42123.0</v>
      </c>
      <c r="W157" s="265" t="s">
        <v>11569</v>
      </c>
      <c r="X157" s="1135">
        <v>10642.0</v>
      </c>
      <c r="Y157" s="388"/>
      <c r="Z157" s="388" t="s">
        <v>11563</v>
      </c>
      <c r="AA157" s="388" t="s">
        <v>11564</v>
      </c>
      <c r="AB157" s="1159" t="s">
        <v>8836</v>
      </c>
      <c r="AC157" s="1146" t="s">
        <v>11565</v>
      </c>
      <c r="AD157" s="388"/>
    </row>
    <row r="158" ht="15.75" customHeight="1">
      <c r="A158" s="764">
        <v>42122.0</v>
      </c>
      <c r="B158" s="844" t="s">
        <v>10926</v>
      </c>
      <c r="C158" s="1004" t="s">
        <v>11570</v>
      </c>
      <c r="D158" s="388" t="s">
        <v>11571</v>
      </c>
      <c r="E158" s="599" t="s">
        <v>11572</v>
      </c>
      <c r="F158" s="1137">
        <v>10.0</v>
      </c>
      <c r="G158" s="773">
        <f>174.125</f>
        <v>174.125</v>
      </c>
      <c r="H158" s="466">
        <f t="shared" si="33"/>
        <v>1741.25</v>
      </c>
      <c r="I158" s="773">
        <v>5432.7</v>
      </c>
      <c r="J158" s="1149">
        <f>F158*I158</f>
        <v>54327</v>
      </c>
      <c r="K158" s="265" t="s">
        <v>11086</v>
      </c>
      <c r="L158" s="269" t="s">
        <v>10976</v>
      </c>
      <c r="M158" s="832">
        <v>42143.0</v>
      </c>
      <c r="N158" s="832">
        <v>42142.0</v>
      </c>
      <c r="O158" s="269" t="s">
        <v>11033</v>
      </c>
      <c r="P158" s="1004" t="s">
        <v>11573</v>
      </c>
      <c r="Q158" s="388"/>
      <c r="R158" s="773">
        <v>52154.0</v>
      </c>
      <c r="S158" s="388" t="s">
        <v>8689</v>
      </c>
      <c r="T158" s="388"/>
      <c r="U158" s="388"/>
      <c r="V158" s="1144">
        <v>42140.0</v>
      </c>
      <c r="W158" s="388" t="s">
        <v>11574</v>
      </c>
      <c r="X158" s="845">
        <v>52154.0</v>
      </c>
      <c r="Y158" s="1144">
        <v>42159.0</v>
      </c>
      <c r="Z158" s="388" t="s">
        <v>11575</v>
      </c>
      <c r="AA158" s="388"/>
      <c r="AB158" s="1159">
        <v>54327.0</v>
      </c>
      <c r="AC158" s="388" t="s">
        <v>11576</v>
      </c>
      <c r="AD158" s="388"/>
    </row>
    <row r="159" ht="15.75" customHeight="1">
      <c r="A159" s="764">
        <v>42122.0</v>
      </c>
      <c r="B159" s="844" t="s">
        <v>10926</v>
      </c>
      <c r="C159" s="1004" t="s">
        <v>11577</v>
      </c>
      <c r="D159" s="388" t="s">
        <v>11578</v>
      </c>
      <c r="E159" s="340" t="s">
        <v>11579</v>
      </c>
      <c r="F159" s="773">
        <v>1.0</v>
      </c>
      <c r="G159" s="773">
        <f>85*1.05</f>
        <v>89.25</v>
      </c>
      <c r="H159" s="466">
        <f t="shared" si="33"/>
        <v>89.25</v>
      </c>
      <c r="I159" s="388"/>
      <c r="J159" s="388"/>
      <c r="K159" s="265" t="s">
        <v>11086</v>
      </c>
      <c r="L159" s="269" t="s">
        <v>90</v>
      </c>
      <c r="M159" s="832">
        <v>42130.0</v>
      </c>
      <c r="N159" s="388"/>
      <c r="O159" s="269" t="s">
        <v>90</v>
      </c>
      <c r="P159" s="265" t="s">
        <v>11580</v>
      </c>
      <c r="Q159" s="773">
        <v>80.17</v>
      </c>
      <c r="R159" s="388"/>
      <c r="S159" s="388" t="s">
        <v>11006</v>
      </c>
      <c r="T159" s="388"/>
      <c r="U159" s="1139"/>
      <c r="V159" s="1144">
        <v>42130.0</v>
      </c>
      <c r="W159" s="388" t="s">
        <v>11581</v>
      </c>
      <c r="X159" s="845">
        <v>2468.0</v>
      </c>
      <c r="Y159" s="1144">
        <v>42129.0</v>
      </c>
      <c r="Z159" s="388" t="s">
        <v>11582</v>
      </c>
      <c r="AA159" s="388" t="s">
        <v>11583</v>
      </c>
      <c r="AB159" s="1159">
        <v>2737.0</v>
      </c>
      <c r="AC159" s="388" t="s">
        <v>11584</v>
      </c>
      <c r="AD159" s="388"/>
    </row>
    <row r="160" ht="15.75" customHeight="1">
      <c r="A160" s="764">
        <v>42122.0</v>
      </c>
      <c r="B160" s="844" t="s">
        <v>10926</v>
      </c>
      <c r="C160" s="1004" t="s">
        <v>11585</v>
      </c>
      <c r="D160" s="388" t="s">
        <v>11586</v>
      </c>
      <c r="E160" s="599" t="s">
        <v>6596</v>
      </c>
      <c r="F160" s="1137">
        <v>5.0</v>
      </c>
      <c r="G160" s="325">
        <v>113.514423076923</v>
      </c>
      <c r="H160" s="466">
        <f t="shared" si="33"/>
        <v>567.5721154</v>
      </c>
      <c r="I160" s="773">
        <v>3541.65</v>
      </c>
      <c r="J160" s="1149">
        <v>17708.25</v>
      </c>
      <c r="K160" s="265" t="s">
        <v>11086</v>
      </c>
      <c r="L160" s="269" t="s">
        <v>10976</v>
      </c>
      <c r="M160" s="832">
        <v>42129.0</v>
      </c>
      <c r="N160" s="832">
        <v>42124.0</v>
      </c>
      <c r="O160" s="269" t="s">
        <v>11033</v>
      </c>
      <c r="P160" s="388" t="s">
        <v>11587</v>
      </c>
      <c r="Q160" s="388"/>
      <c r="R160" s="1149">
        <v>17004.75</v>
      </c>
      <c r="S160" s="388" t="s">
        <v>8689</v>
      </c>
      <c r="T160" s="388"/>
      <c r="U160" s="388"/>
      <c r="V160" s="1144">
        <v>42124.0</v>
      </c>
      <c r="W160" s="388" t="s">
        <v>11588</v>
      </c>
      <c r="X160" s="845">
        <v>105660.0</v>
      </c>
      <c r="Y160" s="1144">
        <v>42159.0</v>
      </c>
      <c r="Z160" s="388" t="s">
        <v>11589</v>
      </c>
      <c r="AA160" s="388"/>
      <c r="AB160" s="1159">
        <v>96073.0</v>
      </c>
      <c r="AC160" s="1146" t="s">
        <v>11531</v>
      </c>
      <c r="AD160" s="388"/>
    </row>
    <row r="161" ht="15.75" customHeight="1">
      <c r="A161" s="764">
        <v>42122.0</v>
      </c>
      <c r="B161" s="844" t="s">
        <v>10926</v>
      </c>
      <c r="C161" s="1004" t="s">
        <v>11585</v>
      </c>
      <c r="D161" s="388" t="s">
        <v>11586</v>
      </c>
      <c r="E161" s="599" t="s">
        <v>6451</v>
      </c>
      <c r="F161" s="1137">
        <v>8.0</v>
      </c>
      <c r="G161" s="325">
        <v>123.105769230769</v>
      </c>
      <c r="H161" s="466">
        <f t="shared" si="33"/>
        <v>984.8461538</v>
      </c>
      <c r="I161" s="773">
        <v>3840.9</v>
      </c>
      <c r="J161" s="1149">
        <v>30727.2</v>
      </c>
      <c r="K161" s="265" t="s">
        <v>11086</v>
      </c>
      <c r="L161" s="269" t="s">
        <v>10976</v>
      </c>
      <c r="M161" s="832">
        <v>42129.0</v>
      </c>
      <c r="N161" s="832">
        <v>42124.0</v>
      </c>
      <c r="O161" s="269" t="s">
        <v>11033</v>
      </c>
      <c r="P161" s="388" t="s">
        <v>11587</v>
      </c>
      <c r="Q161" s="388"/>
      <c r="R161" s="1149">
        <v>29500.8</v>
      </c>
      <c r="S161" s="388" t="s">
        <v>8689</v>
      </c>
      <c r="T161" s="388"/>
      <c r="U161" s="388"/>
      <c r="V161" s="1144">
        <v>42124.0</v>
      </c>
      <c r="W161" s="388" t="s">
        <v>11588</v>
      </c>
      <c r="X161" s="592" t="s">
        <v>8836</v>
      </c>
      <c r="Y161" s="1144">
        <v>42159.0</v>
      </c>
      <c r="Z161" s="388" t="s">
        <v>11589</v>
      </c>
      <c r="AA161" s="388"/>
      <c r="AB161" s="1159" t="s">
        <v>8836</v>
      </c>
      <c r="AC161" s="1146" t="s">
        <v>11531</v>
      </c>
      <c r="AD161" s="388"/>
    </row>
    <row r="162" ht="15.75" customHeight="1">
      <c r="A162" s="764">
        <v>42122.0</v>
      </c>
      <c r="B162" s="844" t="s">
        <v>10926</v>
      </c>
      <c r="C162" s="1004" t="s">
        <v>11585</v>
      </c>
      <c r="D162" s="388" t="s">
        <v>11586</v>
      </c>
      <c r="E162" s="599" t="s">
        <v>3671</v>
      </c>
      <c r="F162" s="1137">
        <v>5.0</v>
      </c>
      <c r="G162" s="325">
        <v>137.442307692308</v>
      </c>
      <c r="H162" s="466">
        <f t="shared" si="33"/>
        <v>687.2115385</v>
      </c>
      <c r="I162" s="773">
        <v>4288.2</v>
      </c>
      <c r="J162" s="1149">
        <v>21441.0</v>
      </c>
      <c r="K162" s="265" t="s">
        <v>11086</v>
      </c>
      <c r="L162" s="269" t="s">
        <v>10976</v>
      </c>
      <c r="M162" s="832">
        <v>42129.0</v>
      </c>
      <c r="N162" s="832">
        <v>42124.0</v>
      </c>
      <c r="O162" s="269" t="s">
        <v>11033</v>
      </c>
      <c r="P162" s="388" t="s">
        <v>11587</v>
      </c>
      <c r="Q162" s="388"/>
      <c r="R162" s="1149">
        <v>20585.25</v>
      </c>
      <c r="S162" s="388" t="s">
        <v>8689</v>
      </c>
      <c r="T162" s="388"/>
      <c r="U162" s="388"/>
      <c r="V162" s="1144">
        <v>42124.0</v>
      </c>
      <c r="W162" s="388" t="s">
        <v>11588</v>
      </c>
      <c r="X162" s="592" t="s">
        <v>8836</v>
      </c>
      <c r="Y162" s="1144">
        <v>42159.0</v>
      </c>
      <c r="Z162" s="388" t="s">
        <v>11589</v>
      </c>
      <c r="AA162" s="388"/>
      <c r="AB162" s="1159" t="s">
        <v>8836</v>
      </c>
      <c r="AC162" s="1146" t="s">
        <v>11531</v>
      </c>
      <c r="AD162" s="388"/>
    </row>
    <row r="163" ht="15.75" customHeight="1">
      <c r="A163" s="764">
        <v>42122.0</v>
      </c>
      <c r="B163" s="844" t="s">
        <v>10926</v>
      </c>
      <c r="C163" s="1004" t="s">
        <v>11585</v>
      </c>
      <c r="D163" s="388" t="s">
        <v>11586</v>
      </c>
      <c r="E163" s="599" t="s">
        <v>6190</v>
      </c>
      <c r="F163" s="1137">
        <v>3.0</v>
      </c>
      <c r="G163" s="325">
        <v>140.4375</v>
      </c>
      <c r="H163" s="466">
        <f t="shared" si="33"/>
        <v>421.3125</v>
      </c>
      <c r="I163" s="773">
        <v>4381.65</v>
      </c>
      <c r="J163" s="1149">
        <v>13144.95</v>
      </c>
      <c r="K163" s="265" t="s">
        <v>11086</v>
      </c>
      <c r="L163" s="269" t="s">
        <v>10976</v>
      </c>
      <c r="M163" s="832">
        <v>42129.0</v>
      </c>
      <c r="N163" s="832">
        <v>42124.0</v>
      </c>
      <c r="O163" s="269" t="s">
        <v>11033</v>
      </c>
      <c r="P163" s="388" t="s">
        <v>11587</v>
      </c>
      <c r="Q163" s="388"/>
      <c r="R163" s="1149">
        <v>12618.9</v>
      </c>
      <c r="S163" s="388" t="s">
        <v>8689</v>
      </c>
      <c r="T163" s="388"/>
      <c r="U163" s="388"/>
      <c r="V163" s="1144">
        <v>42124.0</v>
      </c>
      <c r="W163" s="388" t="s">
        <v>11588</v>
      </c>
      <c r="X163" s="592" t="s">
        <v>8836</v>
      </c>
      <c r="Y163" s="1144">
        <v>42159.0</v>
      </c>
      <c r="Z163" s="388" t="s">
        <v>11589</v>
      </c>
      <c r="AA163" s="388"/>
      <c r="AB163" s="1159" t="s">
        <v>8836</v>
      </c>
      <c r="AC163" s="1146" t="s">
        <v>11531</v>
      </c>
      <c r="AD163" s="388"/>
    </row>
    <row r="164" ht="15.75" customHeight="1">
      <c r="A164" s="764">
        <v>42122.0</v>
      </c>
      <c r="B164" s="844" t="s">
        <v>10926</v>
      </c>
      <c r="C164" s="1004" t="s">
        <v>11585</v>
      </c>
      <c r="D164" s="388" t="s">
        <v>11586</v>
      </c>
      <c r="E164" s="599" t="s">
        <v>6194</v>
      </c>
      <c r="F164" s="1137">
        <v>5.0</v>
      </c>
      <c r="G164" s="325">
        <v>83.6634615384616</v>
      </c>
      <c r="H164" s="466">
        <f t="shared" si="33"/>
        <v>418.3173077</v>
      </c>
      <c r="I164" s="773">
        <v>2610.3</v>
      </c>
      <c r="J164" s="1149">
        <v>13051.5</v>
      </c>
      <c r="K164" s="265" t="s">
        <v>11086</v>
      </c>
      <c r="L164" s="269" t="s">
        <v>10976</v>
      </c>
      <c r="M164" s="832">
        <v>42129.0</v>
      </c>
      <c r="N164" s="832">
        <v>42124.0</v>
      </c>
      <c r="O164" s="269" t="s">
        <v>11033</v>
      </c>
      <c r="P164" s="388" t="s">
        <v>11587</v>
      </c>
      <c r="Q164" s="388"/>
      <c r="R164" s="1149">
        <v>12531.75</v>
      </c>
      <c r="S164" s="388" t="s">
        <v>8689</v>
      </c>
      <c r="T164" s="388"/>
      <c r="U164" s="388"/>
      <c r="V164" s="1144">
        <v>42124.0</v>
      </c>
      <c r="W164" s="388" t="s">
        <v>11588</v>
      </c>
      <c r="X164" s="592" t="s">
        <v>8836</v>
      </c>
      <c r="Y164" s="1144">
        <v>42159.0</v>
      </c>
      <c r="Z164" s="388" t="s">
        <v>11589</v>
      </c>
      <c r="AA164" s="388"/>
      <c r="AB164" s="1159" t="s">
        <v>8836</v>
      </c>
      <c r="AC164" s="1146" t="s">
        <v>11531</v>
      </c>
      <c r="AD164" s="388"/>
    </row>
    <row r="165" ht="15.75" customHeight="1">
      <c r="A165" s="764">
        <v>42122.0</v>
      </c>
      <c r="B165" s="844" t="s">
        <v>10926</v>
      </c>
      <c r="C165" s="1004" t="s">
        <v>11585</v>
      </c>
      <c r="D165" s="388" t="s">
        <v>11586</v>
      </c>
      <c r="E165" s="599" t="s">
        <v>3676</v>
      </c>
      <c r="F165" s="1137">
        <v>10.0</v>
      </c>
      <c r="G165" s="325">
        <v>44.7932692307692</v>
      </c>
      <c r="H165" s="466">
        <f t="shared" si="33"/>
        <v>447.9326923</v>
      </c>
      <c r="I165" s="773">
        <v>1397.55</v>
      </c>
      <c r="J165" s="1149">
        <v>13975.5</v>
      </c>
      <c r="K165" s="265" t="s">
        <v>11086</v>
      </c>
      <c r="L165" s="269" t="s">
        <v>10976</v>
      </c>
      <c r="M165" s="832">
        <v>42129.0</v>
      </c>
      <c r="N165" s="832">
        <v>42124.0</v>
      </c>
      <c r="O165" s="269" t="s">
        <v>11033</v>
      </c>
      <c r="P165" s="388" t="s">
        <v>11587</v>
      </c>
      <c r="Q165" s="388"/>
      <c r="R165" s="1149">
        <v>13419.0</v>
      </c>
      <c r="S165" s="388" t="s">
        <v>8689</v>
      </c>
      <c r="T165" s="388"/>
      <c r="U165" s="388"/>
      <c r="V165" s="1144">
        <v>42124.0</v>
      </c>
      <c r="W165" s="388" t="s">
        <v>11588</v>
      </c>
      <c r="X165" s="592" t="s">
        <v>8836</v>
      </c>
      <c r="Y165" s="1144">
        <v>42159.0</v>
      </c>
      <c r="Z165" s="388" t="s">
        <v>11590</v>
      </c>
      <c r="AA165" s="388"/>
      <c r="AB165" s="1159">
        <v>13976.0</v>
      </c>
      <c r="AC165" s="1146" t="s">
        <v>11531</v>
      </c>
      <c r="AD165" s="388"/>
    </row>
    <row r="166" ht="15.75" customHeight="1">
      <c r="A166" s="764">
        <v>42124.0</v>
      </c>
      <c r="B166" s="844" t="s">
        <v>10926</v>
      </c>
      <c r="C166" s="1004" t="s">
        <v>11591</v>
      </c>
      <c r="D166" s="388" t="s">
        <v>11592</v>
      </c>
      <c r="E166" s="599" t="s">
        <v>7065</v>
      </c>
      <c r="F166" s="1137">
        <v>20.0</v>
      </c>
      <c r="G166" s="1137">
        <f>136*1.05</f>
        <v>142.8</v>
      </c>
      <c r="H166" s="466">
        <f t="shared" si="33"/>
        <v>2856</v>
      </c>
      <c r="I166" s="388"/>
      <c r="J166" s="388"/>
      <c r="K166" s="265" t="s">
        <v>11086</v>
      </c>
      <c r="L166" s="269" t="s">
        <v>90</v>
      </c>
      <c r="M166" s="832">
        <v>42135.0</v>
      </c>
      <c r="N166" s="388"/>
      <c r="O166" s="269" t="s">
        <v>90</v>
      </c>
      <c r="P166" s="265" t="s">
        <v>11593</v>
      </c>
      <c r="Q166" s="773">
        <v>2688.0</v>
      </c>
      <c r="R166" s="388"/>
      <c r="S166" s="388" t="s">
        <v>11006</v>
      </c>
      <c r="T166" s="388"/>
      <c r="U166" s="1139"/>
      <c r="V166" s="1144">
        <v>42135.0</v>
      </c>
      <c r="W166" s="388" t="s">
        <v>11594</v>
      </c>
      <c r="X166" s="845">
        <v>84249.0</v>
      </c>
      <c r="Y166" s="1144">
        <v>42129.0</v>
      </c>
      <c r="Z166" s="388" t="s">
        <v>11595</v>
      </c>
      <c r="AA166" s="388" t="s">
        <v>11596</v>
      </c>
      <c r="AB166" s="1159">
        <v>90460.0</v>
      </c>
      <c r="AC166" s="388" t="s">
        <v>11597</v>
      </c>
      <c r="AD166" s="388"/>
    </row>
    <row r="167" ht="15.75" customHeight="1">
      <c r="A167" s="764">
        <v>42124.0</v>
      </c>
      <c r="B167" s="844" t="s">
        <v>10926</v>
      </c>
      <c r="C167" s="1004" t="s">
        <v>11591</v>
      </c>
      <c r="D167" s="388" t="s">
        <v>11592</v>
      </c>
      <c r="E167" s="599" t="s">
        <v>4808</v>
      </c>
      <c r="F167" s="1137">
        <v>20.0</v>
      </c>
      <c r="G167" s="1137">
        <f>3*1.05</f>
        <v>3.15</v>
      </c>
      <c r="H167" s="466">
        <f t="shared" si="33"/>
        <v>63</v>
      </c>
      <c r="I167" s="388"/>
      <c r="J167" s="388"/>
      <c r="K167" s="265" t="s">
        <v>11086</v>
      </c>
      <c r="L167" s="269" t="s">
        <v>90</v>
      </c>
      <c r="M167" s="832">
        <v>42135.0</v>
      </c>
      <c r="N167" s="388"/>
      <c r="O167" s="269" t="s">
        <v>90</v>
      </c>
      <c r="P167" s="265" t="s">
        <v>11593</v>
      </c>
      <c r="Q167" s="773">
        <v>63.0</v>
      </c>
      <c r="R167" s="388"/>
      <c r="S167" s="388" t="s">
        <v>11006</v>
      </c>
      <c r="T167" s="388"/>
      <c r="U167" s="1139"/>
      <c r="V167" s="1144">
        <v>42135.0</v>
      </c>
      <c r="W167" s="388" t="s">
        <v>11594</v>
      </c>
      <c r="X167" s="592" t="s">
        <v>8836</v>
      </c>
      <c r="Y167" s="1144">
        <v>42129.0</v>
      </c>
      <c r="Z167" s="388" t="s">
        <v>11595</v>
      </c>
      <c r="AA167" s="388" t="s">
        <v>11596</v>
      </c>
      <c r="AB167" s="1137" t="s">
        <v>8836</v>
      </c>
      <c r="AC167" s="388" t="s">
        <v>11597</v>
      </c>
      <c r="AD167" s="388"/>
    </row>
    <row r="168" ht="15.75" customHeight="1">
      <c r="A168" s="764">
        <v>42129.0</v>
      </c>
      <c r="B168" s="844" t="s">
        <v>10926</v>
      </c>
      <c r="C168" s="1004" t="s">
        <v>11598</v>
      </c>
      <c r="D168" s="388" t="s">
        <v>11599</v>
      </c>
      <c r="E168" s="599" t="s">
        <v>11263</v>
      </c>
      <c r="F168" s="1137">
        <v>19.0</v>
      </c>
      <c r="G168" s="325">
        <v>101.19</v>
      </c>
      <c r="H168" s="466">
        <f t="shared" si="33"/>
        <v>1922.61</v>
      </c>
      <c r="I168" s="1137">
        <v>3096.45</v>
      </c>
      <c r="J168" s="1149">
        <f t="shared" ref="J168:J169" si="38">F168*I168</f>
        <v>58832.55</v>
      </c>
      <c r="K168" s="265" t="s">
        <v>11086</v>
      </c>
      <c r="L168" s="269" t="s">
        <v>10976</v>
      </c>
      <c r="M168" s="832">
        <v>42138.0</v>
      </c>
      <c r="N168" s="832">
        <v>42138.0</v>
      </c>
      <c r="O168" s="269" t="s">
        <v>11033</v>
      </c>
      <c r="P168" s="265" t="s">
        <v>11600</v>
      </c>
      <c r="Q168" s="388"/>
      <c r="R168" s="773">
        <v>56199.0</v>
      </c>
      <c r="S168" s="388" t="s">
        <v>8689</v>
      </c>
      <c r="T168" s="388"/>
      <c r="U168" s="1139"/>
      <c r="V168" s="1132">
        <v>42138.0</v>
      </c>
      <c r="W168" s="320" t="s">
        <v>11601</v>
      </c>
      <c r="X168" s="1135">
        <v>56199.0</v>
      </c>
      <c r="Y168" s="1144">
        <v>42159.0</v>
      </c>
      <c r="Z168" s="388" t="s">
        <v>11602</v>
      </c>
      <c r="AA168" s="388"/>
      <c r="AB168" s="1159">
        <v>58833.0</v>
      </c>
      <c r="AC168" s="388" t="s">
        <v>11603</v>
      </c>
      <c r="AD168" s="388"/>
    </row>
    <row r="169" ht="15.75" customHeight="1">
      <c r="A169" s="764">
        <v>42129.0</v>
      </c>
      <c r="B169" s="844" t="s">
        <v>10926</v>
      </c>
      <c r="C169" s="1004" t="s">
        <v>11598</v>
      </c>
      <c r="D169" s="388" t="s">
        <v>11599</v>
      </c>
      <c r="E169" s="599" t="s">
        <v>11263</v>
      </c>
      <c r="F169" s="1137">
        <v>55.0</v>
      </c>
      <c r="G169" s="325">
        <v>101.19</v>
      </c>
      <c r="H169" s="466">
        <f t="shared" si="33"/>
        <v>5565.45</v>
      </c>
      <c r="I169" s="1137">
        <v>3096.45</v>
      </c>
      <c r="J169" s="1149">
        <f t="shared" si="38"/>
        <v>170304.75</v>
      </c>
      <c r="K169" s="265" t="s">
        <v>11086</v>
      </c>
      <c r="L169" s="269" t="s">
        <v>10976</v>
      </c>
      <c r="M169" s="832">
        <v>42151.0</v>
      </c>
      <c r="N169" s="832">
        <v>42151.0</v>
      </c>
      <c r="O169" s="269" t="s">
        <v>11033</v>
      </c>
      <c r="P169" s="265" t="s">
        <v>11600</v>
      </c>
      <c r="Q169" s="388"/>
      <c r="R169" s="773">
        <v>162682.0</v>
      </c>
      <c r="S169" s="388" t="s">
        <v>8689</v>
      </c>
      <c r="T169" s="388"/>
      <c r="U169" s="388"/>
      <c r="V169" s="1133">
        <v>42150.0</v>
      </c>
      <c r="W169" s="320" t="s">
        <v>11604</v>
      </c>
      <c r="X169" s="1135">
        <v>162682.0</v>
      </c>
      <c r="Y169" s="1144">
        <v>42159.0</v>
      </c>
      <c r="Z169" s="388" t="s">
        <v>11605</v>
      </c>
      <c r="AA169" s="388"/>
      <c r="AB169" s="1159">
        <v>170305.0</v>
      </c>
      <c r="AC169" s="388" t="s">
        <v>11606</v>
      </c>
      <c r="AD169" s="388"/>
    </row>
    <row r="170" ht="15.75" customHeight="1">
      <c r="A170" s="764">
        <v>42129.0</v>
      </c>
      <c r="B170" s="844" t="s">
        <v>10926</v>
      </c>
      <c r="C170" s="1004" t="s">
        <v>11607</v>
      </c>
      <c r="D170" s="388" t="s">
        <v>11608</v>
      </c>
      <c r="E170" s="599" t="s">
        <v>9438</v>
      </c>
      <c r="F170" s="1137">
        <v>110.0</v>
      </c>
      <c r="G170" s="1137">
        <v>178.5</v>
      </c>
      <c r="H170" s="466">
        <f t="shared" si="33"/>
        <v>19635</v>
      </c>
      <c r="I170" s="388"/>
      <c r="J170" s="388"/>
      <c r="K170" s="265" t="s">
        <v>11086</v>
      </c>
      <c r="L170" s="269" t="s">
        <v>90</v>
      </c>
      <c r="M170" s="832">
        <v>42157.0</v>
      </c>
      <c r="N170" s="832">
        <v>42151.0</v>
      </c>
      <c r="O170" s="269" t="s">
        <v>90</v>
      </c>
      <c r="P170" s="265" t="s">
        <v>11609</v>
      </c>
      <c r="Q170" s="773">
        <v>16863.0</v>
      </c>
      <c r="R170" s="388"/>
      <c r="S170" s="388" t="s">
        <v>11006</v>
      </c>
      <c r="T170" s="388"/>
      <c r="U170" s="1139"/>
      <c r="V170" s="1132">
        <v>42151.0</v>
      </c>
      <c r="W170" s="320" t="s">
        <v>11610</v>
      </c>
      <c r="X170" s="1135">
        <v>512720.0</v>
      </c>
      <c r="Y170" s="1144">
        <v>42129.0</v>
      </c>
      <c r="Z170" s="388" t="s">
        <v>11611</v>
      </c>
      <c r="AA170" s="388" t="s">
        <v>11612</v>
      </c>
      <c r="AB170" s="1159">
        <v>603384.0</v>
      </c>
      <c r="AC170" s="388"/>
      <c r="AD170" s="388"/>
    </row>
    <row r="171" ht="15.75" customHeight="1">
      <c r="A171" s="764">
        <v>42130.0</v>
      </c>
      <c r="B171" s="844" t="s">
        <v>10926</v>
      </c>
      <c r="C171" s="1004" t="s">
        <v>11613</v>
      </c>
      <c r="D171" s="388" t="s">
        <v>11614</v>
      </c>
      <c r="E171" s="599" t="s">
        <v>11505</v>
      </c>
      <c r="F171" s="1137">
        <v>1.0</v>
      </c>
      <c r="G171" s="1137">
        <v>30.45</v>
      </c>
      <c r="H171" s="466">
        <f t="shared" si="33"/>
        <v>30.45</v>
      </c>
      <c r="I171" s="388"/>
      <c r="J171" s="388"/>
      <c r="K171" s="265" t="s">
        <v>11086</v>
      </c>
      <c r="L171" s="269" t="s">
        <v>90</v>
      </c>
      <c r="M171" s="832">
        <v>42135.0</v>
      </c>
      <c r="N171" s="388"/>
      <c r="O171" s="269" t="s">
        <v>90</v>
      </c>
      <c r="P171" s="265" t="s">
        <v>11615</v>
      </c>
      <c r="Q171" s="773">
        <v>28.35</v>
      </c>
      <c r="R171" s="388"/>
      <c r="S171" s="388" t="s">
        <v>11006</v>
      </c>
      <c r="T171" s="388"/>
      <c r="U171" s="1139"/>
      <c r="V171" s="1144">
        <v>42135.0</v>
      </c>
      <c r="W171" s="388" t="s">
        <v>11616</v>
      </c>
      <c r="X171" s="845">
        <v>868.0</v>
      </c>
      <c r="Y171" s="1144">
        <v>42129.0</v>
      </c>
      <c r="Z171" s="388" t="s">
        <v>11595</v>
      </c>
      <c r="AA171" s="388" t="s">
        <v>11596</v>
      </c>
      <c r="AB171" s="1137" t="s">
        <v>11617</v>
      </c>
      <c r="AC171" s="388" t="s">
        <v>11597</v>
      </c>
      <c r="AD171" s="388"/>
    </row>
    <row r="172" ht="15.75" customHeight="1">
      <c r="A172" s="764">
        <v>42130.0</v>
      </c>
      <c r="B172" s="844" t="s">
        <v>10926</v>
      </c>
      <c r="C172" s="1004" t="s">
        <v>11618</v>
      </c>
      <c r="D172" s="388" t="s">
        <v>11619</v>
      </c>
      <c r="E172" s="599" t="s">
        <v>4196</v>
      </c>
      <c r="F172" s="1137">
        <v>3.0</v>
      </c>
      <c r="G172" s="1137">
        <v>73.19</v>
      </c>
      <c r="H172" s="466">
        <f t="shared" si="33"/>
        <v>219.57</v>
      </c>
      <c r="I172" s="773">
        <v>2239.65</v>
      </c>
      <c r="J172" s="1149">
        <f t="shared" ref="J172:J175" si="39">F172*I172</f>
        <v>6718.95</v>
      </c>
      <c r="K172" s="265" t="s">
        <v>11086</v>
      </c>
      <c r="L172" s="269" t="s">
        <v>10976</v>
      </c>
      <c r="M172" s="832">
        <v>42136.0</v>
      </c>
      <c r="N172" s="832">
        <v>42132.0</v>
      </c>
      <c r="O172" s="269" t="s">
        <v>11033</v>
      </c>
      <c r="P172" s="1004" t="s">
        <v>11620</v>
      </c>
      <c r="Q172" s="388"/>
      <c r="R172" s="773">
        <v>6451.0</v>
      </c>
      <c r="S172" s="388" t="s">
        <v>8689</v>
      </c>
      <c r="T172" s="388"/>
      <c r="U172" s="388"/>
      <c r="V172" s="1144">
        <v>42131.0</v>
      </c>
      <c r="W172" s="388" t="s">
        <v>11621</v>
      </c>
      <c r="X172" s="845">
        <v>6451.0</v>
      </c>
      <c r="Y172" s="1144">
        <v>42159.0</v>
      </c>
      <c r="Z172" s="388" t="s">
        <v>11622</v>
      </c>
      <c r="AA172" s="388"/>
      <c r="AB172" s="1159">
        <v>6719.0</v>
      </c>
      <c r="AC172" s="388" t="s">
        <v>11597</v>
      </c>
      <c r="AD172" s="388"/>
    </row>
    <row r="173" ht="15.75" customHeight="1">
      <c r="A173" s="764">
        <v>42159.0</v>
      </c>
      <c r="B173" s="844" t="s">
        <v>10926</v>
      </c>
      <c r="C173" s="1004" t="s">
        <v>11623</v>
      </c>
      <c r="D173" s="388" t="s">
        <v>11624</v>
      </c>
      <c r="E173" s="599" t="s">
        <v>3671</v>
      </c>
      <c r="F173" s="1137">
        <v>2.0</v>
      </c>
      <c r="G173" s="1244">
        <f t="shared" ref="G173:G175" si="40">I173/30.8</f>
        <v>139.2272727</v>
      </c>
      <c r="H173" s="1147">
        <f t="shared" ref="H173:H178" si="41">F173*G173</f>
        <v>278.4545455</v>
      </c>
      <c r="I173" s="1252">
        <v>4288.2</v>
      </c>
      <c r="J173" s="1149">
        <f t="shared" si="39"/>
        <v>8576.4</v>
      </c>
      <c r="K173" s="265" t="s">
        <v>11139</v>
      </c>
      <c r="L173" s="269" t="s">
        <v>10976</v>
      </c>
      <c r="M173" s="832">
        <v>42163.0</v>
      </c>
      <c r="N173" s="832">
        <v>42163.0</v>
      </c>
      <c r="O173" s="269" t="s">
        <v>11033</v>
      </c>
      <c r="P173" s="388" t="s">
        <v>11625</v>
      </c>
      <c r="Q173" s="388"/>
      <c r="R173" s="773">
        <v>8234.0</v>
      </c>
      <c r="S173" s="388" t="s">
        <v>8689</v>
      </c>
      <c r="T173" s="388"/>
      <c r="U173" s="1132">
        <v>42252.0</v>
      </c>
      <c r="V173" s="1132">
        <v>42160.0</v>
      </c>
      <c r="W173" s="320" t="s">
        <v>11626</v>
      </c>
      <c r="X173" s="1135">
        <v>21389.0</v>
      </c>
      <c r="Y173" s="1144">
        <v>42254.0</v>
      </c>
      <c r="Z173" s="388" t="s">
        <v>11627</v>
      </c>
      <c r="AA173" s="388"/>
      <c r="AB173" s="1159">
        <v>22277.0</v>
      </c>
      <c r="AC173" s="388" t="s">
        <v>11628</v>
      </c>
      <c r="AD173" s="388"/>
    </row>
    <row r="174" ht="15.75" customHeight="1">
      <c r="A174" s="764">
        <v>42159.0</v>
      </c>
      <c r="B174" s="844" t="s">
        <v>10926</v>
      </c>
      <c r="C174" s="1004" t="s">
        <v>11623</v>
      </c>
      <c r="D174" s="388" t="s">
        <v>11624</v>
      </c>
      <c r="E174" s="599" t="s">
        <v>11557</v>
      </c>
      <c r="F174" s="1137">
        <v>3.0</v>
      </c>
      <c r="G174" s="1244">
        <f t="shared" si="40"/>
        <v>72.64772727</v>
      </c>
      <c r="H174" s="1147">
        <f t="shared" si="41"/>
        <v>217.9431818</v>
      </c>
      <c r="I174" s="1252">
        <v>2237.55</v>
      </c>
      <c r="J174" s="1149">
        <f t="shared" si="39"/>
        <v>6712.65</v>
      </c>
      <c r="K174" s="265" t="s">
        <v>11139</v>
      </c>
      <c r="L174" s="269" t="s">
        <v>10976</v>
      </c>
      <c r="M174" s="832">
        <v>42163.0</v>
      </c>
      <c r="N174" s="832">
        <v>42163.0</v>
      </c>
      <c r="O174" s="269" t="s">
        <v>11033</v>
      </c>
      <c r="P174" s="388" t="s">
        <v>11625</v>
      </c>
      <c r="Q174" s="388"/>
      <c r="R174" s="773">
        <v>6445.0</v>
      </c>
      <c r="S174" s="388" t="s">
        <v>8689</v>
      </c>
      <c r="T174" s="388"/>
      <c r="U174" s="1132">
        <v>42252.0</v>
      </c>
      <c r="V174" s="1132">
        <v>42160.0</v>
      </c>
      <c r="W174" s="320" t="s">
        <v>11626</v>
      </c>
      <c r="X174" s="256" t="s">
        <v>8836</v>
      </c>
      <c r="Y174" s="1144">
        <v>42254.0</v>
      </c>
      <c r="Z174" s="388" t="s">
        <v>11627</v>
      </c>
      <c r="AA174" s="388"/>
      <c r="AB174" s="1137" t="s">
        <v>8836</v>
      </c>
      <c r="AC174" s="388" t="s">
        <v>11628</v>
      </c>
      <c r="AD174" s="388"/>
    </row>
    <row r="175" ht="15.75" customHeight="1">
      <c r="A175" s="764">
        <v>42159.0</v>
      </c>
      <c r="B175" s="844" t="s">
        <v>10926</v>
      </c>
      <c r="C175" s="1004" t="s">
        <v>11623</v>
      </c>
      <c r="D175" s="388" t="s">
        <v>11624</v>
      </c>
      <c r="E175" s="599" t="s">
        <v>3676</v>
      </c>
      <c r="F175" s="1137">
        <v>5.0</v>
      </c>
      <c r="G175" s="1244">
        <f t="shared" si="40"/>
        <v>45.375</v>
      </c>
      <c r="H175" s="1147">
        <f t="shared" si="41"/>
        <v>226.875</v>
      </c>
      <c r="I175" s="1252">
        <v>1397.55</v>
      </c>
      <c r="J175" s="1149">
        <f t="shared" si="39"/>
        <v>6987.75</v>
      </c>
      <c r="K175" s="265" t="s">
        <v>11139</v>
      </c>
      <c r="L175" s="269" t="s">
        <v>10976</v>
      </c>
      <c r="M175" s="832">
        <v>42163.0</v>
      </c>
      <c r="N175" s="832">
        <v>42163.0</v>
      </c>
      <c r="O175" s="269" t="s">
        <v>11033</v>
      </c>
      <c r="P175" s="388" t="s">
        <v>11625</v>
      </c>
      <c r="Q175" s="388"/>
      <c r="R175" s="773">
        <v>6710.0</v>
      </c>
      <c r="S175" s="388" t="s">
        <v>8689</v>
      </c>
      <c r="T175" s="388"/>
      <c r="U175" s="1132">
        <v>42252.0</v>
      </c>
      <c r="V175" s="1132">
        <v>42160.0</v>
      </c>
      <c r="W175" s="320" t="s">
        <v>11626</v>
      </c>
      <c r="X175" s="256" t="s">
        <v>8836</v>
      </c>
      <c r="Y175" s="1144">
        <v>42254.0</v>
      </c>
      <c r="Z175" s="388" t="s">
        <v>11627</v>
      </c>
      <c r="AA175" s="388"/>
      <c r="AB175" s="1137" t="s">
        <v>8836</v>
      </c>
      <c r="AC175" s="388" t="s">
        <v>11628</v>
      </c>
      <c r="AD175" s="388"/>
    </row>
    <row r="176" ht="15.75" customHeight="1">
      <c r="A176" s="764">
        <v>42171.0</v>
      </c>
      <c r="B176" s="844" t="s">
        <v>10926</v>
      </c>
      <c r="C176" s="388" t="s">
        <v>11629</v>
      </c>
      <c r="D176" s="388" t="s">
        <v>11630</v>
      </c>
      <c r="E176" s="599" t="s">
        <v>11631</v>
      </c>
      <c r="F176" s="1137">
        <v>30.0</v>
      </c>
      <c r="G176" s="1137">
        <v>4.2</v>
      </c>
      <c r="H176" s="1238">
        <f t="shared" si="41"/>
        <v>126</v>
      </c>
      <c r="I176" s="388"/>
      <c r="J176" s="388"/>
      <c r="K176" s="265" t="s">
        <v>11139</v>
      </c>
      <c r="L176" s="269" t="s">
        <v>90</v>
      </c>
      <c r="M176" s="832">
        <v>42180.0</v>
      </c>
      <c r="N176" s="388"/>
      <c r="O176" s="269" t="s">
        <v>90</v>
      </c>
      <c r="P176" s="265" t="s">
        <v>11632</v>
      </c>
      <c r="Q176" s="773">
        <v>126.0</v>
      </c>
      <c r="R176" s="388"/>
      <c r="S176" s="388" t="s">
        <v>11006</v>
      </c>
      <c r="T176" s="388"/>
      <c r="U176" s="388"/>
      <c r="V176" s="1132">
        <v>42180.0</v>
      </c>
      <c r="W176" s="320" t="s">
        <v>11633</v>
      </c>
      <c r="X176" s="1135">
        <v>3894.0</v>
      </c>
      <c r="Y176" s="1144">
        <v>42181.0</v>
      </c>
      <c r="Z176" s="388" t="s">
        <v>11634</v>
      </c>
      <c r="AA176" s="388" t="s">
        <v>11635</v>
      </c>
      <c r="AB176" s="1137">
        <v>3893.0</v>
      </c>
      <c r="AC176" s="388" t="s">
        <v>11636</v>
      </c>
      <c r="AD176" s="388"/>
    </row>
    <row r="177" ht="15.75" customHeight="1">
      <c r="A177" s="764">
        <v>42177.0</v>
      </c>
      <c r="B177" s="844" t="s">
        <v>10926</v>
      </c>
      <c r="C177" s="1004" t="s">
        <v>11637</v>
      </c>
      <c r="D177" s="388" t="s">
        <v>11638</v>
      </c>
      <c r="E177" s="599" t="s">
        <v>11216</v>
      </c>
      <c r="F177" s="1137">
        <v>6.0</v>
      </c>
      <c r="G177" s="1137">
        <v>105.0</v>
      </c>
      <c r="H177" s="1238">
        <f t="shared" si="41"/>
        <v>630</v>
      </c>
      <c r="I177" s="388"/>
      <c r="J177" s="1246">
        <v>19467.0</v>
      </c>
      <c r="K177" s="265" t="s">
        <v>11139</v>
      </c>
      <c r="L177" s="269" t="s">
        <v>90</v>
      </c>
      <c r="M177" s="832">
        <v>42187.0</v>
      </c>
      <c r="N177" s="388"/>
      <c r="O177" s="269" t="s">
        <v>90</v>
      </c>
      <c r="P177" s="265" t="s">
        <v>11639</v>
      </c>
      <c r="Q177" s="773">
        <v>554.4</v>
      </c>
      <c r="R177" s="388"/>
      <c r="S177" s="388" t="s">
        <v>11006</v>
      </c>
      <c r="T177" s="388"/>
      <c r="U177" s="388"/>
      <c r="V177" s="1143">
        <v>42187.0</v>
      </c>
      <c r="W177" s="388" t="s">
        <v>11640</v>
      </c>
      <c r="X177" s="845">
        <v>18988.0</v>
      </c>
      <c r="Y177" s="1144">
        <v>42186.0</v>
      </c>
      <c r="Z177" s="388" t="s">
        <v>11641</v>
      </c>
      <c r="AA177" s="388" t="s">
        <v>11642</v>
      </c>
      <c r="AB177" s="1159">
        <v>24691.0</v>
      </c>
      <c r="AC177" s="388" t="s">
        <v>11643</v>
      </c>
      <c r="AD177" s="388"/>
    </row>
    <row r="178" ht="15.75" customHeight="1">
      <c r="A178" s="764">
        <v>42177.0</v>
      </c>
      <c r="B178" s="844" t="s">
        <v>10926</v>
      </c>
      <c r="C178" s="1004" t="s">
        <v>11637</v>
      </c>
      <c r="D178" s="388" t="s">
        <v>11638</v>
      </c>
      <c r="E178" s="599" t="s">
        <v>11644</v>
      </c>
      <c r="F178" s="1137">
        <v>5.0</v>
      </c>
      <c r="G178" s="1137">
        <v>21.0</v>
      </c>
      <c r="H178" s="1238">
        <f t="shared" si="41"/>
        <v>105</v>
      </c>
      <c r="I178" s="388"/>
      <c r="J178" s="1246">
        <v>3245.0</v>
      </c>
      <c r="K178" s="265" t="s">
        <v>11139</v>
      </c>
      <c r="L178" s="269" t="s">
        <v>6067</v>
      </c>
      <c r="M178" s="832">
        <v>42186.0</v>
      </c>
      <c r="N178" s="256" t="s">
        <v>11645</v>
      </c>
      <c r="O178" s="1253" t="s">
        <v>11236</v>
      </c>
      <c r="P178" s="1004" t="s">
        <v>9485</v>
      </c>
      <c r="Q178" s="388"/>
      <c r="R178" s="1137">
        <v>1181.25</v>
      </c>
      <c r="S178" s="388"/>
      <c r="T178" s="388" t="s">
        <v>9485</v>
      </c>
      <c r="U178" s="388"/>
      <c r="V178" s="265" t="s">
        <v>9485</v>
      </c>
      <c r="W178" s="265" t="s">
        <v>9485</v>
      </c>
      <c r="X178" s="265" t="s">
        <v>9485</v>
      </c>
      <c r="Y178" s="265" t="s">
        <v>9485</v>
      </c>
      <c r="Z178" s="388" t="s">
        <v>11641</v>
      </c>
      <c r="AA178" s="388" t="s">
        <v>11642</v>
      </c>
      <c r="AB178" s="1137" t="s">
        <v>8836</v>
      </c>
      <c r="AC178" s="388" t="s">
        <v>11643</v>
      </c>
      <c r="AD178" s="388"/>
    </row>
    <row r="179" ht="15.75" customHeight="1">
      <c r="A179" s="764">
        <v>42177.0</v>
      </c>
      <c r="B179" s="844" t="s">
        <v>10926</v>
      </c>
      <c r="C179" s="1004" t="s">
        <v>11637</v>
      </c>
      <c r="D179" s="388" t="s">
        <v>11638</v>
      </c>
      <c r="E179" s="599" t="s">
        <v>4568</v>
      </c>
      <c r="F179" s="1137">
        <v>1.0</v>
      </c>
      <c r="G179" s="1137">
        <v>64.05</v>
      </c>
      <c r="H179" s="1249">
        <v>64.05</v>
      </c>
      <c r="I179" s="388"/>
      <c r="J179" s="1246">
        <v>1979.0</v>
      </c>
      <c r="K179" s="265" t="s">
        <v>11139</v>
      </c>
      <c r="L179" s="269" t="s">
        <v>90</v>
      </c>
      <c r="M179" s="832">
        <v>42187.0</v>
      </c>
      <c r="N179" s="388"/>
      <c r="O179" s="269" t="s">
        <v>90</v>
      </c>
      <c r="P179" s="265" t="s">
        <v>11639</v>
      </c>
      <c r="Q179" s="773">
        <v>60.9</v>
      </c>
      <c r="R179" s="388"/>
      <c r="S179" s="388" t="s">
        <v>11006</v>
      </c>
      <c r="T179" s="388"/>
      <c r="U179" s="388"/>
      <c r="V179" s="1143">
        <v>42187.0</v>
      </c>
      <c r="W179" s="388" t="s">
        <v>11640</v>
      </c>
      <c r="X179" s="592" t="s">
        <v>8836</v>
      </c>
      <c r="Y179" s="1144">
        <v>42186.0</v>
      </c>
      <c r="Z179" s="388" t="s">
        <v>11641</v>
      </c>
      <c r="AA179" s="388" t="s">
        <v>11642</v>
      </c>
      <c r="AB179" s="1137" t="s">
        <v>8836</v>
      </c>
      <c r="AC179" s="388" t="s">
        <v>11643</v>
      </c>
      <c r="AD179" s="388"/>
    </row>
    <row r="180" ht="15.75" customHeight="1">
      <c r="A180" s="764">
        <v>42180.0</v>
      </c>
      <c r="B180" s="844" t="s">
        <v>10926</v>
      </c>
      <c r="C180" s="1004" t="s">
        <v>11646</v>
      </c>
      <c r="D180" s="599" t="s">
        <v>11647</v>
      </c>
      <c r="E180" s="599" t="s">
        <v>6451</v>
      </c>
      <c r="F180" s="1137">
        <v>5.0</v>
      </c>
      <c r="G180" s="1137">
        <v>124.7</v>
      </c>
      <c r="H180" s="1249">
        <f t="shared" ref="H180:H181" si="42">G180*F180</f>
        <v>623.5</v>
      </c>
      <c r="I180" s="773">
        <v>3840.9</v>
      </c>
      <c r="J180" s="773">
        <f t="shared" ref="J180:J182" si="43">I180*F180</f>
        <v>19204.5</v>
      </c>
      <c r="K180" s="265" t="s">
        <v>11139</v>
      </c>
      <c r="L180" s="269" t="s">
        <v>6067</v>
      </c>
      <c r="M180" s="832">
        <v>42187.0</v>
      </c>
      <c r="N180" s="1148">
        <v>42186.0</v>
      </c>
      <c r="O180" s="269" t="s">
        <v>11033</v>
      </c>
      <c r="P180" s="1004" t="s">
        <v>11648</v>
      </c>
      <c r="Q180" s="388"/>
      <c r="R180" s="773">
        <v>18438.0</v>
      </c>
      <c r="S180" s="388" t="s">
        <v>8689</v>
      </c>
      <c r="T180" s="388"/>
      <c r="U180" s="1132">
        <v>42282.0</v>
      </c>
      <c r="V180" s="1143">
        <v>42186.0</v>
      </c>
      <c r="W180" s="388" t="s">
        <v>11649</v>
      </c>
      <c r="X180" s="845">
        <v>22126.0</v>
      </c>
      <c r="Y180" s="1144">
        <v>42284.0</v>
      </c>
      <c r="Z180" s="388" t="s">
        <v>11650</v>
      </c>
      <c r="AA180" s="388"/>
      <c r="AB180" s="1159">
        <v>23047.0</v>
      </c>
      <c r="AC180" s="388" t="s">
        <v>11643</v>
      </c>
      <c r="AD180" s="388"/>
    </row>
    <row r="181" ht="15.75" customHeight="1">
      <c r="A181" s="764">
        <v>42180.0</v>
      </c>
      <c r="B181" s="844" t="s">
        <v>10926</v>
      </c>
      <c r="C181" s="1004" t="s">
        <v>11646</v>
      </c>
      <c r="D181" s="599" t="s">
        <v>11647</v>
      </c>
      <c r="E181" s="599" t="s">
        <v>7196</v>
      </c>
      <c r="F181" s="1137">
        <v>1.0</v>
      </c>
      <c r="G181" s="1137">
        <v>124.73</v>
      </c>
      <c r="H181" s="1249">
        <f t="shared" si="42"/>
        <v>124.73</v>
      </c>
      <c r="I181" s="773">
        <v>3841.95</v>
      </c>
      <c r="J181" s="773">
        <f t="shared" si="43"/>
        <v>3841.95</v>
      </c>
      <c r="K181" s="265" t="s">
        <v>11139</v>
      </c>
      <c r="L181" s="269" t="s">
        <v>6067</v>
      </c>
      <c r="M181" s="832">
        <v>42187.0</v>
      </c>
      <c r="N181" s="1148">
        <v>42186.0</v>
      </c>
      <c r="O181" s="269" t="s">
        <v>11033</v>
      </c>
      <c r="P181" s="1004" t="s">
        <v>11648</v>
      </c>
      <c r="Q181" s="388"/>
      <c r="R181" s="773">
        <v>3688.0</v>
      </c>
      <c r="S181" s="388" t="s">
        <v>8689</v>
      </c>
      <c r="T181" s="388"/>
      <c r="U181" s="1132">
        <v>42282.0</v>
      </c>
      <c r="V181" s="1143">
        <v>42186.0</v>
      </c>
      <c r="W181" s="388" t="s">
        <v>11649</v>
      </c>
      <c r="X181" s="592" t="s">
        <v>8836</v>
      </c>
      <c r="Y181" s="1144">
        <v>42284.0</v>
      </c>
      <c r="Z181" s="388" t="s">
        <v>11650</v>
      </c>
      <c r="AA181" s="388"/>
      <c r="AB181" s="1137" t="s">
        <v>8836</v>
      </c>
      <c r="AC181" s="388" t="s">
        <v>11643</v>
      </c>
      <c r="AD181" s="388"/>
    </row>
    <row r="182" ht="15.75" customHeight="1">
      <c r="A182" s="764">
        <v>42186.0</v>
      </c>
      <c r="B182" s="844" t="s">
        <v>10926</v>
      </c>
      <c r="C182" s="1004" t="s">
        <v>11651</v>
      </c>
      <c r="D182" s="388" t="s">
        <v>11652</v>
      </c>
      <c r="E182" s="599" t="s">
        <v>11527</v>
      </c>
      <c r="F182" s="1137">
        <v>5.0</v>
      </c>
      <c r="G182" s="1137">
        <f>100.854</f>
        <v>100.854</v>
      </c>
      <c r="H182" s="1147">
        <f t="shared" ref="H182:H219" si="44">F182*G182</f>
        <v>504.27</v>
      </c>
      <c r="I182" s="1137">
        <f>2968*1.05</f>
        <v>3116.4</v>
      </c>
      <c r="J182" s="773">
        <f t="shared" si="43"/>
        <v>15582</v>
      </c>
      <c r="K182" s="265" t="s">
        <v>11139</v>
      </c>
      <c r="L182" s="269" t="s">
        <v>6067</v>
      </c>
      <c r="M182" s="832">
        <v>42192.0</v>
      </c>
      <c r="N182" s="832">
        <v>42188.0</v>
      </c>
      <c r="O182" s="269" t="s">
        <v>11033</v>
      </c>
      <c r="P182" s="1004" t="s">
        <v>11653</v>
      </c>
      <c r="Q182" s="388"/>
      <c r="R182" s="773">
        <v>14957.0</v>
      </c>
      <c r="S182" s="388" t="s">
        <v>8689</v>
      </c>
      <c r="T182" s="388"/>
      <c r="U182" s="1132">
        <v>42282.0</v>
      </c>
      <c r="V182" s="1143">
        <v>42187.0</v>
      </c>
      <c r="W182" s="388" t="s">
        <v>11654</v>
      </c>
      <c r="X182" s="592">
        <v>14957.0</v>
      </c>
      <c r="Y182" s="1144">
        <v>42284.0</v>
      </c>
      <c r="Z182" s="388" t="s">
        <v>11655</v>
      </c>
      <c r="AA182" s="388"/>
      <c r="AB182" s="1137">
        <v>15582.0</v>
      </c>
      <c r="AC182" s="388" t="s">
        <v>11656</v>
      </c>
      <c r="AD182" s="388"/>
    </row>
    <row r="183" ht="15.75" customHeight="1">
      <c r="A183" s="764">
        <v>42187.0</v>
      </c>
      <c r="B183" s="844" t="s">
        <v>10926</v>
      </c>
      <c r="C183" s="1004" t="s">
        <v>11657</v>
      </c>
      <c r="D183" s="388" t="s">
        <v>11658</v>
      </c>
      <c r="E183" s="599" t="s">
        <v>11659</v>
      </c>
      <c r="F183" s="1137">
        <v>20.0</v>
      </c>
      <c r="G183" s="1137">
        <v>156.45</v>
      </c>
      <c r="H183" s="1147">
        <f t="shared" si="44"/>
        <v>3129</v>
      </c>
      <c r="I183" s="1137">
        <v>4837.0</v>
      </c>
      <c r="J183" s="773">
        <v>96749.0</v>
      </c>
      <c r="K183" s="265" t="s">
        <v>11139</v>
      </c>
      <c r="L183" s="269" t="s">
        <v>6067</v>
      </c>
      <c r="M183" s="832">
        <v>42192.0</v>
      </c>
      <c r="N183" s="832">
        <v>42192.0</v>
      </c>
      <c r="O183" s="1253" t="s">
        <v>11660</v>
      </c>
      <c r="P183" s="1004" t="s">
        <v>11661</v>
      </c>
      <c r="Q183" s="388"/>
      <c r="R183" s="773">
        <v>94700.0</v>
      </c>
      <c r="S183" s="1254" t="s">
        <v>11662</v>
      </c>
      <c r="T183" s="388"/>
      <c r="U183" s="388"/>
      <c r="V183" s="1143">
        <v>42191.0</v>
      </c>
      <c r="W183" s="388" t="s">
        <v>11663</v>
      </c>
      <c r="X183" s="845">
        <v>94700.0</v>
      </c>
      <c r="Y183" s="1144">
        <v>42187.0</v>
      </c>
      <c r="Z183" s="388" t="s">
        <v>11664</v>
      </c>
      <c r="AA183" s="388" t="s">
        <v>11665</v>
      </c>
      <c r="AB183" s="1159">
        <v>96749.0</v>
      </c>
      <c r="AC183" s="388" t="s">
        <v>11656</v>
      </c>
      <c r="AD183" s="388"/>
    </row>
    <row r="184" ht="15.75" customHeight="1">
      <c r="A184" s="764">
        <v>42194.0</v>
      </c>
      <c r="B184" s="844" t="s">
        <v>10926</v>
      </c>
      <c r="C184" s="1004" t="s">
        <v>11666</v>
      </c>
      <c r="D184" s="388" t="s">
        <v>11667</v>
      </c>
      <c r="E184" s="599" t="s">
        <v>6451</v>
      </c>
      <c r="F184" s="1137">
        <v>10.0</v>
      </c>
      <c r="G184" s="1137">
        <v>124.3</v>
      </c>
      <c r="H184" s="1147">
        <f t="shared" si="44"/>
        <v>1243</v>
      </c>
      <c r="I184" s="773">
        <v>3840.9</v>
      </c>
      <c r="J184" s="773">
        <f t="shared" ref="J184:J188" si="45">I184*F184</f>
        <v>38409</v>
      </c>
      <c r="K184" s="265" t="s">
        <v>11139</v>
      </c>
      <c r="L184" s="269" t="s">
        <v>6067</v>
      </c>
      <c r="M184" s="832">
        <v>42198.0</v>
      </c>
      <c r="N184" s="832">
        <v>42198.0</v>
      </c>
      <c r="O184" s="269" t="s">
        <v>11033</v>
      </c>
      <c r="P184" s="1004" t="s">
        <v>11668</v>
      </c>
      <c r="Q184" s="388"/>
      <c r="R184" s="773">
        <v>36876.0</v>
      </c>
      <c r="S184" s="388" t="s">
        <v>8689</v>
      </c>
      <c r="T184" s="388"/>
      <c r="U184" s="1132">
        <v>42282.0</v>
      </c>
      <c r="V184" s="1143">
        <v>42201.0</v>
      </c>
      <c r="W184" s="388" t="s">
        <v>11669</v>
      </c>
      <c r="X184" s="845">
        <v>44251.0</v>
      </c>
      <c r="Y184" s="1144">
        <v>42284.0</v>
      </c>
      <c r="Z184" s="388" t="s">
        <v>11670</v>
      </c>
      <c r="AA184" s="388"/>
      <c r="AB184" s="1159">
        <v>38409.0</v>
      </c>
      <c r="AC184" s="388" t="s">
        <v>11671</v>
      </c>
      <c r="AD184" s="388"/>
    </row>
    <row r="185" ht="15.75" customHeight="1">
      <c r="A185" s="764">
        <v>42194.0</v>
      </c>
      <c r="B185" s="844" t="s">
        <v>10926</v>
      </c>
      <c r="C185" s="1004" t="s">
        <v>11666</v>
      </c>
      <c r="D185" s="388" t="s">
        <v>11667</v>
      </c>
      <c r="E185" s="340" t="s">
        <v>7196</v>
      </c>
      <c r="F185" s="1137">
        <v>2.0</v>
      </c>
      <c r="G185" s="325">
        <v>125.11</v>
      </c>
      <c r="H185" s="1147">
        <f t="shared" si="44"/>
        <v>250.22</v>
      </c>
      <c r="I185" s="773">
        <v>3840.9</v>
      </c>
      <c r="J185" s="773">
        <f t="shared" si="45"/>
        <v>7681.8</v>
      </c>
      <c r="K185" s="265" t="s">
        <v>11139</v>
      </c>
      <c r="L185" s="269" t="s">
        <v>6067</v>
      </c>
      <c r="M185" s="832">
        <v>42202.0</v>
      </c>
      <c r="N185" s="832">
        <v>42198.0</v>
      </c>
      <c r="O185" s="269" t="s">
        <v>11033</v>
      </c>
      <c r="P185" s="1004" t="s">
        <v>11668</v>
      </c>
      <c r="Q185" s="388"/>
      <c r="R185" s="773">
        <v>7375.0</v>
      </c>
      <c r="S185" s="388" t="s">
        <v>8689</v>
      </c>
      <c r="T185" s="388"/>
      <c r="U185" s="1132">
        <v>42282.0</v>
      </c>
      <c r="V185" s="1143">
        <v>42201.0</v>
      </c>
      <c r="W185" s="388" t="s">
        <v>11669</v>
      </c>
      <c r="X185" s="592" t="s">
        <v>8836</v>
      </c>
      <c r="Y185" s="1144">
        <v>42284.0</v>
      </c>
      <c r="Z185" s="388" t="s">
        <v>11672</v>
      </c>
      <c r="AA185" s="388"/>
      <c r="AB185" s="1159">
        <v>7682.0</v>
      </c>
      <c r="AC185" s="388" t="s">
        <v>11671</v>
      </c>
      <c r="AD185" s="388"/>
    </row>
    <row r="186" ht="15.75" customHeight="1">
      <c r="A186" s="764">
        <v>42200.0</v>
      </c>
      <c r="B186" s="844" t="s">
        <v>10926</v>
      </c>
      <c r="C186" s="388" t="s">
        <v>11673</v>
      </c>
      <c r="D186" s="388" t="s">
        <v>11674</v>
      </c>
      <c r="E186" s="599" t="s">
        <v>10104</v>
      </c>
      <c r="F186" s="1137">
        <v>6.0</v>
      </c>
      <c r="G186" s="1244">
        <f t="shared" ref="G186:G187" si="46">I186/30.9</f>
        <v>132.0485437</v>
      </c>
      <c r="H186" s="1147">
        <f t="shared" si="44"/>
        <v>792.2912621</v>
      </c>
      <c r="I186" s="773">
        <v>4080.3</v>
      </c>
      <c r="J186" s="773">
        <f t="shared" si="45"/>
        <v>24481.8</v>
      </c>
      <c r="K186" s="265" t="s">
        <v>11139</v>
      </c>
      <c r="L186" s="269" t="s">
        <v>11675</v>
      </c>
      <c r="M186" s="832">
        <v>42205.0</v>
      </c>
      <c r="N186" s="832">
        <v>42202.0</v>
      </c>
      <c r="O186" s="269" t="s">
        <v>11033</v>
      </c>
      <c r="P186" s="1004" t="s">
        <v>11676</v>
      </c>
      <c r="Q186" s="388"/>
      <c r="R186" s="773">
        <v>23512.0</v>
      </c>
      <c r="S186" s="388" t="s">
        <v>8689</v>
      </c>
      <c r="T186" s="388"/>
      <c r="U186" s="1132">
        <v>42282.0</v>
      </c>
      <c r="V186" s="1143">
        <v>42201.0</v>
      </c>
      <c r="W186" s="388" t="s">
        <v>11677</v>
      </c>
      <c r="X186" s="845">
        <v>47758.0</v>
      </c>
      <c r="Y186" s="1144">
        <v>42284.0</v>
      </c>
      <c r="Z186" s="388" t="s">
        <v>11678</v>
      </c>
      <c r="AA186" s="388"/>
      <c r="AB186" s="1159">
        <v>49732.0</v>
      </c>
      <c r="AC186" s="388" t="s">
        <v>11679</v>
      </c>
      <c r="AD186" s="388"/>
    </row>
    <row r="187" ht="15.75" customHeight="1">
      <c r="A187" s="764">
        <v>42200.0</v>
      </c>
      <c r="B187" s="844" t="s">
        <v>10926</v>
      </c>
      <c r="C187" s="388" t="s">
        <v>11673</v>
      </c>
      <c r="D187" s="388" t="s">
        <v>11674</v>
      </c>
      <c r="E187" s="599" t="s">
        <v>10104</v>
      </c>
      <c r="F187" s="1137">
        <v>4.0</v>
      </c>
      <c r="G187" s="1244">
        <f t="shared" si="46"/>
        <v>132.0485437</v>
      </c>
      <c r="H187" s="1147">
        <f t="shared" si="44"/>
        <v>528.1941748</v>
      </c>
      <c r="I187" s="773">
        <v>4080.3</v>
      </c>
      <c r="J187" s="773">
        <f t="shared" si="45"/>
        <v>16321.2</v>
      </c>
      <c r="K187" s="265" t="s">
        <v>11139</v>
      </c>
      <c r="L187" s="269" t="s">
        <v>11675</v>
      </c>
      <c r="M187" s="832">
        <v>42205.0</v>
      </c>
      <c r="N187" s="832">
        <v>42202.0</v>
      </c>
      <c r="O187" s="269" t="s">
        <v>11033</v>
      </c>
      <c r="P187" s="1004" t="s">
        <v>11676</v>
      </c>
      <c r="Q187" s="388"/>
      <c r="R187" s="773">
        <v>15674.0</v>
      </c>
      <c r="S187" s="388" t="s">
        <v>8689</v>
      </c>
      <c r="T187" s="388"/>
      <c r="U187" s="1132">
        <v>42282.0</v>
      </c>
      <c r="V187" s="1143">
        <v>42201.0</v>
      </c>
      <c r="W187" s="388" t="s">
        <v>11677</v>
      </c>
      <c r="X187" s="592" t="s">
        <v>8836</v>
      </c>
      <c r="Y187" s="1144">
        <v>42284.0</v>
      </c>
      <c r="Z187" s="388" t="s">
        <v>11678</v>
      </c>
      <c r="AA187" s="388"/>
      <c r="AB187" s="1159" t="s">
        <v>8836</v>
      </c>
      <c r="AC187" s="388" t="s">
        <v>11679</v>
      </c>
      <c r="AD187" s="388"/>
    </row>
    <row r="188" ht="15.75" customHeight="1">
      <c r="A188" s="764">
        <v>42200.0</v>
      </c>
      <c r="B188" s="844" t="s">
        <v>10926</v>
      </c>
      <c r="C188" s="388" t="s">
        <v>11673</v>
      </c>
      <c r="D188" s="388" t="s">
        <v>11674</v>
      </c>
      <c r="E188" s="599" t="s">
        <v>11680</v>
      </c>
      <c r="F188" s="1137">
        <v>1.0</v>
      </c>
      <c r="G188" s="1137">
        <v>288.97</v>
      </c>
      <c r="H188" s="1147">
        <f t="shared" si="44"/>
        <v>288.97</v>
      </c>
      <c r="I188" s="773">
        <v>8929.2</v>
      </c>
      <c r="J188" s="773">
        <f t="shared" si="45"/>
        <v>8929.2</v>
      </c>
      <c r="K188" s="265" t="s">
        <v>11139</v>
      </c>
      <c r="L188" s="269" t="s">
        <v>11675</v>
      </c>
      <c r="M188" s="832">
        <v>42205.0</v>
      </c>
      <c r="N188" s="832">
        <v>42202.0</v>
      </c>
      <c r="O188" s="269" t="s">
        <v>11033</v>
      </c>
      <c r="P188" s="1004" t="s">
        <v>11676</v>
      </c>
      <c r="Q188" s="388"/>
      <c r="R188" s="773">
        <v>8572.0</v>
      </c>
      <c r="S188" s="388" t="s">
        <v>8689</v>
      </c>
      <c r="T188" s="388"/>
      <c r="U188" s="1132">
        <v>42282.0</v>
      </c>
      <c r="V188" s="1143">
        <v>42201.0</v>
      </c>
      <c r="W188" s="388" t="s">
        <v>11677</v>
      </c>
      <c r="X188" s="592" t="s">
        <v>8836</v>
      </c>
      <c r="Y188" s="1144">
        <v>42284.0</v>
      </c>
      <c r="Z188" s="388" t="s">
        <v>11678</v>
      </c>
      <c r="AA188" s="388"/>
      <c r="AB188" s="1159" t="s">
        <v>8836</v>
      </c>
      <c r="AC188" s="388" t="s">
        <v>11679</v>
      </c>
      <c r="AD188" s="388"/>
    </row>
    <row r="189" ht="15.75" customHeight="1">
      <c r="A189" s="764">
        <v>42200.0</v>
      </c>
      <c r="B189" s="844" t="s">
        <v>10926</v>
      </c>
      <c r="C189" s="1004" t="s">
        <v>11681</v>
      </c>
      <c r="D189" s="388" t="s">
        <v>11682</v>
      </c>
      <c r="E189" s="599" t="s">
        <v>7414</v>
      </c>
      <c r="F189" s="1137">
        <v>2.0</v>
      </c>
      <c r="G189" s="1137">
        <v>204.75</v>
      </c>
      <c r="H189" s="1147">
        <f t="shared" si="44"/>
        <v>409.5</v>
      </c>
      <c r="I189" s="388"/>
      <c r="J189" s="773">
        <v>12768.0</v>
      </c>
      <c r="K189" s="265" t="s">
        <v>11139</v>
      </c>
      <c r="L189" s="269" t="s">
        <v>90</v>
      </c>
      <c r="M189" s="832">
        <v>42208.0</v>
      </c>
      <c r="N189" s="388"/>
      <c r="O189" s="269" t="s">
        <v>90</v>
      </c>
      <c r="P189" s="265" t="s">
        <v>11683</v>
      </c>
      <c r="Q189" s="773">
        <v>357.0</v>
      </c>
      <c r="R189" s="388"/>
      <c r="S189" s="388" t="s">
        <v>11006</v>
      </c>
      <c r="T189" s="388"/>
      <c r="U189" s="388"/>
      <c r="V189" s="1143">
        <v>42208.0</v>
      </c>
      <c r="W189" s="388" t="s">
        <v>11684</v>
      </c>
      <c r="X189" s="845">
        <v>11056.0</v>
      </c>
      <c r="Y189" s="1144">
        <v>42220.0</v>
      </c>
      <c r="Z189" s="388" t="s">
        <v>11685</v>
      </c>
      <c r="AA189" s="388" t="s">
        <v>11686</v>
      </c>
      <c r="AB189" s="1159">
        <v>12768.0</v>
      </c>
      <c r="AC189" s="388" t="s">
        <v>11687</v>
      </c>
      <c r="AD189" s="388"/>
    </row>
    <row r="190" ht="15.75" customHeight="1">
      <c r="A190" s="764">
        <v>42201.0</v>
      </c>
      <c r="B190" s="844" t="s">
        <v>10926</v>
      </c>
      <c r="C190" s="1004" t="s">
        <v>11688</v>
      </c>
      <c r="D190" s="388" t="s">
        <v>11689</v>
      </c>
      <c r="E190" s="599" t="s">
        <v>11690</v>
      </c>
      <c r="F190" s="1137">
        <v>1.0</v>
      </c>
      <c r="G190" s="1137">
        <v>74.45</v>
      </c>
      <c r="H190" s="1147">
        <f t="shared" si="44"/>
        <v>74.45</v>
      </c>
      <c r="I190" s="773">
        <v>2300.55</v>
      </c>
      <c r="J190" s="773">
        <f>I190*F190</f>
        <v>2300.55</v>
      </c>
      <c r="K190" s="265" t="s">
        <v>11139</v>
      </c>
      <c r="L190" s="269" t="s">
        <v>11675</v>
      </c>
      <c r="M190" s="832">
        <v>42205.0</v>
      </c>
      <c r="N190" s="1148">
        <v>42202.0</v>
      </c>
      <c r="O190" s="269" t="s">
        <v>11033</v>
      </c>
      <c r="P190" s="1004" t="s">
        <v>11691</v>
      </c>
      <c r="Q190" s="388"/>
      <c r="R190" s="773">
        <v>2208.0</v>
      </c>
      <c r="S190" s="388" t="s">
        <v>8689</v>
      </c>
      <c r="T190" s="388"/>
      <c r="U190" s="1132">
        <v>42282.0</v>
      </c>
      <c r="V190" s="1143">
        <v>42201.0</v>
      </c>
      <c r="W190" s="388" t="s">
        <v>11692</v>
      </c>
      <c r="X190" s="592">
        <v>2208.0</v>
      </c>
      <c r="Y190" s="1144">
        <v>42284.0</v>
      </c>
      <c r="Z190" s="388" t="s">
        <v>11693</v>
      </c>
      <c r="AA190" s="388"/>
      <c r="AB190" s="1159">
        <v>2301.0</v>
      </c>
      <c r="AC190" s="388" t="s">
        <v>11679</v>
      </c>
      <c r="AD190" s="388"/>
    </row>
    <row r="191" ht="15.75" customHeight="1">
      <c r="A191" s="764">
        <v>42214.0</v>
      </c>
      <c r="B191" s="844" t="s">
        <v>10926</v>
      </c>
      <c r="C191" s="1004" t="s">
        <v>11694</v>
      </c>
      <c r="D191" s="388" t="s">
        <v>11695</v>
      </c>
      <c r="E191" s="599" t="s">
        <v>11696</v>
      </c>
      <c r="F191" s="1137">
        <v>1.0</v>
      </c>
      <c r="G191" s="1137">
        <v>158.55</v>
      </c>
      <c r="H191" s="773">
        <f t="shared" si="44"/>
        <v>158.55</v>
      </c>
      <c r="I191" s="773">
        <v>5007.0</v>
      </c>
      <c r="J191" s="773">
        <v>5007.0</v>
      </c>
      <c r="K191" s="265" t="s">
        <v>11155</v>
      </c>
      <c r="L191" s="269" t="s">
        <v>11675</v>
      </c>
      <c r="M191" s="832">
        <v>42227.0</v>
      </c>
      <c r="N191" s="832">
        <v>42226.0</v>
      </c>
      <c r="O191" s="1253" t="s">
        <v>11697</v>
      </c>
      <c r="P191" s="1004" t="s">
        <v>11698</v>
      </c>
      <c r="Q191" s="388"/>
      <c r="R191" s="773">
        <v>4755.0</v>
      </c>
      <c r="S191" s="388" t="s">
        <v>5838</v>
      </c>
      <c r="T191" s="388"/>
      <c r="U191" s="1144">
        <v>42221.0</v>
      </c>
      <c r="V191" s="1143">
        <v>42226.0</v>
      </c>
      <c r="W191" s="388" t="s">
        <v>11699</v>
      </c>
      <c r="X191" s="845">
        <v>4755.0</v>
      </c>
      <c r="Y191" s="1144">
        <v>42221.0</v>
      </c>
      <c r="Z191" s="388" t="s">
        <v>11700</v>
      </c>
      <c r="AA191" s="388" t="s">
        <v>11701</v>
      </c>
      <c r="AB191" s="1159">
        <v>5007.0</v>
      </c>
      <c r="AC191" s="388" t="s">
        <v>11702</v>
      </c>
      <c r="AD191" s="388"/>
    </row>
    <row r="192" ht="15.75" customHeight="1">
      <c r="A192" s="764">
        <v>42219.0</v>
      </c>
      <c r="B192" s="844" t="s">
        <v>10926</v>
      </c>
      <c r="C192" s="1004" t="s">
        <v>11703</v>
      </c>
      <c r="D192" s="388" t="s">
        <v>11704</v>
      </c>
      <c r="E192" s="599" t="s">
        <v>11705</v>
      </c>
      <c r="F192" s="1137">
        <v>10.0</v>
      </c>
      <c r="G192" s="1137">
        <v>89.25</v>
      </c>
      <c r="H192" s="1137">
        <f t="shared" si="44"/>
        <v>892.5</v>
      </c>
      <c r="I192" s="388"/>
      <c r="J192" s="388"/>
      <c r="K192" s="265" t="s">
        <v>11155</v>
      </c>
      <c r="L192" s="269" t="s">
        <v>90</v>
      </c>
      <c r="M192" s="832">
        <v>42240.0</v>
      </c>
      <c r="N192" s="388"/>
      <c r="O192" s="269" t="s">
        <v>90</v>
      </c>
      <c r="P192" s="265" t="s">
        <v>11706</v>
      </c>
      <c r="Q192" s="773">
        <v>801.68</v>
      </c>
      <c r="R192" s="388"/>
      <c r="S192" s="388" t="s">
        <v>11006</v>
      </c>
      <c r="T192" s="388"/>
      <c r="U192" s="388"/>
      <c r="V192" s="1143">
        <v>42240.0</v>
      </c>
      <c r="W192" s="388" t="s">
        <v>11707</v>
      </c>
      <c r="X192" s="845">
        <v>25686.0</v>
      </c>
      <c r="Y192" s="388"/>
      <c r="Z192" s="388" t="s">
        <v>11708</v>
      </c>
      <c r="AA192" s="388" t="s">
        <v>11709</v>
      </c>
      <c r="AB192" s="1159">
        <v>29078.0</v>
      </c>
      <c r="AC192" s="388" t="s">
        <v>11710</v>
      </c>
      <c r="AD192" s="388"/>
    </row>
    <row r="193" ht="15.75" customHeight="1">
      <c r="A193" s="764">
        <v>42222.0</v>
      </c>
      <c r="B193" s="844" t="s">
        <v>10926</v>
      </c>
      <c r="C193" s="1004" t="s">
        <v>11711</v>
      </c>
      <c r="D193" s="388" t="s">
        <v>11712</v>
      </c>
      <c r="E193" s="599" t="s">
        <v>11552</v>
      </c>
      <c r="F193" s="1137">
        <v>2.0</v>
      </c>
      <c r="G193" s="1137">
        <v>174.67</v>
      </c>
      <c r="H193" s="1137">
        <f t="shared" si="44"/>
        <v>349.34</v>
      </c>
      <c r="I193" s="1137">
        <v>5502.0</v>
      </c>
      <c r="J193" s="1137">
        <f t="shared" ref="J193:J195" si="47">I193*F193</f>
        <v>11004</v>
      </c>
      <c r="K193" s="265" t="s">
        <v>11155</v>
      </c>
      <c r="L193" s="269" t="s">
        <v>11675</v>
      </c>
      <c r="M193" s="832">
        <v>42227.0</v>
      </c>
      <c r="N193" s="832">
        <v>42226.0</v>
      </c>
      <c r="O193" s="269" t="s">
        <v>11033</v>
      </c>
      <c r="P193" s="1004" t="s">
        <v>11713</v>
      </c>
      <c r="Q193" s="388"/>
      <c r="R193" s="1238">
        <v>10563.0</v>
      </c>
      <c r="S193" s="388" t="s">
        <v>8689</v>
      </c>
      <c r="T193" s="388"/>
      <c r="U193" s="1132">
        <v>42311.0</v>
      </c>
      <c r="V193" s="1143">
        <v>42226.0</v>
      </c>
      <c r="W193" s="388" t="s">
        <v>11714</v>
      </c>
      <c r="X193" s="592">
        <v>10563.0</v>
      </c>
      <c r="Y193" s="1144">
        <v>42303.0</v>
      </c>
      <c r="Z193" s="388" t="s">
        <v>11715</v>
      </c>
      <c r="AA193" s="388"/>
      <c r="AB193" s="1159">
        <v>40277.0</v>
      </c>
      <c r="AC193" s="388" t="s">
        <v>11702</v>
      </c>
      <c r="AD193" s="388"/>
    </row>
    <row r="194" ht="15.75" customHeight="1">
      <c r="A194" s="764">
        <v>42222.0</v>
      </c>
      <c r="B194" s="844" t="s">
        <v>10926</v>
      </c>
      <c r="C194" s="1004" t="s">
        <v>11711</v>
      </c>
      <c r="D194" s="388" t="s">
        <v>11712</v>
      </c>
      <c r="E194" s="599" t="s">
        <v>11356</v>
      </c>
      <c r="F194" s="1137">
        <v>2.0</v>
      </c>
      <c r="G194" s="1137">
        <v>145.0</v>
      </c>
      <c r="H194" s="1137">
        <f t="shared" si="44"/>
        <v>290</v>
      </c>
      <c r="I194" s="1137">
        <v>4567.5</v>
      </c>
      <c r="J194" s="1137">
        <f t="shared" si="47"/>
        <v>9135</v>
      </c>
      <c r="K194" s="265" t="s">
        <v>11155</v>
      </c>
      <c r="L194" s="269" t="s">
        <v>11675</v>
      </c>
      <c r="M194" s="832">
        <v>42227.0</v>
      </c>
      <c r="N194" s="832">
        <v>42226.0</v>
      </c>
      <c r="O194" s="269" t="s">
        <v>11033</v>
      </c>
      <c r="P194" s="1004" t="s">
        <v>11713</v>
      </c>
      <c r="Q194" s="388"/>
      <c r="R194" s="1238">
        <v>8769.0</v>
      </c>
      <c r="S194" s="388" t="s">
        <v>8689</v>
      </c>
      <c r="T194" s="388"/>
      <c r="U194" s="1132">
        <v>42311.0</v>
      </c>
      <c r="V194" s="1143">
        <v>42226.0</v>
      </c>
      <c r="W194" s="388" t="s">
        <v>11714</v>
      </c>
      <c r="X194" s="592">
        <v>8770.0</v>
      </c>
      <c r="Y194" s="1144">
        <v>42303.0</v>
      </c>
      <c r="Z194" s="388" t="s">
        <v>11715</v>
      </c>
      <c r="AA194" s="388"/>
      <c r="AB194" s="1137" t="s">
        <v>8836</v>
      </c>
      <c r="AC194" s="388" t="s">
        <v>11702</v>
      </c>
      <c r="AD194" s="388"/>
    </row>
    <row r="195" ht="15.75" customHeight="1">
      <c r="A195" s="764">
        <v>42222.0</v>
      </c>
      <c r="B195" s="844" t="s">
        <v>10926</v>
      </c>
      <c r="C195" s="1004" t="s">
        <v>11711</v>
      </c>
      <c r="D195" s="388" t="s">
        <v>11712</v>
      </c>
      <c r="E195" s="599" t="s">
        <v>11336</v>
      </c>
      <c r="F195" s="1137">
        <v>9.0</v>
      </c>
      <c r="G195" s="1137">
        <v>71.03</v>
      </c>
      <c r="H195" s="1137">
        <f t="shared" si="44"/>
        <v>639.27</v>
      </c>
      <c r="I195" s="1137">
        <v>2237.55</v>
      </c>
      <c r="J195" s="1137">
        <f t="shared" si="47"/>
        <v>20137.95</v>
      </c>
      <c r="K195" s="265" t="s">
        <v>11155</v>
      </c>
      <c r="L195" s="269" t="s">
        <v>11675</v>
      </c>
      <c r="M195" s="832">
        <v>42227.0</v>
      </c>
      <c r="N195" s="832">
        <v>42226.0</v>
      </c>
      <c r="O195" s="269" t="s">
        <v>11033</v>
      </c>
      <c r="P195" s="1004" t="s">
        <v>11713</v>
      </c>
      <c r="Q195" s="388"/>
      <c r="R195" s="1238">
        <v>19335.0</v>
      </c>
      <c r="S195" s="388" t="s">
        <v>8689</v>
      </c>
      <c r="T195" s="388"/>
      <c r="U195" s="1132">
        <v>42311.0</v>
      </c>
      <c r="V195" s="1143">
        <v>42226.0</v>
      </c>
      <c r="W195" s="388" t="s">
        <v>11714</v>
      </c>
      <c r="X195" s="592">
        <v>19335.0</v>
      </c>
      <c r="Y195" s="1144">
        <v>42303.0</v>
      </c>
      <c r="Z195" s="388" t="s">
        <v>11715</v>
      </c>
      <c r="AA195" s="388"/>
      <c r="AB195" s="1137" t="s">
        <v>8836</v>
      </c>
      <c r="AC195" s="388" t="s">
        <v>11702</v>
      </c>
      <c r="AD195" s="388"/>
    </row>
    <row r="196" ht="15.75" customHeight="1">
      <c r="A196" s="764">
        <v>42223.0</v>
      </c>
      <c r="B196" s="844" t="s">
        <v>10926</v>
      </c>
      <c r="C196" s="1004" t="s">
        <v>11716</v>
      </c>
      <c r="D196" s="388" t="s">
        <v>11717</v>
      </c>
      <c r="E196" s="599" t="s">
        <v>7414</v>
      </c>
      <c r="F196" s="1137">
        <v>10.0</v>
      </c>
      <c r="G196" s="1137">
        <v>204.75</v>
      </c>
      <c r="H196" s="1137">
        <f t="shared" si="44"/>
        <v>2047.5</v>
      </c>
      <c r="I196" s="388"/>
      <c r="J196" s="388"/>
      <c r="K196" s="265" t="s">
        <v>11155</v>
      </c>
      <c r="L196" s="269" t="s">
        <v>90</v>
      </c>
      <c r="M196" s="1247">
        <v>42233.0</v>
      </c>
      <c r="N196" s="388"/>
      <c r="O196" s="269" t="s">
        <v>90</v>
      </c>
      <c r="P196" s="265" t="s">
        <v>11718</v>
      </c>
      <c r="Q196" s="773">
        <v>1785.0</v>
      </c>
      <c r="R196" s="388"/>
      <c r="S196" s="388" t="s">
        <v>11006</v>
      </c>
      <c r="T196" s="388"/>
      <c r="U196" s="388"/>
      <c r="V196" s="1143">
        <v>42233.0</v>
      </c>
      <c r="W196" s="388" t="s">
        <v>11719</v>
      </c>
      <c r="X196" s="845">
        <v>56352.0</v>
      </c>
      <c r="Y196" s="388"/>
      <c r="Z196" s="388" t="s">
        <v>11720</v>
      </c>
      <c r="AA196" s="388" t="s">
        <v>11721</v>
      </c>
      <c r="AB196" s="1159">
        <v>65664.0</v>
      </c>
      <c r="AC196" s="388" t="s">
        <v>11722</v>
      </c>
      <c r="AD196" s="388"/>
    </row>
    <row r="197" ht="15.75" customHeight="1">
      <c r="A197" s="764">
        <v>42237.0</v>
      </c>
      <c r="B197" s="844" t="s">
        <v>10926</v>
      </c>
      <c r="C197" s="1004" t="s">
        <v>11723</v>
      </c>
      <c r="D197" s="388" t="s">
        <v>11724</v>
      </c>
      <c r="E197" s="599" t="s">
        <v>11725</v>
      </c>
      <c r="F197" s="1137">
        <v>2.0</v>
      </c>
      <c r="G197" s="1244">
        <v>97.63333333333334</v>
      </c>
      <c r="H197" s="1244">
        <f t="shared" si="44"/>
        <v>195.2666667</v>
      </c>
      <c r="I197" s="1252">
        <v>3075.4500000000003</v>
      </c>
      <c r="J197" s="1252">
        <f t="shared" ref="J197:J210" si="48">I197*F197</f>
        <v>6150.9</v>
      </c>
      <c r="K197" s="265" t="s">
        <v>11155</v>
      </c>
      <c r="L197" s="269" t="s">
        <v>11675</v>
      </c>
      <c r="M197" s="832">
        <v>42241.0</v>
      </c>
      <c r="N197" s="832">
        <v>42240.0</v>
      </c>
      <c r="O197" s="269" t="s">
        <v>11033</v>
      </c>
      <c r="P197" s="1004" t="s">
        <v>11726</v>
      </c>
      <c r="Q197" s="388"/>
      <c r="R197" s="1157">
        <v>5905.0</v>
      </c>
      <c r="S197" s="388" t="s">
        <v>8689</v>
      </c>
      <c r="T197" s="388"/>
      <c r="U197" s="1132">
        <v>42311.0</v>
      </c>
      <c r="V197" s="1143">
        <v>42237.0</v>
      </c>
      <c r="W197" s="388" t="s">
        <v>11727</v>
      </c>
      <c r="X197" s="845">
        <v>54470.0</v>
      </c>
      <c r="Y197" s="1144">
        <v>42303.0</v>
      </c>
      <c r="Z197" s="388" t="s">
        <v>11728</v>
      </c>
      <c r="AA197" s="388"/>
      <c r="AB197" s="1159">
        <v>50020.0</v>
      </c>
      <c r="AC197" s="388" t="s">
        <v>11710</v>
      </c>
      <c r="AD197" s="388"/>
    </row>
    <row r="198" ht="15.75" customHeight="1">
      <c r="A198" s="764">
        <v>42237.0</v>
      </c>
      <c r="B198" s="844" t="s">
        <v>10926</v>
      </c>
      <c r="C198" s="1004" t="s">
        <v>11723</v>
      </c>
      <c r="D198" s="388" t="s">
        <v>11724</v>
      </c>
      <c r="E198" s="599" t="s">
        <v>4085</v>
      </c>
      <c r="F198" s="1137">
        <v>1.0</v>
      </c>
      <c r="G198" s="1244">
        <v>170.96666666666667</v>
      </c>
      <c r="H198" s="1244">
        <f t="shared" si="44"/>
        <v>170.9666667</v>
      </c>
      <c r="I198" s="1252">
        <v>5385.45</v>
      </c>
      <c r="J198" s="1252">
        <f t="shared" si="48"/>
        <v>5385.45</v>
      </c>
      <c r="K198" s="265" t="s">
        <v>11155</v>
      </c>
      <c r="L198" s="269" t="s">
        <v>11675</v>
      </c>
      <c r="M198" s="832">
        <v>42241.0</v>
      </c>
      <c r="N198" s="832">
        <v>42240.0</v>
      </c>
      <c r="O198" s="269" t="s">
        <v>11033</v>
      </c>
      <c r="P198" s="1004" t="s">
        <v>11726</v>
      </c>
      <c r="Q198" s="388"/>
      <c r="R198" s="1157">
        <v>5170.0</v>
      </c>
      <c r="S198" s="388" t="s">
        <v>8689</v>
      </c>
      <c r="T198" s="388"/>
      <c r="U198" s="1132">
        <v>42311.0</v>
      </c>
      <c r="V198" s="1143">
        <v>42237.0</v>
      </c>
      <c r="W198" s="388" t="s">
        <v>11727</v>
      </c>
      <c r="X198" s="592" t="s">
        <v>8836</v>
      </c>
      <c r="Y198" s="1144">
        <v>42303.0</v>
      </c>
      <c r="Z198" s="388" t="s">
        <v>11728</v>
      </c>
      <c r="AA198" s="388"/>
      <c r="AB198" s="1159" t="s">
        <v>8836</v>
      </c>
      <c r="AC198" s="388" t="s">
        <v>11710</v>
      </c>
      <c r="AD198" s="388"/>
    </row>
    <row r="199" ht="15.75" customHeight="1">
      <c r="A199" s="764">
        <v>42237.0</v>
      </c>
      <c r="B199" s="844" t="s">
        <v>10926</v>
      </c>
      <c r="C199" s="1004" t="s">
        <v>11723</v>
      </c>
      <c r="D199" s="388" t="s">
        <v>11724</v>
      </c>
      <c r="E199" s="599" t="s">
        <v>11729</v>
      </c>
      <c r="F199" s="1137">
        <v>2.0</v>
      </c>
      <c r="G199" s="1244">
        <v>256.73333333333335</v>
      </c>
      <c r="H199" s="1244">
        <f t="shared" si="44"/>
        <v>513.4666667</v>
      </c>
      <c r="I199" s="1252">
        <v>8087.1</v>
      </c>
      <c r="J199" s="1252">
        <f t="shared" si="48"/>
        <v>16174.2</v>
      </c>
      <c r="K199" s="265" t="s">
        <v>11155</v>
      </c>
      <c r="L199" s="269" t="s">
        <v>11675</v>
      </c>
      <c r="M199" s="832">
        <v>42241.0</v>
      </c>
      <c r="N199" s="832">
        <v>42240.0</v>
      </c>
      <c r="O199" s="269" t="s">
        <v>11033</v>
      </c>
      <c r="P199" s="1004" t="s">
        <v>11726</v>
      </c>
      <c r="Q199" s="388"/>
      <c r="R199" s="1157">
        <v>15527.0</v>
      </c>
      <c r="S199" s="388" t="s">
        <v>8689</v>
      </c>
      <c r="T199" s="388"/>
      <c r="U199" s="1132">
        <v>42311.0</v>
      </c>
      <c r="V199" s="1143">
        <v>42237.0</v>
      </c>
      <c r="W199" s="388" t="s">
        <v>11727</v>
      </c>
      <c r="X199" s="592" t="s">
        <v>8836</v>
      </c>
      <c r="Y199" s="1144">
        <v>42303.0</v>
      </c>
      <c r="Z199" s="388" t="s">
        <v>11728</v>
      </c>
      <c r="AA199" s="388"/>
      <c r="AB199" s="1159" t="s">
        <v>8836</v>
      </c>
      <c r="AC199" s="388" t="s">
        <v>11710</v>
      </c>
      <c r="AD199" s="388"/>
    </row>
    <row r="200" ht="15.75" customHeight="1">
      <c r="A200" s="764">
        <v>42237.0</v>
      </c>
      <c r="B200" s="844" t="s">
        <v>10926</v>
      </c>
      <c r="C200" s="1004" t="s">
        <v>11723</v>
      </c>
      <c r="D200" s="388" t="s">
        <v>11724</v>
      </c>
      <c r="E200" s="599" t="s">
        <v>11690</v>
      </c>
      <c r="F200" s="1137">
        <v>2.0</v>
      </c>
      <c r="G200" s="1244">
        <v>73.03333333333335</v>
      </c>
      <c r="H200" s="1244">
        <f t="shared" si="44"/>
        <v>146.0666667</v>
      </c>
      <c r="I200" s="1252">
        <v>2300.55</v>
      </c>
      <c r="J200" s="1252">
        <f t="shared" si="48"/>
        <v>4601.1</v>
      </c>
      <c r="K200" s="265" t="s">
        <v>11155</v>
      </c>
      <c r="L200" s="269" t="s">
        <v>11675</v>
      </c>
      <c r="M200" s="832">
        <v>42241.0</v>
      </c>
      <c r="N200" s="832">
        <v>42240.0</v>
      </c>
      <c r="O200" s="269" t="s">
        <v>11033</v>
      </c>
      <c r="P200" s="1004" t="s">
        <v>11726</v>
      </c>
      <c r="Q200" s="388"/>
      <c r="R200" s="1157">
        <v>4416.0</v>
      </c>
      <c r="S200" s="388" t="s">
        <v>8689</v>
      </c>
      <c r="T200" s="388"/>
      <c r="U200" s="1132">
        <v>42311.0</v>
      </c>
      <c r="V200" s="1143">
        <v>42237.0</v>
      </c>
      <c r="W200" s="388" t="s">
        <v>11727</v>
      </c>
      <c r="X200" s="592" t="s">
        <v>8836</v>
      </c>
      <c r="Y200" s="1144">
        <v>42303.0</v>
      </c>
      <c r="Z200" s="388" t="s">
        <v>11728</v>
      </c>
      <c r="AA200" s="388"/>
      <c r="AB200" s="1159" t="s">
        <v>8836</v>
      </c>
      <c r="AC200" s="388" t="s">
        <v>11710</v>
      </c>
      <c r="AD200" s="388"/>
    </row>
    <row r="201" ht="15.75" customHeight="1">
      <c r="A201" s="764">
        <v>42237.0</v>
      </c>
      <c r="B201" s="844" t="s">
        <v>10926</v>
      </c>
      <c r="C201" s="1004" t="s">
        <v>11723</v>
      </c>
      <c r="D201" s="388" t="s">
        <v>11724</v>
      </c>
      <c r="E201" s="599" t="s">
        <v>6596</v>
      </c>
      <c r="F201" s="1137">
        <v>5.0</v>
      </c>
      <c r="G201" s="1244">
        <v>112.43333333333334</v>
      </c>
      <c r="H201" s="1244">
        <f t="shared" si="44"/>
        <v>562.1666667</v>
      </c>
      <c r="I201" s="1252">
        <v>3541.65</v>
      </c>
      <c r="J201" s="1252">
        <f t="shared" si="48"/>
        <v>17708.25</v>
      </c>
      <c r="K201" s="265" t="s">
        <v>11155</v>
      </c>
      <c r="L201" s="269" t="s">
        <v>11675</v>
      </c>
      <c r="M201" s="832">
        <v>42241.0</v>
      </c>
      <c r="N201" s="832">
        <v>42240.0</v>
      </c>
      <c r="O201" s="269" t="s">
        <v>11033</v>
      </c>
      <c r="P201" s="1004" t="s">
        <v>11726</v>
      </c>
      <c r="Q201" s="388"/>
      <c r="R201" s="1157">
        <v>17001.0</v>
      </c>
      <c r="S201" s="388" t="s">
        <v>8689</v>
      </c>
      <c r="T201" s="388"/>
      <c r="U201" s="1132">
        <v>42311.0</v>
      </c>
      <c r="V201" s="1143">
        <v>42237.0</v>
      </c>
      <c r="W201" s="388" t="s">
        <v>11727</v>
      </c>
      <c r="X201" s="592" t="s">
        <v>8836</v>
      </c>
      <c r="Y201" s="1144">
        <v>42303.0</v>
      </c>
      <c r="Z201" s="388" t="s">
        <v>11728</v>
      </c>
      <c r="AA201" s="388"/>
      <c r="AB201" s="1159" t="s">
        <v>8836</v>
      </c>
      <c r="AC201" s="388" t="s">
        <v>11710</v>
      </c>
      <c r="AD201" s="388"/>
    </row>
    <row r="202" ht="15.75" customHeight="1">
      <c r="A202" s="764">
        <v>42237.0</v>
      </c>
      <c r="B202" s="844" t="s">
        <v>10926</v>
      </c>
      <c r="C202" s="1004" t="s">
        <v>11723</v>
      </c>
      <c r="D202" s="388" t="s">
        <v>11724</v>
      </c>
      <c r="E202" s="599" t="s">
        <v>4196</v>
      </c>
      <c r="F202" s="1137">
        <v>3.0</v>
      </c>
      <c r="G202" s="1244">
        <v>71.10000000000001</v>
      </c>
      <c r="H202" s="1244">
        <f t="shared" si="44"/>
        <v>213.3</v>
      </c>
      <c r="I202" s="1252">
        <v>2239.65</v>
      </c>
      <c r="J202" s="1252">
        <f t="shared" si="48"/>
        <v>6718.95</v>
      </c>
      <c r="K202" s="265" t="s">
        <v>11155</v>
      </c>
      <c r="L202" s="269" t="s">
        <v>11675</v>
      </c>
      <c r="M202" s="832">
        <v>42241.0</v>
      </c>
      <c r="N202" s="832">
        <v>42240.0</v>
      </c>
      <c r="O202" s="269" t="s">
        <v>11033</v>
      </c>
      <c r="P202" s="1004" t="s">
        <v>11726</v>
      </c>
      <c r="Q202" s="388"/>
      <c r="R202" s="1157">
        <v>6451.0</v>
      </c>
      <c r="S202" s="388" t="s">
        <v>8689</v>
      </c>
      <c r="T202" s="388"/>
      <c r="U202" s="1132">
        <v>42311.0</v>
      </c>
      <c r="V202" s="1143">
        <v>42237.0</v>
      </c>
      <c r="W202" s="388" t="s">
        <v>11727</v>
      </c>
      <c r="X202" s="592" t="s">
        <v>8836</v>
      </c>
      <c r="Y202" s="1144">
        <v>42303.0</v>
      </c>
      <c r="Z202" s="388" t="s">
        <v>11730</v>
      </c>
      <c r="AA202" s="388"/>
      <c r="AB202" s="1159">
        <v>6719.0</v>
      </c>
      <c r="AC202" s="388" t="s">
        <v>11710</v>
      </c>
      <c r="AD202" s="388"/>
    </row>
    <row r="203" ht="15.75" customHeight="1">
      <c r="A203" s="764">
        <v>42249.0</v>
      </c>
      <c r="B203" s="844" t="s">
        <v>10926</v>
      </c>
      <c r="C203" s="1004" t="s">
        <v>11731</v>
      </c>
      <c r="D203" s="388" t="s">
        <v>11732</v>
      </c>
      <c r="E203" s="599" t="s">
        <v>11733</v>
      </c>
      <c r="F203" s="1137">
        <v>2.0</v>
      </c>
      <c r="G203" s="1255">
        <v>118.185</v>
      </c>
      <c r="H203" s="1147">
        <f t="shared" si="44"/>
        <v>236.37</v>
      </c>
      <c r="I203" s="773">
        <v>3840.9</v>
      </c>
      <c r="J203" s="1157">
        <f t="shared" si="48"/>
        <v>7681.8</v>
      </c>
      <c r="K203" s="265" t="s">
        <v>11155</v>
      </c>
      <c r="L203" s="269" t="s">
        <v>11675</v>
      </c>
      <c r="M203" s="832">
        <v>42255.0</v>
      </c>
      <c r="N203" s="832">
        <v>42254.0</v>
      </c>
      <c r="O203" s="269" t="s">
        <v>11033</v>
      </c>
      <c r="P203" s="1004" t="s">
        <v>11734</v>
      </c>
      <c r="Q203" s="388"/>
      <c r="R203" s="773">
        <v>7375.0</v>
      </c>
      <c r="S203" s="388" t="s">
        <v>8689</v>
      </c>
      <c r="T203" s="388"/>
      <c r="U203" s="1132">
        <v>42343.0</v>
      </c>
      <c r="V203" s="1143">
        <v>42250.0</v>
      </c>
      <c r="W203" s="388" t="s">
        <v>11735</v>
      </c>
      <c r="X203" s="845">
        <v>47263.0</v>
      </c>
      <c r="Y203" s="1139">
        <v>42341.0</v>
      </c>
      <c r="Z203" s="388" t="s">
        <v>11736</v>
      </c>
      <c r="AA203" s="388"/>
      <c r="AB203" s="845">
        <v>49226.0</v>
      </c>
      <c r="AC203" s="388" t="s">
        <v>11737</v>
      </c>
      <c r="AD203" s="388"/>
    </row>
    <row r="204" ht="15.75" customHeight="1">
      <c r="A204" s="764">
        <v>42249.0</v>
      </c>
      <c r="B204" s="844" t="s">
        <v>10926</v>
      </c>
      <c r="C204" s="1004" t="s">
        <v>11731</v>
      </c>
      <c r="D204" s="388" t="s">
        <v>11732</v>
      </c>
      <c r="E204" s="599" t="s">
        <v>3671</v>
      </c>
      <c r="F204" s="1137">
        <v>3.0</v>
      </c>
      <c r="G204" s="1255">
        <f t="shared" ref="G204:G207" si="49">I204/32.5</f>
        <v>131.9446154</v>
      </c>
      <c r="H204" s="1147">
        <f t="shared" si="44"/>
        <v>395.8338462</v>
      </c>
      <c r="I204" s="773">
        <v>4288.2</v>
      </c>
      <c r="J204" s="1157">
        <f t="shared" si="48"/>
        <v>12864.6</v>
      </c>
      <c r="K204" s="265" t="s">
        <v>11155</v>
      </c>
      <c r="L204" s="269" t="s">
        <v>11675</v>
      </c>
      <c r="M204" s="832">
        <v>42255.0</v>
      </c>
      <c r="N204" s="832">
        <v>42254.0</v>
      </c>
      <c r="O204" s="269" t="s">
        <v>11033</v>
      </c>
      <c r="P204" s="1004" t="s">
        <v>11734</v>
      </c>
      <c r="Q204" s="388"/>
      <c r="R204" s="1238">
        <v>12351.0</v>
      </c>
      <c r="S204" s="388" t="s">
        <v>8689</v>
      </c>
      <c r="T204" s="388"/>
      <c r="U204" s="1132">
        <v>42343.0</v>
      </c>
      <c r="V204" s="1143">
        <v>42250.0</v>
      </c>
      <c r="W204" s="388" t="s">
        <v>11735</v>
      </c>
      <c r="X204" s="592" t="s">
        <v>8836</v>
      </c>
      <c r="Y204" s="1139">
        <v>42341.0</v>
      </c>
      <c r="Z204" s="388" t="s">
        <v>11736</v>
      </c>
      <c r="AA204" s="388"/>
      <c r="AB204" s="592" t="s">
        <v>8836</v>
      </c>
      <c r="AC204" s="388" t="s">
        <v>11737</v>
      </c>
      <c r="AD204" s="388"/>
    </row>
    <row r="205" ht="15.75" customHeight="1">
      <c r="A205" s="764">
        <v>42249.0</v>
      </c>
      <c r="B205" s="844" t="s">
        <v>10926</v>
      </c>
      <c r="C205" s="1004" t="s">
        <v>11731</v>
      </c>
      <c r="D205" s="388" t="s">
        <v>11732</v>
      </c>
      <c r="E205" s="599" t="s">
        <v>11336</v>
      </c>
      <c r="F205" s="1137">
        <v>7.0</v>
      </c>
      <c r="G205" s="1255">
        <f t="shared" si="49"/>
        <v>68.84769231</v>
      </c>
      <c r="H205" s="1147">
        <f t="shared" si="44"/>
        <v>481.9338462</v>
      </c>
      <c r="I205" s="773">
        <v>2237.55</v>
      </c>
      <c r="J205" s="1157">
        <f t="shared" si="48"/>
        <v>15662.85</v>
      </c>
      <c r="K205" s="265" t="s">
        <v>11155</v>
      </c>
      <c r="L205" s="269" t="s">
        <v>11675</v>
      </c>
      <c r="M205" s="832">
        <v>42255.0</v>
      </c>
      <c r="N205" s="832">
        <v>42254.0</v>
      </c>
      <c r="O205" s="269" t="s">
        <v>11033</v>
      </c>
      <c r="P205" s="1004" t="s">
        <v>11734</v>
      </c>
      <c r="Q205" s="388"/>
      <c r="R205" s="1238">
        <v>15039.0</v>
      </c>
      <c r="S205" s="388" t="s">
        <v>8689</v>
      </c>
      <c r="T205" s="388"/>
      <c r="U205" s="1132">
        <v>42343.0</v>
      </c>
      <c r="V205" s="1143">
        <v>42250.0</v>
      </c>
      <c r="W205" s="388" t="s">
        <v>11735</v>
      </c>
      <c r="X205" s="592" t="s">
        <v>8836</v>
      </c>
      <c r="Y205" s="1139">
        <v>42341.0</v>
      </c>
      <c r="Z205" s="388" t="s">
        <v>11736</v>
      </c>
      <c r="AA205" s="388"/>
      <c r="AB205" s="592" t="s">
        <v>8836</v>
      </c>
      <c r="AC205" s="388" t="s">
        <v>11737</v>
      </c>
      <c r="AD205" s="388"/>
    </row>
    <row r="206" ht="15.75" customHeight="1">
      <c r="A206" s="764">
        <v>42249.0</v>
      </c>
      <c r="B206" s="844" t="s">
        <v>10926</v>
      </c>
      <c r="C206" s="1004" t="s">
        <v>11731</v>
      </c>
      <c r="D206" s="388" t="s">
        <v>11732</v>
      </c>
      <c r="E206" s="599" t="s">
        <v>4196</v>
      </c>
      <c r="F206" s="1137">
        <v>5.0</v>
      </c>
      <c r="G206" s="1255">
        <f t="shared" si="49"/>
        <v>68.91230769</v>
      </c>
      <c r="H206" s="1147">
        <f t="shared" si="44"/>
        <v>344.5615385</v>
      </c>
      <c r="I206" s="773">
        <v>2239.65</v>
      </c>
      <c r="J206" s="1157">
        <f t="shared" si="48"/>
        <v>11198.25</v>
      </c>
      <c r="K206" s="265" t="s">
        <v>11155</v>
      </c>
      <c r="L206" s="269" t="s">
        <v>11675</v>
      </c>
      <c r="M206" s="832">
        <v>42255.0</v>
      </c>
      <c r="N206" s="832">
        <v>42254.0</v>
      </c>
      <c r="O206" s="269" t="s">
        <v>11033</v>
      </c>
      <c r="P206" s="1004" t="s">
        <v>11734</v>
      </c>
      <c r="Q206" s="388"/>
      <c r="R206" s="1238">
        <v>10752.0</v>
      </c>
      <c r="S206" s="388" t="s">
        <v>8689</v>
      </c>
      <c r="T206" s="388"/>
      <c r="U206" s="1132">
        <v>42343.0</v>
      </c>
      <c r="V206" s="1143">
        <v>42250.0</v>
      </c>
      <c r="W206" s="388" t="s">
        <v>11735</v>
      </c>
      <c r="X206" s="592" t="s">
        <v>8836</v>
      </c>
      <c r="Y206" s="1139">
        <v>42341.0</v>
      </c>
      <c r="Z206" s="388" t="s">
        <v>11736</v>
      </c>
      <c r="AA206" s="388"/>
      <c r="AB206" s="592" t="s">
        <v>8836</v>
      </c>
      <c r="AC206" s="388" t="s">
        <v>11737</v>
      </c>
      <c r="AD206" s="388"/>
    </row>
    <row r="207" ht="15.75" customHeight="1">
      <c r="A207" s="764">
        <v>42249.0</v>
      </c>
      <c r="B207" s="844" t="s">
        <v>10926</v>
      </c>
      <c r="C207" s="1004" t="s">
        <v>11731</v>
      </c>
      <c r="D207" s="388" t="s">
        <v>11732</v>
      </c>
      <c r="E207" s="599" t="s">
        <v>11341</v>
      </c>
      <c r="F207" s="1137">
        <v>1.0</v>
      </c>
      <c r="G207" s="1255">
        <f t="shared" si="49"/>
        <v>55.95692308</v>
      </c>
      <c r="H207" s="1147">
        <f t="shared" si="44"/>
        <v>55.95692308</v>
      </c>
      <c r="I207" s="773">
        <v>1818.6000000000001</v>
      </c>
      <c r="J207" s="1157">
        <f t="shared" si="48"/>
        <v>1818.6</v>
      </c>
      <c r="K207" s="265" t="s">
        <v>11155</v>
      </c>
      <c r="L207" s="269" t="s">
        <v>11675</v>
      </c>
      <c r="M207" s="832">
        <v>42255.0</v>
      </c>
      <c r="N207" s="832">
        <v>42254.0</v>
      </c>
      <c r="O207" s="269" t="s">
        <v>11033</v>
      </c>
      <c r="P207" s="1004" t="s">
        <v>11734</v>
      </c>
      <c r="Q207" s="388"/>
      <c r="R207" s="1238">
        <v>1746.0</v>
      </c>
      <c r="S207" s="388" t="s">
        <v>8689</v>
      </c>
      <c r="T207" s="388"/>
      <c r="U207" s="1132">
        <v>42343.0</v>
      </c>
      <c r="V207" s="1143">
        <v>42250.0</v>
      </c>
      <c r="W207" s="388" t="s">
        <v>11735</v>
      </c>
      <c r="X207" s="592" t="s">
        <v>8836</v>
      </c>
      <c r="Y207" s="1139">
        <v>42341.0</v>
      </c>
      <c r="Z207" s="388" t="s">
        <v>11736</v>
      </c>
      <c r="AA207" s="388"/>
      <c r="AB207" s="592" t="s">
        <v>8836</v>
      </c>
      <c r="AC207" s="388" t="s">
        <v>11737</v>
      </c>
      <c r="AD207" s="388"/>
    </row>
    <row r="208" ht="15.75" customHeight="1">
      <c r="A208" s="764">
        <v>42263.0</v>
      </c>
      <c r="B208" s="844" t="s">
        <v>10926</v>
      </c>
      <c r="C208" s="1004" t="s">
        <v>11738</v>
      </c>
      <c r="D208" s="388" t="s">
        <v>11739</v>
      </c>
      <c r="E208" s="844" t="s">
        <v>6451</v>
      </c>
      <c r="F208" s="1137">
        <v>5.0</v>
      </c>
      <c r="G208" s="1244">
        <v>118.18153846153847</v>
      </c>
      <c r="H208" s="1147">
        <f t="shared" si="44"/>
        <v>590.9076923</v>
      </c>
      <c r="I208" s="773">
        <v>3840.9</v>
      </c>
      <c r="J208" s="1157">
        <f t="shared" si="48"/>
        <v>19204.5</v>
      </c>
      <c r="K208" s="265" t="s">
        <v>11155</v>
      </c>
      <c r="L208" s="269" t="s">
        <v>11675</v>
      </c>
      <c r="M208" s="832">
        <v>42268.0</v>
      </c>
      <c r="N208" s="832">
        <v>42268.0</v>
      </c>
      <c r="O208" s="269" t="s">
        <v>11033</v>
      </c>
      <c r="P208" s="1004" t="s">
        <v>11740</v>
      </c>
      <c r="Q208" s="388"/>
      <c r="R208" s="1238">
        <v>18438.0</v>
      </c>
      <c r="S208" s="388" t="s">
        <v>8689</v>
      </c>
      <c r="T208" s="388"/>
      <c r="U208" s="1132">
        <v>42343.0</v>
      </c>
      <c r="V208" s="1143">
        <v>42265.0</v>
      </c>
      <c r="W208" s="388" t="s">
        <v>11741</v>
      </c>
      <c r="X208" s="845">
        <v>22126.0</v>
      </c>
      <c r="Y208" s="1139">
        <v>42341.0</v>
      </c>
      <c r="Z208" s="388" t="s">
        <v>11742</v>
      </c>
      <c r="AA208" s="388"/>
      <c r="AB208" s="845">
        <v>33299.0</v>
      </c>
      <c r="AC208" s="388"/>
      <c r="AD208" s="388"/>
    </row>
    <row r="209" ht="15.75" customHeight="1">
      <c r="A209" s="764">
        <v>42263.0</v>
      </c>
      <c r="B209" s="844" t="s">
        <v>10926</v>
      </c>
      <c r="C209" s="1004" t="s">
        <v>11738</v>
      </c>
      <c r="D209" s="388" t="s">
        <v>11743</v>
      </c>
      <c r="E209" s="599" t="s">
        <v>7196</v>
      </c>
      <c r="F209" s="1137">
        <v>1.0</v>
      </c>
      <c r="G209" s="1244">
        <v>118.18153846153847</v>
      </c>
      <c r="H209" s="1147">
        <f t="shared" si="44"/>
        <v>118.1815385</v>
      </c>
      <c r="I209" s="773">
        <v>3840.9</v>
      </c>
      <c r="J209" s="1157">
        <f t="shared" si="48"/>
        <v>3840.9</v>
      </c>
      <c r="K209" s="265" t="s">
        <v>11155</v>
      </c>
      <c r="L209" s="269" t="s">
        <v>11675</v>
      </c>
      <c r="M209" s="832">
        <v>42268.0</v>
      </c>
      <c r="N209" s="832">
        <v>42268.0</v>
      </c>
      <c r="O209" s="269" t="s">
        <v>11033</v>
      </c>
      <c r="P209" s="1004" t="s">
        <v>11740</v>
      </c>
      <c r="Q209" s="388"/>
      <c r="R209" s="1238">
        <v>3688.0</v>
      </c>
      <c r="S209" s="388" t="s">
        <v>8689</v>
      </c>
      <c r="T209" s="388"/>
      <c r="U209" s="1132">
        <v>42343.0</v>
      </c>
      <c r="V209" s="1143">
        <v>42265.0</v>
      </c>
      <c r="W209" s="388" t="s">
        <v>11741</v>
      </c>
      <c r="X209" s="592" t="s">
        <v>8836</v>
      </c>
      <c r="Y209" s="1139">
        <v>42341.0</v>
      </c>
      <c r="Z209" s="388" t="s">
        <v>11742</v>
      </c>
      <c r="AA209" s="388"/>
      <c r="AB209" s="592" t="s">
        <v>8836</v>
      </c>
      <c r="AC209" s="388"/>
      <c r="AD209" s="388"/>
    </row>
    <row r="210" ht="15.75" customHeight="1">
      <c r="A210" s="764">
        <v>42263.0</v>
      </c>
      <c r="B210" s="844" t="s">
        <v>10926</v>
      </c>
      <c r="C210" s="1004" t="s">
        <v>11738</v>
      </c>
      <c r="D210" s="388" t="s">
        <v>11739</v>
      </c>
      <c r="E210" s="599" t="s">
        <v>11744</v>
      </c>
      <c r="F210" s="1137">
        <v>1.0</v>
      </c>
      <c r="G210" s="1244">
        <v>315.484</v>
      </c>
      <c r="H210" s="1147">
        <f t="shared" si="44"/>
        <v>315.484</v>
      </c>
      <c r="I210" s="773">
        <v>10253.23</v>
      </c>
      <c r="J210" s="1157">
        <f t="shared" si="48"/>
        <v>10253.23</v>
      </c>
      <c r="K210" s="265" t="s">
        <v>11155</v>
      </c>
      <c r="L210" s="269" t="s">
        <v>11675</v>
      </c>
      <c r="M210" s="832">
        <v>42268.0</v>
      </c>
      <c r="N210" s="832">
        <v>42265.0</v>
      </c>
      <c r="O210" s="269" t="s">
        <v>11033</v>
      </c>
      <c r="P210" s="1004" t="s">
        <v>11740</v>
      </c>
      <c r="Q210" s="388"/>
      <c r="R210" s="1238">
        <v>9843.0</v>
      </c>
      <c r="S210" s="388" t="s">
        <v>8689</v>
      </c>
      <c r="T210" s="388"/>
      <c r="U210" s="1132">
        <v>42343.0</v>
      </c>
      <c r="V210" s="1143">
        <v>42264.0</v>
      </c>
      <c r="W210" s="388" t="s">
        <v>11745</v>
      </c>
      <c r="X210" s="845">
        <v>9843.0</v>
      </c>
      <c r="Y210" s="1139">
        <v>42341.0</v>
      </c>
      <c r="Z210" s="388" t="s">
        <v>11742</v>
      </c>
      <c r="AA210" s="388"/>
      <c r="AB210" s="592" t="s">
        <v>8836</v>
      </c>
      <c r="AC210" s="388"/>
      <c r="AD210" s="388"/>
    </row>
    <row r="211" ht="15.75" customHeight="1">
      <c r="A211" s="764">
        <v>42264.0</v>
      </c>
      <c r="B211" s="844" t="s">
        <v>10926</v>
      </c>
      <c r="C211" s="1004" t="s">
        <v>11746</v>
      </c>
      <c r="D211" s="388" t="s">
        <v>11747</v>
      </c>
      <c r="E211" s="599" t="s">
        <v>7065</v>
      </c>
      <c r="F211" s="1137">
        <v>10.0</v>
      </c>
      <c r="G211" s="1137">
        <v>142.8</v>
      </c>
      <c r="H211" s="1147">
        <f t="shared" si="44"/>
        <v>1428</v>
      </c>
      <c r="I211" s="388"/>
      <c r="J211" s="388"/>
      <c r="K211" s="265" t="s">
        <v>11155</v>
      </c>
      <c r="L211" s="269" t="s">
        <v>90</v>
      </c>
      <c r="M211" s="832">
        <v>42271.0</v>
      </c>
      <c r="N211" s="388"/>
      <c r="O211" s="269" t="s">
        <v>90</v>
      </c>
      <c r="P211" s="265" t="s">
        <v>10925</v>
      </c>
      <c r="Q211" s="773">
        <v>1344.0</v>
      </c>
      <c r="R211" s="388"/>
      <c r="S211" s="388" t="s">
        <v>11006</v>
      </c>
      <c r="T211" s="388"/>
      <c r="U211" s="388"/>
      <c r="V211" s="1133">
        <v>42271.0</v>
      </c>
      <c r="W211" s="265" t="s">
        <v>11748</v>
      </c>
      <c r="X211" s="1135">
        <v>44704.0</v>
      </c>
      <c r="Y211" s="1144">
        <v>42290.0</v>
      </c>
      <c r="Z211" s="388" t="s">
        <v>11749</v>
      </c>
      <c r="AA211" s="388" t="s">
        <v>11750</v>
      </c>
      <c r="AB211" s="845">
        <v>47916.0</v>
      </c>
      <c r="AC211" s="388" t="s">
        <v>11751</v>
      </c>
      <c r="AD211" s="388"/>
    </row>
    <row r="212" ht="15.75" customHeight="1">
      <c r="A212" s="764">
        <v>42264.0</v>
      </c>
      <c r="B212" s="844" t="s">
        <v>10926</v>
      </c>
      <c r="C212" s="1004" t="s">
        <v>11746</v>
      </c>
      <c r="D212" s="388" t="s">
        <v>11747</v>
      </c>
      <c r="E212" s="599" t="s">
        <v>4808</v>
      </c>
      <c r="F212" s="1137">
        <v>10.0</v>
      </c>
      <c r="G212" s="1137">
        <v>3.1500000000000004</v>
      </c>
      <c r="H212" s="1147">
        <f t="shared" si="44"/>
        <v>31.5</v>
      </c>
      <c r="I212" s="388"/>
      <c r="J212" s="388"/>
      <c r="K212" s="265" t="s">
        <v>11155</v>
      </c>
      <c r="L212" s="269" t="s">
        <v>90</v>
      </c>
      <c r="M212" s="832">
        <v>42271.0</v>
      </c>
      <c r="N212" s="388"/>
      <c r="O212" s="269" t="s">
        <v>90</v>
      </c>
      <c r="P212" s="265" t="s">
        <v>10925</v>
      </c>
      <c r="Q212" s="773">
        <v>31.5</v>
      </c>
      <c r="R212" s="388"/>
      <c r="S212" s="388" t="s">
        <v>11006</v>
      </c>
      <c r="T212" s="388"/>
      <c r="U212" s="388"/>
      <c r="V212" s="1133">
        <v>42271.0</v>
      </c>
      <c r="W212" s="265" t="s">
        <v>11748</v>
      </c>
      <c r="X212" s="1135">
        <v>44704.0</v>
      </c>
      <c r="Y212" s="1144">
        <v>42290.0</v>
      </c>
      <c r="Z212" s="388" t="s">
        <v>11749</v>
      </c>
      <c r="AA212" s="388" t="s">
        <v>11750</v>
      </c>
      <c r="AB212" s="592" t="s">
        <v>8836</v>
      </c>
      <c r="AC212" s="388" t="s">
        <v>11751</v>
      </c>
      <c r="AD212" s="388"/>
    </row>
    <row r="213" ht="15.75" customHeight="1">
      <c r="A213" s="764">
        <v>42270.0</v>
      </c>
      <c r="B213" s="844" t="s">
        <v>10926</v>
      </c>
      <c r="C213" s="1004" t="s">
        <v>11752</v>
      </c>
      <c r="D213" s="388" t="s">
        <v>11753</v>
      </c>
      <c r="E213" s="599" t="s">
        <v>11329</v>
      </c>
      <c r="F213" s="1137">
        <v>10.0</v>
      </c>
      <c r="G213" s="1137">
        <v>167.16</v>
      </c>
      <c r="H213" s="1147">
        <f t="shared" si="44"/>
        <v>1671.6</v>
      </c>
      <c r="I213" s="773">
        <v>5432.7</v>
      </c>
      <c r="J213" s="1157">
        <f>I213*F213</f>
        <v>54327</v>
      </c>
      <c r="K213" s="265" t="s">
        <v>11155</v>
      </c>
      <c r="L213" s="333" t="s">
        <v>11675</v>
      </c>
      <c r="M213" s="832">
        <v>42276.0</v>
      </c>
      <c r="N213" s="832">
        <v>42272.0</v>
      </c>
      <c r="O213" s="269" t="s">
        <v>11033</v>
      </c>
      <c r="P213" s="1004" t="s">
        <v>11754</v>
      </c>
      <c r="Q213" s="388"/>
      <c r="R213" s="773">
        <v>52154.0</v>
      </c>
      <c r="S213" s="388" t="s">
        <v>8689</v>
      </c>
      <c r="T213" s="388"/>
      <c r="U213" s="1132">
        <v>42374.0</v>
      </c>
      <c r="V213" s="1143">
        <v>42273.0</v>
      </c>
      <c r="W213" s="388" t="s">
        <v>11755</v>
      </c>
      <c r="X213" s="845">
        <v>52154.0</v>
      </c>
      <c r="Y213" s="1139">
        <v>42373.0</v>
      </c>
      <c r="Z213" s="388" t="s">
        <v>11756</v>
      </c>
      <c r="AA213" s="388"/>
      <c r="AB213" s="845">
        <v>54327.0</v>
      </c>
      <c r="AC213" s="388" t="s">
        <v>11757</v>
      </c>
      <c r="AD213" s="388"/>
    </row>
    <row r="214" ht="15.75" customHeight="1">
      <c r="A214" s="764">
        <v>42284.0</v>
      </c>
      <c r="B214" s="844" t="s">
        <v>10926</v>
      </c>
      <c r="C214" s="265" t="s">
        <v>11758</v>
      </c>
      <c r="D214" s="388" t="s">
        <v>11759</v>
      </c>
      <c r="E214" s="599" t="s">
        <v>6596</v>
      </c>
      <c r="F214" s="1137">
        <v>2.0</v>
      </c>
      <c r="G214" s="1244">
        <f t="shared" ref="G214:G219" si="50">I214/33</f>
        <v>107.3545455</v>
      </c>
      <c r="H214" s="1147">
        <f t="shared" si="44"/>
        <v>214.7090909</v>
      </c>
      <c r="I214" s="1249">
        <v>3542.7</v>
      </c>
      <c r="J214" s="1149">
        <f t="shared" ref="J214:J219" si="51">F214*I214</f>
        <v>7085.4</v>
      </c>
      <c r="K214" s="265" t="s">
        <v>11155</v>
      </c>
      <c r="L214" s="269" t="s">
        <v>6067</v>
      </c>
      <c r="M214" s="832">
        <v>42289.0</v>
      </c>
      <c r="N214" s="832">
        <v>42289.0</v>
      </c>
      <c r="O214" s="269" t="s">
        <v>11033</v>
      </c>
      <c r="P214" s="388" t="s">
        <v>11760</v>
      </c>
      <c r="Q214" s="388"/>
      <c r="R214" s="1238">
        <v>6801.9</v>
      </c>
      <c r="S214" s="388" t="s">
        <v>8689</v>
      </c>
      <c r="T214" s="388"/>
      <c r="U214" s="1144">
        <v>42374.0</v>
      </c>
      <c r="V214" s="1143">
        <v>42285.0</v>
      </c>
      <c r="W214" s="388" t="s">
        <v>11761</v>
      </c>
      <c r="X214" s="845">
        <v>31248.0</v>
      </c>
      <c r="Y214" s="1139">
        <v>42373.0</v>
      </c>
      <c r="Z214" s="388" t="s">
        <v>11762</v>
      </c>
      <c r="AA214" s="388"/>
      <c r="AB214" s="1159">
        <v>32549.0</v>
      </c>
      <c r="AC214" s="388" t="s">
        <v>11763</v>
      </c>
      <c r="AD214" s="388"/>
    </row>
    <row r="215" ht="15.75" customHeight="1">
      <c r="A215" s="764">
        <v>42284.0</v>
      </c>
      <c r="B215" s="844" t="s">
        <v>10926</v>
      </c>
      <c r="C215" s="265" t="s">
        <v>11758</v>
      </c>
      <c r="D215" s="388" t="s">
        <v>11759</v>
      </c>
      <c r="E215" s="599" t="s">
        <v>4089</v>
      </c>
      <c r="F215" s="1137">
        <v>4.0</v>
      </c>
      <c r="G215" s="1244">
        <f t="shared" si="50"/>
        <v>46.04090909</v>
      </c>
      <c r="H215" s="1147">
        <f t="shared" si="44"/>
        <v>184.1636364</v>
      </c>
      <c r="I215" s="1249">
        <v>1519.35</v>
      </c>
      <c r="J215" s="1149">
        <f t="shared" si="51"/>
        <v>6077.4</v>
      </c>
      <c r="K215" s="265" t="s">
        <v>11155</v>
      </c>
      <c r="L215" s="269" t="s">
        <v>6067</v>
      </c>
      <c r="M215" s="832">
        <v>42289.0</v>
      </c>
      <c r="N215" s="832">
        <v>42289.0</v>
      </c>
      <c r="O215" s="269" t="s">
        <v>11033</v>
      </c>
      <c r="P215" s="388" t="s">
        <v>11760</v>
      </c>
      <c r="Q215" s="388"/>
      <c r="R215" s="1238">
        <v>5833.8</v>
      </c>
      <c r="S215" s="388" t="s">
        <v>8689</v>
      </c>
      <c r="T215" s="388"/>
      <c r="U215" s="1144">
        <v>42374.0</v>
      </c>
      <c r="V215" s="1143">
        <v>42285.0</v>
      </c>
      <c r="W215" s="388" t="s">
        <v>11761</v>
      </c>
      <c r="X215" s="592" t="s">
        <v>8836</v>
      </c>
      <c r="Y215" s="1139">
        <v>42373.0</v>
      </c>
      <c r="Z215" s="388" t="s">
        <v>11762</v>
      </c>
      <c r="AA215" s="388"/>
      <c r="AB215" s="1137" t="s">
        <v>8836</v>
      </c>
      <c r="AC215" s="388" t="s">
        <v>11763</v>
      </c>
      <c r="AD215" s="388"/>
    </row>
    <row r="216" ht="15.75" customHeight="1">
      <c r="A216" s="764">
        <v>42284.0</v>
      </c>
      <c r="B216" s="844" t="s">
        <v>10926</v>
      </c>
      <c r="C216" s="265" t="s">
        <v>11758</v>
      </c>
      <c r="D216" s="388" t="s">
        <v>11759</v>
      </c>
      <c r="E216" s="599" t="s">
        <v>7741</v>
      </c>
      <c r="F216" s="1137">
        <v>4.0</v>
      </c>
      <c r="G216" s="1244">
        <f t="shared" si="50"/>
        <v>41.58636364</v>
      </c>
      <c r="H216" s="1147">
        <f t="shared" si="44"/>
        <v>166.3454545</v>
      </c>
      <c r="I216" s="1249">
        <v>1372.35</v>
      </c>
      <c r="J216" s="1149">
        <f t="shared" si="51"/>
        <v>5489.4</v>
      </c>
      <c r="K216" s="265" t="s">
        <v>11155</v>
      </c>
      <c r="L216" s="269" t="s">
        <v>6067</v>
      </c>
      <c r="M216" s="832">
        <v>42289.0</v>
      </c>
      <c r="N216" s="832">
        <v>42289.0</v>
      </c>
      <c r="O216" s="269" t="s">
        <v>11033</v>
      </c>
      <c r="P216" s="388" t="s">
        <v>11760</v>
      </c>
      <c r="Q216" s="388"/>
      <c r="R216" s="1238">
        <v>5271.0</v>
      </c>
      <c r="S216" s="388" t="s">
        <v>8689</v>
      </c>
      <c r="T216" s="388"/>
      <c r="U216" s="1144">
        <v>42374.0</v>
      </c>
      <c r="V216" s="1143">
        <v>42285.0</v>
      </c>
      <c r="W216" s="388" t="s">
        <v>11761</v>
      </c>
      <c r="X216" s="592" t="s">
        <v>8836</v>
      </c>
      <c r="Y216" s="1139">
        <v>42373.0</v>
      </c>
      <c r="Z216" s="388" t="s">
        <v>11762</v>
      </c>
      <c r="AA216" s="388"/>
      <c r="AB216" s="1137" t="s">
        <v>8836</v>
      </c>
      <c r="AC216" s="388" t="s">
        <v>11763</v>
      </c>
      <c r="AD216" s="388"/>
    </row>
    <row r="217" ht="15.75" customHeight="1">
      <c r="A217" s="764">
        <v>42284.0</v>
      </c>
      <c r="B217" s="844" t="s">
        <v>10926</v>
      </c>
      <c r="C217" s="265" t="s">
        <v>11758</v>
      </c>
      <c r="D217" s="388" t="s">
        <v>11759</v>
      </c>
      <c r="E217" s="599" t="s">
        <v>11764</v>
      </c>
      <c r="F217" s="1137">
        <v>1.0</v>
      </c>
      <c r="G217" s="1244">
        <f t="shared" si="50"/>
        <v>245.8909091</v>
      </c>
      <c r="H217" s="1147">
        <f t="shared" si="44"/>
        <v>245.8909091</v>
      </c>
      <c r="I217" s="1249">
        <v>8114.4</v>
      </c>
      <c r="J217" s="1149">
        <f t="shared" si="51"/>
        <v>8114.4</v>
      </c>
      <c r="K217" s="265" t="s">
        <v>11155</v>
      </c>
      <c r="L217" s="269" t="s">
        <v>6067</v>
      </c>
      <c r="M217" s="832">
        <v>42289.0</v>
      </c>
      <c r="N217" s="832">
        <v>42289.0</v>
      </c>
      <c r="O217" s="269" t="s">
        <v>11033</v>
      </c>
      <c r="P217" s="388" t="s">
        <v>11760</v>
      </c>
      <c r="Q217" s="388"/>
      <c r="R217" s="1238">
        <v>7789.95</v>
      </c>
      <c r="S217" s="388" t="s">
        <v>8689</v>
      </c>
      <c r="T217" s="388"/>
      <c r="U217" s="1144">
        <v>42374.0</v>
      </c>
      <c r="V217" s="1143">
        <v>42285.0</v>
      </c>
      <c r="W217" s="388" t="s">
        <v>11761</v>
      </c>
      <c r="X217" s="592" t="s">
        <v>8836</v>
      </c>
      <c r="Y217" s="1139">
        <v>42373.0</v>
      </c>
      <c r="Z217" s="388" t="s">
        <v>11762</v>
      </c>
      <c r="AA217" s="388"/>
      <c r="AB217" s="1137" t="s">
        <v>8836</v>
      </c>
      <c r="AC217" s="388" t="s">
        <v>11763</v>
      </c>
      <c r="AD217" s="388"/>
    </row>
    <row r="218" ht="15.75" customHeight="1">
      <c r="A218" s="764">
        <v>42284.0</v>
      </c>
      <c r="B218" s="844" t="s">
        <v>10926</v>
      </c>
      <c r="C218" s="265" t="s">
        <v>11758</v>
      </c>
      <c r="D218" s="388" t="s">
        <v>11759</v>
      </c>
      <c r="E218" s="599" t="s">
        <v>11765</v>
      </c>
      <c r="F218" s="1137">
        <v>1.0</v>
      </c>
      <c r="G218" s="1244">
        <f t="shared" si="50"/>
        <v>175.2227273</v>
      </c>
      <c r="H218" s="1147">
        <f t="shared" si="44"/>
        <v>175.2227273</v>
      </c>
      <c r="I218" s="1249">
        <v>5782.35</v>
      </c>
      <c r="J218" s="1149">
        <f t="shared" si="51"/>
        <v>5782.35</v>
      </c>
      <c r="K218" s="265" t="s">
        <v>11155</v>
      </c>
      <c r="L218" s="269" t="s">
        <v>6067</v>
      </c>
      <c r="M218" s="832">
        <v>42289.0</v>
      </c>
      <c r="N218" s="832">
        <v>42289.0</v>
      </c>
      <c r="O218" s="269" t="s">
        <v>11033</v>
      </c>
      <c r="P218" s="388" t="s">
        <v>11760</v>
      </c>
      <c r="Q218" s="388"/>
      <c r="R218" s="1238">
        <v>5551.35</v>
      </c>
      <c r="S218" s="388" t="s">
        <v>8689</v>
      </c>
      <c r="T218" s="388"/>
      <c r="U218" s="1144">
        <v>42374.0</v>
      </c>
      <c r="V218" s="1143">
        <v>42285.0</v>
      </c>
      <c r="W218" s="388" t="s">
        <v>11761</v>
      </c>
      <c r="X218" s="592" t="s">
        <v>8836</v>
      </c>
      <c r="Y218" s="1139">
        <v>42373.0</v>
      </c>
      <c r="Z218" s="388" t="s">
        <v>11762</v>
      </c>
      <c r="AA218" s="388"/>
      <c r="AB218" s="1137" t="s">
        <v>8836</v>
      </c>
      <c r="AC218" s="388" t="s">
        <v>11763</v>
      </c>
      <c r="AD218" s="388"/>
    </row>
    <row r="219" ht="15.75" customHeight="1">
      <c r="A219" s="764">
        <v>42284.0</v>
      </c>
      <c r="B219" s="844" t="s">
        <v>10926</v>
      </c>
      <c r="C219" s="1004" t="s">
        <v>11766</v>
      </c>
      <c r="D219" s="388" t="s">
        <v>11767</v>
      </c>
      <c r="E219" s="599" t="s">
        <v>7584</v>
      </c>
      <c r="F219" s="1137">
        <v>10.0</v>
      </c>
      <c r="G219" s="1244">
        <f t="shared" si="50"/>
        <v>107.3227273</v>
      </c>
      <c r="H219" s="1147">
        <f t="shared" si="44"/>
        <v>1073.227273</v>
      </c>
      <c r="I219" s="1137">
        <f>3373*1.05</f>
        <v>3541.65</v>
      </c>
      <c r="J219" s="1149">
        <f t="shared" si="51"/>
        <v>35416.5</v>
      </c>
      <c r="K219" s="265" t="s">
        <v>11155</v>
      </c>
      <c r="L219" s="333" t="s">
        <v>6067</v>
      </c>
      <c r="M219" s="832">
        <v>42289.0</v>
      </c>
      <c r="N219" s="832">
        <v>42289.0</v>
      </c>
      <c r="O219" s="269" t="s">
        <v>11033</v>
      </c>
      <c r="P219" s="388" t="s">
        <v>11768</v>
      </c>
      <c r="Q219" s="388"/>
      <c r="R219" s="1157">
        <f>3239*10*1.05</f>
        <v>34009.5</v>
      </c>
      <c r="S219" s="388" t="s">
        <v>8689</v>
      </c>
      <c r="T219" s="388"/>
      <c r="U219" s="1144">
        <v>42374.0</v>
      </c>
      <c r="V219" s="1143">
        <v>42285.0</v>
      </c>
      <c r="W219" s="388" t="s">
        <v>11769</v>
      </c>
      <c r="X219" s="845">
        <v>34010.0</v>
      </c>
      <c r="Y219" s="1139">
        <v>42373.0</v>
      </c>
      <c r="Z219" s="388" t="s">
        <v>11770</v>
      </c>
      <c r="AA219" s="388"/>
      <c r="AB219" s="1159">
        <v>35417.0</v>
      </c>
      <c r="AC219" s="388" t="s">
        <v>11763</v>
      </c>
      <c r="AD219" s="388"/>
    </row>
    <row r="220" ht="15.75" customHeight="1">
      <c r="A220" s="776">
        <v>41995.0</v>
      </c>
      <c r="B220" s="844" t="s">
        <v>11771</v>
      </c>
      <c r="C220" s="265" t="s">
        <v>9131</v>
      </c>
      <c r="D220" s="320" t="s">
        <v>11772</v>
      </c>
      <c r="E220" s="340" t="s">
        <v>11773</v>
      </c>
      <c r="F220" s="773">
        <v>2.0</v>
      </c>
      <c r="G220" s="325">
        <v>200.0</v>
      </c>
      <c r="H220" s="466">
        <f>G220*F220</f>
        <v>400</v>
      </c>
      <c r="I220" s="388"/>
      <c r="J220" s="388"/>
      <c r="K220" s="265" t="s">
        <v>10949</v>
      </c>
      <c r="L220" s="269" t="s">
        <v>11774</v>
      </c>
      <c r="M220" s="832">
        <v>42033.0</v>
      </c>
      <c r="N220" s="388"/>
      <c r="O220" s="269" t="s">
        <v>90</v>
      </c>
      <c r="P220" s="388"/>
      <c r="Q220" s="388"/>
      <c r="R220" s="773">
        <v>12600.0</v>
      </c>
      <c r="S220" s="388" t="s">
        <v>6081</v>
      </c>
      <c r="T220" s="388"/>
      <c r="U220" s="1139"/>
      <c r="V220" s="1144">
        <v>42046.0</v>
      </c>
      <c r="W220" s="1004" t="s">
        <v>11775</v>
      </c>
      <c r="X220" s="845">
        <v>12600.0</v>
      </c>
      <c r="Y220" s="1144">
        <v>42076.0</v>
      </c>
      <c r="Z220" s="320" t="s">
        <v>11776</v>
      </c>
      <c r="AA220" s="388"/>
      <c r="AB220" s="388"/>
      <c r="AC220" s="388"/>
      <c r="AD220" s="388" t="s">
        <v>8661</v>
      </c>
    </row>
    <row r="221" ht="15.75" customHeight="1">
      <c r="A221" s="776">
        <v>42010.0</v>
      </c>
      <c r="B221" s="844" t="s">
        <v>11771</v>
      </c>
      <c r="C221" s="388"/>
      <c r="D221" s="320" t="s">
        <v>11777</v>
      </c>
      <c r="E221" s="340" t="s">
        <v>11778</v>
      </c>
      <c r="F221" s="773">
        <v>2.0</v>
      </c>
      <c r="G221" s="466">
        <v>977.0</v>
      </c>
      <c r="H221" s="466">
        <f>F221*G221</f>
        <v>1954</v>
      </c>
      <c r="I221" s="388"/>
      <c r="J221" s="388"/>
      <c r="K221" s="265" t="s">
        <v>10949</v>
      </c>
      <c r="L221" s="333" t="s">
        <v>11774</v>
      </c>
      <c r="M221" s="832">
        <v>42013.0</v>
      </c>
      <c r="N221" s="388"/>
      <c r="O221" s="333" t="s">
        <v>90</v>
      </c>
      <c r="P221" s="265" t="s">
        <v>11779</v>
      </c>
      <c r="Q221" s="773">
        <v>1806.0</v>
      </c>
      <c r="R221" s="388"/>
      <c r="S221" s="320" t="s">
        <v>6081</v>
      </c>
      <c r="T221" s="388"/>
      <c r="U221" s="1139"/>
      <c r="V221" s="1132">
        <v>42013.0</v>
      </c>
      <c r="W221" s="265" t="s">
        <v>11780</v>
      </c>
      <c r="X221" s="1135">
        <v>57187.0</v>
      </c>
      <c r="Y221" s="1132">
        <v>42031.0</v>
      </c>
      <c r="Z221" s="320" t="s">
        <v>11781</v>
      </c>
      <c r="AA221" s="388"/>
      <c r="AB221" s="388"/>
      <c r="AC221" s="388"/>
      <c r="AD221" s="320" t="s">
        <v>8661</v>
      </c>
    </row>
    <row r="222" ht="15.75" customHeight="1">
      <c r="A222" s="776">
        <v>42010.0</v>
      </c>
      <c r="B222" s="844" t="s">
        <v>11771</v>
      </c>
      <c r="C222" s="388"/>
      <c r="D222" s="320" t="s">
        <v>11782</v>
      </c>
      <c r="E222" s="340" t="s">
        <v>11783</v>
      </c>
      <c r="F222" s="773">
        <v>1.0</v>
      </c>
      <c r="G222" s="466">
        <v>241.0</v>
      </c>
      <c r="H222" s="466">
        <v>241.0</v>
      </c>
      <c r="I222" s="388"/>
      <c r="J222" s="388"/>
      <c r="K222" s="265" t="s">
        <v>10949</v>
      </c>
      <c r="L222" s="333" t="s">
        <v>11774</v>
      </c>
      <c r="M222" s="832">
        <v>42016.0</v>
      </c>
      <c r="N222" s="832">
        <v>42013.0</v>
      </c>
      <c r="O222" s="333" t="s">
        <v>90</v>
      </c>
      <c r="P222" s="265" t="s">
        <v>11784</v>
      </c>
      <c r="Q222" s="773">
        <v>210.0</v>
      </c>
      <c r="R222" s="388"/>
      <c r="S222" s="320" t="s">
        <v>6081</v>
      </c>
      <c r="T222" s="388"/>
      <c r="U222" s="1139"/>
      <c r="V222" s="1132">
        <v>42013.0</v>
      </c>
      <c r="W222" s="265" t="s">
        <v>11785</v>
      </c>
      <c r="X222" s="1135">
        <v>11072.0</v>
      </c>
      <c r="Y222" s="1132">
        <v>42044.0</v>
      </c>
      <c r="Z222" s="320" t="s">
        <v>11786</v>
      </c>
      <c r="AA222" s="388"/>
      <c r="AB222" s="388"/>
      <c r="AC222" s="388"/>
      <c r="AD222" s="320" t="s">
        <v>8661</v>
      </c>
    </row>
    <row r="223" ht="15.75" customHeight="1">
      <c r="A223" s="776">
        <v>42010.0</v>
      </c>
      <c r="B223" s="844" t="s">
        <v>11771</v>
      </c>
      <c r="C223" s="388"/>
      <c r="D223" s="320" t="s">
        <v>11782</v>
      </c>
      <c r="E223" s="340" t="s">
        <v>11787</v>
      </c>
      <c r="F223" s="773">
        <v>1.0</v>
      </c>
      <c r="G223" s="466">
        <v>151.0</v>
      </c>
      <c r="H223" s="466">
        <v>151.0</v>
      </c>
      <c r="I223" s="388"/>
      <c r="J223" s="388"/>
      <c r="K223" s="265" t="s">
        <v>10949</v>
      </c>
      <c r="L223" s="333" t="s">
        <v>11774</v>
      </c>
      <c r="M223" s="832">
        <v>42016.0</v>
      </c>
      <c r="N223" s="832">
        <v>42013.0</v>
      </c>
      <c r="O223" s="333" t="s">
        <v>90</v>
      </c>
      <c r="P223" s="265" t="s">
        <v>11784</v>
      </c>
      <c r="Q223" s="773">
        <v>139.65</v>
      </c>
      <c r="R223" s="388"/>
      <c r="S223" s="320" t="s">
        <v>6081</v>
      </c>
      <c r="T223" s="388"/>
      <c r="U223" s="1139"/>
      <c r="V223" s="320" t="s">
        <v>11788</v>
      </c>
      <c r="W223" s="320" t="s">
        <v>11788</v>
      </c>
      <c r="X223" s="256" t="s">
        <v>11788</v>
      </c>
      <c r="Y223" s="1132">
        <v>42044.0</v>
      </c>
      <c r="Z223" s="320" t="s">
        <v>11786</v>
      </c>
      <c r="AA223" s="388"/>
      <c r="AB223" s="388"/>
      <c r="AC223" s="388"/>
      <c r="AD223" s="320" t="s">
        <v>8661</v>
      </c>
    </row>
    <row r="224" ht="15.75" customHeight="1">
      <c r="A224" s="764">
        <v>42010.0</v>
      </c>
      <c r="B224" s="844" t="s">
        <v>11771</v>
      </c>
      <c r="C224" s="388"/>
      <c r="D224" s="388" t="s">
        <v>11789</v>
      </c>
      <c r="E224" s="599" t="s">
        <v>11790</v>
      </c>
      <c r="F224" s="1137">
        <v>50.0</v>
      </c>
      <c r="G224" s="325">
        <v>37.5</v>
      </c>
      <c r="H224" s="466">
        <f t="shared" ref="H224:H229" si="52">F224*G224</f>
        <v>1875</v>
      </c>
      <c r="I224" s="388"/>
      <c r="J224" s="388"/>
      <c r="K224" s="265" t="s">
        <v>10949</v>
      </c>
      <c r="L224" s="269" t="s">
        <v>11774</v>
      </c>
      <c r="M224" s="832">
        <v>42040.0</v>
      </c>
      <c r="N224" s="832">
        <v>42039.0</v>
      </c>
      <c r="O224" s="269" t="s">
        <v>90</v>
      </c>
      <c r="P224" s="265" t="s">
        <v>11791</v>
      </c>
      <c r="Q224" s="773">
        <v>1732.5</v>
      </c>
      <c r="R224" s="388"/>
      <c r="S224" s="388" t="s">
        <v>6081</v>
      </c>
      <c r="T224" s="388"/>
      <c r="U224" s="1139"/>
      <c r="V224" s="1132">
        <v>42039.0</v>
      </c>
      <c r="W224" s="320" t="s">
        <v>11792</v>
      </c>
      <c r="X224" s="1135">
        <v>54141.0</v>
      </c>
      <c r="Y224" s="1144">
        <v>42044.0</v>
      </c>
      <c r="Z224" s="320" t="s">
        <v>11793</v>
      </c>
      <c r="AA224" s="388"/>
      <c r="AB224" s="388"/>
      <c r="AC224" s="388"/>
      <c r="AD224" s="388" t="s">
        <v>8661</v>
      </c>
    </row>
    <row r="225" ht="15.75" customHeight="1">
      <c r="A225" s="764">
        <v>42010.0</v>
      </c>
      <c r="B225" s="844" t="s">
        <v>11771</v>
      </c>
      <c r="C225" s="388"/>
      <c r="D225" s="388" t="s">
        <v>11794</v>
      </c>
      <c r="E225" s="599" t="s">
        <v>11790</v>
      </c>
      <c r="F225" s="1137">
        <v>97.0</v>
      </c>
      <c r="G225" s="325">
        <v>37.5</v>
      </c>
      <c r="H225" s="466">
        <f t="shared" si="52"/>
        <v>3637.5</v>
      </c>
      <c r="I225" s="388"/>
      <c r="J225" s="388"/>
      <c r="K225" s="265" t="s">
        <v>10949</v>
      </c>
      <c r="L225" s="269" t="s">
        <v>11774</v>
      </c>
      <c r="M225" s="832">
        <v>42065.0</v>
      </c>
      <c r="N225" s="832">
        <v>42052.0</v>
      </c>
      <c r="O225" s="269" t="s">
        <v>90</v>
      </c>
      <c r="P225" s="265" t="s">
        <v>11791</v>
      </c>
      <c r="Q225" s="773">
        <v>3361.05</v>
      </c>
      <c r="R225" s="388"/>
      <c r="S225" s="388" t="s">
        <v>6081</v>
      </c>
      <c r="T225" s="388"/>
      <c r="U225" s="1139"/>
      <c r="V225" s="1132">
        <v>41686.0</v>
      </c>
      <c r="W225" s="265" t="s">
        <v>11795</v>
      </c>
      <c r="X225" s="1135">
        <v>105621.0</v>
      </c>
      <c r="Y225" s="1144">
        <v>42074.0</v>
      </c>
      <c r="Z225" s="320" t="s">
        <v>11796</v>
      </c>
      <c r="AA225" s="388"/>
      <c r="AB225" s="388"/>
      <c r="AC225" s="388"/>
      <c r="AD225" s="1004" t="s">
        <v>8661</v>
      </c>
    </row>
    <row r="226" ht="15.75" customHeight="1">
      <c r="A226" s="776">
        <v>42011.0</v>
      </c>
      <c r="B226" s="844" t="s">
        <v>11771</v>
      </c>
      <c r="C226" s="388"/>
      <c r="D226" s="320" t="s">
        <v>11797</v>
      </c>
      <c r="E226" s="340" t="s">
        <v>11798</v>
      </c>
      <c r="F226" s="773">
        <v>3.0</v>
      </c>
      <c r="G226" s="466">
        <v>702.0</v>
      </c>
      <c r="H226" s="466">
        <f t="shared" si="52"/>
        <v>2106</v>
      </c>
      <c r="I226" s="388"/>
      <c r="J226" s="388"/>
      <c r="K226" s="265" t="s">
        <v>10949</v>
      </c>
      <c r="L226" s="333" t="s">
        <v>11774</v>
      </c>
      <c r="M226" s="832">
        <v>42019.0</v>
      </c>
      <c r="N226" s="832">
        <v>42017.0</v>
      </c>
      <c r="O226" s="333" t="s">
        <v>90</v>
      </c>
      <c r="P226" s="265" t="s">
        <v>11799</v>
      </c>
      <c r="Q226" s="773">
        <v>1946.7</v>
      </c>
      <c r="R226" s="388"/>
      <c r="S226" s="320" t="s">
        <v>6081</v>
      </c>
      <c r="T226" s="388"/>
      <c r="U226" s="1139"/>
      <c r="V226" s="1132">
        <v>42017.0</v>
      </c>
      <c r="W226" s="265" t="s">
        <v>11800</v>
      </c>
      <c r="X226" s="1135">
        <v>62100.0</v>
      </c>
      <c r="Y226" s="1132">
        <v>42033.0</v>
      </c>
      <c r="Z226" s="320" t="s">
        <v>11801</v>
      </c>
      <c r="AA226" s="388"/>
      <c r="AB226" s="388"/>
      <c r="AC226" s="388"/>
      <c r="AD226" s="320" t="s">
        <v>8661</v>
      </c>
    </row>
    <row r="227" ht="15.75" customHeight="1">
      <c r="A227" s="764">
        <v>42012.0</v>
      </c>
      <c r="B227" s="844" t="s">
        <v>11771</v>
      </c>
      <c r="C227" s="388"/>
      <c r="D227" s="388" t="s">
        <v>11802</v>
      </c>
      <c r="E227" s="599" t="s">
        <v>11778</v>
      </c>
      <c r="F227" s="1137">
        <v>1.0</v>
      </c>
      <c r="G227" s="325">
        <v>977.0</v>
      </c>
      <c r="H227" s="466">
        <f t="shared" si="52"/>
        <v>977</v>
      </c>
      <c r="I227" s="388"/>
      <c r="J227" s="388"/>
      <c r="K227" s="265" t="s">
        <v>10949</v>
      </c>
      <c r="L227" s="269" t="s">
        <v>11774</v>
      </c>
      <c r="M227" s="832">
        <v>42016.0</v>
      </c>
      <c r="N227" s="832">
        <v>42013.0</v>
      </c>
      <c r="O227" s="269" t="s">
        <v>90</v>
      </c>
      <c r="P227" s="265" t="s">
        <v>11803</v>
      </c>
      <c r="Q227" s="773">
        <v>903.0</v>
      </c>
      <c r="R227" s="388"/>
      <c r="S227" s="388" t="s">
        <v>6081</v>
      </c>
      <c r="T227" s="388"/>
      <c r="U227" s="1139"/>
      <c r="V227" s="1132">
        <v>42013.0</v>
      </c>
      <c r="W227" s="265" t="s">
        <v>11804</v>
      </c>
      <c r="X227" s="1135">
        <v>40962.0</v>
      </c>
      <c r="Y227" s="1144">
        <v>42033.0</v>
      </c>
      <c r="Z227" s="388" t="s">
        <v>11786</v>
      </c>
      <c r="AA227" s="388"/>
      <c r="AB227" s="388"/>
      <c r="AC227" s="388"/>
      <c r="AD227" s="388" t="s">
        <v>8661</v>
      </c>
    </row>
    <row r="228" ht="15.75" customHeight="1">
      <c r="A228" s="764">
        <v>42012.0</v>
      </c>
      <c r="B228" s="844" t="s">
        <v>11771</v>
      </c>
      <c r="C228" s="388"/>
      <c r="D228" s="388" t="s">
        <v>11802</v>
      </c>
      <c r="E228" s="599" t="s">
        <v>8941</v>
      </c>
      <c r="F228" s="1137">
        <v>4.0</v>
      </c>
      <c r="G228" s="325">
        <v>105.0</v>
      </c>
      <c r="H228" s="466">
        <f t="shared" si="52"/>
        <v>420</v>
      </c>
      <c r="I228" s="388"/>
      <c r="J228" s="388"/>
      <c r="K228" s="265" t="s">
        <v>10949</v>
      </c>
      <c r="L228" s="269" t="s">
        <v>11774</v>
      </c>
      <c r="M228" s="832">
        <v>42016.0</v>
      </c>
      <c r="N228" s="832">
        <v>42013.0</v>
      </c>
      <c r="O228" s="269" t="s">
        <v>90</v>
      </c>
      <c r="P228" s="265" t="s">
        <v>11803</v>
      </c>
      <c r="Q228" s="773">
        <v>390.6</v>
      </c>
      <c r="R228" s="388"/>
      <c r="S228" s="388" t="s">
        <v>6081</v>
      </c>
      <c r="T228" s="388"/>
      <c r="U228" s="1139"/>
      <c r="V228" s="320" t="s">
        <v>11805</v>
      </c>
      <c r="W228" s="320" t="s">
        <v>11805</v>
      </c>
      <c r="X228" s="256" t="s">
        <v>11805</v>
      </c>
      <c r="Y228" s="1144">
        <v>42033.0</v>
      </c>
      <c r="Z228" s="388" t="s">
        <v>11786</v>
      </c>
      <c r="AA228" s="388"/>
      <c r="AB228" s="388"/>
      <c r="AC228" s="388"/>
      <c r="AD228" s="388" t="s">
        <v>8661</v>
      </c>
    </row>
    <row r="229" ht="15.75" customHeight="1">
      <c r="A229" s="776">
        <v>42018.0</v>
      </c>
      <c r="B229" s="844" t="s">
        <v>11771</v>
      </c>
      <c r="C229" s="388"/>
      <c r="D229" s="320" t="s">
        <v>11806</v>
      </c>
      <c r="E229" s="340" t="s">
        <v>11807</v>
      </c>
      <c r="F229" s="773">
        <v>4.0</v>
      </c>
      <c r="G229" s="466">
        <v>130.0</v>
      </c>
      <c r="H229" s="466">
        <f t="shared" si="52"/>
        <v>520</v>
      </c>
      <c r="I229" s="388"/>
      <c r="J229" s="388"/>
      <c r="K229" s="265" t="s">
        <v>10949</v>
      </c>
      <c r="L229" s="333" t="s">
        <v>11774</v>
      </c>
      <c r="M229" s="832">
        <v>42033.0</v>
      </c>
      <c r="N229" s="832">
        <v>42031.0</v>
      </c>
      <c r="O229" s="333" t="s">
        <v>90</v>
      </c>
      <c r="P229" s="265" t="s">
        <v>11808</v>
      </c>
      <c r="Q229" s="773">
        <v>483.0</v>
      </c>
      <c r="R229" s="388"/>
      <c r="S229" s="320" t="s">
        <v>6081</v>
      </c>
      <c r="T229" s="388"/>
      <c r="U229" s="1139"/>
      <c r="V229" s="1132">
        <v>42031.0</v>
      </c>
      <c r="W229" s="265" t="s">
        <v>11809</v>
      </c>
      <c r="X229" s="1135">
        <v>15292.0</v>
      </c>
      <c r="Y229" s="1132">
        <v>42044.0</v>
      </c>
      <c r="Z229" s="320" t="s">
        <v>11776</v>
      </c>
      <c r="AA229" s="388"/>
      <c r="AB229" s="388"/>
      <c r="AC229" s="388"/>
      <c r="AD229" s="320" t="s">
        <v>8661</v>
      </c>
    </row>
    <row r="230" ht="15.75" customHeight="1">
      <c r="A230" s="776">
        <v>42024.0</v>
      </c>
      <c r="B230" s="844" t="s">
        <v>11771</v>
      </c>
      <c r="C230" s="388"/>
      <c r="D230" s="320" t="s">
        <v>11810</v>
      </c>
      <c r="E230" s="340" t="s">
        <v>11811</v>
      </c>
      <c r="F230" s="773">
        <v>2.0</v>
      </c>
      <c r="G230" s="466">
        <v>510.0</v>
      </c>
      <c r="H230" s="466">
        <f t="shared" ref="H230:H234" si="53">G230*F230</f>
        <v>1020</v>
      </c>
      <c r="I230" s="388"/>
      <c r="J230" s="388"/>
      <c r="K230" s="265" t="s">
        <v>10949</v>
      </c>
      <c r="L230" s="333" t="s">
        <v>11774</v>
      </c>
      <c r="M230" s="832">
        <v>42033.0</v>
      </c>
      <c r="N230" s="832">
        <v>42031.0</v>
      </c>
      <c r="O230" s="333" t="s">
        <v>90</v>
      </c>
      <c r="P230" s="265" t="s">
        <v>11812</v>
      </c>
      <c r="Q230" s="466">
        <v>942.9</v>
      </c>
      <c r="R230" s="388"/>
      <c r="S230" s="320" t="s">
        <v>11006</v>
      </c>
      <c r="T230" s="388"/>
      <c r="U230" s="1139"/>
      <c r="V230" s="1132">
        <v>42031.0</v>
      </c>
      <c r="W230" s="320" t="s">
        <v>11813</v>
      </c>
      <c r="X230" s="1135">
        <v>29852.0</v>
      </c>
      <c r="Y230" s="1132">
        <v>42044.0</v>
      </c>
      <c r="Z230" s="320" t="s">
        <v>11776</v>
      </c>
      <c r="AA230" s="388"/>
      <c r="AB230" s="388"/>
      <c r="AC230" s="388"/>
      <c r="AD230" s="320" t="s">
        <v>8661</v>
      </c>
    </row>
    <row r="231" ht="15.75" customHeight="1">
      <c r="A231" s="764">
        <v>42027.0</v>
      </c>
      <c r="B231" s="844" t="s">
        <v>11771</v>
      </c>
      <c r="C231" s="388"/>
      <c r="D231" s="388" t="s">
        <v>11814</v>
      </c>
      <c r="E231" s="599" t="s">
        <v>11815</v>
      </c>
      <c r="F231" s="1137">
        <v>1.0</v>
      </c>
      <c r="G231" s="325">
        <v>1070.0</v>
      </c>
      <c r="H231" s="466">
        <f t="shared" si="53"/>
        <v>1070</v>
      </c>
      <c r="I231" s="388"/>
      <c r="J231" s="388"/>
      <c r="K231" s="265" t="s">
        <v>10949</v>
      </c>
      <c r="L231" s="269" t="s">
        <v>11774</v>
      </c>
      <c r="M231" s="832">
        <v>42040.0</v>
      </c>
      <c r="N231" s="832">
        <v>42039.0</v>
      </c>
      <c r="O231" s="269" t="s">
        <v>90</v>
      </c>
      <c r="P231" s="265" t="s">
        <v>11816</v>
      </c>
      <c r="Q231" s="466">
        <v>924.0</v>
      </c>
      <c r="R231" s="388"/>
      <c r="S231" s="388" t="s">
        <v>11006</v>
      </c>
      <c r="T231" s="388"/>
      <c r="U231" s="1139"/>
      <c r="V231" s="1132">
        <v>42039.0</v>
      </c>
      <c r="W231" s="320" t="s">
        <v>11817</v>
      </c>
      <c r="X231" s="1135">
        <v>28875.0</v>
      </c>
      <c r="Y231" s="1144">
        <v>42044.0</v>
      </c>
      <c r="Z231" s="320" t="s">
        <v>11793</v>
      </c>
      <c r="AA231" s="388"/>
      <c r="AB231" s="388"/>
      <c r="AC231" s="388"/>
      <c r="AD231" s="388" t="s">
        <v>8661</v>
      </c>
    </row>
    <row r="232" ht="15.75" customHeight="1">
      <c r="A232" s="764">
        <v>42027.0</v>
      </c>
      <c r="B232" s="844" t="s">
        <v>11771</v>
      </c>
      <c r="C232" s="388"/>
      <c r="D232" s="388" t="s">
        <v>11818</v>
      </c>
      <c r="E232" s="599" t="s">
        <v>11819</v>
      </c>
      <c r="F232" s="1137">
        <v>1.0</v>
      </c>
      <c r="G232" s="1137">
        <v>500.0</v>
      </c>
      <c r="H232" s="466">
        <f t="shared" si="53"/>
        <v>500</v>
      </c>
      <c r="I232" s="388"/>
      <c r="J232" s="388"/>
      <c r="K232" s="265" t="s">
        <v>10949</v>
      </c>
      <c r="L232" s="269" t="s">
        <v>11774</v>
      </c>
      <c r="M232" s="1148">
        <v>42048.0</v>
      </c>
      <c r="N232" s="832">
        <v>42047.0</v>
      </c>
      <c r="O232" s="269" t="s">
        <v>90</v>
      </c>
      <c r="P232" s="265" t="s">
        <v>11820</v>
      </c>
      <c r="Q232" s="466">
        <v>472.5</v>
      </c>
      <c r="R232" s="388"/>
      <c r="S232" s="388" t="s">
        <v>11006</v>
      </c>
      <c r="T232" s="388"/>
      <c r="U232" s="1139"/>
      <c r="V232" s="1132">
        <v>42047.0</v>
      </c>
      <c r="W232" s="320" t="s">
        <v>11821</v>
      </c>
      <c r="X232" s="1135">
        <v>55632.0</v>
      </c>
      <c r="Y232" s="1144">
        <v>42074.0</v>
      </c>
      <c r="Z232" s="320" t="s">
        <v>11822</v>
      </c>
      <c r="AA232" s="388"/>
      <c r="AB232" s="388"/>
      <c r="AC232" s="388"/>
      <c r="AD232" s="388" t="s">
        <v>8661</v>
      </c>
    </row>
    <row r="233" ht="15.75" customHeight="1">
      <c r="A233" s="764">
        <v>42027.0</v>
      </c>
      <c r="B233" s="844" t="s">
        <v>11771</v>
      </c>
      <c r="C233" s="388"/>
      <c r="D233" s="388" t="s">
        <v>11818</v>
      </c>
      <c r="E233" s="599" t="s">
        <v>11798</v>
      </c>
      <c r="F233" s="1137">
        <v>2.0</v>
      </c>
      <c r="G233" s="1137">
        <v>702.0</v>
      </c>
      <c r="H233" s="466">
        <f t="shared" si="53"/>
        <v>1404</v>
      </c>
      <c r="I233" s="388"/>
      <c r="J233" s="388"/>
      <c r="K233" s="265" t="s">
        <v>10949</v>
      </c>
      <c r="L233" s="269" t="s">
        <v>11774</v>
      </c>
      <c r="M233" s="1148">
        <v>42048.0</v>
      </c>
      <c r="N233" s="832">
        <v>42047.0</v>
      </c>
      <c r="O233" s="269" t="s">
        <v>90</v>
      </c>
      <c r="P233" s="265" t="s">
        <v>11820</v>
      </c>
      <c r="Q233" s="466">
        <v>1297.8</v>
      </c>
      <c r="R233" s="388"/>
      <c r="S233" s="388" t="s">
        <v>11006</v>
      </c>
      <c r="T233" s="388"/>
      <c r="U233" s="1139"/>
      <c r="V233" s="1132">
        <v>42047.0</v>
      </c>
      <c r="W233" s="320" t="s">
        <v>11821</v>
      </c>
      <c r="X233" s="256" t="s">
        <v>8836</v>
      </c>
      <c r="Y233" s="1144">
        <v>42074.0</v>
      </c>
      <c r="Z233" s="320" t="s">
        <v>11822</v>
      </c>
      <c r="AA233" s="388"/>
      <c r="AB233" s="388"/>
      <c r="AC233" s="388"/>
      <c r="AD233" s="388" t="s">
        <v>8661</v>
      </c>
    </row>
    <row r="234" ht="15.75" customHeight="1">
      <c r="A234" s="764">
        <v>42038.0</v>
      </c>
      <c r="B234" s="844" t="s">
        <v>11771</v>
      </c>
      <c r="C234" s="388"/>
      <c r="D234" s="388" t="s">
        <v>11823</v>
      </c>
      <c r="E234" s="599" t="s">
        <v>11824</v>
      </c>
      <c r="F234" s="1137">
        <v>1.0</v>
      </c>
      <c r="G234" s="325">
        <v>428.0</v>
      </c>
      <c r="H234" s="466">
        <f t="shared" si="53"/>
        <v>428</v>
      </c>
      <c r="I234" s="388"/>
      <c r="J234" s="388"/>
      <c r="K234" s="265" t="s">
        <v>10949</v>
      </c>
      <c r="L234" s="269" t="s">
        <v>11774</v>
      </c>
      <c r="M234" s="832">
        <v>42048.0</v>
      </c>
      <c r="N234" s="832">
        <v>42046.0</v>
      </c>
      <c r="O234" s="269" t="s">
        <v>90</v>
      </c>
      <c r="P234" s="265" t="s">
        <v>11825</v>
      </c>
      <c r="Q234" s="773">
        <v>395.85</v>
      </c>
      <c r="R234" s="388"/>
      <c r="S234" s="388" t="s">
        <v>11006</v>
      </c>
      <c r="T234" s="388"/>
      <c r="U234" s="1139"/>
      <c r="V234" s="1132">
        <v>42046.0</v>
      </c>
      <c r="W234" s="265" t="s">
        <v>11826</v>
      </c>
      <c r="X234" s="1135">
        <v>12440.0</v>
      </c>
      <c r="Y234" s="1144">
        <v>42074.0</v>
      </c>
      <c r="Z234" s="320" t="s">
        <v>11822</v>
      </c>
      <c r="AA234" s="388"/>
      <c r="AB234" s="388"/>
      <c r="AC234" s="388"/>
      <c r="AD234" s="388" t="s">
        <v>284</v>
      </c>
    </row>
    <row r="235" ht="15.75" customHeight="1">
      <c r="A235" s="776">
        <v>42044.0</v>
      </c>
      <c r="B235" s="844" t="s">
        <v>11771</v>
      </c>
      <c r="C235" s="388"/>
      <c r="D235" s="320" t="s">
        <v>11827</v>
      </c>
      <c r="E235" s="340" t="s">
        <v>11828</v>
      </c>
      <c r="F235" s="773">
        <v>2.0</v>
      </c>
      <c r="G235" s="466">
        <v>185.0</v>
      </c>
      <c r="H235" s="466">
        <f t="shared" ref="H235:H236" si="54">F235*G235</f>
        <v>370</v>
      </c>
      <c r="I235" s="388"/>
      <c r="J235" s="388"/>
      <c r="K235" s="265" t="s">
        <v>10949</v>
      </c>
      <c r="L235" s="333" t="s">
        <v>11774</v>
      </c>
      <c r="M235" s="832">
        <v>42065.0</v>
      </c>
      <c r="N235" s="832">
        <v>42061.0</v>
      </c>
      <c r="O235" s="333" t="s">
        <v>90</v>
      </c>
      <c r="P235" s="265" t="s">
        <v>11829</v>
      </c>
      <c r="Q235" s="773">
        <v>342.3</v>
      </c>
      <c r="R235" s="388"/>
      <c r="S235" s="320" t="s">
        <v>11006</v>
      </c>
      <c r="T235" s="388"/>
      <c r="U235" s="1139"/>
      <c r="V235" s="1132">
        <v>42061.0</v>
      </c>
      <c r="W235" s="265" t="s">
        <v>11830</v>
      </c>
      <c r="X235" s="1135">
        <v>10738.0</v>
      </c>
      <c r="Y235" s="1132">
        <v>42074.0</v>
      </c>
      <c r="Z235" s="320" t="s">
        <v>11796</v>
      </c>
      <c r="AA235" s="388"/>
      <c r="AB235" s="388"/>
      <c r="AC235" s="388"/>
      <c r="AD235" s="320" t="s">
        <v>284</v>
      </c>
    </row>
    <row r="236" ht="15.75" customHeight="1">
      <c r="A236" s="776">
        <v>42059.0</v>
      </c>
      <c r="B236" s="844" t="s">
        <v>11771</v>
      </c>
      <c r="C236" s="388"/>
      <c r="D236" s="320" t="s">
        <v>11831</v>
      </c>
      <c r="E236" s="340" t="s">
        <v>11811</v>
      </c>
      <c r="F236" s="773">
        <v>1.0</v>
      </c>
      <c r="G236" s="466">
        <v>510.0</v>
      </c>
      <c r="H236" s="466">
        <f t="shared" si="54"/>
        <v>510</v>
      </c>
      <c r="I236" s="388"/>
      <c r="J236" s="388"/>
      <c r="K236" s="265" t="s">
        <v>10949</v>
      </c>
      <c r="L236" s="333" t="s">
        <v>11774</v>
      </c>
      <c r="M236" s="832">
        <v>42075.0</v>
      </c>
      <c r="N236" s="832">
        <v>42067.0</v>
      </c>
      <c r="O236" s="333" t="s">
        <v>90</v>
      </c>
      <c r="P236" s="265" t="s">
        <v>11832</v>
      </c>
      <c r="Q236" s="773">
        <v>471.45</v>
      </c>
      <c r="R236" s="388"/>
      <c r="S236" s="320" t="s">
        <v>11006</v>
      </c>
      <c r="T236" s="388"/>
      <c r="U236" s="1139"/>
      <c r="V236" s="1132">
        <v>42067.0</v>
      </c>
      <c r="W236" s="265" t="s">
        <v>11833</v>
      </c>
      <c r="X236" s="1135">
        <v>14796.0</v>
      </c>
      <c r="Y236" s="1132">
        <v>42074.0</v>
      </c>
      <c r="Z236" s="320" t="s">
        <v>11834</v>
      </c>
      <c r="AA236" s="388"/>
      <c r="AB236" s="388"/>
      <c r="AC236" s="388"/>
      <c r="AD236" s="320" t="s">
        <v>284</v>
      </c>
    </row>
    <row r="237" ht="15.75" customHeight="1">
      <c r="A237" s="776">
        <v>42065.0</v>
      </c>
      <c r="B237" s="844" t="s">
        <v>11771</v>
      </c>
      <c r="C237" s="388"/>
      <c r="D237" s="320" t="s">
        <v>11835</v>
      </c>
      <c r="E237" s="340" t="s">
        <v>11778</v>
      </c>
      <c r="F237" s="773">
        <v>1.0</v>
      </c>
      <c r="G237" s="773">
        <v>977.0</v>
      </c>
      <c r="H237" s="466">
        <f t="shared" ref="H237:H259" si="55">G237*F237</f>
        <v>977</v>
      </c>
      <c r="I237" s="388"/>
      <c r="J237" s="388"/>
      <c r="K237" s="265" t="s">
        <v>10949</v>
      </c>
      <c r="L237" s="333" t="s">
        <v>11774</v>
      </c>
      <c r="M237" s="832">
        <v>42075.0</v>
      </c>
      <c r="N237" s="832">
        <v>42074.0</v>
      </c>
      <c r="O237" s="333" t="s">
        <v>90</v>
      </c>
      <c r="P237" s="265" t="s">
        <v>11836</v>
      </c>
      <c r="Q237" s="466">
        <v>903.0</v>
      </c>
      <c r="R237" s="388"/>
      <c r="S237" s="320" t="s">
        <v>11006</v>
      </c>
      <c r="T237" s="388"/>
      <c r="U237" s="1139"/>
      <c r="V237" s="1132">
        <v>42074.0</v>
      </c>
      <c r="W237" s="265" t="s">
        <v>11837</v>
      </c>
      <c r="X237" s="1135">
        <v>31747.0</v>
      </c>
      <c r="Y237" s="1132">
        <v>42074.0</v>
      </c>
      <c r="Z237" s="320" t="s">
        <v>11834</v>
      </c>
      <c r="AA237" s="388"/>
      <c r="AB237" s="388"/>
      <c r="AC237" s="388"/>
      <c r="AD237" s="388" t="s">
        <v>8661</v>
      </c>
    </row>
    <row r="238" ht="15.75" customHeight="1">
      <c r="A238" s="776">
        <v>42065.0</v>
      </c>
      <c r="B238" s="844" t="s">
        <v>11771</v>
      </c>
      <c r="C238" s="388"/>
      <c r="D238" s="320" t="s">
        <v>11835</v>
      </c>
      <c r="E238" s="340" t="s">
        <v>8941</v>
      </c>
      <c r="F238" s="773">
        <v>1.0</v>
      </c>
      <c r="G238" s="773">
        <v>105.0</v>
      </c>
      <c r="H238" s="466">
        <f t="shared" si="55"/>
        <v>105</v>
      </c>
      <c r="I238" s="388"/>
      <c r="J238" s="388"/>
      <c r="K238" s="265" t="s">
        <v>10949</v>
      </c>
      <c r="L238" s="333" t="s">
        <v>11774</v>
      </c>
      <c r="M238" s="832">
        <v>42075.0</v>
      </c>
      <c r="N238" s="832">
        <v>42074.0</v>
      </c>
      <c r="O238" s="333" t="s">
        <v>90</v>
      </c>
      <c r="P238" s="265" t="s">
        <v>11836</v>
      </c>
      <c r="Q238" s="466">
        <v>97.65</v>
      </c>
      <c r="R238" s="388"/>
      <c r="S238" s="320" t="s">
        <v>11006</v>
      </c>
      <c r="T238" s="388"/>
      <c r="U238" s="1139"/>
      <c r="V238" s="1132">
        <v>42074.0</v>
      </c>
      <c r="W238" s="265" t="s">
        <v>11837</v>
      </c>
      <c r="X238" s="256" t="s">
        <v>8836</v>
      </c>
      <c r="Y238" s="1132">
        <v>42074.0</v>
      </c>
      <c r="Z238" s="320" t="s">
        <v>11834</v>
      </c>
      <c r="AA238" s="388"/>
      <c r="AB238" s="388"/>
      <c r="AC238" s="388"/>
      <c r="AD238" s="388" t="s">
        <v>8661</v>
      </c>
    </row>
    <row r="239" ht="15.75" customHeight="1">
      <c r="A239" s="776">
        <v>42065.0</v>
      </c>
      <c r="B239" s="844" t="s">
        <v>11771</v>
      </c>
      <c r="C239" s="388"/>
      <c r="D239" s="320" t="s">
        <v>11835</v>
      </c>
      <c r="E239" s="340" t="s">
        <v>11838</v>
      </c>
      <c r="F239" s="773">
        <v>1.0</v>
      </c>
      <c r="G239" s="773">
        <v>10.5</v>
      </c>
      <c r="H239" s="466">
        <f t="shared" si="55"/>
        <v>10.5</v>
      </c>
      <c r="I239" s="388"/>
      <c r="J239" s="388"/>
      <c r="K239" s="265" t="s">
        <v>10949</v>
      </c>
      <c r="L239" s="333" t="s">
        <v>11774</v>
      </c>
      <c r="M239" s="832">
        <v>42075.0</v>
      </c>
      <c r="N239" s="832">
        <v>42074.0</v>
      </c>
      <c r="O239" s="333" t="s">
        <v>90</v>
      </c>
      <c r="P239" s="265" t="s">
        <v>11836</v>
      </c>
      <c r="Q239" s="466">
        <v>9.45</v>
      </c>
      <c r="R239" s="388"/>
      <c r="S239" s="320" t="s">
        <v>11006</v>
      </c>
      <c r="T239" s="388"/>
      <c r="U239" s="1139"/>
      <c r="V239" s="1132">
        <v>42074.0</v>
      </c>
      <c r="W239" s="265" t="s">
        <v>11837</v>
      </c>
      <c r="X239" s="256" t="s">
        <v>8836</v>
      </c>
      <c r="Y239" s="1132">
        <v>42074.0</v>
      </c>
      <c r="Z239" s="320" t="s">
        <v>11834</v>
      </c>
      <c r="AA239" s="388"/>
      <c r="AB239" s="388"/>
      <c r="AC239" s="388"/>
      <c r="AD239" s="388" t="s">
        <v>8661</v>
      </c>
    </row>
    <row r="240" ht="15.75" customHeight="1">
      <c r="A240" s="764">
        <v>42066.0</v>
      </c>
      <c r="B240" s="844" t="s">
        <v>11771</v>
      </c>
      <c r="C240" s="388"/>
      <c r="D240" s="388" t="s">
        <v>11839</v>
      </c>
      <c r="E240" s="599" t="s">
        <v>7414</v>
      </c>
      <c r="F240" s="1137">
        <v>1.0</v>
      </c>
      <c r="G240" s="1137">
        <v>222.0</v>
      </c>
      <c r="H240" s="466">
        <f t="shared" si="55"/>
        <v>222</v>
      </c>
      <c r="I240" s="388"/>
      <c r="J240" s="388"/>
      <c r="K240" s="265" t="s">
        <v>10949</v>
      </c>
      <c r="L240" s="269" t="s">
        <v>11774</v>
      </c>
      <c r="M240" s="832">
        <v>42089.0</v>
      </c>
      <c r="N240" s="832">
        <v>42088.0</v>
      </c>
      <c r="O240" s="269" t="s">
        <v>90</v>
      </c>
      <c r="P240" s="265" t="s">
        <v>11840</v>
      </c>
      <c r="Q240" s="466">
        <v>178.5</v>
      </c>
      <c r="R240" s="388"/>
      <c r="S240" s="388" t="s">
        <v>11006</v>
      </c>
      <c r="T240" s="388"/>
      <c r="U240" s="1139"/>
      <c r="V240" s="1132">
        <v>42088.0</v>
      </c>
      <c r="W240" s="320" t="s">
        <v>11841</v>
      </c>
      <c r="X240" s="1135">
        <v>7364.0</v>
      </c>
      <c r="Y240" s="1144">
        <v>42090.0</v>
      </c>
      <c r="Z240" s="320" t="s">
        <v>11842</v>
      </c>
      <c r="AA240" s="388"/>
      <c r="AB240" s="388"/>
      <c r="AC240" s="388"/>
      <c r="AD240" s="388" t="s">
        <v>8661</v>
      </c>
    </row>
    <row r="241" ht="15.75" customHeight="1">
      <c r="A241" s="764">
        <v>42066.0</v>
      </c>
      <c r="B241" s="844" t="s">
        <v>11771</v>
      </c>
      <c r="C241" s="388"/>
      <c r="D241" s="388" t="s">
        <v>11839</v>
      </c>
      <c r="E241" s="599" t="s">
        <v>11843</v>
      </c>
      <c r="F241" s="1137">
        <v>1.0</v>
      </c>
      <c r="G241" s="1137">
        <v>59.0</v>
      </c>
      <c r="H241" s="466">
        <f t="shared" si="55"/>
        <v>59</v>
      </c>
      <c r="I241" s="388"/>
      <c r="J241" s="388"/>
      <c r="K241" s="265" t="s">
        <v>10949</v>
      </c>
      <c r="L241" s="269" t="s">
        <v>11774</v>
      </c>
      <c r="M241" s="832">
        <v>42089.0</v>
      </c>
      <c r="N241" s="832">
        <v>42088.0</v>
      </c>
      <c r="O241" s="269" t="s">
        <v>90</v>
      </c>
      <c r="P241" s="265" t="s">
        <v>11840</v>
      </c>
      <c r="Q241" s="466">
        <v>54.6</v>
      </c>
      <c r="R241" s="388"/>
      <c r="S241" s="388" t="s">
        <v>11006</v>
      </c>
      <c r="T241" s="388"/>
      <c r="U241" s="1139"/>
      <c r="V241" s="1132">
        <v>42088.0</v>
      </c>
      <c r="W241" s="320" t="s">
        <v>11841</v>
      </c>
      <c r="X241" s="256" t="s">
        <v>8836</v>
      </c>
      <c r="Y241" s="1144">
        <v>42090.0</v>
      </c>
      <c r="Z241" s="320" t="s">
        <v>11842</v>
      </c>
      <c r="AA241" s="388"/>
      <c r="AB241" s="388"/>
      <c r="AC241" s="388"/>
      <c r="AD241" s="388" t="s">
        <v>8661</v>
      </c>
    </row>
    <row r="242" ht="15.75" customHeight="1">
      <c r="A242" s="776">
        <v>42069.0</v>
      </c>
      <c r="B242" s="844" t="s">
        <v>11771</v>
      </c>
      <c r="C242" s="388"/>
      <c r="D242" s="320" t="s">
        <v>11844</v>
      </c>
      <c r="E242" s="597" t="s">
        <v>11845</v>
      </c>
      <c r="F242" s="773">
        <v>20.0</v>
      </c>
      <c r="G242" s="773">
        <v>120.0</v>
      </c>
      <c r="H242" s="466">
        <f t="shared" si="55"/>
        <v>2400</v>
      </c>
      <c r="I242" s="388"/>
      <c r="J242" s="388"/>
      <c r="K242" s="265" t="s">
        <v>10949</v>
      </c>
      <c r="L242" s="333" t="s">
        <v>11774</v>
      </c>
      <c r="M242" s="832">
        <v>42082.0</v>
      </c>
      <c r="N242" s="832">
        <v>42079.0</v>
      </c>
      <c r="O242" s="333" t="s">
        <v>11033</v>
      </c>
      <c r="P242" s="320" t="s">
        <v>11846</v>
      </c>
      <c r="Q242" s="793"/>
      <c r="R242" s="773">
        <v>73773.0</v>
      </c>
      <c r="S242" s="320" t="s">
        <v>8689</v>
      </c>
      <c r="T242" s="388"/>
      <c r="U242" s="1139"/>
      <c r="V242" s="1132">
        <v>42076.0</v>
      </c>
      <c r="W242" s="265" t="s">
        <v>11847</v>
      </c>
      <c r="X242" s="1135">
        <v>73773.0</v>
      </c>
      <c r="Y242" s="1132">
        <v>42096.0</v>
      </c>
      <c r="Z242" s="320" t="s">
        <v>11848</v>
      </c>
      <c r="AA242" s="388"/>
      <c r="AB242" s="388"/>
      <c r="AC242" s="388"/>
      <c r="AD242" s="388" t="s">
        <v>8661</v>
      </c>
    </row>
    <row r="243" ht="15.75" customHeight="1">
      <c r="A243" s="776">
        <v>42069.0</v>
      </c>
      <c r="B243" s="844" t="s">
        <v>11771</v>
      </c>
      <c r="C243" s="388"/>
      <c r="D243" s="320" t="s">
        <v>11849</v>
      </c>
      <c r="E243" s="340" t="s">
        <v>11850</v>
      </c>
      <c r="F243" s="773">
        <v>2.0</v>
      </c>
      <c r="G243" s="773">
        <v>916.0</v>
      </c>
      <c r="H243" s="466">
        <f t="shared" si="55"/>
        <v>1832</v>
      </c>
      <c r="I243" s="388"/>
      <c r="J243" s="388"/>
      <c r="K243" s="265" t="s">
        <v>10949</v>
      </c>
      <c r="L243" s="333" t="s">
        <v>11774</v>
      </c>
      <c r="M243" s="832">
        <v>42082.0</v>
      </c>
      <c r="N243" s="832">
        <v>42080.0</v>
      </c>
      <c r="O243" s="333" t="s">
        <v>90</v>
      </c>
      <c r="P243" s="265" t="s">
        <v>11851</v>
      </c>
      <c r="Q243" s="466">
        <v>1692.6</v>
      </c>
      <c r="R243" s="388"/>
      <c r="S243" s="320" t="s">
        <v>11006</v>
      </c>
      <c r="T243" s="388"/>
      <c r="U243" s="1139"/>
      <c r="V243" s="1132">
        <v>42080.0</v>
      </c>
      <c r="W243" s="265" t="s">
        <v>11852</v>
      </c>
      <c r="X243" s="1135">
        <v>106529.0</v>
      </c>
      <c r="Y243" s="1132">
        <v>42082.0</v>
      </c>
      <c r="Z243" s="320" t="s">
        <v>11848</v>
      </c>
      <c r="AA243" s="388"/>
      <c r="AB243" s="388"/>
      <c r="AC243" s="388"/>
      <c r="AD243" s="388" t="s">
        <v>8661</v>
      </c>
    </row>
    <row r="244" ht="15.75" customHeight="1">
      <c r="A244" s="776">
        <v>42069.0</v>
      </c>
      <c r="B244" s="844" t="s">
        <v>11771</v>
      </c>
      <c r="C244" s="388"/>
      <c r="D244" s="320" t="s">
        <v>11849</v>
      </c>
      <c r="E244" s="340" t="s">
        <v>11853</v>
      </c>
      <c r="F244" s="773">
        <v>8.0</v>
      </c>
      <c r="G244" s="773">
        <v>230.0</v>
      </c>
      <c r="H244" s="466">
        <f t="shared" si="55"/>
        <v>1840</v>
      </c>
      <c r="I244" s="388"/>
      <c r="J244" s="388"/>
      <c r="K244" s="265" t="s">
        <v>10949</v>
      </c>
      <c r="L244" s="333" t="s">
        <v>11774</v>
      </c>
      <c r="M244" s="832">
        <v>42082.0</v>
      </c>
      <c r="N244" s="832">
        <v>42080.0</v>
      </c>
      <c r="O244" s="333" t="s">
        <v>90</v>
      </c>
      <c r="P244" s="265" t="s">
        <v>11851</v>
      </c>
      <c r="Q244" s="466">
        <v>1696.8</v>
      </c>
      <c r="R244" s="388"/>
      <c r="S244" s="320" t="s">
        <v>11006</v>
      </c>
      <c r="T244" s="388"/>
      <c r="U244" s="1139"/>
      <c r="V244" s="1132">
        <v>42080.0</v>
      </c>
      <c r="W244" s="265" t="s">
        <v>11852</v>
      </c>
      <c r="X244" s="256" t="s">
        <v>8836</v>
      </c>
      <c r="Y244" s="1132">
        <v>42082.0</v>
      </c>
      <c r="Z244" s="320" t="s">
        <v>11848</v>
      </c>
      <c r="AA244" s="388"/>
      <c r="AB244" s="388"/>
      <c r="AC244" s="388"/>
      <c r="AD244" s="388" t="s">
        <v>8661</v>
      </c>
    </row>
    <row r="245" ht="15.75" customHeight="1">
      <c r="A245" s="764">
        <v>42089.0</v>
      </c>
      <c r="B245" s="844" t="s">
        <v>11771</v>
      </c>
      <c r="C245" s="388"/>
      <c r="D245" s="388" t="s">
        <v>11854</v>
      </c>
      <c r="E245" s="599" t="s">
        <v>4780</v>
      </c>
      <c r="F245" s="1137">
        <v>3.0</v>
      </c>
      <c r="G245" s="1137">
        <v>90.0</v>
      </c>
      <c r="H245" s="466">
        <f t="shared" si="55"/>
        <v>270</v>
      </c>
      <c r="I245" s="388"/>
      <c r="J245" s="388"/>
      <c r="K245" s="265" t="s">
        <v>10949</v>
      </c>
      <c r="L245" s="269" t="s">
        <v>11774</v>
      </c>
      <c r="M245" s="832">
        <v>42096.0</v>
      </c>
      <c r="N245" s="832">
        <v>42095.0</v>
      </c>
      <c r="O245" s="269" t="s">
        <v>90</v>
      </c>
      <c r="P245" s="265" t="s">
        <v>11855</v>
      </c>
      <c r="Q245" s="773">
        <v>248.85</v>
      </c>
      <c r="R245" s="388"/>
      <c r="S245" s="388" t="s">
        <v>11006</v>
      </c>
      <c r="T245" s="388"/>
      <c r="U245" s="388"/>
      <c r="V245" s="1132">
        <v>42095.0</v>
      </c>
      <c r="W245" s="320" t="s">
        <v>11856</v>
      </c>
      <c r="X245" s="1135">
        <v>7777.0</v>
      </c>
      <c r="Y245" s="388"/>
      <c r="Z245" s="320" t="s">
        <v>11857</v>
      </c>
      <c r="AA245" s="388"/>
      <c r="AB245" s="388"/>
      <c r="AC245" s="388"/>
      <c r="AD245" s="388" t="s">
        <v>284</v>
      </c>
    </row>
    <row r="246" ht="15.75" customHeight="1">
      <c r="A246" s="764">
        <v>42089.0</v>
      </c>
      <c r="B246" s="844" t="s">
        <v>11771</v>
      </c>
      <c r="C246" s="388"/>
      <c r="D246" s="388" t="s">
        <v>11858</v>
      </c>
      <c r="E246" s="599" t="s">
        <v>11859</v>
      </c>
      <c r="F246" s="1137">
        <v>4.0</v>
      </c>
      <c r="G246" s="1137">
        <v>177.0</v>
      </c>
      <c r="H246" s="466">
        <f t="shared" si="55"/>
        <v>708</v>
      </c>
      <c r="I246" s="388"/>
      <c r="J246" s="388"/>
      <c r="K246" s="265" t="s">
        <v>10949</v>
      </c>
      <c r="L246" s="269" t="s">
        <v>11774</v>
      </c>
      <c r="M246" s="832">
        <v>42111.0</v>
      </c>
      <c r="N246" s="832">
        <v>42109.0</v>
      </c>
      <c r="O246" s="269" t="s">
        <v>90</v>
      </c>
      <c r="P246" s="265" t="s">
        <v>11860</v>
      </c>
      <c r="Q246" s="773">
        <v>600.6</v>
      </c>
      <c r="R246" s="388"/>
      <c r="S246" s="388" t="s">
        <v>11006</v>
      </c>
      <c r="T246" s="388"/>
      <c r="U246" s="388"/>
      <c r="V246" s="1132">
        <v>42109.0</v>
      </c>
      <c r="W246" s="320" t="s">
        <v>11861</v>
      </c>
      <c r="X246" s="1135">
        <v>20223.0</v>
      </c>
      <c r="Y246" s="388"/>
      <c r="Z246" s="320" t="s">
        <v>11862</v>
      </c>
      <c r="AA246" s="388"/>
      <c r="AB246" s="388"/>
      <c r="AC246" s="388"/>
      <c r="AD246" s="388" t="s">
        <v>284</v>
      </c>
    </row>
    <row r="247" ht="15.75" customHeight="1">
      <c r="A247" s="764">
        <v>42089.0</v>
      </c>
      <c r="B247" s="844" t="s">
        <v>11771</v>
      </c>
      <c r="C247" s="388"/>
      <c r="D247" s="388" t="s">
        <v>11858</v>
      </c>
      <c r="E247" s="599" t="s">
        <v>11863</v>
      </c>
      <c r="F247" s="1137">
        <v>1.0</v>
      </c>
      <c r="G247" s="1137">
        <v>52.0</v>
      </c>
      <c r="H247" s="466">
        <f t="shared" si="55"/>
        <v>52</v>
      </c>
      <c r="I247" s="388"/>
      <c r="J247" s="388"/>
      <c r="K247" s="265" t="s">
        <v>10949</v>
      </c>
      <c r="L247" s="269" t="s">
        <v>11774</v>
      </c>
      <c r="M247" s="832">
        <v>42111.0</v>
      </c>
      <c r="N247" s="832">
        <v>42109.0</v>
      </c>
      <c r="O247" s="269" t="s">
        <v>90</v>
      </c>
      <c r="P247" s="265" t="s">
        <v>11860</v>
      </c>
      <c r="Q247" s="773">
        <v>48.3</v>
      </c>
      <c r="R247" s="388"/>
      <c r="S247" s="388" t="s">
        <v>11006</v>
      </c>
      <c r="T247" s="388"/>
      <c r="U247" s="388"/>
      <c r="V247" s="1132">
        <v>42109.0</v>
      </c>
      <c r="W247" s="320" t="s">
        <v>11861</v>
      </c>
      <c r="X247" s="256" t="s">
        <v>8836</v>
      </c>
      <c r="Y247" s="388"/>
      <c r="Z247" s="320" t="s">
        <v>11862</v>
      </c>
      <c r="AA247" s="388"/>
      <c r="AB247" s="388"/>
      <c r="AC247" s="388"/>
      <c r="AD247" s="388" t="s">
        <v>284</v>
      </c>
    </row>
    <row r="248" ht="15.75" customHeight="1">
      <c r="A248" s="764">
        <v>42090.0</v>
      </c>
      <c r="B248" s="844" t="s">
        <v>11771</v>
      </c>
      <c r="C248" s="388"/>
      <c r="D248" s="388" t="s">
        <v>11864</v>
      </c>
      <c r="E248" s="844" t="s">
        <v>11845</v>
      </c>
      <c r="F248" s="1137">
        <v>1.0</v>
      </c>
      <c r="G248" s="1137">
        <v>120.0</v>
      </c>
      <c r="H248" s="466">
        <f t="shared" si="55"/>
        <v>120</v>
      </c>
      <c r="I248" s="388"/>
      <c r="J248" s="388"/>
      <c r="K248" s="265" t="s">
        <v>10949</v>
      </c>
      <c r="L248" s="269" t="s">
        <v>11774</v>
      </c>
      <c r="M248" s="832">
        <v>42096.0</v>
      </c>
      <c r="N248" s="832">
        <v>42095.0</v>
      </c>
      <c r="O248" s="269" t="s">
        <v>11033</v>
      </c>
      <c r="P248" s="1004" t="s">
        <v>11865</v>
      </c>
      <c r="Q248" s="388"/>
      <c r="R248" s="773">
        <v>3689.0</v>
      </c>
      <c r="S248" s="388" t="s">
        <v>8689</v>
      </c>
      <c r="T248" s="388"/>
      <c r="U248" s="388"/>
      <c r="V248" s="1144">
        <v>42094.0</v>
      </c>
      <c r="W248" s="388" t="s">
        <v>11866</v>
      </c>
      <c r="X248" s="845">
        <v>3689.0</v>
      </c>
      <c r="Y248" s="1144">
        <v>42129.0</v>
      </c>
      <c r="Z248" s="320" t="s">
        <v>11857</v>
      </c>
      <c r="AA248" s="388"/>
      <c r="AB248" s="388"/>
      <c r="AC248" s="388"/>
      <c r="AD248" s="388" t="s">
        <v>284</v>
      </c>
    </row>
    <row r="249" ht="15.75" customHeight="1">
      <c r="A249" s="764">
        <v>42093.0</v>
      </c>
      <c r="B249" s="844" t="s">
        <v>11771</v>
      </c>
      <c r="C249" s="388"/>
      <c r="D249" s="388" t="s">
        <v>11867</v>
      </c>
      <c r="E249" s="599" t="s">
        <v>11868</v>
      </c>
      <c r="F249" s="1137">
        <v>6.0</v>
      </c>
      <c r="G249" s="1137">
        <v>138.5</v>
      </c>
      <c r="H249" s="466">
        <f t="shared" si="55"/>
        <v>831</v>
      </c>
      <c r="I249" s="388"/>
      <c r="J249" s="388"/>
      <c r="K249" s="265" t="s">
        <v>10949</v>
      </c>
      <c r="L249" s="269" t="s">
        <v>11774</v>
      </c>
      <c r="M249" s="832">
        <v>42111.0</v>
      </c>
      <c r="N249" s="832">
        <v>42109.0</v>
      </c>
      <c r="O249" s="269" t="s">
        <v>90</v>
      </c>
      <c r="P249" s="265" t="s">
        <v>11869</v>
      </c>
      <c r="Q249" s="773">
        <v>737.1</v>
      </c>
      <c r="R249" s="388"/>
      <c r="S249" s="388" t="s">
        <v>11006</v>
      </c>
      <c r="T249" s="388"/>
      <c r="U249" s="388"/>
      <c r="V249" s="1132">
        <v>42109.0</v>
      </c>
      <c r="W249" s="1088" t="s">
        <v>11870</v>
      </c>
      <c r="X249" s="1135">
        <v>23561.0</v>
      </c>
      <c r="Y249" s="388"/>
      <c r="Z249" s="320" t="s">
        <v>11862</v>
      </c>
      <c r="AA249" s="388"/>
      <c r="AB249" s="388"/>
      <c r="AC249" s="388"/>
      <c r="AD249" s="388" t="s">
        <v>284</v>
      </c>
    </row>
    <row r="250" ht="15.75" customHeight="1">
      <c r="A250" s="764">
        <v>42093.0</v>
      </c>
      <c r="B250" s="844" t="s">
        <v>11771</v>
      </c>
      <c r="C250" s="388"/>
      <c r="D250" s="388" t="s">
        <v>11867</v>
      </c>
      <c r="E250" s="599" t="s">
        <v>4808</v>
      </c>
      <c r="F250" s="1137">
        <v>6.0</v>
      </c>
      <c r="G250" s="1137">
        <v>3.5</v>
      </c>
      <c r="H250" s="466">
        <f t="shared" si="55"/>
        <v>21</v>
      </c>
      <c r="I250" s="388"/>
      <c r="J250" s="388"/>
      <c r="K250" s="265" t="s">
        <v>10949</v>
      </c>
      <c r="L250" s="269" t="s">
        <v>11774</v>
      </c>
      <c r="M250" s="832">
        <v>42111.0</v>
      </c>
      <c r="N250" s="832">
        <v>42109.0</v>
      </c>
      <c r="O250" s="269" t="s">
        <v>90</v>
      </c>
      <c r="P250" s="265" t="s">
        <v>11869</v>
      </c>
      <c r="Q250" s="773">
        <v>18.9</v>
      </c>
      <c r="R250" s="388"/>
      <c r="S250" s="388" t="s">
        <v>11006</v>
      </c>
      <c r="T250" s="388"/>
      <c r="U250" s="388"/>
      <c r="V250" s="1132">
        <v>42109.0</v>
      </c>
      <c r="W250" s="1088" t="s">
        <v>11870</v>
      </c>
      <c r="X250" s="1135" t="s">
        <v>8836</v>
      </c>
      <c r="Y250" s="388"/>
      <c r="Z250" s="320" t="s">
        <v>11862</v>
      </c>
      <c r="AA250" s="388"/>
      <c r="AB250" s="388"/>
      <c r="AC250" s="388"/>
      <c r="AD250" s="388" t="s">
        <v>284</v>
      </c>
    </row>
    <row r="251" ht="15.75" customHeight="1">
      <c r="A251" s="764">
        <v>42094.0</v>
      </c>
      <c r="B251" s="844" t="s">
        <v>11771</v>
      </c>
      <c r="C251" s="388"/>
      <c r="D251" s="320" t="s">
        <v>11871</v>
      </c>
      <c r="E251" s="599" t="s">
        <v>11872</v>
      </c>
      <c r="F251" s="1137">
        <v>1.0</v>
      </c>
      <c r="G251" s="1137">
        <v>52.5</v>
      </c>
      <c r="H251" s="466">
        <f t="shared" si="55"/>
        <v>52.5</v>
      </c>
      <c r="I251" s="388"/>
      <c r="J251" s="1137">
        <v>1638.0</v>
      </c>
      <c r="K251" s="265" t="s">
        <v>10949</v>
      </c>
      <c r="L251" s="269" t="s">
        <v>11032</v>
      </c>
      <c r="M251" s="832">
        <v>42110.0</v>
      </c>
      <c r="N251" s="832">
        <v>42110.0</v>
      </c>
      <c r="O251" s="269" t="s">
        <v>11873</v>
      </c>
      <c r="P251" s="388"/>
      <c r="Q251" s="388"/>
      <c r="R251" s="1137">
        <v>1800.0</v>
      </c>
      <c r="S251" s="388" t="s">
        <v>11874</v>
      </c>
      <c r="T251" s="388"/>
      <c r="U251" s="1139"/>
      <c r="V251" s="1144">
        <v>42109.0</v>
      </c>
      <c r="W251" s="388" t="s">
        <v>11875</v>
      </c>
      <c r="X251" s="845">
        <v>1800.0</v>
      </c>
      <c r="Y251" s="1144">
        <v>42095.0</v>
      </c>
      <c r="Z251" s="388" t="s">
        <v>11876</v>
      </c>
      <c r="AA251" s="388"/>
      <c r="AB251" s="388"/>
      <c r="AC251" s="388"/>
      <c r="AD251" s="388"/>
    </row>
    <row r="252" ht="15.75" customHeight="1">
      <c r="A252" s="764">
        <v>42107.0</v>
      </c>
      <c r="B252" s="844" t="s">
        <v>11771</v>
      </c>
      <c r="C252" s="388"/>
      <c r="D252" s="388" t="s">
        <v>11877</v>
      </c>
      <c r="E252" s="599" t="s">
        <v>11878</v>
      </c>
      <c r="F252" s="1137">
        <v>1.0</v>
      </c>
      <c r="G252" s="1137">
        <v>337.0</v>
      </c>
      <c r="H252" s="466">
        <f t="shared" si="55"/>
        <v>337</v>
      </c>
      <c r="I252" s="388"/>
      <c r="J252" s="388"/>
      <c r="K252" s="265" t="s">
        <v>10949</v>
      </c>
      <c r="L252" s="269" t="s">
        <v>11879</v>
      </c>
      <c r="M252" s="832">
        <v>42117.0</v>
      </c>
      <c r="N252" s="832">
        <v>42115.0</v>
      </c>
      <c r="O252" s="269" t="s">
        <v>90</v>
      </c>
      <c r="P252" s="265" t="s">
        <v>11880</v>
      </c>
      <c r="Q252" s="773">
        <v>310.8</v>
      </c>
      <c r="R252" s="388"/>
      <c r="S252" s="388" t="s">
        <v>11006</v>
      </c>
      <c r="T252" s="388"/>
      <c r="U252" s="388"/>
      <c r="V252" s="1132">
        <v>42116.0</v>
      </c>
      <c r="W252" s="320" t="s">
        <v>11881</v>
      </c>
      <c r="X252" s="1135">
        <v>12246.0</v>
      </c>
      <c r="Y252" s="388"/>
      <c r="Z252" s="388" t="s">
        <v>11882</v>
      </c>
      <c r="AA252" s="388"/>
      <c r="AB252" s="388"/>
      <c r="AC252" s="388"/>
      <c r="AD252" s="388" t="s">
        <v>284</v>
      </c>
    </row>
    <row r="253" ht="15.75" customHeight="1">
      <c r="A253" s="764">
        <v>42107.0</v>
      </c>
      <c r="B253" s="844" t="s">
        <v>11771</v>
      </c>
      <c r="C253" s="388"/>
      <c r="D253" s="388" t="s">
        <v>11877</v>
      </c>
      <c r="E253" s="599" t="s">
        <v>7256</v>
      </c>
      <c r="F253" s="1137">
        <v>1.0</v>
      </c>
      <c r="G253" s="1137">
        <v>89.0</v>
      </c>
      <c r="H253" s="466">
        <f t="shared" si="55"/>
        <v>89</v>
      </c>
      <c r="I253" s="388"/>
      <c r="J253" s="388"/>
      <c r="K253" s="265" t="s">
        <v>10949</v>
      </c>
      <c r="L253" s="269" t="s">
        <v>11879</v>
      </c>
      <c r="M253" s="832">
        <v>42117.0</v>
      </c>
      <c r="N253" s="832">
        <v>42115.0</v>
      </c>
      <c r="O253" s="269" t="s">
        <v>90</v>
      </c>
      <c r="P253" s="265" t="s">
        <v>11880</v>
      </c>
      <c r="Q253" s="773">
        <v>81.9</v>
      </c>
      <c r="R253" s="388"/>
      <c r="S253" s="388" t="s">
        <v>11006</v>
      </c>
      <c r="T253" s="388"/>
      <c r="U253" s="388"/>
      <c r="V253" s="1132">
        <v>42116.0</v>
      </c>
      <c r="W253" s="320" t="s">
        <v>11881</v>
      </c>
      <c r="X253" s="256" t="s">
        <v>8836</v>
      </c>
      <c r="Y253" s="388"/>
      <c r="Z253" s="388" t="s">
        <v>11882</v>
      </c>
      <c r="AA253" s="388"/>
      <c r="AB253" s="388"/>
      <c r="AC253" s="388"/>
      <c r="AD253" s="388" t="s">
        <v>284</v>
      </c>
    </row>
    <row r="254" ht="15.75" customHeight="1">
      <c r="A254" s="764">
        <v>42121.0</v>
      </c>
      <c r="B254" s="844" t="s">
        <v>11771</v>
      </c>
      <c r="C254" s="388"/>
      <c r="D254" s="388" t="s">
        <v>11883</v>
      </c>
      <c r="E254" s="599" t="s">
        <v>11884</v>
      </c>
      <c r="F254" s="1137">
        <v>1.0</v>
      </c>
      <c r="G254" s="1137">
        <v>24.0</v>
      </c>
      <c r="H254" s="466">
        <f t="shared" si="55"/>
        <v>24</v>
      </c>
      <c r="I254" s="388"/>
      <c r="J254" s="388"/>
      <c r="K254" s="265" t="s">
        <v>10949</v>
      </c>
      <c r="L254" s="269" t="s">
        <v>11774</v>
      </c>
      <c r="M254" s="832">
        <v>42142.0</v>
      </c>
      <c r="N254" s="832">
        <v>42131.0</v>
      </c>
      <c r="O254" s="269" t="s">
        <v>11236</v>
      </c>
      <c r="P254" s="265" t="s">
        <v>9485</v>
      </c>
      <c r="Q254" s="388"/>
      <c r="R254" s="773">
        <v>236.25</v>
      </c>
      <c r="S254" s="388"/>
      <c r="T254" s="388" t="s">
        <v>9485</v>
      </c>
      <c r="U254" s="388"/>
      <c r="V254" s="1004" t="s">
        <v>11237</v>
      </c>
      <c r="W254" s="388" t="s">
        <v>11238</v>
      </c>
      <c r="X254" s="592" t="s">
        <v>11237</v>
      </c>
      <c r="Y254" s="388"/>
      <c r="Z254" s="320" t="s">
        <v>11885</v>
      </c>
      <c r="AA254" s="388"/>
      <c r="AB254" s="388"/>
      <c r="AC254" s="388"/>
      <c r="AD254" s="1137" t="s">
        <v>11886</v>
      </c>
    </row>
    <row r="255" ht="15.75" customHeight="1">
      <c r="A255" s="764">
        <v>42124.0</v>
      </c>
      <c r="B255" s="844" t="s">
        <v>11771</v>
      </c>
      <c r="C255" s="388"/>
      <c r="D255" s="388" t="s">
        <v>11887</v>
      </c>
      <c r="E255" s="599" t="s">
        <v>11888</v>
      </c>
      <c r="F255" s="1137">
        <v>3.0</v>
      </c>
      <c r="G255" s="1137">
        <v>996.0</v>
      </c>
      <c r="H255" s="466">
        <f t="shared" si="55"/>
        <v>2988</v>
      </c>
      <c r="I255" s="388"/>
      <c r="J255" s="388"/>
      <c r="K255" s="265" t="s">
        <v>10949</v>
      </c>
      <c r="L255" s="269" t="s">
        <v>11774</v>
      </c>
      <c r="M255" s="832">
        <v>42152.0</v>
      </c>
      <c r="N255" s="832">
        <v>42150.0</v>
      </c>
      <c r="O255" s="269" t="s">
        <v>90</v>
      </c>
      <c r="P255" s="265" t="s">
        <v>11889</v>
      </c>
      <c r="Q255" s="773">
        <v>2551.5</v>
      </c>
      <c r="R255" s="388"/>
      <c r="S255" s="388" t="s">
        <v>11006</v>
      </c>
      <c r="T255" s="388"/>
      <c r="U255" s="1139"/>
      <c r="V255" s="1132">
        <v>42150.0</v>
      </c>
      <c r="W255" s="320" t="s">
        <v>11890</v>
      </c>
      <c r="X255" s="1135">
        <v>77578.0</v>
      </c>
      <c r="Y255" s="1144">
        <v>42129.0</v>
      </c>
      <c r="Z255" s="320" t="s">
        <v>11891</v>
      </c>
      <c r="AA255" s="388"/>
      <c r="AB255" s="388"/>
      <c r="AC255" s="388"/>
      <c r="AD255" s="1137">
        <v>11535.46</v>
      </c>
    </row>
    <row r="256" ht="15.75" customHeight="1">
      <c r="A256" s="764">
        <v>42125.0</v>
      </c>
      <c r="B256" s="844" t="s">
        <v>11771</v>
      </c>
      <c r="C256" s="388"/>
      <c r="D256" s="388" t="s">
        <v>11892</v>
      </c>
      <c r="E256" s="599" t="s">
        <v>11893</v>
      </c>
      <c r="F256" s="1137">
        <v>25.0</v>
      </c>
      <c r="G256" s="1137">
        <v>173.0</v>
      </c>
      <c r="H256" s="466">
        <f t="shared" si="55"/>
        <v>4325</v>
      </c>
      <c r="I256" s="388"/>
      <c r="J256" s="388"/>
      <c r="K256" s="265" t="s">
        <v>10949</v>
      </c>
      <c r="L256" s="269" t="s">
        <v>11774</v>
      </c>
      <c r="M256" s="832">
        <v>42142.0</v>
      </c>
      <c r="N256" s="832">
        <v>42139.0</v>
      </c>
      <c r="O256" s="269" t="s">
        <v>90</v>
      </c>
      <c r="P256" s="265" t="s">
        <v>11894</v>
      </c>
      <c r="Q256" s="773">
        <v>3753.75</v>
      </c>
      <c r="R256" s="388"/>
      <c r="S256" s="388" t="s">
        <v>11006</v>
      </c>
      <c r="T256" s="388"/>
      <c r="U256" s="1139"/>
      <c r="V256" s="1144">
        <v>42139.0</v>
      </c>
      <c r="W256" s="388" t="s">
        <v>11895</v>
      </c>
      <c r="X256" s="845">
        <v>114959.0</v>
      </c>
      <c r="Y256" s="1144">
        <v>42129.0</v>
      </c>
      <c r="Z256" s="320" t="s">
        <v>11885</v>
      </c>
      <c r="AA256" s="388"/>
      <c r="AB256" s="388"/>
      <c r="AC256" s="388"/>
      <c r="AD256" s="1137" t="s">
        <v>11886</v>
      </c>
    </row>
    <row r="257" ht="15.75" customHeight="1">
      <c r="A257" s="764">
        <v>42138.0</v>
      </c>
      <c r="B257" s="844" t="s">
        <v>11771</v>
      </c>
      <c r="C257" s="388"/>
      <c r="D257" s="388" t="s">
        <v>11896</v>
      </c>
      <c r="E257" s="599" t="s">
        <v>11897</v>
      </c>
      <c r="F257" s="1137">
        <v>20.0</v>
      </c>
      <c r="G257" s="1137">
        <v>212.0</v>
      </c>
      <c r="H257" s="466">
        <f t="shared" si="55"/>
        <v>4240</v>
      </c>
      <c r="I257" s="388"/>
      <c r="J257" s="388"/>
      <c r="K257" s="265" t="s">
        <v>11898</v>
      </c>
      <c r="L257" s="269" t="s">
        <v>11774</v>
      </c>
      <c r="M257" s="832">
        <v>42152.0</v>
      </c>
      <c r="N257" s="832">
        <v>42149.0</v>
      </c>
      <c r="O257" s="269" t="s">
        <v>90</v>
      </c>
      <c r="P257" s="265" t="s">
        <v>11899</v>
      </c>
      <c r="Q257" s="773">
        <v>3927.0</v>
      </c>
      <c r="R257" s="388"/>
      <c r="S257" s="388" t="s">
        <v>11006</v>
      </c>
      <c r="T257" s="388"/>
      <c r="U257" s="388"/>
      <c r="V257" s="1132">
        <v>42149.0</v>
      </c>
      <c r="W257" s="265" t="s">
        <v>11900</v>
      </c>
      <c r="X257" s="1135">
        <v>119400.0</v>
      </c>
      <c r="Y257" s="1144">
        <v>42177.0</v>
      </c>
      <c r="Z257" s="320" t="s">
        <v>11891</v>
      </c>
      <c r="AA257" s="388"/>
      <c r="AB257" s="388"/>
      <c r="AC257" s="388"/>
      <c r="AD257" s="1137" t="s">
        <v>11886</v>
      </c>
    </row>
    <row r="258" ht="15.75" customHeight="1">
      <c r="A258" s="764">
        <v>42138.0</v>
      </c>
      <c r="B258" s="844" t="s">
        <v>11771</v>
      </c>
      <c r="C258" s="388"/>
      <c r="D258" s="388" t="s">
        <v>11901</v>
      </c>
      <c r="E258" s="599" t="s">
        <v>11897</v>
      </c>
      <c r="F258" s="1137">
        <v>25.0</v>
      </c>
      <c r="G258" s="1137">
        <v>212.0</v>
      </c>
      <c r="H258" s="466">
        <f t="shared" si="55"/>
        <v>5300</v>
      </c>
      <c r="I258" s="388"/>
      <c r="J258" s="388"/>
      <c r="K258" s="265" t="s">
        <v>11898</v>
      </c>
      <c r="L258" s="269" t="s">
        <v>11774</v>
      </c>
      <c r="M258" s="832">
        <v>42180.0</v>
      </c>
      <c r="N258" s="832">
        <v>42177.0</v>
      </c>
      <c r="O258" s="269" t="s">
        <v>90</v>
      </c>
      <c r="P258" s="265" t="s">
        <v>11902</v>
      </c>
      <c r="Q258" s="773">
        <v>4908.75</v>
      </c>
      <c r="R258" s="388"/>
      <c r="S258" s="388" t="s">
        <v>11006</v>
      </c>
      <c r="T258" s="388"/>
      <c r="U258" s="388"/>
      <c r="V258" s="1144">
        <v>42177.0</v>
      </c>
      <c r="W258" s="388" t="s">
        <v>11903</v>
      </c>
      <c r="X258" s="845">
        <v>151705.0</v>
      </c>
      <c r="Y258" s="1144">
        <v>42179.0</v>
      </c>
      <c r="Z258" s="388" t="s">
        <v>11904</v>
      </c>
      <c r="AA258" s="388"/>
      <c r="AB258" s="388"/>
      <c r="AC258" s="388"/>
      <c r="AD258" s="1137">
        <v>5260.51</v>
      </c>
    </row>
    <row r="259" ht="15.75" customHeight="1">
      <c r="A259" s="796">
        <v>42138.0</v>
      </c>
      <c r="B259" s="844" t="s">
        <v>11771</v>
      </c>
      <c r="C259" s="388"/>
      <c r="D259" s="800" t="s">
        <v>11905</v>
      </c>
      <c r="E259" s="786" t="s">
        <v>11897</v>
      </c>
      <c r="F259" s="388"/>
      <c r="G259" s="930">
        <v>212.0</v>
      </c>
      <c r="H259" s="834">
        <f t="shared" si="55"/>
        <v>0</v>
      </c>
      <c r="I259" s="388"/>
      <c r="J259" s="388"/>
      <c r="K259" s="783" t="s">
        <v>11898</v>
      </c>
      <c r="L259" s="283" t="s">
        <v>11774</v>
      </c>
      <c r="M259" s="1256" t="s">
        <v>11906</v>
      </c>
      <c r="N259" s="282" t="s">
        <v>71</v>
      </c>
      <c r="O259" s="283" t="s">
        <v>90</v>
      </c>
      <c r="P259" s="783" t="s">
        <v>11907</v>
      </c>
      <c r="Q259" s="930"/>
      <c r="R259" s="388"/>
      <c r="S259" s="800" t="s">
        <v>11006</v>
      </c>
      <c r="T259" s="388"/>
      <c r="U259" s="388"/>
      <c r="V259" s="388"/>
      <c r="W259" s="388"/>
      <c r="X259" s="388"/>
      <c r="Y259" s="388"/>
      <c r="Z259" s="388"/>
      <c r="AA259" s="388"/>
      <c r="AB259" s="388"/>
      <c r="AC259" s="388"/>
      <c r="AD259" s="388"/>
    </row>
    <row r="260" ht="15.75" customHeight="1">
      <c r="A260" s="764">
        <v>42241.0</v>
      </c>
      <c r="B260" s="844" t="s">
        <v>11908</v>
      </c>
      <c r="C260" s="1004">
        <v>380835.0</v>
      </c>
      <c r="D260" s="388" t="s">
        <v>11909</v>
      </c>
      <c r="E260" s="599" t="s">
        <v>11910</v>
      </c>
      <c r="F260" s="1137">
        <v>1.0</v>
      </c>
      <c r="G260" s="1137">
        <v>1584.0</v>
      </c>
      <c r="H260" s="1147">
        <f t="shared" ref="H260:H276" si="56">F260*G260</f>
        <v>1584</v>
      </c>
      <c r="I260" s="388"/>
      <c r="J260" s="388"/>
      <c r="K260" s="265" t="s">
        <v>171</v>
      </c>
      <c r="L260" s="333" t="s">
        <v>3774</v>
      </c>
      <c r="M260" s="832">
        <v>42257.0</v>
      </c>
      <c r="N260" s="832">
        <v>42256.0</v>
      </c>
      <c r="O260" s="269" t="s">
        <v>11911</v>
      </c>
      <c r="P260" s="1004" t="s">
        <v>11912</v>
      </c>
      <c r="Q260" s="388"/>
      <c r="R260" s="773">
        <v>49593.0</v>
      </c>
      <c r="S260" s="388" t="s">
        <v>2207</v>
      </c>
      <c r="T260" s="388"/>
      <c r="U260" s="1144">
        <v>42254.0</v>
      </c>
      <c r="V260" s="1143">
        <v>42255.0</v>
      </c>
      <c r="W260" s="388" t="s">
        <v>11913</v>
      </c>
      <c r="X260" s="845">
        <v>49593.0</v>
      </c>
      <c r="Y260" s="1132">
        <v>42255.0</v>
      </c>
      <c r="Z260" s="388" t="s">
        <v>11914</v>
      </c>
      <c r="AA260" s="388"/>
      <c r="AB260" s="388"/>
      <c r="AC260" s="388"/>
      <c r="AD260" s="1140" t="s">
        <v>284</v>
      </c>
    </row>
    <row r="261" ht="15.75" customHeight="1">
      <c r="A261" s="764">
        <v>42256.0</v>
      </c>
      <c r="B261" s="844" t="s">
        <v>11908</v>
      </c>
      <c r="C261" s="388"/>
      <c r="D261" s="388" t="s">
        <v>11915</v>
      </c>
      <c r="E261" s="340" t="s">
        <v>11916</v>
      </c>
      <c r="F261" s="1137">
        <v>1.0</v>
      </c>
      <c r="G261" s="1137">
        <v>50.0</v>
      </c>
      <c r="H261" s="1147">
        <f t="shared" si="56"/>
        <v>50</v>
      </c>
      <c r="I261" s="388"/>
      <c r="J261" s="388"/>
      <c r="K261" s="265" t="s">
        <v>171</v>
      </c>
      <c r="L261" s="333" t="s">
        <v>3774</v>
      </c>
      <c r="M261" s="832">
        <v>42265.0</v>
      </c>
      <c r="N261" s="832">
        <v>42263.0</v>
      </c>
      <c r="O261" s="269" t="s">
        <v>11911</v>
      </c>
      <c r="P261" s="1004" t="s">
        <v>11917</v>
      </c>
      <c r="Q261" s="388"/>
      <c r="R261" s="1137">
        <v>755.0</v>
      </c>
      <c r="S261" s="388" t="s">
        <v>2207</v>
      </c>
      <c r="T261" s="388"/>
      <c r="U261" s="1144">
        <v>42263.0</v>
      </c>
      <c r="V261" s="1143">
        <v>42263.0</v>
      </c>
      <c r="W261" s="388" t="s">
        <v>11918</v>
      </c>
      <c r="X261" s="592">
        <v>755.0</v>
      </c>
      <c r="Y261" s="1139">
        <v>42263.0</v>
      </c>
      <c r="Z261" s="320" t="s">
        <v>11919</v>
      </c>
      <c r="AA261" s="388"/>
      <c r="AB261" s="388"/>
      <c r="AC261" s="388"/>
      <c r="AD261" s="1140" t="s">
        <v>284</v>
      </c>
    </row>
    <row r="262" ht="15.75" customHeight="1">
      <c r="A262" s="764">
        <v>42241.0</v>
      </c>
      <c r="B262" s="844" t="s">
        <v>11908</v>
      </c>
      <c r="C262" s="1004">
        <v>380835.0</v>
      </c>
      <c r="D262" s="388" t="s">
        <v>11909</v>
      </c>
      <c r="E262" s="599" t="s">
        <v>11920</v>
      </c>
      <c r="F262" s="1137">
        <v>1.0</v>
      </c>
      <c r="G262" s="1137">
        <v>5.0</v>
      </c>
      <c r="H262" s="1147">
        <f t="shared" si="56"/>
        <v>5</v>
      </c>
      <c r="I262" s="388"/>
      <c r="J262" s="388"/>
      <c r="K262" s="265" t="s">
        <v>171</v>
      </c>
      <c r="L262" s="333" t="s">
        <v>3774</v>
      </c>
      <c r="M262" s="832">
        <v>42257.0</v>
      </c>
      <c r="N262" s="832">
        <v>42256.0</v>
      </c>
      <c r="O262" s="269" t="s">
        <v>11911</v>
      </c>
      <c r="P262" s="1004" t="s">
        <v>11912</v>
      </c>
      <c r="Q262" s="388"/>
      <c r="R262" s="773">
        <v>0.0</v>
      </c>
      <c r="S262" s="388" t="s">
        <v>2207</v>
      </c>
      <c r="T262" s="388"/>
      <c r="U262" s="1132">
        <v>42254.0</v>
      </c>
      <c r="V262" s="1133">
        <v>42255.0</v>
      </c>
      <c r="W262" s="320" t="s">
        <v>11913</v>
      </c>
      <c r="X262" s="1135">
        <v>49593.0</v>
      </c>
      <c r="Y262" s="1144">
        <v>42255.0</v>
      </c>
      <c r="Z262" s="388" t="s">
        <v>11914</v>
      </c>
      <c r="AA262" s="388"/>
      <c r="AB262" s="388"/>
      <c r="AC262" s="388"/>
      <c r="AD262" s="1140" t="s">
        <v>284</v>
      </c>
    </row>
    <row r="263" ht="15.75" customHeight="1">
      <c r="A263" s="764">
        <v>42241.0</v>
      </c>
      <c r="B263" s="844" t="s">
        <v>11908</v>
      </c>
      <c r="C263" s="1004">
        <v>380835.0</v>
      </c>
      <c r="D263" s="388" t="s">
        <v>11909</v>
      </c>
      <c r="E263" s="599" t="s">
        <v>11921</v>
      </c>
      <c r="F263" s="1137">
        <v>1.0</v>
      </c>
      <c r="G263" s="1137">
        <v>18.0</v>
      </c>
      <c r="H263" s="1147">
        <f t="shared" si="56"/>
        <v>18</v>
      </c>
      <c r="I263" s="388"/>
      <c r="J263" s="388"/>
      <c r="K263" s="265" t="s">
        <v>171</v>
      </c>
      <c r="L263" s="333" t="s">
        <v>3774</v>
      </c>
      <c r="M263" s="832">
        <v>42257.0</v>
      </c>
      <c r="N263" s="832">
        <v>42256.0</v>
      </c>
      <c r="O263" s="269" t="s">
        <v>11911</v>
      </c>
      <c r="P263" s="1004" t="s">
        <v>11912</v>
      </c>
      <c r="Q263" s="388"/>
      <c r="R263" s="773">
        <v>0.0</v>
      </c>
      <c r="S263" s="388" t="s">
        <v>2207</v>
      </c>
      <c r="T263" s="388"/>
      <c r="U263" s="1132">
        <v>42254.0</v>
      </c>
      <c r="V263" s="1133">
        <v>42255.0</v>
      </c>
      <c r="W263" s="320" t="s">
        <v>11913</v>
      </c>
      <c r="X263" s="1135">
        <v>49593.0</v>
      </c>
      <c r="Y263" s="1144">
        <v>42255.0</v>
      </c>
      <c r="Z263" s="388" t="s">
        <v>11914</v>
      </c>
      <c r="AA263" s="388"/>
      <c r="AB263" s="388"/>
      <c r="AC263" s="388"/>
      <c r="AD263" s="1140" t="s">
        <v>284</v>
      </c>
    </row>
    <row r="264" ht="15.75" customHeight="1">
      <c r="A264" s="764">
        <v>42242.0</v>
      </c>
      <c r="B264" s="844" t="s">
        <v>11908</v>
      </c>
      <c r="C264" s="1004">
        <v>380856.0</v>
      </c>
      <c r="D264" s="388" t="s">
        <v>11922</v>
      </c>
      <c r="E264" s="599" t="s">
        <v>8930</v>
      </c>
      <c r="F264" s="1137">
        <v>5.0</v>
      </c>
      <c r="G264" s="1137">
        <v>607.0</v>
      </c>
      <c r="H264" s="1147">
        <f t="shared" si="56"/>
        <v>3035</v>
      </c>
      <c r="I264" s="388"/>
      <c r="J264" s="388"/>
      <c r="K264" s="265" t="s">
        <v>171</v>
      </c>
      <c r="L264" s="333" t="s">
        <v>3774</v>
      </c>
      <c r="M264" s="832">
        <v>42257.0</v>
      </c>
      <c r="N264" s="832">
        <v>42256.0</v>
      </c>
      <c r="O264" s="269" t="s">
        <v>11911</v>
      </c>
      <c r="P264" s="1004" t="s">
        <v>11923</v>
      </c>
      <c r="Q264" s="388"/>
      <c r="R264" s="773">
        <v>95306.0</v>
      </c>
      <c r="S264" s="388" t="s">
        <v>2207</v>
      </c>
      <c r="T264" s="388"/>
      <c r="U264" s="1132">
        <v>42254.0</v>
      </c>
      <c r="V264" s="1143">
        <v>42255.0</v>
      </c>
      <c r="W264" s="388" t="s">
        <v>11924</v>
      </c>
      <c r="X264" s="845">
        <v>99523.0</v>
      </c>
      <c r="Y264" s="1144">
        <v>42255.0</v>
      </c>
      <c r="Z264" s="388" t="s">
        <v>11914</v>
      </c>
      <c r="AA264" s="388"/>
      <c r="AB264" s="388"/>
      <c r="AC264" s="388"/>
      <c r="AD264" s="1140" t="s">
        <v>284</v>
      </c>
    </row>
    <row r="265" ht="15.75" customHeight="1">
      <c r="A265" s="764">
        <v>42242.0</v>
      </c>
      <c r="B265" s="844" t="s">
        <v>11908</v>
      </c>
      <c r="C265" s="388"/>
      <c r="D265" s="388" t="s">
        <v>11922</v>
      </c>
      <c r="E265" s="599" t="s">
        <v>4419</v>
      </c>
      <c r="F265" s="1137">
        <v>5.0</v>
      </c>
      <c r="G265" s="1137">
        <v>27.0</v>
      </c>
      <c r="H265" s="1147">
        <f t="shared" si="56"/>
        <v>135</v>
      </c>
      <c r="I265" s="388"/>
      <c r="J265" s="388"/>
      <c r="K265" s="265" t="s">
        <v>171</v>
      </c>
      <c r="L265" s="333" t="s">
        <v>3774</v>
      </c>
      <c r="M265" s="832">
        <v>42257.0</v>
      </c>
      <c r="N265" s="832">
        <v>42256.0</v>
      </c>
      <c r="O265" s="269" t="s">
        <v>11911</v>
      </c>
      <c r="P265" s="1004" t="s">
        <v>11925</v>
      </c>
      <c r="Q265" s="388"/>
      <c r="R265" s="773">
        <v>4217.0</v>
      </c>
      <c r="S265" s="388" t="s">
        <v>2207</v>
      </c>
      <c r="T265" s="388"/>
      <c r="U265" s="1132">
        <v>42254.0</v>
      </c>
      <c r="V265" s="1143">
        <v>42255.0</v>
      </c>
      <c r="W265" s="388" t="s">
        <v>11924</v>
      </c>
      <c r="X265" s="592" t="s">
        <v>8836</v>
      </c>
      <c r="Y265" s="1144">
        <v>42255.0</v>
      </c>
      <c r="Z265" s="388" t="s">
        <v>11914</v>
      </c>
      <c r="AA265" s="388"/>
      <c r="AB265" s="388"/>
      <c r="AC265" s="388"/>
      <c r="AD265" s="1140" t="s">
        <v>284</v>
      </c>
    </row>
    <row r="266" ht="15.75" customHeight="1">
      <c r="A266" s="764">
        <v>42243.0</v>
      </c>
      <c r="B266" s="844" t="s">
        <v>11908</v>
      </c>
      <c r="C266" s="1004">
        <v>380852.0</v>
      </c>
      <c r="D266" s="388" t="s">
        <v>11926</v>
      </c>
      <c r="E266" s="599" t="s">
        <v>11927</v>
      </c>
      <c r="F266" s="1137">
        <v>5.0</v>
      </c>
      <c r="G266" s="1137">
        <v>960.0</v>
      </c>
      <c r="H266" s="1147">
        <f t="shared" si="56"/>
        <v>4800</v>
      </c>
      <c r="I266" s="388"/>
      <c r="J266" s="388"/>
      <c r="K266" s="265" t="s">
        <v>171</v>
      </c>
      <c r="L266" s="333" t="s">
        <v>3774</v>
      </c>
      <c r="M266" s="832">
        <v>42265.0</v>
      </c>
      <c r="N266" s="832">
        <v>42258.0</v>
      </c>
      <c r="O266" s="269" t="s">
        <v>11911</v>
      </c>
      <c r="P266" s="1004" t="s">
        <v>11928</v>
      </c>
      <c r="Q266" s="388"/>
      <c r="R266" s="773">
        <v>140007.0</v>
      </c>
      <c r="S266" s="388" t="s">
        <v>2207</v>
      </c>
      <c r="T266" s="388"/>
      <c r="U266" s="1132">
        <v>42254.0</v>
      </c>
      <c r="V266" s="1143">
        <v>42257.0</v>
      </c>
      <c r="W266" s="388" t="s">
        <v>11929</v>
      </c>
      <c r="X266" s="845">
        <v>140007.0</v>
      </c>
      <c r="Y266" s="1144">
        <v>42255.0</v>
      </c>
      <c r="Z266" s="320" t="s">
        <v>11919</v>
      </c>
      <c r="AA266" s="388"/>
      <c r="AB266" s="388"/>
      <c r="AC266" s="388"/>
      <c r="AD266" s="1140" t="s">
        <v>284</v>
      </c>
    </row>
    <row r="267" ht="15.75" customHeight="1">
      <c r="A267" s="764">
        <v>42255.0</v>
      </c>
      <c r="B267" s="844" t="s">
        <v>11908</v>
      </c>
      <c r="C267" s="1004">
        <v>380896.0</v>
      </c>
      <c r="D267" s="388" t="s">
        <v>11930</v>
      </c>
      <c r="E267" s="599" t="s">
        <v>11910</v>
      </c>
      <c r="F267" s="1137">
        <v>1.0</v>
      </c>
      <c r="G267" s="1137">
        <v>1584.0</v>
      </c>
      <c r="H267" s="1147">
        <f t="shared" si="56"/>
        <v>1584</v>
      </c>
      <c r="I267" s="388"/>
      <c r="J267" s="388"/>
      <c r="K267" s="265" t="s">
        <v>171</v>
      </c>
      <c r="L267" s="333" t="s">
        <v>3774</v>
      </c>
      <c r="M267" s="832">
        <v>42278.0</v>
      </c>
      <c r="N267" s="832">
        <v>42271.0</v>
      </c>
      <c r="O267" s="269" t="s">
        <v>11911</v>
      </c>
      <c r="P267" s="1004" t="s">
        <v>11931</v>
      </c>
      <c r="Q267" s="388"/>
      <c r="R267" s="773">
        <v>49809.0</v>
      </c>
      <c r="S267" s="388" t="s">
        <v>2207</v>
      </c>
      <c r="T267" s="388"/>
      <c r="U267" s="1132">
        <v>42268.0</v>
      </c>
      <c r="V267" s="1143">
        <v>42269.0</v>
      </c>
      <c r="W267" s="388" t="s">
        <v>11932</v>
      </c>
      <c r="X267" s="845">
        <v>80371.0</v>
      </c>
      <c r="Y267" s="1132">
        <v>42268.0</v>
      </c>
      <c r="Z267" s="388" t="s">
        <v>11933</v>
      </c>
      <c r="AA267" s="388"/>
      <c r="AB267" s="388"/>
      <c r="AC267" s="388"/>
      <c r="AD267" s="388" t="s">
        <v>284</v>
      </c>
    </row>
    <row r="268" ht="15.75" customHeight="1">
      <c r="A268" s="764">
        <v>42256.0</v>
      </c>
      <c r="B268" s="844" t="s">
        <v>11908</v>
      </c>
      <c r="C268" s="388"/>
      <c r="D268" s="388" t="s">
        <v>11934</v>
      </c>
      <c r="E268" s="340" t="s">
        <v>11916</v>
      </c>
      <c r="F268" s="1137">
        <v>1.0</v>
      </c>
      <c r="G268" s="1137">
        <v>50.0</v>
      </c>
      <c r="H268" s="1147">
        <f t="shared" si="56"/>
        <v>50</v>
      </c>
      <c r="I268" s="388"/>
      <c r="J268" s="388"/>
      <c r="K268" s="265" t="s">
        <v>171</v>
      </c>
      <c r="L268" s="333" t="s">
        <v>3774</v>
      </c>
      <c r="M268" s="832">
        <v>42278.0</v>
      </c>
      <c r="N268" s="832">
        <v>42271.0</v>
      </c>
      <c r="O268" s="269" t="s">
        <v>11911</v>
      </c>
      <c r="P268" s="1004" t="s">
        <v>11931</v>
      </c>
      <c r="Q268" s="388"/>
      <c r="R268" s="773">
        <v>745.0</v>
      </c>
      <c r="S268" s="388" t="s">
        <v>2207</v>
      </c>
      <c r="T268" s="388"/>
      <c r="U268" s="1132">
        <v>42268.0</v>
      </c>
      <c r="V268" s="1143">
        <v>42269.0</v>
      </c>
      <c r="W268" s="388" t="s">
        <v>11932</v>
      </c>
      <c r="X268" s="592" t="s">
        <v>8836</v>
      </c>
      <c r="Y268" s="1132">
        <v>42268.0</v>
      </c>
      <c r="Z268" s="388" t="s">
        <v>11933</v>
      </c>
      <c r="AA268" s="388"/>
      <c r="AB268" s="388"/>
      <c r="AC268" s="388"/>
      <c r="AD268" s="388" t="s">
        <v>284</v>
      </c>
    </row>
    <row r="269" ht="15.75" customHeight="1">
      <c r="A269" s="764">
        <v>42255.0</v>
      </c>
      <c r="B269" s="844" t="s">
        <v>11908</v>
      </c>
      <c r="C269" s="1004">
        <v>380896.0</v>
      </c>
      <c r="D269" s="388" t="s">
        <v>11930</v>
      </c>
      <c r="E269" s="599" t="s">
        <v>11920</v>
      </c>
      <c r="F269" s="1137">
        <v>1.0</v>
      </c>
      <c r="G269" s="1137">
        <v>5.0</v>
      </c>
      <c r="H269" s="1147">
        <f t="shared" si="56"/>
        <v>5</v>
      </c>
      <c r="I269" s="388"/>
      <c r="J269" s="388"/>
      <c r="K269" s="265" t="s">
        <v>171</v>
      </c>
      <c r="L269" s="333" t="s">
        <v>3774</v>
      </c>
      <c r="M269" s="832">
        <v>42278.0</v>
      </c>
      <c r="N269" s="832">
        <v>42271.0</v>
      </c>
      <c r="O269" s="269" t="s">
        <v>11911</v>
      </c>
      <c r="P269" s="1004" t="s">
        <v>11931</v>
      </c>
      <c r="Q269" s="388"/>
      <c r="R269" s="773">
        <v>0.0</v>
      </c>
      <c r="S269" s="388" t="s">
        <v>2207</v>
      </c>
      <c r="T269" s="388"/>
      <c r="U269" s="1132">
        <v>42268.0</v>
      </c>
      <c r="V269" s="1143">
        <v>42269.0</v>
      </c>
      <c r="W269" s="388" t="s">
        <v>11932</v>
      </c>
      <c r="X269" s="592" t="s">
        <v>8836</v>
      </c>
      <c r="Y269" s="1132">
        <v>42268.0</v>
      </c>
      <c r="Z269" s="388" t="s">
        <v>11933</v>
      </c>
      <c r="AA269" s="388"/>
      <c r="AB269" s="388"/>
      <c r="AC269" s="388"/>
      <c r="AD269" s="388" t="s">
        <v>284</v>
      </c>
    </row>
    <row r="270" ht="15.75" customHeight="1">
      <c r="A270" s="764">
        <v>42255.0</v>
      </c>
      <c r="B270" s="844" t="s">
        <v>11908</v>
      </c>
      <c r="C270" s="1004">
        <v>380896.0</v>
      </c>
      <c r="D270" s="388" t="s">
        <v>11935</v>
      </c>
      <c r="E270" s="599" t="s">
        <v>11921</v>
      </c>
      <c r="F270" s="1137">
        <v>1.0</v>
      </c>
      <c r="G270" s="1137">
        <v>18.0</v>
      </c>
      <c r="H270" s="1147">
        <f t="shared" si="56"/>
        <v>18</v>
      </c>
      <c r="I270" s="388"/>
      <c r="J270" s="388"/>
      <c r="K270" s="265" t="s">
        <v>171</v>
      </c>
      <c r="L270" s="333" t="s">
        <v>3774</v>
      </c>
      <c r="M270" s="832">
        <v>42278.0</v>
      </c>
      <c r="N270" s="832">
        <v>42271.0</v>
      </c>
      <c r="O270" s="269" t="s">
        <v>11911</v>
      </c>
      <c r="P270" s="1004" t="s">
        <v>11931</v>
      </c>
      <c r="Q270" s="388"/>
      <c r="R270" s="773">
        <v>0.0</v>
      </c>
      <c r="S270" s="388" t="s">
        <v>2207</v>
      </c>
      <c r="T270" s="388"/>
      <c r="U270" s="1132">
        <v>42268.0</v>
      </c>
      <c r="V270" s="1143">
        <v>42269.0</v>
      </c>
      <c r="W270" s="388" t="s">
        <v>11932</v>
      </c>
      <c r="X270" s="592" t="s">
        <v>8836</v>
      </c>
      <c r="Y270" s="1132">
        <v>42268.0</v>
      </c>
      <c r="Z270" s="388" t="s">
        <v>11933</v>
      </c>
      <c r="AA270" s="388"/>
      <c r="AB270" s="388"/>
      <c r="AC270" s="388"/>
      <c r="AD270" s="388" t="s">
        <v>284</v>
      </c>
    </row>
    <row r="271" ht="15.75" customHeight="1">
      <c r="A271" s="764">
        <v>42255.0</v>
      </c>
      <c r="B271" s="844" t="s">
        <v>11908</v>
      </c>
      <c r="C271" s="1004">
        <v>380896.0</v>
      </c>
      <c r="D271" s="388" t="s">
        <v>11930</v>
      </c>
      <c r="E271" s="599" t="s">
        <v>11936</v>
      </c>
      <c r="F271" s="1137">
        <v>1.0</v>
      </c>
      <c r="G271" s="1137">
        <v>980.0</v>
      </c>
      <c r="H271" s="1147">
        <f t="shared" si="56"/>
        <v>980</v>
      </c>
      <c r="I271" s="388"/>
      <c r="J271" s="388"/>
      <c r="K271" s="265" t="s">
        <v>171</v>
      </c>
      <c r="L271" s="333" t="s">
        <v>3774</v>
      </c>
      <c r="M271" s="832">
        <v>42278.0</v>
      </c>
      <c r="N271" s="832">
        <v>42276.0</v>
      </c>
      <c r="O271" s="269" t="s">
        <v>11911</v>
      </c>
      <c r="P271" s="1004" t="s">
        <v>11931</v>
      </c>
      <c r="Q271" s="388"/>
      <c r="R271" s="773">
        <v>29818.0</v>
      </c>
      <c r="S271" s="388" t="s">
        <v>2207</v>
      </c>
      <c r="T271" s="388"/>
      <c r="U271" s="1132">
        <v>42268.0</v>
      </c>
      <c r="V271" s="1143">
        <v>42269.0</v>
      </c>
      <c r="W271" s="388" t="s">
        <v>11932</v>
      </c>
      <c r="X271" s="592" t="s">
        <v>8836</v>
      </c>
      <c r="Y271" s="1132">
        <v>42268.0</v>
      </c>
      <c r="Z271" s="388" t="s">
        <v>11933</v>
      </c>
      <c r="AA271" s="388"/>
      <c r="AB271" s="388"/>
      <c r="AC271" s="388"/>
      <c r="AD271" s="388" t="s">
        <v>284</v>
      </c>
    </row>
    <row r="272" ht="15.75" customHeight="1">
      <c r="A272" s="764">
        <v>42278.0</v>
      </c>
      <c r="B272" s="844" t="s">
        <v>11908</v>
      </c>
      <c r="C272" s="1004" t="s">
        <v>11937</v>
      </c>
      <c r="D272" s="388" t="s">
        <v>11938</v>
      </c>
      <c r="E272" s="599" t="s">
        <v>8930</v>
      </c>
      <c r="F272" s="1137">
        <v>2.0</v>
      </c>
      <c r="G272" s="1137">
        <v>607.0</v>
      </c>
      <c r="H272" s="1147">
        <f t="shared" si="56"/>
        <v>1214</v>
      </c>
      <c r="I272" s="388"/>
      <c r="J272" s="1239"/>
      <c r="K272" s="265" t="s">
        <v>171</v>
      </c>
      <c r="L272" s="333" t="s">
        <v>3774</v>
      </c>
      <c r="M272" s="1148">
        <v>42289.0</v>
      </c>
      <c r="N272" s="832">
        <v>42286.0</v>
      </c>
      <c r="O272" s="269" t="s">
        <v>11911</v>
      </c>
      <c r="P272" s="1004" t="s">
        <v>11939</v>
      </c>
      <c r="Q272" s="388"/>
      <c r="R272" s="1157">
        <f>1130*1.05*32.76</f>
        <v>38869.74</v>
      </c>
      <c r="S272" s="388" t="s">
        <v>2207</v>
      </c>
      <c r="T272" s="388"/>
      <c r="U272" s="1144">
        <v>42284.0</v>
      </c>
      <c r="V272" s="1143">
        <v>42285.0</v>
      </c>
      <c r="W272" s="388" t="s">
        <v>11940</v>
      </c>
      <c r="X272" s="845">
        <v>40590.0</v>
      </c>
      <c r="Y272" s="1144">
        <v>42284.0</v>
      </c>
      <c r="Z272" s="388" t="s">
        <v>11941</v>
      </c>
      <c r="AA272" s="388"/>
      <c r="AB272" s="388"/>
      <c r="AC272" s="388"/>
      <c r="AD272" s="388" t="s">
        <v>284</v>
      </c>
    </row>
    <row r="273" ht="15.75" customHeight="1">
      <c r="A273" s="764">
        <v>42278.0</v>
      </c>
      <c r="B273" s="844" t="s">
        <v>11908</v>
      </c>
      <c r="C273" s="1004" t="s">
        <v>11937</v>
      </c>
      <c r="D273" s="388" t="s">
        <v>11938</v>
      </c>
      <c r="E273" s="599" t="s">
        <v>4419</v>
      </c>
      <c r="F273" s="1137">
        <v>2.0</v>
      </c>
      <c r="G273" s="1137">
        <v>27.0</v>
      </c>
      <c r="H273" s="1147">
        <f t="shared" si="56"/>
        <v>54</v>
      </c>
      <c r="I273" s="388"/>
      <c r="J273" s="1239"/>
      <c r="K273" s="265" t="s">
        <v>171</v>
      </c>
      <c r="L273" s="333" t="s">
        <v>3774</v>
      </c>
      <c r="M273" s="1148">
        <v>42289.0</v>
      </c>
      <c r="N273" s="832">
        <v>42286.0</v>
      </c>
      <c r="O273" s="269" t="s">
        <v>11911</v>
      </c>
      <c r="P273" s="1004" t="s">
        <v>11939</v>
      </c>
      <c r="Q273" s="388"/>
      <c r="R273" s="1157">
        <f>50*1.05*32.76</f>
        <v>1719.9</v>
      </c>
      <c r="S273" s="388" t="s">
        <v>2207</v>
      </c>
      <c r="T273" s="388"/>
      <c r="U273" s="1144">
        <v>42284.0</v>
      </c>
      <c r="V273" s="1143">
        <v>42285.0</v>
      </c>
      <c r="W273" s="388" t="s">
        <v>11940</v>
      </c>
      <c r="X273" s="592" t="s">
        <v>8836</v>
      </c>
      <c r="Y273" s="1144">
        <v>42284.0</v>
      </c>
      <c r="Z273" s="388" t="s">
        <v>11941</v>
      </c>
      <c r="AA273" s="388"/>
      <c r="AB273" s="388"/>
      <c r="AC273" s="388"/>
      <c r="AD273" s="388" t="s">
        <v>284</v>
      </c>
    </row>
    <row r="274" ht="15.75" customHeight="1">
      <c r="A274" s="764">
        <v>42325.0</v>
      </c>
      <c r="B274" s="844" t="s">
        <v>11908</v>
      </c>
      <c r="C274" s="388">
        <v>381168.0</v>
      </c>
      <c r="D274" s="388" t="s">
        <v>11942</v>
      </c>
      <c r="E274" s="599" t="s">
        <v>11943</v>
      </c>
      <c r="F274" s="388">
        <v>2.0</v>
      </c>
      <c r="G274" s="388">
        <v>1250.0</v>
      </c>
      <c r="H274" s="1147">
        <f t="shared" si="56"/>
        <v>2500</v>
      </c>
      <c r="I274" s="388"/>
      <c r="J274" s="388"/>
      <c r="K274" s="265" t="s">
        <v>171</v>
      </c>
      <c r="L274" s="333" t="s">
        <v>3774</v>
      </c>
      <c r="M274" s="850">
        <v>42355.0</v>
      </c>
      <c r="N274" s="1145">
        <v>42354.0</v>
      </c>
      <c r="O274" s="269" t="s">
        <v>11911</v>
      </c>
      <c r="P274" s="388" t="s">
        <v>11944</v>
      </c>
      <c r="Q274" s="388"/>
      <c r="R274" s="1138">
        <f>1100*1.05*33.015*2</f>
        <v>76264.65</v>
      </c>
      <c r="S274" s="388" t="s">
        <v>6376</v>
      </c>
      <c r="T274" s="388"/>
      <c r="U274" s="1143">
        <v>42399.0</v>
      </c>
      <c r="V274" s="1139">
        <v>42349.0</v>
      </c>
      <c r="W274" s="388" t="s">
        <v>11945</v>
      </c>
      <c r="X274" s="845">
        <v>76265.0</v>
      </c>
      <c r="Y274" s="1139">
        <v>42397.0</v>
      </c>
      <c r="Z274" s="388" t="s">
        <v>11946</v>
      </c>
      <c r="AA274" s="388"/>
      <c r="AB274" s="388"/>
      <c r="AC274" s="388"/>
      <c r="AD274" s="388" t="s">
        <v>284</v>
      </c>
    </row>
    <row r="275" ht="15.75" customHeight="1">
      <c r="A275" s="776">
        <v>42362.0</v>
      </c>
      <c r="B275" s="844" t="s">
        <v>11908</v>
      </c>
      <c r="C275" s="388"/>
      <c r="D275" s="320" t="s">
        <v>11947</v>
      </c>
      <c r="E275" s="340" t="s">
        <v>11948</v>
      </c>
      <c r="F275" s="773">
        <v>2.0</v>
      </c>
      <c r="G275" s="466">
        <v>30.0</v>
      </c>
      <c r="H275" s="1147">
        <f t="shared" si="56"/>
        <v>60</v>
      </c>
      <c r="I275" s="466"/>
      <c r="J275" s="1149"/>
      <c r="K275" s="265" t="s">
        <v>171</v>
      </c>
      <c r="L275" s="333" t="s">
        <v>3774</v>
      </c>
      <c r="M275" s="832">
        <v>42366.0</v>
      </c>
      <c r="N275" s="832">
        <v>42363.0</v>
      </c>
      <c r="O275" s="269" t="s">
        <v>11911</v>
      </c>
      <c r="P275" s="265" t="s">
        <v>11949</v>
      </c>
      <c r="Q275" s="388"/>
      <c r="R275" s="1149">
        <v>1940.0</v>
      </c>
      <c r="S275" s="388" t="s">
        <v>6376</v>
      </c>
      <c r="T275" s="388"/>
      <c r="U275" s="1139">
        <v>42400.0</v>
      </c>
      <c r="V275" s="1133">
        <v>42363.0</v>
      </c>
      <c r="W275" s="265" t="s">
        <v>11950</v>
      </c>
      <c r="X275" s="1135">
        <v>1940.0</v>
      </c>
      <c r="Y275" s="1132">
        <v>42397.0</v>
      </c>
      <c r="Z275" s="320" t="s">
        <v>11951</v>
      </c>
      <c r="AA275" s="388"/>
      <c r="AB275" s="1149"/>
      <c r="AC275" s="320"/>
      <c r="AD275" s="1140" t="s">
        <v>284</v>
      </c>
    </row>
    <row r="276" ht="15.75" customHeight="1">
      <c r="A276" s="764">
        <v>42011.0</v>
      </c>
      <c r="B276" s="844" t="s">
        <v>11952</v>
      </c>
      <c r="C276" s="1004" t="s">
        <v>11953</v>
      </c>
      <c r="D276" s="388" t="s">
        <v>11954</v>
      </c>
      <c r="E276" s="599" t="s">
        <v>11955</v>
      </c>
      <c r="F276" s="1137">
        <v>0.0</v>
      </c>
      <c r="G276" s="325">
        <v>21.0</v>
      </c>
      <c r="H276" s="466">
        <f t="shared" si="56"/>
        <v>0</v>
      </c>
      <c r="I276" s="388"/>
      <c r="J276" s="388"/>
      <c r="K276" s="265" t="s">
        <v>11898</v>
      </c>
      <c r="L276" s="269" t="s">
        <v>11032</v>
      </c>
      <c r="M276" s="1148">
        <v>42013.0</v>
      </c>
      <c r="N276" s="388"/>
      <c r="O276" s="269"/>
      <c r="P276" s="388"/>
      <c r="Q276" s="388"/>
      <c r="R276" s="388"/>
      <c r="S276" s="388"/>
      <c r="T276" s="388"/>
      <c r="U276" s="388"/>
      <c r="V276" s="388"/>
      <c r="W276" s="388"/>
      <c r="X276" s="388"/>
      <c r="Y276" s="388"/>
      <c r="Z276" s="388"/>
      <c r="AA276" s="388"/>
      <c r="AB276" s="388"/>
      <c r="AC276" s="388"/>
      <c r="AD276" s="388"/>
    </row>
    <row r="277" ht="15.75" customHeight="1">
      <c r="A277" s="764">
        <v>42018.0</v>
      </c>
      <c r="B277" s="844" t="s">
        <v>11956</v>
      </c>
      <c r="C277" s="1004" t="s">
        <v>11957</v>
      </c>
      <c r="D277" s="388" t="s">
        <v>11958</v>
      </c>
      <c r="E277" s="599" t="s">
        <v>11959</v>
      </c>
      <c r="F277" s="1137">
        <v>0.0</v>
      </c>
      <c r="G277" s="466">
        <v>168.0</v>
      </c>
      <c r="H277" s="466">
        <f t="shared" ref="H277:H278" si="57">G277*F277</f>
        <v>0</v>
      </c>
      <c r="I277" s="388"/>
      <c r="J277" s="388"/>
      <c r="K277" s="265" t="s">
        <v>11898</v>
      </c>
      <c r="L277" s="333" t="s">
        <v>11032</v>
      </c>
      <c r="M277" s="1148">
        <v>42018.0</v>
      </c>
      <c r="N277" s="388"/>
      <c r="O277" s="269" t="s">
        <v>90</v>
      </c>
      <c r="P277" s="388"/>
      <c r="Q277" s="388"/>
      <c r="R277" s="388"/>
      <c r="S277" s="388"/>
      <c r="T277" s="388"/>
      <c r="U277" s="388"/>
      <c r="V277" s="388"/>
      <c r="W277" s="388"/>
      <c r="X277" s="388"/>
      <c r="Y277" s="388"/>
      <c r="Z277" s="388" t="s">
        <v>11960</v>
      </c>
      <c r="AA277" s="388"/>
      <c r="AB277" s="388" t="s">
        <v>11960</v>
      </c>
      <c r="AC277" s="388" t="s">
        <v>11960</v>
      </c>
      <c r="AD277" s="388"/>
    </row>
    <row r="278" ht="15.75" customHeight="1">
      <c r="A278" s="764">
        <v>42025.0</v>
      </c>
      <c r="B278" s="844" t="s">
        <v>11956</v>
      </c>
      <c r="C278" s="1004" t="s">
        <v>11961</v>
      </c>
      <c r="D278" s="388" t="s">
        <v>11962</v>
      </c>
      <c r="E278" s="340" t="s">
        <v>11963</v>
      </c>
      <c r="F278" s="1137">
        <v>0.0</v>
      </c>
      <c r="G278" s="466">
        <v>420.0</v>
      </c>
      <c r="H278" s="466">
        <f t="shared" si="57"/>
        <v>0</v>
      </c>
      <c r="I278" s="793"/>
      <c r="J278" s="388"/>
      <c r="K278" s="265" t="s">
        <v>11898</v>
      </c>
      <c r="L278" s="333" t="s">
        <v>11032</v>
      </c>
      <c r="M278" s="832">
        <v>42032.0</v>
      </c>
      <c r="N278" s="832">
        <v>42030.0</v>
      </c>
      <c r="O278" s="269" t="s">
        <v>90</v>
      </c>
      <c r="P278" s="388"/>
      <c r="Q278" s="793"/>
      <c r="R278" s="388"/>
      <c r="S278" s="388"/>
      <c r="T278" s="388"/>
      <c r="U278" s="388"/>
      <c r="V278" s="388" t="s">
        <v>11964</v>
      </c>
      <c r="W278" s="388" t="s">
        <v>11964</v>
      </c>
      <c r="X278" s="388" t="s">
        <v>11964</v>
      </c>
      <c r="Y278" s="388"/>
      <c r="Z278" s="388" t="s">
        <v>11964</v>
      </c>
      <c r="AA278" s="388"/>
      <c r="AB278" s="388"/>
      <c r="AC278" s="388"/>
      <c r="AD278" s="388"/>
    </row>
    <row r="279" ht="15.75" customHeight="1">
      <c r="A279" s="764">
        <v>42089.0</v>
      </c>
      <c r="B279" s="844" t="s">
        <v>11956</v>
      </c>
      <c r="C279" s="1004" t="s">
        <v>11965</v>
      </c>
      <c r="D279" s="388" t="s">
        <v>11966</v>
      </c>
      <c r="E279" s="340" t="s">
        <v>11967</v>
      </c>
      <c r="F279" s="1137">
        <v>1.0</v>
      </c>
      <c r="G279" s="466">
        <v>300.0</v>
      </c>
      <c r="H279" s="466">
        <v>0.0</v>
      </c>
      <c r="I279" s="793"/>
      <c r="J279" s="388"/>
      <c r="K279" s="265" t="s">
        <v>11898</v>
      </c>
      <c r="L279" s="333" t="s">
        <v>11032</v>
      </c>
      <c r="M279" s="832">
        <v>42117.0</v>
      </c>
      <c r="N279" s="388"/>
      <c r="O279" s="269"/>
      <c r="P279" s="388"/>
      <c r="Q279" s="388"/>
      <c r="R279" s="388"/>
      <c r="S279" s="388"/>
      <c r="T279" s="388"/>
      <c r="U279" s="388"/>
      <c r="V279" s="388" t="s">
        <v>11968</v>
      </c>
      <c r="W279" s="388" t="s">
        <v>11968</v>
      </c>
      <c r="X279" s="388" t="s">
        <v>11968</v>
      </c>
      <c r="Y279" s="388"/>
      <c r="Z279" s="388" t="s">
        <v>11968</v>
      </c>
      <c r="AA279" s="388"/>
      <c r="AB279" s="388"/>
      <c r="AC279" s="388"/>
      <c r="AD279" s="388"/>
    </row>
    <row r="280" ht="15.75" customHeight="1">
      <c r="A280" s="764">
        <v>42109.0</v>
      </c>
      <c r="B280" s="844" t="s">
        <v>11969</v>
      </c>
      <c r="C280" s="388"/>
      <c r="D280" s="388" t="s">
        <v>11970</v>
      </c>
      <c r="E280" s="599" t="s">
        <v>11971</v>
      </c>
      <c r="F280" s="1137">
        <v>82.0</v>
      </c>
      <c r="G280" s="1137">
        <v>1.5</v>
      </c>
      <c r="H280" s="466">
        <f t="shared" ref="H280:H281" si="58">G280*F280</f>
        <v>123</v>
      </c>
      <c r="I280" s="388"/>
      <c r="J280" s="388"/>
      <c r="K280" s="265" t="s">
        <v>11972</v>
      </c>
      <c r="L280" s="844" t="s">
        <v>11973</v>
      </c>
      <c r="M280" s="832">
        <v>42118.0</v>
      </c>
      <c r="N280" s="832">
        <v>42117.0</v>
      </c>
      <c r="O280" s="269" t="s">
        <v>10989</v>
      </c>
      <c r="P280" s="1004" t="s">
        <v>11974</v>
      </c>
      <c r="Q280" s="388"/>
      <c r="R280" s="773">
        <f>30*82*1.05</f>
        <v>2583</v>
      </c>
      <c r="S280" s="388" t="s">
        <v>11975</v>
      </c>
      <c r="T280" s="388"/>
      <c r="U280" s="1139"/>
      <c r="V280" s="1132">
        <v>42117.0</v>
      </c>
      <c r="W280" s="320" t="s">
        <v>11976</v>
      </c>
      <c r="X280" s="1135">
        <v>2583.0</v>
      </c>
      <c r="Y280" s="1144">
        <v>42129.0</v>
      </c>
      <c r="Z280" s="320" t="s">
        <v>11876</v>
      </c>
      <c r="AA280" s="388"/>
      <c r="AB280" s="388"/>
      <c r="AC280" s="388"/>
      <c r="AD280" s="388"/>
    </row>
    <row r="281" ht="15.75" customHeight="1">
      <c r="A281" s="764">
        <v>42109.0</v>
      </c>
      <c r="B281" s="844" t="s">
        <v>11969</v>
      </c>
      <c r="C281" s="388"/>
      <c r="D281" s="388" t="s">
        <v>11977</v>
      </c>
      <c r="E281" s="599" t="s">
        <v>11971</v>
      </c>
      <c r="F281" s="1137">
        <v>218.0</v>
      </c>
      <c r="G281" s="1137">
        <v>1.5</v>
      </c>
      <c r="H281" s="466">
        <f t="shared" si="58"/>
        <v>327</v>
      </c>
      <c r="I281" s="388"/>
      <c r="J281" s="388"/>
      <c r="K281" s="265" t="s">
        <v>11972</v>
      </c>
      <c r="L281" s="844" t="s">
        <v>11973</v>
      </c>
      <c r="M281" s="832">
        <v>42128.0</v>
      </c>
      <c r="N281" s="832">
        <v>42128.0</v>
      </c>
      <c r="O281" s="269" t="s">
        <v>10989</v>
      </c>
      <c r="P281" s="1004" t="s">
        <v>11978</v>
      </c>
      <c r="Q281" s="388"/>
      <c r="R281" s="773">
        <f>216*30*1.05</f>
        <v>6804</v>
      </c>
      <c r="S281" s="388" t="s">
        <v>11975</v>
      </c>
      <c r="T281" s="388"/>
      <c r="U281" s="1139"/>
      <c r="V281" s="1144">
        <v>42124.0</v>
      </c>
      <c r="W281" s="388" t="s">
        <v>11979</v>
      </c>
      <c r="X281" s="845">
        <v>6804.0</v>
      </c>
      <c r="Y281" s="1144">
        <v>42129.0</v>
      </c>
      <c r="Z281" s="388" t="s">
        <v>11876</v>
      </c>
      <c r="AA281" s="388"/>
      <c r="AB281" s="388"/>
      <c r="AC281" s="388"/>
      <c r="AD281" s="388"/>
    </row>
    <row r="282" ht="15.75" customHeight="1">
      <c r="A282" s="764">
        <v>42178.0</v>
      </c>
      <c r="B282" s="844" t="s">
        <v>11969</v>
      </c>
      <c r="C282" s="388"/>
      <c r="D282" s="388" t="s">
        <v>11980</v>
      </c>
      <c r="E282" s="599" t="s">
        <v>11981</v>
      </c>
      <c r="F282" s="1137">
        <v>2.0</v>
      </c>
      <c r="G282" s="1137">
        <v>400.0</v>
      </c>
      <c r="H282" s="1238">
        <f t="shared" ref="H282:H290" si="59">F282*G282</f>
        <v>800</v>
      </c>
      <c r="I282" s="388"/>
      <c r="J282" s="388"/>
      <c r="K282" s="265" t="s">
        <v>11982</v>
      </c>
      <c r="L282" s="1257" t="s">
        <v>11983</v>
      </c>
      <c r="M282" s="832">
        <v>42257.0</v>
      </c>
      <c r="N282" s="388"/>
      <c r="O282" s="269"/>
      <c r="P282" s="388"/>
      <c r="Q282" s="388"/>
      <c r="R282" s="388"/>
      <c r="S282" s="388"/>
      <c r="T282" s="388" t="s">
        <v>11984</v>
      </c>
      <c r="U282" s="388"/>
      <c r="V282" s="1137" t="s">
        <v>11985</v>
      </c>
      <c r="W282" s="388" t="s">
        <v>11985</v>
      </c>
      <c r="X282" s="388" t="s">
        <v>11985</v>
      </c>
      <c r="Y282" s="388"/>
      <c r="Z282" s="388" t="s">
        <v>11986</v>
      </c>
      <c r="AA282" s="388"/>
      <c r="AB282" s="388"/>
      <c r="AC282" s="388"/>
      <c r="AD282" s="388"/>
    </row>
    <row r="283" ht="15.75" customHeight="1">
      <c r="A283" s="1258">
        <v>42178.0</v>
      </c>
      <c r="B283" s="151" t="s">
        <v>11969</v>
      </c>
      <c r="C283" s="66"/>
      <c r="D283" s="521" t="s">
        <v>11980</v>
      </c>
      <c r="E283" s="629" t="s">
        <v>11981</v>
      </c>
      <c r="F283" s="136">
        <v>1.0</v>
      </c>
      <c r="G283" s="136">
        <v>400.0</v>
      </c>
      <c r="H283" s="1259">
        <f t="shared" si="59"/>
        <v>400</v>
      </c>
      <c r="I283" s="66"/>
      <c r="J283" s="66"/>
      <c r="K283" s="1260" t="s">
        <v>11982</v>
      </c>
      <c r="L283" s="132" t="s">
        <v>71</v>
      </c>
      <c r="M283" s="61" t="s">
        <v>71</v>
      </c>
      <c r="N283" s="66"/>
      <c r="O283" s="79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</row>
    <row r="284" ht="15.75" customHeight="1">
      <c r="A284" s="764">
        <v>42018.0</v>
      </c>
      <c r="B284" s="844" t="s">
        <v>11987</v>
      </c>
      <c r="C284" s="388"/>
      <c r="D284" s="388" t="s">
        <v>11988</v>
      </c>
      <c r="E284" s="599" t="s">
        <v>11989</v>
      </c>
      <c r="F284" s="1137">
        <v>150.0</v>
      </c>
      <c r="G284" s="1137">
        <v>25.0</v>
      </c>
      <c r="H284" s="773">
        <f t="shared" si="59"/>
        <v>3750</v>
      </c>
      <c r="I284" s="388"/>
      <c r="J284" s="388"/>
      <c r="K284" s="265" t="s">
        <v>11972</v>
      </c>
      <c r="L284" s="269" t="s">
        <v>11990</v>
      </c>
      <c r="M284" s="832">
        <v>42035.0</v>
      </c>
      <c r="N284" s="832">
        <v>42034.0</v>
      </c>
      <c r="O284" s="269" t="s">
        <v>11991</v>
      </c>
      <c r="P284" s="388" t="s">
        <v>11992</v>
      </c>
      <c r="Q284" s="388"/>
      <c r="R284" s="773">
        <v>88515.0</v>
      </c>
      <c r="S284" s="388" t="s">
        <v>11993</v>
      </c>
      <c r="T284" s="388"/>
      <c r="U284" s="1139"/>
      <c r="V284" s="1132">
        <v>42034.0</v>
      </c>
      <c r="W284" s="265" t="s">
        <v>11994</v>
      </c>
      <c r="X284" s="1135">
        <v>88515.0</v>
      </c>
      <c r="Y284" s="1144">
        <v>42030.0</v>
      </c>
      <c r="Z284" s="320" t="s">
        <v>11995</v>
      </c>
      <c r="AA284" s="388"/>
      <c r="AB284" s="388"/>
      <c r="AC284" s="388"/>
      <c r="AD284" s="388" t="s">
        <v>284</v>
      </c>
    </row>
    <row r="285" ht="15.75" customHeight="1">
      <c r="A285" s="764">
        <v>42034.0</v>
      </c>
      <c r="B285" s="844" t="s">
        <v>11996</v>
      </c>
      <c r="C285" s="388"/>
      <c r="D285" s="388" t="s">
        <v>11997</v>
      </c>
      <c r="E285" s="599" t="s">
        <v>11998</v>
      </c>
      <c r="F285" s="1137">
        <v>30.0</v>
      </c>
      <c r="G285" s="1137">
        <v>88.0</v>
      </c>
      <c r="H285" s="466">
        <f t="shared" si="59"/>
        <v>2640</v>
      </c>
      <c r="I285" s="388"/>
      <c r="J285" s="388"/>
      <c r="K285" s="265" t="s">
        <v>11999</v>
      </c>
      <c r="L285" s="269" t="s">
        <v>12000</v>
      </c>
      <c r="M285" s="832">
        <v>42044.0</v>
      </c>
      <c r="N285" s="832">
        <v>42041.0</v>
      </c>
      <c r="O285" s="269" t="s">
        <v>90</v>
      </c>
      <c r="P285" s="265" t="s">
        <v>12001</v>
      </c>
      <c r="Q285" s="773">
        <v>2488.5</v>
      </c>
      <c r="R285" s="388"/>
      <c r="S285" s="388" t="s">
        <v>11006</v>
      </c>
      <c r="T285" s="388"/>
      <c r="U285" s="1139"/>
      <c r="V285" s="1132">
        <v>42041.0</v>
      </c>
      <c r="W285" s="265" t="s">
        <v>12002</v>
      </c>
      <c r="X285" s="1135">
        <v>77766.0</v>
      </c>
      <c r="Y285" s="1144">
        <v>42074.0</v>
      </c>
      <c r="Z285" s="320" t="s">
        <v>12003</v>
      </c>
      <c r="AA285" s="388"/>
      <c r="AB285" s="388"/>
      <c r="AC285" s="388"/>
      <c r="AD285" s="388" t="s">
        <v>284</v>
      </c>
    </row>
    <row r="286" ht="15.75" customHeight="1">
      <c r="A286" s="764">
        <v>42291.0</v>
      </c>
      <c r="B286" s="844" t="s">
        <v>9000</v>
      </c>
      <c r="C286" s="1004">
        <v>7.000115903E9</v>
      </c>
      <c r="D286" s="388" t="s">
        <v>12004</v>
      </c>
      <c r="E286" s="844" t="s">
        <v>12005</v>
      </c>
      <c r="F286" s="1137">
        <v>2.0</v>
      </c>
      <c r="G286" s="1137">
        <v>133.0</v>
      </c>
      <c r="H286" s="1147">
        <f t="shared" si="59"/>
        <v>266</v>
      </c>
      <c r="I286" s="388"/>
      <c r="J286" s="388"/>
      <c r="K286" s="265" t="s">
        <v>171</v>
      </c>
      <c r="L286" s="597" t="s">
        <v>12006</v>
      </c>
      <c r="M286" s="832">
        <v>42331.0</v>
      </c>
      <c r="N286" s="832">
        <v>42303.0</v>
      </c>
      <c r="O286" s="269" t="s">
        <v>11033</v>
      </c>
      <c r="P286" s="388" t="s">
        <v>12007</v>
      </c>
      <c r="Q286" s="388"/>
      <c r="R286" s="773">
        <v>8058.0</v>
      </c>
      <c r="S286" s="388" t="s">
        <v>8689</v>
      </c>
      <c r="T286" s="388"/>
      <c r="U286" s="1132">
        <v>42405.0</v>
      </c>
      <c r="V286" s="1261">
        <v>42303.0</v>
      </c>
      <c r="W286" s="388" t="s">
        <v>12008</v>
      </c>
      <c r="X286" s="592" t="s">
        <v>12009</v>
      </c>
      <c r="Y286" s="1139">
        <v>42397.0</v>
      </c>
      <c r="Z286" s="388" t="s">
        <v>12010</v>
      </c>
      <c r="AA286" s="388"/>
      <c r="AB286" s="388"/>
      <c r="AC286" s="388"/>
      <c r="AD286" s="388" t="s">
        <v>284</v>
      </c>
    </row>
    <row r="287" ht="15.75" customHeight="1">
      <c r="A287" s="764">
        <v>42291.0</v>
      </c>
      <c r="B287" s="844" t="s">
        <v>9000</v>
      </c>
      <c r="C287" s="1004">
        <v>7.000115903E9</v>
      </c>
      <c r="D287" s="388" t="s">
        <v>12004</v>
      </c>
      <c r="E287" s="844" t="s">
        <v>9006</v>
      </c>
      <c r="F287" s="1137">
        <v>2.0</v>
      </c>
      <c r="G287" s="1137">
        <v>50.0</v>
      </c>
      <c r="H287" s="1147">
        <f t="shared" si="59"/>
        <v>100</v>
      </c>
      <c r="I287" s="388"/>
      <c r="J287" s="388"/>
      <c r="K287" s="265" t="s">
        <v>171</v>
      </c>
      <c r="L287" s="597" t="s">
        <v>12006</v>
      </c>
      <c r="M287" s="832">
        <v>42331.0</v>
      </c>
      <c r="N287" s="832">
        <v>42303.0</v>
      </c>
      <c r="O287" s="269" t="s">
        <v>11033</v>
      </c>
      <c r="P287" s="388" t="s">
        <v>12007</v>
      </c>
      <c r="Q287" s="388"/>
      <c r="R287" s="773">
        <v>3192.0</v>
      </c>
      <c r="S287" s="388" t="s">
        <v>8689</v>
      </c>
      <c r="T287" s="388"/>
      <c r="U287" s="1132">
        <v>42405.0</v>
      </c>
      <c r="V287" s="1261">
        <v>42303.0</v>
      </c>
      <c r="W287" s="388" t="s">
        <v>12008</v>
      </c>
      <c r="X287" s="592" t="s">
        <v>12009</v>
      </c>
      <c r="Y287" s="1139">
        <v>42397.0</v>
      </c>
      <c r="Z287" s="388" t="s">
        <v>12010</v>
      </c>
      <c r="AA287" s="388"/>
      <c r="AB287" s="388"/>
      <c r="AC287" s="388"/>
      <c r="AD287" s="388" t="s">
        <v>284</v>
      </c>
    </row>
    <row r="288" ht="15.75" customHeight="1">
      <c r="A288" s="764">
        <v>42291.0</v>
      </c>
      <c r="B288" s="844" t="s">
        <v>9000</v>
      </c>
      <c r="C288" s="1004">
        <v>7.000115903E9</v>
      </c>
      <c r="D288" s="388" t="s">
        <v>12004</v>
      </c>
      <c r="E288" s="844" t="s">
        <v>12011</v>
      </c>
      <c r="F288" s="1137">
        <v>2.0</v>
      </c>
      <c r="G288" s="1137">
        <v>270.0</v>
      </c>
      <c r="H288" s="1147">
        <f t="shared" si="59"/>
        <v>540</v>
      </c>
      <c r="I288" s="388"/>
      <c r="J288" s="388"/>
      <c r="K288" s="265" t="s">
        <v>171</v>
      </c>
      <c r="L288" s="597" t="s">
        <v>12006</v>
      </c>
      <c r="M288" s="832">
        <v>42331.0</v>
      </c>
      <c r="N288" s="832">
        <v>42328.0</v>
      </c>
      <c r="O288" s="269" t="s">
        <v>11033</v>
      </c>
      <c r="P288" s="388" t="s">
        <v>12007</v>
      </c>
      <c r="Q288" s="388"/>
      <c r="R288" s="773">
        <v>15322.0</v>
      </c>
      <c r="S288" s="388" t="s">
        <v>8689</v>
      </c>
      <c r="T288" s="388"/>
      <c r="U288" s="1132">
        <v>42405.0</v>
      </c>
      <c r="V288" s="1240">
        <v>42327.0</v>
      </c>
      <c r="W288" s="388" t="s">
        <v>12012</v>
      </c>
      <c r="X288" s="845">
        <v>15322.0</v>
      </c>
      <c r="Y288" s="1139">
        <v>42397.0</v>
      </c>
      <c r="Z288" s="388" t="s">
        <v>12010</v>
      </c>
      <c r="AA288" s="388"/>
      <c r="AB288" s="388"/>
      <c r="AC288" s="388"/>
      <c r="AD288" s="388" t="s">
        <v>284</v>
      </c>
    </row>
    <row r="289" ht="15.75" customHeight="1">
      <c r="A289" s="764">
        <v>42291.0</v>
      </c>
      <c r="B289" s="844" t="s">
        <v>9000</v>
      </c>
      <c r="C289" s="1004">
        <v>7.000115903E9</v>
      </c>
      <c r="D289" s="388" t="s">
        <v>12004</v>
      </c>
      <c r="E289" s="599" t="s">
        <v>12013</v>
      </c>
      <c r="F289" s="1137">
        <v>2.0</v>
      </c>
      <c r="G289" s="1137">
        <v>107.0</v>
      </c>
      <c r="H289" s="1147">
        <f t="shared" si="59"/>
        <v>214</v>
      </c>
      <c r="I289" s="388"/>
      <c r="J289" s="388"/>
      <c r="K289" s="265" t="s">
        <v>171</v>
      </c>
      <c r="L289" s="597" t="s">
        <v>513</v>
      </c>
      <c r="M289" s="832">
        <v>42306.0</v>
      </c>
      <c r="N289" s="832">
        <v>42303.0</v>
      </c>
      <c r="O289" s="269" t="s">
        <v>11033</v>
      </c>
      <c r="P289" s="388" t="s">
        <v>12007</v>
      </c>
      <c r="Q289" s="388"/>
      <c r="R289" s="773">
        <v>6520.0</v>
      </c>
      <c r="S289" s="388" t="s">
        <v>8689</v>
      </c>
      <c r="T289" s="388"/>
      <c r="U289" s="1132">
        <v>42405.0</v>
      </c>
      <c r="V289" s="1143">
        <v>42303.0</v>
      </c>
      <c r="W289" s="388" t="s">
        <v>12008</v>
      </c>
      <c r="X289" s="845">
        <v>17770.0</v>
      </c>
      <c r="Y289" s="1139">
        <v>42397.0</v>
      </c>
      <c r="Z289" s="388" t="s">
        <v>12014</v>
      </c>
      <c r="AA289" s="388"/>
      <c r="AB289" s="388"/>
      <c r="AC289" s="388"/>
      <c r="AD289" s="388" t="s">
        <v>284</v>
      </c>
    </row>
    <row r="290" ht="15.75" customHeight="1">
      <c r="A290" s="764">
        <v>42291.0</v>
      </c>
      <c r="B290" s="844" t="s">
        <v>9000</v>
      </c>
      <c r="C290" s="1004">
        <v>7.000115903E9</v>
      </c>
      <c r="D290" s="388" t="s">
        <v>12004</v>
      </c>
      <c r="E290" s="599" t="s">
        <v>12015</v>
      </c>
      <c r="F290" s="1137">
        <v>2.0</v>
      </c>
      <c r="G290" s="1137">
        <v>254.0</v>
      </c>
      <c r="H290" s="1147">
        <f t="shared" si="59"/>
        <v>508</v>
      </c>
      <c r="I290" s="388"/>
      <c r="J290" s="388"/>
      <c r="K290" s="265" t="s">
        <v>171</v>
      </c>
      <c r="L290" s="597" t="s">
        <v>12006</v>
      </c>
      <c r="M290" s="832">
        <v>42331.0</v>
      </c>
      <c r="N290" s="832">
        <v>42312.0</v>
      </c>
      <c r="O290" s="269" t="s">
        <v>11033</v>
      </c>
      <c r="P290" s="388" t="s">
        <v>12007</v>
      </c>
      <c r="Q290" s="388"/>
      <c r="R290" s="773">
        <f>13696*1.05</f>
        <v>14380.8</v>
      </c>
      <c r="S290" s="388" t="s">
        <v>8689</v>
      </c>
      <c r="T290" s="388"/>
      <c r="U290" s="1132">
        <v>42405.0</v>
      </c>
      <c r="V290" s="1240">
        <v>42311.0</v>
      </c>
      <c r="W290" s="388" t="s">
        <v>12016</v>
      </c>
      <c r="X290" s="845">
        <v>14381.0</v>
      </c>
      <c r="Y290" s="1139">
        <v>42397.0</v>
      </c>
      <c r="Z290" s="388" t="s">
        <v>12010</v>
      </c>
      <c r="AA290" s="388"/>
      <c r="AB290" s="388"/>
      <c r="AC290" s="388"/>
      <c r="AD290" s="388" t="s">
        <v>284</v>
      </c>
    </row>
    <row r="291" ht="15.75" customHeight="1">
      <c r="A291" s="274">
        <v>42039.0</v>
      </c>
      <c r="B291" s="844" t="s">
        <v>12017</v>
      </c>
      <c r="C291" s="388"/>
      <c r="D291" s="857" t="s">
        <v>12018</v>
      </c>
      <c r="E291" s="1233" t="s">
        <v>12019</v>
      </c>
      <c r="F291" s="1234">
        <v>1.0</v>
      </c>
      <c r="G291" s="900">
        <v>3150.0</v>
      </c>
      <c r="H291" s="793"/>
      <c r="I291" s="388"/>
      <c r="J291" s="388"/>
      <c r="K291" s="783" t="s">
        <v>11898</v>
      </c>
      <c r="L291" s="599"/>
      <c r="M291" s="1256" t="s">
        <v>11906</v>
      </c>
      <c r="N291" s="388"/>
      <c r="O291" s="269"/>
      <c r="P291" s="388"/>
      <c r="Q291" s="388"/>
      <c r="R291" s="388"/>
      <c r="S291" s="388"/>
      <c r="T291" s="857" t="s">
        <v>12020</v>
      </c>
      <c r="U291" s="388"/>
      <c r="V291" s="388"/>
      <c r="W291" s="388"/>
      <c r="X291" s="388"/>
      <c r="Y291" s="388"/>
      <c r="Z291" s="388"/>
      <c r="AA291" s="388"/>
      <c r="AB291" s="388"/>
      <c r="AC291" s="388"/>
      <c r="AD291" s="388"/>
    </row>
    <row r="292" ht="15.75" customHeight="1">
      <c r="A292" s="776">
        <v>42082.0</v>
      </c>
      <c r="B292" s="844" t="s">
        <v>12017</v>
      </c>
      <c r="C292" s="388"/>
      <c r="D292" s="320" t="s">
        <v>12021</v>
      </c>
      <c r="E292" s="340" t="s">
        <v>12022</v>
      </c>
      <c r="F292" s="773">
        <v>1.0</v>
      </c>
      <c r="G292" s="466">
        <v>3013.5</v>
      </c>
      <c r="H292" s="466">
        <f t="shared" ref="H292:H293" si="60">G292*F292</f>
        <v>3013.5</v>
      </c>
      <c r="I292" s="388"/>
      <c r="J292" s="388"/>
      <c r="K292" s="265" t="s">
        <v>11898</v>
      </c>
      <c r="L292" s="599"/>
      <c r="M292" s="832">
        <v>42137.0</v>
      </c>
      <c r="N292" s="832">
        <v>42135.0</v>
      </c>
      <c r="O292" s="269"/>
      <c r="P292" s="388"/>
      <c r="Q292" s="388"/>
      <c r="R292" s="388"/>
      <c r="S292" s="388"/>
      <c r="T292" s="320" t="s">
        <v>12023</v>
      </c>
      <c r="U292" s="388"/>
      <c r="V292" s="1141" t="s">
        <v>11985</v>
      </c>
      <c r="W292" s="1141" t="s">
        <v>11985</v>
      </c>
      <c r="X292" s="1141" t="s">
        <v>11985</v>
      </c>
      <c r="Y292" s="388"/>
      <c r="Z292" s="1136" t="s">
        <v>12024</v>
      </c>
      <c r="AA292" s="773">
        <v>31.371</v>
      </c>
      <c r="AB292" s="773" t="s">
        <v>8836</v>
      </c>
      <c r="AC292" s="388"/>
      <c r="AD292" s="388"/>
    </row>
    <row r="293" ht="15.75" customHeight="1">
      <c r="A293" s="776">
        <v>42082.0</v>
      </c>
      <c r="B293" s="844" t="s">
        <v>12017</v>
      </c>
      <c r="C293" s="388"/>
      <c r="D293" s="320" t="s">
        <v>12025</v>
      </c>
      <c r="E293" s="340" t="s">
        <v>12026</v>
      </c>
      <c r="F293" s="773">
        <v>1.0</v>
      </c>
      <c r="G293" s="466">
        <v>170.1</v>
      </c>
      <c r="H293" s="466">
        <f t="shared" si="60"/>
        <v>170.1</v>
      </c>
      <c r="I293" s="388"/>
      <c r="J293" s="388"/>
      <c r="K293" s="265" t="s">
        <v>11898</v>
      </c>
      <c r="L293" s="333" t="s">
        <v>12027</v>
      </c>
      <c r="M293" s="832">
        <v>42103.0</v>
      </c>
      <c r="N293" s="832">
        <v>42103.0</v>
      </c>
      <c r="O293" s="269"/>
      <c r="P293" s="388"/>
      <c r="Q293" s="388"/>
      <c r="R293" s="773">
        <v>4069.0</v>
      </c>
      <c r="S293" s="1086" t="s">
        <v>12028</v>
      </c>
      <c r="T293" s="1086" t="s">
        <v>12029</v>
      </c>
      <c r="U293" s="1139"/>
      <c r="V293" s="1132">
        <v>42102.0</v>
      </c>
      <c r="W293" s="265" t="s">
        <v>12030</v>
      </c>
      <c r="X293" s="1135">
        <v>4069.0</v>
      </c>
      <c r="Y293" s="1133">
        <v>42103.0</v>
      </c>
      <c r="Z293" s="265" t="s">
        <v>12024</v>
      </c>
      <c r="AA293" s="773">
        <v>31.371</v>
      </c>
      <c r="AB293" s="1149">
        <v>99873.0</v>
      </c>
      <c r="AC293" s="388"/>
      <c r="AD293" s="388"/>
    </row>
    <row r="294" ht="15.75" customHeight="1">
      <c r="A294" s="764">
        <v>42340.0</v>
      </c>
      <c r="B294" s="844" t="s">
        <v>12031</v>
      </c>
      <c r="C294" s="1004">
        <v>2.0151202004E10</v>
      </c>
      <c r="D294" s="388" t="s">
        <v>12032</v>
      </c>
      <c r="E294" s="599" t="s">
        <v>12033</v>
      </c>
      <c r="F294" s="388">
        <v>1.0</v>
      </c>
      <c r="G294" s="388">
        <v>352.8</v>
      </c>
      <c r="H294" s="1147">
        <f>F294*G294</f>
        <v>352.8</v>
      </c>
      <c r="I294" s="388">
        <f t="shared" ref="I294:J294" si="61">G294*32.8</f>
        <v>11571.84</v>
      </c>
      <c r="J294" s="388">
        <f t="shared" si="61"/>
        <v>11571.84</v>
      </c>
      <c r="K294" s="265" t="s">
        <v>171</v>
      </c>
      <c r="L294" s="269" t="s">
        <v>6067</v>
      </c>
      <c r="M294" s="832">
        <v>42348.0</v>
      </c>
      <c r="N294" s="832">
        <v>42347.0</v>
      </c>
      <c r="O294" s="269" t="s">
        <v>90</v>
      </c>
      <c r="P294" s="320" t="s">
        <v>12034</v>
      </c>
      <c r="Q294" s="320">
        <v>317.1</v>
      </c>
      <c r="R294" s="388"/>
      <c r="S294" s="320" t="s">
        <v>11006</v>
      </c>
      <c r="T294" s="388"/>
      <c r="U294" s="1137"/>
      <c r="V294" s="1139">
        <v>42347.0</v>
      </c>
      <c r="W294" s="388" t="s">
        <v>12035</v>
      </c>
      <c r="X294" s="845">
        <v>10288.0</v>
      </c>
      <c r="Y294" s="1139">
        <v>42398.0</v>
      </c>
      <c r="Z294" s="388" t="s">
        <v>12036</v>
      </c>
      <c r="AA294" s="388" t="s">
        <v>12037</v>
      </c>
      <c r="AB294" s="1146">
        <v>11572.0</v>
      </c>
      <c r="AC294" s="388" t="s">
        <v>12038</v>
      </c>
      <c r="AD294" s="388"/>
    </row>
    <row r="295" ht="15.75" customHeight="1">
      <c r="A295" s="764">
        <v>42067.0</v>
      </c>
      <c r="B295" s="844" t="s">
        <v>673</v>
      </c>
      <c r="C295" s="388"/>
      <c r="D295" s="388" t="s">
        <v>12039</v>
      </c>
      <c r="E295" s="599" t="s">
        <v>12040</v>
      </c>
      <c r="F295" s="1137">
        <v>3.0</v>
      </c>
      <c r="G295" s="1137">
        <v>365.0</v>
      </c>
      <c r="H295" s="466">
        <f>G295*F295</f>
        <v>1095</v>
      </c>
      <c r="I295" s="388"/>
      <c r="J295" s="388"/>
      <c r="K295" s="265" t="s">
        <v>11972</v>
      </c>
      <c r="L295" s="269" t="s">
        <v>12041</v>
      </c>
      <c r="M295" s="832">
        <v>42075.0</v>
      </c>
      <c r="N295" s="832">
        <v>42074.0</v>
      </c>
      <c r="O295" s="269" t="s">
        <v>90</v>
      </c>
      <c r="P295" s="265" t="s">
        <v>12042</v>
      </c>
      <c r="Q295" s="773">
        <v>1004.85</v>
      </c>
      <c r="R295" s="388"/>
      <c r="S295" s="388" t="s">
        <v>11006</v>
      </c>
      <c r="T295" s="388"/>
      <c r="U295" s="1139"/>
      <c r="V295" s="1132">
        <v>42074.0</v>
      </c>
      <c r="W295" s="265" t="s">
        <v>12043</v>
      </c>
      <c r="X295" s="1135">
        <v>31582.0</v>
      </c>
      <c r="Y295" s="1144">
        <v>42074.0</v>
      </c>
      <c r="Z295" s="320" t="s">
        <v>12044</v>
      </c>
      <c r="AA295" s="388"/>
      <c r="AB295" s="388"/>
      <c r="AC295" s="388"/>
      <c r="AD295" s="388"/>
    </row>
    <row r="296" ht="15.75" customHeight="1">
      <c r="A296" s="764">
        <v>42240.0</v>
      </c>
      <c r="B296" s="844" t="s">
        <v>673</v>
      </c>
      <c r="C296" s="1004" t="s">
        <v>12045</v>
      </c>
      <c r="D296" s="388" t="s">
        <v>12046</v>
      </c>
      <c r="E296" s="599" t="s">
        <v>3608</v>
      </c>
      <c r="F296" s="1137">
        <v>4.0</v>
      </c>
      <c r="G296" s="1137">
        <v>410.0</v>
      </c>
      <c r="H296" s="1147">
        <f t="shared" ref="H296:H306" si="62">F296*G296</f>
        <v>1640</v>
      </c>
      <c r="I296" s="388"/>
      <c r="J296" s="388"/>
      <c r="K296" s="265" t="s">
        <v>171</v>
      </c>
      <c r="L296" s="269" t="s">
        <v>12047</v>
      </c>
      <c r="M296" s="832">
        <v>42250.0</v>
      </c>
      <c r="N296" s="832">
        <v>42248.0</v>
      </c>
      <c r="O296" s="269" t="s">
        <v>90</v>
      </c>
      <c r="P296" s="265" t="s">
        <v>12048</v>
      </c>
      <c r="Q296" s="773">
        <v>1554.0</v>
      </c>
      <c r="R296" s="388"/>
      <c r="S296" s="388" t="s">
        <v>11006</v>
      </c>
      <c r="T296" s="388"/>
      <c r="U296" s="388"/>
      <c r="V296" s="1143">
        <v>42248.0</v>
      </c>
      <c r="W296" s="388" t="s">
        <v>12049</v>
      </c>
      <c r="X296" s="845">
        <v>50645.0</v>
      </c>
      <c r="Y296" s="1144">
        <v>42248.0</v>
      </c>
      <c r="Z296" s="320" t="s">
        <v>12050</v>
      </c>
      <c r="AA296" s="388"/>
      <c r="AB296" s="388"/>
      <c r="AC296" s="388"/>
      <c r="AD296" s="1140" t="s">
        <v>284</v>
      </c>
    </row>
    <row r="297" ht="15.75" customHeight="1">
      <c r="A297" s="764">
        <v>42327.0</v>
      </c>
      <c r="B297" s="844" t="s">
        <v>673</v>
      </c>
      <c r="C297" s="388"/>
      <c r="D297" s="388" t="s">
        <v>12051</v>
      </c>
      <c r="E297" s="340" t="s">
        <v>12052</v>
      </c>
      <c r="F297" s="388">
        <v>2.0</v>
      </c>
      <c r="G297" s="388">
        <v>906.0</v>
      </c>
      <c r="H297" s="1147">
        <f t="shared" si="62"/>
        <v>1812</v>
      </c>
      <c r="I297" s="388"/>
      <c r="J297" s="388"/>
      <c r="K297" s="265" t="s">
        <v>171</v>
      </c>
      <c r="L297" s="269" t="s">
        <v>12047</v>
      </c>
      <c r="M297" s="850">
        <v>42367.0</v>
      </c>
      <c r="N297" s="832">
        <v>42363.0</v>
      </c>
      <c r="O297" s="269" t="s">
        <v>12053</v>
      </c>
      <c r="P297" s="388" t="s">
        <v>12054</v>
      </c>
      <c r="Q297" s="388"/>
      <c r="R297" s="1138">
        <f>1680*32.655*1.05</f>
        <v>57603.42</v>
      </c>
      <c r="S297" s="388" t="s">
        <v>12055</v>
      </c>
      <c r="T297" s="388"/>
      <c r="U297" s="1143">
        <v>42328.0</v>
      </c>
      <c r="V297" s="1240">
        <v>42362.0</v>
      </c>
      <c r="W297" s="1140" t="s">
        <v>12056</v>
      </c>
      <c r="X297" s="1241">
        <v>127550.0</v>
      </c>
      <c r="Y297" s="1139">
        <v>42328.0</v>
      </c>
      <c r="Z297" s="1140" t="s">
        <v>12057</v>
      </c>
      <c r="AA297" s="388"/>
      <c r="AB297" s="388"/>
      <c r="AC297" s="388"/>
      <c r="AD297" s="1140" t="s">
        <v>284</v>
      </c>
    </row>
    <row r="298" ht="15.75" customHeight="1">
      <c r="A298" s="764">
        <v>42327.0</v>
      </c>
      <c r="B298" s="844" t="s">
        <v>673</v>
      </c>
      <c r="C298" s="388"/>
      <c r="D298" s="388" t="s">
        <v>12051</v>
      </c>
      <c r="E298" s="340" t="s">
        <v>12058</v>
      </c>
      <c r="F298" s="388">
        <v>2.0</v>
      </c>
      <c r="G298" s="388">
        <v>1100.0</v>
      </c>
      <c r="H298" s="1147">
        <f t="shared" si="62"/>
        <v>2200</v>
      </c>
      <c r="I298" s="388"/>
      <c r="J298" s="388"/>
      <c r="K298" s="265" t="s">
        <v>171</v>
      </c>
      <c r="L298" s="269" t="s">
        <v>12047</v>
      </c>
      <c r="M298" s="850">
        <v>42367.0</v>
      </c>
      <c r="N298" s="832">
        <v>42363.0</v>
      </c>
      <c r="O298" s="269" t="s">
        <v>12053</v>
      </c>
      <c r="P298" s="388" t="s">
        <v>12054</v>
      </c>
      <c r="Q298" s="388"/>
      <c r="R298" s="1138">
        <f>2040*32.655*1.05</f>
        <v>69947.01</v>
      </c>
      <c r="S298" s="388" t="s">
        <v>12055</v>
      </c>
      <c r="T298" s="388"/>
      <c r="U298" s="1143">
        <v>42328.0</v>
      </c>
      <c r="V298" s="1240">
        <v>42362.0</v>
      </c>
      <c r="W298" s="1140" t="s">
        <v>12056</v>
      </c>
      <c r="X298" s="1242" t="s">
        <v>12059</v>
      </c>
      <c r="Y298" s="1139">
        <v>42328.0</v>
      </c>
      <c r="Z298" s="1140" t="s">
        <v>12057</v>
      </c>
      <c r="AA298" s="388"/>
      <c r="AB298" s="388"/>
      <c r="AC298" s="388"/>
      <c r="AD298" s="1140" t="s">
        <v>284</v>
      </c>
    </row>
    <row r="299" ht="15.75" customHeight="1">
      <c r="A299" s="764">
        <v>42012.0</v>
      </c>
      <c r="B299" s="844" t="s">
        <v>3871</v>
      </c>
      <c r="C299" s="1004" t="s">
        <v>12060</v>
      </c>
      <c r="D299" s="388" t="s">
        <v>12061</v>
      </c>
      <c r="E299" s="340" t="s">
        <v>12062</v>
      </c>
      <c r="F299" s="1137">
        <v>1.0</v>
      </c>
      <c r="G299" s="325">
        <v>97.0</v>
      </c>
      <c r="H299" s="466">
        <f t="shared" si="62"/>
        <v>97</v>
      </c>
      <c r="I299" s="388"/>
      <c r="J299" s="388"/>
      <c r="K299" s="265" t="s">
        <v>3874</v>
      </c>
      <c r="L299" s="269" t="s">
        <v>12063</v>
      </c>
      <c r="M299" s="832">
        <v>42019.0</v>
      </c>
      <c r="N299" s="832">
        <v>42017.0</v>
      </c>
      <c r="O299" s="269" t="s">
        <v>90</v>
      </c>
      <c r="P299" s="265" t="s">
        <v>12064</v>
      </c>
      <c r="Q299" s="773">
        <v>86.1</v>
      </c>
      <c r="R299" s="388"/>
      <c r="S299" s="388" t="s">
        <v>6081</v>
      </c>
      <c r="T299" s="388"/>
      <c r="U299" s="1139"/>
      <c r="V299" s="1132">
        <v>42017.0</v>
      </c>
      <c r="W299" s="265" t="s">
        <v>12065</v>
      </c>
      <c r="X299" s="1135">
        <v>6666.0</v>
      </c>
      <c r="Y299" s="1144">
        <v>42033.0</v>
      </c>
      <c r="Z299" s="320" t="s">
        <v>12066</v>
      </c>
      <c r="AA299" s="388"/>
      <c r="AB299" s="388"/>
      <c r="AC299" s="388"/>
      <c r="AD299" s="388" t="s">
        <v>284</v>
      </c>
    </row>
    <row r="300" ht="15.75" customHeight="1">
      <c r="A300" s="764">
        <v>42012.0</v>
      </c>
      <c r="B300" s="844" t="s">
        <v>3871</v>
      </c>
      <c r="C300" s="1004" t="s">
        <v>12060</v>
      </c>
      <c r="D300" s="388" t="s">
        <v>12061</v>
      </c>
      <c r="E300" s="340" t="s">
        <v>11062</v>
      </c>
      <c r="F300" s="1137">
        <v>1.0</v>
      </c>
      <c r="G300" s="325">
        <v>137.0</v>
      </c>
      <c r="H300" s="466">
        <f t="shared" si="62"/>
        <v>137</v>
      </c>
      <c r="I300" s="388"/>
      <c r="J300" s="388"/>
      <c r="K300" s="265" t="s">
        <v>3874</v>
      </c>
      <c r="L300" s="269" t="s">
        <v>12063</v>
      </c>
      <c r="M300" s="832">
        <v>42019.0</v>
      </c>
      <c r="N300" s="832">
        <v>42017.0</v>
      </c>
      <c r="O300" s="269" t="s">
        <v>90</v>
      </c>
      <c r="P300" s="265" t="s">
        <v>12064</v>
      </c>
      <c r="Q300" s="773">
        <v>122.85</v>
      </c>
      <c r="R300" s="388"/>
      <c r="S300" s="388" t="s">
        <v>6081</v>
      </c>
      <c r="T300" s="388"/>
      <c r="U300" s="1139"/>
      <c r="V300" s="320" t="s">
        <v>12067</v>
      </c>
      <c r="W300" s="320" t="s">
        <v>12067</v>
      </c>
      <c r="X300" s="256" t="s">
        <v>12067</v>
      </c>
      <c r="Y300" s="1144">
        <v>42033.0</v>
      </c>
      <c r="Z300" s="320" t="s">
        <v>12066</v>
      </c>
      <c r="AA300" s="388"/>
      <c r="AB300" s="388"/>
      <c r="AC300" s="388"/>
      <c r="AD300" s="388" t="s">
        <v>284</v>
      </c>
    </row>
    <row r="301" ht="15.75" customHeight="1">
      <c r="A301" s="764">
        <v>42195.0</v>
      </c>
      <c r="B301" s="844" t="s">
        <v>3871</v>
      </c>
      <c r="C301" s="1004" t="s">
        <v>12068</v>
      </c>
      <c r="D301" s="388" t="s">
        <v>12069</v>
      </c>
      <c r="E301" s="340" t="s">
        <v>12062</v>
      </c>
      <c r="F301" s="1137">
        <v>5.0</v>
      </c>
      <c r="G301" s="325">
        <v>97.0</v>
      </c>
      <c r="H301" s="1147">
        <f t="shared" si="62"/>
        <v>485</v>
      </c>
      <c r="I301" s="388"/>
      <c r="J301" s="388"/>
      <c r="K301" s="265" t="s">
        <v>3874</v>
      </c>
      <c r="L301" s="269" t="s">
        <v>12063</v>
      </c>
      <c r="M301" s="832">
        <v>42209.0</v>
      </c>
      <c r="N301" s="832">
        <v>42206.0</v>
      </c>
      <c r="O301" s="269" t="s">
        <v>90</v>
      </c>
      <c r="P301" s="265" t="s">
        <v>12070</v>
      </c>
      <c r="Q301" s="773">
        <v>430.5</v>
      </c>
      <c r="R301" s="388"/>
      <c r="S301" s="388" t="s">
        <v>11006</v>
      </c>
      <c r="T301" s="388"/>
      <c r="U301" s="388"/>
      <c r="V301" s="1143">
        <v>42206.0</v>
      </c>
      <c r="W301" s="388" t="s">
        <v>12071</v>
      </c>
      <c r="X301" s="845">
        <v>13333.0</v>
      </c>
      <c r="Y301" s="1144">
        <v>42220.0</v>
      </c>
      <c r="Z301" s="388" t="s">
        <v>12072</v>
      </c>
      <c r="AA301" s="388"/>
      <c r="AB301" s="388"/>
      <c r="AC301" s="388"/>
      <c r="AD301" s="1004">
        <v>484.76</v>
      </c>
    </row>
    <row r="302" ht="15.75" customHeight="1">
      <c r="A302" s="764">
        <v>42283.0</v>
      </c>
      <c r="B302" s="844" t="s">
        <v>3871</v>
      </c>
      <c r="C302" s="1004" t="s">
        <v>12073</v>
      </c>
      <c r="D302" s="388" t="s">
        <v>12074</v>
      </c>
      <c r="E302" s="599" t="s">
        <v>12062</v>
      </c>
      <c r="F302" s="1137">
        <v>2.0</v>
      </c>
      <c r="G302" s="1137">
        <v>97.0</v>
      </c>
      <c r="H302" s="1147">
        <f t="shared" si="62"/>
        <v>194</v>
      </c>
      <c r="I302" s="388"/>
      <c r="J302" s="388"/>
      <c r="K302" s="265" t="s">
        <v>3874</v>
      </c>
      <c r="L302" s="269" t="s">
        <v>12063</v>
      </c>
      <c r="M302" s="832">
        <v>42293.0</v>
      </c>
      <c r="N302" s="832">
        <v>42291.0</v>
      </c>
      <c r="O302" s="269" t="s">
        <v>90</v>
      </c>
      <c r="P302" s="265" t="s">
        <v>12075</v>
      </c>
      <c r="Q302" s="773">
        <v>172.2</v>
      </c>
      <c r="R302" s="388"/>
      <c r="S302" s="388" t="s">
        <v>11006</v>
      </c>
      <c r="T302" s="388"/>
      <c r="U302" s="388"/>
      <c r="V302" s="1143">
        <v>42291.0</v>
      </c>
      <c r="W302" s="388" t="s">
        <v>12076</v>
      </c>
      <c r="X302" s="845">
        <v>18572.0</v>
      </c>
      <c r="Y302" s="1144">
        <v>42321.0</v>
      </c>
      <c r="Z302" s="388" t="s">
        <v>12077</v>
      </c>
      <c r="AA302" s="388"/>
      <c r="AB302" s="388"/>
      <c r="AC302" s="388"/>
      <c r="AD302" s="388" t="s">
        <v>284</v>
      </c>
    </row>
    <row r="303" ht="15.75" customHeight="1">
      <c r="A303" s="764">
        <v>42283.0</v>
      </c>
      <c r="B303" s="844" t="s">
        <v>3871</v>
      </c>
      <c r="C303" s="1004" t="s">
        <v>12073</v>
      </c>
      <c r="D303" s="388" t="s">
        <v>12074</v>
      </c>
      <c r="E303" s="599" t="s">
        <v>3873</v>
      </c>
      <c r="F303" s="1137">
        <v>1.0</v>
      </c>
      <c r="G303" s="1137">
        <v>460.0</v>
      </c>
      <c r="H303" s="1147">
        <f t="shared" si="62"/>
        <v>460</v>
      </c>
      <c r="I303" s="793"/>
      <c r="J303" s="1146"/>
      <c r="K303" s="265" t="s">
        <v>3874</v>
      </c>
      <c r="L303" s="269" t="s">
        <v>12063</v>
      </c>
      <c r="M303" s="832">
        <v>42293.0</v>
      </c>
      <c r="N303" s="832">
        <v>42291.0</v>
      </c>
      <c r="O303" s="269" t="s">
        <v>90</v>
      </c>
      <c r="P303" s="265" t="s">
        <v>12075</v>
      </c>
      <c r="Q303" s="773">
        <v>395.85</v>
      </c>
      <c r="R303" s="388"/>
      <c r="S303" s="388" t="s">
        <v>11006</v>
      </c>
      <c r="T303" s="388"/>
      <c r="U303" s="388"/>
      <c r="V303" s="1143">
        <v>42291.0</v>
      </c>
      <c r="W303" s="388" t="s">
        <v>12076</v>
      </c>
      <c r="X303" s="592" t="s">
        <v>8836</v>
      </c>
      <c r="Y303" s="1144">
        <v>42321.0</v>
      </c>
      <c r="Z303" s="388" t="s">
        <v>12077</v>
      </c>
      <c r="AA303" s="388"/>
      <c r="AB303" s="388"/>
      <c r="AC303" s="388"/>
      <c r="AD303" s="388" t="s">
        <v>284</v>
      </c>
    </row>
    <row r="304" ht="15.75" customHeight="1">
      <c r="A304" s="764">
        <v>42348.0</v>
      </c>
      <c r="B304" s="844" t="s">
        <v>3871</v>
      </c>
      <c r="C304" s="1004" t="s">
        <v>12078</v>
      </c>
      <c r="D304" s="388" t="s">
        <v>12079</v>
      </c>
      <c r="E304" s="340" t="s">
        <v>7065</v>
      </c>
      <c r="F304" s="1137">
        <v>7.0</v>
      </c>
      <c r="G304" s="325">
        <v>161.0</v>
      </c>
      <c r="H304" s="1147">
        <f t="shared" si="62"/>
        <v>1127</v>
      </c>
      <c r="I304" s="388"/>
      <c r="J304" s="388"/>
      <c r="K304" s="265" t="s">
        <v>3874</v>
      </c>
      <c r="L304" s="269" t="s">
        <v>12080</v>
      </c>
      <c r="M304" s="832">
        <v>42355.0</v>
      </c>
      <c r="N304" s="832">
        <v>42354.0</v>
      </c>
      <c r="O304" s="269" t="s">
        <v>90</v>
      </c>
      <c r="P304" s="320" t="s">
        <v>12081</v>
      </c>
      <c r="Q304" s="320">
        <v>940.8</v>
      </c>
      <c r="R304" s="388"/>
      <c r="S304" s="388" t="s">
        <v>11006</v>
      </c>
      <c r="T304" s="388"/>
      <c r="U304" s="1137"/>
      <c r="V304" s="1139">
        <v>42354.0</v>
      </c>
      <c r="W304" s="388" t="s">
        <v>12082</v>
      </c>
      <c r="X304" s="845">
        <v>30698.0</v>
      </c>
      <c r="Y304" s="1139">
        <v>42398.0</v>
      </c>
      <c r="Z304" s="388" t="s">
        <v>12083</v>
      </c>
      <c r="AA304" s="388"/>
      <c r="AB304" s="388"/>
      <c r="AC304" s="388"/>
      <c r="AD304" s="388" t="s">
        <v>284</v>
      </c>
    </row>
    <row r="305" ht="15.75" customHeight="1">
      <c r="A305" s="764">
        <v>42040.0</v>
      </c>
      <c r="B305" s="844" t="s">
        <v>12084</v>
      </c>
      <c r="C305" s="1004" t="s">
        <v>12085</v>
      </c>
      <c r="D305" s="388" t="s">
        <v>12086</v>
      </c>
      <c r="E305" s="599" t="s">
        <v>4780</v>
      </c>
      <c r="F305" s="1137">
        <v>4.0</v>
      </c>
      <c r="G305" s="1137">
        <v>91.0</v>
      </c>
      <c r="H305" s="773">
        <f t="shared" si="62"/>
        <v>364</v>
      </c>
      <c r="I305" s="388"/>
      <c r="J305" s="388"/>
      <c r="K305" s="265" t="s">
        <v>3874</v>
      </c>
      <c r="L305" s="269" t="s">
        <v>12063</v>
      </c>
      <c r="M305" s="832">
        <v>42051.0</v>
      </c>
      <c r="N305" s="832">
        <v>42048.0</v>
      </c>
      <c r="O305" s="269" t="s">
        <v>90</v>
      </c>
      <c r="P305" s="265" t="s">
        <v>12087</v>
      </c>
      <c r="Q305" s="773">
        <v>331.8</v>
      </c>
      <c r="R305" s="388"/>
      <c r="S305" s="388" t="s">
        <v>11006</v>
      </c>
      <c r="T305" s="388"/>
      <c r="U305" s="1139"/>
      <c r="V305" s="1132">
        <v>42048.0</v>
      </c>
      <c r="W305" s="265" t="s">
        <v>12088</v>
      </c>
      <c r="X305" s="1135">
        <v>10427.0</v>
      </c>
      <c r="Y305" s="1144">
        <v>42074.0</v>
      </c>
      <c r="Z305" s="320" t="s">
        <v>12089</v>
      </c>
      <c r="AA305" s="388"/>
      <c r="AB305" s="388"/>
      <c r="AC305" s="388"/>
      <c r="AD305" s="388" t="s">
        <v>8661</v>
      </c>
    </row>
    <row r="306" ht="15.75" customHeight="1">
      <c r="A306" s="764">
        <v>42039.0</v>
      </c>
      <c r="B306" s="844" t="s">
        <v>1204</v>
      </c>
      <c r="C306" s="1004" t="s">
        <v>12090</v>
      </c>
      <c r="D306" s="388" t="s">
        <v>12091</v>
      </c>
      <c r="E306" s="599" t="s">
        <v>12092</v>
      </c>
      <c r="F306" s="1137">
        <v>4.0</v>
      </c>
      <c r="G306" s="1137">
        <v>133.2</v>
      </c>
      <c r="H306" s="773">
        <f t="shared" si="62"/>
        <v>532.8</v>
      </c>
      <c r="I306" s="388"/>
      <c r="J306" s="388"/>
      <c r="K306" s="265" t="s">
        <v>12093</v>
      </c>
      <c r="L306" s="269" t="s">
        <v>12094</v>
      </c>
      <c r="M306" s="832">
        <v>42047.0</v>
      </c>
      <c r="N306" s="832">
        <v>42045.0</v>
      </c>
      <c r="O306" s="269" t="s">
        <v>90</v>
      </c>
      <c r="P306" s="265" t="s">
        <v>12095</v>
      </c>
      <c r="Q306" s="773">
        <v>491.4</v>
      </c>
      <c r="R306" s="388"/>
      <c r="S306" s="388" t="s">
        <v>11006</v>
      </c>
      <c r="T306" s="388"/>
      <c r="U306" s="1139"/>
      <c r="V306" s="1132">
        <v>42045.0</v>
      </c>
      <c r="W306" s="265" t="s">
        <v>12096</v>
      </c>
      <c r="X306" s="1135">
        <v>15356.0</v>
      </c>
      <c r="Y306" s="1144">
        <v>42074.0</v>
      </c>
      <c r="Z306" s="320" t="s">
        <v>12097</v>
      </c>
      <c r="AA306" s="388"/>
      <c r="AB306" s="388"/>
      <c r="AC306" s="388"/>
      <c r="AD306" s="388" t="s">
        <v>8661</v>
      </c>
    </row>
    <row r="307" ht="15.75" customHeight="1">
      <c r="A307" s="764">
        <v>42080.0</v>
      </c>
      <c r="B307" s="844" t="s">
        <v>1204</v>
      </c>
      <c r="C307" s="1004" t="s">
        <v>12098</v>
      </c>
      <c r="D307" s="388" t="s">
        <v>12099</v>
      </c>
      <c r="E307" s="599" t="s">
        <v>12100</v>
      </c>
      <c r="F307" s="1137">
        <v>1.0</v>
      </c>
      <c r="G307" s="1137">
        <v>223.0</v>
      </c>
      <c r="H307" s="1147">
        <f t="shared" ref="H307:H323" si="63">G307*F307</f>
        <v>223</v>
      </c>
      <c r="I307" s="388"/>
      <c r="J307" s="388"/>
      <c r="K307" s="265" t="s">
        <v>12093</v>
      </c>
      <c r="L307" s="269" t="s">
        <v>12101</v>
      </c>
      <c r="M307" s="832">
        <v>42149.0</v>
      </c>
      <c r="N307" s="832">
        <v>42143.0</v>
      </c>
      <c r="O307" s="269" t="s">
        <v>2034</v>
      </c>
      <c r="P307" s="1004" t="s">
        <v>12102</v>
      </c>
      <c r="Q307" s="388"/>
      <c r="R307" s="466">
        <v>6377.7</v>
      </c>
      <c r="S307" s="388" t="s">
        <v>2036</v>
      </c>
      <c r="T307" s="388"/>
      <c r="U307" s="1139"/>
      <c r="V307" s="1144">
        <v>42142.0</v>
      </c>
      <c r="W307" s="388" t="s">
        <v>12103</v>
      </c>
      <c r="X307" s="845">
        <v>15465.0</v>
      </c>
      <c r="Y307" s="1144">
        <v>42202.0</v>
      </c>
      <c r="Z307" s="320" t="s">
        <v>12104</v>
      </c>
      <c r="AA307" s="388"/>
      <c r="AB307" s="388"/>
      <c r="AC307" s="388"/>
      <c r="AD307" s="1137" t="s">
        <v>12105</v>
      </c>
    </row>
    <row r="308" ht="15.75" customHeight="1">
      <c r="A308" s="764">
        <v>42080.0</v>
      </c>
      <c r="B308" s="844" t="s">
        <v>1204</v>
      </c>
      <c r="C308" s="1004" t="s">
        <v>12098</v>
      </c>
      <c r="D308" s="388" t="s">
        <v>12099</v>
      </c>
      <c r="E308" s="599" t="s">
        <v>12106</v>
      </c>
      <c r="F308" s="1137">
        <v>1.0</v>
      </c>
      <c r="G308" s="1137">
        <v>282.0</v>
      </c>
      <c r="H308" s="1147">
        <f t="shared" si="63"/>
        <v>282</v>
      </c>
      <c r="I308" s="388"/>
      <c r="J308" s="388"/>
      <c r="K308" s="265" t="s">
        <v>12107</v>
      </c>
      <c r="L308" s="269" t="s">
        <v>12101</v>
      </c>
      <c r="M308" s="832">
        <v>42149.0</v>
      </c>
      <c r="N308" s="832">
        <v>42143.0</v>
      </c>
      <c r="O308" s="269" t="s">
        <v>2034</v>
      </c>
      <c r="P308" s="1004" t="s">
        <v>12102</v>
      </c>
      <c r="Q308" s="388"/>
      <c r="R308" s="466">
        <v>8067.7905</v>
      </c>
      <c r="S308" s="388" t="s">
        <v>2036</v>
      </c>
      <c r="T308" s="388"/>
      <c r="U308" s="1139"/>
      <c r="V308" s="1144">
        <v>42142.0</v>
      </c>
      <c r="W308" s="388" t="s">
        <v>12103</v>
      </c>
      <c r="X308" s="256" t="s">
        <v>8836</v>
      </c>
      <c r="Y308" s="1144">
        <v>42202.0</v>
      </c>
      <c r="Z308" s="320" t="s">
        <v>12104</v>
      </c>
      <c r="AA308" s="388"/>
      <c r="AB308" s="388"/>
      <c r="AC308" s="388"/>
      <c r="AD308" s="1137" t="s">
        <v>12105</v>
      </c>
    </row>
    <row r="309" ht="15.75" customHeight="1">
      <c r="A309" s="764">
        <v>42080.0</v>
      </c>
      <c r="B309" s="844" t="s">
        <v>1204</v>
      </c>
      <c r="C309" s="1004" t="s">
        <v>12098</v>
      </c>
      <c r="D309" s="388" t="s">
        <v>12099</v>
      </c>
      <c r="E309" s="599" t="s">
        <v>12108</v>
      </c>
      <c r="F309" s="1137">
        <v>2.0</v>
      </c>
      <c r="G309" s="1137">
        <v>18.0</v>
      </c>
      <c r="H309" s="1147">
        <f t="shared" si="63"/>
        <v>36</v>
      </c>
      <c r="I309" s="388"/>
      <c r="J309" s="388"/>
      <c r="K309" s="265" t="s">
        <v>12093</v>
      </c>
      <c r="L309" s="269" t="s">
        <v>12101</v>
      </c>
      <c r="M309" s="832">
        <v>42149.0</v>
      </c>
      <c r="N309" s="832">
        <v>42143.0</v>
      </c>
      <c r="O309" s="269" t="s">
        <v>2034</v>
      </c>
      <c r="P309" s="1004" t="s">
        <v>12102</v>
      </c>
      <c r="Q309" s="388"/>
      <c r="R309" s="466">
        <v>1020.432</v>
      </c>
      <c r="S309" s="388" t="s">
        <v>2036</v>
      </c>
      <c r="T309" s="388"/>
      <c r="U309" s="1139"/>
      <c r="V309" s="1144">
        <v>42142.0</v>
      </c>
      <c r="W309" s="388" t="s">
        <v>12103</v>
      </c>
      <c r="X309" s="256" t="s">
        <v>8836</v>
      </c>
      <c r="Y309" s="1144">
        <v>42202.0</v>
      </c>
      <c r="Z309" s="320" t="s">
        <v>12104</v>
      </c>
      <c r="AA309" s="388"/>
      <c r="AB309" s="388"/>
      <c r="AC309" s="388"/>
      <c r="AD309" s="1137" t="s">
        <v>12105</v>
      </c>
    </row>
    <row r="310" ht="15.75" customHeight="1">
      <c r="A310" s="764">
        <v>42080.0</v>
      </c>
      <c r="B310" s="844" t="s">
        <v>1204</v>
      </c>
      <c r="C310" s="1004" t="s">
        <v>12109</v>
      </c>
      <c r="D310" s="388" t="s">
        <v>12110</v>
      </c>
      <c r="E310" s="599" t="s">
        <v>12111</v>
      </c>
      <c r="F310" s="1137">
        <v>4.0</v>
      </c>
      <c r="G310" s="1137">
        <v>133.2</v>
      </c>
      <c r="H310" s="773">
        <f t="shared" si="63"/>
        <v>532.8</v>
      </c>
      <c r="I310" s="388"/>
      <c r="J310" s="388"/>
      <c r="K310" s="265" t="s">
        <v>12093</v>
      </c>
      <c r="L310" s="269" t="s">
        <v>12094</v>
      </c>
      <c r="M310" s="832">
        <v>42104.0</v>
      </c>
      <c r="N310" s="832">
        <v>42102.0</v>
      </c>
      <c r="O310" s="333" t="s">
        <v>90</v>
      </c>
      <c r="P310" s="265" t="s">
        <v>12112</v>
      </c>
      <c r="Q310" s="773">
        <v>491.4</v>
      </c>
      <c r="R310" s="388"/>
      <c r="S310" s="388" t="s">
        <v>11006</v>
      </c>
      <c r="T310" s="388"/>
      <c r="U310" s="388"/>
      <c r="V310" s="1132">
        <v>42102.0</v>
      </c>
      <c r="W310" s="265" t="s">
        <v>12113</v>
      </c>
      <c r="X310" s="1135">
        <v>15356.0</v>
      </c>
      <c r="Y310" s="388"/>
      <c r="Z310" s="265" t="s">
        <v>12114</v>
      </c>
      <c r="AA310" s="388"/>
      <c r="AB310" s="388"/>
      <c r="AC310" s="388"/>
      <c r="AD310" s="388" t="s">
        <v>284</v>
      </c>
    </row>
    <row r="311" ht="15.75" customHeight="1">
      <c r="A311" s="764">
        <v>42080.0</v>
      </c>
      <c r="B311" s="844" t="s">
        <v>1204</v>
      </c>
      <c r="C311" s="1004" t="s">
        <v>12115</v>
      </c>
      <c r="D311" s="388" t="s">
        <v>12116</v>
      </c>
      <c r="E311" s="599" t="s">
        <v>12117</v>
      </c>
      <c r="F311" s="1137">
        <v>12.0</v>
      </c>
      <c r="G311" s="1137">
        <v>410.0</v>
      </c>
      <c r="H311" s="773">
        <f t="shared" si="63"/>
        <v>4920</v>
      </c>
      <c r="I311" s="388"/>
      <c r="J311" s="388"/>
      <c r="K311" s="265" t="s">
        <v>12093</v>
      </c>
      <c r="L311" s="269" t="s">
        <v>12118</v>
      </c>
      <c r="M311" s="832">
        <v>42111.0</v>
      </c>
      <c r="N311" s="832">
        <v>42110.0</v>
      </c>
      <c r="O311" s="269" t="s">
        <v>12119</v>
      </c>
      <c r="P311" s="1004" t="s">
        <v>12120</v>
      </c>
      <c r="Q311" s="388"/>
      <c r="R311" s="773">
        <v>142695.0</v>
      </c>
      <c r="S311" s="388" t="s">
        <v>10441</v>
      </c>
      <c r="T311" s="388"/>
      <c r="U311" s="1139"/>
      <c r="V311" s="1144">
        <v>42109.0</v>
      </c>
      <c r="W311" s="388" t="s">
        <v>12121</v>
      </c>
      <c r="X311" s="845">
        <v>283210.0</v>
      </c>
      <c r="Y311" s="1144">
        <v>42108.0</v>
      </c>
      <c r="Z311" s="388" t="s">
        <v>12122</v>
      </c>
      <c r="AA311" s="388"/>
      <c r="AB311" s="388"/>
      <c r="AC311" s="388"/>
      <c r="AD311" s="388" t="s">
        <v>284</v>
      </c>
    </row>
    <row r="312" ht="15.75" customHeight="1">
      <c r="A312" s="764">
        <v>42082.0</v>
      </c>
      <c r="B312" s="844" t="s">
        <v>1204</v>
      </c>
      <c r="C312" s="1004" t="s">
        <v>12123</v>
      </c>
      <c r="D312" s="388" t="s">
        <v>12124</v>
      </c>
      <c r="E312" s="599" t="s">
        <v>12125</v>
      </c>
      <c r="F312" s="1137">
        <v>1.0</v>
      </c>
      <c r="G312" s="1262">
        <v>213.0</v>
      </c>
      <c r="H312" s="1238">
        <f t="shared" si="63"/>
        <v>213</v>
      </c>
      <c r="I312" s="388"/>
      <c r="J312" s="388"/>
      <c r="K312" s="265" t="s">
        <v>12093</v>
      </c>
      <c r="L312" s="269" t="s">
        <v>12094</v>
      </c>
      <c r="M312" s="832">
        <v>42104.0</v>
      </c>
      <c r="N312" s="832">
        <v>42090.0</v>
      </c>
      <c r="O312" s="269" t="s">
        <v>12126</v>
      </c>
      <c r="P312" s="388" t="s">
        <v>12127</v>
      </c>
      <c r="Q312" s="388"/>
      <c r="R312" s="1249">
        <v>5878.95</v>
      </c>
      <c r="S312" s="388" t="s">
        <v>12128</v>
      </c>
      <c r="T312" s="388"/>
      <c r="U312" s="1139"/>
      <c r="V312" s="1144">
        <v>42089.0</v>
      </c>
      <c r="W312" s="1004" t="s">
        <v>12129</v>
      </c>
      <c r="X312" s="845">
        <v>6320.0</v>
      </c>
      <c r="Y312" s="1144">
        <v>42089.0</v>
      </c>
      <c r="Z312" s="265" t="s">
        <v>12114</v>
      </c>
      <c r="AA312" s="388"/>
      <c r="AB312" s="388"/>
      <c r="AC312" s="388"/>
      <c r="AD312" s="388" t="s">
        <v>284</v>
      </c>
    </row>
    <row r="313" ht="15.75" customHeight="1">
      <c r="A313" s="764">
        <v>42082.0</v>
      </c>
      <c r="B313" s="844" t="s">
        <v>1204</v>
      </c>
      <c r="C313" s="1004" t="s">
        <v>12123</v>
      </c>
      <c r="D313" s="388" t="s">
        <v>12124</v>
      </c>
      <c r="E313" s="599" t="s">
        <v>12130</v>
      </c>
      <c r="F313" s="1137">
        <v>1.0</v>
      </c>
      <c r="G313" s="1262">
        <v>4.0</v>
      </c>
      <c r="H313" s="1238">
        <f t="shared" si="63"/>
        <v>4</v>
      </c>
      <c r="I313" s="388"/>
      <c r="J313" s="388"/>
      <c r="K313" s="265" t="s">
        <v>12093</v>
      </c>
      <c r="L313" s="269" t="s">
        <v>12094</v>
      </c>
      <c r="M313" s="832">
        <v>42104.0</v>
      </c>
      <c r="N313" s="832">
        <v>42090.0</v>
      </c>
      <c r="O313" s="269" t="s">
        <v>12126</v>
      </c>
      <c r="P313" s="388" t="s">
        <v>12127</v>
      </c>
      <c r="Q313" s="388"/>
      <c r="R313" s="1238">
        <v>105.0</v>
      </c>
      <c r="S313" s="388" t="s">
        <v>12128</v>
      </c>
      <c r="T313" s="388"/>
      <c r="U313" s="1139"/>
      <c r="V313" s="1144">
        <v>42089.0</v>
      </c>
      <c r="W313" s="1004" t="s">
        <v>12129</v>
      </c>
      <c r="X313" s="592" t="s">
        <v>8836</v>
      </c>
      <c r="Y313" s="1144">
        <v>42089.0</v>
      </c>
      <c r="Z313" s="265" t="s">
        <v>12114</v>
      </c>
      <c r="AA313" s="388"/>
      <c r="AB313" s="388"/>
      <c r="AC313" s="388"/>
      <c r="AD313" s="388" t="s">
        <v>284</v>
      </c>
    </row>
    <row r="314" ht="15.75" customHeight="1">
      <c r="A314" s="764">
        <v>42082.0</v>
      </c>
      <c r="B314" s="844" t="s">
        <v>1204</v>
      </c>
      <c r="C314" s="1004" t="s">
        <v>12123</v>
      </c>
      <c r="D314" s="388" t="s">
        <v>12124</v>
      </c>
      <c r="E314" s="844">
        <v>1090150.0</v>
      </c>
      <c r="F314" s="1137">
        <v>4.0</v>
      </c>
      <c r="G314" s="1262">
        <v>3.0</v>
      </c>
      <c r="H314" s="1238">
        <f t="shared" si="63"/>
        <v>12</v>
      </c>
      <c r="I314" s="388"/>
      <c r="J314" s="388"/>
      <c r="K314" s="265" t="s">
        <v>12093</v>
      </c>
      <c r="L314" s="269" t="s">
        <v>12094</v>
      </c>
      <c r="M314" s="832">
        <v>42104.0</v>
      </c>
      <c r="N314" s="832">
        <v>42090.0</v>
      </c>
      <c r="O314" s="269" t="s">
        <v>12126</v>
      </c>
      <c r="P314" s="388" t="s">
        <v>12127</v>
      </c>
      <c r="Q314" s="388"/>
      <c r="R314" s="1238">
        <v>336.0</v>
      </c>
      <c r="S314" s="388" t="s">
        <v>12128</v>
      </c>
      <c r="T314" s="388"/>
      <c r="U314" s="1139"/>
      <c r="V314" s="1144">
        <v>42089.0</v>
      </c>
      <c r="W314" s="1004" t="s">
        <v>12129</v>
      </c>
      <c r="X314" s="592" t="s">
        <v>8836</v>
      </c>
      <c r="Y314" s="1144">
        <v>42089.0</v>
      </c>
      <c r="Z314" s="265" t="s">
        <v>12114</v>
      </c>
      <c r="AA314" s="388"/>
      <c r="AB314" s="388"/>
      <c r="AC314" s="388"/>
      <c r="AD314" s="388" t="s">
        <v>284</v>
      </c>
    </row>
    <row r="315" ht="15.75" customHeight="1">
      <c r="A315" s="764">
        <v>42083.0</v>
      </c>
      <c r="B315" s="844" t="s">
        <v>1204</v>
      </c>
      <c r="C315" s="1004" t="s">
        <v>12131</v>
      </c>
      <c r="D315" s="388" t="s">
        <v>12132</v>
      </c>
      <c r="E315" s="599" t="s">
        <v>12133</v>
      </c>
      <c r="F315" s="1137">
        <v>12.0</v>
      </c>
      <c r="G315" s="1137">
        <v>365.0</v>
      </c>
      <c r="H315" s="773">
        <f t="shared" si="63"/>
        <v>4380</v>
      </c>
      <c r="I315" s="388"/>
      <c r="J315" s="388"/>
      <c r="K315" s="265" t="s">
        <v>12093</v>
      </c>
      <c r="L315" s="269" t="s">
        <v>12118</v>
      </c>
      <c r="M315" s="832">
        <v>42111.0</v>
      </c>
      <c r="N315" s="832">
        <v>42110.0</v>
      </c>
      <c r="O315" s="269" t="s">
        <v>12119</v>
      </c>
      <c r="P315" s="388" t="s">
        <v>12134</v>
      </c>
      <c r="Q315" s="388"/>
      <c r="R315" s="773">
        <v>128696.0</v>
      </c>
      <c r="S315" s="388" t="s">
        <v>10441</v>
      </c>
      <c r="T315" s="388"/>
      <c r="U315" s="1139"/>
      <c r="V315" s="1144">
        <v>42109.0</v>
      </c>
      <c r="W315" s="388" t="s">
        <v>12121</v>
      </c>
      <c r="X315" s="592" t="s">
        <v>12135</v>
      </c>
      <c r="Y315" s="1144">
        <v>42108.0</v>
      </c>
      <c r="Z315" s="388" t="s">
        <v>12122</v>
      </c>
      <c r="AA315" s="388"/>
      <c r="AB315" s="388"/>
      <c r="AC315" s="388"/>
      <c r="AD315" s="388" t="s">
        <v>284</v>
      </c>
    </row>
    <row r="316" ht="15.75" customHeight="1">
      <c r="A316" s="764">
        <v>42095.0</v>
      </c>
      <c r="B316" s="844" t="s">
        <v>1204</v>
      </c>
      <c r="C316" s="1004" t="s">
        <v>12136</v>
      </c>
      <c r="D316" s="388" t="s">
        <v>12137</v>
      </c>
      <c r="E316" s="599" t="s">
        <v>12138</v>
      </c>
      <c r="F316" s="1137">
        <v>1.0</v>
      </c>
      <c r="G316" s="1137">
        <v>553.0</v>
      </c>
      <c r="H316" s="1147">
        <f t="shared" si="63"/>
        <v>553</v>
      </c>
      <c r="I316" s="388"/>
      <c r="J316" s="388"/>
      <c r="K316" s="265" t="s">
        <v>11972</v>
      </c>
      <c r="L316" s="599"/>
      <c r="M316" s="832">
        <v>42121.0</v>
      </c>
      <c r="N316" s="832">
        <v>42114.0</v>
      </c>
      <c r="O316" s="269" t="s">
        <v>10996</v>
      </c>
      <c r="P316" s="1004" t="s">
        <v>12139</v>
      </c>
      <c r="Q316" s="388"/>
      <c r="R316" s="773">
        <v>14700.0</v>
      </c>
      <c r="S316" s="388" t="s">
        <v>10998</v>
      </c>
      <c r="T316" s="388"/>
      <c r="U316" s="388"/>
      <c r="V316" s="1144">
        <v>42111.0</v>
      </c>
      <c r="W316" s="388" t="s">
        <v>12140</v>
      </c>
      <c r="X316" s="845">
        <v>14700.0</v>
      </c>
      <c r="Y316" s="1144">
        <v>42129.0</v>
      </c>
      <c r="Z316" s="320" t="s">
        <v>12141</v>
      </c>
      <c r="AA316" s="388"/>
      <c r="AB316" s="388"/>
      <c r="AC316" s="388"/>
      <c r="AD316" s="1137">
        <v>2718.91</v>
      </c>
    </row>
    <row r="317" ht="15.75" customHeight="1">
      <c r="A317" s="764">
        <v>42095.0</v>
      </c>
      <c r="B317" s="844" t="s">
        <v>1204</v>
      </c>
      <c r="C317" s="1004" t="s">
        <v>12136</v>
      </c>
      <c r="D317" s="388" t="s">
        <v>12137</v>
      </c>
      <c r="E317" s="340" t="s">
        <v>10425</v>
      </c>
      <c r="F317" s="1137">
        <v>4.0</v>
      </c>
      <c r="G317" s="1137">
        <v>177.0</v>
      </c>
      <c r="H317" s="1147">
        <f t="shared" si="63"/>
        <v>708</v>
      </c>
      <c r="I317" s="388"/>
      <c r="J317" s="388"/>
      <c r="K317" s="265" t="s">
        <v>11972</v>
      </c>
      <c r="L317" s="599"/>
      <c r="M317" s="832">
        <v>42121.0</v>
      </c>
      <c r="N317" s="832">
        <v>42109.0</v>
      </c>
      <c r="O317" s="269" t="s">
        <v>90</v>
      </c>
      <c r="P317" s="1004" t="s">
        <v>12142</v>
      </c>
      <c r="Q317" s="773">
        <v>613.2</v>
      </c>
      <c r="R317" s="388"/>
      <c r="S317" s="388" t="s">
        <v>11006</v>
      </c>
      <c r="T317" s="388"/>
      <c r="U317" s="388"/>
      <c r="V317" s="1132">
        <v>42109.0</v>
      </c>
      <c r="W317" s="320" t="s">
        <v>12143</v>
      </c>
      <c r="X317" s="1135">
        <v>19110.0</v>
      </c>
      <c r="Y317" s="388"/>
      <c r="Z317" s="320" t="s">
        <v>12141</v>
      </c>
      <c r="AA317" s="388"/>
      <c r="AB317" s="388"/>
      <c r="AC317" s="388"/>
      <c r="AD317" s="1137" t="s">
        <v>8836</v>
      </c>
    </row>
    <row r="318" ht="15.75" customHeight="1">
      <c r="A318" s="764">
        <v>42095.0</v>
      </c>
      <c r="B318" s="844" t="s">
        <v>1204</v>
      </c>
      <c r="C318" s="1004" t="s">
        <v>12144</v>
      </c>
      <c r="D318" s="388" t="s">
        <v>12137</v>
      </c>
      <c r="E318" s="340" t="s">
        <v>9431</v>
      </c>
      <c r="F318" s="1137">
        <v>1.0</v>
      </c>
      <c r="G318" s="1137">
        <v>35.0</v>
      </c>
      <c r="H318" s="1147">
        <f t="shared" si="63"/>
        <v>35</v>
      </c>
      <c r="I318" s="388"/>
      <c r="J318" s="388"/>
      <c r="K318" s="265" t="s">
        <v>11972</v>
      </c>
      <c r="L318" s="599"/>
      <c r="M318" s="832">
        <v>42121.0</v>
      </c>
      <c r="N318" s="832">
        <v>42111.0</v>
      </c>
      <c r="O318" s="269" t="s">
        <v>12145</v>
      </c>
      <c r="P318" s="1004" t="s">
        <v>12146</v>
      </c>
      <c r="Q318" s="388"/>
      <c r="R318" s="773">
        <v>891.0</v>
      </c>
      <c r="S318" s="388" t="s">
        <v>11993</v>
      </c>
      <c r="T318" s="388"/>
      <c r="U318" s="1139"/>
      <c r="V318" s="1144">
        <v>42111.0</v>
      </c>
      <c r="W318" s="388" t="s">
        <v>12147</v>
      </c>
      <c r="X318" s="845">
        <v>2111.0</v>
      </c>
      <c r="Y318" s="1144">
        <v>42108.0</v>
      </c>
      <c r="Z318" s="320" t="s">
        <v>12141</v>
      </c>
      <c r="AA318" s="388"/>
      <c r="AB318" s="388"/>
      <c r="AC318" s="388"/>
      <c r="AD318" s="1137" t="s">
        <v>8836</v>
      </c>
    </row>
    <row r="319" ht="15.75" customHeight="1">
      <c r="A319" s="764">
        <v>42095.0</v>
      </c>
      <c r="B319" s="844" t="s">
        <v>1204</v>
      </c>
      <c r="C319" s="1004" t="s">
        <v>12144</v>
      </c>
      <c r="D319" s="388" t="s">
        <v>12137</v>
      </c>
      <c r="E319" s="340" t="s">
        <v>9434</v>
      </c>
      <c r="F319" s="1137">
        <v>1.0</v>
      </c>
      <c r="G319" s="1137">
        <v>45.0</v>
      </c>
      <c r="H319" s="1147">
        <f t="shared" si="63"/>
        <v>45</v>
      </c>
      <c r="I319" s="388"/>
      <c r="J319" s="388"/>
      <c r="K319" s="265" t="s">
        <v>11972</v>
      </c>
      <c r="L319" s="599"/>
      <c r="M319" s="832">
        <v>42121.0</v>
      </c>
      <c r="N319" s="832">
        <v>42111.0</v>
      </c>
      <c r="O319" s="269" t="s">
        <v>12145</v>
      </c>
      <c r="P319" s="1004" t="s">
        <v>12146</v>
      </c>
      <c r="Q319" s="388"/>
      <c r="R319" s="773">
        <v>1220.0</v>
      </c>
      <c r="S319" s="388" t="s">
        <v>11993</v>
      </c>
      <c r="T319" s="388"/>
      <c r="U319" s="1139"/>
      <c r="V319" s="1144">
        <v>42111.0</v>
      </c>
      <c r="W319" s="388" t="s">
        <v>12147</v>
      </c>
      <c r="X319" s="592" t="s">
        <v>8836</v>
      </c>
      <c r="Y319" s="1144">
        <v>42108.0</v>
      </c>
      <c r="Z319" s="320" t="s">
        <v>12141</v>
      </c>
      <c r="AA319" s="388"/>
      <c r="AB319" s="388"/>
      <c r="AC319" s="388"/>
      <c r="AD319" s="1137" t="s">
        <v>8836</v>
      </c>
    </row>
    <row r="320" ht="15.75" customHeight="1">
      <c r="A320" s="764">
        <v>42095.0</v>
      </c>
      <c r="B320" s="844" t="s">
        <v>1204</v>
      </c>
      <c r="C320" s="1004" t="s">
        <v>12144</v>
      </c>
      <c r="D320" s="388" t="s">
        <v>12137</v>
      </c>
      <c r="E320" s="340" t="s">
        <v>10435</v>
      </c>
      <c r="F320" s="1137">
        <v>1.0</v>
      </c>
      <c r="G320" s="1137">
        <v>30.0</v>
      </c>
      <c r="H320" s="1147">
        <f t="shared" si="63"/>
        <v>30</v>
      </c>
      <c r="I320" s="388"/>
      <c r="J320" s="388"/>
      <c r="K320" s="265" t="s">
        <v>11972</v>
      </c>
      <c r="L320" s="599"/>
      <c r="M320" s="832">
        <v>42121.0</v>
      </c>
      <c r="N320" s="832">
        <v>42118.0</v>
      </c>
      <c r="O320" s="269" t="s">
        <v>12148</v>
      </c>
      <c r="P320" s="1004" t="s">
        <v>12149</v>
      </c>
      <c r="Q320" s="388"/>
      <c r="R320" s="773">
        <v>500.0</v>
      </c>
      <c r="S320" s="388" t="s">
        <v>12150</v>
      </c>
      <c r="T320" s="388"/>
      <c r="U320" s="388"/>
      <c r="V320" s="388"/>
      <c r="W320" s="388"/>
      <c r="X320" s="388"/>
      <c r="Y320" s="1144">
        <v>42130.0</v>
      </c>
      <c r="Z320" s="388"/>
      <c r="AA320" s="388"/>
      <c r="AB320" s="388"/>
      <c r="AC320" s="388"/>
      <c r="AD320" s="1137" t="s">
        <v>8836</v>
      </c>
    </row>
    <row r="321" ht="15.75" customHeight="1">
      <c r="A321" s="274">
        <v>42095.0</v>
      </c>
      <c r="B321" s="844" t="s">
        <v>1204</v>
      </c>
      <c r="C321" s="1058" t="s">
        <v>12151</v>
      </c>
      <c r="D321" s="857" t="s">
        <v>12152</v>
      </c>
      <c r="E321" s="1233" t="s">
        <v>12153</v>
      </c>
      <c r="F321" s="1234">
        <v>0.0</v>
      </c>
      <c r="G321" s="1234">
        <v>47.0</v>
      </c>
      <c r="H321" s="834">
        <f t="shared" si="63"/>
        <v>0</v>
      </c>
      <c r="I321" s="388"/>
      <c r="J321" s="388"/>
      <c r="K321" s="783" t="s">
        <v>11972</v>
      </c>
      <c r="L321" s="599"/>
      <c r="M321" s="1256" t="s">
        <v>11906</v>
      </c>
      <c r="N321" s="388"/>
      <c r="O321" s="269"/>
      <c r="P321" s="388"/>
      <c r="Q321" s="388"/>
      <c r="R321" s="388"/>
      <c r="S321" s="388"/>
      <c r="T321" s="388"/>
      <c r="U321" s="388"/>
      <c r="V321" s="388"/>
      <c r="W321" s="388"/>
      <c r="X321" s="388"/>
      <c r="Y321" s="388"/>
      <c r="Z321" s="388"/>
      <c r="AA321" s="388"/>
      <c r="AB321" s="388"/>
      <c r="AC321" s="388"/>
      <c r="AD321" s="388"/>
    </row>
    <row r="322" ht="15.75" customHeight="1">
      <c r="A322" s="764">
        <v>42104.0</v>
      </c>
      <c r="B322" s="844" t="s">
        <v>1204</v>
      </c>
      <c r="C322" s="1004" t="s">
        <v>12154</v>
      </c>
      <c r="D322" s="388" t="s">
        <v>12155</v>
      </c>
      <c r="E322" s="599" t="s">
        <v>12138</v>
      </c>
      <c r="F322" s="1137">
        <v>1.0</v>
      </c>
      <c r="G322" s="1137">
        <v>553.0</v>
      </c>
      <c r="H322" s="1147">
        <f t="shared" si="63"/>
        <v>553</v>
      </c>
      <c r="I322" s="388"/>
      <c r="J322" s="388"/>
      <c r="K322" s="265" t="s">
        <v>11972</v>
      </c>
      <c r="L322" s="599"/>
      <c r="M322" s="832">
        <v>42121.0</v>
      </c>
      <c r="N322" s="1148">
        <v>42114.0</v>
      </c>
      <c r="O322" s="269" t="s">
        <v>10996</v>
      </c>
      <c r="P322" s="1004" t="s">
        <v>12156</v>
      </c>
      <c r="Q322" s="388"/>
      <c r="R322" s="773">
        <v>14700.0</v>
      </c>
      <c r="S322" s="388" t="s">
        <v>10998</v>
      </c>
      <c r="T322" s="388"/>
      <c r="U322" s="388"/>
      <c r="V322" s="1144">
        <v>42111.0</v>
      </c>
      <c r="W322" s="388" t="s">
        <v>12157</v>
      </c>
      <c r="X322" s="845">
        <v>14700.0</v>
      </c>
      <c r="Y322" s="1144">
        <v>42129.0</v>
      </c>
      <c r="Z322" s="320" t="s">
        <v>12141</v>
      </c>
      <c r="AA322" s="388"/>
      <c r="AB322" s="388"/>
      <c r="AC322" s="388"/>
      <c r="AD322" s="1137" t="s">
        <v>12105</v>
      </c>
    </row>
    <row r="323" ht="15.75" customHeight="1">
      <c r="A323" s="764">
        <v>42107.0</v>
      </c>
      <c r="B323" s="844" t="s">
        <v>1204</v>
      </c>
      <c r="C323" s="1004" t="s">
        <v>12158</v>
      </c>
      <c r="D323" s="388" t="s">
        <v>12159</v>
      </c>
      <c r="E323" s="599" t="s">
        <v>12160</v>
      </c>
      <c r="F323" s="1137">
        <v>12.0</v>
      </c>
      <c r="G323" s="1137">
        <v>40.0</v>
      </c>
      <c r="H323" s="466">
        <f t="shared" si="63"/>
        <v>480</v>
      </c>
      <c r="I323" s="388"/>
      <c r="J323" s="388"/>
      <c r="K323" s="265" t="s">
        <v>11972</v>
      </c>
      <c r="L323" s="269" t="s">
        <v>12118</v>
      </c>
      <c r="M323" s="832">
        <v>42111.0</v>
      </c>
      <c r="N323" s="832">
        <v>42110.0</v>
      </c>
      <c r="O323" s="269" t="s">
        <v>12119</v>
      </c>
      <c r="P323" s="1004" t="s">
        <v>12161</v>
      </c>
      <c r="Q323" s="388"/>
      <c r="R323" s="773">
        <v>11819.0</v>
      </c>
      <c r="S323" s="388" t="s">
        <v>10441</v>
      </c>
      <c r="T323" s="388"/>
      <c r="U323" s="1139"/>
      <c r="V323" s="1144">
        <v>42109.0</v>
      </c>
      <c r="W323" s="388" t="s">
        <v>12121</v>
      </c>
      <c r="X323" s="592" t="s">
        <v>12135</v>
      </c>
      <c r="Y323" s="1144">
        <v>42108.0</v>
      </c>
      <c r="Z323" s="388" t="s">
        <v>12122</v>
      </c>
      <c r="AA323" s="388"/>
      <c r="AB323" s="388"/>
      <c r="AC323" s="388"/>
      <c r="AD323" s="388"/>
    </row>
    <row r="324" ht="15.75" customHeight="1">
      <c r="A324" s="776">
        <v>42138.0</v>
      </c>
      <c r="B324" s="844" t="s">
        <v>1204</v>
      </c>
      <c r="C324" s="265" t="s">
        <v>12162</v>
      </c>
      <c r="D324" s="320" t="s">
        <v>12163</v>
      </c>
      <c r="E324" s="340" t="s">
        <v>12111</v>
      </c>
      <c r="F324" s="773">
        <v>2.0</v>
      </c>
      <c r="G324" s="773">
        <v>133.2</v>
      </c>
      <c r="H324" s="1147">
        <f t="shared" ref="H324:H325" si="64">F324*G324</f>
        <v>266.4</v>
      </c>
      <c r="I324" s="320" t="s">
        <v>0</v>
      </c>
      <c r="J324" s="388"/>
      <c r="K324" s="265" t="s">
        <v>12093</v>
      </c>
      <c r="L324" s="333" t="s">
        <v>12101</v>
      </c>
      <c r="M324" s="832">
        <v>42149.0</v>
      </c>
      <c r="N324" s="832">
        <v>42146.0</v>
      </c>
      <c r="O324" s="333" t="s">
        <v>90</v>
      </c>
      <c r="P324" s="265" t="s">
        <v>12164</v>
      </c>
      <c r="Q324" s="773">
        <v>245.7</v>
      </c>
      <c r="R324" s="388"/>
      <c r="S324" s="320" t="s">
        <v>11006</v>
      </c>
      <c r="T324" s="388"/>
      <c r="U324" s="1139"/>
      <c r="V324" s="1132">
        <v>42146.0</v>
      </c>
      <c r="W324" s="320" t="s">
        <v>12165</v>
      </c>
      <c r="X324" s="1135">
        <v>7471.0</v>
      </c>
      <c r="Y324" s="1132">
        <v>42146.0</v>
      </c>
      <c r="Z324" s="320" t="s">
        <v>12104</v>
      </c>
      <c r="AA324" s="388"/>
      <c r="AB324" s="388"/>
      <c r="AC324" s="388"/>
      <c r="AD324" s="388"/>
    </row>
    <row r="325" ht="15.75" customHeight="1">
      <c r="A325" s="776">
        <v>42144.0</v>
      </c>
      <c r="B325" s="844" t="s">
        <v>1204</v>
      </c>
      <c r="C325" s="265" t="s">
        <v>12166</v>
      </c>
      <c r="D325" s="320" t="s">
        <v>12167</v>
      </c>
      <c r="E325" s="340" t="s">
        <v>12168</v>
      </c>
      <c r="F325" s="773">
        <v>2.0</v>
      </c>
      <c r="G325" s="773">
        <v>12.0</v>
      </c>
      <c r="H325" s="1147">
        <f t="shared" si="64"/>
        <v>24</v>
      </c>
      <c r="I325" s="388"/>
      <c r="J325" s="388"/>
      <c r="K325" s="265" t="s">
        <v>12093</v>
      </c>
      <c r="L325" s="333" t="s">
        <v>12101</v>
      </c>
      <c r="M325" s="832">
        <v>42149.0</v>
      </c>
      <c r="N325" s="832">
        <v>42146.0</v>
      </c>
      <c r="O325" s="333" t="s">
        <v>12169</v>
      </c>
      <c r="P325" s="388"/>
      <c r="Q325" s="388"/>
      <c r="R325" s="773">
        <v>338.0</v>
      </c>
      <c r="S325" s="320" t="s">
        <v>12170</v>
      </c>
      <c r="T325" s="388"/>
      <c r="U325" s="1139"/>
      <c r="V325" s="1132">
        <v>42146.0</v>
      </c>
      <c r="W325" s="320" t="s">
        <v>12171</v>
      </c>
      <c r="X325" s="256">
        <v>338.0</v>
      </c>
      <c r="Y325" s="1132">
        <v>42146.0</v>
      </c>
      <c r="Z325" s="320" t="s">
        <v>12104</v>
      </c>
      <c r="AA325" s="388"/>
      <c r="AB325" s="388"/>
      <c r="AC325" s="388"/>
      <c r="AD325" s="388"/>
    </row>
    <row r="326" ht="15.75" customHeight="1">
      <c r="A326" s="764">
        <v>42149.0</v>
      </c>
      <c r="B326" s="844" t="s">
        <v>1204</v>
      </c>
      <c r="C326" s="1004" t="s">
        <v>12172</v>
      </c>
      <c r="D326" s="388" t="s">
        <v>12173</v>
      </c>
      <c r="E326" s="599" t="s">
        <v>12117</v>
      </c>
      <c r="F326" s="1137">
        <v>1.0</v>
      </c>
      <c r="G326" s="1137">
        <v>410.0</v>
      </c>
      <c r="H326" s="388"/>
      <c r="I326" s="388"/>
      <c r="J326" s="388"/>
      <c r="K326" s="388"/>
      <c r="L326" s="599"/>
      <c r="M326" s="832">
        <v>42160.0</v>
      </c>
      <c r="N326" s="1148">
        <v>42159.0</v>
      </c>
      <c r="O326" s="269" t="s">
        <v>12174</v>
      </c>
      <c r="P326" s="388"/>
      <c r="Q326" s="388"/>
      <c r="R326" s="1137">
        <v>0.0</v>
      </c>
      <c r="S326" s="388"/>
      <c r="T326" s="388"/>
      <c r="U326" s="388"/>
      <c r="V326" s="1144">
        <v>42146.0</v>
      </c>
      <c r="W326" s="388" t="s">
        <v>12175</v>
      </c>
      <c r="X326" s="845">
        <v>12507.0</v>
      </c>
      <c r="Y326" s="388"/>
      <c r="Z326" s="388" t="s">
        <v>9131</v>
      </c>
      <c r="AA326" s="388"/>
      <c r="AB326" s="388"/>
      <c r="AC326" s="388"/>
      <c r="AD326" s="388"/>
    </row>
    <row r="327" ht="15.75" customHeight="1">
      <c r="A327" s="764">
        <v>42198.0</v>
      </c>
      <c r="B327" s="844" t="s">
        <v>1204</v>
      </c>
      <c r="C327" s="1004" t="s">
        <v>12176</v>
      </c>
      <c r="D327" s="388" t="s">
        <v>12177</v>
      </c>
      <c r="E327" s="599" t="s">
        <v>4488</v>
      </c>
      <c r="F327" s="1137">
        <v>200.0</v>
      </c>
      <c r="G327" s="1137">
        <v>7.1</v>
      </c>
      <c r="H327" s="1147">
        <f t="shared" ref="H327:H341" si="65">F327*G327</f>
        <v>1420</v>
      </c>
      <c r="I327" s="388"/>
      <c r="J327" s="388"/>
      <c r="K327" s="265" t="s">
        <v>171</v>
      </c>
      <c r="L327" s="333" t="s">
        <v>12178</v>
      </c>
      <c r="M327" s="832">
        <v>42255.0</v>
      </c>
      <c r="N327" s="832">
        <v>42255.0</v>
      </c>
      <c r="O327" s="1253" t="s">
        <v>2508</v>
      </c>
      <c r="P327" s="1004" t="s">
        <v>12179</v>
      </c>
      <c r="Q327" s="388"/>
      <c r="R327" s="773">
        <v>40950.0</v>
      </c>
      <c r="S327" s="388" t="s">
        <v>2510</v>
      </c>
      <c r="T327" s="388"/>
      <c r="U327" s="1143">
        <v>42313.0</v>
      </c>
      <c r="V327" s="1143">
        <v>42255.0</v>
      </c>
      <c r="W327" s="388" t="s">
        <v>12180</v>
      </c>
      <c r="X327" s="845">
        <v>40950.0</v>
      </c>
      <c r="Y327" s="1139">
        <v>42318.0</v>
      </c>
      <c r="Z327" s="388" t="s">
        <v>12181</v>
      </c>
      <c r="AA327" s="388"/>
      <c r="AB327" s="388"/>
      <c r="AC327" s="388"/>
      <c r="AD327" s="388" t="s">
        <v>284</v>
      </c>
    </row>
    <row r="328" ht="15.75" customHeight="1">
      <c r="A328" s="764">
        <v>42200.0</v>
      </c>
      <c r="B328" s="844" t="s">
        <v>1204</v>
      </c>
      <c r="C328" s="1004" t="s">
        <v>12182</v>
      </c>
      <c r="D328" s="388" t="s">
        <v>12183</v>
      </c>
      <c r="E328" s="599" t="s">
        <v>12184</v>
      </c>
      <c r="F328" s="1137">
        <v>100.0</v>
      </c>
      <c r="G328" s="1137">
        <v>27.0</v>
      </c>
      <c r="H328" s="1147">
        <f t="shared" si="65"/>
        <v>2700</v>
      </c>
      <c r="I328" s="388"/>
      <c r="J328" s="388"/>
      <c r="K328" s="265" t="s">
        <v>171</v>
      </c>
      <c r="L328" s="333" t="s">
        <v>12101</v>
      </c>
      <c r="M328" s="832">
        <v>42247.0</v>
      </c>
      <c r="N328" s="832">
        <v>42247.0</v>
      </c>
      <c r="O328" s="1253" t="s">
        <v>2508</v>
      </c>
      <c r="P328" s="1004" t="s">
        <v>12185</v>
      </c>
      <c r="Q328" s="388"/>
      <c r="R328" s="773">
        <v>77700.0</v>
      </c>
      <c r="S328" s="388" t="s">
        <v>2510</v>
      </c>
      <c r="T328" s="388"/>
      <c r="U328" s="1143">
        <v>42307.0</v>
      </c>
      <c r="V328" s="1143">
        <v>42248.0</v>
      </c>
      <c r="W328" s="388" t="s">
        <v>12186</v>
      </c>
      <c r="X328" s="845">
        <v>77700.0</v>
      </c>
      <c r="Y328" s="1139">
        <v>42318.0</v>
      </c>
      <c r="Z328" s="388" t="s">
        <v>12187</v>
      </c>
      <c r="AA328" s="388"/>
      <c r="AB328" s="1146"/>
      <c r="AC328" s="388"/>
      <c r="AD328" s="388" t="s">
        <v>284</v>
      </c>
    </row>
    <row r="329" ht="15.75" customHeight="1">
      <c r="A329" s="764">
        <v>42263.0</v>
      </c>
      <c r="B329" s="844" t="s">
        <v>1204</v>
      </c>
      <c r="C329" s="1004" t="s">
        <v>12188</v>
      </c>
      <c r="D329" s="388" t="s">
        <v>12189</v>
      </c>
      <c r="E329" s="599" t="s">
        <v>12111</v>
      </c>
      <c r="F329" s="1137">
        <v>3.0</v>
      </c>
      <c r="G329" s="1137">
        <v>133.2</v>
      </c>
      <c r="H329" s="1147">
        <f t="shared" si="65"/>
        <v>399.6</v>
      </c>
      <c r="I329" s="388"/>
      <c r="J329" s="388"/>
      <c r="K329" s="265" t="s">
        <v>171</v>
      </c>
      <c r="L329" s="269" t="s">
        <v>12101</v>
      </c>
      <c r="M329" s="832">
        <v>42272.0</v>
      </c>
      <c r="N329" s="832">
        <v>42269.0</v>
      </c>
      <c r="O329" s="269" t="s">
        <v>90</v>
      </c>
      <c r="P329" s="265" t="s">
        <v>12190</v>
      </c>
      <c r="Q329" s="773">
        <v>368.55</v>
      </c>
      <c r="R329" s="388"/>
      <c r="S329" s="388" t="s">
        <v>11006</v>
      </c>
      <c r="T329" s="388"/>
      <c r="U329" s="388"/>
      <c r="V329" s="1143">
        <v>42269.0</v>
      </c>
      <c r="W329" s="388" t="s">
        <v>12191</v>
      </c>
      <c r="X329" s="845">
        <v>11978.0</v>
      </c>
      <c r="Y329" s="1144">
        <v>42290.0</v>
      </c>
      <c r="Z329" s="388" t="s">
        <v>12192</v>
      </c>
      <c r="AA329" s="388"/>
      <c r="AB329" s="388"/>
      <c r="AC329" s="388"/>
      <c r="AD329" s="388" t="s">
        <v>284</v>
      </c>
    </row>
    <row r="330" ht="15.75" customHeight="1">
      <c r="A330" s="764">
        <v>42269.0</v>
      </c>
      <c r="B330" s="844" t="s">
        <v>1204</v>
      </c>
      <c r="C330" s="388"/>
      <c r="D330" s="388" t="s">
        <v>12193</v>
      </c>
      <c r="E330" s="844" t="s">
        <v>12194</v>
      </c>
      <c r="F330" s="1137">
        <v>1.0</v>
      </c>
      <c r="G330" s="1137">
        <v>136.0</v>
      </c>
      <c r="H330" s="1147">
        <f t="shared" si="65"/>
        <v>136</v>
      </c>
      <c r="I330" s="388"/>
      <c r="J330" s="388"/>
      <c r="K330" s="265" t="s">
        <v>171</v>
      </c>
      <c r="L330" s="269" t="s">
        <v>12101</v>
      </c>
      <c r="M330" s="832">
        <v>42272.0</v>
      </c>
      <c r="N330" s="832">
        <v>42271.0</v>
      </c>
      <c r="O330" s="269" t="s">
        <v>12195</v>
      </c>
      <c r="P330" s="1004" t="s">
        <v>12196</v>
      </c>
      <c r="Q330" s="388"/>
      <c r="R330" s="1252">
        <v>4569.780599999999</v>
      </c>
      <c r="S330" s="388" t="s">
        <v>12197</v>
      </c>
      <c r="T330" s="388"/>
      <c r="U330" s="1144">
        <v>42270.0</v>
      </c>
      <c r="V330" s="1143">
        <v>42270.0</v>
      </c>
      <c r="W330" s="388" t="s">
        <v>12198</v>
      </c>
      <c r="X330" s="845">
        <v>6024.0</v>
      </c>
      <c r="Y330" s="1144">
        <v>42270.0</v>
      </c>
      <c r="Z330" s="388" t="s">
        <v>12192</v>
      </c>
      <c r="AA330" s="388"/>
      <c r="AB330" s="388"/>
      <c r="AC330" s="388"/>
      <c r="AD330" s="388" t="s">
        <v>284</v>
      </c>
    </row>
    <row r="331" ht="15.75" customHeight="1">
      <c r="A331" s="764">
        <v>42269.0</v>
      </c>
      <c r="B331" s="844" t="s">
        <v>1204</v>
      </c>
      <c r="C331" s="388"/>
      <c r="D331" s="388" t="s">
        <v>12193</v>
      </c>
      <c r="E331" s="599" t="s">
        <v>12199</v>
      </c>
      <c r="F331" s="1137">
        <v>1.0</v>
      </c>
      <c r="G331" s="1137">
        <v>43.5</v>
      </c>
      <c r="H331" s="1147">
        <f t="shared" si="65"/>
        <v>43.5</v>
      </c>
      <c r="I331" s="388"/>
      <c r="J331" s="388"/>
      <c r="K331" s="265" t="s">
        <v>171</v>
      </c>
      <c r="L331" s="269" t="s">
        <v>12101</v>
      </c>
      <c r="M331" s="832">
        <v>42272.0</v>
      </c>
      <c r="N331" s="832">
        <v>42271.0</v>
      </c>
      <c r="O331" s="269" t="s">
        <v>12195</v>
      </c>
      <c r="P331" s="1004" t="s">
        <v>12196</v>
      </c>
      <c r="Q331" s="388"/>
      <c r="R331" s="1252">
        <v>1454.0211</v>
      </c>
      <c r="S331" s="388" t="s">
        <v>12197</v>
      </c>
      <c r="T331" s="388"/>
      <c r="U331" s="1144">
        <v>42270.0</v>
      </c>
      <c r="V331" s="1143">
        <v>42270.0</v>
      </c>
      <c r="W331" s="388" t="s">
        <v>12198</v>
      </c>
      <c r="X331" s="845" t="s">
        <v>8836</v>
      </c>
      <c r="Y331" s="1144">
        <v>42270.0</v>
      </c>
      <c r="Z331" s="388" t="s">
        <v>12192</v>
      </c>
      <c r="AA331" s="388"/>
      <c r="AB331" s="388"/>
      <c r="AC331" s="388"/>
      <c r="AD331" s="388" t="s">
        <v>284</v>
      </c>
    </row>
    <row r="332" ht="15.75" customHeight="1">
      <c r="A332" s="764">
        <v>42297.0</v>
      </c>
      <c r="B332" s="844" t="s">
        <v>1204</v>
      </c>
      <c r="C332" s="1004" t="s">
        <v>12200</v>
      </c>
      <c r="D332" s="388" t="s">
        <v>12201</v>
      </c>
      <c r="E332" s="599" t="s">
        <v>12202</v>
      </c>
      <c r="F332" s="1137">
        <v>1.0</v>
      </c>
      <c r="G332" s="1137">
        <v>178.0</v>
      </c>
      <c r="H332" s="1147">
        <f t="shared" si="65"/>
        <v>178</v>
      </c>
      <c r="I332" s="388"/>
      <c r="J332" s="388"/>
      <c r="K332" s="265" t="s">
        <v>171</v>
      </c>
      <c r="L332" s="269" t="s">
        <v>12101</v>
      </c>
      <c r="M332" s="832">
        <v>42303.0</v>
      </c>
      <c r="N332" s="832">
        <v>42300.0</v>
      </c>
      <c r="O332" s="269" t="s">
        <v>12203</v>
      </c>
      <c r="P332" s="388"/>
      <c r="Q332" s="388"/>
      <c r="R332" s="1157">
        <f>160*1.05*32.36</f>
        <v>5436.48</v>
      </c>
      <c r="S332" s="388" t="s">
        <v>12204</v>
      </c>
      <c r="T332" s="388"/>
      <c r="U332" s="1143">
        <v>42298.0</v>
      </c>
      <c r="V332" s="1143">
        <v>42299.0</v>
      </c>
      <c r="W332" s="388" t="s">
        <v>12205</v>
      </c>
      <c r="X332" s="1135">
        <v>6015.0</v>
      </c>
      <c r="Y332" s="1143">
        <v>42300.0</v>
      </c>
      <c r="Z332" s="388" t="s">
        <v>12206</v>
      </c>
      <c r="AA332" s="388"/>
      <c r="AB332" s="1146"/>
      <c r="AC332" s="388"/>
      <c r="AD332" s="388" t="s">
        <v>8661</v>
      </c>
    </row>
    <row r="333" ht="15.75" customHeight="1">
      <c r="A333" s="764">
        <v>42297.0</v>
      </c>
      <c r="B333" s="844" t="s">
        <v>1204</v>
      </c>
      <c r="C333" s="1004" t="s">
        <v>12200</v>
      </c>
      <c r="D333" s="388" t="s">
        <v>12201</v>
      </c>
      <c r="E333" s="599" t="s">
        <v>12207</v>
      </c>
      <c r="F333" s="1137">
        <v>1.0</v>
      </c>
      <c r="G333" s="1137">
        <v>18.0</v>
      </c>
      <c r="H333" s="1147">
        <f t="shared" si="65"/>
        <v>18</v>
      </c>
      <c r="I333" s="388"/>
      <c r="J333" s="388"/>
      <c r="K333" s="265" t="s">
        <v>171</v>
      </c>
      <c r="L333" s="269" t="s">
        <v>12101</v>
      </c>
      <c r="M333" s="832">
        <v>42303.0</v>
      </c>
      <c r="N333" s="832">
        <v>42300.0</v>
      </c>
      <c r="O333" s="269" t="s">
        <v>12203</v>
      </c>
      <c r="P333" s="388"/>
      <c r="Q333" s="388"/>
      <c r="R333" s="1157">
        <f>17*1.05*32.36</f>
        <v>577.626</v>
      </c>
      <c r="S333" s="388" t="s">
        <v>12204</v>
      </c>
      <c r="T333" s="388"/>
      <c r="U333" s="1143">
        <v>42298.0</v>
      </c>
      <c r="V333" s="1143">
        <v>42299.0</v>
      </c>
      <c r="W333" s="388" t="s">
        <v>12205</v>
      </c>
      <c r="X333" s="592" t="s">
        <v>8836</v>
      </c>
      <c r="Y333" s="1143">
        <v>42300.0</v>
      </c>
      <c r="Z333" s="388" t="s">
        <v>12206</v>
      </c>
      <c r="AA333" s="388"/>
      <c r="AB333" s="1146"/>
      <c r="AC333" s="388"/>
      <c r="AD333" s="388" t="s">
        <v>8661</v>
      </c>
    </row>
    <row r="334" ht="15.75" customHeight="1">
      <c r="A334" s="764">
        <v>42226.0</v>
      </c>
      <c r="B334" s="844" t="s">
        <v>1000</v>
      </c>
      <c r="C334" s="1004" t="s">
        <v>12208</v>
      </c>
      <c r="D334" s="388" t="s">
        <v>12209</v>
      </c>
      <c r="E334" s="599" t="s">
        <v>12210</v>
      </c>
      <c r="F334" s="1137">
        <v>50.0</v>
      </c>
      <c r="G334" s="1137">
        <v>72.0</v>
      </c>
      <c r="H334" s="773">
        <f t="shared" si="65"/>
        <v>3600</v>
      </c>
      <c r="I334" s="388"/>
      <c r="J334" s="388"/>
      <c r="K334" s="265" t="s">
        <v>171</v>
      </c>
      <c r="L334" s="333" t="s">
        <v>8684</v>
      </c>
      <c r="M334" s="832">
        <v>42244.0</v>
      </c>
      <c r="N334" s="832">
        <v>42243.0</v>
      </c>
      <c r="O334" s="269" t="s">
        <v>11033</v>
      </c>
      <c r="P334" s="1004" t="s">
        <v>12211</v>
      </c>
      <c r="Q334" s="388"/>
      <c r="R334" s="773">
        <v>101168.0</v>
      </c>
      <c r="S334" s="388" t="s">
        <v>8689</v>
      </c>
      <c r="T334" s="388"/>
      <c r="U334" s="1132">
        <v>42311.0</v>
      </c>
      <c r="V334" s="1143">
        <v>42242.0</v>
      </c>
      <c r="W334" s="388" t="s">
        <v>12212</v>
      </c>
      <c r="X334" s="845">
        <v>101168.0</v>
      </c>
      <c r="Y334" s="1144">
        <v>42303.0</v>
      </c>
      <c r="Z334" s="388" t="s">
        <v>12213</v>
      </c>
      <c r="AA334" s="388"/>
      <c r="AB334" s="388"/>
      <c r="AC334" s="388"/>
      <c r="AD334" s="1140" t="s">
        <v>284</v>
      </c>
    </row>
    <row r="335" ht="15.75" customHeight="1">
      <c r="A335" s="764">
        <v>42227.0</v>
      </c>
      <c r="B335" s="844" t="s">
        <v>1000</v>
      </c>
      <c r="C335" s="1004" t="s">
        <v>12214</v>
      </c>
      <c r="D335" s="388" t="s">
        <v>12215</v>
      </c>
      <c r="E335" s="599" t="s">
        <v>12216</v>
      </c>
      <c r="F335" s="1137">
        <v>1.0</v>
      </c>
      <c r="G335" s="1137">
        <v>590.0</v>
      </c>
      <c r="H335" s="773">
        <f t="shared" si="65"/>
        <v>590</v>
      </c>
      <c r="I335" s="388"/>
      <c r="J335" s="388"/>
      <c r="K335" s="265" t="s">
        <v>171</v>
      </c>
      <c r="L335" s="333" t="s">
        <v>8684</v>
      </c>
      <c r="M335" s="832">
        <v>42244.0</v>
      </c>
      <c r="N335" s="832">
        <v>42243.0</v>
      </c>
      <c r="O335" s="269" t="s">
        <v>11033</v>
      </c>
      <c r="P335" s="1004" t="s">
        <v>12217</v>
      </c>
      <c r="Q335" s="388"/>
      <c r="R335" s="773">
        <v>18136.0</v>
      </c>
      <c r="S335" s="388" t="s">
        <v>8689</v>
      </c>
      <c r="T335" s="388"/>
      <c r="U335" s="1132">
        <v>42311.0</v>
      </c>
      <c r="V335" s="1143">
        <v>42242.0</v>
      </c>
      <c r="W335" s="388" t="s">
        <v>12218</v>
      </c>
      <c r="X335" s="845">
        <v>18136.0</v>
      </c>
      <c r="Y335" s="1144">
        <v>42303.0</v>
      </c>
      <c r="Z335" s="388" t="s">
        <v>12213</v>
      </c>
      <c r="AA335" s="388"/>
      <c r="AB335" s="388"/>
      <c r="AC335" s="388"/>
      <c r="AD335" s="1140" t="s">
        <v>284</v>
      </c>
    </row>
    <row r="336" ht="15.75" customHeight="1">
      <c r="A336" s="764">
        <v>42235.0</v>
      </c>
      <c r="B336" s="844" t="s">
        <v>1000</v>
      </c>
      <c r="C336" s="1004" t="s">
        <v>12219</v>
      </c>
      <c r="D336" s="388" t="s">
        <v>12220</v>
      </c>
      <c r="E336" s="599" t="s">
        <v>12221</v>
      </c>
      <c r="F336" s="1137">
        <v>5.0</v>
      </c>
      <c r="G336" s="1137">
        <v>82.0</v>
      </c>
      <c r="H336" s="773">
        <f t="shared" si="65"/>
        <v>410</v>
      </c>
      <c r="I336" s="388"/>
      <c r="J336" s="1239"/>
      <c r="K336" s="265" t="s">
        <v>171</v>
      </c>
      <c r="L336" s="333" t="s">
        <v>8684</v>
      </c>
      <c r="M336" s="832">
        <v>42244.0</v>
      </c>
      <c r="N336" s="832">
        <v>42243.0</v>
      </c>
      <c r="O336" s="269" t="s">
        <v>11033</v>
      </c>
      <c r="P336" s="1004" t="s">
        <v>12222</v>
      </c>
      <c r="Q336" s="388"/>
      <c r="R336" s="773">
        <v>11918.0</v>
      </c>
      <c r="S336" s="388" t="s">
        <v>8689</v>
      </c>
      <c r="T336" s="388"/>
      <c r="U336" s="1132">
        <v>42343.0</v>
      </c>
      <c r="V336" s="1143">
        <v>42242.0</v>
      </c>
      <c r="W336" s="388" t="s">
        <v>12223</v>
      </c>
      <c r="X336" s="845">
        <v>11918.0</v>
      </c>
      <c r="Y336" s="1139">
        <v>42341.0</v>
      </c>
      <c r="Z336" s="388" t="s">
        <v>12213</v>
      </c>
      <c r="AA336" s="388"/>
      <c r="AB336" s="388"/>
      <c r="AC336" s="388"/>
      <c r="AD336" s="1140" t="s">
        <v>284</v>
      </c>
    </row>
    <row r="337" ht="15.75" customHeight="1">
      <c r="A337" s="764">
        <v>42269.0</v>
      </c>
      <c r="B337" s="844" t="s">
        <v>1000</v>
      </c>
      <c r="C337" s="1004" t="s">
        <v>12224</v>
      </c>
      <c r="D337" s="388" t="s">
        <v>12225</v>
      </c>
      <c r="E337" s="599" t="s">
        <v>12226</v>
      </c>
      <c r="F337" s="1137">
        <v>1.0</v>
      </c>
      <c r="G337" s="1137">
        <v>930.0</v>
      </c>
      <c r="H337" s="1147">
        <f t="shared" si="65"/>
        <v>930</v>
      </c>
      <c r="I337" s="388"/>
      <c r="J337" s="388"/>
      <c r="K337" s="265" t="s">
        <v>171</v>
      </c>
      <c r="L337" s="333" t="s">
        <v>8684</v>
      </c>
      <c r="M337" s="832">
        <v>42277.0</v>
      </c>
      <c r="N337" s="832">
        <v>42272.0</v>
      </c>
      <c r="O337" s="269" t="s">
        <v>12227</v>
      </c>
      <c r="P337" s="1004" t="s">
        <v>12228</v>
      </c>
      <c r="Q337" s="388"/>
      <c r="R337" s="773">
        <v>29400.0</v>
      </c>
      <c r="S337" s="388" t="s">
        <v>8689</v>
      </c>
      <c r="T337" s="388"/>
      <c r="U337" s="1132">
        <v>42374.0</v>
      </c>
      <c r="V337" s="1143">
        <v>42272.0</v>
      </c>
      <c r="W337" s="388" t="s">
        <v>12229</v>
      </c>
      <c r="X337" s="845">
        <v>29400.0</v>
      </c>
      <c r="Y337" s="1139">
        <v>42373.0</v>
      </c>
      <c r="Z337" s="388" t="s">
        <v>12230</v>
      </c>
      <c r="AA337" s="388"/>
      <c r="AB337" s="388"/>
      <c r="AC337" s="388"/>
      <c r="AD337" s="1140" t="s">
        <v>284</v>
      </c>
    </row>
    <row r="338" ht="15.75" customHeight="1">
      <c r="A338" s="764">
        <v>42293.0</v>
      </c>
      <c r="B338" s="844" t="s">
        <v>1000</v>
      </c>
      <c r="C338" s="1004" t="s">
        <v>12231</v>
      </c>
      <c r="D338" s="388" t="s">
        <v>12232</v>
      </c>
      <c r="E338" s="599" t="s">
        <v>12233</v>
      </c>
      <c r="F338" s="1137">
        <v>1.0</v>
      </c>
      <c r="G338" s="1137">
        <v>1110.0</v>
      </c>
      <c r="H338" s="1147">
        <f t="shared" si="65"/>
        <v>1110</v>
      </c>
      <c r="I338" s="388"/>
      <c r="J338" s="388"/>
      <c r="K338" s="265" t="s">
        <v>171</v>
      </c>
      <c r="L338" s="333" t="s">
        <v>8684</v>
      </c>
      <c r="M338" s="832">
        <v>42306.0</v>
      </c>
      <c r="N338" s="832">
        <v>42305.0</v>
      </c>
      <c r="O338" s="269" t="s">
        <v>11033</v>
      </c>
      <c r="P338" s="388" t="s">
        <v>12234</v>
      </c>
      <c r="Q338" s="388"/>
      <c r="R338" s="773">
        <v>34921.0</v>
      </c>
      <c r="S338" s="388" t="s">
        <v>8689</v>
      </c>
      <c r="T338" s="388"/>
      <c r="U338" s="1132">
        <v>42405.0</v>
      </c>
      <c r="V338" s="1143">
        <v>42304.0</v>
      </c>
      <c r="W338" s="388" t="s">
        <v>12235</v>
      </c>
      <c r="X338" s="845">
        <v>34921.0</v>
      </c>
      <c r="Y338" s="388">
        <v>42397.0</v>
      </c>
      <c r="Z338" s="388" t="s">
        <v>12236</v>
      </c>
      <c r="AA338" s="388"/>
      <c r="AB338" s="388"/>
      <c r="AC338" s="388"/>
      <c r="AD338" s="1140" t="s">
        <v>284</v>
      </c>
    </row>
    <row r="339" ht="15.75" customHeight="1">
      <c r="A339" s="764">
        <v>42328.0</v>
      </c>
      <c r="B339" s="844" t="s">
        <v>1000</v>
      </c>
      <c r="C339" s="388" t="s">
        <v>8681</v>
      </c>
      <c r="D339" s="388" t="s">
        <v>12237</v>
      </c>
      <c r="E339" s="599" t="s">
        <v>12238</v>
      </c>
      <c r="F339" s="388">
        <v>7.0</v>
      </c>
      <c r="G339" s="388">
        <v>3546.0</v>
      </c>
      <c r="H339" s="1147">
        <f t="shared" si="65"/>
        <v>24822</v>
      </c>
      <c r="I339" s="388"/>
      <c r="J339" s="388"/>
      <c r="K339" s="265" t="s">
        <v>171</v>
      </c>
      <c r="L339" s="333" t="s">
        <v>8684</v>
      </c>
      <c r="M339" s="832">
        <v>42341.0</v>
      </c>
      <c r="N339" s="832">
        <v>42338.0</v>
      </c>
      <c r="O339" s="269" t="s">
        <v>2034</v>
      </c>
      <c r="P339" s="388" t="s">
        <v>8869</v>
      </c>
      <c r="Q339" s="388"/>
      <c r="R339" s="320">
        <v>712950.0</v>
      </c>
      <c r="S339" s="388" t="s">
        <v>6086</v>
      </c>
      <c r="T339" s="388"/>
      <c r="U339" s="1143">
        <v>42338.0</v>
      </c>
      <c r="V339" s="1240">
        <v>42338.0</v>
      </c>
      <c r="W339" s="1140" t="s">
        <v>12239</v>
      </c>
      <c r="X339" s="1153">
        <v>712950.0</v>
      </c>
      <c r="Y339" s="1139">
        <v>42338.0</v>
      </c>
      <c r="Z339" s="1140" t="s">
        <v>12240</v>
      </c>
      <c r="AA339" s="388"/>
      <c r="AB339" s="388"/>
      <c r="AC339" s="388"/>
      <c r="AD339" s="1140" t="s">
        <v>284</v>
      </c>
    </row>
    <row r="340" ht="15.75" customHeight="1">
      <c r="A340" s="764">
        <v>42328.0</v>
      </c>
      <c r="B340" s="844" t="s">
        <v>1000</v>
      </c>
      <c r="C340" s="388" t="s">
        <v>8681</v>
      </c>
      <c r="D340" s="388" t="s">
        <v>12237</v>
      </c>
      <c r="E340" s="599" t="s">
        <v>8683</v>
      </c>
      <c r="F340" s="388">
        <v>13.0</v>
      </c>
      <c r="G340" s="388">
        <v>296.0</v>
      </c>
      <c r="H340" s="1147">
        <f t="shared" si="65"/>
        <v>3848</v>
      </c>
      <c r="I340" s="388"/>
      <c r="J340" s="388"/>
      <c r="K340" s="265" t="s">
        <v>171</v>
      </c>
      <c r="L340" s="333" t="s">
        <v>8684</v>
      </c>
      <c r="M340" s="832">
        <v>42341.0</v>
      </c>
      <c r="N340" s="832">
        <v>42339.0</v>
      </c>
      <c r="O340" s="269" t="s">
        <v>90</v>
      </c>
      <c r="P340" s="320" t="s">
        <v>8869</v>
      </c>
      <c r="Q340" s="320">
        <v>3630.9</v>
      </c>
      <c r="R340" s="664"/>
      <c r="S340" s="388" t="s">
        <v>11006</v>
      </c>
      <c r="T340" s="388"/>
      <c r="U340" s="1143">
        <v>42363.0</v>
      </c>
      <c r="V340" s="1240">
        <v>42339.0</v>
      </c>
      <c r="W340" s="1140" t="s">
        <v>12241</v>
      </c>
      <c r="X340" s="1153">
        <v>117805.0</v>
      </c>
      <c r="Y340" s="1139">
        <v>42341.0</v>
      </c>
      <c r="Z340" s="1140" t="s">
        <v>12240</v>
      </c>
      <c r="AA340" s="388"/>
      <c r="AB340" s="388"/>
      <c r="AC340" s="388"/>
      <c r="AD340" s="1140" t="s">
        <v>284</v>
      </c>
    </row>
    <row r="341" ht="15.75" customHeight="1">
      <c r="A341" s="764">
        <v>42328.0</v>
      </c>
      <c r="B341" s="844" t="s">
        <v>1000</v>
      </c>
      <c r="C341" s="388" t="s">
        <v>8681</v>
      </c>
      <c r="D341" s="388" t="s">
        <v>12237</v>
      </c>
      <c r="E341" s="599" t="s">
        <v>7613</v>
      </c>
      <c r="F341" s="388">
        <v>14.0</v>
      </c>
      <c r="G341" s="388">
        <v>129.0</v>
      </c>
      <c r="H341" s="1147">
        <f t="shared" si="65"/>
        <v>1806</v>
      </c>
      <c r="I341" s="388"/>
      <c r="J341" s="388"/>
      <c r="K341" s="265" t="s">
        <v>171</v>
      </c>
      <c r="L341" s="333" t="s">
        <v>8684</v>
      </c>
      <c r="M341" s="832">
        <v>42341.0</v>
      </c>
      <c r="N341" s="832">
        <v>42335.0</v>
      </c>
      <c r="O341" s="269" t="s">
        <v>12242</v>
      </c>
      <c r="P341" s="388" t="s">
        <v>12243</v>
      </c>
      <c r="Q341" s="388"/>
      <c r="R341" s="320">
        <v>54655.0</v>
      </c>
      <c r="S341" s="388" t="s">
        <v>8689</v>
      </c>
      <c r="T341" s="388"/>
      <c r="U341" s="1143">
        <v>42439.0</v>
      </c>
      <c r="V341" s="1240">
        <v>42334.0</v>
      </c>
      <c r="W341" s="1140" t="s">
        <v>12244</v>
      </c>
      <c r="X341" s="1153">
        <v>54655.0</v>
      </c>
      <c r="Y341" s="1139">
        <v>42436.0</v>
      </c>
      <c r="Z341" s="1140" t="s">
        <v>12240</v>
      </c>
      <c r="AA341" s="388"/>
      <c r="AB341" s="388"/>
      <c r="AC341" s="388"/>
      <c r="AD341" s="1140" t="s">
        <v>284</v>
      </c>
    </row>
    <row r="342" ht="15.75" customHeight="1">
      <c r="A342" s="764">
        <v>41950.0</v>
      </c>
      <c r="B342" s="844" t="s">
        <v>54</v>
      </c>
      <c r="C342" s="844" t="s">
        <v>10926</v>
      </c>
      <c r="D342" s="388" t="s">
        <v>12245</v>
      </c>
      <c r="E342" s="340" t="s">
        <v>4750</v>
      </c>
      <c r="F342" s="1137">
        <v>50.0</v>
      </c>
      <c r="G342" s="466">
        <v>102.9</v>
      </c>
      <c r="H342" s="466">
        <f>G342*F342</f>
        <v>5145</v>
      </c>
      <c r="I342" s="793"/>
      <c r="J342" s="388"/>
      <c r="K342" s="265" t="s">
        <v>12246</v>
      </c>
      <c r="L342" s="269" t="s">
        <v>90</v>
      </c>
      <c r="M342" s="832">
        <v>42025.0</v>
      </c>
      <c r="N342" s="388"/>
      <c r="O342" s="269" t="s">
        <v>90</v>
      </c>
      <c r="P342" s="265" t="s">
        <v>12247</v>
      </c>
      <c r="Q342" s="466">
        <v>4410.0</v>
      </c>
      <c r="R342" s="793"/>
      <c r="S342" s="388" t="s">
        <v>6081</v>
      </c>
      <c r="T342" s="388"/>
      <c r="U342" s="1139"/>
      <c r="V342" s="1144">
        <v>42025.0</v>
      </c>
      <c r="W342" s="1004" t="s">
        <v>12248</v>
      </c>
      <c r="X342" s="845">
        <v>139621.0</v>
      </c>
      <c r="Y342" s="1144">
        <v>42031.0</v>
      </c>
      <c r="Z342" s="388" t="s">
        <v>12249</v>
      </c>
      <c r="AA342" s="388" t="s">
        <v>12250</v>
      </c>
      <c r="AB342" s="1146" t="s">
        <v>12251</v>
      </c>
      <c r="AC342" s="388" t="s">
        <v>12252</v>
      </c>
      <c r="AD342" s="388"/>
    </row>
    <row r="343" ht="15.75" customHeight="1">
      <c r="A343" s="764">
        <v>42019.0</v>
      </c>
      <c r="B343" s="844" t="s">
        <v>54</v>
      </c>
      <c r="C343" s="1004" t="s">
        <v>12253</v>
      </c>
      <c r="D343" s="388" t="s">
        <v>12254</v>
      </c>
      <c r="E343" s="340" t="s">
        <v>12255</v>
      </c>
      <c r="F343" s="773">
        <v>1.0</v>
      </c>
      <c r="G343" s="466">
        <v>217.87</v>
      </c>
      <c r="H343" s="466">
        <f t="shared" ref="H343:H344" si="66">F343*G343</f>
        <v>217.87</v>
      </c>
      <c r="I343" s="466">
        <v>6536.25</v>
      </c>
      <c r="J343" s="773">
        <f t="shared" ref="J343:J344" si="67">F343*I343</f>
        <v>6536.25</v>
      </c>
      <c r="K343" s="265" t="s">
        <v>12246</v>
      </c>
      <c r="L343" s="333" t="s">
        <v>11032</v>
      </c>
      <c r="M343" s="832">
        <v>42025.0</v>
      </c>
      <c r="N343" s="1148">
        <v>42024.0</v>
      </c>
      <c r="O343" s="269" t="s">
        <v>90</v>
      </c>
      <c r="P343" s="388" t="s">
        <v>12256</v>
      </c>
      <c r="Q343" s="773">
        <v>194.25</v>
      </c>
      <c r="R343" s="388"/>
      <c r="S343" s="388" t="s">
        <v>11006</v>
      </c>
      <c r="T343" s="388"/>
      <c r="U343" s="1139"/>
      <c r="V343" s="1132">
        <v>42024.0</v>
      </c>
      <c r="W343" s="265" t="s">
        <v>12257</v>
      </c>
      <c r="X343" s="1135">
        <v>6197.0</v>
      </c>
      <c r="Y343" s="1144">
        <v>42044.0</v>
      </c>
      <c r="Z343" s="388" t="s">
        <v>12258</v>
      </c>
      <c r="AA343" s="388"/>
      <c r="AB343" s="1159">
        <v>6536.0</v>
      </c>
      <c r="AC343" s="388" t="s">
        <v>12259</v>
      </c>
      <c r="AD343" s="388"/>
    </row>
    <row r="344" ht="15.75" customHeight="1">
      <c r="A344" s="776">
        <v>42030.0</v>
      </c>
      <c r="B344" s="844" t="s">
        <v>54</v>
      </c>
      <c r="C344" s="265" t="s">
        <v>12260</v>
      </c>
      <c r="D344" s="320" t="s">
        <v>12261</v>
      </c>
      <c r="E344" s="340" t="s">
        <v>12255</v>
      </c>
      <c r="F344" s="773">
        <v>21.0</v>
      </c>
      <c r="G344" s="773">
        <v>217.88</v>
      </c>
      <c r="H344" s="466">
        <f t="shared" si="66"/>
        <v>4575.48</v>
      </c>
      <c r="I344" s="466">
        <v>6536.25</v>
      </c>
      <c r="J344" s="1149">
        <f t="shared" si="67"/>
        <v>137261.25</v>
      </c>
      <c r="K344" s="265" t="s">
        <v>12246</v>
      </c>
      <c r="L344" s="333" t="s">
        <v>90</v>
      </c>
      <c r="M344" s="832">
        <v>42061.0</v>
      </c>
      <c r="N344" s="388"/>
      <c r="O344" s="333" t="s">
        <v>90</v>
      </c>
      <c r="P344" s="265" t="s">
        <v>12262</v>
      </c>
      <c r="Q344" s="773">
        <v>4079.25</v>
      </c>
      <c r="R344" s="388"/>
      <c r="S344" s="320" t="s">
        <v>11006</v>
      </c>
      <c r="T344" s="388"/>
      <c r="U344" s="1139"/>
      <c r="V344" s="1132">
        <v>42061.0</v>
      </c>
      <c r="W344" s="265" t="s">
        <v>12263</v>
      </c>
      <c r="X344" s="1135">
        <v>127966.0</v>
      </c>
      <c r="Y344" s="1132">
        <v>42074.0</v>
      </c>
      <c r="Z344" s="320" t="s">
        <v>12264</v>
      </c>
      <c r="AA344" s="388"/>
      <c r="AB344" s="1149">
        <v>137261.0</v>
      </c>
      <c r="AC344" s="320" t="s">
        <v>12265</v>
      </c>
      <c r="AD344" s="388"/>
    </row>
    <row r="345" ht="15.75" customHeight="1">
      <c r="A345" s="764">
        <v>42045.0</v>
      </c>
      <c r="B345" s="844" t="s">
        <v>54</v>
      </c>
      <c r="C345" s="1004" t="s">
        <v>12266</v>
      </c>
      <c r="D345" s="388" t="s">
        <v>12267</v>
      </c>
      <c r="E345" s="340" t="s">
        <v>4750</v>
      </c>
      <c r="F345" s="1137">
        <v>50.0</v>
      </c>
      <c r="G345" s="466">
        <v>102.9</v>
      </c>
      <c r="H345" s="466">
        <f>G345*F345</f>
        <v>5145</v>
      </c>
      <c r="I345" s="388"/>
      <c r="J345" s="388"/>
      <c r="K345" s="265" t="s">
        <v>12246</v>
      </c>
      <c r="L345" s="269" t="s">
        <v>90</v>
      </c>
      <c r="M345" s="832">
        <v>42130.0</v>
      </c>
      <c r="N345" s="388"/>
      <c r="O345" s="269" t="s">
        <v>90</v>
      </c>
      <c r="P345" s="265" t="s">
        <v>12268</v>
      </c>
      <c r="Q345" s="773">
        <v>4410.0</v>
      </c>
      <c r="R345" s="388"/>
      <c r="S345" s="388" t="s">
        <v>11006</v>
      </c>
      <c r="T345" s="388"/>
      <c r="U345" s="1139"/>
      <c r="V345" s="1144">
        <v>42130.0</v>
      </c>
      <c r="W345" s="388" t="s">
        <v>12269</v>
      </c>
      <c r="X345" s="845">
        <v>135784.0</v>
      </c>
      <c r="Y345" s="1144">
        <v>42129.0</v>
      </c>
      <c r="Z345" s="388" t="s">
        <v>12270</v>
      </c>
      <c r="AA345" s="388" t="s">
        <v>12271</v>
      </c>
      <c r="AB345" s="1159">
        <v>158368.0</v>
      </c>
      <c r="AC345" s="388" t="s">
        <v>12272</v>
      </c>
      <c r="AD345" s="388"/>
    </row>
    <row r="346" ht="15.75" customHeight="1">
      <c r="A346" s="764">
        <v>42068.0</v>
      </c>
      <c r="B346" s="844" t="s">
        <v>54</v>
      </c>
      <c r="C346" s="1004" t="s">
        <v>12273</v>
      </c>
      <c r="D346" s="388" t="s">
        <v>12274</v>
      </c>
      <c r="E346" s="340" t="s">
        <v>9054</v>
      </c>
      <c r="F346" s="1137">
        <v>20.0</v>
      </c>
      <c r="G346" s="325">
        <v>150.15</v>
      </c>
      <c r="H346" s="466">
        <f t="shared" ref="H346:H348" si="68">F346*G346</f>
        <v>3003</v>
      </c>
      <c r="I346" s="793"/>
      <c r="J346" s="388"/>
      <c r="K346" s="265" t="s">
        <v>12246</v>
      </c>
      <c r="L346" s="269" t="s">
        <v>90</v>
      </c>
      <c r="M346" s="832">
        <v>42088.0</v>
      </c>
      <c r="N346" s="388"/>
      <c r="O346" s="269" t="s">
        <v>90</v>
      </c>
      <c r="P346" s="265" t="s">
        <v>12275</v>
      </c>
      <c r="Q346" s="773">
        <v>2688.0</v>
      </c>
      <c r="R346" s="388"/>
      <c r="S346" s="388" t="s">
        <v>11006</v>
      </c>
      <c r="T346" s="388"/>
      <c r="U346" s="1139"/>
      <c r="V346" s="1132">
        <v>42088.0</v>
      </c>
      <c r="W346" s="265" t="s">
        <v>12276</v>
      </c>
      <c r="X346" s="1135">
        <v>84914.0</v>
      </c>
      <c r="Y346" s="1144">
        <v>42090.0</v>
      </c>
      <c r="Z346" s="388" t="s">
        <v>12277</v>
      </c>
      <c r="AA346" s="388" t="s">
        <v>12278</v>
      </c>
      <c r="AB346" s="1159">
        <v>94114.0</v>
      </c>
      <c r="AC346" s="388" t="s">
        <v>12279</v>
      </c>
      <c r="AD346" s="388" t="s">
        <v>8661</v>
      </c>
    </row>
    <row r="347" ht="15.75" customHeight="1">
      <c r="A347" s="764">
        <v>42073.0</v>
      </c>
      <c r="B347" s="844" t="s">
        <v>54</v>
      </c>
      <c r="C347" s="1004" t="s">
        <v>12280</v>
      </c>
      <c r="D347" s="388" t="s">
        <v>12281</v>
      </c>
      <c r="E347" s="340" t="s">
        <v>12282</v>
      </c>
      <c r="F347" s="1137">
        <v>25.0</v>
      </c>
      <c r="G347" s="1137">
        <v>766.5</v>
      </c>
      <c r="H347" s="466">
        <f t="shared" si="68"/>
        <v>19162.5</v>
      </c>
      <c r="I347" s="388"/>
      <c r="J347" s="388"/>
      <c r="K347" s="265" t="s">
        <v>12246</v>
      </c>
      <c r="L347" s="269" t="s">
        <v>90</v>
      </c>
      <c r="M347" s="832">
        <v>42089.0</v>
      </c>
      <c r="N347" s="388"/>
      <c r="O347" s="269" t="s">
        <v>90</v>
      </c>
      <c r="P347" s="388" t="s">
        <v>12283</v>
      </c>
      <c r="Q347" s="1263">
        <v>15618.75</v>
      </c>
      <c r="R347" s="1146"/>
      <c r="S347" s="388" t="s">
        <v>11006</v>
      </c>
      <c r="T347" s="1146"/>
      <c r="U347" s="1139"/>
      <c r="V347" s="1132">
        <v>42089.0</v>
      </c>
      <c r="W347" s="265" t="s">
        <v>12284</v>
      </c>
      <c r="X347" s="1135">
        <v>493396.0</v>
      </c>
      <c r="Y347" s="1144">
        <v>42090.0</v>
      </c>
      <c r="Z347" s="388" t="s">
        <v>12285</v>
      </c>
      <c r="AA347" s="388" t="s">
        <v>12286</v>
      </c>
      <c r="AB347" s="1159">
        <v>1199573.0</v>
      </c>
      <c r="AC347" s="388" t="s">
        <v>12287</v>
      </c>
      <c r="AD347" s="388" t="s">
        <v>8661</v>
      </c>
    </row>
    <row r="348" ht="15.75" customHeight="1">
      <c r="A348" s="764">
        <v>42073.0</v>
      </c>
      <c r="B348" s="844" t="s">
        <v>54</v>
      </c>
      <c r="C348" s="1004" t="s">
        <v>12280</v>
      </c>
      <c r="D348" s="388" t="s">
        <v>12281</v>
      </c>
      <c r="E348" s="340" t="s">
        <v>12282</v>
      </c>
      <c r="F348" s="1137">
        <v>25.0</v>
      </c>
      <c r="G348" s="1137">
        <v>766.5</v>
      </c>
      <c r="H348" s="466">
        <f t="shared" si="68"/>
        <v>19162.5</v>
      </c>
      <c r="I348" s="388"/>
      <c r="J348" s="388"/>
      <c r="K348" s="265" t="s">
        <v>12246</v>
      </c>
      <c r="L348" s="269" t="s">
        <v>90</v>
      </c>
      <c r="M348" s="832">
        <v>42089.0</v>
      </c>
      <c r="N348" s="388"/>
      <c r="O348" s="269" t="s">
        <v>90</v>
      </c>
      <c r="P348" s="320" t="s">
        <v>12288</v>
      </c>
      <c r="Q348" s="1263">
        <v>15618.75</v>
      </c>
      <c r="R348" s="1146"/>
      <c r="S348" s="388" t="s">
        <v>11006</v>
      </c>
      <c r="T348" s="1146"/>
      <c r="U348" s="1139"/>
      <c r="V348" s="1132">
        <v>42089.0</v>
      </c>
      <c r="W348" s="265" t="s">
        <v>12289</v>
      </c>
      <c r="X348" s="1135">
        <v>493396.0</v>
      </c>
      <c r="Y348" s="1144">
        <v>42090.0</v>
      </c>
      <c r="Z348" s="388" t="s">
        <v>12285</v>
      </c>
      <c r="AA348" s="388" t="s">
        <v>12286</v>
      </c>
      <c r="AB348" s="1159" t="s">
        <v>8836</v>
      </c>
      <c r="AC348" s="388" t="s">
        <v>12287</v>
      </c>
      <c r="AD348" s="388" t="s">
        <v>8661</v>
      </c>
    </row>
    <row r="349" ht="15.75" customHeight="1">
      <c r="A349" s="764">
        <v>42087.0</v>
      </c>
      <c r="B349" s="844" t="s">
        <v>54</v>
      </c>
      <c r="C349" s="1004" t="s">
        <v>12290</v>
      </c>
      <c r="D349" s="388" t="s">
        <v>12291</v>
      </c>
      <c r="E349" s="340" t="s">
        <v>4750</v>
      </c>
      <c r="F349" s="1137">
        <v>50.0</v>
      </c>
      <c r="G349" s="466">
        <v>102.9</v>
      </c>
      <c r="H349" s="466">
        <f t="shared" ref="H349:H353" si="69">G349*F349</f>
        <v>5145</v>
      </c>
      <c r="I349" s="388"/>
      <c r="J349" s="388"/>
      <c r="K349" s="265" t="s">
        <v>12246</v>
      </c>
      <c r="L349" s="269" t="s">
        <v>90</v>
      </c>
      <c r="M349" s="832">
        <v>42152.0</v>
      </c>
      <c r="N349" s="388"/>
      <c r="O349" s="269" t="s">
        <v>90</v>
      </c>
      <c r="P349" s="265" t="s">
        <v>12292</v>
      </c>
      <c r="Q349" s="773">
        <v>4410.0</v>
      </c>
      <c r="R349" s="388"/>
      <c r="S349" s="388" t="s">
        <v>11006</v>
      </c>
      <c r="T349" s="388"/>
      <c r="U349" s="388"/>
      <c r="V349" s="1132">
        <v>42152.0</v>
      </c>
      <c r="W349" s="320" t="s">
        <v>12293</v>
      </c>
      <c r="X349" s="1135">
        <v>134086.0</v>
      </c>
      <c r="Y349" s="1144">
        <v>42177.0</v>
      </c>
      <c r="Z349" s="388" t="s">
        <v>12294</v>
      </c>
      <c r="AA349" s="388" t="s">
        <v>12295</v>
      </c>
      <c r="AB349" s="1159">
        <v>158081.0</v>
      </c>
      <c r="AC349" s="388" t="s">
        <v>12296</v>
      </c>
      <c r="AD349" s="1137">
        <v>5103.46</v>
      </c>
    </row>
    <row r="350" ht="15.75" customHeight="1">
      <c r="A350" s="776">
        <v>42087.0</v>
      </c>
      <c r="B350" s="844" t="s">
        <v>54</v>
      </c>
      <c r="C350" s="265" t="s">
        <v>12290</v>
      </c>
      <c r="D350" s="320" t="s">
        <v>12297</v>
      </c>
      <c r="E350" s="340" t="s">
        <v>4750</v>
      </c>
      <c r="F350" s="773">
        <v>50.0</v>
      </c>
      <c r="G350" s="466">
        <v>102.9</v>
      </c>
      <c r="H350" s="466">
        <f t="shared" si="69"/>
        <v>5145</v>
      </c>
      <c r="I350" s="388"/>
      <c r="J350" s="388"/>
      <c r="K350" s="265" t="s">
        <v>12246</v>
      </c>
      <c r="L350" s="333" t="s">
        <v>90</v>
      </c>
      <c r="M350" s="832">
        <v>42187.0</v>
      </c>
      <c r="N350" s="388"/>
      <c r="O350" s="333" t="s">
        <v>90</v>
      </c>
      <c r="P350" s="265" t="s">
        <v>12298</v>
      </c>
      <c r="Q350" s="773">
        <v>4410.0</v>
      </c>
      <c r="R350" s="388"/>
      <c r="S350" s="320" t="s">
        <v>11006</v>
      </c>
      <c r="T350" s="388"/>
      <c r="U350" s="1139"/>
      <c r="V350" s="1132">
        <v>42187.0</v>
      </c>
      <c r="W350" s="320" t="s">
        <v>12299</v>
      </c>
      <c r="X350" s="1135">
        <v>136093.0</v>
      </c>
      <c r="Y350" s="1132">
        <v>42186.0</v>
      </c>
      <c r="Z350" s="320" t="s">
        <v>12300</v>
      </c>
      <c r="AA350" s="320" t="s">
        <v>12301</v>
      </c>
      <c r="AB350" s="773">
        <v>160010.0</v>
      </c>
      <c r="AC350" s="320" t="s">
        <v>12302</v>
      </c>
      <c r="AD350" s="773">
        <v>5103.51</v>
      </c>
    </row>
    <row r="351" ht="15.75" customHeight="1">
      <c r="A351" s="764">
        <v>42115.0</v>
      </c>
      <c r="B351" s="844" t="s">
        <v>54</v>
      </c>
      <c r="C351" s="1004" t="s">
        <v>12303</v>
      </c>
      <c r="D351" s="388" t="s">
        <v>12304</v>
      </c>
      <c r="E351" s="340" t="s">
        <v>12282</v>
      </c>
      <c r="F351" s="1137">
        <v>20.0</v>
      </c>
      <c r="G351" s="1137">
        <v>766.5</v>
      </c>
      <c r="H351" s="466">
        <f t="shared" si="69"/>
        <v>15330</v>
      </c>
      <c r="I351" s="388"/>
      <c r="J351" s="388"/>
      <c r="K351" s="265" t="s">
        <v>12246</v>
      </c>
      <c r="L351" s="269" t="s">
        <v>90</v>
      </c>
      <c r="M351" s="832">
        <v>42131.0</v>
      </c>
      <c r="N351" s="388"/>
      <c r="O351" s="269" t="s">
        <v>90</v>
      </c>
      <c r="P351" s="265" t="s">
        <v>12305</v>
      </c>
      <c r="Q351" s="773">
        <v>12495.0</v>
      </c>
      <c r="R351" s="388"/>
      <c r="S351" s="388" t="s">
        <v>11006</v>
      </c>
      <c r="T351" s="388"/>
      <c r="U351" s="1139"/>
      <c r="V351" s="1144">
        <v>42131.0</v>
      </c>
      <c r="W351" s="388" t="s">
        <v>12306</v>
      </c>
      <c r="X351" s="845">
        <v>384721.0</v>
      </c>
      <c r="Y351" s="1144">
        <v>42129.0</v>
      </c>
      <c r="Z351" s="388" t="s">
        <v>12307</v>
      </c>
      <c r="AA351" s="388" t="s">
        <v>12308</v>
      </c>
      <c r="AB351" s="1159">
        <v>471444.0</v>
      </c>
      <c r="AC351" s="388" t="s">
        <v>12272</v>
      </c>
      <c r="AD351" s="1137">
        <v>20429.77</v>
      </c>
    </row>
    <row r="352" ht="15.75" customHeight="1">
      <c r="A352" s="764">
        <v>42115.0</v>
      </c>
      <c r="B352" s="844" t="s">
        <v>54</v>
      </c>
      <c r="C352" s="1004" t="s">
        <v>12309</v>
      </c>
      <c r="D352" s="388" t="s">
        <v>12310</v>
      </c>
      <c r="E352" s="340" t="s">
        <v>12282</v>
      </c>
      <c r="F352" s="1137">
        <v>30.0</v>
      </c>
      <c r="G352" s="1137">
        <v>766.5</v>
      </c>
      <c r="H352" s="466">
        <f t="shared" si="69"/>
        <v>22995</v>
      </c>
      <c r="I352" s="388"/>
      <c r="J352" s="388"/>
      <c r="K352" s="265" t="s">
        <v>12246</v>
      </c>
      <c r="L352" s="269" t="s">
        <v>90</v>
      </c>
      <c r="M352" s="832">
        <v>42145.0</v>
      </c>
      <c r="N352" s="388"/>
      <c r="O352" s="269" t="s">
        <v>90</v>
      </c>
      <c r="P352" s="265" t="s">
        <v>12311</v>
      </c>
      <c r="Q352" s="773">
        <v>18742.5</v>
      </c>
      <c r="R352" s="388"/>
      <c r="S352" s="388" t="s">
        <v>11006</v>
      </c>
      <c r="T352" s="388"/>
      <c r="U352" s="1139"/>
      <c r="V352" s="1132">
        <v>42145.0</v>
      </c>
      <c r="W352" s="320" t="s">
        <v>12312</v>
      </c>
      <c r="X352" s="1135">
        <v>569866.0</v>
      </c>
      <c r="Y352" s="1144">
        <v>42146.0</v>
      </c>
      <c r="Z352" s="320" t="s">
        <v>12313</v>
      </c>
      <c r="AA352" s="388" t="s">
        <v>12314</v>
      </c>
      <c r="AB352" s="1149">
        <v>709672.0</v>
      </c>
      <c r="AC352" s="388" t="s">
        <v>12315</v>
      </c>
      <c r="AD352" s="1137">
        <v>22948.53</v>
      </c>
    </row>
    <row r="353" ht="15.75" customHeight="1">
      <c r="A353" s="764">
        <v>42125.0</v>
      </c>
      <c r="B353" s="844" t="s">
        <v>54</v>
      </c>
      <c r="C353" s="1004" t="s">
        <v>12316</v>
      </c>
      <c r="D353" s="388" t="s">
        <v>12317</v>
      </c>
      <c r="E353" s="340" t="s">
        <v>4750</v>
      </c>
      <c r="F353" s="1137">
        <v>50.0</v>
      </c>
      <c r="G353" s="466">
        <v>102.9</v>
      </c>
      <c r="H353" s="466">
        <f t="shared" si="69"/>
        <v>5145</v>
      </c>
      <c r="I353" s="388"/>
      <c r="J353" s="388"/>
      <c r="K353" s="265" t="s">
        <v>8675</v>
      </c>
      <c r="L353" s="269" t="s">
        <v>90</v>
      </c>
      <c r="M353" s="832">
        <v>42268.0</v>
      </c>
      <c r="N353" s="388"/>
      <c r="O353" s="269" t="s">
        <v>90</v>
      </c>
      <c r="P353" s="1004" t="s">
        <v>12318</v>
      </c>
      <c r="Q353" s="773">
        <v>4410.0</v>
      </c>
      <c r="R353" s="388"/>
      <c r="S353" s="388" t="s">
        <v>11006</v>
      </c>
      <c r="T353" s="388"/>
      <c r="U353" s="388"/>
      <c r="V353" s="1143">
        <v>42268.0</v>
      </c>
      <c r="W353" s="388" t="s">
        <v>12319</v>
      </c>
      <c r="X353" s="845">
        <v>143325.0</v>
      </c>
      <c r="Y353" s="1144">
        <v>42263.0</v>
      </c>
      <c r="Z353" s="388" t="s">
        <v>12320</v>
      </c>
      <c r="AA353" s="388" t="s">
        <v>12321</v>
      </c>
      <c r="AB353" s="1159">
        <v>168046.0</v>
      </c>
      <c r="AC353" s="388"/>
      <c r="AD353" s="388" t="s">
        <v>284</v>
      </c>
    </row>
    <row r="354" ht="15.75" customHeight="1">
      <c r="A354" s="274">
        <v>42178.0</v>
      </c>
      <c r="B354" s="844" t="s">
        <v>54</v>
      </c>
      <c r="C354" s="1058" t="s">
        <v>12322</v>
      </c>
      <c r="D354" s="857" t="s">
        <v>12323</v>
      </c>
      <c r="E354" s="1233" t="s">
        <v>12324</v>
      </c>
      <c r="F354" s="1234">
        <v>4.0</v>
      </c>
      <c r="G354" s="1234">
        <v>257.73</v>
      </c>
      <c r="H354" s="1264">
        <f>F354*G354</f>
        <v>1030.92</v>
      </c>
      <c r="I354" s="1265">
        <v>8505.0</v>
      </c>
      <c r="J354" s="1265">
        <f t="shared" ref="J354:J358" si="70">I354*F354</f>
        <v>34020</v>
      </c>
      <c r="K354" s="285" t="s">
        <v>8675</v>
      </c>
      <c r="L354" s="784" t="s">
        <v>6067</v>
      </c>
      <c r="M354" s="282" t="s">
        <v>11906</v>
      </c>
      <c r="N354" s="388"/>
      <c r="O354" s="269"/>
      <c r="P354" s="388"/>
      <c r="Q354" s="388"/>
      <c r="R354" s="388"/>
      <c r="S354" s="388"/>
      <c r="T354" s="388"/>
      <c r="U354" s="388"/>
      <c r="V354" s="388"/>
      <c r="W354" s="388"/>
      <c r="X354" s="388"/>
      <c r="Y354" s="1139"/>
      <c r="Z354" s="388"/>
      <c r="AA354" s="388"/>
      <c r="AB354" s="388"/>
      <c r="AC354" s="388"/>
      <c r="AD354" s="388"/>
    </row>
    <row r="355" ht="15.75" customHeight="1">
      <c r="A355" s="764">
        <v>42024.0</v>
      </c>
      <c r="B355" s="844" t="s">
        <v>12325</v>
      </c>
      <c r="C355" s="1004" t="s">
        <v>12326</v>
      </c>
      <c r="D355" s="388" t="s">
        <v>12327</v>
      </c>
      <c r="E355" s="599" t="s">
        <v>12328</v>
      </c>
      <c r="F355" s="1137">
        <v>1.0</v>
      </c>
      <c r="G355" s="325">
        <v>556.5</v>
      </c>
      <c r="H355" s="466">
        <f t="shared" ref="H355:H363" si="71">G355*F355</f>
        <v>556.5</v>
      </c>
      <c r="I355" s="325">
        <f t="shared" ref="I355:I358" si="72">G355*31.571</f>
        <v>17569.2615</v>
      </c>
      <c r="J355" s="325">
        <f t="shared" si="70"/>
        <v>17569.2615</v>
      </c>
      <c r="K355" s="265" t="s">
        <v>11898</v>
      </c>
      <c r="L355" s="269" t="s">
        <v>12329</v>
      </c>
      <c r="M355" s="832">
        <v>42026.0</v>
      </c>
      <c r="N355" s="388"/>
      <c r="O355" s="269" t="s">
        <v>11675</v>
      </c>
      <c r="P355" s="388"/>
      <c r="Q355" s="1137">
        <v>429.477</v>
      </c>
      <c r="R355" s="388"/>
      <c r="S355" s="388"/>
      <c r="T355" s="388" t="s">
        <v>12330</v>
      </c>
      <c r="U355" s="388"/>
      <c r="V355" s="1266" t="s">
        <v>1762</v>
      </c>
      <c r="W355" s="1266" t="s">
        <v>1762</v>
      </c>
      <c r="X355" s="1267" t="s">
        <v>1762</v>
      </c>
      <c r="Y355" s="1004" t="s">
        <v>12331</v>
      </c>
      <c r="Z355" s="388" t="s">
        <v>12332</v>
      </c>
      <c r="AA355" s="1004">
        <v>31.571</v>
      </c>
      <c r="AB355" s="1159">
        <v>18776.0</v>
      </c>
      <c r="AC355" s="388" t="s">
        <v>12333</v>
      </c>
      <c r="AD355" s="388"/>
    </row>
    <row r="356" ht="15.75" customHeight="1">
      <c r="A356" s="764">
        <v>42024.0</v>
      </c>
      <c r="B356" s="844" t="s">
        <v>12325</v>
      </c>
      <c r="C356" s="1004" t="s">
        <v>12326</v>
      </c>
      <c r="D356" s="388" t="s">
        <v>12327</v>
      </c>
      <c r="E356" s="599" t="s">
        <v>12334</v>
      </c>
      <c r="F356" s="1137">
        <v>1.0</v>
      </c>
      <c r="G356" s="1137">
        <v>38.22</v>
      </c>
      <c r="H356" s="466">
        <f t="shared" si="71"/>
        <v>38.22</v>
      </c>
      <c r="I356" s="325">
        <f t="shared" si="72"/>
        <v>1206.64362</v>
      </c>
      <c r="J356" s="325">
        <f t="shared" si="70"/>
        <v>1206.64362</v>
      </c>
      <c r="K356" s="265" t="s">
        <v>11898</v>
      </c>
      <c r="L356" s="269" t="s">
        <v>12329</v>
      </c>
      <c r="M356" s="832">
        <v>42026.0</v>
      </c>
      <c r="N356" s="388"/>
      <c r="O356" s="269" t="s">
        <v>12335</v>
      </c>
      <c r="P356" s="388"/>
      <c r="Q356" s="388"/>
      <c r="R356" s="1137">
        <v>1050.0</v>
      </c>
      <c r="S356" s="388"/>
      <c r="T356" s="388" t="s">
        <v>12330</v>
      </c>
      <c r="U356" s="388"/>
      <c r="V356" s="1266" t="s">
        <v>1762</v>
      </c>
      <c r="W356" s="1140" t="s">
        <v>12336</v>
      </c>
      <c r="X356" s="1267" t="s">
        <v>1762</v>
      </c>
      <c r="Y356" s="1004" t="s">
        <v>12331</v>
      </c>
      <c r="Z356" s="388" t="s">
        <v>12332</v>
      </c>
      <c r="AA356" s="1004">
        <v>31.571</v>
      </c>
      <c r="AB356" s="1159">
        <v>18776.0</v>
      </c>
      <c r="AC356" s="388" t="s">
        <v>12333</v>
      </c>
      <c r="AD356" s="388"/>
    </row>
    <row r="357" ht="15.75" customHeight="1">
      <c r="A357" s="764">
        <v>42037.0</v>
      </c>
      <c r="B357" s="844" t="s">
        <v>12325</v>
      </c>
      <c r="C357" s="265" t="s">
        <v>12337</v>
      </c>
      <c r="D357" s="320" t="s">
        <v>12338</v>
      </c>
      <c r="E357" s="340" t="s">
        <v>12328</v>
      </c>
      <c r="F357" s="773">
        <v>0.0</v>
      </c>
      <c r="G357" s="466">
        <v>556.5</v>
      </c>
      <c r="H357" s="466">
        <f t="shared" si="71"/>
        <v>0</v>
      </c>
      <c r="I357" s="466">
        <f t="shared" si="72"/>
        <v>17569.2615</v>
      </c>
      <c r="J357" s="466">
        <f t="shared" si="70"/>
        <v>0</v>
      </c>
      <c r="K357" s="265" t="s">
        <v>11898</v>
      </c>
      <c r="L357" s="333" t="s">
        <v>6067</v>
      </c>
      <c r="M357" s="832">
        <v>42088.0</v>
      </c>
      <c r="N357" s="256" t="s">
        <v>71</v>
      </c>
      <c r="O357" s="333" t="s">
        <v>11675</v>
      </c>
      <c r="P357" s="388"/>
      <c r="Q357" s="388"/>
      <c r="R357" s="773">
        <f>450.95*31.571</f>
        <v>14236.94245</v>
      </c>
      <c r="S357" s="388"/>
      <c r="T357" s="320" t="s">
        <v>12339</v>
      </c>
      <c r="U357" s="388"/>
      <c r="V357" s="388"/>
      <c r="W357" s="388"/>
      <c r="X357" s="388"/>
      <c r="Y357" s="388"/>
      <c r="Z357" s="388"/>
      <c r="AA357" s="388"/>
      <c r="AB357" s="388"/>
      <c r="AC357" s="388"/>
      <c r="AD357" s="388"/>
    </row>
    <row r="358" ht="15.75" customHeight="1">
      <c r="A358" s="764">
        <v>42037.0</v>
      </c>
      <c r="B358" s="844" t="s">
        <v>12325</v>
      </c>
      <c r="C358" s="265" t="s">
        <v>12337</v>
      </c>
      <c r="D358" s="320" t="s">
        <v>12338</v>
      </c>
      <c r="E358" s="340" t="s">
        <v>12334</v>
      </c>
      <c r="F358" s="773">
        <v>0.0</v>
      </c>
      <c r="G358" s="773">
        <v>38.22</v>
      </c>
      <c r="H358" s="466">
        <f t="shared" si="71"/>
        <v>0</v>
      </c>
      <c r="I358" s="466">
        <f t="shared" si="72"/>
        <v>1206.64362</v>
      </c>
      <c r="J358" s="466">
        <f t="shared" si="70"/>
        <v>0</v>
      </c>
      <c r="K358" s="265" t="s">
        <v>11898</v>
      </c>
      <c r="L358" s="333" t="s">
        <v>6067</v>
      </c>
      <c r="M358" s="832">
        <v>42088.0</v>
      </c>
      <c r="N358" s="832">
        <v>42053.0</v>
      </c>
      <c r="O358" s="333" t="s">
        <v>12145</v>
      </c>
      <c r="P358" s="388"/>
      <c r="Q358" s="388"/>
      <c r="R358" s="773">
        <v>945.0</v>
      </c>
      <c r="S358" s="388"/>
      <c r="T358" s="320" t="s">
        <v>12339</v>
      </c>
      <c r="U358" s="388"/>
      <c r="V358" s="388"/>
      <c r="W358" s="388"/>
      <c r="X358" s="388"/>
      <c r="Y358" s="388"/>
      <c r="Z358" s="388"/>
      <c r="AA358" s="388"/>
      <c r="AB358" s="388"/>
      <c r="AC358" s="388"/>
      <c r="AD358" s="388"/>
    </row>
    <row r="359" ht="15.75" customHeight="1">
      <c r="A359" s="776">
        <v>42024.0</v>
      </c>
      <c r="B359" s="844" t="s">
        <v>631</v>
      </c>
      <c r="C359" s="265" t="s">
        <v>12340</v>
      </c>
      <c r="D359" s="320" t="s">
        <v>12341</v>
      </c>
      <c r="E359" s="340" t="s">
        <v>12342</v>
      </c>
      <c r="F359" s="773">
        <v>30.0</v>
      </c>
      <c r="G359" s="773">
        <v>88.2</v>
      </c>
      <c r="H359" s="466">
        <f t="shared" si="71"/>
        <v>2646</v>
      </c>
      <c r="I359" s="388"/>
      <c r="J359" s="388"/>
      <c r="K359" s="265" t="s">
        <v>11898</v>
      </c>
      <c r="L359" s="333" t="s">
        <v>90</v>
      </c>
      <c r="M359" s="832">
        <v>42061.0</v>
      </c>
      <c r="N359" s="388"/>
      <c r="O359" s="333" t="s">
        <v>90</v>
      </c>
      <c r="P359" s="265" t="s">
        <v>12343</v>
      </c>
      <c r="Q359" s="773">
        <v>2299.5</v>
      </c>
      <c r="R359" s="388"/>
      <c r="S359" s="320" t="s">
        <v>11006</v>
      </c>
      <c r="T359" s="388"/>
      <c r="U359" s="1139"/>
      <c r="V359" s="1132">
        <v>42061.0</v>
      </c>
      <c r="W359" s="265" t="s">
        <v>12344</v>
      </c>
      <c r="X359" s="1135">
        <v>72135.0</v>
      </c>
      <c r="Y359" s="1132">
        <v>42074.0</v>
      </c>
      <c r="Z359" s="320" t="s">
        <v>12345</v>
      </c>
      <c r="AA359" s="320" t="s">
        <v>12346</v>
      </c>
      <c r="AB359" s="1149">
        <v>92813.0</v>
      </c>
      <c r="AC359" s="320" t="s">
        <v>12347</v>
      </c>
      <c r="AD359" s="388"/>
    </row>
    <row r="360" ht="15.75" customHeight="1">
      <c r="A360" s="776">
        <v>42024.0</v>
      </c>
      <c r="B360" s="844" t="s">
        <v>631</v>
      </c>
      <c r="C360" s="265" t="s">
        <v>12340</v>
      </c>
      <c r="D360" s="320" t="s">
        <v>12341</v>
      </c>
      <c r="E360" s="340" t="s">
        <v>12348</v>
      </c>
      <c r="F360" s="773">
        <v>9.0</v>
      </c>
      <c r="G360" s="773">
        <v>10.5</v>
      </c>
      <c r="H360" s="466">
        <f t="shared" si="71"/>
        <v>94.5</v>
      </c>
      <c r="I360" s="388"/>
      <c r="J360" s="388"/>
      <c r="K360" s="265" t="s">
        <v>11898</v>
      </c>
      <c r="L360" s="333" t="s">
        <v>6067</v>
      </c>
      <c r="M360" s="832">
        <v>42061.0</v>
      </c>
      <c r="N360" s="832">
        <v>42048.0</v>
      </c>
      <c r="O360" s="333" t="s">
        <v>90</v>
      </c>
      <c r="P360" s="265">
        <v>2.0150100141419E13</v>
      </c>
      <c r="Q360" s="773">
        <v>103.95</v>
      </c>
      <c r="R360" s="388"/>
      <c r="S360" s="320" t="s">
        <v>11006</v>
      </c>
      <c r="T360" s="388"/>
      <c r="U360" s="1139"/>
      <c r="V360" s="1132">
        <v>42048.0</v>
      </c>
      <c r="W360" s="265" t="s">
        <v>12349</v>
      </c>
      <c r="X360" s="1135">
        <v>3267.0</v>
      </c>
      <c r="Y360" s="1132">
        <v>42074.0</v>
      </c>
      <c r="Z360" s="320" t="s">
        <v>12345</v>
      </c>
      <c r="AA360" s="320" t="s">
        <v>12346</v>
      </c>
      <c r="AB360" s="1149" t="s">
        <v>12350</v>
      </c>
      <c r="AC360" s="320" t="s">
        <v>12347</v>
      </c>
      <c r="AD360" s="388"/>
    </row>
    <row r="361" ht="15.75" customHeight="1">
      <c r="A361" s="776">
        <v>42024.0</v>
      </c>
      <c r="B361" s="844" t="s">
        <v>631</v>
      </c>
      <c r="C361" s="265" t="s">
        <v>12340</v>
      </c>
      <c r="D361" s="320" t="s">
        <v>12341</v>
      </c>
      <c r="E361" s="340" t="s">
        <v>12348</v>
      </c>
      <c r="F361" s="773">
        <v>21.0</v>
      </c>
      <c r="G361" s="773">
        <v>10.5</v>
      </c>
      <c r="H361" s="466">
        <f t="shared" si="71"/>
        <v>220.5</v>
      </c>
      <c r="I361" s="388"/>
      <c r="J361" s="388"/>
      <c r="K361" s="265" t="s">
        <v>11898</v>
      </c>
      <c r="L361" s="333" t="s">
        <v>6067</v>
      </c>
      <c r="M361" s="832">
        <v>42061.0</v>
      </c>
      <c r="N361" s="832">
        <v>42048.0</v>
      </c>
      <c r="O361" s="333" t="s">
        <v>105</v>
      </c>
      <c r="P361" s="265" t="s">
        <v>12351</v>
      </c>
      <c r="Q361" s="388"/>
      <c r="R361" s="773">
        <v>3969.0</v>
      </c>
      <c r="S361" s="320" t="s">
        <v>12352</v>
      </c>
      <c r="T361" s="388"/>
      <c r="U361" s="1139"/>
      <c r="V361" s="1132">
        <v>42037.0</v>
      </c>
      <c r="W361" s="265" t="s">
        <v>12353</v>
      </c>
      <c r="X361" s="1135">
        <v>3969.0</v>
      </c>
      <c r="Y361" s="1132">
        <v>42090.0</v>
      </c>
      <c r="Z361" s="320" t="s">
        <v>12345</v>
      </c>
      <c r="AA361" s="320" t="s">
        <v>12346</v>
      </c>
      <c r="AB361" s="1149" t="s">
        <v>12350</v>
      </c>
      <c r="AC361" s="320" t="s">
        <v>12347</v>
      </c>
      <c r="AD361" s="388"/>
    </row>
    <row r="362" ht="15.75" customHeight="1">
      <c r="A362" s="776">
        <v>42041.0</v>
      </c>
      <c r="B362" s="844" t="s">
        <v>631</v>
      </c>
      <c r="C362" s="265" t="s">
        <v>12354</v>
      </c>
      <c r="D362" s="320" t="s">
        <v>12355</v>
      </c>
      <c r="E362" s="340" t="s">
        <v>6662</v>
      </c>
      <c r="F362" s="773">
        <v>3.0</v>
      </c>
      <c r="G362" s="773">
        <v>86.1</v>
      </c>
      <c r="H362" s="466">
        <f t="shared" si="71"/>
        <v>258.3</v>
      </c>
      <c r="I362" s="388"/>
      <c r="J362" s="388"/>
      <c r="K362" s="265" t="s">
        <v>11898</v>
      </c>
      <c r="L362" s="333" t="s">
        <v>90</v>
      </c>
      <c r="M362" s="832">
        <v>42061.0</v>
      </c>
      <c r="N362" s="388"/>
      <c r="O362" s="333" t="s">
        <v>90</v>
      </c>
      <c r="P362" s="265" t="s">
        <v>12356</v>
      </c>
      <c r="Q362" s="773">
        <v>226.8</v>
      </c>
      <c r="R362" s="388"/>
      <c r="S362" s="320" t="s">
        <v>11006</v>
      </c>
      <c r="T362" s="388"/>
      <c r="U362" s="1139"/>
      <c r="V362" s="1132">
        <v>42061.0</v>
      </c>
      <c r="W362" s="265" t="s">
        <v>12357</v>
      </c>
      <c r="X362" s="1135">
        <v>7115.0</v>
      </c>
      <c r="Y362" s="1132">
        <v>42074.0</v>
      </c>
      <c r="Z362" s="320" t="s">
        <v>12358</v>
      </c>
      <c r="AA362" s="320" t="s">
        <v>12346</v>
      </c>
      <c r="AB362" s="1149">
        <v>8097.0</v>
      </c>
      <c r="AC362" s="320" t="s">
        <v>12347</v>
      </c>
      <c r="AD362" s="388"/>
    </row>
    <row r="363" ht="15.75" customHeight="1">
      <c r="A363" s="776">
        <v>42041.0</v>
      </c>
      <c r="B363" s="844" t="s">
        <v>631</v>
      </c>
      <c r="C363" s="265" t="s">
        <v>12354</v>
      </c>
      <c r="D363" s="320" t="s">
        <v>12359</v>
      </c>
      <c r="E363" s="340" t="s">
        <v>8834</v>
      </c>
      <c r="F363" s="773">
        <v>3.0</v>
      </c>
      <c r="G363" s="773">
        <v>185.85</v>
      </c>
      <c r="H363" s="466">
        <f t="shared" si="71"/>
        <v>557.55</v>
      </c>
      <c r="I363" s="466">
        <f>J363/3</f>
        <v>5854.333333</v>
      </c>
      <c r="J363" s="1149">
        <v>17563.0</v>
      </c>
      <c r="K363" s="265" t="s">
        <v>11898</v>
      </c>
      <c r="L363" s="333" t="s">
        <v>90</v>
      </c>
      <c r="M363" s="832">
        <v>42047.0</v>
      </c>
      <c r="N363" s="388"/>
      <c r="O363" s="333" t="s">
        <v>90</v>
      </c>
      <c r="P363" s="265" t="s">
        <v>12360</v>
      </c>
      <c r="Q363" s="773">
        <v>450.45</v>
      </c>
      <c r="R363" s="388"/>
      <c r="S363" s="320" t="s">
        <v>11006</v>
      </c>
      <c r="T363" s="388"/>
      <c r="U363" s="1139"/>
      <c r="V363" s="1132">
        <v>42047.0</v>
      </c>
      <c r="W363" s="320" t="s">
        <v>12361</v>
      </c>
      <c r="X363" s="1135">
        <v>14155.0</v>
      </c>
      <c r="Y363" s="1132">
        <v>42074.0</v>
      </c>
      <c r="Z363" s="320" t="s">
        <v>12362</v>
      </c>
      <c r="AA363" s="320" t="s">
        <v>12363</v>
      </c>
      <c r="AB363" s="1149">
        <v>17563.0</v>
      </c>
      <c r="AC363" s="320" t="s">
        <v>12364</v>
      </c>
      <c r="AD363" s="388"/>
    </row>
    <row r="364" ht="15.75" customHeight="1">
      <c r="A364" s="764">
        <v>42213.0</v>
      </c>
      <c r="B364" s="844" t="s">
        <v>631</v>
      </c>
      <c r="C364" s="388" t="s">
        <v>12365</v>
      </c>
      <c r="D364" s="388" t="s">
        <v>12366</v>
      </c>
      <c r="E364" s="599" t="s">
        <v>12367</v>
      </c>
      <c r="F364" s="1137">
        <v>4.0</v>
      </c>
      <c r="G364" s="1137">
        <v>180.6</v>
      </c>
      <c r="H364" s="1147">
        <f t="shared" ref="H364:H371" si="73">F364*G364</f>
        <v>722.4</v>
      </c>
      <c r="I364" s="388"/>
      <c r="J364" s="388"/>
      <c r="K364" s="265" t="s">
        <v>11155</v>
      </c>
      <c r="L364" s="269" t="s">
        <v>90</v>
      </c>
      <c r="M364" s="832">
        <v>42219.0</v>
      </c>
      <c r="N364" s="388"/>
      <c r="O364" s="269" t="s">
        <v>90</v>
      </c>
      <c r="P364" s="265" t="s">
        <v>12368</v>
      </c>
      <c r="Q364" s="773">
        <v>667.8</v>
      </c>
      <c r="R364" s="388"/>
      <c r="S364" s="388" t="s">
        <v>11006</v>
      </c>
      <c r="T364" s="388"/>
      <c r="U364" s="1144">
        <v>42248.0</v>
      </c>
      <c r="V364" s="1143">
        <v>42219.0</v>
      </c>
      <c r="W364" s="388" t="s">
        <v>12369</v>
      </c>
      <c r="X364" s="845">
        <v>20929.0</v>
      </c>
      <c r="Y364" s="1144">
        <v>42220.0</v>
      </c>
      <c r="Z364" s="388" t="s">
        <v>12370</v>
      </c>
      <c r="AA364" s="388" t="s">
        <v>11701</v>
      </c>
      <c r="AB364" s="1159">
        <v>22813.0</v>
      </c>
      <c r="AC364" s="388" t="s">
        <v>12371</v>
      </c>
      <c r="AD364" s="388"/>
    </row>
    <row r="365" ht="15.75" customHeight="1">
      <c r="A365" s="764">
        <v>42297.0</v>
      </c>
      <c r="B365" s="844" t="s">
        <v>631</v>
      </c>
      <c r="C365" s="1004" t="s">
        <v>12372</v>
      </c>
      <c r="D365" s="388" t="s">
        <v>12373</v>
      </c>
      <c r="E365" s="599" t="s">
        <v>7071</v>
      </c>
      <c r="F365" s="1137">
        <v>10.0</v>
      </c>
      <c r="G365" s="1137">
        <v>180.6</v>
      </c>
      <c r="H365" s="1147">
        <f t="shared" si="73"/>
        <v>1806</v>
      </c>
      <c r="I365" s="388"/>
      <c r="J365" s="388"/>
      <c r="K365" s="265" t="s">
        <v>11155</v>
      </c>
      <c r="L365" s="269" t="s">
        <v>90</v>
      </c>
      <c r="M365" s="832">
        <v>42306.0</v>
      </c>
      <c r="N365" s="388"/>
      <c r="O365" s="269" t="s">
        <v>90</v>
      </c>
      <c r="P365" s="265" t="s">
        <v>12374</v>
      </c>
      <c r="Q365" s="773">
        <v>1669.5</v>
      </c>
      <c r="R365" s="388"/>
      <c r="S365" s="388" t="s">
        <v>11006</v>
      </c>
      <c r="T365" s="388"/>
      <c r="U365" s="388"/>
      <c r="V365" s="1143">
        <v>42306.0</v>
      </c>
      <c r="W365" s="388" t="s">
        <v>12375</v>
      </c>
      <c r="X365" s="845">
        <v>53733.0</v>
      </c>
      <c r="Y365" s="1139">
        <v>42321.0</v>
      </c>
      <c r="Z365" s="388" t="s">
        <v>12376</v>
      </c>
      <c r="AA365" s="388" t="s">
        <v>11175</v>
      </c>
      <c r="AB365" s="1159">
        <v>58577.0</v>
      </c>
      <c r="AC365" s="388" t="s">
        <v>11176</v>
      </c>
      <c r="AD365" s="388"/>
    </row>
    <row r="366" ht="15.75" customHeight="1">
      <c r="A366" s="764">
        <v>42310.0</v>
      </c>
      <c r="B366" s="844" t="s">
        <v>631</v>
      </c>
      <c r="C366" s="1004" t="s">
        <v>12377</v>
      </c>
      <c r="D366" s="388" t="s">
        <v>12378</v>
      </c>
      <c r="E366" s="599" t="s">
        <v>6110</v>
      </c>
      <c r="F366" s="1137">
        <v>50.0</v>
      </c>
      <c r="G366" s="1137">
        <v>109.2</v>
      </c>
      <c r="H366" s="1147">
        <f t="shared" si="73"/>
        <v>5460</v>
      </c>
      <c r="I366" s="388">
        <f>G366*32.61</f>
        <v>3561.012</v>
      </c>
      <c r="J366" s="388">
        <f>I366*F366</f>
        <v>178050.6</v>
      </c>
      <c r="K366" s="265" t="s">
        <v>11155</v>
      </c>
      <c r="L366" s="269" t="s">
        <v>90</v>
      </c>
      <c r="M366" s="832">
        <v>42338.0</v>
      </c>
      <c r="N366" s="823"/>
      <c r="O366" s="269" t="s">
        <v>90</v>
      </c>
      <c r="P366" s="265" t="s">
        <v>10930</v>
      </c>
      <c r="Q366" s="773">
        <v>5118.75</v>
      </c>
      <c r="R366" s="388"/>
      <c r="S366" s="388" t="s">
        <v>11006</v>
      </c>
      <c r="T366" s="388"/>
      <c r="U366" s="388"/>
      <c r="V366" s="1139">
        <v>42338.0</v>
      </c>
      <c r="W366" s="388" t="s">
        <v>12379</v>
      </c>
      <c r="X366" s="1146">
        <v>141394.0</v>
      </c>
      <c r="Y366" s="1139">
        <v>42341.0</v>
      </c>
      <c r="Z366" s="388" t="s">
        <v>12380</v>
      </c>
      <c r="AA366" s="388" t="s">
        <v>12381</v>
      </c>
      <c r="AB366" s="388">
        <v>178051.0</v>
      </c>
      <c r="AC366" s="388" t="s">
        <v>12382</v>
      </c>
      <c r="AD366" s="388"/>
    </row>
    <row r="367" ht="15.75" customHeight="1">
      <c r="A367" s="764">
        <v>42310.0</v>
      </c>
      <c r="B367" s="844" t="s">
        <v>631</v>
      </c>
      <c r="C367" s="1004" t="s">
        <v>12377</v>
      </c>
      <c r="D367" s="388" t="s">
        <v>12383</v>
      </c>
      <c r="E367" s="599" t="s">
        <v>12384</v>
      </c>
      <c r="F367" s="1137">
        <v>150.0</v>
      </c>
      <c r="G367" s="1137">
        <v>86.1</v>
      </c>
      <c r="H367" s="1147">
        <f t="shared" si="73"/>
        <v>12915</v>
      </c>
      <c r="I367" s="388"/>
      <c r="J367" s="388"/>
      <c r="K367" s="265" t="s">
        <v>11155</v>
      </c>
      <c r="L367" s="269" t="s">
        <v>90</v>
      </c>
      <c r="M367" s="832">
        <v>42367.0</v>
      </c>
      <c r="N367" s="823"/>
      <c r="O367" s="269" t="s">
        <v>90</v>
      </c>
      <c r="P367" s="265" t="s">
        <v>12385</v>
      </c>
      <c r="Q367" s="773">
        <v>11302.2</v>
      </c>
      <c r="R367" s="388"/>
      <c r="S367" s="388" t="s">
        <v>11006</v>
      </c>
      <c r="T367" s="388"/>
      <c r="U367" s="388"/>
      <c r="V367" s="1139">
        <v>42733.0</v>
      </c>
      <c r="W367" s="320" t="s">
        <v>12386</v>
      </c>
      <c r="X367" s="1088">
        <v>369978.0</v>
      </c>
      <c r="Y367" s="1145">
        <v>42374.0</v>
      </c>
      <c r="Z367" s="388" t="s">
        <v>12387</v>
      </c>
      <c r="AA367" s="388" t="s">
        <v>12388</v>
      </c>
      <c r="AB367" s="388">
        <v>423612.0</v>
      </c>
      <c r="AC367" s="388" t="s">
        <v>12389</v>
      </c>
      <c r="AD367" s="388"/>
    </row>
    <row r="368" ht="15.75" customHeight="1">
      <c r="A368" s="764">
        <v>42310.0</v>
      </c>
      <c r="B368" s="844" t="s">
        <v>631</v>
      </c>
      <c r="C368" s="1004" t="s">
        <v>12377</v>
      </c>
      <c r="D368" s="388" t="s">
        <v>12383</v>
      </c>
      <c r="E368" s="599" t="s">
        <v>12390</v>
      </c>
      <c r="F368" s="1137">
        <v>150.0</v>
      </c>
      <c r="G368" s="1137">
        <v>10.5</v>
      </c>
      <c r="H368" s="1147">
        <f t="shared" si="73"/>
        <v>1575</v>
      </c>
      <c r="I368" s="388">
        <f>G368*32.815</f>
        <v>344.5575</v>
      </c>
      <c r="J368" s="388">
        <f t="shared" ref="J368:J370" si="74">I368*F368</f>
        <v>51683.625</v>
      </c>
      <c r="K368" s="265" t="s">
        <v>11155</v>
      </c>
      <c r="L368" s="269" t="s">
        <v>90</v>
      </c>
      <c r="M368" s="832">
        <v>42348.0</v>
      </c>
      <c r="N368" s="832">
        <v>42342.0</v>
      </c>
      <c r="O368" s="269" t="s">
        <v>2039</v>
      </c>
      <c r="P368" s="388" t="s">
        <v>12391</v>
      </c>
      <c r="Q368" s="388"/>
      <c r="R368" s="320">
        <v>14490.0</v>
      </c>
      <c r="S368" s="388" t="s">
        <v>2194</v>
      </c>
      <c r="T368" s="388"/>
      <c r="U368" s="1139">
        <v>42012.0</v>
      </c>
      <c r="V368" s="1139">
        <v>42341.0</v>
      </c>
      <c r="W368" s="388" t="s">
        <v>12392</v>
      </c>
      <c r="X368" s="1146">
        <v>14490.0</v>
      </c>
      <c r="Y368" s="1139">
        <v>42373.0</v>
      </c>
      <c r="Z368" s="388" t="s">
        <v>12393</v>
      </c>
      <c r="AA368" s="388" t="s">
        <v>12394</v>
      </c>
      <c r="AB368" s="388">
        <v>51684.0</v>
      </c>
      <c r="AC368" s="388" t="s">
        <v>12038</v>
      </c>
      <c r="AD368" s="388"/>
    </row>
    <row r="369" ht="15.75" customHeight="1">
      <c r="A369" s="764">
        <v>42283.0</v>
      </c>
      <c r="B369" s="844" t="s">
        <v>4688</v>
      </c>
      <c r="C369" s="388"/>
      <c r="D369" s="388" t="s">
        <v>12395</v>
      </c>
      <c r="E369" s="599" t="s">
        <v>4774</v>
      </c>
      <c r="F369" s="1137">
        <v>14.0</v>
      </c>
      <c r="G369" s="1137">
        <v>318.15</v>
      </c>
      <c r="H369" s="1147">
        <f t="shared" si="73"/>
        <v>4454.1</v>
      </c>
      <c r="I369" s="1137">
        <f t="shared" ref="I369:I370" si="75">G369*32.24</f>
        <v>10257.156</v>
      </c>
      <c r="J369" s="1157">
        <f t="shared" si="74"/>
        <v>143600.184</v>
      </c>
      <c r="K369" s="265" t="s">
        <v>12396</v>
      </c>
      <c r="L369" s="269" t="s">
        <v>90</v>
      </c>
      <c r="M369" s="832">
        <v>42299.0</v>
      </c>
      <c r="N369" s="1139"/>
      <c r="O369" s="269" t="s">
        <v>90</v>
      </c>
      <c r="P369" s="265">
        <v>2.0151000159708E13</v>
      </c>
      <c r="Q369" s="773">
        <v>3998.4</v>
      </c>
      <c r="R369" s="388"/>
      <c r="S369" s="388" t="s">
        <v>11006</v>
      </c>
      <c r="T369" s="388"/>
      <c r="U369" s="388"/>
      <c r="V369" s="1143">
        <v>42299.0</v>
      </c>
      <c r="W369" s="388" t="s">
        <v>12397</v>
      </c>
      <c r="X369" s="845">
        <v>108817.0</v>
      </c>
      <c r="Y369" s="1144">
        <v>42321.0</v>
      </c>
      <c r="Z369" s="388" t="s">
        <v>12398</v>
      </c>
      <c r="AA369" s="388" t="s">
        <v>12399</v>
      </c>
      <c r="AB369" s="1268">
        <v>216585.0</v>
      </c>
      <c r="AC369" s="388" t="s">
        <v>12400</v>
      </c>
      <c r="AD369" s="388"/>
    </row>
    <row r="370" ht="15.75" customHeight="1">
      <c r="A370" s="764">
        <v>42283.0</v>
      </c>
      <c r="B370" s="844" t="s">
        <v>4688</v>
      </c>
      <c r="C370" s="388"/>
      <c r="D370" s="388" t="s">
        <v>12395</v>
      </c>
      <c r="E370" s="599" t="s">
        <v>12401</v>
      </c>
      <c r="F370" s="1137">
        <v>28.0</v>
      </c>
      <c r="G370" s="1137">
        <v>80.85</v>
      </c>
      <c r="H370" s="1147">
        <f t="shared" si="73"/>
        <v>2263.8</v>
      </c>
      <c r="I370" s="1137">
        <f t="shared" si="75"/>
        <v>2606.604</v>
      </c>
      <c r="J370" s="1157">
        <f t="shared" si="74"/>
        <v>72984.912</v>
      </c>
      <c r="K370" s="265" t="s">
        <v>12396</v>
      </c>
      <c r="L370" s="333" t="s">
        <v>11675</v>
      </c>
      <c r="M370" s="832">
        <v>42299.0</v>
      </c>
      <c r="N370" s="832">
        <v>42296.0</v>
      </c>
      <c r="O370" s="269" t="s">
        <v>6783</v>
      </c>
      <c r="P370" s="1004" t="s">
        <v>12402</v>
      </c>
      <c r="Q370" s="388"/>
      <c r="R370" s="773">
        <v>30286.0</v>
      </c>
      <c r="S370" s="388" t="s">
        <v>4766</v>
      </c>
      <c r="T370" s="388"/>
      <c r="U370" s="1144">
        <v>42292.0</v>
      </c>
      <c r="V370" s="1143">
        <v>42293.0</v>
      </c>
      <c r="W370" s="388" t="s">
        <v>12403</v>
      </c>
      <c r="X370" s="845">
        <v>20286.0</v>
      </c>
      <c r="Y370" s="1144">
        <v>42292.0</v>
      </c>
      <c r="Z370" s="388" t="s">
        <v>12398</v>
      </c>
      <c r="AA370" s="388" t="s">
        <v>12399</v>
      </c>
      <c r="AB370" s="388" t="s">
        <v>8836</v>
      </c>
      <c r="AC370" s="388" t="s">
        <v>12400</v>
      </c>
      <c r="AD370" s="388"/>
    </row>
    <row r="371" ht="15.75" customHeight="1">
      <c r="A371" s="764">
        <v>42306.0</v>
      </c>
      <c r="B371" s="844" t="s">
        <v>12404</v>
      </c>
      <c r="C371" s="388"/>
      <c r="D371" s="388" t="s">
        <v>12405</v>
      </c>
      <c r="E371" s="599" t="s">
        <v>12406</v>
      </c>
      <c r="F371" s="1137">
        <v>1.0</v>
      </c>
      <c r="G371" s="1137">
        <v>1600.0</v>
      </c>
      <c r="H371" s="1147">
        <f t="shared" si="73"/>
        <v>1600</v>
      </c>
      <c r="I371" s="388"/>
      <c r="J371" s="388"/>
      <c r="K371" s="265" t="s">
        <v>171</v>
      </c>
      <c r="L371" s="333" t="s">
        <v>71</v>
      </c>
      <c r="M371" s="832">
        <v>42328.0</v>
      </c>
      <c r="N371" s="832">
        <v>42327.0</v>
      </c>
      <c r="O371" s="269" t="s">
        <v>6067</v>
      </c>
      <c r="P371" s="1004" t="s">
        <v>12407</v>
      </c>
      <c r="Q371" s="388"/>
      <c r="R371" s="388">
        <v>42884.0</v>
      </c>
      <c r="S371" s="388"/>
      <c r="T371" s="388" t="s">
        <v>12407</v>
      </c>
      <c r="U371" s="388"/>
      <c r="V371" s="1140" t="s">
        <v>12407</v>
      </c>
      <c r="W371" s="388" t="s">
        <v>12407</v>
      </c>
      <c r="X371" s="388" t="s">
        <v>12407</v>
      </c>
      <c r="Y371" s="388"/>
      <c r="Z371" s="388" t="s">
        <v>12408</v>
      </c>
      <c r="AA371" s="388"/>
      <c r="AB371" s="388"/>
      <c r="AC371" s="388"/>
      <c r="AD371" s="388" t="s">
        <v>284</v>
      </c>
    </row>
    <row r="372" ht="15.75" customHeight="1">
      <c r="A372" s="764">
        <v>42047.0</v>
      </c>
      <c r="B372" s="844" t="s">
        <v>12409</v>
      </c>
      <c r="C372" s="388"/>
      <c r="D372" s="388" t="s">
        <v>12410</v>
      </c>
      <c r="E372" s="599" t="s">
        <v>12411</v>
      </c>
      <c r="F372" s="1137">
        <v>20.0</v>
      </c>
      <c r="G372" s="1137">
        <v>300.0</v>
      </c>
      <c r="H372" s="466">
        <f t="shared" ref="H372:H378" si="76">G372*F372</f>
        <v>6000</v>
      </c>
      <c r="I372" s="388"/>
      <c r="J372" s="388"/>
      <c r="K372" s="265" t="s">
        <v>11982</v>
      </c>
      <c r="L372" s="269" t="s">
        <v>316</v>
      </c>
      <c r="M372" s="832">
        <v>42089.0</v>
      </c>
      <c r="N372" s="832">
        <v>42086.0</v>
      </c>
      <c r="O372" s="269" t="s">
        <v>12412</v>
      </c>
      <c r="P372" s="388" t="s">
        <v>12413</v>
      </c>
      <c r="Q372" s="388"/>
      <c r="R372" s="466">
        <v>171990.0</v>
      </c>
      <c r="S372" s="320" t="s">
        <v>2000</v>
      </c>
      <c r="T372" s="388"/>
      <c r="U372" s="1148"/>
      <c r="V372" s="832">
        <v>42086.0</v>
      </c>
      <c r="W372" s="320" t="s">
        <v>12414</v>
      </c>
      <c r="X372" s="1135">
        <v>171990.0</v>
      </c>
      <c r="Y372" s="1144">
        <v>42083.0</v>
      </c>
      <c r="Z372" s="320" t="s">
        <v>12415</v>
      </c>
      <c r="AA372" s="388"/>
      <c r="AB372" s="388"/>
      <c r="AC372" s="388"/>
      <c r="AD372" s="388" t="s">
        <v>8661</v>
      </c>
    </row>
    <row r="373" ht="15.75" customHeight="1">
      <c r="A373" s="764">
        <v>42047.0</v>
      </c>
      <c r="B373" s="844" t="s">
        <v>12409</v>
      </c>
      <c r="C373" s="388"/>
      <c r="D373" s="388" t="s">
        <v>12416</v>
      </c>
      <c r="E373" s="599" t="s">
        <v>12411</v>
      </c>
      <c r="F373" s="1137">
        <v>15.0</v>
      </c>
      <c r="G373" s="1137">
        <v>300.0</v>
      </c>
      <c r="H373" s="466">
        <f t="shared" si="76"/>
        <v>4500</v>
      </c>
      <c r="I373" s="388"/>
      <c r="J373" s="388"/>
      <c r="K373" s="265" t="s">
        <v>11982</v>
      </c>
      <c r="L373" s="269" t="s">
        <v>12417</v>
      </c>
      <c r="M373" s="832">
        <v>42117.0</v>
      </c>
      <c r="N373" s="832">
        <v>42115.0</v>
      </c>
      <c r="O373" s="269" t="s">
        <v>12412</v>
      </c>
      <c r="P373" s="388" t="s">
        <v>12418</v>
      </c>
      <c r="Q373" s="388"/>
      <c r="R373" s="466">
        <v>128092.0</v>
      </c>
      <c r="S373" s="320" t="s">
        <v>2000</v>
      </c>
      <c r="T373" s="388"/>
      <c r="U373" s="1148"/>
      <c r="V373" s="1148">
        <v>42114.0</v>
      </c>
      <c r="W373" s="388" t="s">
        <v>12419</v>
      </c>
      <c r="X373" s="1269">
        <v>128092.0</v>
      </c>
      <c r="Y373" s="1144">
        <v>42108.0</v>
      </c>
      <c r="Z373" s="320" t="s">
        <v>12420</v>
      </c>
      <c r="AA373" s="388"/>
      <c r="AB373" s="388"/>
      <c r="AC373" s="388"/>
      <c r="AD373" s="388" t="s">
        <v>284</v>
      </c>
    </row>
    <row r="374" ht="15.75" customHeight="1">
      <c r="A374" s="764">
        <v>42088.0</v>
      </c>
      <c r="B374" s="844" t="s">
        <v>12409</v>
      </c>
      <c r="C374" s="388"/>
      <c r="D374" s="388" t="s">
        <v>12421</v>
      </c>
      <c r="E374" s="599" t="s">
        <v>10409</v>
      </c>
      <c r="F374" s="1137">
        <v>30.0</v>
      </c>
      <c r="G374" s="1137">
        <v>14.0</v>
      </c>
      <c r="H374" s="466">
        <f t="shared" si="76"/>
        <v>420</v>
      </c>
      <c r="I374" s="388"/>
      <c r="J374" s="388"/>
      <c r="K374" s="265" t="s">
        <v>11982</v>
      </c>
      <c r="L374" s="269" t="s">
        <v>12417</v>
      </c>
      <c r="M374" s="832">
        <v>42117.0</v>
      </c>
      <c r="N374" s="832">
        <v>42108.0</v>
      </c>
      <c r="O374" s="269" t="s">
        <v>6287</v>
      </c>
      <c r="P374" s="388" t="s">
        <v>12422</v>
      </c>
      <c r="Q374" s="388"/>
      <c r="R374" s="1149">
        <v>11831.0</v>
      </c>
      <c r="S374" s="388" t="s">
        <v>2043</v>
      </c>
      <c r="T374" s="388"/>
      <c r="U374" s="1139"/>
      <c r="V374" s="1132">
        <v>42108.0</v>
      </c>
      <c r="W374" s="388" t="s">
        <v>12423</v>
      </c>
      <c r="X374" s="845">
        <v>11831.0</v>
      </c>
      <c r="Y374" s="1144">
        <v>42096.0</v>
      </c>
      <c r="Z374" s="320" t="s">
        <v>12420</v>
      </c>
      <c r="AA374" s="388"/>
      <c r="AB374" s="388"/>
      <c r="AC374" s="388"/>
      <c r="AD374" s="388" t="s">
        <v>284</v>
      </c>
    </row>
    <row r="375" ht="15.75" customHeight="1">
      <c r="A375" s="764">
        <v>42110.0</v>
      </c>
      <c r="B375" s="844" t="s">
        <v>12409</v>
      </c>
      <c r="C375" s="388"/>
      <c r="D375" s="388" t="s">
        <v>12424</v>
      </c>
      <c r="E375" s="599" t="s">
        <v>9576</v>
      </c>
      <c r="F375" s="1137">
        <v>20.0</v>
      </c>
      <c r="G375" s="1137">
        <v>184.0</v>
      </c>
      <c r="H375" s="466">
        <f t="shared" si="76"/>
        <v>3680</v>
      </c>
      <c r="I375" s="388"/>
      <c r="J375" s="388"/>
      <c r="K375" s="265" t="s">
        <v>11982</v>
      </c>
      <c r="L375" s="269" t="s">
        <v>316</v>
      </c>
      <c r="M375" s="832">
        <v>42131.0</v>
      </c>
      <c r="N375" s="832">
        <v>42129.0</v>
      </c>
      <c r="O375" s="269" t="s">
        <v>12412</v>
      </c>
      <c r="P375" s="1004" t="s">
        <v>12425</v>
      </c>
      <c r="Q375" s="388"/>
      <c r="R375" s="325">
        <v>106410.0</v>
      </c>
      <c r="S375" s="388" t="s">
        <v>12426</v>
      </c>
      <c r="T375" s="388"/>
      <c r="U375" s="592"/>
      <c r="V375" s="1148">
        <v>42128.0</v>
      </c>
      <c r="W375" s="388" t="s">
        <v>12427</v>
      </c>
      <c r="X375" s="845">
        <v>106410.0</v>
      </c>
      <c r="Y375" s="1144">
        <v>42160.0</v>
      </c>
      <c r="Z375" s="320" t="s">
        <v>12428</v>
      </c>
      <c r="AA375" s="388"/>
      <c r="AB375" s="388"/>
      <c r="AC375" s="388"/>
      <c r="AD375" s="388" t="s">
        <v>8661</v>
      </c>
    </row>
    <row r="376" ht="15.75" customHeight="1">
      <c r="A376" s="764">
        <v>42110.0</v>
      </c>
      <c r="B376" s="844" t="s">
        <v>12409</v>
      </c>
      <c r="C376" s="388"/>
      <c r="D376" s="388" t="s">
        <v>12424</v>
      </c>
      <c r="E376" s="599" t="s">
        <v>12429</v>
      </c>
      <c r="F376" s="1137">
        <v>20.0</v>
      </c>
      <c r="G376" s="1137">
        <v>9.5</v>
      </c>
      <c r="H376" s="466">
        <f t="shared" si="76"/>
        <v>190</v>
      </c>
      <c r="I376" s="388"/>
      <c r="J376" s="388"/>
      <c r="K376" s="265" t="s">
        <v>11982</v>
      </c>
      <c r="L376" s="269" t="s">
        <v>316</v>
      </c>
      <c r="M376" s="832">
        <v>42131.0</v>
      </c>
      <c r="N376" s="832">
        <v>42124.0</v>
      </c>
      <c r="O376" s="269" t="s">
        <v>10989</v>
      </c>
      <c r="P376" s="1004" t="s">
        <v>12430</v>
      </c>
      <c r="Q376" s="388"/>
      <c r="R376" s="773">
        <v>3150.0</v>
      </c>
      <c r="S376" s="388" t="s">
        <v>11975</v>
      </c>
      <c r="T376" s="388"/>
      <c r="U376" s="1139"/>
      <c r="V376" s="1144">
        <v>42124.0</v>
      </c>
      <c r="W376" s="388" t="s">
        <v>12431</v>
      </c>
      <c r="X376" s="845">
        <v>3150.0</v>
      </c>
      <c r="Y376" s="1144">
        <v>42129.0</v>
      </c>
      <c r="Z376" s="320" t="s">
        <v>12428</v>
      </c>
      <c r="AA376" s="388"/>
      <c r="AB376" s="388"/>
      <c r="AC376" s="388"/>
      <c r="AD376" s="388" t="s">
        <v>8661</v>
      </c>
    </row>
    <row r="377" ht="15.75" customHeight="1">
      <c r="A377" s="764">
        <v>42117.0</v>
      </c>
      <c r="B377" s="844" t="s">
        <v>12409</v>
      </c>
      <c r="C377" s="388"/>
      <c r="D377" s="388" t="s">
        <v>12432</v>
      </c>
      <c r="E377" s="599" t="s">
        <v>12433</v>
      </c>
      <c r="F377" s="1137">
        <v>8.0</v>
      </c>
      <c r="G377" s="1137">
        <v>135.0</v>
      </c>
      <c r="H377" s="466">
        <f t="shared" si="76"/>
        <v>1080</v>
      </c>
      <c r="I377" s="388"/>
      <c r="J377" s="388"/>
      <c r="K377" s="265" t="s">
        <v>11982</v>
      </c>
      <c r="L377" s="269" t="s">
        <v>316</v>
      </c>
      <c r="M377" s="832">
        <v>42131.0</v>
      </c>
      <c r="N377" s="832">
        <v>42129.0</v>
      </c>
      <c r="O377" s="269" t="s">
        <v>10977</v>
      </c>
      <c r="P377" s="1004" t="s">
        <v>12434</v>
      </c>
      <c r="Q377" s="388"/>
      <c r="R377" s="773">
        <v>29877.12</v>
      </c>
      <c r="S377" s="388" t="s">
        <v>12435</v>
      </c>
      <c r="T377" s="388"/>
      <c r="U377" s="388"/>
      <c r="V377" s="1144">
        <v>42128.0</v>
      </c>
      <c r="W377" s="388" t="s">
        <v>10980</v>
      </c>
      <c r="X377" s="592" t="s">
        <v>12436</v>
      </c>
      <c r="Y377" s="1144">
        <v>42160.0</v>
      </c>
      <c r="Z377" s="320" t="s">
        <v>12428</v>
      </c>
      <c r="AA377" s="388"/>
      <c r="AB377" s="1146"/>
      <c r="AC377" s="1146"/>
      <c r="AD377" s="1137">
        <v>1050.48</v>
      </c>
    </row>
    <row r="378" ht="15.75" customHeight="1">
      <c r="A378" s="764">
        <v>42138.0</v>
      </c>
      <c r="B378" s="844" t="s">
        <v>12409</v>
      </c>
      <c r="C378" s="1004">
        <v>182.0</v>
      </c>
      <c r="D378" s="388" t="s">
        <v>12437</v>
      </c>
      <c r="E378" s="599" t="s">
        <v>9749</v>
      </c>
      <c r="F378" s="1137">
        <v>30.0</v>
      </c>
      <c r="G378" s="1137">
        <v>300.0</v>
      </c>
      <c r="H378" s="466">
        <f t="shared" si="76"/>
        <v>9000</v>
      </c>
      <c r="I378" s="388"/>
      <c r="J378" s="388"/>
      <c r="K378" s="265" t="s">
        <v>12093</v>
      </c>
      <c r="L378" s="269" t="s">
        <v>316</v>
      </c>
      <c r="M378" s="1148">
        <v>42149.0</v>
      </c>
      <c r="N378" s="832">
        <v>42149.0</v>
      </c>
      <c r="O378" s="269" t="s">
        <v>12412</v>
      </c>
      <c r="P378" s="1004" t="s">
        <v>12438</v>
      </c>
      <c r="Q378" s="388"/>
      <c r="R378" s="325">
        <v>249140.0</v>
      </c>
      <c r="S378" s="388" t="s">
        <v>12426</v>
      </c>
      <c r="T378" s="388"/>
      <c r="U378" s="592"/>
      <c r="V378" s="1148">
        <v>42146.0</v>
      </c>
      <c r="W378" s="388" t="s">
        <v>12439</v>
      </c>
      <c r="X378" s="845">
        <v>249140.0</v>
      </c>
      <c r="Y378" s="1144">
        <v>42160.0</v>
      </c>
      <c r="Z378" s="320" t="s">
        <v>12440</v>
      </c>
      <c r="AA378" s="388"/>
      <c r="AB378" s="388"/>
      <c r="AC378" s="388"/>
      <c r="AD378" s="1137">
        <v>8945.43</v>
      </c>
    </row>
    <row r="379" ht="15.75" customHeight="1">
      <c r="A379" s="764">
        <v>42192.0</v>
      </c>
      <c r="B379" s="844" t="s">
        <v>12409</v>
      </c>
      <c r="C379" s="388"/>
      <c r="D379" s="388" t="s">
        <v>12441</v>
      </c>
      <c r="E379" s="599" t="s">
        <v>12442</v>
      </c>
      <c r="F379" s="1137">
        <v>1.0</v>
      </c>
      <c r="G379" s="1137">
        <v>15.0</v>
      </c>
      <c r="H379" s="1147">
        <f t="shared" ref="H379:H402" si="77">F379*G379</f>
        <v>15</v>
      </c>
      <c r="I379" s="388"/>
      <c r="J379" s="388"/>
      <c r="K379" s="265" t="s">
        <v>171</v>
      </c>
      <c r="L379" s="269" t="s">
        <v>316</v>
      </c>
      <c r="M379" s="832">
        <v>42205.0</v>
      </c>
      <c r="N379" s="832">
        <v>42199.0</v>
      </c>
      <c r="O379" s="1253" t="s">
        <v>12443</v>
      </c>
      <c r="P379" s="1004" t="s">
        <v>12444</v>
      </c>
      <c r="Q379" s="388"/>
      <c r="R379" s="1270">
        <v>293.0</v>
      </c>
      <c r="S379" s="1254" t="s">
        <v>12445</v>
      </c>
      <c r="T379" s="388"/>
      <c r="U379" s="388"/>
      <c r="V379" s="1143">
        <v>42198.0</v>
      </c>
      <c r="W379" s="388" t="s">
        <v>12446</v>
      </c>
      <c r="X379" s="592">
        <v>293.0</v>
      </c>
      <c r="Y379" s="1144">
        <v>42198.0</v>
      </c>
      <c r="Z379" s="320" t="s">
        <v>12447</v>
      </c>
      <c r="AA379" s="388"/>
      <c r="AB379" s="388"/>
      <c r="AC379" s="388"/>
      <c r="AD379" s="1140" t="s">
        <v>284</v>
      </c>
    </row>
    <row r="380" ht="15.75" customHeight="1">
      <c r="A380" s="764">
        <v>42198.0</v>
      </c>
      <c r="B380" s="844" t="s">
        <v>12409</v>
      </c>
      <c r="C380" s="388"/>
      <c r="D380" s="388" t="s">
        <v>12448</v>
      </c>
      <c r="E380" s="599" t="s">
        <v>10409</v>
      </c>
      <c r="F380" s="1137">
        <v>30.0</v>
      </c>
      <c r="G380" s="1137">
        <v>14.0</v>
      </c>
      <c r="H380" s="1147">
        <f t="shared" si="77"/>
        <v>420</v>
      </c>
      <c r="I380" s="388"/>
      <c r="J380" s="388"/>
      <c r="K380" s="265" t="s">
        <v>171</v>
      </c>
      <c r="L380" s="269" t="s">
        <v>12449</v>
      </c>
      <c r="M380" s="832">
        <v>42205.0</v>
      </c>
      <c r="N380" s="832">
        <v>42201.0</v>
      </c>
      <c r="O380" s="269" t="s">
        <v>6287</v>
      </c>
      <c r="P380" s="1004" t="s">
        <v>12450</v>
      </c>
      <c r="Q380" s="388"/>
      <c r="R380" s="773">
        <v>11711.0</v>
      </c>
      <c r="S380" s="388" t="s">
        <v>2043</v>
      </c>
      <c r="T380" s="388"/>
      <c r="U380" s="388"/>
      <c r="V380" s="1143">
        <v>42200.0</v>
      </c>
      <c r="W380" s="388" t="s">
        <v>12451</v>
      </c>
      <c r="X380" s="845">
        <v>11711.0</v>
      </c>
      <c r="Y380" s="1144">
        <v>42199.0</v>
      </c>
      <c r="Z380" s="320" t="s">
        <v>12452</v>
      </c>
      <c r="AA380" s="388"/>
      <c r="AB380" s="388"/>
      <c r="AC380" s="388"/>
      <c r="AD380" s="1140" t="s">
        <v>284</v>
      </c>
    </row>
    <row r="381" ht="15.75" customHeight="1">
      <c r="A381" s="764">
        <v>42209.0</v>
      </c>
      <c r="B381" s="844" t="s">
        <v>12409</v>
      </c>
      <c r="C381" s="388"/>
      <c r="D381" s="388" t="s">
        <v>12453</v>
      </c>
      <c r="E381" s="844" t="s">
        <v>12454</v>
      </c>
      <c r="F381" s="1137">
        <v>100.0</v>
      </c>
      <c r="G381" s="1137">
        <v>20.0</v>
      </c>
      <c r="H381" s="1147">
        <f t="shared" si="77"/>
        <v>2000</v>
      </c>
      <c r="I381" s="388"/>
      <c r="J381" s="388"/>
      <c r="K381" s="265" t="s">
        <v>171</v>
      </c>
      <c r="L381" s="269" t="s">
        <v>316</v>
      </c>
      <c r="M381" s="832">
        <v>42247.0</v>
      </c>
      <c r="N381" s="832">
        <v>42217.0</v>
      </c>
      <c r="O381" s="269" t="s">
        <v>6287</v>
      </c>
      <c r="P381" s="1004" t="s">
        <v>12455</v>
      </c>
      <c r="Q381" s="388"/>
      <c r="R381" s="773">
        <v>57459.0</v>
      </c>
      <c r="S381" s="388" t="s">
        <v>2043</v>
      </c>
      <c r="T381" s="388"/>
      <c r="U381" s="1144">
        <v>42216.0</v>
      </c>
      <c r="V381" s="1143">
        <v>42216.0</v>
      </c>
      <c r="W381" s="388" t="s">
        <v>12456</v>
      </c>
      <c r="X381" s="845">
        <v>57459.0</v>
      </c>
      <c r="Y381" s="1144">
        <v>42215.0</v>
      </c>
      <c r="Z381" s="388" t="s">
        <v>12457</v>
      </c>
      <c r="AA381" s="388"/>
      <c r="AB381" s="388"/>
      <c r="AC381" s="388"/>
      <c r="AD381" s="1140" t="s">
        <v>284</v>
      </c>
    </row>
    <row r="382" ht="15.75" customHeight="1">
      <c r="A382" s="764">
        <v>42212.0</v>
      </c>
      <c r="B382" s="844" t="s">
        <v>12409</v>
      </c>
      <c r="C382" s="1004">
        <v>369.0</v>
      </c>
      <c r="D382" s="388" t="s">
        <v>12458</v>
      </c>
      <c r="E382" s="599" t="s">
        <v>12411</v>
      </c>
      <c r="F382" s="1137">
        <v>20.0</v>
      </c>
      <c r="G382" s="1137">
        <v>300.0</v>
      </c>
      <c r="H382" s="1147">
        <f t="shared" si="77"/>
        <v>6000</v>
      </c>
      <c r="I382" s="388"/>
      <c r="J382" s="388"/>
      <c r="K382" s="265" t="s">
        <v>171</v>
      </c>
      <c r="L382" s="269" t="s">
        <v>316</v>
      </c>
      <c r="M382" s="832">
        <v>42247.0</v>
      </c>
      <c r="N382" s="832">
        <v>42243.0</v>
      </c>
      <c r="O382" s="269" t="s">
        <v>12412</v>
      </c>
      <c r="P382" s="1004" t="s">
        <v>12459</v>
      </c>
      <c r="Q382" s="388"/>
      <c r="R382" s="466">
        <f>5460*32.68</f>
        <v>178432.8</v>
      </c>
      <c r="S382" s="388" t="s">
        <v>12426</v>
      </c>
      <c r="T382" s="388"/>
      <c r="U382" s="1148">
        <v>42282.0</v>
      </c>
      <c r="V382" s="1148">
        <v>42242.0</v>
      </c>
      <c r="W382" s="388" t="s">
        <v>12460</v>
      </c>
      <c r="X382" s="845">
        <v>178433.0</v>
      </c>
      <c r="Y382" s="1144">
        <v>42284.0</v>
      </c>
      <c r="Z382" s="388" t="s">
        <v>12457</v>
      </c>
      <c r="AA382" s="388"/>
      <c r="AB382" s="388"/>
      <c r="AC382" s="388"/>
      <c r="AD382" s="1140" t="s">
        <v>284</v>
      </c>
    </row>
    <row r="383" ht="15.75" customHeight="1">
      <c r="A383" s="764">
        <v>42222.0</v>
      </c>
      <c r="B383" s="844" t="s">
        <v>12409</v>
      </c>
      <c r="C383" s="1004">
        <v>406.0</v>
      </c>
      <c r="D383" s="388" t="s">
        <v>12461</v>
      </c>
      <c r="E383" s="599" t="s">
        <v>12462</v>
      </c>
      <c r="F383" s="1137">
        <v>1.0</v>
      </c>
      <c r="G383" s="1137">
        <v>34.0</v>
      </c>
      <c r="H383" s="773">
        <f t="shared" si="77"/>
        <v>34</v>
      </c>
      <c r="I383" s="388"/>
      <c r="J383" s="388"/>
      <c r="K383" s="265" t="s">
        <v>171</v>
      </c>
      <c r="L383" s="269" t="s">
        <v>316</v>
      </c>
      <c r="M383" s="832">
        <v>42247.0</v>
      </c>
      <c r="N383" s="1247">
        <v>42230.0</v>
      </c>
      <c r="O383" s="1253" t="s">
        <v>12463</v>
      </c>
      <c r="P383" s="388"/>
      <c r="Q383" s="388"/>
      <c r="R383" s="773">
        <v>650.0</v>
      </c>
      <c r="S383" s="1254" t="s">
        <v>12464</v>
      </c>
      <c r="T383" s="388"/>
      <c r="U383" s="1144">
        <v>42226.0</v>
      </c>
      <c r="V383" s="1143">
        <v>42226.0</v>
      </c>
      <c r="W383" s="388" t="s">
        <v>12465</v>
      </c>
      <c r="X383" s="592">
        <v>650.0</v>
      </c>
      <c r="Y383" s="1144">
        <v>42226.0</v>
      </c>
      <c r="Z383" s="388" t="s">
        <v>12457</v>
      </c>
      <c r="AA383" s="388"/>
      <c r="AB383" s="388"/>
      <c r="AC383" s="388"/>
      <c r="AD383" s="1140" t="s">
        <v>284</v>
      </c>
    </row>
    <row r="384" ht="15.75" customHeight="1">
      <c r="A384" s="796">
        <v>42255.0</v>
      </c>
      <c r="B384" s="844" t="s">
        <v>12409</v>
      </c>
      <c r="C384" s="783">
        <v>433.0</v>
      </c>
      <c r="D384" s="800" t="s">
        <v>12466</v>
      </c>
      <c r="E384" s="786" t="s">
        <v>12467</v>
      </c>
      <c r="F384" s="930">
        <v>0.0</v>
      </c>
      <c r="G384" s="930">
        <v>37.0</v>
      </c>
      <c r="H384" s="1271">
        <f t="shared" si="77"/>
        <v>0</v>
      </c>
      <c r="I384" s="388"/>
      <c r="J384" s="388"/>
      <c r="K384" s="783" t="s">
        <v>171</v>
      </c>
      <c r="L384" s="784" t="s">
        <v>316</v>
      </c>
      <c r="M384" s="282" t="s">
        <v>11906</v>
      </c>
      <c r="N384" s="835">
        <v>42258.0</v>
      </c>
      <c r="O384" s="784" t="s">
        <v>6287</v>
      </c>
      <c r="P384" s="1058" t="s">
        <v>12468</v>
      </c>
      <c r="Q384" s="388"/>
      <c r="R384" s="930">
        <v>1092.0</v>
      </c>
      <c r="S384" s="857" t="s">
        <v>2043</v>
      </c>
      <c r="T384" s="388"/>
      <c r="U384" s="1272">
        <v>42271.0</v>
      </c>
      <c r="V384" s="1273">
        <v>42257.0</v>
      </c>
      <c r="W384" s="857" t="s">
        <v>12469</v>
      </c>
      <c r="X384" s="1274">
        <v>1094.0</v>
      </c>
      <c r="Y384" s="1272">
        <v>42279.0</v>
      </c>
      <c r="Z384" s="1275"/>
      <c r="AA384" s="388"/>
      <c r="AB384" s="388"/>
      <c r="AC384" s="388"/>
      <c r="AD384" s="388"/>
    </row>
    <row r="385" ht="15.75" customHeight="1">
      <c r="A385" s="764">
        <v>42299.0</v>
      </c>
      <c r="B385" s="844" t="s">
        <v>12409</v>
      </c>
      <c r="C385" s="1004">
        <v>576.0</v>
      </c>
      <c r="D385" s="388" t="s">
        <v>12470</v>
      </c>
      <c r="E385" s="599" t="s">
        <v>10409</v>
      </c>
      <c r="F385" s="1137">
        <v>50.0</v>
      </c>
      <c r="G385" s="1137">
        <v>14.0</v>
      </c>
      <c r="H385" s="1147">
        <f t="shared" si="77"/>
        <v>700</v>
      </c>
      <c r="I385" s="388"/>
      <c r="J385" s="388"/>
      <c r="K385" s="265" t="s">
        <v>171</v>
      </c>
      <c r="L385" s="269" t="s">
        <v>316</v>
      </c>
      <c r="M385" s="832">
        <v>42303.0</v>
      </c>
      <c r="N385" s="832">
        <v>42300.0</v>
      </c>
      <c r="O385" s="269" t="s">
        <v>6287</v>
      </c>
      <c r="P385" s="1004" t="s">
        <v>12471</v>
      </c>
      <c r="Q385" s="388"/>
      <c r="R385" s="773">
        <v>20418.0</v>
      </c>
      <c r="S385" s="388" t="s">
        <v>2043</v>
      </c>
      <c r="T385" s="388"/>
      <c r="U385" s="1143">
        <v>42318.0</v>
      </c>
      <c r="V385" s="1143">
        <v>42299.0</v>
      </c>
      <c r="W385" s="388" t="s">
        <v>12472</v>
      </c>
      <c r="X385" s="845">
        <v>20418.0</v>
      </c>
      <c r="Y385" s="1143">
        <v>42320.0</v>
      </c>
      <c r="Z385" s="388" t="s">
        <v>12473</v>
      </c>
      <c r="AA385" s="388"/>
      <c r="AB385" s="1146"/>
      <c r="AC385" s="388"/>
      <c r="AD385" s="388" t="s">
        <v>284</v>
      </c>
    </row>
    <row r="386" ht="15.75" customHeight="1">
      <c r="A386" s="764">
        <v>42304.0</v>
      </c>
      <c r="B386" s="844" t="s">
        <v>12409</v>
      </c>
      <c r="C386" s="388"/>
      <c r="D386" s="388" t="s">
        <v>12474</v>
      </c>
      <c r="E386" s="599" t="s">
        <v>12475</v>
      </c>
      <c r="F386" s="1137">
        <v>2.0</v>
      </c>
      <c r="G386" s="1137">
        <v>6.2</v>
      </c>
      <c r="H386" s="1147">
        <f t="shared" si="77"/>
        <v>12.4</v>
      </c>
      <c r="I386" s="388"/>
      <c r="J386" s="388"/>
      <c r="K386" s="265" t="s">
        <v>171</v>
      </c>
      <c r="L386" s="599"/>
      <c r="M386" s="832">
        <v>42340.0</v>
      </c>
      <c r="N386" s="832">
        <v>42327.0</v>
      </c>
      <c r="O386" s="269" t="s">
        <v>2039</v>
      </c>
      <c r="P386" s="388"/>
      <c r="Q386" s="388"/>
      <c r="R386" s="1137">
        <v>0.0</v>
      </c>
      <c r="S386" s="388"/>
      <c r="T386" s="388"/>
      <c r="U386" s="388"/>
      <c r="V386" s="1137" t="s">
        <v>5701</v>
      </c>
      <c r="W386" s="388" t="s">
        <v>5701</v>
      </c>
      <c r="X386" s="388" t="s">
        <v>5701</v>
      </c>
      <c r="Y386" s="388" t="s">
        <v>12476</v>
      </c>
      <c r="Z386" s="388" t="s">
        <v>12477</v>
      </c>
      <c r="AA386" s="388"/>
      <c r="AB386" s="388"/>
      <c r="AC386" s="388"/>
      <c r="AD386" s="388"/>
    </row>
    <row r="387" ht="15.75" customHeight="1">
      <c r="A387" s="764">
        <v>42304.0</v>
      </c>
      <c r="B387" s="844" t="s">
        <v>12409</v>
      </c>
      <c r="C387" s="388"/>
      <c r="D387" s="388" t="s">
        <v>12474</v>
      </c>
      <c r="E387" s="599" t="s">
        <v>12478</v>
      </c>
      <c r="F387" s="1137">
        <v>2.0</v>
      </c>
      <c r="G387" s="1137">
        <v>4.0</v>
      </c>
      <c r="H387" s="1147">
        <f t="shared" si="77"/>
        <v>8</v>
      </c>
      <c r="I387" s="388"/>
      <c r="J387" s="388"/>
      <c r="K387" s="265" t="s">
        <v>171</v>
      </c>
      <c r="L387" s="599"/>
      <c r="M387" s="832">
        <v>42340.0</v>
      </c>
      <c r="N387" s="1247">
        <v>42340.0</v>
      </c>
      <c r="O387" s="269" t="s">
        <v>2039</v>
      </c>
      <c r="P387" s="388"/>
      <c r="Q387" s="388"/>
      <c r="R387" s="1137">
        <v>0.0</v>
      </c>
      <c r="S387" s="388"/>
      <c r="T387" s="388"/>
      <c r="U387" s="388"/>
      <c r="V387" s="1137" t="s">
        <v>5701</v>
      </c>
      <c r="W387" s="388" t="s">
        <v>5701</v>
      </c>
      <c r="X387" s="388" t="s">
        <v>5701</v>
      </c>
      <c r="Y387" s="388" t="s">
        <v>12476</v>
      </c>
      <c r="Z387" s="388" t="s">
        <v>12477</v>
      </c>
      <c r="AA387" s="388"/>
      <c r="AB387" s="388"/>
      <c r="AC387" s="388"/>
      <c r="AD387" s="388"/>
    </row>
    <row r="388" ht="15.75" customHeight="1">
      <c r="A388" s="764">
        <v>42307.0</v>
      </c>
      <c r="B388" s="844" t="s">
        <v>12409</v>
      </c>
      <c r="C388" s="1004">
        <v>595.0</v>
      </c>
      <c r="D388" s="388" t="s">
        <v>12479</v>
      </c>
      <c r="E388" s="599" t="s">
        <v>12411</v>
      </c>
      <c r="F388" s="1137">
        <v>30.0</v>
      </c>
      <c r="G388" s="1137">
        <v>300.0</v>
      </c>
      <c r="H388" s="1147">
        <f t="shared" si="77"/>
        <v>9000</v>
      </c>
      <c r="I388" s="388"/>
      <c r="J388" s="388"/>
      <c r="K388" s="265" t="s">
        <v>171</v>
      </c>
      <c r="L388" s="269" t="s">
        <v>316</v>
      </c>
      <c r="M388" s="832">
        <v>42328.0</v>
      </c>
      <c r="N388" s="832">
        <v>42324.0</v>
      </c>
      <c r="O388" s="269" t="s">
        <v>12412</v>
      </c>
      <c r="P388" s="1004" t="s">
        <v>12480</v>
      </c>
      <c r="Q388" s="388"/>
      <c r="R388" s="466">
        <v>268714.0</v>
      </c>
      <c r="S388" s="388" t="s">
        <v>12426</v>
      </c>
      <c r="T388" s="388"/>
      <c r="U388" s="1148">
        <v>42354.0</v>
      </c>
      <c r="V388" s="1148">
        <v>42324.0</v>
      </c>
      <c r="W388" s="388" t="s">
        <v>12481</v>
      </c>
      <c r="X388" s="845">
        <v>268714.0</v>
      </c>
      <c r="Y388" s="1139">
        <v>42356.0</v>
      </c>
      <c r="Z388" s="388" t="s">
        <v>12482</v>
      </c>
      <c r="AA388" s="388"/>
      <c r="AB388" s="388"/>
      <c r="AC388" s="388"/>
      <c r="AD388" s="388" t="s">
        <v>284</v>
      </c>
    </row>
    <row r="389" ht="15.75" customHeight="1">
      <c r="A389" s="764">
        <v>42314.0</v>
      </c>
      <c r="B389" s="844" t="s">
        <v>12409</v>
      </c>
      <c r="C389" s="388">
        <v>627.0</v>
      </c>
      <c r="D389" s="388" t="s">
        <v>12483</v>
      </c>
      <c r="E389" s="599" t="s">
        <v>6637</v>
      </c>
      <c r="F389" s="388">
        <v>2.0</v>
      </c>
      <c r="G389" s="388">
        <v>100.0</v>
      </c>
      <c r="H389" s="1147">
        <f t="shared" si="77"/>
        <v>200</v>
      </c>
      <c r="I389" s="388"/>
      <c r="J389" s="388"/>
      <c r="K389" s="265" t="s">
        <v>171</v>
      </c>
      <c r="L389" s="340" t="s">
        <v>12484</v>
      </c>
      <c r="M389" s="832">
        <v>42320.0</v>
      </c>
      <c r="N389" s="1145">
        <v>42318.0</v>
      </c>
      <c r="O389" s="269" t="s">
        <v>12485</v>
      </c>
      <c r="P389" s="388" t="s">
        <v>12486</v>
      </c>
      <c r="Q389" s="388"/>
      <c r="R389" s="320">
        <v>5797.0</v>
      </c>
      <c r="S389" s="388" t="s">
        <v>12487</v>
      </c>
      <c r="T389" s="388"/>
      <c r="U389" s="1143">
        <v>42317.0</v>
      </c>
      <c r="V389" s="1139">
        <v>42318.0</v>
      </c>
      <c r="W389" s="388" t="s">
        <v>12488</v>
      </c>
      <c r="X389" s="1159">
        <v>5797.0</v>
      </c>
      <c r="Y389" s="1139">
        <v>42317.0</v>
      </c>
      <c r="Z389" s="388" t="s">
        <v>12489</v>
      </c>
      <c r="AA389" s="388"/>
      <c r="AB389" s="388"/>
      <c r="AC389" s="388"/>
      <c r="AD389" s="388" t="s">
        <v>284</v>
      </c>
    </row>
    <row r="390" ht="15.75" customHeight="1">
      <c r="A390" s="764">
        <v>42314.0</v>
      </c>
      <c r="B390" s="844" t="s">
        <v>12409</v>
      </c>
      <c r="C390" s="388">
        <v>627.0</v>
      </c>
      <c r="D390" s="388" t="s">
        <v>12483</v>
      </c>
      <c r="E390" s="599" t="s">
        <v>9075</v>
      </c>
      <c r="F390" s="388">
        <v>2.0</v>
      </c>
      <c r="G390" s="388">
        <v>0.0</v>
      </c>
      <c r="H390" s="1147">
        <f t="shared" si="77"/>
        <v>0</v>
      </c>
      <c r="I390" s="388"/>
      <c r="J390" s="388"/>
      <c r="K390" s="265" t="s">
        <v>171</v>
      </c>
      <c r="L390" s="340" t="s">
        <v>12484</v>
      </c>
      <c r="M390" s="832">
        <v>42320.0</v>
      </c>
      <c r="N390" s="1145">
        <v>42319.0</v>
      </c>
      <c r="O390" s="269" t="s">
        <v>12490</v>
      </c>
      <c r="P390" s="388"/>
      <c r="Q390" s="388"/>
      <c r="R390" s="388">
        <v>0.0</v>
      </c>
      <c r="S390" s="388"/>
      <c r="T390" s="388"/>
      <c r="U390" s="388"/>
      <c r="V390" s="1137" t="s">
        <v>5701</v>
      </c>
      <c r="W390" s="1137" t="s">
        <v>5701</v>
      </c>
      <c r="X390" s="1137" t="s">
        <v>5701</v>
      </c>
      <c r="Y390" s="388" t="s">
        <v>12476</v>
      </c>
      <c r="Z390" s="388" t="s">
        <v>12489</v>
      </c>
      <c r="AA390" s="388"/>
      <c r="AB390" s="388"/>
      <c r="AC390" s="388"/>
      <c r="AD390" s="388" t="s">
        <v>284</v>
      </c>
    </row>
    <row r="391" ht="15.75" customHeight="1">
      <c r="A391" s="764">
        <v>42314.0</v>
      </c>
      <c r="B391" s="844" t="s">
        <v>12409</v>
      </c>
      <c r="C391" s="388">
        <v>627.0</v>
      </c>
      <c r="D391" s="388" t="s">
        <v>12483</v>
      </c>
      <c r="E391" s="599" t="s">
        <v>12491</v>
      </c>
      <c r="F391" s="388">
        <v>2.0</v>
      </c>
      <c r="G391" s="388">
        <v>0.0</v>
      </c>
      <c r="H391" s="1147">
        <f t="shared" si="77"/>
        <v>0</v>
      </c>
      <c r="I391" s="388"/>
      <c r="J391" s="388"/>
      <c r="K391" s="265" t="s">
        <v>171</v>
      </c>
      <c r="L391" s="340" t="s">
        <v>12484</v>
      </c>
      <c r="M391" s="832">
        <v>42320.0</v>
      </c>
      <c r="N391" s="1145">
        <v>42319.0</v>
      </c>
      <c r="O391" s="269" t="s">
        <v>12490</v>
      </c>
      <c r="P391" s="388"/>
      <c r="Q391" s="388"/>
      <c r="R391" s="388">
        <v>0.0</v>
      </c>
      <c r="S391" s="388"/>
      <c r="T391" s="388"/>
      <c r="U391" s="388"/>
      <c r="V391" s="1137" t="s">
        <v>5701</v>
      </c>
      <c r="W391" s="1137" t="s">
        <v>5701</v>
      </c>
      <c r="X391" s="1137" t="s">
        <v>5701</v>
      </c>
      <c r="Y391" s="388" t="s">
        <v>12476</v>
      </c>
      <c r="Z391" s="388" t="s">
        <v>12489</v>
      </c>
      <c r="AA391" s="388"/>
      <c r="AB391" s="388"/>
      <c r="AC391" s="388"/>
      <c r="AD391" s="388" t="s">
        <v>284</v>
      </c>
    </row>
    <row r="392" ht="15.75" customHeight="1">
      <c r="A392" s="764">
        <v>42319.0</v>
      </c>
      <c r="B392" s="844" t="s">
        <v>12409</v>
      </c>
      <c r="C392" s="388"/>
      <c r="D392" s="388" t="s">
        <v>12492</v>
      </c>
      <c r="E392" s="388" t="s">
        <v>9077</v>
      </c>
      <c r="F392" s="388">
        <v>2.0</v>
      </c>
      <c r="G392" s="388">
        <v>7.5</v>
      </c>
      <c r="H392" s="1147">
        <f t="shared" si="77"/>
        <v>15</v>
      </c>
      <c r="I392" s="388"/>
      <c r="J392" s="388"/>
      <c r="K392" s="265" t="s">
        <v>171</v>
      </c>
      <c r="L392" s="340" t="s">
        <v>12484</v>
      </c>
      <c r="M392" s="832">
        <v>42320.0</v>
      </c>
      <c r="N392" s="1145">
        <v>42320.0</v>
      </c>
      <c r="O392" s="269" t="s">
        <v>12490</v>
      </c>
      <c r="P392" s="664"/>
      <c r="Q392" s="664"/>
      <c r="R392" s="320">
        <v>399.0</v>
      </c>
      <c r="S392" s="388" t="s">
        <v>186</v>
      </c>
      <c r="T392" s="388"/>
      <c r="U392" s="1240">
        <v>42319.0</v>
      </c>
      <c r="V392" s="1139">
        <v>42320.0</v>
      </c>
      <c r="W392" s="388" t="s">
        <v>12493</v>
      </c>
      <c r="X392" s="1146">
        <v>521.0</v>
      </c>
      <c r="Y392" s="1139">
        <v>42319.0</v>
      </c>
      <c r="Z392" s="388" t="s">
        <v>12489</v>
      </c>
      <c r="AA392" s="388"/>
      <c r="AB392" s="388"/>
      <c r="AC392" s="388"/>
      <c r="AD392" s="388" t="s">
        <v>284</v>
      </c>
    </row>
    <row r="393" ht="15.75" customHeight="1">
      <c r="A393" s="764">
        <v>42319.0</v>
      </c>
      <c r="B393" s="844" t="s">
        <v>12409</v>
      </c>
      <c r="C393" s="388"/>
      <c r="D393" s="388" t="s">
        <v>12492</v>
      </c>
      <c r="E393" s="388" t="s">
        <v>6644</v>
      </c>
      <c r="F393" s="388">
        <v>2.0</v>
      </c>
      <c r="G393" s="388">
        <v>0.0</v>
      </c>
      <c r="H393" s="1147">
        <f t="shared" si="77"/>
        <v>0</v>
      </c>
      <c r="I393" s="388"/>
      <c r="J393" s="388"/>
      <c r="K393" s="265" t="s">
        <v>171</v>
      </c>
      <c r="L393" s="340" t="s">
        <v>12484</v>
      </c>
      <c r="M393" s="832">
        <v>42320.0</v>
      </c>
      <c r="N393" s="1145">
        <v>42320.0</v>
      </c>
      <c r="O393" s="269" t="s">
        <v>12490</v>
      </c>
      <c r="P393" s="664"/>
      <c r="Q393" s="664"/>
      <c r="R393" s="320">
        <v>122.0</v>
      </c>
      <c r="S393" s="388" t="s">
        <v>186</v>
      </c>
      <c r="T393" s="388"/>
      <c r="U393" s="1240">
        <v>42319.0</v>
      </c>
      <c r="V393" s="1139">
        <v>42320.0</v>
      </c>
      <c r="W393" s="388" t="s">
        <v>12493</v>
      </c>
      <c r="X393" s="1137" t="s">
        <v>8836</v>
      </c>
      <c r="Y393" s="1139">
        <v>42319.0</v>
      </c>
      <c r="Z393" s="388" t="s">
        <v>12489</v>
      </c>
      <c r="AA393" s="388"/>
      <c r="AB393" s="388"/>
      <c r="AC393" s="388"/>
      <c r="AD393" s="388" t="s">
        <v>284</v>
      </c>
    </row>
    <row r="394" ht="15.75" customHeight="1">
      <c r="A394" s="764">
        <v>42319.0</v>
      </c>
      <c r="B394" s="844" t="s">
        <v>12409</v>
      </c>
      <c r="C394" s="388"/>
      <c r="D394" s="388" t="s">
        <v>12492</v>
      </c>
      <c r="E394" s="388" t="s">
        <v>12494</v>
      </c>
      <c r="F394" s="388">
        <v>1.0</v>
      </c>
      <c r="G394" s="388">
        <v>0.0</v>
      </c>
      <c r="H394" s="1147">
        <f t="shared" si="77"/>
        <v>0</v>
      </c>
      <c r="I394" s="388"/>
      <c r="J394" s="388"/>
      <c r="K394" s="265" t="s">
        <v>171</v>
      </c>
      <c r="L394" s="340" t="s">
        <v>12484</v>
      </c>
      <c r="M394" s="832">
        <v>42320.0</v>
      </c>
      <c r="N394" s="1139">
        <v>42320.0</v>
      </c>
      <c r="O394" s="269" t="s">
        <v>12490</v>
      </c>
      <c r="P394" s="388"/>
      <c r="Q394" s="388"/>
      <c r="R394" s="388">
        <v>0.0</v>
      </c>
      <c r="S394" s="388" t="s">
        <v>186</v>
      </c>
      <c r="T394" s="388"/>
      <c r="U394" s="1139"/>
      <c r="V394" s="1139"/>
      <c r="W394" s="388" t="s">
        <v>12495</v>
      </c>
      <c r="X394" s="388" t="s">
        <v>12495</v>
      </c>
      <c r="Y394" s="388" t="s">
        <v>12495</v>
      </c>
      <c r="Z394" s="388" t="s">
        <v>12489</v>
      </c>
      <c r="AA394" s="388"/>
      <c r="AB394" s="388"/>
      <c r="AC394" s="388"/>
      <c r="AD394" s="388" t="s">
        <v>284</v>
      </c>
    </row>
    <row r="395" ht="15.75" customHeight="1">
      <c r="A395" s="764">
        <v>42327.0</v>
      </c>
      <c r="B395" s="844" t="s">
        <v>12409</v>
      </c>
      <c r="C395" s="388">
        <v>663.0</v>
      </c>
      <c r="D395" s="388" t="s">
        <v>12496</v>
      </c>
      <c r="E395" s="599" t="s">
        <v>12497</v>
      </c>
      <c r="F395" s="388">
        <v>3.0</v>
      </c>
      <c r="G395" s="388">
        <v>1.9</v>
      </c>
      <c r="H395" s="1147">
        <f t="shared" si="77"/>
        <v>5.7</v>
      </c>
      <c r="I395" s="388"/>
      <c r="J395" s="388"/>
      <c r="K395" s="265" t="s">
        <v>171</v>
      </c>
      <c r="L395" s="599" t="s">
        <v>8693</v>
      </c>
      <c r="M395" s="832">
        <v>42340.0</v>
      </c>
      <c r="N395" s="832">
        <v>42335.0</v>
      </c>
      <c r="O395" s="269" t="s">
        <v>12490</v>
      </c>
      <c r="P395" s="388" t="s">
        <v>12498</v>
      </c>
      <c r="Q395" s="388"/>
      <c r="R395" s="320">
        <f>159*1.05</f>
        <v>166.95</v>
      </c>
      <c r="S395" s="388" t="s">
        <v>186</v>
      </c>
      <c r="T395" s="388"/>
      <c r="U395" s="1143">
        <v>42333.0</v>
      </c>
      <c r="V395" s="1139">
        <v>42334.0</v>
      </c>
      <c r="W395" s="388" t="s">
        <v>12499</v>
      </c>
      <c r="X395" s="845">
        <v>5333.0</v>
      </c>
      <c r="Y395" s="1139">
        <v>42333.0</v>
      </c>
      <c r="Z395" s="388" t="s">
        <v>12477</v>
      </c>
      <c r="AA395" s="388"/>
      <c r="AB395" s="388"/>
      <c r="AC395" s="388"/>
      <c r="AD395" s="388" t="s">
        <v>284</v>
      </c>
    </row>
    <row r="396" ht="15.75" customHeight="1">
      <c r="A396" s="764">
        <v>42327.0</v>
      </c>
      <c r="B396" s="844" t="s">
        <v>12409</v>
      </c>
      <c r="C396" s="388">
        <v>663.0</v>
      </c>
      <c r="D396" s="388" t="s">
        <v>12496</v>
      </c>
      <c r="E396" s="599" t="s">
        <v>12500</v>
      </c>
      <c r="F396" s="388">
        <v>30.0</v>
      </c>
      <c r="G396" s="388">
        <v>2.0</v>
      </c>
      <c r="H396" s="1147">
        <f t="shared" si="77"/>
        <v>60</v>
      </c>
      <c r="I396" s="388"/>
      <c r="J396" s="388"/>
      <c r="K396" s="265" t="s">
        <v>171</v>
      </c>
      <c r="L396" s="599" t="s">
        <v>8693</v>
      </c>
      <c r="M396" s="832">
        <v>42340.0</v>
      </c>
      <c r="N396" s="832">
        <v>42335.0</v>
      </c>
      <c r="O396" s="269" t="s">
        <v>12490</v>
      </c>
      <c r="P396" s="388" t="s">
        <v>12498</v>
      </c>
      <c r="Q396" s="388"/>
      <c r="R396" s="320">
        <f>1860*1.05</f>
        <v>1953</v>
      </c>
      <c r="S396" s="388" t="s">
        <v>186</v>
      </c>
      <c r="T396" s="388"/>
      <c r="U396" s="1143">
        <v>42333.0</v>
      </c>
      <c r="V396" s="1139">
        <v>42334.0</v>
      </c>
      <c r="W396" s="388" t="s">
        <v>12499</v>
      </c>
      <c r="X396" s="592" t="s">
        <v>12501</v>
      </c>
      <c r="Y396" s="1139">
        <v>42333.0</v>
      </c>
      <c r="Z396" s="388" t="s">
        <v>12477</v>
      </c>
      <c r="AA396" s="388"/>
      <c r="AB396" s="388"/>
      <c r="AC396" s="388"/>
      <c r="AD396" s="388" t="s">
        <v>284</v>
      </c>
    </row>
    <row r="397" ht="15.75" customHeight="1">
      <c r="A397" s="764">
        <v>42328.0</v>
      </c>
      <c r="B397" s="844" t="s">
        <v>12409</v>
      </c>
      <c r="C397" s="388">
        <v>669.0</v>
      </c>
      <c r="D397" s="388" t="s">
        <v>12502</v>
      </c>
      <c r="E397" s="388" t="s">
        <v>6644</v>
      </c>
      <c r="F397" s="388">
        <v>60.0</v>
      </c>
      <c r="G397" s="388">
        <v>2.0</v>
      </c>
      <c r="H397" s="1147">
        <f t="shared" si="77"/>
        <v>120</v>
      </c>
      <c r="I397" s="388"/>
      <c r="J397" s="388"/>
      <c r="K397" s="265" t="s">
        <v>171</v>
      </c>
      <c r="L397" s="599" t="s">
        <v>8693</v>
      </c>
      <c r="M397" s="832">
        <v>42340.0</v>
      </c>
      <c r="N397" s="832">
        <v>42335.0</v>
      </c>
      <c r="O397" s="269" t="s">
        <v>12490</v>
      </c>
      <c r="P397" s="388" t="s">
        <v>12503</v>
      </c>
      <c r="Q397" s="388"/>
      <c r="R397" s="320">
        <v>3213.0</v>
      </c>
      <c r="S397" s="388" t="s">
        <v>186</v>
      </c>
      <c r="T397" s="388"/>
      <c r="U397" s="1143">
        <v>42405.0</v>
      </c>
      <c r="V397" s="1139">
        <v>42334.0</v>
      </c>
      <c r="W397" s="388" t="s">
        <v>12499</v>
      </c>
      <c r="X397" s="592" t="s">
        <v>12501</v>
      </c>
      <c r="Y397" s="1139">
        <v>42397.0</v>
      </c>
      <c r="Z397" s="388" t="s">
        <v>12477</v>
      </c>
      <c r="AA397" s="388"/>
      <c r="AB397" s="388"/>
      <c r="AC397" s="388"/>
      <c r="AD397" s="388" t="s">
        <v>284</v>
      </c>
    </row>
    <row r="398" ht="15.75" customHeight="1">
      <c r="A398" s="764">
        <v>42335.0</v>
      </c>
      <c r="B398" s="844" t="s">
        <v>12409</v>
      </c>
      <c r="C398" s="388">
        <v>690.0</v>
      </c>
      <c r="D398" s="320" t="s">
        <v>12504</v>
      </c>
      <c r="E398" s="578" t="s">
        <v>6637</v>
      </c>
      <c r="F398" s="388">
        <v>30.0</v>
      </c>
      <c r="G398" s="388">
        <v>86.0</v>
      </c>
      <c r="H398" s="1147">
        <f t="shared" si="77"/>
        <v>2580</v>
      </c>
      <c r="I398" s="388"/>
      <c r="J398" s="388"/>
      <c r="K398" s="265" t="s">
        <v>171</v>
      </c>
      <c r="L398" s="599" t="s">
        <v>8693</v>
      </c>
      <c r="M398" s="832">
        <v>42340.0</v>
      </c>
      <c r="N398" s="832">
        <v>42340.0</v>
      </c>
      <c r="O398" s="269" t="s">
        <v>12485</v>
      </c>
      <c r="P398" s="388" t="s">
        <v>8698</v>
      </c>
      <c r="Q398" s="388"/>
      <c r="R398" s="1088">
        <v>82001.0</v>
      </c>
      <c r="S398" s="388" t="s">
        <v>8699</v>
      </c>
      <c r="T398" s="388" t="s">
        <v>0</v>
      </c>
      <c r="U398" s="1143">
        <v>42338.0</v>
      </c>
      <c r="V398" s="1139">
        <v>42340.0</v>
      </c>
      <c r="W398" s="388" t="s">
        <v>12505</v>
      </c>
      <c r="X398" s="845">
        <v>82001.0</v>
      </c>
      <c r="Y398" s="1139">
        <v>42338.0</v>
      </c>
      <c r="Z398" s="388" t="s">
        <v>12477</v>
      </c>
      <c r="AA398" s="388"/>
      <c r="AB398" s="388"/>
      <c r="AC398" s="388"/>
      <c r="AD398" s="388" t="s">
        <v>284</v>
      </c>
    </row>
    <row r="399" ht="15.75" customHeight="1">
      <c r="A399" s="764">
        <v>42335.0</v>
      </c>
      <c r="B399" s="844" t="s">
        <v>12409</v>
      </c>
      <c r="C399" s="388">
        <v>690.0</v>
      </c>
      <c r="D399" s="320" t="s">
        <v>12504</v>
      </c>
      <c r="E399" s="310" t="s">
        <v>6644</v>
      </c>
      <c r="F399" s="388">
        <v>60.0</v>
      </c>
      <c r="G399" s="388">
        <v>2.0</v>
      </c>
      <c r="H399" s="1147">
        <f t="shared" si="77"/>
        <v>120</v>
      </c>
      <c r="I399" s="388"/>
      <c r="J399" s="388"/>
      <c r="K399" s="265" t="s">
        <v>171</v>
      </c>
      <c r="L399" s="599" t="s">
        <v>8693</v>
      </c>
      <c r="M399" s="832">
        <v>42340.0</v>
      </c>
      <c r="N399" s="832">
        <v>42340.0</v>
      </c>
      <c r="O399" s="269" t="s">
        <v>12490</v>
      </c>
      <c r="P399" s="388" t="s">
        <v>8694</v>
      </c>
      <c r="Q399" s="388"/>
      <c r="R399" s="320">
        <v>3213.0</v>
      </c>
      <c r="S399" s="388" t="s">
        <v>186</v>
      </c>
      <c r="T399" s="388"/>
      <c r="U399" s="1143">
        <v>42405.0</v>
      </c>
      <c r="V399" s="1139">
        <v>42705.0</v>
      </c>
      <c r="W399" s="388" t="s">
        <v>12506</v>
      </c>
      <c r="X399" s="845">
        <v>5261.0</v>
      </c>
      <c r="Y399" s="1139">
        <v>42397.0</v>
      </c>
      <c r="Z399" s="388" t="s">
        <v>12477</v>
      </c>
      <c r="AA399" s="388"/>
      <c r="AB399" s="388"/>
      <c r="AC399" s="388"/>
      <c r="AD399" s="388" t="s">
        <v>284</v>
      </c>
    </row>
    <row r="400" ht="15.75" customHeight="1">
      <c r="A400" s="764">
        <v>42335.0</v>
      </c>
      <c r="B400" s="844" t="s">
        <v>12409</v>
      </c>
      <c r="C400" s="388">
        <v>690.0</v>
      </c>
      <c r="D400" s="320" t="s">
        <v>12504</v>
      </c>
      <c r="E400" s="578" t="s">
        <v>9075</v>
      </c>
      <c r="F400" s="388">
        <v>30.0</v>
      </c>
      <c r="G400" s="388">
        <v>2.25</v>
      </c>
      <c r="H400" s="1147">
        <f t="shared" si="77"/>
        <v>67.5</v>
      </c>
      <c r="I400" s="388"/>
      <c r="J400" s="388"/>
      <c r="K400" s="265" t="s">
        <v>171</v>
      </c>
      <c r="L400" s="599" t="s">
        <v>8693</v>
      </c>
      <c r="M400" s="832">
        <v>42340.0</v>
      </c>
      <c r="N400" s="832">
        <v>42340.0</v>
      </c>
      <c r="O400" s="269" t="s">
        <v>12490</v>
      </c>
      <c r="P400" s="388" t="s">
        <v>8694</v>
      </c>
      <c r="Q400" s="388"/>
      <c r="R400" s="320">
        <v>2048.0</v>
      </c>
      <c r="S400" s="388" t="s">
        <v>186</v>
      </c>
      <c r="T400" s="388"/>
      <c r="U400" s="1143">
        <v>42405.0</v>
      </c>
      <c r="V400" s="1139">
        <v>42705.0</v>
      </c>
      <c r="W400" s="388" t="s">
        <v>12506</v>
      </c>
      <c r="X400" s="592" t="s">
        <v>12507</v>
      </c>
      <c r="Y400" s="1139">
        <v>42397.0</v>
      </c>
      <c r="Z400" s="388" t="s">
        <v>12477</v>
      </c>
      <c r="AA400" s="388"/>
      <c r="AB400" s="388"/>
      <c r="AC400" s="388"/>
      <c r="AD400" s="388" t="s">
        <v>284</v>
      </c>
    </row>
    <row r="401" ht="15.75" customHeight="1">
      <c r="A401" s="764">
        <v>42339.0</v>
      </c>
      <c r="B401" s="844" t="s">
        <v>12409</v>
      </c>
      <c r="C401" s="388">
        <v>707.0</v>
      </c>
      <c r="D401" s="388" t="s">
        <v>12508</v>
      </c>
      <c r="E401" s="604" t="s">
        <v>9077</v>
      </c>
      <c r="F401" s="388">
        <v>32.0</v>
      </c>
      <c r="G401" s="388">
        <v>6.85</v>
      </c>
      <c r="H401" s="1147">
        <f t="shared" si="77"/>
        <v>219.2</v>
      </c>
      <c r="I401" s="388"/>
      <c r="J401" s="388"/>
      <c r="K401" s="265" t="s">
        <v>171</v>
      </c>
      <c r="L401" s="599" t="s">
        <v>8693</v>
      </c>
      <c r="M401" s="832">
        <v>42340.0</v>
      </c>
      <c r="N401" s="832">
        <v>42340.0</v>
      </c>
      <c r="O401" s="269" t="s">
        <v>12490</v>
      </c>
      <c r="P401" s="388" t="s">
        <v>12509</v>
      </c>
      <c r="Q401" s="388"/>
      <c r="R401" s="320">
        <v>5880.0</v>
      </c>
      <c r="S401" s="388" t="s">
        <v>186</v>
      </c>
      <c r="T401" s="388"/>
      <c r="U401" s="1143">
        <v>42405.0</v>
      </c>
      <c r="V401" s="1139">
        <v>42339.0</v>
      </c>
      <c r="W401" s="388" t="s">
        <v>12510</v>
      </c>
      <c r="X401" s="845">
        <v>5880.0</v>
      </c>
      <c r="Y401" s="1139">
        <v>42397.0</v>
      </c>
      <c r="Z401" s="388" t="s">
        <v>12477</v>
      </c>
      <c r="AA401" s="388"/>
      <c r="AB401" s="388"/>
      <c r="AC401" s="388"/>
      <c r="AD401" s="1140" t="s">
        <v>284</v>
      </c>
    </row>
    <row r="402" ht="15.75" customHeight="1">
      <c r="A402" s="776">
        <v>42167.0</v>
      </c>
      <c r="B402" s="844" t="s">
        <v>229</v>
      </c>
      <c r="C402" s="388"/>
      <c r="D402" s="320" t="s">
        <v>12511</v>
      </c>
      <c r="E402" s="578" t="s">
        <v>3765</v>
      </c>
      <c r="F402" s="773">
        <v>5.0</v>
      </c>
      <c r="G402" s="1238">
        <f>320*1.05</f>
        <v>336</v>
      </c>
      <c r="H402" s="1250">
        <f t="shared" si="77"/>
        <v>1680</v>
      </c>
      <c r="I402" s="1238">
        <f>G402*30.7</f>
        <v>10315.2</v>
      </c>
      <c r="J402" s="1149">
        <f>F402*I402</f>
        <v>51576</v>
      </c>
      <c r="K402" s="265" t="s">
        <v>171</v>
      </c>
      <c r="L402" s="333" t="s">
        <v>90</v>
      </c>
      <c r="M402" s="832">
        <v>42187.0</v>
      </c>
      <c r="N402" s="388"/>
      <c r="O402" s="333" t="s">
        <v>90</v>
      </c>
      <c r="P402" s="265" t="s">
        <v>12512</v>
      </c>
      <c r="Q402" s="773">
        <v>1506.75</v>
      </c>
      <c r="R402" s="388"/>
      <c r="S402" s="320" t="s">
        <v>11006</v>
      </c>
      <c r="T402" s="388"/>
      <c r="U402" s="388"/>
      <c r="V402" s="1150">
        <v>42187.0</v>
      </c>
      <c r="W402" s="320" t="s">
        <v>12513</v>
      </c>
      <c r="X402" s="1135">
        <v>46498.0</v>
      </c>
      <c r="Y402" s="1132">
        <v>42201.0</v>
      </c>
      <c r="Z402" s="320" t="s">
        <v>12514</v>
      </c>
      <c r="AA402" s="320" t="s">
        <v>12515</v>
      </c>
      <c r="AB402" s="1149">
        <v>481913.0</v>
      </c>
      <c r="AC402" s="320" t="s">
        <v>12302</v>
      </c>
      <c r="AD402" s="388"/>
    </row>
    <row r="403" ht="15.75" customHeight="1">
      <c r="A403" s="274">
        <v>42167.0</v>
      </c>
      <c r="B403" s="844" t="s">
        <v>229</v>
      </c>
      <c r="C403" s="388"/>
      <c r="D403" s="857" t="s">
        <v>12516</v>
      </c>
      <c r="E403" s="1276" t="s">
        <v>11040</v>
      </c>
      <c r="F403" s="1234">
        <v>30.0</v>
      </c>
      <c r="G403" s="1277">
        <f>445*1.05</f>
        <v>467.25</v>
      </c>
      <c r="H403" s="1278"/>
      <c r="I403" s="388"/>
      <c r="J403" s="1146"/>
      <c r="K403" s="783" t="s">
        <v>171</v>
      </c>
      <c r="L403" s="784" t="s">
        <v>90</v>
      </c>
      <c r="M403" s="835">
        <v>42187.0</v>
      </c>
      <c r="N403" s="388"/>
      <c r="O403" s="784" t="s">
        <v>90</v>
      </c>
      <c r="P403" s="783" t="s">
        <v>12512</v>
      </c>
      <c r="Q403" s="930"/>
      <c r="R403" s="388"/>
      <c r="S403" s="857" t="s">
        <v>11006</v>
      </c>
      <c r="T403" s="388"/>
      <c r="U403" s="388"/>
      <c r="V403" s="1279">
        <v>42187.0</v>
      </c>
      <c r="W403" s="1173" t="s">
        <v>12513</v>
      </c>
      <c r="X403" s="1280" t="s">
        <v>8836</v>
      </c>
      <c r="Y403" s="1272">
        <v>42201.0</v>
      </c>
      <c r="Z403" s="1173" t="s">
        <v>12514</v>
      </c>
      <c r="AA403" s="1173" t="s">
        <v>12515</v>
      </c>
      <c r="AB403" s="1281" t="s">
        <v>8836</v>
      </c>
      <c r="AC403" s="1173" t="s">
        <v>12302</v>
      </c>
      <c r="AD403" s="388"/>
    </row>
    <row r="404" ht="15.75" customHeight="1">
      <c r="A404" s="274">
        <v>42184.0</v>
      </c>
      <c r="B404" s="844" t="s">
        <v>229</v>
      </c>
      <c r="C404" s="388"/>
      <c r="D404" s="857" t="s">
        <v>12517</v>
      </c>
      <c r="E404" s="1276" t="s">
        <v>3765</v>
      </c>
      <c r="F404" s="1234">
        <v>8.0</v>
      </c>
      <c r="G404" s="1277">
        <f>320*1.05</f>
        <v>336</v>
      </c>
      <c r="H404" s="1282"/>
      <c r="I404" s="388"/>
      <c r="J404" s="1146"/>
      <c r="K404" s="783" t="s">
        <v>171</v>
      </c>
      <c r="L404" s="784" t="s">
        <v>90</v>
      </c>
      <c r="M404" s="835">
        <v>42205.0</v>
      </c>
      <c r="N404" s="388"/>
      <c r="O404" s="784" t="s">
        <v>90</v>
      </c>
      <c r="P404" s="783" t="s">
        <v>12518</v>
      </c>
      <c r="Q404" s="388"/>
      <c r="R404" s="388"/>
      <c r="S404" s="857" t="s">
        <v>11006</v>
      </c>
      <c r="T404" s="388"/>
      <c r="U404" s="388"/>
      <c r="V404" s="388"/>
      <c r="W404" s="388"/>
      <c r="X404" s="388"/>
      <c r="Y404" s="388"/>
      <c r="Z404" s="388"/>
      <c r="AA404" s="388"/>
      <c r="AB404" s="388"/>
      <c r="AC404" s="388"/>
      <c r="AD404" s="388"/>
    </row>
    <row r="405" ht="15.75" customHeight="1">
      <c r="A405" s="274">
        <v>42184.0</v>
      </c>
      <c r="B405" s="844" t="s">
        <v>229</v>
      </c>
      <c r="C405" s="388"/>
      <c r="D405" s="857" t="s">
        <v>12517</v>
      </c>
      <c r="E405" s="1233" t="s">
        <v>11040</v>
      </c>
      <c r="F405" s="1234">
        <v>30.0</v>
      </c>
      <c r="G405" s="1277">
        <v>467.0</v>
      </c>
      <c r="H405" s="1282"/>
      <c r="I405" s="388"/>
      <c r="J405" s="1146"/>
      <c r="K405" s="783" t="s">
        <v>171</v>
      </c>
      <c r="L405" s="784" t="s">
        <v>90</v>
      </c>
      <c r="M405" s="835">
        <v>42205.0</v>
      </c>
      <c r="N405" s="388"/>
      <c r="O405" s="784" t="s">
        <v>90</v>
      </c>
      <c r="P405" s="783" t="s">
        <v>12519</v>
      </c>
      <c r="Q405" s="388"/>
      <c r="R405" s="388"/>
      <c r="S405" s="388"/>
      <c r="T405" s="388"/>
      <c r="U405" s="388"/>
      <c r="V405" s="388"/>
      <c r="W405" s="388"/>
      <c r="X405" s="388"/>
      <c r="Y405" s="388"/>
      <c r="Z405" s="388"/>
      <c r="AA405" s="388"/>
      <c r="AB405" s="388"/>
      <c r="AC405" s="388"/>
      <c r="AD405" s="388"/>
    </row>
    <row r="406" ht="15.75" customHeight="1">
      <c r="A406" s="764">
        <v>42199.0</v>
      </c>
      <c r="B406" s="844" t="s">
        <v>229</v>
      </c>
      <c r="C406" s="388"/>
      <c r="D406" s="388" t="s">
        <v>12520</v>
      </c>
      <c r="E406" s="599" t="s">
        <v>462</v>
      </c>
      <c r="F406" s="1137">
        <v>43.0</v>
      </c>
      <c r="G406" s="1262">
        <v>456.75</v>
      </c>
      <c r="H406" s="1147">
        <f t="shared" ref="H406:H454" si="78">F406*G406</f>
        <v>19640.25</v>
      </c>
      <c r="I406" s="1262">
        <f t="shared" ref="I406:I409" si="79">G406*31.3</f>
        <v>14296.275</v>
      </c>
      <c r="J406" s="1238">
        <f t="shared" ref="J406:J411" si="80">I406*F406</f>
        <v>614739.825</v>
      </c>
      <c r="K406" s="265" t="s">
        <v>171</v>
      </c>
      <c r="L406" s="269" t="s">
        <v>90</v>
      </c>
      <c r="M406" s="832">
        <v>42222.0</v>
      </c>
      <c r="N406" s="388"/>
      <c r="O406" s="269" t="s">
        <v>90</v>
      </c>
      <c r="P406" s="265" t="s">
        <v>12521</v>
      </c>
      <c r="Q406" s="773">
        <v>17473.05</v>
      </c>
      <c r="R406" s="388"/>
      <c r="S406" s="388" t="s">
        <v>11006</v>
      </c>
      <c r="T406" s="388"/>
      <c r="U406" s="388"/>
      <c r="V406" s="1143">
        <v>42222.0</v>
      </c>
      <c r="W406" s="388" t="s">
        <v>12522</v>
      </c>
      <c r="X406" s="845">
        <v>594827.0</v>
      </c>
      <c r="Y406" s="1144">
        <v>42220.0</v>
      </c>
      <c r="Z406" s="388" t="s">
        <v>12523</v>
      </c>
      <c r="AA406" s="388" t="s">
        <v>12524</v>
      </c>
      <c r="AB406" s="1159">
        <v>614740.0</v>
      </c>
      <c r="AC406" s="388" t="s">
        <v>12371</v>
      </c>
      <c r="AD406" s="388"/>
    </row>
    <row r="407" ht="15.75" customHeight="1">
      <c r="A407" s="764">
        <v>42199.0</v>
      </c>
      <c r="B407" s="844" t="s">
        <v>229</v>
      </c>
      <c r="C407" s="388"/>
      <c r="D407" s="388" t="s">
        <v>12520</v>
      </c>
      <c r="E407" s="599" t="s">
        <v>3765</v>
      </c>
      <c r="F407" s="1137">
        <v>5.0</v>
      </c>
      <c r="G407" s="1262">
        <f>320*1.05</f>
        <v>336</v>
      </c>
      <c r="H407" s="1147">
        <f t="shared" si="78"/>
        <v>1680</v>
      </c>
      <c r="I407" s="1262">
        <f t="shared" si="79"/>
        <v>10516.8</v>
      </c>
      <c r="J407" s="1238">
        <f t="shared" si="80"/>
        <v>52584</v>
      </c>
      <c r="K407" s="265" t="s">
        <v>171</v>
      </c>
      <c r="L407" s="269" t="s">
        <v>90</v>
      </c>
      <c r="M407" s="832">
        <v>42222.0</v>
      </c>
      <c r="N407" s="388"/>
      <c r="O407" s="269" t="s">
        <v>90</v>
      </c>
      <c r="P407" s="265" t="s">
        <v>12521</v>
      </c>
      <c r="Q407" s="773">
        <v>1506.75</v>
      </c>
      <c r="R407" s="388"/>
      <c r="S407" s="388" t="s">
        <v>11006</v>
      </c>
      <c r="T407" s="388"/>
      <c r="U407" s="388"/>
      <c r="V407" s="1143">
        <v>42222.0</v>
      </c>
      <c r="W407" s="388" t="s">
        <v>12522</v>
      </c>
      <c r="X407" s="592" t="s">
        <v>8836</v>
      </c>
      <c r="Y407" s="1144">
        <v>42220.0</v>
      </c>
      <c r="Z407" s="388" t="s">
        <v>12523</v>
      </c>
      <c r="AA407" s="388" t="s">
        <v>12524</v>
      </c>
      <c r="AB407" s="1159">
        <v>52584.00000000001</v>
      </c>
      <c r="AC407" s="388" t="s">
        <v>12371</v>
      </c>
      <c r="AD407" s="388"/>
    </row>
    <row r="408" ht="15.75" customHeight="1">
      <c r="A408" s="764">
        <v>42206.0</v>
      </c>
      <c r="B408" s="844" t="s">
        <v>229</v>
      </c>
      <c r="C408" s="388"/>
      <c r="D408" s="388" t="s">
        <v>12525</v>
      </c>
      <c r="E408" s="599" t="s">
        <v>462</v>
      </c>
      <c r="F408" s="1137">
        <v>30.0</v>
      </c>
      <c r="G408" s="1262">
        <v>456.75</v>
      </c>
      <c r="H408" s="1147">
        <f t="shared" si="78"/>
        <v>13702.5</v>
      </c>
      <c r="I408" s="1262">
        <f t="shared" si="79"/>
        <v>14296.275</v>
      </c>
      <c r="J408" s="1238">
        <f t="shared" si="80"/>
        <v>428888.25</v>
      </c>
      <c r="K408" s="265" t="s">
        <v>171</v>
      </c>
      <c r="L408" s="269" t="s">
        <v>90</v>
      </c>
      <c r="M408" s="832">
        <v>42215.0</v>
      </c>
      <c r="N408" s="388"/>
      <c r="O408" s="269" t="s">
        <v>90</v>
      </c>
      <c r="P408" s="265" t="s">
        <v>12526</v>
      </c>
      <c r="Q408" s="773">
        <v>12190.5</v>
      </c>
      <c r="R408" s="388"/>
      <c r="S408" s="388" t="s">
        <v>11006</v>
      </c>
      <c r="T408" s="388"/>
      <c r="U408" s="388"/>
      <c r="V408" s="1133">
        <v>42215.0</v>
      </c>
      <c r="W408" s="265" t="s">
        <v>12527</v>
      </c>
      <c r="X408" s="1135">
        <v>377540.0</v>
      </c>
      <c r="Y408" s="1144">
        <v>42213.0</v>
      </c>
      <c r="Z408" s="388" t="s">
        <v>12528</v>
      </c>
      <c r="AA408" s="388" t="s">
        <v>12529</v>
      </c>
      <c r="AB408" s="1159">
        <v>428888.0</v>
      </c>
      <c r="AC408" s="388" t="s">
        <v>12530</v>
      </c>
      <c r="AD408" s="388"/>
    </row>
    <row r="409" ht="15.75" customHeight="1">
      <c r="A409" s="764">
        <v>42206.0</v>
      </c>
      <c r="B409" s="844" t="s">
        <v>229</v>
      </c>
      <c r="C409" s="388"/>
      <c r="D409" s="388" t="s">
        <v>12531</v>
      </c>
      <c r="E409" s="844" t="s">
        <v>12532</v>
      </c>
      <c r="F409" s="1137">
        <v>1.0</v>
      </c>
      <c r="G409" s="1246">
        <v>2101.5</v>
      </c>
      <c r="H409" s="1147">
        <f t="shared" si="78"/>
        <v>2101.5</v>
      </c>
      <c r="I409" s="1246">
        <f t="shared" si="79"/>
        <v>65776.95</v>
      </c>
      <c r="J409" s="1249">
        <f t="shared" si="80"/>
        <v>65776.95</v>
      </c>
      <c r="K409" s="265" t="s">
        <v>171</v>
      </c>
      <c r="L409" s="333" t="s">
        <v>6317</v>
      </c>
      <c r="M409" s="832">
        <v>42219.0</v>
      </c>
      <c r="N409" s="388"/>
      <c r="O409" s="269"/>
      <c r="P409" s="388"/>
      <c r="Q409" s="388"/>
      <c r="R409" s="388"/>
      <c r="S409" s="388"/>
      <c r="T409" s="388"/>
      <c r="U409" s="388"/>
      <c r="V409" s="388"/>
      <c r="W409" s="388"/>
      <c r="X409" s="388"/>
      <c r="Y409" s="1004" t="s">
        <v>12533</v>
      </c>
      <c r="Z409" s="388"/>
      <c r="AA409" s="388"/>
      <c r="AB409" s="388"/>
      <c r="AC409" s="388"/>
      <c r="AD409" s="388"/>
    </row>
    <row r="410" ht="15.75" customHeight="1">
      <c r="A410" s="764">
        <v>42233.0</v>
      </c>
      <c r="B410" s="844" t="s">
        <v>229</v>
      </c>
      <c r="C410" s="388"/>
      <c r="D410" s="388" t="s">
        <v>12534</v>
      </c>
      <c r="E410" s="599" t="s">
        <v>462</v>
      </c>
      <c r="F410" s="1137">
        <v>35.0</v>
      </c>
      <c r="G410" s="1137">
        <v>449.4</v>
      </c>
      <c r="H410" s="773">
        <f t="shared" si="78"/>
        <v>15729</v>
      </c>
      <c r="I410" s="1137">
        <f>G410*B562</f>
        <v>0</v>
      </c>
      <c r="J410" s="1252">
        <f t="shared" si="80"/>
        <v>0</v>
      </c>
      <c r="K410" s="265" t="s">
        <v>171</v>
      </c>
      <c r="L410" s="269" t="s">
        <v>90</v>
      </c>
      <c r="M410" s="832">
        <v>42265.0</v>
      </c>
      <c r="N410" s="388"/>
      <c r="O410" s="269" t="s">
        <v>90</v>
      </c>
      <c r="P410" s="1004" t="s">
        <v>10923</v>
      </c>
      <c r="Q410" s="773">
        <v>14222.25</v>
      </c>
      <c r="R410" s="388"/>
      <c r="S410" s="388" t="s">
        <v>11006</v>
      </c>
      <c r="T410" s="388"/>
      <c r="U410" s="388"/>
      <c r="V410" s="1143">
        <v>42264.0</v>
      </c>
      <c r="W410" s="388" t="s">
        <v>12535</v>
      </c>
      <c r="X410" s="845">
        <v>579272.0</v>
      </c>
      <c r="Y410" s="1144">
        <v>42263.0</v>
      </c>
      <c r="Z410" s="388" t="s">
        <v>12536</v>
      </c>
      <c r="AA410" s="388" t="s">
        <v>12537</v>
      </c>
      <c r="AB410" s="1159">
        <v>674993.0</v>
      </c>
      <c r="AC410" s="388" t="s">
        <v>12538</v>
      </c>
      <c r="AD410" s="388"/>
    </row>
    <row r="411" ht="15.75" customHeight="1">
      <c r="A411" s="764">
        <v>42233.0</v>
      </c>
      <c r="B411" s="844" t="s">
        <v>229</v>
      </c>
      <c r="C411" s="388"/>
      <c r="D411" s="388" t="s">
        <v>12534</v>
      </c>
      <c r="E411" s="599" t="s">
        <v>3765</v>
      </c>
      <c r="F411" s="1137">
        <v>15.0</v>
      </c>
      <c r="G411" s="1137">
        <v>336.0</v>
      </c>
      <c r="H411" s="773">
        <f t="shared" si="78"/>
        <v>5040</v>
      </c>
      <c r="I411" s="1137">
        <f>G411*B562</f>
        <v>0</v>
      </c>
      <c r="J411" s="1252">
        <f t="shared" si="80"/>
        <v>0</v>
      </c>
      <c r="K411" s="265" t="s">
        <v>171</v>
      </c>
      <c r="L411" s="269" t="s">
        <v>90</v>
      </c>
      <c r="M411" s="832">
        <v>42265.0</v>
      </c>
      <c r="N411" s="388"/>
      <c r="O411" s="269" t="s">
        <v>90</v>
      </c>
      <c r="P411" s="1004" t="s">
        <v>10923</v>
      </c>
      <c r="Q411" s="773">
        <v>4520.25</v>
      </c>
      <c r="R411" s="388"/>
      <c r="S411" s="388" t="s">
        <v>11006</v>
      </c>
      <c r="T411" s="388"/>
      <c r="U411" s="388"/>
      <c r="V411" s="1143">
        <v>42264.0</v>
      </c>
      <c r="W411" s="388" t="s">
        <v>12535</v>
      </c>
      <c r="X411" s="592" t="s">
        <v>8836</v>
      </c>
      <c r="Y411" s="1144">
        <v>42263.0</v>
      </c>
      <c r="Z411" s="388" t="s">
        <v>12536</v>
      </c>
      <c r="AA411" s="388" t="s">
        <v>12537</v>
      </c>
      <c r="AB411" s="1137" t="s">
        <v>8836</v>
      </c>
      <c r="AC411" s="388" t="s">
        <v>12538</v>
      </c>
      <c r="AD411" s="388"/>
    </row>
    <row r="412" ht="15.75" customHeight="1">
      <c r="A412" s="764">
        <v>42313.0</v>
      </c>
      <c r="B412" s="844" t="s">
        <v>229</v>
      </c>
      <c r="C412" s="388"/>
      <c r="D412" s="388" t="s">
        <v>12539</v>
      </c>
      <c r="E412" s="599" t="s">
        <v>462</v>
      </c>
      <c r="F412" s="1137">
        <v>40.0</v>
      </c>
      <c r="G412" s="773">
        <v>449.4</v>
      </c>
      <c r="H412" s="1147">
        <f t="shared" si="78"/>
        <v>17976</v>
      </c>
      <c r="I412" s="388">
        <f t="shared" ref="I412:J412" si="81">G412*32.6</f>
        <v>14650.44</v>
      </c>
      <c r="J412" s="388">
        <f t="shared" si="81"/>
        <v>586017.6</v>
      </c>
      <c r="K412" s="265" t="s">
        <v>171</v>
      </c>
      <c r="L412" s="269" t="s">
        <v>90</v>
      </c>
      <c r="M412" s="832">
        <v>42327.0</v>
      </c>
      <c r="N412" s="388"/>
      <c r="O412" s="269" t="s">
        <v>90</v>
      </c>
      <c r="P412" s="320" t="s">
        <v>10932</v>
      </c>
      <c r="Q412" s="773">
        <v>16254.0</v>
      </c>
      <c r="R412" s="388"/>
      <c r="S412" s="388" t="s">
        <v>11006</v>
      </c>
      <c r="T412" s="388"/>
      <c r="U412" s="388"/>
      <c r="V412" s="1139">
        <v>42327.0</v>
      </c>
      <c r="W412" s="388" t="s">
        <v>12540</v>
      </c>
      <c r="X412" s="1146">
        <v>592916.0</v>
      </c>
      <c r="Y412" s="1139">
        <v>42341.0</v>
      </c>
      <c r="Z412" s="388" t="s">
        <v>12541</v>
      </c>
      <c r="AA412" s="388">
        <v>32.6</v>
      </c>
      <c r="AB412" s="1146">
        <v>695554.0</v>
      </c>
      <c r="AC412" s="388" t="s">
        <v>12542</v>
      </c>
      <c r="AD412" s="388"/>
    </row>
    <row r="413" ht="15.75" customHeight="1">
      <c r="A413" s="764">
        <v>42313.0</v>
      </c>
      <c r="B413" s="844" t="s">
        <v>229</v>
      </c>
      <c r="C413" s="388"/>
      <c r="D413" s="388" t="s">
        <v>12539</v>
      </c>
      <c r="E413" s="599" t="s">
        <v>3765</v>
      </c>
      <c r="F413" s="1137">
        <v>10.0</v>
      </c>
      <c r="G413" s="773">
        <v>336.0</v>
      </c>
      <c r="H413" s="1147">
        <f t="shared" si="78"/>
        <v>3360</v>
      </c>
      <c r="I413" s="388">
        <f t="shared" ref="I413:J413" si="82">G413*32.6</f>
        <v>10953.6</v>
      </c>
      <c r="J413" s="388">
        <f t="shared" si="82"/>
        <v>109536</v>
      </c>
      <c r="K413" s="265" t="s">
        <v>171</v>
      </c>
      <c r="L413" s="269" t="s">
        <v>90</v>
      </c>
      <c r="M413" s="832">
        <v>42327.0</v>
      </c>
      <c r="N413" s="388"/>
      <c r="O413" s="269" t="s">
        <v>90</v>
      </c>
      <c r="P413" s="320" t="s">
        <v>10932</v>
      </c>
      <c r="Q413" s="773">
        <v>3013.5</v>
      </c>
      <c r="R413" s="388"/>
      <c r="S413" s="388" t="s">
        <v>11006</v>
      </c>
      <c r="T413" s="388"/>
      <c r="U413" s="388"/>
      <c r="V413" s="1139">
        <v>42327.0</v>
      </c>
      <c r="W413" s="388" t="s">
        <v>12540</v>
      </c>
      <c r="X413" s="1137" t="s">
        <v>8836</v>
      </c>
      <c r="Y413" s="1139">
        <v>42341.0</v>
      </c>
      <c r="Z413" s="388" t="s">
        <v>12541</v>
      </c>
      <c r="AA413" s="388">
        <v>32.6</v>
      </c>
      <c r="AB413" s="1137" t="s">
        <v>8836</v>
      </c>
      <c r="AC413" s="388" t="s">
        <v>12542</v>
      </c>
      <c r="AD413" s="388"/>
    </row>
    <row r="414" ht="15.75" customHeight="1">
      <c r="A414" s="764">
        <v>42313.0</v>
      </c>
      <c r="B414" s="844" t="s">
        <v>229</v>
      </c>
      <c r="C414" s="388"/>
      <c r="D414" s="388" t="s">
        <v>12539</v>
      </c>
      <c r="E414" s="599" t="s">
        <v>12543</v>
      </c>
      <c r="F414" s="388">
        <v>8.0</v>
      </c>
      <c r="G414" s="388">
        <v>0.0</v>
      </c>
      <c r="H414" s="1147">
        <f t="shared" si="78"/>
        <v>0</v>
      </c>
      <c r="I414" s="388"/>
      <c r="J414" s="388"/>
      <c r="K414" s="265" t="s">
        <v>171</v>
      </c>
      <c r="L414" s="269" t="s">
        <v>90</v>
      </c>
      <c r="M414" s="832">
        <v>42327.0</v>
      </c>
      <c r="N414" s="388"/>
      <c r="O414" s="269" t="s">
        <v>90</v>
      </c>
      <c r="P414" s="320" t="s">
        <v>10932</v>
      </c>
      <c r="Q414" s="388">
        <v>0.0</v>
      </c>
      <c r="R414" s="388"/>
      <c r="S414" s="388" t="s">
        <v>11006</v>
      </c>
      <c r="T414" s="388"/>
      <c r="U414" s="388"/>
      <c r="V414" s="1137" t="s">
        <v>5701</v>
      </c>
      <c r="W414" s="1137" t="s">
        <v>5701</v>
      </c>
      <c r="X414" s="1137" t="s">
        <v>5701</v>
      </c>
      <c r="Y414" s="1137"/>
      <c r="Z414" s="1004" t="s">
        <v>5701</v>
      </c>
      <c r="AA414" s="388"/>
      <c r="AB414" s="388"/>
      <c r="AC414" s="388"/>
      <c r="AD414" s="388"/>
    </row>
    <row r="415" ht="15.75" customHeight="1">
      <c r="A415" s="764">
        <v>42313.0</v>
      </c>
      <c r="B415" s="844" t="s">
        <v>229</v>
      </c>
      <c r="C415" s="388"/>
      <c r="D415" s="388" t="s">
        <v>12539</v>
      </c>
      <c r="E415" s="599" t="s">
        <v>12544</v>
      </c>
      <c r="F415" s="388">
        <v>8.0</v>
      </c>
      <c r="G415" s="388">
        <v>0.0</v>
      </c>
      <c r="H415" s="1147">
        <f t="shared" si="78"/>
        <v>0</v>
      </c>
      <c r="I415" s="388"/>
      <c r="J415" s="388"/>
      <c r="K415" s="265" t="s">
        <v>171</v>
      </c>
      <c r="L415" s="269" t="s">
        <v>90</v>
      </c>
      <c r="M415" s="832">
        <v>42327.0</v>
      </c>
      <c r="N415" s="388"/>
      <c r="O415" s="269" t="s">
        <v>90</v>
      </c>
      <c r="P415" s="320" t="s">
        <v>10932</v>
      </c>
      <c r="Q415" s="388">
        <v>0.0</v>
      </c>
      <c r="R415" s="388"/>
      <c r="S415" s="388" t="s">
        <v>11006</v>
      </c>
      <c r="T415" s="388"/>
      <c r="U415" s="388"/>
      <c r="V415" s="1137" t="s">
        <v>5701</v>
      </c>
      <c r="W415" s="1137" t="s">
        <v>5701</v>
      </c>
      <c r="X415" s="1137" t="s">
        <v>5701</v>
      </c>
      <c r="Y415" s="1137"/>
      <c r="Z415" s="1004" t="s">
        <v>5701</v>
      </c>
      <c r="AA415" s="388"/>
      <c r="AB415" s="388"/>
      <c r="AC415" s="388"/>
      <c r="AD415" s="388"/>
    </row>
    <row r="416" ht="15.75" customHeight="1">
      <c r="A416" s="764">
        <v>42335.0</v>
      </c>
      <c r="B416" s="844" t="s">
        <v>229</v>
      </c>
      <c r="C416" s="388"/>
      <c r="D416" s="388" t="s">
        <v>12545</v>
      </c>
      <c r="E416" s="599" t="s">
        <v>462</v>
      </c>
      <c r="F416" s="1137">
        <v>35.0</v>
      </c>
      <c r="G416" s="773">
        <v>449.4</v>
      </c>
      <c r="H416" s="1147">
        <f t="shared" si="78"/>
        <v>15729</v>
      </c>
      <c r="I416" s="320">
        <f t="shared" ref="I416:I417" si="83">G416*32.77</f>
        <v>14726.838</v>
      </c>
      <c r="J416" s="320">
        <f t="shared" ref="J416:J417" si="84">I416*F416</f>
        <v>515439.33</v>
      </c>
      <c r="K416" s="265" t="s">
        <v>171</v>
      </c>
      <c r="L416" s="269" t="s">
        <v>90</v>
      </c>
      <c r="M416" s="832">
        <v>42355.0</v>
      </c>
      <c r="N416" s="592"/>
      <c r="O416" s="269" t="s">
        <v>90</v>
      </c>
      <c r="P416" s="320" t="s">
        <v>10935</v>
      </c>
      <c r="Q416" s="773">
        <v>14222.25</v>
      </c>
      <c r="R416" s="388"/>
      <c r="S416" s="388" t="s">
        <v>11006</v>
      </c>
      <c r="T416" s="388"/>
      <c r="U416" s="1137"/>
      <c r="V416" s="1139">
        <v>42355.0</v>
      </c>
      <c r="W416" s="388" t="s">
        <v>12546</v>
      </c>
      <c r="X416" s="845">
        <v>441288.0</v>
      </c>
      <c r="Y416" s="1139">
        <v>42361.0</v>
      </c>
      <c r="Z416" s="1283" t="s">
        <v>12547</v>
      </c>
      <c r="AA416" s="388" t="s">
        <v>12548</v>
      </c>
      <c r="AB416" s="1146">
        <v>751069.0</v>
      </c>
      <c r="AC416" s="388" t="s">
        <v>12549</v>
      </c>
      <c r="AD416" s="388"/>
    </row>
    <row r="417" ht="15.75" customHeight="1">
      <c r="A417" s="764">
        <v>42345.0</v>
      </c>
      <c r="B417" s="844" t="s">
        <v>229</v>
      </c>
      <c r="C417" s="388"/>
      <c r="D417" s="388" t="s">
        <v>12550</v>
      </c>
      <c r="E417" s="599" t="s">
        <v>462</v>
      </c>
      <c r="F417" s="1137">
        <v>16.0</v>
      </c>
      <c r="G417" s="773">
        <v>449.4</v>
      </c>
      <c r="H417" s="1147">
        <f t="shared" si="78"/>
        <v>7190.4</v>
      </c>
      <c r="I417" s="320">
        <f t="shared" si="83"/>
        <v>14726.838</v>
      </c>
      <c r="J417" s="320">
        <f t="shared" si="84"/>
        <v>235629.408</v>
      </c>
      <c r="K417" s="265" t="s">
        <v>171</v>
      </c>
      <c r="L417" s="269" t="s">
        <v>90</v>
      </c>
      <c r="M417" s="832">
        <v>42355.0</v>
      </c>
      <c r="N417" s="592"/>
      <c r="O417" s="269" t="s">
        <v>90</v>
      </c>
      <c r="P417" s="320" t="s">
        <v>10937</v>
      </c>
      <c r="Q417" s="773">
        <v>6501.6</v>
      </c>
      <c r="R417" s="388"/>
      <c r="S417" s="320" t="s">
        <v>11006</v>
      </c>
      <c r="T417" s="388"/>
      <c r="U417" s="1137"/>
      <c r="V417" s="1139">
        <v>42355.0</v>
      </c>
      <c r="W417" s="388" t="s">
        <v>12551</v>
      </c>
      <c r="X417" s="845">
        <v>201732.0</v>
      </c>
      <c r="Y417" s="1139">
        <v>42398.0</v>
      </c>
      <c r="Z417" s="1283" t="s">
        <v>12547</v>
      </c>
      <c r="AA417" s="1283" t="s">
        <v>12548</v>
      </c>
      <c r="AB417" s="1284" t="s">
        <v>12552</v>
      </c>
      <c r="AC417" s="388" t="s">
        <v>12549</v>
      </c>
      <c r="AD417" s="388"/>
    </row>
    <row r="418" ht="15.75" customHeight="1">
      <c r="A418" s="764">
        <v>42307.0</v>
      </c>
      <c r="B418" s="844" t="s">
        <v>101</v>
      </c>
      <c r="C418" s="1004" t="s">
        <v>12553</v>
      </c>
      <c r="D418" s="388" t="s">
        <v>12554</v>
      </c>
      <c r="E418" s="844" t="s">
        <v>8996</v>
      </c>
      <c r="F418" s="1137">
        <v>10.0</v>
      </c>
      <c r="G418" s="1137">
        <v>357.0</v>
      </c>
      <c r="H418" s="1147">
        <f t="shared" si="78"/>
        <v>3570</v>
      </c>
      <c r="I418" s="320"/>
      <c r="J418" s="388"/>
      <c r="K418" s="265" t="s">
        <v>171</v>
      </c>
      <c r="L418" s="333" t="s">
        <v>8708</v>
      </c>
      <c r="M418" s="832">
        <v>42338.0</v>
      </c>
      <c r="N418" s="832">
        <v>42328.0</v>
      </c>
      <c r="O418" s="269" t="s">
        <v>2034</v>
      </c>
      <c r="P418" s="388" t="s">
        <v>12555</v>
      </c>
      <c r="Q418" s="388"/>
      <c r="R418" s="466">
        <v>115500.0</v>
      </c>
      <c r="S418" s="388" t="s">
        <v>6086</v>
      </c>
      <c r="T418" s="388"/>
      <c r="U418" s="1139">
        <v>42377.0</v>
      </c>
      <c r="V418" s="1139">
        <v>42327.0</v>
      </c>
      <c r="W418" s="388" t="s">
        <v>12556</v>
      </c>
      <c r="X418" s="1146">
        <v>115500.0</v>
      </c>
      <c r="Y418" s="1139">
        <v>42374.0</v>
      </c>
      <c r="Z418" s="388" t="s">
        <v>12557</v>
      </c>
      <c r="AA418" s="388"/>
      <c r="AB418" s="388"/>
      <c r="AC418" s="388"/>
      <c r="AD418" s="388"/>
    </row>
    <row r="419" ht="15.75" customHeight="1">
      <c r="A419" s="764">
        <v>42307.0</v>
      </c>
      <c r="B419" s="844" t="s">
        <v>101</v>
      </c>
      <c r="C419" s="1004" t="s">
        <v>12553</v>
      </c>
      <c r="D419" s="388" t="s">
        <v>12554</v>
      </c>
      <c r="E419" s="844" t="s">
        <v>12558</v>
      </c>
      <c r="F419" s="1137">
        <v>10.0</v>
      </c>
      <c r="G419" s="1137">
        <v>130.0</v>
      </c>
      <c r="H419" s="1147">
        <f t="shared" si="78"/>
        <v>1300</v>
      </c>
      <c r="I419" s="320"/>
      <c r="J419" s="388"/>
      <c r="K419" s="265" t="s">
        <v>171</v>
      </c>
      <c r="L419" s="333" t="s">
        <v>8708</v>
      </c>
      <c r="M419" s="832">
        <v>42338.0</v>
      </c>
      <c r="N419" s="832">
        <v>42334.0</v>
      </c>
      <c r="O419" s="269" t="s">
        <v>12559</v>
      </c>
      <c r="P419" s="1004" t="s">
        <v>12560</v>
      </c>
      <c r="Q419" s="388"/>
      <c r="R419" s="1157">
        <v>44218.0</v>
      </c>
      <c r="S419" s="388" t="s">
        <v>8689</v>
      </c>
      <c r="T419" s="388"/>
      <c r="U419" s="1139">
        <v>42439.0</v>
      </c>
      <c r="V419" s="1139">
        <v>42334.0</v>
      </c>
      <c r="W419" s="388" t="s">
        <v>12561</v>
      </c>
      <c r="X419" s="1146">
        <v>44218.0</v>
      </c>
      <c r="Y419" s="1139">
        <v>42436.0</v>
      </c>
      <c r="Z419" s="388" t="s">
        <v>12557</v>
      </c>
      <c r="AA419" s="388"/>
      <c r="AB419" s="388"/>
      <c r="AC419" s="388"/>
      <c r="AD419" s="388"/>
    </row>
    <row r="420" ht="15.75" customHeight="1">
      <c r="A420" s="764">
        <v>42307.0</v>
      </c>
      <c r="B420" s="844" t="s">
        <v>101</v>
      </c>
      <c r="C420" s="1004" t="s">
        <v>12553</v>
      </c>
      <c r="D420" s="388" t="s">
        <v>12554</v>
      </c>
      <c r="E420" s="844" t="s">
        <v>12562</v>
      </c>
      <c r="F420" s="1137">
        <v>1.0</v>
      </c>
      <c r="G420" s="1137">
        <v>190.0</v>
      </c>
      <c r="H420" s="1147">
        <f t="shared" si="78"/>
        <v>190</v>
      </c>
      <c r="I420" s="320"/>
      <c r="J420" s="388"/>
      <c r="K420" s="265" t="s">
        <v>171</v>
      </c>
      <c r="L420" s="333" t="s">
        <v>8708</v>
      </c>
      <c r="M420" s="832">
        <v>42338.0</v>
      </c>
      <c r="N420" s="592"/>
      <c r="O420" s="269" t="s">
        <v>11198</v>
      </c>
      <c r="P420" s="388"/>
      <c r="Q420" s="388"/>
      <c r="R420" s="320">
        <v>4268.0</v>
      </c>
      <c r="S420" s="388" t="s">
        <v>11199</v>
      </c>
      <c r="T420" s="388"/>
      <c r="U420" s="1139">
        <v>42376.0</v>
      </c>
      <c r="V420" s="1143">
        <v>42349.0</v>
      </c>
      <c r="W420" s="1004" t="s">
        <v>11200</v>
      </c>
      <c r="X420" s="1137">
        <v>47219.0</v>
      </c>
      <c r="Y420" s="1139">
        <v>42373.0</v>
      </c>
      <c r="Z420" s="388" t="s">
        <v>12557</v>
      </c>
      <c r="AA420" s="388"/>
      <c r="AB420" s="388">
        <v>47219.0</v>
      </c>
      <c r="AC420" s="388"/>
      <c r="AD420" s="388"/>
    </row>
    <row r="421" ht="15.75" customHeight="1">
      <c r="A421" s="764">
        <v>42320.0</v>
      </c>
      <c r="B421" s="844" t="s">
        <v>101</v>
      </c>
      <c r="C421" s="388" t="s">
        <v>12563</v>
      </c>
      <c r="D421" s="388" t="s">
        <v>12564</v>
      </c>
      <c r="E421" s="599" t="s">
        <v>3567</v>
      </c>
      <c r="F421" s="388">
        <v>5.0</v>
      </c>
      <c r="G421" s="388">
        <v>80.0</v>
      </c>
      <c r="H421" s="1147">
        <f t="shared" si="78"/>
        <v>400</v>
      </c>
      <c r="I421" s="320"/>
      <c r="J421" s="388"/>
      <c r="K421" s="265" t="s">
        <v>171</v>
      </c>
      <c r="L421" s="333" t="s">
        <v>8708</v>
      </c>
      <c r="M421" s="832">
        <v>42338.0</v>
      </c>
      <c r="N421" s="832">
        <v>42335.0</v>
      </c>
      <c r="O421" s="269" t="s">
        <v>2034</v>
      </c>
      <c r="P421" s="388" t="s">
        <v>12565</v>
      </c>
      <c r="Q421" s="388"/>
      <c r="R421" s="1086">
        <f>12000*1.05</f>
        <v>12600</v>
      </c>
      <c r="S421" s="388" t="s">
        <v>6086</v>
      </c>
      <c r="T421" s="388"/>
      <c r="U421" s="1139">
        <v>42405.0</v>
      </c>
      <c r="V421" s="1139">
        <v>42335.0</v>
      </c>
      <c r="W421" s="1004" t="s">
        <v>12566</v>
      </c>
      <c r="X421" s="1159">
        <v>81638.0</v>
      </c>
      <c r="Y421" s="1139">
        <v>42397.0</v>
      </c>
      <c r="Z421" s="388" t="s">
        <v>12557</v>
      </c>
      <c r="AA421" s="388"/>
      <c r="AB421" s="388"/>
      <c r="AC421" s="388"/>
      <c r="AD421" s="388"/>
    </row>
    <row r="422" ht="15.75" customHeight="1">
      <c r="A422" s="764">
        <v>42320.0</v>
      </c>
      <c r="B422" s="844" t="s">
        <v>101</v>
      </c>
      <c r="C422" s="388" t="s">
        <v>12563</v>
      </c>
      <c r="D422" s="388" t="s">
        <v>12564</v>
      </c>
      <c r="E422" s="599" t="s">
        <v>3573</v>
      </c>
      <c r="F422" s="388">
        <v>5.0</v>
      </c>
      <c r="G422" s="388">
        <v>60.0</v>
      </c>
      <c r="H422" s="1147">
        <f t="shared" si="78"/>
        <v>300</v>
      </c>
      <c r="I422" s="320"/>
      <c r="J422" s="388"/>
      <c r="K422" s="265" t="s">
        <v>171</v>
      </c>
      <c r="L422" s="333" t="s">
        <v>8708</v>
      </c>
      <c r="M422" s="832">
        <v>42338.0</v>
      </c>
      <c r="N422" s="832">
        <v>42335.0</v>
      </c>
      <c r="O422" s="269" t="s">
        <v>2034</v>
      </c>
      <c r="P422" s="388" t="s">
        <v>12565</v>
      </c>
      <c r="Q422" s="388"/>
      <c r="R422" s="1086">
        <f>9000*1.05</f>
        <v>9450</v>
      </c>
      <c r="S422" s="388" t="s">
        <v>6086</v>
      </c>
      <c r="T422" s="388"/>
      <c r="U422" s="1139">
        <v>42405.0</v>
      </c>
      <c r="V422" s="1139">
        <v>42335.0</v>
      </c>
      <c r="W422" s="1004" t="s">
        <v>12566</v>
      </c>
      <c r="X422" s="1137" t="s">
        <v>12567</v>
      </c>
      <c r="Y422" s="1139">
        <v>42397.0</v>
      </c>
      <c r="Z422" s="388" t="s">
        <v>12557</v>
      </c>
      <c r="AA422" s="388"/>
      <c r="AB422" s="388"/>
      <c r="AC422" s="388"/>
      <c r="AD422" s="388"/>
    </row>
    <row r="423" ht="15.75" customHeight="1">
      <c r="A423" s="764">
        <v>42320.0</v>
      </c>
      <c r="B423" s="844" t="s">
        <v>101</v>
      </c>
      <c r="C423" s="388" t="s">
        <v>12563</v>
      </c>
      <c r="D423" s="388" t="s">
        <v>12564</v>
      </c>
      <c r="E423" s="599" t="s">
        <v>3575</v>
      </c>
      <c r="F423" s="388">
        <v>5.0</v>
      </c>
      <c r="G423" s="388">
        <v>116.0</v>
      </c>
      <c r="H423" s="1147">
        <f t="shared" si="78"/>
        <v>580</v>
      </c>
      <c r="I423" s="320"/>
      <c r="J423" s="388"/>
      <c r="K423" s="265" t="s">
        <v>171</v>
      </c>
      <c r="L423" s="333" t="s">
        <v>8708</v>
      </c>
      <c r="M423" s="832">
        <v>42338.0</v>
      </c>
      <c r="N423" s="832">
        <v>42335.0</v>
      </c>
      <c r="O423" s="269" t="s">
        <v>2034</v>
      </c>
      <c r="P423" s="388" t="s">
        <v>12565</v>
      </c>
      <c r="Q423" s="388"/>
      <c r="R423" s="1086">
        <f>17500*1.05</f>
        <v>18375</v>
      </c>
      <c r="S423" s="388" t="s">
        <v>6086</v>
      </c>
      <c r="T423" s="388"/>
      <c r="U423" s="1139">
        <v>42405.0</v>
      </c>
      <c r="V423" s="1139">
        <v>42335.0</v>
      </c>
      <c r="W423" s="1004" t="s">
        <v>12566</v>
      </c>
      <c r="X423" s="1137" t="s">
        <v>12567</v>
      </c>
      <c r="Y423" s="1139">
        <v>42397.0</v>
      </c>
      <c r="Z423" s="388" t="s">
        <v>12557</v>
      </c>
      <c r="AA423" s="388"/>
      <c r="AB423" s="388"/>
      <c r="AC423" s="388"/>
      <c r="AD423" s="388"/>
    </row>
    <row r="424" ht="15.75" customHeight="1">
      <c r="A424" s="764">
        <v>42320.0</v>
      </c>
      <c r="B424" s="844" t="s">
        <v>101</v>
      </c>
      <c r="C424" s="388" t="s">
        <v>12563</v>
      </c>
      <c r="D424" s="388" t="s">
        <v>12564</v>
      </c>
      <c r="E424" s="604" t="s">
        <v>3576</v>
      </c>
      <c r="F424" s="388">
        <v>5.0</v>
      </c>
      <c r="G424" s="388">
        <v>2.0</v>
      </c>
      <c r="H424" s="1147">
        <f t="shared" si="78"/>
        <v>10</v>
      </c>
      <c r="I424" s="320"/>
      <c r="J424" s="388"/>
      <c r="K424" s="265" t="s">
        <v>171</v>
      </c>
      <c r="L424" s="333" t="s">
        <v>8708</v>
      </c>
      <c r="M424" s="832">
        <v>42338.0</v>
      </c>
      <c r="N424" s="832">
        <v>42328.0</v>
      </c>
      <c r="O424" s="269" t="s">
        <v>12568</v>
      </c>
      <c r="P424" s="388" t="s">
        <v>12569</v>
      </c>
      <c r="Q424" s="388"/>
      <c r="R424" s="320">
        <f>60*5</f>
        <v>300</v>
      </c>
      <c r="S424" s="388" t="s">
        <v>12570</v>
      </c>
      <c r="T424" s="388"/>
      <c r="U424" s="1143">
        <v>42327.0</v>
      </c>
      <c r="V424" s="1139">
        <v>42327.0</v>
      </c>
      <c r="W424" s="388" t="s">
        <v>12571</v>
      </c>
      <c r="X424" s="1159">
        <v>3850.0</v>
      </c>
      <c r="Y424" s="1139">
        <v>42327.0</v>
      </c>
      <c r="Z424" s="388" t="s">
        <v>12557</v>
      </c>
      <c r="AA424" s="388"/>
      <c r="AB424" s="388"/>
      <c r="AC424" s="388"/>
      <c r="AD424" s="388"/>
    </row>
    <row r="425" ht="15.75" customHeight="1">
      <c r="A425" s="764">
        <v>42320.0</v>
      </c>
      <c r="B425" s="844" t="s">
        <v>101</v>
      </c>
      <c r="C425" s="388" t="s">
        <v>12563</v>
      </c>
      <c r="D425" s="388" t="s">
        <v>12564</v>
      </c>
      <c r="E425" s="883" t="s">
        <v>3578</v>
      </c>
      <c r="F425" s="388">
        <v>5.0</v>
      </c>
      <c r="G425" s="388">
        <v>2.5</v>
      </c>
      <c r="H425" s="1147">
        <f t="shared" si="78"/>
        <v>12.5</v>
      </c>
      <c r="I425" s="320"/>
      <c r="J425" s="388"/>
      <c r="K425" s="265" t="s">
        <v>171</v>
      </c>
      <c r="L425" s="333" t="s">
        <v>8708</v>
      </c>
      <c r="M425" s="832">
        <v>42338.0</v>
      </c>
      <c r="N425" s="832">
        <v>42328.0</v>
      </c>
      <c r="O425" s="269" t="s">
        <v>12568</v>
      </c>
      <c r="P425" s="388" t="s">
        <v>12569</v>
      </c>
      <c r="Q425" s="388"/>
      <c r="R425" s="320">
        <f>75*5</f>
        <v>375</v>
      </c>
      <c r="S425" s="388" t="s">
        <v>12570</v>
      </c>
      <c r="T425" s="388"/>
      <c r="U425" s="1143">
        <v>42327.0</v>
      </c>
      <c r="V425" s="1139">
        <v>42327.0</v>
      </c>
      <c r="W425" s="388" t="s">
        <v>12571</v>
      </c>
      <c r="X425" s="1137" t="s">
        <v>12572</v>
      </c>
      <c r="Y425" s="1139">
        <v>42327.0</v>
      </c>
      <c r="Z425" s="388" t="s">
        <v>12557</v>
      </c>
      <c r="AA425" s="388"/>
      <c r="AB425" s="388"/>
      <c r="AC425" s="388"/>
      <c r="AD425" s="388"/>
    </row>
    <row r="426" ht="15.75" customHeight="1">
      <c r="A426" s="764">
        <v>42320.0</v>
      </c>
      <c r="B426" s="844" t="s">
        <v>101</v>
      </c>
      <c r="C426" s="388" t="s">
        <v>12563</v>
      </c>
      <c r="D426" s="388" t="s">
        <v>12564</v>
      </c>
      <c r="E426" s="599" t="s">
        <v>3580</v>
      </c>
      <c r="F426" s="388">
        <v>5.0</v>
      </c>
      <c r="G426" s="388">
        <v>4.0</v>
      </c>
      <c r="H426" s="1147">
        <f t="shared" si="78"/>
        <v>20</v>
      </c>
      <c r="I426" s="320"/>
      <c r="J426" s="388"/>
      <c r="K426" s="265" t="s">
        <v>171</v>
      </c>
      <c r="L426" s="333" t="s">
        <v>8708</v>
      </c>
      <c r="M426" s="832">
        <v>42338.0</v>
      </c>
      <c r="N426" s="832">
        <v>42335.0</v>
      </c>
      <c r="O426" s="269" t="s">
        <v>2034</v>
      </c>
      <c r="P426" s="388" t="s">
        <v>12565</v>
      </c>
      <c r="Q426" s="388"/>
      <c r="R426" s="1086">
        <f>375*1.05</f>
        <v>393.75</v>
      </c>
      <c r="S426" s="388" t="s">
        <v>6086</v>
      </c>
      <c r="T426" s="388"/>
      <c r="U426" s="1139">
        <v>42405.0</v>
      </c>
      <c r="V426" s="1139">
        <v>42335.0</v>
      </c>
      <c r="W426" s="1004" t="s">
        <v>12566</v>
      </c>
      <c r="X426" s="1137" t="s">
        <v>12567</v>
      </c>
      <c r="Y426" s="1139">
        <v>42397.0</v>
      </c>
      <c r="Z426" s="388" t="s">
        <v>12557</v>
      </c>
      <c r="AA426" s="388"/>
      <c r="AB426" s="388"/>
      <c r="AC426" s="388"/>
      <c r="AD426" s="388"/>
    </row>
    <row r="427" ht="15.75" customHeight="1">
      <c r="A427" s="764">
        <v>42320.0</v>
      </c>
      <c r="B427" s="844" t="s">
        <v>101</v>
      </c>
      <c r="C427" s="388" t="s">
        <v>12563</v>
      </c>
      <c r="D427" s="330" t="s">
        <v>12564</v>
      </c>
      <c r="E427" s="604" t="s">
        <v>3581</v>
      </c>
      <c r="F427" s="330">
        <v>5.0</v>
      </c>
      <c r="G427" s="388">
        <v>8.0</v>
      </c>
      <c r="H427" s="1147">
        <f t="shared" si="78"/>
        <v>40</v>
      </c>
      <c r="I427" s="320"/>
      <c r="J427" s="388"/>
      <c r="K427" s="265" t="s">
        <v>171</v>
      </c>
      <c r="L427" s="333" t="s">
        <v>8708</v>
      </c>
      <c r="M427" s="832">
        <v>42338.0</v>
      </c>
      <c r="N427" s="832">
        <v>42335.0</v>
      </c>
      <c r="O427" s="269" t="s">
        <v>12573</v>
      </c>
      <c r="P427" s="388"/>
      <c r="Q427" s="388"/>
      <c r="R427" s="388">
        <v>750.0</v>
      </c>
      <c r="S427" s="388"/>
      <c r="T427" s="388"/>
      <c r="U427" s="1137"/>
      <c r="V427" s="1137" t="s">
        <v>5701</v>
      </c>
      <c r="W427" s="1137" t="s">
        <v>5701</v>
      </c>
      <c r="X427" s="1137" t="s">
        <v>5701</v>
      </c>
      <c r="Y427" s="1139">
        <v>42335.0</v>
      </c>
      <c r="Z427" s="388" t="s">
        <v>12557</v>
      </c>
      <c r="AA427" s="388"/>
      <c r="AB427" s="388"/>
      <c r="AC427" s="388"/>
      <c r="AD427" s="388"/>
    </row>
    <row r="428" ht="15.75" customHeight="1">
      <c r="A428" s="764">
        <v>42320.0</v>
      </c>
      <c r="B428" s="844" t="s">
        <v>101</v>
      </c>
      <c r="C428" s="388" t="s">
        <v>12563</v>
      </c>
      <c r="D428" s="330" t="s">
        <v>12564</v>
      </c>
      <c r="E428" s="602" t="s">
        <v>12574</v>
      </c>
      <c r="F428" s="330">
        <v>1.0</v>
      </c>
      <c r="G428" s="388">
        <v>608.0</v>
      </c>
      <c r="H428" s="1147">
        <f t="shared" si="78"/>
        <v>608</v>
      </c>
      <c r="I428" s="320"/>
      <c r="J428" s="388"/>
      <c r="K428" s="265" t="s">
        <v>171</v>
      </c>
      <c r="L428" s="333" t="s">
        <v>8708</v>
      </c>
      <c r="M428" s="832">
        <v>42338.0</v>
      </c>
      <c r="N428" s="333"/>
      <c r="O428" s="369" t="s">
        <v>11198</v>
      </c>
      <c r="P428" s="388"/>
      <c r="Q428" s="388"/>
      <c r="R428" s="1088">
        <v>16005.0</v>
      </c>
      <c r="S428" s="388" t="s">
        <v>11199</v>
      </c>
      <c r="T428" s="388"/>
      <c r="U428" s="1139">
        <v>42376.0</v>
      </c>
      <c r="V428" s="1261">
        <v>42349.0</v>
      </c>
      <c r="W428" s="1004" t="s">
        <v>11200</v>
      </c>
      <c r="X428" s="1137" t="s">
        <v>12575</v>
      </c>
      <c r="Y428" s="1139">
        <v>42373.0</v>
      </c>
      <c r="Z428" s="388" t="s">
        <v>12557</v>
      </c>
      <c r="AA428" s="388"/>
      <c r="AB428" s="388" t="s">
        <v>12576</v>
      </c>
      <c r="AC428" s="388"/>
      <c r="AD428" s="388"/>
    </row>
    <row r="429" ht="15.75" customHeight="1">
      <c r="A429" s="764">
        <v>42320.0</v>
      </c>
      <c r="B429" s="844" t="s">
        <v>101</v>
      </c>
      <c r="C429" s="388" t="s">
        <v>12563</v>
      </c>
      <c r="D429" s="330" t="s">
        <v>12577</v>
      </c>
      <c r="E429" s="604" t="s">
        <v>3567</v>
      </c>
      <c r="F429" s="330">
        <v>5.0</v>
      </c>
      <c r="G429" s="388">
        <v>80.0</v>
      </c>
      <c r="H429" s="1147">
        <f t="shared" si="78"/>
        <v>400</v>
      </c>
      <c r="I429" s="388"/>
      <c r="J429" s="388"/>
      <c r="K429" s="265" t="s">
        <v>171</v>
      </c>
      <c r="L429" s="333" t="s">
        <v>8708</v>
      </c>
      <c r="M429" s="832">
        <v>42345.0</v>
      </c>
      <c r="N429" s="832">
        <v>42335.0</v>
      </c>
      <c r="O429" s="369" t="s">
        <v>2034</v>
      </c>
      <c r="P429" s="388" t="s">
        <v>12565</v>
      </c>
      <c r="Q429" s="388"/>
      <c r="R429" s="1086">
        <f>12000*1.05</f>
        <v>12600</v>
      </c>
      <c r="S429" s="388" t="s">
        <v>6086</v>
      </c>
      <c r="T429" s="388"/>
      <c r="U429" s="1139">
        <v>42405.0</v>
      </c>
      <c r="V429" s="1139">
        <v>42335.0</v>
      </c>
      <c r="W429" s="388" t="s">
        <v>12566</v>
      </c>
      <c r="X429" s="1137" t="s">
        <v>12567</v>
      </c>
      <c r="Y429" s="1139">
        <v>42397.0</v>
      </c>
      <c r="Z429" s="1140" t="s">
        <v>12578</v>
      </c>
      <c r="AA429" s="388"/>
      <c r="AB429" s="388"/>
      <c r="AC429" s="388"/>
      <c r="AD429" s="1140" t="s">
        <v>284</v>
      </c>
    </row>
    <row r="430" ht="15.75" customHeight="1">
      <c r="A430" s="764">
        <v>42320.0</v>
      </c>
      <c r="B430" s="844" t="s">
        <v>101</v>
      </c>
      <c r="C430" s="388" t="s">
        <v>12563</v>
      </c>
      <c r="D430" s="330" t="s">
        <v>12577</v>
      </c>
      <c r="E430" s="604" t="s">
        <v>3573</v>
      </c>
      <c r="F430" s="330">
        <v>5.0</v>
      </c>
      <c r="G430" s="388">
        <v>60.0</v>
      </c>
      <c r="H430" s="1147">
        <f t="shared" si="78"/>
        <v>300</v>
      </c>
      <c r="I430" s="388"/>
      <c r="J430" s="388"/>
      <c r="K430" s="265" t="s">
        <v>171</v>
      </c>
      <c r="L430" s="333" t="s">
        <v>8708</v>
      </c>
      <c r="M430" s="832">
        <v>42345.0</v>
      </c>
      <c r="N430" s="832">
        <v>42335.0</v>
      </c>
      <c r="O430" s="369" t="s">
        <v>2034</v>
      </c>
      <c r="P430" s="388" t="s">
        <v>12565</v>
      </c>
      <c r="Q430" s="388"/>
      <c r="R430" s="1086">
        <f>9000*1.05</f>
        <v>9450</v>
      </c>
      <c r="S430" s="388" t="s">
        <v>6086</v>
      </c>
      <c r="T430" s="388"/>
      <c r="U430" s="1139">
        <v>42405.0</v>
      </c>
      <c r="V430" s="1139">
        <v>42335.0</v>
      </c>
      <c r="W430" s="388" t="s">
        <v>12566</v>
      </c>
      <c r="X430" s="1137" t="s">
        <v>12567</v>
      </c>
      <c r="Y430" s="1139">
        <v>42397.0</v>
      </c>
      <c r="Z430" s="1140" t="s">
        <v>12578</v>
      </c>
      <c r="AA430" s="388"/>
      <c r="AB430" s="388"/>
      <c r="AC430" s="388"/>
      <c r="AD430" s="1140" t="s">
        <v>284</v>
      </c>
    </row>
    <row r="431" ht="15.75" customHeight="1">
      <c r="A431" s="764">
        <v>42320.0</v>
      </c>
      <c r="B431" s="844" t="s">
        <v>101</v>
      </c>
      <c r="C431" s="388" t="s">
        <v>12563</v>
      </c>
      <c r="D431" s="330" t="s">
        <v>12577</v>
      </c>
      <c r="E431" s="604" t="s">
        <v>3575</v>
      </c>
      <c r="F431" s="330">
        <v>5.0</v>
      </c>
      <c r="G431" s="388">
        <v>116.0</v>
      </c>
      <c r="H431" s="1147">
        <f t="shared" si="78"/>
        <v>580</v>
      </c>
      <c r="I431" s="388"/>
      <c r="J431" s="388"/>
      <c r="K431" s="265" t="s">
        <v>171</v>
      </c>
      <c r="L431" s="333" t="s">
        <v>8708</v>
      </c>
      <c r="M431" s="832">
        <v>42345.0</v>
      </c>
      <c r="N431" s="832">
        <v>42335.0</v>
      </c>
      <c r="O431" s="369" t="s">
        <v>2034</v>
      </c>
      <c r="P431" s="388" t="s">
        <v>12565</v>
      </c>
      <c r="Q431" s="388"/>
      <c r="R431" s="1086">
        <f>17500*1.05</f>
        <v>18375</v>
      </c>
      <c r="S431" s="388" t="s">
        <v>6086</v>
      </c>
      <c r="T431" s="388"/>
      <c r="U431" s="1139">
        <v>42405.0</v>
      </c>
      <c r="V431" s="1139">
        <v>42335.0</v>
      </c>
      <c r="W431" s="388" t="s">
        <v>12566</v>
      </c>
      <c r="X431" s="1137" t="s">
        <v>12567</v>
      </c>
      <c r="Y431" s="1139">
        <v>42397.0</v>
      </c>
      <c r="Z431" s="1140" t="s">
        <v>12578</v>
      </c>
      <c r="AA431" s="388"/>
      <c r="AB431" s="388"/>
      <c r="AC431" s="388"/>
      <c r="AD431" s="1140" t="s">
        <v>284</v>
      </c>
    </row>
    <row r="432" ht="15.75" customHeight="1">
      <c r="A432" s="764">
        <v>42320.0</v>
      </c>
      <c r="B432" s="844" t="s">
        <v>101</v>
      </c>
      <c r="C432" s="388" t="s">
        <v>12563</v>
      </c>
      <c r="D432" s="330" t="s">
        <v>12577</v>
      </c>
      <c r="E432" s="604" t="s">
        <v>3576</v>
      </c>
      <c r="F432" s="330">
        <v>5.0</v>
      </c>
      <c r="G432" s="388">
        <v>2.0</v>
      </c>
      <c r="H432" s="1147">
        <f t="shared" si="78"/>
        <v>10</v>
      </c>
      <c r="I432" s="388"/>
      <c r="J432" s="388"/>
      <c r="K432" s="265" t="s">
        <v>171</v>
      </c>
      <c r="L432" s="333" t="s">
        <v>8708</v>
      </c>
      <c r="M432" s="832">
        <v>42345.0</v>
      </c>
      <c r="N432" s="832">
        <v>42328.0</v>
      </c>
      <c r="O432" s="369" t="s">
        <v>12568</v>
      </c>
      <c r="P432" s="388" t="s">
        <v>12569</v>
      </c>
      <c r="Q432" s="388"/>
      <c r="R432" s="320">
        <f>60*5</f>
        <v>300</v>
      </c>
      <c r="S432" s="388" t="s">
        <v>12570</v>
      </c>
      <c r="T432" s="388"/>
      <c r="U432" s="1143">
        <v>42327.0</v>
      </c>
      <c r="V432" s="1139">
        <v>42327.0</v>
      </c>
      <c r="W432" s="388" t="s">
        <v>12571</v>
      </c>
      <c r="X432" s="1137" t="s">
        <v>12579</v>
      </c>
      <c r="Y432" s="1139">
        <v>42327.0</v>
      </c>
      <c r="Z432" s="1140" t="s">
        <v>12578</v>
      </c>
      <c r="AA432" s="388"/>
      <c r="AB432" s="388"/>
      <c r="AC432" s="388"/>
      <c r="AD432" s="1140" t="s">
        <v>284</v>
      </c>
    </row>
    <row r="433" ht="15.75" customHeight="1">
      <c r="A433" s="764">
        <v>42320.0</v>
      </c>
      <c r="B433" s="844" t="s">
        <v>101</v>
      </c>
      <c r="C433" s="388" t="s">
        <v>12563</v>
      </c>
      <c r="D433" s="330" t="s">
        <v>12577</v>
      </c>
      <c r="E433" s="604" t="s">
        <v>3578</v>
      </c>
      <c r="F433" s="330">
        <v>5.0</v>
      </c>
      <c r="G433" s="388">
        <v>2.5</v>
      </c>
      <c r="H433" s="1147">
        <f t="shared" si="78"/>
        <v>12.5</v>
      </c>
      <c r="I433" s="388"/>
      <c r="J433" s="388"/>
      <c r="K433" s="265" t="s">
        <v>171</v>
      </c>
      <c r="L433" s="333" t="s">
        <v>8708</v>
      </c>
      <c r="M433" s="832">
        <v>42345.0</v>
      </c>
      <c r="N433" s="832">
        <v>42328.0</v>
      </c>
      <c r="O433" s="369" t="s">
        <v>12568</v>
      </c>
      <c r="P433" s="388" t="s">
        <v>12569</v>
      </c>
      <c r="Q433" s="388"/>
      <c r="R433" s="320">
        <f>75*5</f>
        <v>375</v>
      </c>
      <c r="S433" s="388" t="s">
        <v>12570</v>
      </c>
      <c r="T433" s="388"/>
      <c r="U433" s="1143">
        <v>42327.0</v>
      </c>
      <c r="V433" s="1139">
        <v>42327.0</v>
      </c>
      <c r="W433" s="388" t="s">
        <v>12571</v>
      </c>
      <c r="X433" s="1137" t="s">
        <v>12579</v>
      </c>
      <c r="Y433" s="1139">
        <v>42327.0</v>
      </c>
      <c r="Z433" s="1140" t="s">
        <v>12578</v>
      </c>
      <c r="AA433" s="388"/>
      <c r="AB433" s="388"/>
      <c r="AC433" s="388"/>
      <c r="AD433" s="1140" t="s">
        <v>284</v>
      </c>
    </row>
    <row r="434" ht="15.75" customHeight="1">
      <c r="A434" s="764">
        <v>42320.0</v>
      </c>
      <c r="B434" s="844" t="s">
        <v>101</v>
      </c>
      <c r="C434" s="388" t="s">
        <v>12563</v>
      </c>
      <c r="D434" s="330" t="s">
        <v>12577</v>
      </c>
      <c r="E434" s="599" t="s">
        <v>3580</v>
      </c>
      <c r="F434" s="330">
        <v>5.0</v>
      </c>
      <c r="G434" s="388">
        <v>4.0</v>
      </c>
      <c r="H434" s="1147">
        <f t="shared" si="78"/>
        <v>20</v>
      </c>
      <c r="I434" s="388"/>
      <c r="J434" s="388"/>
      <c r="K434" s="265" t="s">
        <v>171</v>
      </c>
      <c r="L434" s="333" t="s">
        <v>8708</v>
      </c>
      <c r="M434" s="832">
        <v>42345.0</v>
      </c>
      <c r="N434" s="832">
        <v>42335.0</v>
      </c>
      <c r="O434" s="269" t="s">
        <v>2034</v>
      </c>
      <c r="P434" s="388" t="s">
        <v>12565</v>
      </c>
      <c r="Q434" s="388"/>
      <c r="R434" s="1086">
        <f>375*1.05</f>
        <v>393.75</v>
      </c>
      <c r="S434" s="388" t="s">
        <v>6086</v>
      </c>
      <c r="T434" s="388"/>
      <c r="U434" s="1139">
        <v>42405.0</v>
      </c>
      <c r="V434" s="1139">
        <v>42335.0</v>
      </c>
      <c r="W434" s="388" t="s">
        <v>12566</v>
      </c>
      <c r="X434" s="1137" t="s">
        <v>12567</v>
      </c>
      <c r="Y434" s="1139">
        <v>42397.0</v>
      </c>
      <c r="Z434" s="1140" t="s">
        <v>12578</v>
      </c>
      <c r="AA434" s="388"/>
      <c r="AB434" s="388"/>
      <c r="AC434" s="388"/>
      <c r="AD434" s="1140" t="s">
        <v>284</v>
      </c>
    </row>
    <row r="435" ht="15.75" customHeight="1">
      <c r="A435" s="764">
        <v>42320.0</v>
      </c>
      <c r="B435" s="844" t="s">
        <v>101</v>
      </c>
      <c r="C435" s="388" t="s">
        <v>12563</v>
      </c>
      <c r="D435" s="330" t="s">
        <v>12577</v>
      </c>
      <c r="E435" s="604" t="s">
        <v>3581</v>
      </c>
      <c r="F435" s="330">
        <v>5.0</v>
      </c>
      <c r="G435" s="388">
        <v>8.0</v>
      </c>
      <c r="H435" s="1147">
        <f t="shared" si="78"/>
        <v>40</v>
      </c>
      <c r="I435" s="388"/>
      <c r="J435" s="388"/>
      <c r="K435" s="265" t="s">
        <v>171</v>
      </c>
      <c r="L435" s="333" t="s">
        <v>8708</v>
      </c>
      <c r="M435" s="832">
        <v>42345.0</v>
      </c>
      <c r="N435" s="832">
        <v>42342.0</v>
      </c>
      <c r="O435" s="269" t="s">
        <v>12573</v>
      </c>
      <c r="P435" s="388"/>
      <c r="Q435" s="388"/>
      <c r="R435" s="388">
        <v>750.0</v>
      </c>
      <c r="S435" s="388"/>
      <c r="T435" s="388"/>
      <c r="U435" s="1137"/>
      <c r="V435" s="1140"/>
      <c r="W435" s="1140"/>
      <c r="X435" s="1242"/>
      <c r="Y435" s="1139">
        <v>42335.0</v>
      </c>
      <c r="Z435" s="1140" t="s">
        <v>12578</v>
      </c>
      <c r="AA435" s="388"/>
      <c r="AB435" s="388"/>
      <c r="AC435" s="388"/>
      <c r="AD435" s="1140" t="s">
        <v>284</v>
      </c>
    </row>
    <row r="436" ht="15.75" customHeight="1">
      <c r="A436" s="764">
        <v>42320.0</v>
      </c>
      <c r="B436" s="844" t="s">
        <v>101</v>
      </c>
      <c r="C436" s="388" t="s">
        <v>12563</v>
      </c>
      <c r="D436" s="388" t="s">
        <v>12564</v>
      </c>
      <c r="E436" s="599" t="s">
        <v>12580</v>
      </c>
      <c r="F436" s="388">
        <v>1.0</v>
      </c>
      <c r="G436" s="388">
        <v>608.0</v>
      </c>
      <c r="H436" s="1147">
        <f t="shared" si="78"/>
        <v>608</v>
      </c>
      <c r="I436" s="388"/>
      <c r="J436" s="388"/>
      <c r="K436" s="265" t="s">
        <v>171</v>
      </c>
      <c r="L436" s="333" t="s">
        <v>8708</v>
      </c>
      <c r="M436" s="832">
        <v>42345.0</v>
      </c>
      <c r="N436" s="1142"/>
      <c r="O436" s="269" t="s">
        <v>11198</v>
      </c>
      <c r="P436" s="388"/>
      <c r="Q436" s="388"/>
      <c r="R436" s="1138">
        <v>18412.0</v>
      </c>
      <c r="S436" s="388" t="s">
        <v>11199</v>
      </c>
      <c r="T436" s="388"/>
      <c r="U436" s="1139">
        <v>42376.0</v>
      </c>
      <c r="V436" s="1139">
        <v>42349.0</v>
      </c>
      <c r="W436" s="388" t="s">
        <v>11200</v>
      </c>
      <c r="X436" s="1137" t="s">
        <v>12575</v>
      </c>
      <c r="Y436" s="1139">
        <v>42373.0</v>
      </c>
      <c r="Z436" s="1140" t="s">
        <v>12578</v>
      </c>
      <c r="AA436" s="388"/>
      <c r="AB436" s="388" t="s">
        <v>12576</v>
      </c>
      <c r="AC436" s="388"/>
      <c r="AD436" s="1140" t="s">
        <v>284</v>
      </c>
    </row>
    <row r="437" ht="15.75" customHeight="1">
      <c r="A437" s="764">
        <v>42326.0</v>
      </c>
      <c r="B437" s="844" t="s">
        <v>101</v>
      </c>
      <c r="C437" s="388" t="s">
        <v>12581</v>
      </c>
      <c r="D437" s="388" t="s">
        <v>12582</v>
      </c>
      <c r="E437" s="599" t="s">
        <v>9605</v>
      </c>
      <c r="F437" s="388">
        <v>8.0</v>
      </c>
      <c r="G437" s="388">
        <v>1166.0</v>
      </c>
      <c r="H437" s="1147">
        <f t="shared" si="78"/>
        <v>9328</v>
      </c>
      <c r="I437" s="320"/>
      <c r="J437" s="388"/>
      <c r="K437" s="265" t="s">
        <v>171</v>
      </c>
      <c r="L437" s="333" t="s">
        <v>8708</v>
      </c>
      <c r="M437" s="832">
        <v>42338.0</v>
      </c>
      <c r="N437" s="832">
        <v>42335.0</v>
      </c>
      <c r="O437" s="269" t="s">
        <v>2034</v>
      </c>
      <c r="P437" s="388" t="s">
        <v>12583</v>
      </c>
      <c r="Q437" s="388"/>
      <c r="R437" s="1088">
        <v>303240.0</v>
      </c>
      <c r="S437" s="388" t="s">
        <v>6086</v>
      </c>
      <c r="T437" s="388"/>
      <c r="U437" s="1139">
        <v>42405.0</v>
      </c>
      <c r="V437" s="1139">
        <v>42335.0</v>
      </c>
      <c r="W437" s="388" t="s">
        <v>12584</v>
      </c>
      <c r="X437" s="1159">
        <v>303240.0</v>
      </c>
      <c r="Y437" s="1139">
        <v>42397.0</v>
      </c>
      <c r="Z437" s="388" t="s">
        <v>12557</v>
      </c>
      <c r="AA437" s="388"/>
      <c r="AB437" s="388"/>
      <c r="AC437" s="388"/>
      <c r="AD437" s="388"/>
    </row>
    <row r="438" ht="15.75" customHeight="1">
      <c r="A438" s="764">
        <v>42326.0</v>
      </c>
      <c r="B438" s="844" t="s">
        <v>101</v>
      </c>
      <c r="C438" s="388" t="s">
        <v>12581</v>
      </c>
      <c r="D438" s="388" t="s">
        <v>12582</v>
      </c>
      <c r="E438" s="604" t="s">
        <v>12585</v>
      </c>
      <c r="F438" s="388">
        <v>1.0</v>
      </c>
      <c r="G438" s="388">
        <v>235.0</v>
      </c>
      <c r="H438" s="1147">
        <f t="shared" si="78"/>
        <v>235</v>
      </c>
      <c r="I438" s="320"/>
      <c r="J438" s="388"/>
      <c r="K438" s="265" t="s">
        <v>171</v>
      </c>
      <c r="L438" s="333" t="s">
        <v>8708</v>
      </c>
      <c r="M438" s="832">
        <v>42338.0</v>
      </c>
      <c r="N438" s="592"/>
      <c r="O438" s="269" t="s">
        <v>11198</v>
      </c>
      <c r="P438" s="388"/>
      <c r="Q438" s="388"/>
      <c r="R438" s="1088">
        <v>5495.0</v>
      </c>
      <c r="S438" s="388" t="s">
        <v>11199</v>
      </c>
      <c r="T438" s="388"/>
      <c r="U438" s="1139">
        <v>42376.0</v>
      </c>
      <c r="V438" s="1261">
        <v>42349.0</v>
      </c>
      <c r="W438" s="1004" t="s">
        <v>11200</v>
      </c>
      <c r="X438" s="1137" t="s">
        <v>12575</v>
      </c>
      <c r="Y438" s="1139">
        <v>42373.0</v>
      </c>
      <c r="Z438" s="388" t="s">
        <v>12557</v>
      </c>
      <c r="AA438" s="388"/>
      <c r="AB438" s="388" t="s">
        <v>12576</v>
      </c>
      <c r="AC438" s="388"/>
      <c r="AD438" s="388"/>
    </row>
    <row r="439" ht="15.75" customHeight="1">
      <c r="A439" s="764">
        <v>42328.0</v>
      </c>
      <c r="B439" s="844" t="s">
        <v>101</v>
      </c>
      <c r="C439" s="388" t="s">
        <v>12586</v>
      </c>
      <c r="D439" s="388" t="s">
        <v>12587</v>
      </c>
      <c r="E439" s="320" t="s">
        <v>12588</v>
      </c>
      <c r="F439" s="388">
        <v>1.0</v>
      </c>
      <c r="G439" s="388">
        <v>575.0</v>
      </c>
      <c r="H439" s="1147">
        <f t="shared" si="78"/>
        <v>575</v>
      </c>
      <c r="I439" s="320"/>
      <c r="J439" s="388"/>
      <c r="K439" s="265" t="s">
        <v>171</v>
      </c>
      <c r="L439" s="333" t="s">
        <v>8708</v>
      </c>
      <c r="M439" s="832">
        <v>42338.0</v>
      </c>
      <c r="N439" s="832">
        <v>42338.0</v>
      </c>
      <c r="O439" s="256" t="s">
        <v>1439</v>
      </c>
      <c r="P439" s="388" t="s">
        <v>12589</v>
      </c>
      <c r="Q439" s="388"/>
      <c r="R439" s="320">
        <f>520*32.575*1.05</f>
        <v>17785.95</v>
      </c>
      <c r="S439" s="388" t="s">
        <v>8714</v>
      </c>
      <c r="T439" s="388"/>
      <c r="U439" s="1143">
        <v>42334.0</v>
      </c>
      <c r="V439" s="1139">
        <v>42338.0</v>
      </c>
      <c r="W439" s="388" t="s">
        <v>12590</v>
      </c>
      <c r="X439" s="1159">
        <v>20864.0</v>
      </c>
      <c r="Y439" s="1139">
        <v>42334.0</v>
      </c>
      <c r="Z439" s="388" t="s">
        <v>12557</v>
      </c>
      <c r="AA439" s="388"/>
      <c r="AB439" s="388"/>
      <c r="AC439" s="388"/>
      <c r="AD439" s="1140" t="s">
        <v>284</v>
      </c>
    </row>
    <row r="440" ht="15.75" customHeight="1">
      <c r="A440" s="764">
        <v>42328.0</v>
      </c>
      <c r="B440" s="844" t="s">
        <v>101</v>
      </c>
      <c r="C440" s="388" t="s">
        <v>12586</v>
      </c>
      <c r="D440" s="388" t="s">
        <v>12587</v>
      </c>
      <c r="E440" s="320" t="s">
        <v>9768</v>
      </c>
      <c r="F440" s="388">
        <v>1.0</v>
      </c>
      <c r="G440" s="388">
        <v>380.0</v>
      </c>
      <c r="H440" s="1147">
        <f t="shared" si="78"/>
        <v>380</v>
      </c>
      <c r="I440" s="320"/>
      <c r="J440" s="388"/>
      <c r="K440" s="265" t="s">
        <v>171</v>
      </c>
      <c r="L440" s="333" t="s">
        <v>8708</v>
      </c>
      <c r="M440" s="832">
        <v>42338.0</v>
      </c>
      <c r="N440" s="832">
        <v>42338.0</v>
      </c>
      <c r="O440" s="269" t="s">
        <v>12591</v>
      </c>
      <c r="P440" s="388" t="s">
        <v>12592</v>
      </c>
      <c r="Q440" s="388"/>
      <c r="R440" s="1138">
        <f>372.75*32.555</f>
        <v>12134.87625</v>
      </c>
      <c r="S440" s="388" t="s">
        <v>12593</v>
      </c>
      <c r="T440" s="388"/>
      <c r="U440" s="1143">
        <v>42332.0</v>
      </c>
      <c r="V440" s="1139">
        <v>42332.0</v>
      </c>
      <c r="W440" s="388" t="s">
        <v>12594</v>
      </c>
      <c r="X440" s="1159">
        <v>12135.0</v>
      </c>
      <c r="Y440" s="1139">
        <v>42332.0</v>
      </c>
      <c r="Z440" s="388" t="s">
        <v>12557</v>
      </c>
      <c r="AA440" s="388"/>
      <c r="AB440" s="388"/>
      <c r="AC440" s="388"/>
      <c r="AD440" s="1140" t="s">
        <v>284</v>
      </c>
    </row>
    <row r="441" ht="15.75" customHeight="1">
      <c r="A441" s="764">
        <v>42328.0</v>
      </c>
      <c r="B441" s="844" t="s">
        <v>101</v>
      </c>
      <c r="C441" s="388" t="s">
        <v>12586</v>
      </c>
      <c r="D441" s="388" t="s">
        <v>12587</v>
      </c>
      <c r="E441" s="320" t="s">
        <v>8970</v>
      </c>
      <c r="F441" s="388">
        <v>1.0</v>
      </c>
      <c r="G441" s="388">
        <v>62.0</v>
      </c>
      <c r="H441" s="1147">
        <f t="shared" si="78"/>
        <v>62</v>
      </c>
      <c r="I441" s="320"/>
      <c r="J441" s="388"/>
      <c r="K441" s="265" t="s">
        <v>171</v>
      </c>
      <c r="L441" s="333" t="s">
        <v>8708</v>
      </c>
      <c r="M441" s="832">
        <v>42338.0</v>
      </c>
      <c r="N441" s="832">
        <v>42338.0</v>
      </c>
      <c r="O441" s="269" t="s">
        <v>12595</v>
      </c>
      <c r="P441" s="388" t="s">
        <v>12596</v>
      </c>
      <c r="Q441" s="388"/>
      <c r="R441" s="320">
        <v>1278.0</v>
      </c>
      <c r="S441" s="388" t="s">
        <v>12597</v>
      </c>
      <c r="T441" s="388"/>
      <c r="U441" s="1143">
        <v>42332.0</v>
      </c>
      <c r="V441" s="1139">
        <v>42333.0</v>
      </c>
      <c r="W441" s="388" t="s">
        <v>12598</v>
      </c>
      <c r="X441" s="1159">
        <v>1278.0</v>
      </c>
      <c r="Y441" s="1139">
        <v>42332.0</v>
      </c>
      <c r="Z441" s="388" t="s">
        <v>12557</v>
      </c>
      <c r="AA441" s="388"/>
      <c r="AB441" s="388"/>
      <c r="AC441" s="388"/>
      <c r="AD441" s="1140" t="s">
        <v>284</v>
      </c>
    </row>
    <row r="442" ht="15.75" customHeight="1">
      <c r="A442" s="764">
        <v>42328.0</v>
      </c>
      <c r="B442" s="844" t="s">
        <v>101</v>
      </c>
      <c r="C442" s="388" t="s">
        <v>12586</v>
      </c>
      <c r="D442" s="388" t="s">
        <v>12587</v>
      </c>
      <c r="E442" s="310" t="s">
        <v>6295</v>
      </c>
      <c r="F442" s="388">
        <v>1.0</v>
      </c>
      <c r="G442" s="388">
        <v>38.0</v>
      </c>
      <c r="H442" s="1147">
        <f t="shared" si="78"/>
        <v>38</v>
      </c>
      <c r="I442" s="320"/>
      <c r="J442" s="388"/>
      <c r="K442" s="265" t="s">
        <v>171</v>
      </c>
      <c r="L442" s="333" t="s">
        <v>8708</v>
      </c>
      <c r="M442" s="832">
        <v>42338.0</v>
      </c>
      <c r="N442" s="832">
        <v>42338.0</v>
      </c>
      <c r="O442" s="256" t="s">
        <v>1439</v>
      </c>
      <c r="P442" s="388" t="s">
        <v>12589</v>
      </c>
      <c r="Q442" s="388"/>
      <c r="R442" s="320">
        <f>35*1.05*32.575</f>
        <v>1197.13125</v>
      </c>
      <c r="S442" s="388" t="s">
        <v>8714</v>
      </c>
      <c r="T442" s="388"/>
      <c r="U442" s="1143">
        <v>42334.0</v>
      </c>
      <c r="V442" s="1139">
        <v>42338.0</v>
      </c>
      <c r="W442" s="388" t="s">
        <v>12590</v>
      </c>
      <c r="X442" s="1137" t="s">
        <v>12599</v>
      </c>
      <c r="Y442" s="1139">
        <v>42334.0</v>
      </c>
      <c r="Z442" s="388" t="s">
        <v>12557</v>
      </c>
      <c r="AA442" s="388"/>
      <c r="AB442" s="388"/>
      <c r="AC442" s="388"/>
      <c r="AD442" s="1140" t="s">
        <v>284</v>
      </c>
    </row>
    <row r="443" ht="15.75" customHeight="1">
      <c r="A443" s="764">
        <v>42328.0</v>
      </c>
      <c r="B443" s="844" t="s">
        <v>101</v>
      </c>
      <c r="C443" s="388" t="s">
        <v>12586</v>
      </c>
      <c r="D443" s="388" t="s">
        <v>12587</v>
      </c>
      <c r="E443" s="310" t="s">
        <v>8974</v>
      </c>
      <c r="F443" s="388">
        <v>1.0</v>
      </c>
      <c r="G443" s="388">
        <v>30.0</v>
      </c>
      <c r="H443" s="1147">
        <f t="shared" si="78"/>
        <v>30</v>
      </c>
      <c r="I443" s="320"/>
      <c r="J443" s="388"/>
      <c r="K443" s="265" t="s">
        <v>171</v>
      </c>
      <c r="L443" s="333" t="s">
        <v>8708</v>
      </c>
      <c r="M443" s="832">
        <v>42338.0</v>
      </c>
      <c r="N443" s="832">
        <v>42338.0</v>
      </c>
      <c r="O443" s="256" t="s">
        <v>1439</v>
      </c>
      <c r="P443" s="388" t="s">
        <v>12589</v>
      </c>
      <c r="Q443" s="388"/>
      <c r="R443" s="320">
        <f>25*1.05*32.575</f>
        <v>855.09375</v>
      </c>
      <c r="S443" s="388" t="s">
        <v>8714</v>
      </c>
      <c r="T443" s="388"/>
      <c r="U443" s="1143">
        <v>42334.0</v>
      </c>
      <c r="V443" s="1139">
        <v>42338.0</v>
      </c>
      <c r="W443" s="388" t="s">
        <v>12590</v>
      </c>
      <c r="X443" s="1137" t="s">
        <v>12599</v>
      </c>
      <c r="Y443" s="1139">
        <v>42334.0</v>
      </c>
      <c r="Z443" s="388" t="s">
        <v>12557</v>
      </c>
      <c r="AA443" s="388"/>
      <c r="AB443" s="388"/>
      <c r="AC443" s="388"/>
      <c r="AD443" s="1140" t="s">
        <v>284</v>
      </c>
    </row>
    <row r="444" ht="15.75" customHeight="1">
      <c r="A444" s="764">
        <v>42328.0</v>
      </c>
      <c r="B444" s="844" t="s">
        <v>101</v>
      </c>
      <c r="C444" s="388" t="s">
        <v>12586</v>
      </c>
      <c r="D444" s="388" t="s">
        <v>12587</v>
      </c>
      <c r="E444" s="320" t="s">
        <v>8975</v>
      </c>
      <c r="F444" s="388">
        <v>1.0</v>
      </c>
      <c r="G444" s="388">
        <v>30.0</v>
      </c>
      <c r="H444" s="1147">
        <f t="shared" si="78"/>
        <v>30</v>
      </c>
      <c r="I444" s="310"/>
      <c r="J444" s="330"/>
      <c r="K444" s="265" t="s">
        <v>171</v>
      </c>
      <c r="L444" s="333" t="s">
        <v>8708</v>
      </c>
      <c r="M444" s="832">
        <v>42338.0</v>
      </c>
      <c r="N444" s="832">
        <v>42338.0</v>
      </c>
      <c r="O444" s="256" t="s">
        <v>1439</v>
      </c>
      <c r="P444" s="388" t="s">
        <v>12589</v>
      </c>
      <c r="Q444" s="388"/>
      <c r="R444" s="320">
        <f>30*1.05*32.575</f>
        <v>1026.1125</v>
      </c>
      <c r="S444" s="388" t="s">
        <v>8714</v>
      </c>
      <c r="T444" s="388"/>
      <c r="U444" s="1143">
        <v>42334.0</v>
      </c>
      <c r="V444" s="1139">
        <v>42338.0</v>
      </c>
      <c r="W444" s="388" t="s">
        <v>12590</v>
      </c>
      <c r="X444" s="1137" t="s">
        <v>12599</v>
      </c>
      <c r="Y444" s="1139">
        <v>42334.0</v>
      </c>
      <c r="Z444" s="330" t="s">
        <v>12557</v>
      </c>
      <c r="AA444" s="388"/>
      <c r="AB444" s="388"/>
      <c r="AC444" s="388"/>
      <c r="AD444" s="1140" t="s">
        <v>284</v>
      </c>
    </row>
    <row r="445" ht="15.75" customHeight="1">
      <c r="A445" s="764">
        <v>42328.0</v>
      </c>
      <c r="B445" s="844" t="s">
        <v>101</v>
      </c>
      <c r="C445" s="388" t="s">
        <v>12586</v>
      </c>
      <c r="D445" s="388" t="s">
        <v>12587</v>
      </c>
      <c r="E445" s="844" t="s">
        <v>12600</v>
      </c>
      <c r="F445" s="388">
        <v>1.0</v>
      </c>
      <c r="G445" s="388">
        <v>68.0</v>
      </c>
      <c r="H445" s="1147">
        <f t="shared" si="78"/>
        <v>68</v>
      </c>
      <c r="I445" s="310"/>
      <c r="J445" s="330"/>
      <c r="K445" s="265" t="s">
        <v>171</v>
      </c>
      <c r="L445" s="333" t="s">
        <v>8708</v>
      </c>
      <c r="M445" s="832">
        <v>42338.0</v>
      </c>
      <c r="N445" s="823"/>
      <c r="O445" s="269" t="s">
        <v>11198</v>
      </c>
      <c r="P445" s="388"/>
      <c r="Q445" s="388"/>
      <c r="R445" s="320">
        <v>906.0</v>
      </c>
      <c r="S445" s="388" t="s">
        <v>11199</v>
      </c>
      <c r="T445" s="388"/>
      <c r="U445" s="1139">
        <v>42376.0</v>
      </c>
      <c r="V445" s="1261">
        <v>42349.0</v>
      </c>
      <c r="W445" s="1004" t="s">
        <v>11200</v>
      </c>
      <c r="X445" s="1137" t="s">
        <v>12575</v>
      </c>
      <c r="Y445" s="1139">
        <v>42373.0</v>
      </c>
      <c r="Z445" s="388" t="s">
        <v>12557</v>
      </c>
      <c r="AA445" s="388"/>
      <c r="AB445" s="388" t="s">
        <v>12576</v>
      </c>
      <c r="AC445" s="388"/>
      <c r="AD445" s="1140" t="s">
        <v>284</v>
      </c>
    </row>
    <row r="446" ht="15.75" customHeight="1">
      <c r="A446" s="776">
        <v>42182.0</v>
      </c>
      <c r="B446" s="844" t="s">
        <v>3506</v>
      </c>
      <c r="C446" s="388"/>
      <c r="D446" s="340" t="s">
        <v>12601</v>
      </c>
      <c r="E446" s="340" t="s">
        <v>10917</v>
      </c>
      <c r="F446" s="773">
        <v>50.0</v>
      </c>
      <c r="G446" s="773">
        <v>732.0</v>
      </c>
      <c r="H446" s="1147">
        <f t="shared" si="78"/>
        <v>36600</v>
      </c>
      <c r="I446" s="330"/>
      <c r="J446" s="330"/>
      <c r="K446" s="265" t="s">
        <v>171</v>
      </c>
      <c r="L446" s="333" t="s">
        <v>3509</v>
      </c>
      <c r="M446" s="832">
        <v>42243.0</v>
      </c>
      <c r="N446" s="832">
        <v>42230.0</v>
      </c>
      <c r="O446" s="333" t="s">
        <v>90</v>
      </c>
      <c r="P446" s="265" t="s">
        <v>10916</v>
      </c>
      <c r="Q446" s="773">
        <v>32130.0</v>
      </c>
      <c r="R446" s="388"/>
      <c r="S446" s="320" t="s">
        <v>11006</v>
      </c>
      <c r="T446" s="388"/>
      <c r="U446" s="388"/>
      <c r="V446" s="1285">
        <v>42229.0</v>
      </c>
      <c r="W446" s="1088" t="s">
        <v>12602</v>
      </c>
      <c r="X446" s="1135">
        <v>1207666.0</v>
      </c>
      <c r="Y446" s="1132">
        <v>42227.0</v>
      </c>
      <c r="Z446" s="320" t="s">
        <v>12603</v>
      </c>
      <c r="AA446" s="388"/>
      <c r="AB446" s="388"/>
      <c r="AC446" s="388"/>
      <c r="AD446" s="388" t="s">
        <v>12604</v>
      </c>
    </row>
    <row r="447" ht="15.75" customHeight="1">
      <c r="A447" s="776">
        <v>42183.0</v>
      </c>
      <c r="B447" s="844" t="s">
        <v>3506</v>
      </c>
      <c r="C447" s="388"/>
      <c r="D447" s="340" t="s">
        <v>12601</v>
      </c>
      <c r="E447" s="422" t="s">
        <v>10918</v>
      </c>
      <c r="F447" s="773">
        <v>10.0</v>
      </c>
      <c r="G447" s="773">
        <v>277.0</v>
      </c>
      <c r="H447" s="1147">
        <f t="shared" si="78"/>
        <v>2770</v>
      </c>
      <c r="I447" s="330"/>
      <c r="J447" s="330"/>
      <c r="K447" s="265" t="s">
        <v>171</v>
      </c>
      <c r="L447" s="333" t="s">
        <v>3509</v>
      </c>
      <c r="M447" s="832">
        <v>42243.0</v>
      </c>
      <c r="N447" s="832">
        <v>42230.0</v>
      </c>
      <c r="O447" s="333" t="s">
        <v>90</v>
      </c>
      <c r="P447" s="265" t="s">
        <v>10916</v>
      </c>
      <c r="Q447" s="773">
        <v>2469.6</v>
      </c>
      <c r="R447" s="388"/>
      <c r="S447" s="320" t="s">
        <v>11006</v>
      </c>
      <c r="T447" s="388"/>
      <c r="U447" s="388"/>
      <c r="V447" s="1285">
        <v>42229.0</v>
      </c>
      <c r="W447" s="1088" t="s">
        <v>12602</v>
      </c>
      <c r="X447" s="1135" t="s">
        <v>8836</v>
      </c>
      <c r="Y447" s="1132">
        <v>42263.0</v>
      </c>
      <c r="Z447" s="320" t="s">
        <v>12603</v>
      </c>
      <c r="AA447" s="388"/>
      <c r="AB447" s="388"/>
      <c r="AC447" s="388"/>
      <c r="AD447" s="388"/>
    </row>
    <row r="448" ht="15.75" customHeight="1">
      <c r="A448" s="776">
        <v>42184.0</v>
      </c>
      <c r="B448" s="844" t="s">
        <v>3506</v>
      </c>
      <c r="C448" s="330"/>
      <c r="D448" s="578" t="s">
        <v>12601</v>
      </c>
      <c r="E448" s="578" t="s">
        <v>10919</v>
      </c>
      <c r="F448" s="581">
        <v>10.0</v>
      </c>
      <c r="G448" s="581">
        <v>391.0</v>
      </c>
      <c r="H448" s="1147">
        <f t="shared" si="78"/>
        <v>3910</v>
      </c>
      <c r="I448" s="330"/>
      <c r="J448" s="330"/>
      <c r="K448" s="265" t="s">
        <v>171</v>
      </c>
      <c r="L448" s="333" t="s">
        <v>3509</v>
      </c>
      <c r="M448" s="832">
        <v>42243.0</v>
      </c>
      <c r="N448" s="832">
        <v>42230.0</v>
      </c>
      <c r="O448" s="333" t="s">
        <v>90</v>
      </c>
      <c r="P448" s="265" t="s">
        <v>10916</v>
      </c>
      <c r="Q448" s="773">
        <v>3654.0</v>
      </c>
      <c r="R448" s="388"/>
      <c r="S448" s="320" t="s">
        <v>11006</v>
      </c>
      <c r="T448" s="388"/>
      <c r="U448" s="388"/>
      <c r="V448" s="1285">
        <v>42229.0</v>
      </c>
      <c r="W448" s="1088" t="s">
        <v>12602</v>
      </c>
      <c r="X448" s="1135" t="s">
        <v>8836</v>
      </c>
      <c r="Y448" s="1132">
        <v>42263.0</v>
      </c>
      <c r="Z448" s="310" t="s">
        <v>12603</v>
      </c>
      <c r="AA448" s="388"/>
      <c r="AB448" s="330"/>
      <c r="AC448" s="388"/>
      <c r="AD448" s="388"/>
    </row>
    <row r="449" ht="15.75" customHeight="1">
      <c r="A449" s="776">
        <v>42181.0</v>
      </c>
      <c r="B449" s="844" t="s">
        <v>3506</v>
      </c>
      <c r="C449" s="330"/>
      <c r="D449" s="578" t="s">
        <v>12605</v>
      </c>
      <c r="E449" s="578" t="s">
        <v>12606</v>
      </c>
      <c r="F449" s="581">
        <v>50.0</v>
      </c>
      <c r="G449" s="581">
        <v>197.0</v>
      </c>
      <c r="H449" s="1147">
        <f t="shared" si="78"/>
        <v>9850</v>
      </c>
      <c r="I449" s="330"/>
      <c r="J449" s="330"/>
      <c r="K449" s="265" t="s">
        <v>171</v>
      </c>
      <c r="L449" s="333" t="s">
        <v>3509</v>
      </c>
      <c r="M449" s="832">
        <v>42243.0</v>
      </c>
      <c r="N449" s="832">
        <v>42230.0</v>
      </c>
      <c r="O449" s="333" t="s">
        <v>90</v>
      </c>
      <c r="P449" s="265" t="s">
        <v>10920</v>
      </c>
      <c r="Q449" s="773">
        <v>9213.75</v>
      </c>
      <c r="R449" s="388"/>
      <c r="S449" s="320" t="s">
        <v>11006</v>
      </c>
      <c r="T449" s="388"/>
      <c r="U449" s="388"/>
      <c r="V449" s="1133">
        <v>42229.0</v>
      </c>
      <c r="W449" s="320" t="s">
        <v>12607</v>
      </c>
      <c r="X449" s="1135">
        <v>290878.0</v>
      </c>
      <c r="Y449" s="1132">
        <v>42263.0</v>
      </c>
      <c r="Z449" s="320" t="s">
        <v>12603</v>
      </c>
      <c r="AA449" s="388"/>
      <c r="AB449" s="388"/>
      <c r="AC449" s="388"/>
      <c r="AD449" s="388"/>
    </row>
    <row r="450" ht="15.75" customHeight="1">
      <c r="A450" s="776">
        <v>42205.0</v>
      </c>
      <c r="B450" s="844" t="s">
        <v>3506</v>
      </c>
      <c r="C450" s="330"/>
      <c r="D450" s="310" t="s">
        <v>12608</v>
      </c>
      <c r="E450" s="578" t="s">
        <v>12606</v>
      </c>
      <c r="F450" s="581">
        <v>50.0</v>
      </c>
      <c r="G450" s="581">
        <v>197.0</v>
      </c>
      <c r="H450" s="1147">
        <f t="shared" si="78"/>
        <v>9850</v>
      </c>
      <c r="I450" s="388"/>
      <c r="J450" s="388"/>
      <c r="K450" s="265" t="s">
        <v>171</v>
      </c>
      <c r="L450" s="333" t="s">
        <v>3509</v>
      </c>
      <c r="M450" s="832">
        <v>42243.0</v>
      </c>
      <c r="N450" s="832">
        <v>42230.0</v>
      </c>
      <c r="O450" s="333" t="s">
        <v>90</v>
      </c>
      <c r="P450" s="265" t="s">
        <v>10922</v>
      </c>
      <c r="Q450" s="773">
        <v>9213.75</v>
      </c>
      <c r="R450" s="388"/>
      <c r="S450" s="320" t="s">
        <v>11006</v>
      </c>
      <c r="T450" s="388"/>
      <c r="U450" s="388"/>
      <c r="V450" s="1133">
        <v>42229.0</v>
      </c>
      <c r="W450" s="320" t="s">
        <v>12609</v>
      </c>
      <c r="X450" s="1135">
        <v>290878.0</v>
      </c>
      <c r="Y450" s="1132">
        <v>42263.0</v>
      </c>
      <c r="Z450" s="320" t="s">
        <v>12603</v>
      </c>
      <c r="AA450" s="388"/>
      <c r="AB450" s="388"/>
      <c r="AC450" s="388"/>
      <c r="AD450" s="388"/>
    </row>
    <row r="451" ht="15.75" customHeight="1">
      <c r="A451" s="764">
        <v>42338.0</v>
      </c>
      <c r="B451" s="844" t="s">
        <v>3506</v>
      </c>
      <c r="C451" s="330" t="s">
        <v>12610</v>
      </c>
      <c r="D451" s="578" t="s">
        <v>12611</v>
      </c>
      <c r="E451" s="578" t="s">
        <v>12606</v>
      </c>
      <c r="F451" s="581">
        <v>105.0</v>
      </c>
      <c r="G451" s="581">
        <v>197.0</v>
      </c>
      <c r="H451" s="1147">
        <f t="shared" si="78"/>
        <v>20685</v>
      </c>
      <c r="I451" s="388"/>
      <c r="J451" s="388"/>
      <c r="K451" s="265" t="s">
        <v>171</v>
      </c>
      <c r="L451" s="599" t="s">
        <v>3509</v>
      </c>
      <c r="M451" s="832">
        <v>42366.0</v>
      </c>
      <c r="N451" s="832">
        <v>42354.0</v>
      </c>
      <c r="O451" s="269" t="s">
        <v>90</v>
      </c>
      <c r="P451" s="320" t="s">
        <v>10936</v>
      </c>
      <c r="Q451" s="773">
        <v>19348.875</v>
      </c>
      <c r="R451" s="388"/>
      <c r="S451" s="320" t="s">
        <v>11006</v>
      </c>
      <c r="T451" s="388"/>
      <c r="U451" s="1137"/>
      <c r="V451" s="1139">
        <v>42354.0</v>
      </c>
      <c r="W451" s="388" t="s">
        <v>12612</v>
      </c>
      <c r="X451" s="845">
        <v>597178.0</v>
      </c>
      <c r="Y451" s="1144">
        <v>42398.0</v>
      </c>
      <c r="Z451" s="388" t="s">
        <v>12613</v>
      </c>
      <c r="AA451" s="388"/>
      <c r="AB451" s="388"/>
      <c r="AC451" s="388"/>
      <c r="AD451" s="388" t="s">
        <v>284</v>
      </c>
    </row>
    <row r="452" ht="15.75" customHeight="1">
      <c r="A452" s="776">
        <v>42143.0</v>
      </c>
      <c r="B452" s="844" t="s">
        <v>12614</v>
      </c>
      <c r="C452" s="265" t="s">
        <v>12615</v>
      </c>
      <c r="D452" s="252" t="s">
        <v>12616</v>
      </c>
      <c r="E452" s="340" t="s">
        <v>12617</v>
      </c>
      <c r="F452" s="773">
        <v>1.0</v>
      </c>
      <c r="G452" s="773">
        <v>0.0</v>
      </c>
      <c r="H452" s="773">
        <f t="shared" si="78"/>
        <v>0</v>
      </c>
      <c r="I452" s="388"/>
      <c r="J452" s="388"/>
      <c r="K452" s="265" t="s">
        <v>11972</v>
      </c>
      <c r="L452" s="333" t="s">
        <v>12041</v>
      </c>
      <c r="M452" s="832">
        <v>42143.0</v>
      </c>
      <c r="N452" s="388"/>
      <c r="O452" s="269"/>
      <c r="P452" s="388"/>
      <c r="Q452" s="388"/>
      <c r="R452" s="388"/>
      <c r="S452" s="388"/>
      <c r="T452" s="388"/>
      <c r="U452" s="388"/>
      <c r="V452" s="388"/>
      <c r="W452" s="388"/>
      <c r="X452" s="388"/>
      <c r="Y452" s="388"/>
      <c r="Z452" s="320" t="s">
        <v>5701</v>
      </c>
      <c r="AA452" s="388"/>
      <c r="AB452" s="388"/>
      <c r="AC452" s="388"/>
      <c r="AD452" s="388"/>
    </row>
    <row r="453" ht="15.75" customHeight="1">
      <c r="A453" s="776">
        <v>42143.0</v>
      </c>
      <c r="B453" s="844" t="s">
        <v>12614</v>
      </c>
      <c r="C453" s="265" t="s">
        <v>12615</v>
      </c>
      <c r="D453" s="265" t="s">
        <v>12616</v>
      </c>
      <c r="E453" s="340" t="s">
        <v>12618</v>
      </c>
      <c r="F453" s="773">
        <v>1.0</v>
      </c>
      <c r="G453" s="773">
        <v>0.0</v>
      </c>
      <c r="H453" s="773">
        <f t="shared" si="78"/>
        <v>0</v>
      </c>
      <c r="I453" s="388"/>
      <c r="J453" s="388"/>
      <c r="K453" s="265" t="s">
        <v>12093</v>
      </c>
      <c r="L453" s="333" t="s">
        <v>12041</v>
      </c>
      <c r="M453" s="832">
        <v>42143.0</v>
      </c>
      <c r="N453" s="388"/>
      <c r="O453" s="269"/>
      <c r="P453" s="388"/>
      <c r="Q453" s="388"/>
      <c r="R453" s="388"/>
      <c r="S453" s="388"/>
      <c r="T453" s="388"/>
      <c r="U453" s="388"/>
      <c r="V453" s="388"/>
      <c r="W453" s="388"/>
      <c r="X453" s="388"/>
      <c r="Y453" s="388"/>
      <c r="Z453" s="320" t="s">
        <v>5701</v>
      </c>
      <c r="AA453" s="388"/>
      <c r="AB453" s="388"/>
      <c r="AC453" s="388"/>
      <c r="AD453" s="388"/>
    </row>
    <row r="454" ht="15.75" customHeight="1">
      <c r="A454" s="776">
        <v>41970.0</v>
      </c>
      <c r="B454" s="1286"/>
      <c r="C454" s="265" t="s">
        <v>12619</v>
      </c>
      <c r="D454" s="320" t="s">
        <v>12620</v>
      </c>
      <c r="E454" s="340" t="s">
        <v>12621</v>
      </c>
      <c r="F454" s="773">
        <v>6.0</v>
      </c>
      <c r="G454" s="466">
        <v>66.01</v>
      </c>
      <c r="H454" s="466">
        <f t="shared" si="78"/>
        <v>396.06</v>
      </c>
      <c r="I454" s="466">
        <v>1980.3</v>
      </c>
      <c r="J454" s="1149">
        <f>F454*I454</f>
        <v>11881.8</v>
      </c>
      <c r="K454" s="265" t="s">
        <v>11086</v>
      </c>
      <c r="L454" s="333" t="s">
        <v>11675</v>
      </c>
      <c r="M454" s="832">
        <v>42017.0</v>
      </c>
      <c r="N454" s="832">
        <v>42017.0</v>
      </c>
      <c r="O454" s="333" t="s">
        <v>11033</v>
      </c>
      <c r="P454" s="265" t="s">
        <v>12622</v>
      </c>
      <c r="Q454" s="793"/>
      <c r="R454" s="1149">
        <v>11409.0</v>
      </c>
      <c r="S454" s="320" t="s">
        <v>8689</v>
      </c>
      <c r="T454" s="388"/>
      <c r="U454" s="1139"/>
      <c r="V454" s="1132">
        <v>42012.0</v>
      </c>
      <c r="W454" s="265" t="s">
        <v>12623</v>
      </c>
      <c r="X454" s="1135">
        <v>11409.0</v>
      </c>
      <c r="Y454" s="1132">
        <v>42040.0</v>
      </c>
      <c r="Z454" s="320" t="s">
        <v>12624</v>
      </c>
      <c r="AA454" s="388"/>
      <c r="AB454" s="1149">
        <v>11882.0</v>
      </c>
      <c r="AC454" s="320" t="s">
        <v>12625</v>
      </c>
      <c r="AD454" s="388"/>
    </row>
    <row r="455" ht="15.75" customHeight="1">
      <c r="A455" s="1287"/>
      <c r="B455" s="649"/>
      <c r="C455" s="76"/>
      <c r="D455" s="76"/>
      <c r="E455" s="626"/>
      <c r="F455" s="76"/>
      <c r="G455" s="76"/>
      <c r="H455" s="1288"/>
      <c r="I455" s="503"/>
      <c r="J455" s="66"/>
      <c r="K455" s="66"/>
      <c r="L455" s="629"/>
      <c r="M455" s="137"/>
      <c r="N455" s="137"/>
      <c r="O455" s="79"/>
      <c r="P455" s="66"/>
      <c r="Q455" s="66"/>
      <c r="R455" s="66"/>
      <c r="S455" s="66"/>
      <c r="T455" s="66"/>
      <c r="U455" s="137"/>
      <c r="V455" s="137"/>
      <c r="W455" s="66"/>
      <c r="X455" s="137"/>
      <c r="Y455" s="66"/>
      <c r="Z455" s="66"/>
      <c r="AA455" s="66"/>
      <c r="AB455" s="66"/>
      <c r="AC455" s="66"/>
      <c r="AD455" s="66"/>
    </row>
    <row r="456" ht="15.75" customHeight="1">
      <c r="A456" s="1287"/>
      <c r="B456" s="649"/>
      <c r="C456" s="76"/>
      <c r="D456" s="76"/>
      <c r="E456" s="626"/>
      <c r="F456" s="76"/>
      <c r="G456" s="76"/>
      <c r="H456" s="503"/>
      <c r="I456" s="503"/>
      <c r="J456" s="66"/>
      <c r="K456" s="66"/>
      <c r="L456" s="629"/>
      <c r="M456" s="137"/>
      <c r="N456" s="137"/>
      <c r="O456" s="79"/>
      <c r="P456" s="66"/>
      <c r="Q456" s="66"/>
      <c r="R456" s="66"/>
      <c r="S456" s="66"/>
      <c r="T456" s="66"/>
      <c r="U456" s="137"/>
      <c r="V456" s="137"/>
      <c r="W456" s="66"/>
      <c r="X456" s="137"/>
      <c r="Y456" s="66"/>
      <c r="Z456" s="66"/>
      <c r="AA456" s="66"/>
      <c r="AB456" s="66"/>
      <c r="AC456" s="66"/>
      <c r="AD456" s="66"/>
    </row>
    <row r="457" ht="15.75" customHeight="1">
      <c r="A457" s="1287"/>
      <c r="B457" s="649"/>
      <c r="C457" s="66"/>
      <c r="D457" s="66"/>
      <c r="E457" s="629"/>
      <c r="F457" s="66"/>
      <c r="G457" s="66"/>
      <c r="H457" s="503"/>
      <c r="I457" s="503"/>
      <c r="J457" s="66"/>
      <c r="K457" s="66"/>
      <c r="L457" s="629"/>
      <c r="M457" s="137"/>
      <c r="N457" s="137"/>
      <c r="O457" s="79"/>
      <c r="P457" s="66"/>
      <c r="Q457" s="66"/>
      <c r="R457" s="66"/>
      <c r="S457" s="66"/>
      <c r="T457" s="66"/>
      <c r="U457" s="137"/>
      <c r="V457" s="137"/>
      <c r="W457" s="66"/>
      <c r="X457" s="137"/>
      <c r="Y457" s="66"/>
      <c r="Z457" s="66"/>
      <c r="AA457" s="66"/>
      <c r="AB457" s="66"/>
      <c r="AC457" s="66"/>
      <c r="AD457" s="66"/>
    </row>
    <row r="458" ht="15.75" customHeight="1">
      <c r="A458" s="1287"/>
      <c r="B458" s="649"/>
      <c r="C458" s="66"/>
      <c r="D458" s="66"/>
      <c r="E458" s="629"/>
      <c r="F458" s="66"/>
      <c r="G458" s="66"/>
      <c r="H458" s="66"/>
      <c r="I458" s="66"/>
      <c r="J458" s="66"/>
      <c r="K458" s="66"/>
      <c r="L458" s="629"/>
      <c r="M458" s="137"/>
      <c r="N458" s="137"/>
      <c r="O458" s="79"/>
      <c r="P458" s="66"/>
      <c r="Q458" s="66"/>
      <c r="R458" s="66"/>
      <c r="S458" s="66"/>
      <c r="T458" s="66"/>
      <c r="U458" s="137"/>
      <c r="V458" s="137"/>
      <c r="W458" s="66"/>
      <c r="X458" s="137"/>
      <c r="Y458" s="66"/>
      <c r="Z458" s="66"/>
      <c r="AA458" s="66"/>
      <c r="AB458" s="66"/>
      <c r="AC458" s="66"/>
      <c r="AD458" s="66"/>
    </row>
    <row r="459" ht="15.75" customHeight="1">
      <c r="A459" s="1287"/>
      <c r="B459" s="649"/>
      <c r="C459" s="66"/>
      <c r="D459" s="66"/>
      <c r="E459" s="629"/>
      <c r="F459" s="66"/>
      <c r="G459" s="66"/>
      <c r="H459" s="66"/>
      <c r="I459" s="66"/>
      <c r="J459" s="66"/>
      <c r="K459" s="66"/>
      <c r="L459" s="629"/>
      <c r="M459" s="137"/>
      <c r="N459" s="137"/>
      <c r="O459" s="79"/>
      <c r="P459" s="66"/>
      <c r="Q459" s="66"/>
      <c r="R459" s="66"/>
      <c r="S459" s="66"/>
      <c r="T459" s="66"/>
      <c r="U459" s="137"/>
      <c r="V459" s="137"/>
      <c r="W459" s="66"/>
      <c r="X459" s="137"/>
      <c r="Y459" s="66"/>
      <c r="Z459" s="66"/>
      <c r="AA459" s="66"/>
      <c r="AB459" s="66"/>
      <c r="AC459" s="66"/>
      <c r="AD459" s="66"/>
    </row>
    <row r="460" ht="15.75" customHeight="1">
      <c r="A460" s="57"/>
      <c r="B460" s="221"/>
      <c r="C460" s="91"/>
      <c r="D460" s="91"/>
      <c r="E460" s="223"/>
      <c r="F460" s="91"/>
      <c r="G460" s="91"/>
      <c r="H460" s="1289">
        <f>SUM(H2:H459)</f>
        <v>703055.4401</v>
      </c>
      <c r="I460" s="91"/>
      <c r="J460" s="91"/>
      <c r="K460" s="91"/>
      <c r="L460" s="223"/>
      <c r="M460" s="57"/>
      <c r="N460" s="57"/>
      <c r="O460" s="532"/>
      <c r="P460" s="91"/>
      <c r="Q460" s="1290">
        <f t="shared" ref="Q460:R460" si="85">SUM(Q2:Q459)</f>
        <v>418026.402</v>
      </c>
      <c r="R460" s="1291">
        <f t="shared" si="85"/>
        <v>6504652.756</v>
      </c>
      <c r="S460" s="91"/>
      <c r="T460" s="91"/>
      <c r="U460" s="57"/>
      <c r="V460" s="57"/>
      <c r="W460" s="91"/>
      <c r="X460" s="57"/>
      <c r="Y460" s="91"/>
      <c r="Z460" s="91"/>
      <c r="AA460" s="91"/>
      <c r="AB460" s="91"/>
      <c r="AC460" s="91"/>
      <c r="AD460" s="91"/>
    </row>
    <row r="461" ht="15.75" customHeight="1">
      <c r="A461" s="57"/>
      <c r="B461" s="221"/>
      <c r="C461" s="91"/>
      <c r="D461" s="91"/>
      <c r="E461" s="223"/>
      <c r="F461" s="91"/>
      <c r="G461" s="91"/>
      <c r="H461" s="91"/>
      <c r="I461" s="91"/>
      <c r="J461" s="91"/>
      <c r="K461" s="91"/>
      <c r="L461" s="223"/>
      <c r="M461" s="57"/>
      <c r="N461" s="57"/>
      <c r="O461" s="532"/>
      <c r="P461" s="91"/>
      <c r="Q461" s="91"/>
      <c r="R461" s="91"/>
      <c r="S461" s="91"/>
      <c r="T461" s="91"/>
      <c r="U461" s="57"/>
      <c r="V461" s="57"/>
      <c r="W461" s="91"/>
      <c r="X461" s="57"/>
      <c r="Y461" s="91"/>
      <c r="Z461" s="91"/>
      <c r="AA461" s="91"/>
      <c r="AB461" s="91"/>
      <c r="AC461" s="91"/>
      <c r="AD461" s="91"/>
    </row>
    <row r="462" ht="15.75" customHeight="1">
      <c r="A462" s="57"/>
      <c r="B462" s="221"/>
      <c r="C462" s="91"/>
      <c r="D462" s="91"/>
      <c r="E462" s="223"/>
      <c r="F462" s="91"/>
      <c r="G462" s="91"/>
      <c r="H462" s="91"/>
      <c r="I462" s="91"/>
      <c r="J462" s="91"/>
      <c r="K462" s="91"/>
      <c r="L462" s="223"/>
      <c r="M462" s="57"/>
      <c r="N462" s="57"/>
      <c r="O462" s="532"/>
      <c r="P462" s="91"/>
      <c r="Q462" s="91"/>
      <c r="R462" s="91"/>
      <c r="S462" s="91"/>
      <c r="T462" s="91"/>
      <c r="U462" s="57"/>
      <c r="V462" s="57"/>
      <c r="W462" s="91"/>
      <c r="X462" s="57"/>
      <c r="Y462" s="91"/>
      <c r="Z462" s="91"/>
      <c r="AA462" s="91"/>
      <c r="AB462" s="91"/>
      <c r="AC462" s="91"/>
      <c r="AD462" s="91"/>
    </row>
    <row r="463" ht="15.75" customHeight="1">
      <c r="A463" s="57" t="s">
        <v>270</v>
      </c>
      <c r="B463" s="329">
        <v>31.2</v>
      </c>
      <c r="C463" s="91"/>
      <c r="D463" s="91"/>
      <c r="E463" s="223"/>
      <c r="F463" s="91"/>
      <c r="G463" s="91"/>
      <c r="H463" s="91"/>
      <c r="I463" s="91"/>
      <c r="J463" s="91"/>
      <c r="K463" s="91"/>
      <c r="L463" s="223"/>
      <c r="M463" s="57"/>
      <c r="N463" s="57"/>
      <c r="O463" s="532"/>
      <c r="P463" s="91"/>
      <c r="Q463" s="91"/>
      <c r="R463" s="91"/>
      <c r="S463" s="91"/>
      <c r="T463" s="91"/>
      <c r="U463" s="57"/>
      <c r="V463" s="57"/>
      <c r="W463" s="91"/>
      <c r="X463" s="57"/>
      <c r="Y463" s="91"/>
      <c r="Z463" s="91"/>
      <c r="AA463" s="91"/>
      <c r="AB463" s="91"/>
      <c r="AC463" s="91"/>
      <c r="AD463" s="91"/>
    </row>
    <row r="464" ht="15.75" customHeight="1">
      <c r="A464" s="57" t="s">
        <v>271</v>
      </c>
      <c r="B464" s="329">
        <v>30.6</v>
      </c>
      <c r="C464" s="91"/>
      <c r="D464" s="91"/>
      <c r="E464" s="223"/>
      <c r="F464" s="91"/>
      <c r="G464" s="91"/>
      <c r="H464" s="91"/>
      <c r="I464" s="91"/>
      <c r="J464" s="91"/>
      <c r="K464" s="91"/>
      <c r="L464" s="223"/>
      <c r="M464" s="57"/>
      <c r="N464" s="57"/>
      <c r="O464" s="532"/>
      <c r="P464" s="91"/>
      <c r="Q464" s="91"/>
      <c r="R464" s="91"/>
      <c r="S464" s="91"/>
      <c r="T464" s="91"/>
      <c r="U464" s="57"/>
      <c r="V464" s="57"/>
      <c r="W464" s="91"/>
      <c r="X464" s="57"/>
      <c r="Y464" s="91"/>
      <c r="Z464" s="91"/>
      <c r="AA464" s="91"/>
      <c r="AB464" s="91"/>
      <c r="AC464" s="91"/>
      <c r="AD464" s="91"/>
    </row>
    <row r="465" ht="15.75" customHeight="1">
      <c r="A465" s="57" t="s">
        <v>272</v>
      </c>
      <c r="B465" s="329">
        <v>30.8</v>
      </c>
      <c r="C465" s="91"/>
      <c r="F465" s="91"/>
      <c r="G465" s="91"/>
      <c r="H465" s="91"/>
      <c r="I465" s="91"/>
      <c r="J465" s="91"/>
      <c r="K465" s="91"/>
      <c r="L465" s="223"/>
      <c r="M465" s="57"/>
      <c r="N465" s="57"/>
      <c r="O465" s="532"/>
      <c r="P465" s="91"/>
      <c r="Q465" s="91"/>
      <c r="R465" s="91"/>
      <c r="S465" s="91"/>
      <c r="T465" s="91"/>
      <c r="U465" s="57"/>
      <c r="V465" s="57"/>
      <c r="W465" s="91"/>
      <c r="X465" s="57"/>
      <c r="Y465" s="91"/>
      <c r="Z465" s="91"/>
      <c r="AA465" s="91"/>
      <c r="AB465" s="91"/>
      <c r="AC465" s="91"/>
      <c r="AD465" s="91"/>
    </row>
    <row r="466" ht="15.75" customHeight="1">
      <c r="A466" s="57" t="s">
        <v>273</v>
      </c>
      <c r="B466" s="329">
        <v>30.9</v>
      </c>
      <c r="C466" s="91"/>
      <c r="D466" s="91"/>
      <c r="E466" s="223"/>
      <c r="F466" s="91"/>
      <c r="G466" s="91"/>
      <c r="H466" s="91"/>
      <c r="I466" s="91"/>
      <c r="J466" s="91"/>
      <c r="K466" s="91"/>
      <c r="L466" s="223"/>
      <c r="M466" s="57"/>
      <c r="N466" s="57"/>
      <c r="O466" s="532"/>
      <c r="P466" s="91"/>
      <c r="Q466" s="91"/>
      <c r="R466" s="91"/>
      <c r="S466" s="91"/>
      <c r="T466" s="91"/>
      <c r="U466" s="57"/>
      <c r="V466" s="57"/>
      <c r="W466" s="91"/>
      <c r="X466" s="57"/>
      <c r="Y466" s="91"/>
      <c r="Z466" s="91"/>
      <c r="AA466" s="91"/>
      <c r="AB466" s="91"/>
      <c r="AC466" s="91"/>
      <c r="AD466" s="91"/>
    </row>
    <row r="467" ht="15.75" customHeight="1">
      <c r="A467" s="57" t="s">
        <v>274</v>
      </c>
      <c r="B467" s="329">
        <v>31.5</v>
      </c>
      <c r="C467" s="1292" t="s">
        <v>12626</v>
      </c>
      <c r="D467" s="91"/>
      <c r="E467" s="223"/>
      <c r="F467" s="91"/>
      <c r="G467" s="91"/>
      <c r="H467" s="91"/>
      <c r="I467" s="91"/>
      <c r="J467" s="91"/>
      <c r="K467" s="91"/>
      <c r="L467" s="223"/>
      <c r="M467" s="57"/>
      <c r="N467" s="57"/>
      <c r="O467" s="532"/>
      <c r="P467" s="91"/>
      <c r="Q467" s="91"/>
      <c r="R467" s="91"/>
      <c r="S467" s="91"/>
      <c r="T467" s="91"/>
      <c r="U467" s="57"/>
      <c r="V467" s="57"/>
      <c r="W467" s="91"/>
      <c r="X467" s="57"/>
      <c r="Y467" s="91"/>
      <c r="Z467" s="91"/>
      <c r="AA467" s="91"/>
      <c r="AB467" s="91"/>
      <c r="AC467" s="91"/>
      <c r="AD467" s="91"/>
    </row>
    <row r="468" ht="15.75" customHeight="1">
      <c r="A468" s="57" t="s">
        <v>275</v>
      </c>
      <c r="B468" s="329">
        <v>32.5</v>
      </c>
      <c r="C468" s="1292" t="s">
        <v>12627</v>
      </c>
      <c r="D468" s="91"/>
      <c r="E468" s="223"/>
      <c r="F468" s="91"/>
      <c r="G468" s="91"/>
      <c r="H468" s="91"/>
      <c r="I468" s="91" t="s">
        <v>12628</v>
      </c>
      <c r="J468" s="91"/>
      <c r="K468" s="91"/>
      <c r="L468" s="223"/>
      <c r="M468" s="57"/>
      <c r="N468" s="57"/>
      <c r="O468" s="532"/>
      <c r="P468" s="91"/>
      <c r="Q468" s="91"/>
      <c r="R468" s="91"/>
      <c r="S468" s="91"/>
      <c r="T468" s="91"/>
      <c r="U468" s="57"/>
      <c r="V468" s="57"/>
      <c r="W468" s="91"/>
      <c r="X468" s="57"/>
      <c r="Y468" s="91"/>
      <c r="Z468" s="91"/>
      <c r="AA468" s="91"/>
      <c r="AB468" s="91"/>
      <c r="AC468" s="91"/>
      <c r="AD468" s="91"/>
    </row>
    <row r="469" ht="15.75" customHeight="1">
      <c r="A469" s="57" t="s">
        <v>276</v>
      </c>
      <c r="B469" s="329">
        <v>33.0</v>
      </c>
      <c r="C469" s="91"/>
      <c r="D469" s="91"/>
      <c r="E469" s="223"/>
      <c r="F469" s="91"/>
      <c r="G469" s="91"/>
      <c r="H469" s="91"/>
      <c r="I469" s="91"/>
      <c r="J469" s="91"/>
      <c r="K469" s="91"/>
      <c r="L469" s="223"/>
      <c r="M469" s="57"/>
      <c r="N469" s="57"/>
      <c r="O469" s="532"/>
      <c r="P469" s="91"/>
      <c r="Q469" s="91"/>
      <c r="R469" s="91"/>
      <c r="S469" s="91"/>
      <c r="T469" s="91"/>
      <c r="U469" s="57"/>
      <c r="V469" s="57"/>
      <c r="W469" s="91"/>
      <c r="X469" s="57"/>
      <c r="Y469" s="91"/>
      <c r="Z469" s="91"/>
      <c r="AA469" s="91"/>
      <c r="AB469" s="91"/>
      <c r="AC469" s="91"/>
      <c r="AD469" s="91"/>
    </row>
    <row r="470" ht="15.75" customHeight="1">
      <c r="A470" s="57" t="s">
        <v>277</v>
      </c>
      <c r="B470" s="329">
        <v>32.4</v>
      </c>
      <c r="C470" s="1292" t="s">
        <v>12629</v>
      </c>
      <c r="D470" s="91"/>
      <c r="E470" s="223"/>
      <c r="F470" s="91"/>
      <c r="G470" s="91"/>
      <c r="H470" s="91"/>
      <c r="I470" s="91"/>
      <c r="J470" s="91"/>
      <c r="K470" s="91"/>
      <c r="L470" s="223"/>
      <c r="M470" s="57"/>
      <c r="N470" s="57"/>
      <c r="O470" s="532"/>
      <c r="P470" s="91"/>
      <c r="Q470" s="91"/>
      <c r="R470" s="91"/>
      <c r="S470" s="91"/>
      <c r="T470" s="91"/>
      <c r="U470" s="57"/>
      <c r="V470" s="57"/>
      <c r="W470" s="91"/>
      <c r="X470" s="57"/>
      <c r="Y470" s="91"/>
      <c r="Z470" s="91"/>
      <c r="AA470" s="91"/>
      <c r="AB470" s="91"/>
      <c r="AC470" s="91"/>
      <c r="AD470" s="91"/>
    </row>
    <row r="471" ht="15.75" customHeight="1">
      <c r="A471" s="57" t="s">
        <v>278</v>
      </c>
      <c r="B471" s="329">
        <v>32.6</v>
      </c>
      <c r="C471" s="1292" t="s">
        <v>12630</v>
      </c>
      <c r="D471" s="91"/>
      <c r="E471" s="223"/>
      <c r="F471" s="91"/>
      <c r="G471" s="91"/>
      <c r="H471" s="91"/>
      <c r="I471" s="91"/>
      <c r="J471" s="91"/>
      <c r="K471" s="91"/>
      <c r="L471" s="223"/>
      <c r="M471" s="57"/>
      <c r="N471" s="57"/>
      <c r="O471" s="532"/>
      <c r="P471" s="91"/>
      <c r="Q471" s="91"/>
      <c r="R471" s="91"/>
      <c r="S471" s="91"/>
      <c r="T471" s="91"/>
      <c r="U471" s="57"/>
      <c r="V471" s="57"/>
      <c r="W471" s="91"/>
      <c r="X471" s="57"/>
      <c r="Y471" s="91"/>
      <c r="Z471" s="91"/>
      <c r="AA471" s="91"/>
      <c r="AB471" s="91"/>
      <c r="AC471" s="91"/>
      <c r="AD471" s="91"/>
    </row>
    <row r="472" ht="15.75" customHeight="1">
      <c r="A472" s="57"/>
      <c r="B472" s="221"/>
      <c r="C472" s="91"/>
      <c r="D472" s="91"/>
      <c r="E472" s="223"/>
      <c r="F472" s="91"/>
      <c r="G472" s="91"/>
      <c r="H472" s="91"/>
      <c r="I472" s="91"/>
      <c r="J472" s="91"/>
      <c r="K472" s="91"/>
      <c r="L472" s="223"/>
      <c r="M472" s="57"/>
      <c r="N472" s="57"/>
      <c r="O472" s="532"/>
      <c r="P472" s="91"/>
      <c r="Q472" s="91"/>
      <c r="R472" s="91"/>
      <c r="S472" s="91"/>
      <c r="T472" s="91"/>
      <c r="U472" s="57"/>
      <c r="V472" s="57"/>
      <c r="W472" s="91"/>
      <c r="X472" s="57"/>
      <c r="Y472" s="91"/>
      <c r="Z472" s="91"/>
      <c r="AA472" s="91"/>
      <c r="AB472" s="91"/>
      <c r="AC472" s="91"/>
      <c r="AD472" s="91"/>
    </row>
    <row r="473" ht="15.75" customHeight="1">
      <c r="A473" s="57"/>
      <c r="B473" s="221"/>
      <c r="C473" s="91"/>
      <c r="D473" s="91"/>
      <c r="E473" s="223"/>
      <c r="F473" s="91"/>
      <c r="G473" s="91"/>
      <c r="H473" s="91"/>
      <c r="I473" s="91"/>
      <c r="J473" s="91"/>
      <c r="K473" s="91"/>
      <c r="L473" s="223"/>
      <c r="M473" s="57"/>
      <c r="N473" s="57"/>
      <c r="O473" s="532"/>
      <c r="P473" s="91"/>
      <c r="Q473" s="91"/>
      <c r="R473" s="91"/>
      <c r="S473" s="91"/>
      <c r="T473" s="91"/>
      <c r="U473" s="57"/>
      <c r="V473" s="57"/>
      <c r="W473" s="91"/>
      <c r="X473" s="57"/>
      <c r="Y473" s="91"/>
      <c r="Z473" s="91"/>
      <c r="AA473" s="91"/>
      <c r="AB473" s="91"/>
      <c r="AC473" s="91"/>
      <c r="AD473" s="91"/>
    </row>
    <row r="474" ht="15.75" customHeight="1">
      <c r="B474" s="249"/>
      <c r="J474" s="91"/>
      <c r="K474" s="91"/>
      <c r="L474" s="223"/>
      <c r="M474" s="57"/>
      <c r="N474" s="57"/>
      <c r="O474" s="532"/>
      <c r="P474" s="91"/>
      <c r="Q474" s="91"/>
      <c r="R474" s="91"/>
      <c r="S474" s="91"/>
      <c r="T474" s="91"/>
      <c r="U474" s="57"/>
      <c r="V474" s="57"/>
      <c r="W474" s="91"/>
      <c r="X474" s="57"/>
      <c r="Y474" s="91"/>
      <c r="Z474" s="91"/>
      <c r="AA474" s="91"/>
      <c r="AB474" s="91"/>
      <c r="AC474" s="91"/>
      <c r="AD474" s="91"/>
    </row>
    <row r="475" ht="15.75" customHeight="1">
      <c r="B475" s="249"/>
      <c r="J475" s="91"/>
      <c r="K475" s="91"/>
      <c r="L475" s="223"/>
      <c r="M475" s="57"/>
      <c r="N475" s="57"/>
      <c r="O475" s="532"/>
      <c r="P475" s="91"/>
      <c r="Q475" s="91"/>
      <c r="R475" s="91"/>
      <c r="S475" s="91"/>
      <c r="T475" s="91"/>
      <c r="U475" s="57"/>
      <c r="V475" s="57"/>
      <c r="W475" s="91"/>
      <c r="X475" s="57"/>
      <c r="Y475" s="91"/>
      <c r="Z475" s="91"/>
      <c r="AA475" s="91"/>
      <c r="AB475" s="91"/>
      <c r="AC475" s="91"/>
      <c r="AD475" s="91"/>
    </row>
    <row r="476" ht="15.75" customHeight="1">
      <c r="B476" s="249"/>
      <c r="J476" s="91"/>
      <c r="K476" s="91"/>
      <c r="L476" s="223"/>
      <c r="M476" s="57"/>
      <c r="N476" s="57"/>
      <c r="O476" s="532"/>
      <c r="P476" s="91"/>
      <c r="Q476" s="91"/>
      <c r="R476" s="91"/>
      <c r="S476" s="91"/>
      <c r="T476" s="91"/>
      <c r="U476" s="57"/>
      <c r="V476" s="57"/>
      <c r="W476" s="91"/>
      <c r="X476" s="57"/>
      <c r="Y476" s="91"/>
      <c r="Z476" s="91"/>
      <c r="AA476" s="91"/>
      <c r="AB476" s="91"/>
      <c r="AC476" s="91"/>
      <c r="AD476" s="91"/>
    </row>
    <row r="477" ht="15.75" customHeight="1">
      <c r="B477" s="249"/>
      <c r="J477" s="91"/>
      <c r="K477" s="91"/>
      <c r="L477" s="223"/>
      <c r="M477" s="57"/>
      <c r="N477" s="57"/>
      <c r="O477" s="532"/>
      <c r="P477" s="91"/>
      <c r="Q477" s="91"/>
      <c r="R477" s="91"/>
      <c r="S477" s="91"/>
      <c r="T477" s="91"/>
      <c r="U477" s="57"/>
      <c r="V477" s="57"/>
      <c r="W477" s="91"/>
      <c r="X477" s="57"/>
      <c r="Y477" s="91"/>
      <c r="Z477" s="91"/>
      <c r="AA477" s="91"/>
      <c r="AB477" s="91"/>
      <c r="AC477" s="91"/>
      <c r="AD477" s="91"/>
    </row>
    <row r="478" ht="15.75" customHeight="1">
      <c r="B478" s="249"/>
      <c r="J478" s="91"/>
      <c r="K478" s="91"/>
      <c r="L478" s="223"/>
      <c r="M478" s="57"/>
      <c r="N478" s="57"/>
      <c r="O478" s="532"/>
      <c r="P478" s="91"/>
      <c r="Q478" s="91"/>
      <c r="R478" s="91"/>
      <c r="S478" s="91"/>
      <c r="T478" s="91"/>
      <c r="U478" s="57"/>
      <c r="V478" s="57"/>
      <c r="W478" s="91"/>
      <c r="X478" s="57"/>
      <c r="Y478" s="91"/>
      <c r="Z478" s="91"/>
      <c r="AA478" s="91"/>
      <c r="AB478" s="91"/>
      <c r="AC478" s="91"/>
      <c r="AD478" s="91"/>
    </row>
    <row r="479" ht="15.75" customHeight="1">
      <c r="B479" s="249"/>
      <c r="J479" s="91"/>
      <c r="K479" s="91"/>
      <c r="L479" s="223"/>
      <c r="M479" s="57"/>
      <c r="N479" s="57"/>
      <c r="O479" s="532"/>
      <c r="P479" s="91"/>
      <c r="Q479" s="91"/>
      <c r="R479" s="91"/>
      <c r="S479" s="91"/>
      <c r="T479" s="91"/>
      <c r="U479" s="57"/>
      <c r="V479" s="57"/>
      <c r="W479" s="91"/>
      <c r="X479" s="57"/>
      <c r="Y479" s="91"/>
      <c r="Z479" s="91"/>
      <c r="AA479" s="91"/>
      <c r="AB479" s="91"/>
      <c r="AC479" s="91"/>
      <c r="AD479" s="91"/>
    </row>
    <row r="480" ht="15.75" customHeight="1">
      <c r="B480" s="249"/>
      <c r="J480" s="91"/>
      <c r="K480" s="91"/>
      <c r="L480" s="223"/>
      <c r="M480" s="57"/>
      <c r="N480" s="57"/>
      <c r="O480" s="532"/>
      <c r="P480" s="91"/>
      <c r="Q480" s="91"/>
      <c r="R480" s="91"/>
      <c r="S480" s="91"/>
      <c r="T480" s="91"/>
      <c r="U480" s="57"/>
      <c r="V480" s="57"/>
      <c r="W480" s="91"/>
      <c r="X480" s="57"/>
      <c r="Y480" s="91"/>
      <c r="Z480" s="91"/>
      <c r="AA480" s="91"/>
      <c r="AB480" s="91"/>
      <c r="AC480" s="91"/>
      <c r="AD480" s="91"/>
    </row>
    <row r="481" ht="15.75" customHeight="1">
      <c r="B481" s="249"/>
      <c r="J481" s="91"/>
      <c r="K481" s="91"/>
      <c r="L481" s="223"/>
      <c r="M481" s="57"/>
      <c r="N481" s="57"/>
      <c r="O481" s="532"/>
      <c r="P481" s="91"/>
      <c r="Q481" s="91"/>
      <c r="R481" s="91"/>
      <c r="S481" s="91"/>
      <c r="T481" s="91"/>
      <c r="U481" s="57"/>
      <c r="V481" s="57"/>
      <c r="W481" s="91"/>
      <c r="X481" s="57"/>
      <c r="Y481" s="91"/>
      <c r="Z481" s="91"/>
      <c r="AA481" s="91"/>
      <c r="AB481" s="91"/>
      <c r="AC481" s="91"/>
      <c r="AD481" s="91"/>
    </row>
    <row r="482" ht="15.75" customHeight="1">
      <c r="B482" s="249"/>
      <c r="J482" s="91"/>
      <c r="K482" s="91"/>
      <c r="L482" s="223"/>
      <c r="M482" s="57"/>
      <c r="N482" s="57"/>
      <c r="O482" s="532"/>
      <c r="P482" s="91"/>
      <c r="Q482" s="91"/>
      <c r="R482" s="91"/>
      <c r="S482" s="91"/>
      <c r="T482" s="91"/>
      <c r="U482" s="57"/>
      <c r="V482" s="57"/>
      <c r="W482" s="91"/>
      <c r="X482" s="57"/>
      <c r="Y482" s="91"/>
      <c r="Z482" s="91"/>
      <c r="AA482" s="91"/>
      <c r="AB482" s="91"/>
      <c r="AC482" s="91"/>
      <c r="AD482" s="91"/>
    </row>
    <row r="483" ht="15.75" customHeight="1">
      <c r="B483" s="249"/>
      <c r="J483" s="91"/>
      <c r="K483" s="91"/>
      <c r="L483" s="223"/>
      <c r="M483" s="57"/>
      <c r="N483" s="57"/>
      <c r="O483" s="532"/>
      <c r="P483" s="91"/>
      <c r="Q483" s="91"/>
      <c r="R483" s="91"/>
      <c r="S483" s="91"/>
      <c r="T483" s="91"/>
      <c r="U483" s="57"/>
      <c r="V483" s="57"/>
      <c r="W483" s="91"/>
      <c r="X483" s="57"/>
      <c r="Y483" s="91"/>
      <c r="Z483" s="91"/>
      <c r="AA483" s="91"/>
      <c r="AB483" s="91"/>
      <c r="AC483" s="91"/>
      <c r="AD483" s="91"/>
    </row>
    <row r="484" ht="15.75" customHeight="1">
      <c r="B484" s="249"/>
      <c r="J484" s="91"/>
      <c r="K484" s="91"/>
      <c r="L484" s="223"/>
      <c r="M484" s="57"/>
      <c r="N484" s="57"/>
      <c r="O484" s="532"/>
      <c r="P484" s="91"/>
      <c r="Q484" s="91"/>
      <c r="R484" s="91"/>
      <c r="S484" s="91"/>
      <c r="T484" s="91"/>
      <c r="U484" s="57"/>
      <c r="V484" s="57"/>
      <c r="W484" s="91"/>
      <c r="X484" s="57"/>
      <c r="Y484" s="91"/>
      <c r="Z484" s="91"/>
      <c r="AA484" s="91"/>
      <c r="AB484" s="91"/>
      <c r="AC484" s="91"/>
      <c r="AD484" s="91"/>
    </row>
    <row r="485" ht="15.75" customHeight="1">
      <c r="B485" s="249"/>
      <c r="J485" s="91"/>
      <c r="K485" s="91"/>
      <c r="L485" s="223"/>
      <c r="M485" s="57"/>
      <c r="N485" s="57"/>
      <c r="O485" s="532"/>
      <c r="P485" s="91"/>
      <c r="Q485" s="91"/>
      <c r="R485" s="91"/>
      <c r="S485" s="91"/>
      <c r="T485" s="91"/>
      <c r="U485" s="57"/>
      <c r="V485" s="57"/>
      <c r="W485" s="91"/>
      <c r="X485" s="57"/>
      <c r="Y485" s="91"/>
      <c r="Z485" s="91"/>
      <c r="AA485" s="91"/>
      <c r="AB485" s="91"/>
      <c r="AC485" s="91"/>
      <c r="AD485" s="91"/>
    </row>
    <row r="486" ht="15.75" customHeight="1">
      <c r="B486" s="249"/>
      <c r="J486" s="91"/>
      <c r="K486" s="91"/>
      <c r="L486" s="223"/>
      <c r="M486" s="57"/>
      <c r="N486" s="57"/>
      <c r="O486" s="532"/>
      <c r="P486" s="91"/>
      <c r="Q486" s="91"/>
      <c r="R486" s="91"/>
      <c r="S486" s="91"/>
      <c r="T486" s="91"/>
      <c r="U486" s="57"/>
      <c r="V486" s="57"/>
      <c r="W486" s="91"/>
      <c r="X486" s="57"/>
      <c r="Y486" s="91"/>
      <c r="Z486" s="91"/>
      <c r="AA486" s="91"/>
      <c r="AB486" s="91"/>
      <c r="AC486" s="91"/>
      <c r="AD486" s="91"/>
    </row>
    <row r="487" ht="15.75" customHeight="1">
      <c r="B487" s="249"/>
      <c r="J487" s="91"/>
      <c r="K487" s="91"/>
      <c r="L487" s="223"/>
      <c r="M487" s="57"/>
      <c r="N487" s="57"/>
      <c r="O487" s="532"/>
      <c r="P487" s="91"/>
      <c r="Q487" s="91"/>
      <c r="R487" s="91"/>
      <c r="S487" s="91"/>
      <c r="T487" s="91"/>
      <c r="U487" s="57"/>
      <c r="V487" s="57"/>
      <c r="W487" s="91"/>
      <c r="X487" s="57"/>
      <c r="Y487" s="91"/>
      <c r="Z487" s="91"/>
      <c r="AA487" s="91"/>
      <c r="AB487" s="91"/>
      <c r="AC487" s="91"/>
      <c r="AD487" s="91"/>
    </row>
    <row r="488" ht="15.75" customHeight="1">
      <c r="B488" s="249"/>
      <c r="J488" s="91"/>
      <c r="K488" s="91"/>
      <c r="L488" s="223"/>
      <c r="M488" s="57"/>
      <c r="N488" s="57"/>
      <c r="O488" s="532"/>
      <c r="P488" s="91"/>
      <c r="Q488" s="91"/>
      <c r="R488" s="91"/>
      <c r="S488" s="91"/>
      <c r="T488" s="91"/>
      <c r="U488" s="57"/>
      <c r="V488" s="57"/>
      <c r="W488" s="91"/>
      <c r="X488" s="57"/>
      <c r="Y488" s="91"/>
      <c r="Z488" s="91"/>
      <c r="AA488" s="91"/>
      <c r="AB488" s="91"/>
      <c r="AC488" s="91"/>
      <c r="AD488" s="91"/>
    </row>
    <row r="489" ht="15.75" customHeight="1">
      <c r="B489" s="249"/>
      <c r="J489" s="91"/>
      <c r="K489" s="91"/>
      <c r="L489" s="223"/>
      <c r="M489" s="57"/>
      <c r="N489" s="57"/>
      <c r="O489" s="532"/>
      <c r="P489" s="91"/>
      <c r="Q489" s="91"/>
      <c r="R489" s="91"/>
      <c r="S489" s="91"/>
      <c r="T489" s="91"/>
      <c r="U489" s="57"/>
      <c r="V489" s="57"/>
      <c r="W489" s="91"/>
      <c r="X489" s="57"/>
      <c r="Y489" s="91"/>
      <c r="Z489" s="91"/>
      <c r="AA489" s="91"/>
      <c r="AB489" s="91"/>
      <c r="AC489" s="91"/>
      <c r="AD489" s="91"/>
    </row>
    <row r="490" ht="15.75" customHeight="1">
      <c r="B490" s="249"/>
      <c r="J490" s="91"/>
      <c r="K490" s="91"/>
      <c r="L490" s="223"/>
      <c r="M490" s="57"/>
      <c r="N490" s="57"/>
      <c r="O490" s="532"/>
      <c r="P490" s="91"/>
      <c r="Q490" s="91"/>
      <c r="R490" s="91"/>
      <c r="S490" s="91"/>
      <c r="T490" s="91"/>
      <c r="U490" s="57"/>
      <c r="V490" s="57"/>
      <c r="W490" s="91"/>
      <c r="X490" s="57"/>
      <c r="Y490" s="91"/>
      <c r="Z490" s="91"/>
      <c r="AA490" s="91"/>
      <c r="AB490" s="91"/>
      <c r="AC490" s="91"/>
      <c r="AD490" s="91"/>
    </row>
    <row r="491" ht="15.75" customHeight="1">
      <c r="B491" s="249"/>
      <c r="J491" s="91"/>
      <c r="K491" s="91"/>
      <c r="L491" s="223"/>
      <c r="M491" s="57"/>
      <c r="N491" s="57"/>
      <c r="O491" s="532"/>
      <c r="P491" s="91"/>
      <c r="Q491" s="91"/>
      <c r="R491" s="91"/>
      <c r="S491" s="91"/>
      <c r="T491" s="91"/>
      <c r="U491" s="57"/>
      <c r="V491" s="57"/>
      <c r="W491" s="91"/>
      <c r="X491" s="57"/>
      <c r="Y491" s="91"/>
      <c r="Z491" s="91"/>
      <c r="AA491" s="91"/>
      <c r="AB491" s="91"/>
      <c r="AC491" s="91"/>
      <c r="AD491" s="91"/>
    </row>
    <row r="492" ht="15.75" customHeight="1">
      <c r="B492" s="249"/>
      <c r="J492" s="91"/>
      <c r="K492" s="91"/>
      <c r="L492" s="223"/>
      <c r="M492" s="57"/>
      <c r="N492" s="57"/>
      <c r="O492" s="532"/>
      <c r="P492" s="91"/>
      <c r="Q492" s="91"/>
      <c r="R492" s="91"/>
      <c r="S492" s="91"/>
      <c r="T492" s="91"/>
      <c r="U492" s="57"/>
      <c r="V492" s="57"/>
      <c r="W492" s="91"/>
      <c r="X492" s="57"/>
      <c r="Y492" s="91"/>
      <c r="Z492" s="91"/>
      <c r="AA492" s="91"/>
      <c r="AB492" s="91"/>
      <c r="AC492" s="91"/>
      <c r="AD492" s="91"/>
    </row>
    <row r="493" ht="15.75" customHeight="1">
      <c r="B493" s="249"/>
      <c r="J493" s="91"/>
      <c r="K493" s="91"/>
      <c r="L493" s="223"/>
      <c r="M493" s="57"/>
      <c r="N493" s="57"/>
      <c r="O493" s="532"/>
      <c r="P493" s="91"/>
      <c r="Q493" s="91"/>
      <c r="R493" s="91"/>
      <c r="S493" s="91"/>
      <c r="T493" s="91"/>
      <c r="U493" s="57"/>
      <c r="V493" s="57"/>
      <c r="W493" s="91"/>
      <c r="X493" s="57"/>
      <c r="Y493" s="91"/>
      <c r="Z493" s="91"/>
      <c r="AA493" s="91"/>
      <c r="AB493" s="91"/>
      <c r="AC493" s="91"/>
      <c r="AD493" s="91"/>
    </row>
    <row r="494" ht="15.75" customHeight="1">
      <c r="B494" s="249"/>
      <c r="J494" s="91"/>
      <c r="K494" s="91"/>
      <c r="L494" s="223"/>
      <c r="M494" s="57"/>
      <c r="N494" s="57"/>
      <c r="O494" s="532"/>
      <c r="P494" s="91"/>
      <c r="Q494" s="91"/>
      <c r="R494" s="91"/>
      <c r="S494" s="91"/>
      <c r="T494" s="91"/>
      <c r="U494" s="57"/>
      <c r="V494" s="57"/>
      <c r="W494" s="91"/>
      <c r="X494" s="57"/>
      <c r="Y494" s="91"/>
      <c r="Z494" s="91"/>
      <c r="AA494" s="91"/>
      <c r="AB494" s="91"/>
      <c r="AC494" s="91"/>
      <c r="AD494" s="91"/>
    </row>
    <row r="495" ht="15.75" customHeight="1">
      <c r="B495" s="249"/>
      <c r="J495" s="91"/>
      <c r="K495" s="91"/>
      <c r="L495" s="223"/>
      <c r="M495" s="57"/>
      <c r="N495" s="57"/>
      <c r="O495" s="532"/>
      <c r="P495" s="91"/>
      <c r="Q495" s="91"/>
      <c r="R495" s="91"/>
      <c r="S495" s="91"/>
      <c r="T495" s="91"/>
      <c r="U495" s="57"/>
      <c r="V495" s="57"/>
      <c r="W495" s="91"/>
      <c r="X495" s="57"/>
      <c r="Y495" s="91"/>
      <c r="Z495" s="91"/>
      <c r="AA495" s="91"/>
      <c r="AB495" s="91"/>
      <c r="AC495" s="91"/>
      <c r="AD495" s="91"/>
    </row>
    <row r="496" ht="15.75" customHeight="1">
      <c r="B496" s="249"/>
      <c r="J496" s="91"/>
      <c r="K496" s="91"/>
      <c r="L496" s="223"/>
      <c r="M496" s="57"/>
      <c r="N496" s="57"/>
      <c r="O496" s="532"/>
      <c r="P496" s="91"/>
      <c r="Q496" s="91"/>
      <c r="R496" s="91"/>
      <c r="S496" s="91"/>
      <c r="T496" s="91"/>
      <c r="U496" s="57"/>
      <c r="V496" s="57"/>
      <c r="W496" s="91"/>
      <c r="X496" s="57"/>
      <c r="Y496" s="91"/>
      <c r="Z496" s="91"/>
      <c r="AA496" s="91"/>
      <c r="AB496" s="91"/>
      <c r="AC496" s="91"/>
      <c r="AD496" s="91"/>
    </row>
    <row r="497" ht="15.75" customHeight="1">
      <c r="B497" s="249"/>
      <c r="J497" s="91"/>
      <c r="K497" s="91"/>
      <c r="L497" s="223"/>
      <c r="M497" s="57"/>
      <c r="N497" s="57"/>
      <c r="O497" s="532"/>
      <c r="P497" s="91"/>
      <c r="Q497" s="91"/>
      <c r="R497" s="91"/>
      <c r="S497" s="91"/>
      <c r="T497" s="91"/>
      <c r="U497" s="57"/>
      <c r="V497" s="57"/>
      <c r="W497" s="91"/>
      <c r="X497" s="57"/>
      <c r="Y497" s="91"/>
      <c r="Z497" s="91"/>
      <c r="AA497" s="91"/>
      <c r="AB497" s="91"/>
      <c r="AC497" s="91"/>
      <c r="AD497" s="91"/>
    </row>
    <row r="498" ht="15.75" customHeight="1">
      <c r="B498" s="249"/>
      <c r="J498" s="91"/>
      <c r="K498" s="91"/>
      <c r="L498" s="223"/>
      <c r="M498" s="57"/>
      <c r="N498" s="57"/>
      <c r="O498" s="532"/>
      <c r="P498" s="91"/>
      <c r="Q498" s="91"/>
      <c r="R498" s="91"/>
      <c r="S498" s="91"/>
      <c r="T498" s="91"/>
      <c r="U498" s="57"/>
      <c r="V498" s="57"/>
      <c r="W498" s="91"/>
      <c r="X498" s="57"/>
      <c r="Y498" s="91"/>
      <c r="Z498" s="91"/>
      <c r="AA498" s="91"/>
      <c r="AB498" s="91"/>
      <c r="AC498" s="91"/>
      <c r="AD498" s="91"/>
    </row>
    <row r="499" ht="15.75" customHeight="1">
      <c r="B499" s="249"/>
      <c r="J499" s="91"/>
      <c r="K499" s="91"/>
      <c r="L499" s="223"/>
      <c r="M499" s="57"/>
      <c r="N499" s="57"/>
      <c r="O499" s="532"/>
      <c r="P499" s="91"/>
      <c r="Q499" s="91"/>
      <c r="R499" s="91"/>
      <c r="S499" s="91"/>
      <c r="T499" s="91"/>
      <c r="U499" s="57"/>
      <c r="V499" s="57"/>
      <c r="W499" s="91"/>
      <c r="X499" s="57"/>
      <c r="Y499" s="91"/>
      <c r="Z499" s="91"/>
      <c r="AA499" s="91"/>
      <c r="AB499" s="91"/>
      <c r="AC499" s="91"/>
      <c r="AD499" s="91"/>
    </row>
    <row r="500" ht="15.75" customHeight="1">
      <c r="B500" s="249"/>
      <c r="J500" s="91"/>
      <c r="K500" s="91"/>
      <c r="L500" s="223"/>
      <c r="M500" s="57"/>
      <c r="N500" s="57"/>
      <c r="O500" s="532"/>
      <c r="P500" s="91"/>
      <c r="Q500" s="91"/>
      <c r="R500" s="91"/>
      <c r="S500" s="91"/>
      <c r="T500" s="91"/>
      <c r="U500" s="57"/>
      <c r="V500" s="57"/>
      <c r="W500" s="91"/>
      <c r="X500" s="57"/>
      <c r="Y500" s="91"/>
      <c r="Z500" s="91"/>
      <c r="AA500" s="91"/>
      <c r="AB500" s="91"/>
      <c r="AC500" s="91"/>
      <c r="AD500" s="91"/>
    </row>
    <row r="501" ht="15.75" customHeight="1">
      <c r="B501" s="249"/>
      <c r="J501" s="91"/>
      <c r="K501" s="91"/>
      <c r="L501" s="223"/>
      <c r="M501" s="57"/>
      <c r="N501" s="57"/>
      <c r="O501" s="532"/>
      <c r="P501" s="91"/>
      <c r="Q501" s="91"/>
      <c r="R501" s="91"/>
      <c r="S501" s="91"/>
      <c r="T501" s="91"/>
      <c r="U501" s="57"/>
      <c r="V501" s="57"/>
      <c r="W501" s="91"/>
      <c r="X501" s="57"/>
      <c r="Y501" s="91"/>
      <c r="Z501" s="91"/>
      <c r="AA501" s="91"/>
      <c r="AB501" s="91"/>
      <c r="AC501" s="91"/>
      <c r="AD501" s="91"/>
    </row>
    <row r="502" ht="15.75" customHeight="1">
      <c r="A502" s="57"/>
      <c r="B502" s="221"/>
      <c r="C502" s="91"/>
      <c r="D502" s="91"/>
      <c r="E502" s="223"/>
      <c r="F502" s="91"/>
      <c r="G502" s="91"/>
      <c r="H502" s="91"/>
      <c r="I502" s="91"/>
      <c r="J502" s="91"/>
      <c r="K502" s="91"/>
      <c r="L502" s="223"/>
      <c r="M502" s="57"/>
      <c r="N502" s="57"/>
      <c r="O502" s="532"/>
      <c r="P502" s="91"/>
      <c r="Q502" s="91"/>
      <c r="R502" s="91"/>
      <c r="S502" s="91"/>
      <c r="T502" s="91"/>
      <c r="U502" s="57"/>
      <c r="V502" s="57"/>
      <c r="W502" s="91"/>
      <c r="X502" s="57"/>
      <c r="Y502" s="91"/>
      <c r="Z502" s="91"/>
      <c r="AA502" s="91"/>
      <c r="AB502" s="91"/>
      <c r="AC502" s="91"/>
      <c r="AD502" s="91"/>
    </row>
    <row r="503" ht="15.75" customHeight="1">
      <c r="A503" s="57"/>
      <c r="B503" s="221"/>
      <c r="C503" s="91"/>
      <c r="D503" s="91"/>
      <c r="E503" s="223"/>
      <c r="F503" s="91"/>
      <c r="G503" s="91"/>
      <c r="H503" s="91"/>
      <c r="I503" s="91"/>
      <c r="J503" s="91"/>
      <c r="K503" s="91"/>
      <c r="L503" s="223"/>
      <c r="M503" s="57"/>
      <c r="N503" s="57"/>
      <c r="O503" s="532"/>
      <c r="P503" s="91"/>
      <c r="Q503" s="91"/>
      <c r="R503" s="91"/>
      <c r="S503" s="91"/>
      <c r="T503" s="91"/>
      <c r="U503" s="57"/>
      <c r="V503" s="57"/>
      <c r="W503" s="91"/>
      <c r="X503" s="57"/>
      <c r="Y503" s="91"/>
      <c r="Z503" s="91"/>
      <c r="AA503" s="91"/>
      <c r="AB503" s="91"/>
      <c r="AC503" s="91"/>
      <c r="AD503" s="91"/>
    </row>
    <row r="504" ht="15.75" customHeight="1">
      <c r="A504" s="57"/>
      <c r="B504" s="221"/>
      <c r="C504" s="91"/>
      <c r="D504" s="91"/>
      <c r="E504" s="223"/>
      <c r="F504" s="91"/>
      <c r="G504" s="91"/>
      <c r="H504" s="91"/>
      <c r="I504" s="91"/>
      <c r="J504" s="91"/>
      <c r="K504" s="91"/>
      <c r="L504" s="223"/>
      <c r="M504" s="57"/>
      <c r="N504" s="57"/>
      <c r="O504" s="532"/>
      <c r="P504" s="91"/>
      <c r="Q504" s="91"/>
      <c r="R504" s="91"/>
      <c r="S504" s="91"/>
      <c r="T504" s="91"/>
      <c r="U504" s="57"/>
      <c r="V504" s="57"/>
      <c r="W504" s="91"/>
      <c r="X504" s="57"/>
      <c r="Y504" s="91"/>
      <c r="Z504" s="91"/>
      <c r="AA504" s="91"/>
      <c r="AB504" s="91"/>
      <c r="AC504" s="91"/>
      <c r="AD504" s="91"/>
    </row>
    <row r="505" ht="15.75" customHeight="1">
      <c r="A505" s="57"/>
      <c r="B505" s="221"/>
      <c r="C505" s="91"/>
      <c r="D505" s="91"/>
      <c r="E505" s="223"/>
      <c r="F505" s="91"/>
      <c r="G505" s="91"/>
      <c r="H505" s="91"/>
      <c r="I505" s="91"/>
      <c r="J505" s="91"/>
      <c r="K505" s="91"/>
      <c r="L505" s="223"/>
      <c r="M505" s="57"/>
      <c r="N505" s="57"/>
      <c r="O505" s="532"/>
      <c r="P505" s="91"/>
      <c r="Q505" s="91"/>
      <c r="R505" s="91"/>
      <c r="S505" s="91"/>
      <c r="T505" s="91"/>
      <c r="U505" s="57"/>
      <c r="V505" s="57"/>
      <c r="W505" s="91"/>
      <c r="X505" s="57"/>
      <c r="Y505" s="91"/>
      <c r="Z505" s="91"/>
      <c r="AA505" s="91"/>
      <c r="AB505" s="91"/>
      <c r="AC505" s="91"/>
      <c r="AD505" s="91"/>
    </row>
    <row r="506" ht="15.75" customHeight="1">
      <c r="A506" s="57"/>
      <c r="B506" s="221"/>
      <c r="C506" s="91"/>
      <c r="D506" s="91"/>
      <c r="E506" s="223"/>
      <c r="F506" s="91"/>
      <c r="G506" s="91"/>
      <c r="H506" s="91"/>
      <c r="I506" s="91"/>
      <c r="J506" s="91"/>
      <c r="K506" s="91"/>
      <c r="L506" s="223"/>
      <c r="M506" s="57"/>
      <c r="N506" s="57"/>
      <c r="O506" s="532"/>
      <c r="P506" s="91"/>
      <c r="Q506" s="91"/>
      <c r="R506" s="91"/>
      <c r="S506" s="91"/>
      <c r="T506" s="91"/>
      <c r="U506" s="57"/>
      <c r="V506" s="57"/>
      <c r="W506" s="91"/>
      <c r="X506" s="57"/>
      <c r="Y506" s="91"/>
      <c r="Z506" s="91"/>
      <c r="AA506" s="91"/>
      <c r="AB506" s="91"/>
      <c r="AC506" s="91"/>
      <c r="AD506" s="91"/>
    </row>
    <row r="507" ht="15.75" customHeight="1">
      <c r="A507" s="57"/>
      <c r="B507" s="221"/>
      <c r="C507" s="91"/>
      <c r="D507" s="91"/>
      <c r="E507" s="223"/>
      <c r="F507" s="91"/>
      <c r="G507" s="91"/>
      <c r="H507" s="91"/>
      <c r="I507" s="91"/>
      <c r="J507" s="91"/>
      <c r="K507" s="91"/>
      <c r="L507" s="223"/>
      <c r="M507" s="57"/>
      <c r="N507" s="57"/>
      <c r="O507" s="532"/>
      <c r="P507" s="91"/>
      <c r="Q507" s="91"/>
      <c r="R507" s="91"/>
      <c r="S507" s="91"/>
      <c r="T507" s="91"/>
      <c r="U507" s="57"/>
      <c r="V507" s="57"/>
      <c r="W507" s="91"/>
      <c r="X507" s="57"/>
      <c r="Y507" s="91"/>
      <c r="Z507" s="91"/>
      <c r="AA507" s="91"/>
      <c r="AB507" s="91"/>
      <c r="AC507" s="91"/>
      <c r="AD507" s="91"/>
    </row>
    <row r="508" ht="15.75" customHeight="1">
      <c r="A508" s="57"/>
      <c r="B508" s="221"/>
      <c r="C508" s="91"/>
      <c r="D508" s="91"/>
      <c r="E508" s="223"/>
      <c r="F508" s="91"/>
      <c r="G508" s="91"/>
      <c r="H508" s="91"/>
      <c r="I508" s="91"/>
      <c r="J508" s="91"/>
      <c r="K508" s="91"/>
      <c r="L508" s="223"/>
      <c r="M508" s="57"/>
      <c r="N508" s="57"/>
      <c r="O508" s="532"/>
      <c r="P508" s="91"/>
      <c r="Q508" s="91"/>
      <c r="R508" s="91"/>
      <c r="S508" s="91"/>
      <c r="T508" s="91"/>
      <c r="U508" s="57"/>
      <c r="V508" s="57"/>
      <c r="W508" s="91"/>
      <c r="X508" s="57"/>
      <c r="Y508" s="91"/>
      <c r="Z508" s="91"/>
      <c r="AA508" s="91"/>
      <c r="AB508" s="91"/>
      <c r="AC508" s="91"/>
      <c r="AD508" s="91"/>
    </row>
    <row r="509" ht="15.75" customHeight="1">
      <c r="A509" s="57"/>
      <c r="B509" s="221"/>
      <c r="C509" s="91"/>
      <c r="D509" s="91"/>
      <c r="E509" s="223"/>
      <c r="F509" s="91"/>
      <c r="G509" s="91"/>
      <c r="H509" s="91"/>
      <c r="I509" s="91"/>
      <c r="J509" s="91"/>
      <c r="K509" s="91"/>
      <c r="L509" s="223"/>
      <c r="M509" s="57"/>
      <c r="N509" s="57"/>
      <c r="O509" s="532"/>
      <c r="P509" s="91"/>
      <c r="Q509" s="91"/>
      <c r="R509" s="91"/>
      <c r="S509" s="91"/>
      <c r="T509" s="91"/>
      <c r="U509" s="57"/>
      <c r="V509" s="57"/>
      <c r="W509" s="91"/>
      <c r="X509" s="57"/>
      <c r="Y509" s="91"/>
      <c r="Z509" s="91"/>
      <c r="AA509" s="91"/>
      <c r="AB509" s="91"/>
      <c r="AC509" s="91"/>
      <c r="AD509" s="91"/>
    </row>
    <row r="510" ht="15.75" customHeight="1">
      <c r="A510" s="57"/>
      <c r="B510" s="221"/>
      <c r="C510" s="91"/>
      <c r="D510" s="91"/>
      <c r="E510" s="223"/>
      <c r="F510" s="91"/>
      <c r="G510" s="91"/>
      <c r="H510" s="91"/>
      <c r="I510" s="91"/>
      <c r="J510" s="91"/>
      <c r="K510" s="91"/>
      <c r="L510" s="223"/>
      <c r="M510" s="57"/>
      <c r="N510" s="57"/>
      <c r="O510" s="532"/>
      <c r="P510" s="91"/>
      <c r="Q510" s="91"/>
      <c r="R510" s="91"/>
      <c r="S510" s="91"/>
      <c r="T510" s="91"/>
      <c r="U510" s="57"/>
      <c r="V510" s="57"/>
      <c r="W510" s="91"/>
      <c r="X510" s="57"/>
      <c r="Y510" s="91"/>
      <c r="Z510" s="91"/>
      <c r="AA510" s="91"/>
      <c r="AB510" s="91"/>
      <c r="AC510" s="91"/>
      <c r="AD510" s="91"/>
    </row>
    <row r="511" ht="15.75" customHeight="1">
      <c r="A511" s="57"/>
      <c r="B511" s="221"/>
      <c r="C511" s="91"/>
      <c r="D511" s="91"/>
      <c r="E511" s="223"/>
      <c r="F511" s="91"/>
      <c r="G511" s="91"/>
      <c r="H511" s="91"/>
      <c r="I511" s="91"/>
      <c r="J511" s="91"/>
      <c r="K511" s="91"/>
      <c r="L511" s="223"/>
      <c r="M511" s="57"/>
      <c r="N511" s="57"/>
      <c r="O511" s="532"/>
      <c r="P511" s="91"/>
      <c r="Q511" s="91"/>
      <c r="R511" s="91"/>
      <c r="S511" s="91"/>
      <c r="T511" s="91"/>
      <c r="U511" s="57"/>
      <c r="V511" s="57"/>
      <c r="W511" s="91"/>
      <c r="X511" s="57"/>
      <c r="Y511" s="91"/>
      <c r="Z511" s="91"/>
      <c r="AA511" s="91"/>
      <c r="AB511" s="91"/>
      <c r="AC511" s="91"/>
      <c r="AD511" s="91"/>
    </row>
    <row r="512" ht="15.75" customHeight="1">
      <c r="A512" s="57"/>
      <c r="B512" s="221"/>
      <c r="C512" s="91"/>
      <c r="D512" s="91"/>
      <c r="E512" s="223"/>
      <c r="F512" s="91"/>
      <c r="G512" s="91"/>
      <c r="H512" s="91"/>
      <c r="I512" s="91"/>
      <c r="J512" s="91"/>
      <c r="K512" s="91"/>
      <c r="L512" s="223"/>
      <c r="M512" s="57"/>
      <c r="N512" s="57"/>
      <c r="O512" s="532"/>
      <c r="P512" s="91"/>
      <c r="Q512" s="91"/>
      <c r="R512" s="91"/>
      <c r="S512" s="91"/>
      <c r="T512" s="91"/>
      <c r="U512" s="57"/>
      <c r="V512" s="57"/>
      <c r="W512" s="91"/>
      <c r="X512" s="57"/>
      <c r="Y512" s="91"/>
      <c r="Z512" s="91"/>
      <c r="AA512" s="91"/>
      <c r="AB512" s="91"/>
      <c r="AC512" s="91"/>
      <c r="AD512" s="91"/>
    </row>
    <row r="513" ht="15.75" customHeight="1">
      <c r="A513" s="57"/>
      <c r="B513" s="221"/>
      <c r="C513" s="91"/>
      <c r="D513" s="91"/>
      <c r="E513" s="223"/>
      <c r="F513" s="91"/>
      <c r="G513" s="91"/>
      <c r="H513" s="91"/>
      <c r="I513" s="91"/>
      <c r="J513" s="91"/>
      <c r="K513" s="91"/>
      <c r="L513" s="223"/>
      <c r="M513" s="57"/>
      <c r="N513" s="57"/>
      <c r="O513" s="532"/>
      <c r="P513" s="91"/>
      <c r="Q513" s="91"/>
      <c r="R513" s="91"/>
      <c r="S513" s="91"/>
      <c r="T513" s="91"/>
      <c r="U513" s="57"/>
      <c r="V513" s="57"/>
      <c r="W513" s="91"/>
      <c r="X513" s="57"/>
      <c r="Y513" s="91"/>
      <c r="Z513" s="91"/>
      <c r="AA513" s="91"/>
      <c r="AB513" s="91"/>
      <c r="AC513" s="91"/>
      <c r="AD513" s="91"/>
    </row>
    <row r="514" ht="15.75" customHeight="1">
      <c r="A514" s="57"/>
      <c r="B514" s="221"/>
      <c r="C514" s="91"/>
      <c r="D514" s="91"/>
      <c r="E514" s="223"/>
      <c r="F514" s="91"/>
      <c r="G514" s="91"/>
      <c r="H514" s="91"/>
      <c r="I514" s="91"/>
      <c r="J514" s="91"/>
      <c r="K514" s="91"/>
      <c r="L514" s="223"/>
      <c r="M514" s="57"/>
      <c r="N514" s="57"/>
      <c r="O514" s="532"/>
      <c r="P514" s="91"/>
      <c r="Q514" s="91"/>
      <c r="R514" s="91"/>
      <c r="S514" s="91"/>
      <c r="T514" s="91"/>
      <c r="U514" s="57"/>
      <c r="V514" s="57"/>
      <c r="W514" s="91"/>
      <c r="X514" s="57"/>
      <c r="Y514" s="91"/>
      <c r="Z514" s="91"/>
      <c r="AA514" s="91"/>
      <c r="AB514" s="91"/>
      <c r="AC514" s="91"/>
      <c r="AD514" s="91"/>
    </row>
    <row r="515" ht="15.75" customHeight="1">
      <c r="A515" s="57"/>
      <c r="B515" s="221"/>
      <c r="C515" s="91"/>
      <c r="D515" s="91"/>
      <c r="E515" s="223"/>
      <c r="F515" s="91"/>
      <c r="G515" s="91"/>
      <c r="H515" s="91"/>
      <c r="I515" s="91"/>
      <c r="J515" s="91"/>
      <c r="K515" s="91"/>
      <c r="L515" s="223"/>
      <c r="M515" s="57"/>
      <c r="N515" s="57"/>
      <c r="O515" s="532"/>
      <c r="P515" s="91"/>
      <c r="Q515" s="91"/>
      <c r="R515" s="91"/>
      <c r="S515" s="91"/>
      <c r="T515" s="91"/>
      <c r="U515" s="57"/>
      <c r="V515" s="57"/>
      <c r="W515" s="91"/>
      <c r="X515" s="57"/>
      <c r="Y515" s="91"/>
      <c r="Z515" s="91"/>
      <c r="AA515" s="91"/>
      <c r="AB515" s="91"/>
      <c r="AC515" s="91"/>
      <c r="AD515" s="91"/>
    </row>
    <row r="516" ht="15.75" customHeight="1">
      <c r="A516" s="57"/>
      <c r="B516" s="221"/>
      <c r="C516" s="91"/>
      <c r="D516" s="91"/>
      <c r="E516" s="223"/>
      <c r="F516" s="91"/>
      <c r="G516" s="91"/>
      <c r="H516" s="91"/>
      <c r="I516" s="91"/>
      <c r="J516" s="91"/>
      <c r="K516" s="91"/>
      <c r="L516" s="223"/>
      <c r="M516" s="57"/>
      <c r="N516" s="57"/>
      <c r="O516" s="532"/>
      <c r="P516" s="91"/>
      <c r="Q516" s="91"/>
      <c r="R516" s="91"/>
      <c r="S516" s="91"/>
      <c r="T516" s="91"/>
      <c r="U516" s="57"/>
      <c r="V516" s="57"/>
      <c r="W516" s="91"/>
      <c r="X516" s="57"/>
      <c r="Y516" s="91"/>
      <c r="Z516" s="91"/>
      <c r="AA516" s="91"/>
      <c r="AB516" s="91"/>
      <c r="AC516" s="91"/>
      <c r="AD516" s="91"/>
    </row>
    <row r="517" ht="15.75" customHeight="1">
      <c r="A517" s="57"/>
      <c r="B517" s="221"/>
      <c r="C517" s="91"/>
      <c r="D517" s="91"/>
      <c r="E517" s="223"/>
      <c r="F517" s="91"/>
      <c r="G517" s="91"/>
      <c r="H517" s="91"/>
      <c r="I517" s="91"/>
      <c r="J517" s="91"/>
      <c r="K517" s="91"/>
      <c r="L517" s="223"/>
      <c r="M517" s="57"/>
      <c r="N517" s="57"/>
      <c r="O517" s="532"/>
      <c r="P517" s="91"/>
      <c r="Q517" s="91"/>
      <c r="R517" s="91"/>
      <c r="S517" s="91"/>
      <c r="T517" s="91"/>
      <c r="U517" s="57"/>
      <c r="V517" s="57"/>
      <c r="W517" s="91"/>
      <c r="X517" s="57"/>
      <c r="Y517" s="91"/>
      <c r="Z517" s="91"/>
      <c r="AA517" s="91"/>
      <c r="AB517" s="91"/>
      <c r="AC517" s="91"/>
      <c r="AD517" s="91"/>
    </row>
    <row r="518" ht="15.75" customHeight="1">
      <c r="A518" s="57"/>
      <c r="B518" s="221"/>
      <c r="C518" s="91"/>
      <c r="D518" s="91"/>
      <c r="E518" s="223"/>
      <c r="F518" s="91"/>
      <c r="G518" s="91"/>
      <c r="H518" s="91"/>
      <c r="I518" s="91"/>
      <c r="J518" s="91"/>
      <c r="K518" s="91"/>
      <c r="L518" s="223"/>
      <c r="M518" s="57"/>
      <c r="N518" s="57"/>
      <c r="O518" s="532"/>
      <c r="P518" s="91"/>
      <c r="Q518" s="91"/>
      <c r="R518" s="91"/>
      <c r="S518" s="91"/>
      <c r="T518" s="91"/>
      <c r="U518" s="57"/>
      <c r="V518" s="57"/>
      <c r="W518" s="91"/>
      <c r="X518" s="57"/>
      <c r="Y518" s="91"/>
      <c r="Z518" s="91"/>
      <c r="AA518" s="91"/>
      <c r="AB518" s="91"/>
      <c r="AC518" s="91"/>
      <c r="AD518" s="91"/>
    </row>
    <row r="519" ht="15.75" customHeight="1">
      <c r="A519" s="57"/>
      <c r="B519" s="221"/>
      <c r="C519" s="91"/>
      <c r="D519" s="91"/>
      <c r="E519" s="223"/>
      <c r="F519" s="91"/>
      <c r="G519" s="91"/>
      <c r="H519" s="91"/>
      <c r="I519" s="91"/>
      <c r="J519" s="91"/>
      <c r="K519" s="91"/>
      <c r="L519" s="223"/>
      <c r="M519" s="57"/>
      <c r="N519" s="57"/>
      <c r="O519" s="532"/>
      <c r="P519" s="91"/>
      <c r="Q519" s="91"/>
      <c r="R519" s="91"/>
      <c r="S519" s="91"/>
      <c r="T519" s="91"/>
      <c r="U519" s="57"/>
      <c r="V519" s="57"/>
      <c r="W519" s="91"/>
      <c r="X519" s="57"/>
      <c r="Y519" s="91"/>
      <c r="Z519" s="91"/>
      <c r="AA519" s="91"/>
      <c r="AB519" s="91"/>
      <c r="AC519" s="91"/>
      <c r="AD519" s="91"/>
    </row>
    <row r="520" ht="15.75" customHeight="1">
      <c r="A520" s="57"/>
      <c r="B520" s="221"/>
      <c r="C520" s="91"/>
      <c r="D520" s="91"/>
      <c r="E520" s="223"/>
      <c r="F520" s="91"/>
      <c r="G520" s="91"/>
      <c r="H520" s="91"/>
      <c r="I520" s="91"/>
      <c r="J520" s="91"/>
      <c r="K520" s="91"/>
      <c r="L520" s="223"/>
      <c r="M520" s="57"/>
      <c r="N520" s="57"/>
      <c r="O520" s="532"/>
      <c r="P520" s="91"/>
      <c r="Q520" s="91"/>
      <c r="R520" s="91"/>
      <c r="S520" s="91"/>
      <c r="T520" s="91"/>
      <c r="U520" s="57"/>
      <c r="V520" s="57"/>
      <c r="W520" s="91"/>
      <c r="X520" s="57"/>
      <c r="Y520" s="91"/>
      <c r="Z520" s="91"/>
      <c r="AA520" s="91"/>
      <c r="AB520" s="91"/>
      <c r="AC520" s="91"/>
      <c r="AD520" s="91"/>
    </row>
    <row r="521" ht="15.75" customHeight="1">
      <c r="A521" s="57"/>
      <c r="B521" s="221"/>
      <c r="C521" s="91"/>
      <c r="D521" s="91"/>
      <c r="E521" s="223"/>
      <c r="F521" s="91"/>
      <c r="G521" s="91"/>
      <c r="H521" s="91"/>
      <c r="I521" s="91"/>
      <c r="J521" s="91"/>
      <c r="K521" s="91"/>
      <c r="L521" s="223"/>
      <c r="M521" s="57"/>
      <c r="N521" s="57"/>
      <c r="O521" s="532"/>
      <c r="P521" s="91"/>
      <c r="Q521" s="91"/>
      <c r="R521" s="91"/>
      <c r="S521" s="91"/>
      <c r="T521" s="91"/>
      <c r="U521" s="57"/>
      <c r="V521" s="57"/>
      <c r="W521" s="91"/>
      <c r="X521" s="57"/>
      <c r="Y521" s="91"/>
      <c r="Z521" s="91"/>
      <c r="AA521" s="91"/>
      <c r="AB521" s="91"/>
      <c r="AC521" s="91"/>
      <c r="AD521" s="91"/>
    </row>
    <row r="522" ht="15.75" customHeight="1">
      <c r="A522" s="57"/>
      <c r="B522" s="221"/>
      <c r="C522" s="91"/>
      <c r="D522" s="91"/>
      <c r="E522" s="223"/>
      <c r="F522" s="91"/>
      <c r="G522" s="91"/>
      <c r="H522" s="91"/>
      <c r="I522" s="91"/>
      <c r="J522" s="91"/>
      <c r="K522" s="91"/>
      <c r="L522" s="223"/>
      <c r="M522" s="57"/>
      <c r="N522" s="57"/>
      <c r="O522" s="532"/>
      <c r="P522" s="91"/>
      <c r="Q522" s="91"/>
      <c r="R522" s="91"/>
      <c r="S522" s="91"/>
      <c r="T522" s="91"/>
      <c r="U522" s="57"/>
      <c r="V522" s="57"/>
      <c r="W522" s="91"/>
      <c r="X522" s="57"/>
      <c r="Y522" s="91"/>
      <c r="Z522" s="91"/>
      <c r="AA522" s="91"/>
      <c r="AB522" s="91"/>
      <c r="AC522" s="91"/>
      <c r="AD522" s="91"/>
    </row>
    <row r="523" ht="15.75" customHeight="1">
      <c r="A523" s="57"/>
      <c r="B523" s="221"/>
      <c r="C523" s="91"/>
      <c r="D523" s="91"/>
      <c r="E523" s="223"/>
      <c r="F523" s="91"/>
      <c r="G523" s="91"/>
      <c r="H523" s="91"/>
      <c r="I523" s="91"/>
      <c r="J523" s="91"/>
      <c r="K523" s="91"/>
      <c r="L523" s="223"/>
      <c r="M523" s="57"/>
      <c r="N523" s="57"/>
      <c r="O523" s="532"/>
      <c r="P523" s="91"/>
      <c r="Q523" s="91"/>
      <c r="R523" s="91"/>
      <c r="S523" s="91"/>
      <c r="T523" s="91"/>
      <c r="U523" s="57"/>
      <c r="V523" s="57"/>
      <c r="W523" s="91"/>
      <c r="X523" s="57"/>
      <c r="Y523" s="91"/>
      <c r="Z523" s="91"/>
      <c r="AA523" s="91"/>
      <c r="AB523" s="91"/>
      <c r="AC523" s="91"/>
      <c r="AD523" s="91"/>
    </row>
    <row r="524" ht="15.75" customHeight="1">
      <c r="A524" s="57"/>
      <c r="B524" s="221"/>
      <c r="C524" s="91"/>
      <c r="D524" s="91"/>
      <c r="E524" s="223"/>
      <c r="F524" s="91"/>
      <c r="G524" s="91"/>
      <c r="H524" s="91"/>
      <c r="I524" s="91"/>
      <c r="J524" s="91"/>
      <c r="K524" s="91"/>
      <c r="L524" s="223"/>
      <c r="M524" s="57"/>
      <c r="N524" s="57"/>
      <c r="O524" s="532"/>
      <c r="P524" s="91"/>
      <c r="Q524" s="91"/>
      <c r="R524" s="91"/>
      <c r="S524" s="91"/>
      <c r="T524" s="91"/>
      <c r="U524" s="57"/>
      <c r="V524" s="57"/>
      <c r="W524" s="91"/>
      <c r="X524" s="57"/>
      <c r="Y524" s="91"/>
      <c r="Z524" s="91"/>
      <c r="AA524" s="91"/>
      <c r="AB524" s="91"/>
      <c r="AC524" s="91"/>
      <c r="AD524" s="91"/>
    </row>
    <row r="525" ht="15.75" customHeight="1">
      <c r="A525" s="57"/>
      <c r="B525" s="221"/>
      <c r="C525" s="91"/>
      <c r="D525" s="91"/>
      <c r="E525" s="223"/>
      <c r="F525" s="91"/>
      <c r="G525" s="91"/>
      <c r="H525" s="91"/>
      <c r="I525" s="91"/>
      <c r="J525" s="91"/>
      <c r="K525" s="91"/>
      <c r="L525" s="223"/>
      <c r="M525" s="57"/>
      <c r="N525" s="57"/>
      <c r="O525" s="532"/>
      <c r="P525" s="91"/>
      <c r="Q525" s="91"/>
      <c r="R525" s="91"/>
      <c r="S525" s="91"/>
      <c r="T525" s="91"/>
      <c r="U525" s="57"/>
      <c r="V525" s="57"/>
      <c r="W525" s="91"/>
      <c r="X525" s="57"/>
      <c r="Y525" s="91"/>
      <c r="Z525" s="91"/>
      <c r="AA525" s="91"/>
      <c r="AB525" s="91"/>
      <c r="AC525" s="91"/>
      <c r="AD525" s="91"/>
    </row>
    <row r="526" ht="15.75" customHeight="1">
      <c r="A526" s="57"/>
      <c r="B526" s="221"/>
      <c r="C526" s="91"/>
      <c r="D526" s="91"/>
      <c r="E526" s="223"/>
      <c r="F526" s="91"/>
      <c r="G526" s="91"/>
      <c r="H526" s="91"/>
      <c r="I526" s="91"/>
      <c r="J526" s="91"/>
      <c r="K526" s="91"/>
      <c r="L526" s="223"/>
      <c r="M526" s="57"/>
      <c r="N526" s="57"/>
      <c r="O526" s="532"/>
      <c r="P526" s="91"/>
      <c r="Q526" s="91"/>
      <c r="R526" s="91"/>
      <c r="S526" s="91"/>
      <c r="T526" s="91"/>
      <c r="U526" s="57"/>
      <c r="V526" s="57"/>
      <c r="W526" s="91"/>
      <c r="X526" s="57"/>
      <c r="Y526" s="91"/>
      <c r="Z526" s="91"/>
      <c r="AA526" s="91"/>
      <c r="AB526" s="91"/>
      <c r="AC526" s="91"/>
      <c r="AD526" s="91"/>
    </row>
    <row r="527" ht="15.75" customHeight="1">
      <c r="A527" s="57"/>
      <c r="B527" s="221"/>
      <c r="C527" s="91"/>
      <c r="D527" s="91"/>
      <c r="E527" s="223"/>
      <c r="F527" s="91"/>
      <c r="G527" s="91"/>
      <c r="H527" s="91"/>
      <c r="I527" s="91"/>
      <c r="J527" s="91"/>
      <c r="K527" s="91"/>
      <c r="L527" s="223"/>
      <c r="M527" s="57"/>
      <c r="N527" s="57"/>
      <c r="O527" s="532"/>
      <c r="P527" s="91"/>
      <c r="Q527" s="91"/>
      <c r="R527" s="91"/>
      <c r="S527" s="91"/>
      <c r="T527" s="91"/>
      <c r="U527" s="57"/>
      <c r="V527" s="57"/>
      <c r="W527" s="91"/>
      <c r="X527" s="57"/>
      <c r="Y527" s="91"/>
      <c r="Z527" s="91"/>
      <c r="AA527" s="91"/>
      <c r="AB527" s="91"/>
      <c r="AC527" s="91"/>
      <c r="AD527" s="91"/>
    </row>
    <row r="528" ht="15.75" customHeight="1">
      <c r="A528" s="57"/>
      <c r="B528" s="221"/>
      <c r="C528" s="91"/>
      <c r="D528" s="91"/>
      <c r="E528" s="223"/>
      <c r="F528" s="91"/>
      <c r="G528" s="91"/>
      <c r="H528" s="91"/>
      <c r="I528" s="91"/>
      <c r="J528" s="91"/>
      <c r="K528" s="91"/>
      <c r="L528" s="223"/>
      <c r="M528" s="57"/>
      <c r="N528" s="57"/>
      <c r="O528" s="532"/>
      <c r="P528" s="91"/>
      <c r="Q528" s="91"/>
      <c r="R528" s="91"/>
      <c r="S528" s="91"/>
      <c r="T528" s="91"/>
      <c r="U528" s="57"/>
      <c r="V528" s="57"/>
      <c r="W528" s="91"/>
      <c r="X528" s="57"/>
      <c r="Y528" s="91"/>
      <c r="Z528" s="91"/>
      <c r="AA528" s="91"/>
      <c r="AB528" s="91"/>
      <c r="AC528" s="91"/>
      <c r="AD528" s="91"/>
    </row>
    <row r="529" ht="15.75" customHeight="1">
      <c r="A529" s="57"/>
      <c r="B529" s="221"/>
      <c r="C529" s="91"/>
      <c r="D529" s="91"/>
      <c r="E529" s="223"/>
      <c r="F529" s="91"/>
      <c r="G529" s="91"/>
      <c r="H529" s="91"/>
      <c r="I529" s="91"/>
      <c r="J529" s="91"/>
      <c r="K529" s="91"/>
      <c r="L529" s="223"/>
      <c r="M529" s="57"/>
      <c r="N529" s="57"/>
      <c r="O529" s="532"/>
      <c r="P529" s="91"/>
      <c r="Q529" s="91"/>
      <c r="R529" s="91"/>
      <c r="S529" s="91"/>
      <c r="T529" s="91"/>
      <c r="U529" s="57"/>
      <c r="V529" s="57"/>
      <c r="W529" s="91"/>
      <c r="X529" s="57"/>
      <c r="Y529" s="91"/>
      <c r="Z529" s="91"/>
      <c r="AA529" s="91"/>
      <c r="AB529" s="91"/>
      <c r="AC529" s="91"/>
      <c r="AD529" s="91"/>
    </row>
    <row r="530" ht="15.75" customHeight="1">
      <c r="A530" s="57"/>
      <c r="B530" s="221"/>
      <c r="C530" s="91"/>
      <c r="D530" s="91"/>
      <c r="E530" s="223"/>
      <c r="F530" s="91"/>
      <c r="G530" s="91"/>
      <c r="H530" s="91"/>
      <c r="I530" s="91"/>
      <c r="J530" s="91"/>
      <c r="K530" s="91"/>
      <c r="L530" s="223"/>
      <c r="M530" s="57"/>
      <c r="N530" s="57"/>
      <c r="O530" s="532"/>
      <c r="P530" s="91"/>
      <c r="Q530" s="91"/>
      <c r="R530" s="91"/>
      <c r="S530" s="91"/>
      <c r="T530" s="91"/>
      <c r="U530" s="57"/>
      <c r="V530" s="57"/>
      <c r="W530" s="91"/>
      <c r="X530" s="57"/>
      <c r="Y530" s="91"/>
      <c r="Z530" s="91"/>
      <c r="AA530" s="91"/>
      <c r="AB530" s="91"/>
      <c r="AC530" s="91"/>
      <c r="AD530" s="91"/>
    </row>
    <row r="531" ht="15.75" customHeight="1">
      <c r="A531" s="57"/>
      <c r="B531" s="221"/>
      <c r="C531" s="91"/>
      <c r="D531" s="91"/>
      <c r="E531" s="223"/>
      <c r="F531" s="91"/>
      <c r="G531" s="91"/>
      <c r="H531" s="91"/>
      <c r="I531" s="91"/>
      <c r="J531" s="91"/>
      <c r="K531" s="91"/>
      <c r="L531" s="223"/>
      <c r="M531" s="57"/>
      <c r="N531" s="57"/>
      <c r="O531" s="532"/>
      <c r="P531" s="91"/>
      <c r="Q531" s="91"/>
      <c r="R531" s="91"/>
      <c r="S531" s="91"/>
      <c r="T531" s="91"/>
      <c r="U531" s="57"/>
      <c r="V531" s="57"/>
      <c r="W531" s="91"/>
      <c r="X531" s="57"/>
      <c r="Y531" s="91"/>
      <c r="Z531" s="91"/>
      <c r="AA531" s="91"/>
      <c r="AB531" s="91"/>
      <c r="AC531" s="91"/>
      <c r="AD531" s="91"/>
    </row>
    <row r="532" ht="15.75" customHeight="1">
      <c r="A532" s="57"/>
      <c r="B532" s="221"/>
      <c r="C532" s="91"/>
      <c r="D532" s="91"/>
      <c r="E532" s="223"/>
      <c r="F532" s="91"/>
      <c r="G532" s="91"/>
      <c r="H532" s="91"/>
      <c r="I532" s="91"/>
      <c r="J532" s="91"/>
      <c r="K532" s="91"/>
      <c r="L532" s="223"/>
      <c r="M532" s="57"/>
      <c r="N532" s="57"/>
      <c r="O532" s="532"/>
      <c r="P532" s="91"/>
      <c r="Q532" s="91"/>
      <c r="R532" s="91"/>
      <c r="S532" s="91"/>
      <c r="T532" s="91"/>
      <c r="U532" s="57"/>
      <c r="V532" s="57"/>
      <c r="W532" s="91"/>
      <c r="X532" s="57"/>
      <c r="Y532" s="91"/>
      <c r="Z532" s="91"/>
      <c r="AA532" s="91"/>
      <c r="AB532" s="91"/>
      <c r="AC532" s="91"/>
      <c r="AD532" s="91"/>
    </row>
    <row r="533" ht="15.75" customHeight="1">
      <c r="A533" s="57"/>
      <c r="B533" s="221"/>
      <c r="C533" s="91"/>
      <c r="D533" s="91"/>
      <c r="E533" s="223"/>
      <c r="F533" s="91"/>
      <c r="G533" s="91"/>
      <c r="H533" s="91"/>
      <c r="I533" s="91"/>
      <c r="J533" s="91"/>
      <c r="K533" s="91"/>
      <c r="L533" s="223"/>
      <c r="M533" s="57"/>
      <c r="N533" s="57"/>
      <c r="O533" s="532"/>
      <c r="P533" s="91"/>
      <c r="Q533" s="91"/>
      <c r="R533" s="91"/>
      <c r="S533" s="91"/>
      <c r="T533" s="91"/>
      <c r="U533" s="57"/>
      <c r="V533" s="57"/>
      <c r="W533" s="91"/>
      <c r="X533" s="57"/>
      <c r="Y533" s="91"/>
      <c r="Z533" s="91"/>
      <c r="AA533" s="91"/>
      <c r="AB533" s="91"/>
      <c r="AC533" s="91"/>
      <c r="AD533" s="91"/>
    </row>
    <row r="534" ht="15.75" customHeight="1">
      <c r="A534" s="57"/>
      <c r="B534" s="221"/>
      <c r="C534" s="91"/>
      <c r="D534" s="91"/>
      <c r="E534" s="223"/>
      <c r="F534" s="91"/>
      <c r="G534" s="91"/>
      <c r="H534" s="91"/>
      <c r="I534" s="91"/>
      <c r="J534" s="91"/>
      <c r="K534" s="91"/>
      <c r="L534" s="223"/>
      <c r="M534" s="57"/>
      <c r="N534" s="57"/>
      <c r="O534" s="532"/>
      <c r="P534" s="91"/>
      <c r="Q534" s="91"/>
      <c r="R534" s="91"/>
      <c r="S534" s="91"/>
      <c r="T534" s="91"/>
      <c r="U534" s="57"/>
      <c r="V534" s="57"/>
      <c r="W534" s="91"/>
      <c r="X534" s="57"/>
      <c r="Y534" s="91"/>
      <c r="Z534" s="91"/>
      <c r="AA534" s="91"/>
      <c r="AB534" s="91"/>
      <c r="AC534" s="91"/>
      <c r="AD534" s="91"/>
    </row>
    <row r="535" ht="15.75" customHeight="1">
      <c r="A535" s="57"/>
      <c r="B535" s="221"/>
      <c r="C535" s="91"/>
      <c r="D535" s="91"/>
      <c r="E535" s="223"/>
      <c r="F535" s="91"/>
      <c r="G535" s="91"/>
      <c r="H535" s="91"/>
      <c r="I535" s="91"/>
      <c r="J535" s="91"/>
      <c r="K535" s="91"/>
      <c r="L535" s="223"/>
      <c r="M535" s="57"/>
      <c r="N535" s="57"/>
      <c r="O535" s="532"/>
      <c r="P535" s="91"/>
      <c r="Q535" s="91"/>
      <c r="R535" s="91"/>
      <c r="S535" s="91"/>
      <c r="T535" s="91"/>
      <c r="U535" s="57"/>
      <c r="V535" s="57"/>
      <c r="W535" s="91"/>
      <c r="X535" s="57"/>
      <c r="Y535" s="91"/>
      <c r="Z535" s="91"/>
      <c r="AA535" s="91"/>
      <c r="AB535" s="91"/>
      <c r="AC535" s="91"/>
      <c r="AD535" s="91"/>
    </row>
    <row r="536" ht="15.75" customHeight="1">
      <c r="A536" s="57"/>
      <c r="B536" s="221"/>
      <c r="C536" s="91"/>
      <c r="D536" s="91"/>
      <c r="E536" s="223"/>
      <c r="F536" s="91"/>
      <c r="G536" s="91"/>
      <c r="H536" s="91"/>
      <c r="I536" s="91"/>
      <c r="J536" s="91"/>
      <c r="K536" s="91"/>
      <c r="L536" s="223"/>
      <c r="M536" s="57"/>
      <c r="N536" s="57"/>
      <c r="O536" s="532"/>
      <c r="P536" s="91"/>
      <c r="Q536" s="91"/>
      <c r="R536" s="91"/>
      <c r="S536" s="91"/>
      <c r="T536" s="91"/>
      <c r="U536" s="57"/>
      <c r="V536" s="57"/>
      <c r="W536" s="91"/>
      <c r="X536" s="57"/>
      <c r="Y536" s="91"/>
      <c r="Z536" s="91"/>
      <c r="AA536" s="91"/>
      <c r="AB536" s="91"/>
      <c r="AC536" s="91"/>
      <c r="AD536" s="91"/>
    </row>
    <row r="537" ht="15.75" customHeight="1">
      <c r="A537" s="57"/>
      <c r="B537" s="221"/>
      <c r="C537" s="91"/>
      <c r="D537" s="91"/>
      <c r="E537" s="223"/>
      <c r="F537" s="91"/>
      <c r="G537" s="91"/>
      <c r="H537" s="91"/>
      <c r="I537" s="91"/>
      <c r="J537" s="91"/>
      <c r="K537" s="91"/>
      <c r="L537" s="223"/>
      <c r="M537" s="57"/>
      <c r="N537" s="57"/>
      <c r="O537" s="532"/>
      <c r="P537" s="91"/>
      <c r="Q537" s="91"/>
      <c r="R537" s="91"/>
      <c r="S537" s="91"/>
      <c r="T537" s="91"/>
      <c r="U537" s="57"/>
      <c r="V537" s="57"/>
      <c r="W537" s="91"/>
      <c r="X537" s="57"/>
      <c r="Y537" s="91"/>
      <c r="Z537" s="91"/>
      <c r="AA537" s="91"/>
      <c r="AB537" s="91"/>
      <c r="AC537" s="91"/>
      <c r="AD537" s="91"/>
    </row>
    <row r="538" ht="15.75" customHeight="1">
      <c r="A538" s="57"/>
      <c r="B538" s="221"/>
      <c r="C538" s="91"/>
      <c r="D538" s="91"/>
      <c r="E538" s="223"/>
      <c r="F538" s="91"/>
      <c r="G538" s="91"/>
      <c r="H538" s="91"/>
      <c r="I538" s="91"/>
      <c r="J538" s="91"/>
      <c r="K538" s="91"/>
      <c r="L538" s="223"/>
      <c r="M538" s="57"/>
      <c r="N538" s="57"/>
      <c r="O538" s="532"/>
      <c r="P538" s="91"/>
      <c r="Q538" s="91"/>
      <c r="R538" s="91"/>
      <c r="S538" s="91"/>
      <c r="T538" s="91"/>
      <c r="U538" s="57"/>
      <c r="V538" s="57"/>
      <c r="W538" s="91"/>
      <c r="X538" s="57"/>
      <c r="Y538" s="91"/>
      <c r="Z538" s="91"/>
      <c r="AA538" s="91"/>
      <c r="AB538" s="91"/>
      <c r="AC538" s="91"/>
      <c r="AD538" s="91"/>
    </row>
    <row r="539" ht="15.75" customHeight="1">
      <c r="A539" s="57"/>
      <c r="B539" s="221"/>
      <c r="C539" s="91"/>
      <c r="D539" s="91"/>
      <c r="E539" s="223"/>
      <c r="F539" s="91"/>
      <c r="G539" s="91"/>
      <c r="H539" s="91"/>
      <c r="I539" s="91"/>
      <c r="J539" s="91"/>
      <c r="K539" s="91"/>
      <c r="L539" s="223"/>
      <c r="M539" s="57"/>
      <c r="N539" s="57"/>
      <c r="O539" s="532"/>
      <c r="P539" s="91"/>
      <c r="Q539" s="91"/>
      <c r="R539" s="91"/>
      <c r="S539" s="91"/>
      <c r="T539" s="91"/>
      <c r="U539" s="57"/>
      <c r="V539" s="57"/>
      <c r="W539" s="91"/>
      <c r="X539" s="57"/>
      <c r="Y539" s="91"/>
      <c r="Z539" s="91"/>
      <c r="AA539" s="91"/>
      <c r="AB539" s="91"/>
      <c r="AC539" s="91"/>
      <c r="AD539" s="91"/>
    </row>
    <row r="540" ht="15.75" customHeight="1">
      <c r="A540" s="532"/>
      <c r="B540" s="221"/>
      <c r="C540" s="223"/>
      <c r="D540" s="223"/>
      <c r="E540" s="223"/>
      <c r="F540" s="223"/>
      <c r="G540" s="223"/>
      <c r="H540" s="223"/>
      <c r="I540" s="223"/>
      <c r="J540" s="223"/>
      <c r="K540" s="223"/>
      <c r="L540" s="223"/>
      <c r="M540" s="532"/>
      <c r="N540" s="532"/>
      <c r="O540" s="532"/>
      <c r="P540" s="223"/>
      <c r="Q540" s="223"/>
      <c r="R540" s="223"/>
      <c r="S540" s="223"/>
      <c r="T540" s="223"/>
      <c r="U540" s="532"/>
      <c r="V540" s="532"/>
      <c r="W540" s="223"/>
      <c r="X540" s="532"/>
      <c r="Y540" s="223"/>
      <c r="Z540" s="223"/>
      <c r="AA540" s="223"/>
      <c r="AB540" s="223"/>
      <c r="AC540" s="223"/>
      <c r="AD540" s="223"/>
    </row>
    <row r="541" ht="15.75" customHeight="1">
      <c r="A541" s="532"/>
      <c r="B541" s="221"/>
      <c r="C541" s="223"/>
      <c r="D541" s="223"/>
      <c r="E541" s="223"/>
      <c r="F541" s="223"/>
      <c r="G541" s="223"/>
      <c r="H541" s="223"/>
      <c r="I541" s="223"/>
      <c r="J541" s="223"/>
      <c r="K541" s="223"/>
      <c r="L541" s="223"/>
      <c r="M541" s="532"/>
      <c r="N541" s="532"/>
      <c r="O541" s="532"/>
      <c r="P541" s="223"/>
      <c r="Q541" s="223"/>
      <c r="R541" s="223"/>
      <c r="S541" s="223"/>
      <c r="T541" s="223"/>
      <c r="U541" s="532"/>
      <c r="V541" s="532"/>
      <c r="W541" s="223"/>
      <c r="X541" s="532"/>
      <c r="Y541" s="223"/>
      <c r="Z541" s="223"/>
      <c r="AA541" s="223"/>
      <c r="AB541" s="223"/>
      <c r="AC541" s="223"/>
      <c r="AD541" s="223"/>
    </row>
    <row r="542" ht="15.75" customHeight="1">
      <c r="A542" s="532"/>
      <c r="B542" s="221"/>
      <c r="C542" s="223"/>
      <c r="D542" s="223"/>
      <c r="E542" s="223"/>
      <c r="F542" s="223"/>
      <c r="G542" s="223"/>
      <c r="H542" s="223"/>
      <c r="I542" s="223"/>
      <c r="J542" s="223"/>
      <c r="K542" s="223"/>
      <c r="L542" s="223"/>
      <c r="M542" s="532"/>
      <c r="N542" s="532"/>
      <c r="O542" s="532"/>
      <c r="P542" s="223"/>
      <c r="Q542" s="223"/>
      <c r="R542" s="223"/>
      <c r="S542" s="223"/>
      <c r="T542" s="223"/>
      <c r="U542" s="532"/>
      <c r="V542" s="532"/>
      <c r="W542" s="223"/>
      <c r="X542" s="532"/>
      <c r="Y542" s="223"/>
      <c r="Z542" s="223"/>
      <c r="AA542" s="223"/>
      <c r="AB542" s="223"/>
      <c r="AC542" s="223"/>
      <c r="AD542" s="223"/>
    </row>
    <row r="543" ht="15.75" customHeight="1">
      <c r="A543" s="532"/>
      <c r="B543" s="221"/>
      <c r="C543" s="223"/>
      <c r="D543" s="223"/>
      <c r="E543" s="223"/>
      <c r="F543" s="223"/>
      <c r="G543" s="223"/>
      <c r="H543" s="223"/>
      <c r="I543" s="223"/>
      <c r="J543" s="223"/>
      <c r="K543" s="223"/>
      <c r="L543" s="223"/>
      <c r="M543" s="532"/>
      <c r="N543" s="532"/>
      <c r="O543" s="532"/>
      <c r="P543" s="223"/>
      <c r="Q543" s="223"/>
      <c r="R543" s="223"/>
      <c r="S543" s="223"/>
      <c r="T543" s="223"/>
      <c r="U543" s="532"/>
      <c r="V543" s="532"/>
      <c r="W543" s="223"/>
      <c r="X543" s="532"/>
      <c r="Y543" s="223"/>
      <c r="Z543" s="223"/>
      <c r="AA543" s="223"/>
      <c r="AB543" s="223"/>
      <c r="AC543" s="223"/>
      <c r="AD543" s="223"/>
    </row>
    <row r="544" ht="15.75" customHeight="1">
      <c r="A544" s="532"/>
      <c r="B544" s="221"/>
      <c r="C544" s="223"/>
      <c r="D544" s="223"/>
      <c r="E544" s="223"/>
      <c r="F544" s="223"/>
      <c r="G544" s="223"/>
      <c r="H544" s="223"/>
      <c r="I544" s="223"/>
      <c r="J544" s="223"/>
      <c r="K544" s="223"/>
      <c r="L544" s="223"/>
      <c r="M544" s="532"/>
      <c r="N544" s="532"/>
      <c r="O544" s="532"/>
      <c r="P544" s="223"/>
      <c r="Q544" s="223"/>
      <c r="R544" s="223"/>
      <c r="S544" s="223"/>
      <c r="T544" s="223"/>
      <c r="U544" s="532"/>
      <c r="V544" s="532"/>
      <c r="W544" s="223"/>
      <c r="X544" s="532"/>
      <c r="Y544" s="223"/>
      <c r="Z544" s="223"/>
      <c r="AA544" s="223"/>
      <c r="AB544" s="223"/>
      <c r="AC544" s="223"/>
      <c r="AD544" s="223"/>
    </row>
    <row r="545" ht="15.75" customHeight="1">
      <c r="A545" s="532"/>
      <c r="B545" s="221"/>
      <c r="C545" s="223"/>
      <c r="D545" s="223"/>
      <c r="E545" s="223"/>
      <c r="F545" s="223"/>
      <c r="G545" s="223"/>
      <c r="H545" s="223"/>
      <c r="I545" s="223"/>
      <c r="J545" s="223"/>
      <c r="K545" s="223"/>
      <c r="L545" s="223"/>
      <c r="M545" s="532"/>
      <c r="N545" s="532"/>
      <c r="O545" s="532"/>
      <c r="P545" s="223"/>
      <c r="Q545" s="223"/>
      <c r="R545" s="223"/>
      <c r="S545" s="223"/>
      <c r="T545" s="223"/>
      <c r="U545" s="532"/>
      <c r="V545" s="532"/>
      <c r="W545" s="223"/>
      <c r="X545" s="532"/>
      <c r="Y545" s="223"/>
      <c r="Z545" s="223"/>
      <c r="AA545" s="223"/>
      <c r="AB545" s="223"/>
      <c r="AC545" s="223"/>
      <c r="AD545" s="223"/>
    </row>
    <row r="546" ht="15.75" customHeight="1">
      <c r="A546" s="532"/>
      <c r="B546" s="221"/>
      <c r="C546" s="223"/>
      <c r="D546" s="223"/>
      <c r="E546" s="223"/>
      <c r="F546" s="223"/>
      <c r="G546" s="223"/>
      <c r="H546" s="223"/>
      <c r="I546" s="223"/>
      <c r="J546" s="223"/>
      <c r="K546" s="223"/>
      <c r="L546" s="223"/>
      <c r="M546" s="532"/>
      <c r="N546" s="532"/>
      <c r="O546" s="532"/>
      <c r="P546" s="223"/>
      <c r="Q546" s="223"/>
      <c r="R546" s="223"/>
      <c r="S546" s="223"/>
      <c r="T546" s="223"/>
      <c r="U546" s="532"/>
      <c r="V546" s="532"/>
      <c r="W546" s="223"/>
      <c r="X546" s="532"/>
      <c r="Y546" s="223"/>
      <c r="Z546" s="223"/>
      <c r="AA546" s="223"/>
      <c r="AB546" s="223"/>
      <c r="AC546" s="223"/>
      <c r="AD546" s="223"/>
    </row>
    <row r="547" ht="15.75" customHeight="1">
      <c r="A547" s="532"/>
      <c r="B547" s="221"/>
      <c r="C547" s="223"/>
      <c r="D547" s="223"/>
      <c r="E547" s="223"/>
      <c r="F547" s="223"/>
      <c r="G547" s="223"/>
      <c r="H547" s="223"/>
      <c r="I547" s="223"/>
      <c r="J547" s="223"/>
      <c r="K547" s="223"/>
      <c r="L547" s="223"/>
      <c r="M547" s="532"/>
      <c r="N547" s="532"/>
      <c r="O547" s="532"/>
      <c r="P547" s="223"/>
      <c r="Q547" s="223"/>
      <c r="R547" s="223"/>
      <c r="S547" s="223"/>
      <c r="T547" s="223"/>
      <c r="U547" s="532"/>
      <c r="V547" s="532"/>
      <c r="W547" s="223"/>
      <c r="X547" s="532"/>
      <c r="Y547" s="223"/>
      <c r="Z547" s="223"/>
      <c r="AA547" s="223"/>
      <c r="AB547" s="223"/>
      <c r="AC547" s="223"/>
      <c r="AD547" s="223"/>
    </row>
    <row r="548" ht="15.75" customHeight="1">
      <c r="A548" s="532"/>
      <c r="B548" s="221"/>
      <c r="C548" s="223"/>
      <c r="D548" s="223"/>
      <c r="E548" s="223"/>
      <c r="F548" s="223"/>
      <c r="G548" s="223"/>
      <c r="H548" s="223"/>
      <c r="I548" s="223"/>
      <c r="J548" s="223"/>
      <c r="K548" s="223"/>
      <c r="L548" s="223"/>
      <c r="M548" s="532"/>
      <c r="N548" s="532"/>
      <c r="O548" s="532"/>
      <c r="P548" s="223"/>
      <c r="Q548" s="223"/>
      <c r="R548" s="223"/>
      <c r="S548" s="223"/>
      <c r="T548" s="223"/>
      <c r="U548" s="532"/>
      <c r="V548" s="532"/>
      <c r="W548" s="223"/>
      <c r="X548" s="532"/>
      <c r="Y548" s="223"/>
      <c r="Z548" s="223"/>
      <c r="AA548" s="223"/>
      <c r="AB548" s="223"/>
      <c r="AC548" s="223"/>
      <c r="AD548" s="223"/>
    </row>
    <row r="549" ht="15.75" customHeight="1">
      <c r="A549" s="532"/>
      <c r="B549" s="221"/>
      <c r="C549" s="223"/>
      <c r="D549" s="223"/>
      <c r="E549" s="223"/>
      <c r="F549" s="223"/>
      <c r="G549" s="223"/>
      <c r="H549" s="223"/>
      <c r="I549" s="223"/>
      <c r="J549" s="223"/>
      <c r="K549" s="223"/>
      <c r="L549" s="223"/>
      <c r="M549" s="532"/>
      <c r="N549" s="532"/>
      <c r="O549" s="532"/>
      <c r="P549" s="223"/>
      <c r="Q549" s="223"/>
      <c r="R549" s="223"/>
      <c r="S549" s="223"/>
      <c r="T549" s="223"/>
      <c r="U549" s="532"/>
      <c r="V549" s="532"/>
      <c r="W549" s="223"/>
      <c r="X549" s="532"/>
      <c r="Y549" s="223"/>
      <c r="Z549" s="223"/>
      <c r="AA549" s="223"/>
      <c r="AB549" s="223"/>
      <c r="AC549" s="223"/>
      <c r="AD549" s="223"/>
    </row>
    <row r="550" ht="15.75" customHeight="1">
      <c r="A550" s="532"/>
      <c r="B550" s="221"/>
      <c r="C550" s="223"/>
      <c r="D550" s="223"/>
      <c r="E550" s="223"/>
      <c r="F550" s="223"/>
      <c r="G550" s="223"/>
      <c r="H550" s="223"/>
      <c r="I550" s="223"/>
      <c r="J550" s="223"/>
      <c r="K550" s="223"/>
      <c r="L550" s="223"/>
      <c r="M550" s="532"/>
      <c r="N550" s="532"/>
      <c r="O550" s="532"/>
      <c r="P550" s="223"/>
      <c r="Q550" s="223"/>
      <c r="R550" s="223"/>
      <c r="S550" s="223"/>
      <c r="T550" s="223"/>
      <c r="U550" s="532"/>
      <c r="V550" s="532"/>
      <c r="W550" s="223"/>
      <c r="X550" s="532"/>
      <c r="Y550" s="223"/>
      <c r="Z550" s="223"/>
      <c r="AA550" s="223"/>
      <c r="AB550" s="223"/>
      <c r="AC550" s="223"/>
      <c r="AD550" s="223"/>
    </row>
    <row r="551" ht="15.75" customHeight="1">
      <c r="A551" s="532"/>
      <c r="B551" s="221"/>
      <c r="C551" s="223"/>
      <c r="D551" s="223"/>
      <c r="E551" s="223"/>
      <c r="F551" s="223"/>
      <c r="G551" s="223"/>
      <c r="H551" s="223"/>
      <c r="I551" s="223"/>
      <c r="J551" s="223"/>
      <c r="K551" s="223"/>
      <c r="L551" s="223"/>
      <c r="M551" s="532"/>
      <c r="N551" s="532"/>
      <c r="O551" s="532"/>
      <c r="P551" s="223"/>
      <c r="Q551" s="223"/>
      <c r="R551" s="223"/>
      <c r="S551" s="223"/>
      <c r="T551" s="223"/>
      <c r="U551" s="532"/>
      <c r="V551" s="532"/>
      <c r="W551" s="223"/>
      <c r="X551" s="532"/>
      <c r="Y551" s="223"/>
      <c r="Z551" s="223"/>
      <c r="AA551" s="223"/>
      <c r="AB551" s="223"/>
      <c r="AC551" s="223"/>
      <c r="AD551" s="223"/>
    </row>
    <row r="552" ht="15.75" customHeight="1">
      <c r="A552" s="532"/>
      <c r="B552" s="221"/>
      <c r="C552" s="223"/>
      <c r="D552" s="223"/>
      <c r="E552" s="223"/>
      <c r="F552" s="223"/>
      <c r="G552" s="223"/>
      <c r="H552" s="223"/>
      <c r="I552" s="223"/>
      <c r="J552" s="223"/>
      <c r="K552" s="223"/>
      <c r="L552" s="223"/>
      <c r="M552" s="532"/>
      <c r="N552" s="532"/>
      <c r="O552" s="532"/>
      <c r="P552" s="223"/>
      <c r="Q552" s="223"/>
      <c r="R552" s="223"/>
      <c r="S552" s="223"/>
      <c r="T552" s="223"/>
      <c r="U552" s="532"/>
      <c r="V552" s="532"/>
      <c r="W552" s="223"/>
      <c r="X552" s="532"/>
      <c r="Y552" s="223"/>
      <c r="Z552" s="223"/>
      <c r="AA552" s="223"/>
      <c r="AB552" s="223"/>
      <c r="AC552" s="223"/>
      <c r="AD552" s="223"/>
    </row>
    <row r="553" ht="15.75" customHeight="1">
      <c r="A553" s="532"/>
      <c r="B553" s="221"/>
      <c r="C553" s="223"/>
      <c r="D553" s="223"/>
      <c r="E553" s="223"/>
      <c r="F553" s="223"/>
      <c r="G553" s="223"/>
      <c r="H553" s="223"/>
      <c r="I553" s="223"/>
      <c r="J553" s="223"/>
      <c r="K553" s="223"/>
      <c r="L553" s="223"/>
      <c r="M553" s="532"/>
      <c r="N553" s="532"/>
      <c r="O553" s="532"/>
      <c r="P553" s="223"/>
      <c r="Q553" s="223"/>
      <c r="R553" s="223"/>
      <c r="S553" s="223"/>
      <c r="T553" s="223"/>
      <c r="U553" s="532"/>
      <c r="V553" s="532"/>
      <c r="W553" s="223"/>
      <c r="X553" s="532"/>
      <c r="Y553" s="223"/>
      <c r="Z553" s="223"/>
      <c r="AA553" s="223"/>
      <c r="AB553" s="223"/>
      <c r="AC553" s="223"/>
      <c r="AD553" s="223"/>
    </row>
    <row r="554" ht="15.75" customHeight="1">
      <c r="A554" s="532"/>
      <c r="B554" s="221"/>
      <c r="C554" s="223"/>
      <c r="D554" s="223"/>
      <c r="E554" s="223"/>
      <c r="F554" s="223"/>
      <c r="G554" s="223"/>
      <c r="H554" s="223"/>
      <c r="I554" s="223"/>
      <c r="J554" s="223"/>
      <c r="K554" s="223"/>
      <c r="L554" s="223"/>
      <c r="M554" s="532"/>
      <c r="N554" s="532"/>
      <c r="O554" s="532"/>
      <c r="P554" s="223"/>
      <c r="Q554" s="223"/>
      <c r="R554" s="223"/>
      <c r="S554" s="223"/>
      <c r="T554" s="223"/>
      <c r="U554" s="532"/>
      <c r="V554" s="532"/>
      <c r="W554" s="223"/>
      <c r="X554" s="532"/>
      <c r="Y554" s="223"/>
      <c r="Z554" s="223"/>
      <c r="AA554" s="223"/>
      <c r="AB554" s="223"/>
      <c r="AC554" s="223"/>
      <c r="AD554" s="223"/>
    </row>
    <row r="555" ht="15.75" customHeight="1">
      <c r="A555" s="532"/>
      <c r="B555" s="221"/>
      <c r="C555" s="223"/>
      <c r="D555" s="223"/>
      <c r="E555" s="223"/>
      <c r="F555" s="223"/>
      <c r="G555" s="223"/>
      <c r="H555" s="223"/>
      <c r="I555" s="223"/>
      <c r="J555" s="223"/>
      <c r="K555" s="223"/>
      <c r="L555" s="223"/>
      <c r="M555" s="532"/>
      <c r="N555" s="532"/>
      <c r="O555" s="532"/>
      <c r="P555" s="223"/>
      <c r="Q555" s="223"/>
      <c r="R555" s="223"/>
      <c r="S555" s="223"/>
      <c r="T555" s="223"/>
      <c r="U555" s="532"/>
      <c r="V555" s="532"/>
      <c r="W555" s="223"/>
      <c r="X555" s="532"/>
      <c r="Y555" s="223"/>
      <c r="Z555" s="223"/>
      <c r="AA555" s="223"/>
      <c r="AB555" s="223"/>
      <c r="AC555" s="223"/>
      <c r="AD555" s="223"/>
    </row>
    <row r="556" ht="15.75" customHeight="1">
      <c r="A556" s="532"/>
      <c r="B556" s="221"/>
      <c r="C556" s="223"/>
      <c r="D556" s="223"/>
      <c r="E556" s="223"/>
      <c r="F556" s="223"/>
      <c r="G556" s="223"/>
      <c r="H556" s="223"/>
      <c r="I556" s="223"/>
      <c r="J556" s="223"/>
      <c r="K556" s="223"/>
      <c r="L556" s="223"/>
      <c r="M556" s="532"/>
      <c r="N556" s="532"/>
      <c r="O556" s="532"/>
      <c r="P556" s="223"/>
      <c r="Q556" s="223"/>
      <c r="R556" s="223"/>
      <c r="S556" s="223"/>
      <c r="T556" s="223"/>
      <c r="U556" s="532"/>
      <c r="V556" s="532"/>
      <c r="W556" s="223"/>
      <c r="X556" s="532"/>
      <c r="Y556" s="223"/>
      <c r="Z556" s="223"/>
      <c r="AA556" s="223"/>
      <c r="AB556" s="223"/>
      <c r="AC556" s="223"/>
      <c r="AD556" s="223"/>
    </row>
    <row r="557" ht="15.75" customHeight="1">
      <c r="A557" s="532"/>
      <c r="B557" s="221"/>
      <c r="C557" s="223"/>
      <c r="D557" s="223"/>
      <c r="E557" s="223"/>
      <c r="F557" s="223"/>
      <c r="G557" s="223"/>
      <c r="H557" s="223"/>
      <c r="I557" s="223"/>
      <c r="J557" s="223"/>
      <c r="K557" s="223"/>
      <c r="L557" s="223"/>
      <c r="M557" s="532"/>
      <c r="N557" s="532"/>
      <c r="O557" s="532"/>
      <c r="P557" s="223"/>
      <c r="Q557" s="223"/>
      <c r="R557" s="223"/>
      <c r="S557" s="223"/>
      <c r="T557" s="223"/>
      <c r="U557" s="532"/>
      <c r="V557" s="532"/>
      <c r="W557" s="223"/>
      <c r="X557" s="532"/>
      <c r="Y557" s="223"/>
      <c r="Z557" s="223"/>
      <c r="AA557" s="223"/>
      <c r="AB557" s="223"/>
      <c r="AC557" s="223"/>
      <c r="AD557" s="223"/>
    </row>
    <row r="558" ht="15.75" customHeight="1">
      <c r="A558" s="532"/>
      <c r="B558" s="221"/>
      <c r="C558" s="223"/>
      <c r="D558" s="223"/>
      <c r="E558" s="223"/>
      <c r="F558" s="223"/>
      <c r="G558" s="223"/>
      <c r="H558" s="223"/>
      <c r="I558" s="223"/>
      <c r="J558" s="223"/>
      <c r="K558" s="223"/>
      <c r="L558" s="223"/>
      <c r="M558" s="532"/>
      <c r="N558" s="532"/>
      <c r="O558" s="532"/>
      <c r="P558" s="223"/>
      <c r="Q558" s="223"/>
      <c r="R558" s="223"/>
      <c r="S558" s="223"/>
      <c r="T558" s="223"/>
      <c r="U558" s="532"/>
      <c r="V558" s="532"/>
      <c r="W558" s="223"/>
      <c r="X558" s="532"/>
      <c r="Y558" s="223"/>
      <c r="Z558" s="223"/>
      <c r="AA558" s="223"/>
      <c r="AB558" s="223"/>
      <c r="AC558" s="223"/>
      <c r="AD558" s="223"/>
    </row>
    <row r="559" ht="15.75" customHeight="1">
      <c r="A559" s="532"/>
      <c r="B559" s="221"/>
      <c r="C559" s="223"/>
      <c r="D559" s="223"/>
      <c r="E559" s="223"/>
      <c r="F559" s="223"/>
      <c r="G559" s="223"/>
      <c r="H559" s="223"/>
      <c r="I559" s="223"/>
      <c r="J559" s="223"/>
      <c r="K559" s="223"/>
      <c r="L559" s="223"/>
      <c r="M559" s="532"/>
      <c r="N559" s="532"/>
      <c r="O559" s="532"/>
      <c r="P559" s="223"/>
      <c r="Q559" s="223"/>
      <c r="R559" s="223"/>
      <c r="S559" s="223"/>
      <c r="T559" s="223"/>
      <c r="U559" s="532"/>
      <c r="V559" s="532"/>
      <c r="W559" s="223"/>
      <c r="X559" s="532"/>
      <c r="Y559" s="223"/>
      <c r="Z559" s="223"/>
      <c r="AA559" s="223"/>
      <c r="AB559" s="223"/>
      <c r="AC559" s="223"/>
      <c r="AD559" s="223"/>
    </row>
    <row r="560" ht="15.75" customHeight="1">
      <c r="A560" s="532"/>
      <c r="B560" s="221"/>
      <c r="C560" s="223"/>
      <c r="D560" s="223"/>
      <c r="E560" s="223"/>
      <c r="F560" s="223"/>
      <c r="G560" s="223"/>
      <c r="H560" s="223"/>
      <c r="I560" s="223"/>
      <c r="J560" s="223"/>
      <c r="K560" s="223"/>
      <c r="L560" s="223"/>
      <c r="M560" s="532"/>
      <c r="N560" s="532"/>
      <c r="O560" s="532"/>
      <c r="P560" s="223"/>
      <c r="Q560" s="223"/>
      <c r="R560" s="223"/>
      <c r="S560" s="223"/>
      <c r="T560" s="223"/>
      <c r="U560" s="532"/>
      <c r="V560" s="532"/>
      <c r="W560" s="223"/>
      <c r="X560" s="532"/>
      <c r="Y560" s="223"/>
      <c r="Z560" s="223"/>
      <c r="AA560" s="223"/>
      <c r="AB560" s="223"/>
      <c r="AC560" s="223"/>
      <c r="AD560" s="223"/>
    </row>
    <row r="561" ht="15.75" customHeight="1">
      <c r="A561" s="532"/>
      <c r="B561" s="221"/>
      <c r="C561" s="223"/>
      <c r="D561" s="223"/>
      <c r="E561" s="223"/>
      <c r="F561" s="223"/>
      <c r="G561" s="223"/>
      <c r="H561" s="223"/>
      <c r="I561" s="223"/>
      <c r="J561" s="223"/>
      <c r="K561" s="223"/>
      <c r="L561" s="223"/>
      <c r="M561" s="532"/>
      <c r="N561" s="532"/>
      <c r="O561" s="532"/>
      <c r="P561" s="223"/>
      <c r="Q561" s="223"/>
      <c r="R561" s="223"/>
      <c r="S561" s="223"/>
      <c r="T561" s="223"/>
      <c r="U561" s="532"/>
      <c r="V561" s="532"/>
      <c r="W561" s="223"/>
      <c r="X561" s="532"/>
      <c r="Y561" s="223"/>
      <c r="Z561" s="223"/>
      <c r="AA561" s="223"/>
      <c r="AB561" s="223"/>
      <c r="AC561" s="223"/>
      <c r="AD561" s="223"/>
    </row>
    <row r="562" ht="15.75" customHeight="1">
      <c r="A562" s="532"/>
      <c r="B562" s="221"/>
      <c r="C562" s="223"/>
      <c r="D562" s="223"/>
      <c r="E562" s="223"/>
      <c r="F562" s="223"/>
      <c r="G562" s="223"/>
      <c r="H562" s="223"/>
      <c r="I562" s="223"/>
      <c r="J562" s="223"/>
      <c r="K562" s="223"/>
      <c r="L562" s="223"/>
      <c r="M562" s="532"/>
      <c r="N562" s="532"/>
      <c r="O562" s="532"/>
      <c r="P562" s="223"/>
      <c r="Q562" s="223"/>
      <c r="R562" s="223"/>
      <c r="S562" s="223"/>
      <c r="T562" s="223"/>
      <c r="U562" s="532"/>
      <c r="V562" s="532"/>
      <c r="W562" s="223"/>
      <c r="X562" s="532"/>
      <c r="Y562" s="223"/>
      <c r="Z562" s="223"/>
      <c r="AA562" s="223"/>
      <c r="AB562" s="223"/>
      <c r="AC562" s="223"/>
      <c r="AD562" s="223"/>
    </row>
    <row r="563" ht="15.75" customHeight="1">
      <c r="A563" s="532"/>
      <c r="B563" s="221"/>
      <c r="C563" s="223"/>
      <c r="D563" s="223"/>
      <c r="E563" s="223"/>
      <c r="F563" s="223"/>
      <c r="G563" s="223"/>
      <c r="H563" s="223"/>
      <c r="I563" s="223"/>
      <c r="J563" s="223"/>
      <c r="K563" s="223"/>
      <c r="L563" s="223"/>
      <c r="M563" s="532"/>
      <c r="N563" s="532"/>
      <c r="O563" s="532"/>
      <c r="P563" s="223"/>
      <c r="Q563" s="223"/>
      <c r="R563" s="223"/>
      <c r="S563" s="223"/>
      <c r="T563" s="223"/>
      <c r="U563" s="532"/>
      <c r="V563" s="532"/>
      <c r="W563" s="223"/>
      <c r="X563" s="532"/>
      <c r="Y563" s="223"/>
      <c r="Z563" s="223"/>
      <c r="AA563" s="223"/>
      <c r="AB563" s="223"/>
      <c r="AC563" s="223"/>
      <c r="AD563" s="223"/>
    </row>
    <row r="564" ht="15.75" customHeight="1">
      <c r="A564" s="532"/>
      <c r="B564" s="221"/>
      <c r="C564" s="223"/>
      <c r="D564" s="223"/>
      <c r="E564" s="223"/>
      <c r="F564" s="223"/>
      <c r="G564" s="223"/>
      <c r="H564" s="223"/>
      <c r="I564" s="223"/>
      <c r="J564" s="223"/>
      <c r="K564" s="223"/>
      <c r="L564" s="223"/>
      <c r="M564" s="532"/>
      <c r="N564" s="532"/>
      <c r="O564" s="532"/>
      <c r="P564" s="223"/>
      <c r="Q564" s="223"/>
      <c r="R564" s="223"/>
      <c r="S564" s="223"/>
      <c r="T564" s="223"/>
      <c r="U564" s="532"/>
      <c r="V564" s="532"/>
      <c r="W564" s="223"/>
      <c r="X564" s="532"/>
      <c r="Y564" s="223"/>
      <c r="Z564" s="223"/>
      <c r="AA564" s="223"/>
      <c r="AB564" s="223"/>
      <c r="AC564" s="223"/>
      <c r="AD564" s="223"/>
    </row>
    <row r="565" ht="15.75" customHeight="1">
      <c r="A565" s="532"/>
      <c r="B565" s="221"/>
      <c r="C565" s="223"/>
      <c r="D565" s="223"/>
      <c r="E565" s="223"/>
      <c r="F565" s="223"/>
      <c r="G565" s="223"/>
      <c r="H565" s="223"/>
      <c r="I565" s="223"/>
      <c r="J565" s="223"/>
      <c r="K565" s="223"/>
      <c r="L565" s="223"/>
      <c r="M565" s="532"/>
      <c r="N565" s="532"/>
      <c r="O565" s="532"/>
      <c r="P565" s="223"/>
      <c r="Q565" s="223"/>
      <c r="R565" s="223"/>
      <c r="S565" s="223"/>
      <c r="T565" s="223"/>
      <c r="U565" s="532"/>
      <c r="V565" s="532"/>
      <c r="W565" s="223"/>
      <c r="X565" s="532"/>
      <c r="Y565" s="223"/>
      <c r="Z565" s="223"/>
      <c r="AA565" s="223"/>
      <c r="AB565" s="223"/>
      <c r="AC565" s="223"/>
      <c r="AD565" s="223"/>
    </row>
    <row r="566" ht="15.75" customHeight="1">
      <c r="A566" s="532"/>
      <c r="B566" s="221"/>
      <c r="C566" s="223"/>
      <c r="D566" s="223"/>
      <c r="E566" s="223"/>
      <c r="F566" s="223"/>
      <c r="G566" s="223"/>
      <c r="H566" s="223"/>
      <c r="I566" s="223"/>
      <c r="J566" s="223"/>
      <c r="K566" s="223"/>
      <c r="L566" s="223"/>
      <c r="M566" s="532"/>
      <c r="N566" s="532"/>
      <c r="O566" s="532"/>
      <c r="P566" s="223"/>
      <c r="Q566" s="223"/>
      <c r="R566" s="223"/>
      <c r="S566" s="223"/>
      <c r="T566" s="223"/>
      <c r="U566" s="532"/>
      <c r="V566" s="532"/>
      <c r="W566" s="223"/>
      <c r="X566" s="532"/>
      <c r="Y566" s="223"/>
      <c r="Z566" s="223"/>
      <c r="AA566" s="223"/>
      <c r="AB566" s="223"/>
      <c r="AC566" s="223"/>
      <c r="AD566" s="223"/>
    </row>
    <row r="567" ht="15.75" customHeight="1">
      <c r="A567" s="532"/>
      <c r="B567" s="221"/>
      <c r="C567" s="223"/>
      <c r="D567" s="223"/>
      <c r="E567" s="223"/>
      <c r="F567" s="223"/>
      <c r="G567" s="223"/>
      <c r="H567" s="223"/>
      <c r="I567" s="223"/>
      <c r="J567" s="223"/>
      <c r="K567" s="223"/>
      <c r="L567" s="223"/>
      <c r="M567" s="532"/>
      <c r="N567" s="532"/>
      <c r="O567" s="532"/>
      <c r="P567" s="223"/>
      <c r="Q567" s="223"/>
      <c r="R567" s="223"/>
      <c r="S567" s="223"/>
      <c r="T567" s="223"/>
      <c r="U567" s="532"/>
      <c r="V567" s="532"/>
      <c r="W567" s="223"/>
      <c r="X567" s="532"/>
      <c r="Y567" s="223"/>
      <c r="Z567" s="223"/>
      <c r="AA567" s="223"/>
      <c r="AB567" s="223"/>
      <c r="AC567" s="223"/>
      <c r="AD567" s="223"/>
    </row>
    <row r="568" ht="15.75" customHeight="1">
      <c r="A568" s="532"/>
      <c r="B568" s="221"/>
      <c r="C568" s="223"/>
      <c r="D568" s="223"/>
      <c r="E568" s="223"/>
      <c r="F568" s="223"/>
      <c r="G568" s="223"/>
      <c r="H568" s="223"/>
      <c r="I568" s="223"/>
      <c r="J568" s="223"/>
      <c r="K568" s="223"/>
      <c r="L568" s="223"/>
      <c r="M568" s="532"/>
      <c r="N568" s="532"/>
      <c r="O568" s="532"/>
      <c r="P568" s="223"/>
      <c r="Q568" s="223"/>
      <c r="R568" s="223"/>
      <c r="S568" s="223"/>
      <c r="T568" s="223"/>
      <c r="U568" s="532"/>
      <c r="V568" s="532"/>
      <c r="W568" s="223"/>
      <c r="X568" s="532"/>
      <c r="Y568" s="223"/>
      <c r="Z568" s="223"/>
      <c r="AA568" s="223"/>
      <c r="AB568" s="223"/>
      <c r="AC568" s="223"/>
      <c r="AD568" s="223"/>
    </row>
    <row r="569" ht="15.75" customHeight="1">
      <c r="A569" s="532"/>
      <c r="B569" s="221"/>
      <c r="C569" s="223"/>
      <c r="D569" s="223"/>
      <c r="E569" s="223"/>
      <c r="F569" s="223"/>
      <c r="G569" s="223"/>
      <c r="H569" s="223"/>
      <c r="I569" s="223"/>
      <c r="J569" s="223"/>
      <c r="K569" s="223"/>
      <c r="L569" s="223"/>
      <c r="M569" s="532"/>
      <c r="N569" s="532"/>
      <c r="O569" s="532"/>
      <c r="P569" s="223"/>
      <c r="Q569" s="223"/>
      <c r="R569" s="223"/>
      <c r="S569" s="223"/>
      <c r="T569" s="223"/>
      <c r="U569" s="532"/>
      <c r="V569" s="532"/>
      <c r="W569" s="223"/>
      <c r="X569" s="532"/>
      <c r="Y569" s="223"/>
      <c r="Z569" s="223"/>
      <c r="AA569" s="223"/>
      <c r="AB569" s="223"/>
      <c r="AC569" s="223"/>
      <c r="AD569" s="223"/>
    </row>
    <row r="570" ht="15.75" customHeight="1">
      <c r="A570" s="532"/>
      <c r="B570" s="221"/>
      <c r="C570" s="223"/>
      <c r="D570" s="223"/>
      <c r="E570" s="223"/>
      <c r="F570" s="223"/>
      <c r="G570" s="223"/>
      <c r="H570" s="223"/>
      <c r="I570" s="223"/>
      <c r="J570" s="223"/>
      <c r="K570" s="223"/>
      <c r="L570" s="223"/>
      <c r="M570" s="532"/>
      <c r="N570" s="532"/>
      <c r="O570" s="532"/>
      <c r="P570" s="223"/>
      <c r="Q570" s="223"/>
      <c r="R570" s="223"/>
      <c r="S570" s="223"/>
      <c r="T570" s="223"/>
      <c r="U570" s="532"/>
      <c r="V570" s="532"/>
      <c r="W570" s="223"/>
      <c r="X570" s="532"/>
      <c r="Y570" s="223"/>
      <c r="Z570" s="223"/>
      <c r="AA570" s="223"/>
      <c r="AB570" s="223"/>
      <c r="AC570" s="223"/>
      <c r="AD570" s="223"/>
    </row>
    <row r="571" ht="15.75" customHeight="1">
      <c r="A571" s="532"/>
      <c r="B571" s="221"/>
      <c r="C571" s="223"/>
      <c r="D571" s="223"/>
      <c r="E571" s="223"/>
      <c r="F571" s="223"/>
      <c r="G571" s="223"/>
      <c r="H571" s="223"/>
      <c r="I571" s="223"/>
      <c r="J571" s="223"/>
      <c r="K571" s="223"/>
      <c r="L571" s="223"/>
      <c r="M571" s="532"/>
      <c r="N571" s="532"/>
      <c r="O571" s="532"/>
      <c r="P571" s="223"/>
      <c r="Q571" s="223"/>
      <c r="R571" s="223"/>
      <c r="S571" s="223"/>
      <c r="T571" s="223"/>
      <c r="U571" s="532"/>
      <c r="V571" s="532"/>
      <c r="W571" s="223"/>
      <c r="X571" s="532"/>
      <c r="Y571" s="223"/>
      <c r="Z571" s="223"/>
      <c r="AA571" s="223"/>
      <c r="AB571" s="223"/>
      <c r="AC571" s="223"/>
      <c r="AD571" s="223"/>
    </row>
    <row r="572" ht="15.75" customHeight="1">
      <c r="A572" s="532"/>
      <c r="B572" s="221"/>
      <c r="C572" s="223"/>
      <c r="D572" s="223"/>
      <c r="E572" s="223"/>
      <c r="F572" s="223"/>
      <c r="G572" s="223"/>
      <c r="H572" s="223"/>
      <c r="I572" s="223"/>
      <c r="J572" s="223"/>
      <c r="K572" s="223"/>
      <c r="L572" s="223"/>
      <c r="M572" s="532"/>
      <c r="N572" s="532"/>
      <c r="O572" s="532"/>
      <c r="P572" s="223"/>
      <c r="Q572" s="223"/>
      <c r="R572" s="223"/>
      <c r="S572" s="223"/>
      <c r="T572" s="223"/>
      <c r="U572" s="532"/>
      <c r="V572" s="532"/>
      <c r="W572" s="223"/>
      <c r="X572" s="532"/>
      <c r="Y572" s="223"/>
      <c r="Z572" s="223"/>
      <c r="AA572" s="223"/>
      <c r="AB572" s="223"/>
      <c r="AC572" s="223"/>
      <c r="AD572" s="223"/>
    </row>
    <row r="573" ht="15.75" customHeight="1">
      <c r="A573" s="532"/>
      <c r="B573" s="221"/>
      <c r="C573" s="223"/>
      <c r="D573" s="223"/>
      <c r="E573" s="223"/>
      <c r="F573" s="223"/>
      <c r="G573" s="223"/>
      <c r="H573" s="223"/>
      <c r="I573" s="223"/>
      <c r="J573" s="223"/>
      <c r="K573" s="223"/>
      <c r="L573" s="223"/>
      <c r="M573" s="532"/>
      <c r="N573" s="532"/>
      <c r="O573" s="532"/>
      <c r="P573" s="223"/>
      <c r="Q573" s="223"/>
      <c r="R573" s="223"/>
      <c r="S573" s="223"/>
      <c r="T573" s="223"/>
      <c r="U573" s="532"/>
      <c r="V573" s="532"/>
      <c r="W573" s="223"/>
      <c r="X573" s="532"/>
      <c r="Y573" s="223"/>
      <c r="Z573" s="223"/>
      <c r="AA573" s="223"/>
      <c r="AB573" s="223"/>
      <c r="AC573" s="223"/>
      <c r="AD573" s="223"/>
    </row>
    <row r="574" ht="15.75" customHeight="1">
      <c r="A574" s="532"/>
      <c r="B574" s="221"/>
      <c r="C574" s="223"/>
      <c r="D574" s="223"/>
      <c r="E574" s="223"/>
      <c r="F574" s="223"/>
      <c r="G574" s="223"/>
      <c r="H574" s="223"/>
      <c r="I574" s="223"/>
      <c r="J574" s="223"/>
      <c r="K574" s="223"/>
      <c r="L574" s="223"/>
      <c r="M574" s="532"/>
      <c r="N574" s="532"/>
      <c r="O574" s="532"/>
      <c r="P574" s="223"/>
      <c r="Q574" s="223"/>
      <c r="R574" s="223"/>
      <c r="S574" s="223"/>
      <c r="T574" s="223"/>
      <c r="U574" s="532"/>
      <c r="V574" s="532"/>
      <c r="W574" s="223"/>
      <c r="X574" s="532"/>
      <c r="Y574" s="223"/>
      <c r="Z574" s="223"/>
      <c r="AA574" s="223"/>
      <c r="AB574" s="223"/>
      <c r="AC574" s="223"/>
      <c r="AD574" s="223"/>
    </row>
    <row r="575" ht="15.75" customHeight="1">
      <c r="A575" s="532"/>
      <c r="B575" s="221"/>
      <c r="C575" s="223"/>
      <c r="D575" s="223"/>
      <c r="E575" s="223"/>
      <c r="F575" s="223"/>
      <c r="G575" s="223"/>
      <c r="H575" s="223"/>
      <c r="I575" s="223"/>
      <c r="J575" s="223"/>
      <c r="K575" s="223"/>
      <c r="L575" s="223"/>
      <c r="M575" s="532"/>
      <c r="N575" s="532"/>
      <c r="O575" s="532"/>
      <c r="P575" s="223"/>
      <c r="Q575" s="223"/>
      <c r="R575" s="223"/>
      <c r="S575" s="223"/>
      <c r="T575" s="223"/>
      <c r="U575" s="532"/>
      <c r="V575" s="532"/>
      <c r="W575" s="223"/>
      <c r="X575" s="532"/>
      <c r="Y575" s="223"/>
      <c r="Z575" s="223"/>
      <c r="AA575" s="223"/>
      <c r="AB575" s="223"/>
      <c r="AC575" s="223"/>
      <c r="AD575" s="223"/>
    </row>
    <row r="576" ht="15.75" customHeight="1">
      <c r="A576" s="532"/>
      <c r="B576" s="221"/>
      <c r="C576" s="223"/>
      <c r="D576" s="223"/>
      <c r="E576" s="223"/>
      <c r="F576" s="223"/>
      <c r="G576" s="223"/>
      <c r="H576" s="223"/>
      <c r="I576" s="223"/>
      <c r="J576" s="223"/>
      <c r="K576" s="223"/>
      <c r="L576" s="223"/>
      <c r="M576" s="532"/>
      <c r="N576" s="532"/>
      <c r="O576" s="532"/>
      <c r="P576" s="223"/>
      <c r="Q576" s="223"/>
      <c r="R576" s="223"/>
      <c r="S576" s="223"/>
      <c r="T576" s="223"/>
      <c r="U576" s="532"/>
      <c r="V576" s="532"/>
      <c r="W576" s="223"/>
      <c r="X576" s="532"/>
      <c r="Y576" s="223"/>
      <c r="Z576" s="223"/>
      <c r="AA576" s="223"/>
      <c r="AB576" s="223"/>
      <c r="AC576" s="223"/>
      <c r="AD576" s="223"/>
    </row>
    <row r="577" ht="15.75" customHeight="1">
      <c r="A577" s="532"/>
      <c r="B577" s="221"/>
      <c r="C577" s="223"/>
      <c r="D577" s="223"/>
      <c r="E577" s="223"/>
      <c r="F577" s="223"/>
      <c r="G577" s="223"/>
      <c r="H577" s="223"/>
      <c r="I577" s="223"/>
      <c r="J577" s="223"/>
      <c r="K577" s="223"/>
      <c r="L577" s="223"/>
      <c r="M577" s="532"/>
      <c r="N577" s="532"/>
      <c r="O577" s="532"/>
      <c r="P577" s="223"/>
      <c r="Q577" s="223"/>
      <c r="R577" s="223"/>
      <c r="S577" s="223"/>
      <c r="T577" s="223"/>
      <c r="U577" s="532"/>
      <c r="V577" s="532"/>
      <c r="W577" s="223"/>
      <c r="X577" s="532"/>
      <c r="Y577" s="223"/>
      <c r="Z577" s="223"/>
      <c r="AA577" s="223"/>
      <c r="AB577" s="223"/>
      <c r="AC577" s="223"/>
      <c r="AD577" s="223"/>
    </row>
    <row r="578" ht="15.75" customHeight="1">
      <c r="A578" s="532"/>
      <c r="B578" s="221"/>
      <c r="C578" s="223"/>
      <c r="D578" s="223"/>
      <c r="E578" s="223"/>
      <c r="F578" s="223"/>
      <c r="G578" s="223"/>
      <c r="H578" s="223"/>
      <c r="I578" s="223"/>
      <c r="J578" s="223"/>
      <c r="K578" s="223"/>
      <c r="L578" s="223"/>
      <c r="M578" s="532"/>
      <c r="N578" s="532"/>
      <c r="O578" s="532"/>
      <c r="P578" s="223"/>
      <c r="Q578" s="223"/>
      <c r="R578" s="223"/>
      <c r="S578" s="223"/>
      <c r="T578" s="223"/>
      <c r="U578" s="532"/>
      <c r="V578" s="532"/>
      <c r="W578" s="223"/>
      <c r="X578" s="532"/>
      <c r="Y578" s="223"/>
      <c r="Z578" s="223"/>
      <c r="AA578" s="223"/>
      <c r="AB578" s="223"/>
      <c r="AC578" s="223"/>
      <c r="AD578" s="223"/>
    </row>
    <row r="579" ht="15.75" customHeight="1">
      <c r="A579" s="532"/>
      <c r="B579" s="221"/>
      <c r="C579" s="223"/>
      <c r="D579" s="223"/>
      <c r="E579" s="223"/>
      <c r="F579" s="223"/>
      <c r="G579" s="223"/>
      <c r="H579" s="223"/>
      <c r="I579" s="223"/>
      <c r="J579" s="223"/>
      <c r="K579" s="223"/>
      <c r="L579" s="223"/>
      <c r="M579" s="532"/>
      <c r="N579" s="532"/>
      <c r="O579" s="532"/>
      <c r="P579" s="223"/>
      <c r="Q579" s="223"/>
      <c r="R579" s="223"/>
      <c r="S579" s="223"/>
      <c r="T579" s="223"/>
      <c r="U579" s="532"/>
      <c r="V579" s="532"/>
      <c r="W579" s="223"/>
      <c r="X579" s="532"/>
      <c r="Y579" s="223"/>
      <c r="Z579" s="223"/>
      <c r="AA579" s="223"/>
      <c r="AB579" s="223"/>
      <c r="AC579" s="223"/>
      <c r="AD579" s="223"/>
    </row>
    <row r="580" ht="15.75" customHeight="1">
      <c r="A580" s="532"/>
      <c r="B580" s="221"/>
      <c r="C580" s="223"/>
      <c r="D580" s="223"/>
      <c r="E580" s="223"/>
      <c r="F580" s="223"/>
      <c r="G580" s="223"/>
      <c r="H580" s="223"/>
      <c r="I580" s="223"/>
      <c r="J580" s="223"/>
      <c r="K580" s="223"/>
      <c r="L580" s="223"/>
      <c r="M580" s="532"/>
      <c r="N580" s="532"/>
      <c r="O580" s="532"/>
      <c r="P580" s="223"/>
      <c r="Q580" s="223"/>
      <c r="R580" s="223"/>
      <c r="S580" s="223"/>
      <c r="T580" s="223"/>
      <c r="U580" s="532"/>
      <c r="V580" s="532"/>
      <c r="W580" s="223"/>
      <c r="X580" s="532"/>
      <c r="Y580" s="223"/>
      <c r="Z580" s="223"/>
      <c r="AA580" s="223"/>
      <c r="AB580" s="223"/>
      <c r="AC580" s="223"/>
      <c r="AD580" s="223"/>
    </row>
    <row r="581" ht="15.75" customHeight="1">
      <c r="A581" s="532"/>
      <c r="B581" s="221"/>
      <c r="C581" s="223"/>
      <c r="D581" s="223"/>
      <c r="E581" s="223"/>
      <c r="F581" s="223"/>
      <c r="G581" s="223"/>
      <c r="H581" s="223"/>
      <c r="I581" s="223"/>
      <c r="J581" s="223"/>
      <c r="K581" s="223"/>
      <c r="L581" s="223"/>
      <c r="M581" s="532"/>
      <c r="N581" s="532"/>
      <c r="O581" s="532"/>
      <c r="P581" s="223"/>
      <c r="Q581" s="223"/>
      <c r="R581" s="223"/>
      <c r="S581" s="223"/>
      <c r="T581" s="223"/>
      <c r="U581" s="532"/>
      <c r="V581" s="532"/>
      <c r="W581" s="223"/>
      <c r="X581" s="532"/>
      <c r="Y581" s="223"/>
      <c r="Z581" s="223"/>
      <c r="AA581" s="223"/>
      <c r="AB581" s="223"/>
      <c r="AC581" s="223"/>
      <c r="AD581" s="223"/>
    </row>
    <row r="582" ht="15.75" customHeight="1">
      <c r="A582" s="532"/>
      <c r="B582" s="221"/>
      <c r="C582" s="223"/>
      <c r="D582" s="223"/>
      <c r="E582" s="223"/>
      <c r="F582" s="223"/>
      <c r="G582" s="223"/>
      <c r="H582" s="223"/>
      <c r="I582" s="223"/>
      <c r="J582" s="223"/>
      <c r="K582" s="223"/>
      <c r="L582" s="223"/>
      <c r="M582" s="532"/>
      <c r="N582" s="532"/>
      <c r="O582" s="532"/>
      <c r="P582" s="223"/>
      <c r="Q582" s="223"/>
      <c r="R582" s="223"/>
      <c r="S582" s="223"/>
      <c r="T582" s="223"/>
      <c r="U582" s="532"/>
      <c r="V582" s="532"/>
      <c r="W582" s="223"/>
      <c r="X582" s="532"/>
      <c r="Y582" s="223"/>
      <c r="Z582" s="223"/>
      <c r="AA582" s="223"/>
      <c r="AB582" s="223"/>
      <c r="AC582" s="223"/>
      <c r="AD582" s="223"/>
    </row>
    <row r="583" ht="15.75" customHeight="1">
      <c r="A583" s="532"/>
      <c r="B583" s="221"/>
      <c r="C583" s="223"/>
      <c r="D583" s="223"/>
      <c r="E583" s="223"/>
      <c r="F583" s="223"/>
      <c r="G583" s="223"/>
      <c r="H583" s="223"/>
      <c r="I583" s="223"/>
      <c r="J583" s="223"/>
      <c r="K583" s="223"/>
      <c r="L583" s="223"/>
      <c r="M583" s="532"/>
      <c r="N583" s="532"/>
      <c r="O583" s="532"/>
      <c r="P583" s="223"/>
      <c r="Q583" s="223"/>
      <c r="R583" s="223"/>
      <c r="S583" s="223"/>
      <c r="T583" s="223"/>
      <c r="U583" s="532"/>
      <c r="V583" s="532"/>
      <c r="W583" s="223"/>
      <c r="X583" s="532"/>
      <c r="Y583" s="223"/>
      <c r="Z583" s="223"/>
      <c r="AA583" s="223"/>
      <c r="AB583" s="223"/>
      <c r="AC583" s="223"/>
      <c r="AD583" s="223"/>
    </row>
    <row r="584" ht="15.75" customHeight="1">
      <c r="A584" s="532"/>
      <c r="B584" s="221"/>
      <c r="C584" s="223"/>
      <c r="D584" s="223"/>
      <c r="E584" s="223"/>
      <c r="F584" s="223"/>
      <c r="G584" s="223"/>
      <c r="H584" s="223"/>
      <c r="I584" s="223"/>
      <c r="J584" s="223"/>
      <c r="K584" s="223"/>
      <c r="L584" s="223"/>
      <c r="M584" s="532"/>
      <c r="N584" s="532"/>
      <c r="O584" s="532"/>
      <c r="P584" s="223"/>
      <c r="Q584" s="223"/>
      <c r="R584" s="223"/>
      <c r="S584" s="223"/>
      <c r="T584" s="223"/>
      <c r="U584" s="532"/>
      <c r="V584" s="532"/>
      <c r="W584" s="223"/>
      <c r="X584" s="532"/>
      <c r="Y584" s="223"/>
      <c r="Z584" s="223"/>
      <c r="AA584" s="223"/>
      <c r="AB584" s="223"/>
      <c r="AC584" s="223"/>
      <c r="AD584" s="223"/>
    </row>
    <row r="585" ht="15.75" customHeight="1">
      <c r="A585" s="532"/>
      <c r="B585" s="221"/>
      <c r="C585" s="223"/>
      <c r="D585" s="223"/>
      <c r="E585" s="223"/>
      <c r="F585" s="223"/>
      <c r="G585" s="223"/>
      <c r="H585" s="223"/>
      <c r="I585" s="223"/>
      <c r="J585" s="223"/>
      <c r="K585" s="223"/>
      <c r="L585" s="223"/>
      <c r="M585" s="532"/>
      <c r="N585" s="532"/>
      <c r="O585" s="532"/>
      <c r="P585" s="223"/>
      <c r="Q585" s="223"/>
      <c r="R585" s="223"/>
      <c r="S585" s="223"/>
      <c r="T585" s="223"/>
      <c r="U585" s="532"/>
      <c r="V585" s="532"/>
      <c r="W585" s="223"/>
      <c r="X585" s="532"/>
      <c r="Y585" s="223"/>
      <c r="Z585" s="223"/>
      <c r="AA585" s="223"/>
      <c r="AB585" s="223"/>
      <c r="AC585" s="223"/>
      <c r="AD585" s="223"/>
    </row>
    <row r="586" ht="15.75" customHeight="1">
      <c r="A586" s="532"/>
      <c r="B586" s="221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532"/>
      <c r="N586" s="532"/>
      <c r="O586" s="532"/>
      <c r="P586" s="223"/>
      <c r="Q586" s="223"/>
      <c r="R586" s="223"/>
      <c r="S586" s="223"/>
      <c r="T586" s="223"/>
      <c r="U586" s="532"/>
      <c r="V586" s="532"/>
      <c r="W586" s="223"/>
      <c r="X586" s="532"/>
      <c r="Y586" s="223"/>
      <c r="Z586" s="223"/>
      <c r="AA586" s="223"/>
      <c r="AB586" s="223"/>
      <c r="AC586" s="223"/>
      <c r="AD586" s="223"/>
    </row>
    <row r="587" ht="15.75" customHeight="1">
      <c r="A587" s="532"/>
      <c r="B587" s="221"/>
      <c r="C587" s="223"/>
      <c r="D587" s="223"/>
      <c r="E587" s="223"/>
      <c r="F587" s="223"/>
      <c r="G587" s="223"/>
      <c r="H587" s="223"/>
      <c r="I587" s="223"/>
      <c r="J587" s="223"/>
      <c r="K587" s="223"/>
      <c r="L587" s="223"/>
      <c r="M587" s="532"/>
      <c r="N587" s="532"/>
      <c r="O587" s="532"/>
      <c r="P587" s="223"/>
      <c r="Q587" s="223"/>
      <c r="R587" s="223"/>
      <c r="S587" s="223"/>
      <c r="T587" s="223"/>
      <c r="U587" s="532"/>
      <c r="V587" s="532"/>
      <c r="W587" s="223"/>
      <c r="X587" s="532"/>
      <c r="Y587" s="223"/>
      <c r="Z587" s="223"/>
      <c r="AA587" s="223"/>
      <c r="AB587" s="223"/>
      <c r="AC587" s="223"/>
      <c r="AD587" s="223"/>
    </row>
    <row r="588" ht="15.75" customHeight="1">
      <c r="A588" s="532"/>
      <c r="B588" s="221"/>
      <c r="C588" s="223"/>
      <c r="D588" s="223"/>
      <c r="E588" s="223"/>
      <c r="F588" s="223"/>
      <c r="G588" s="223"/>
      <c r="H588" s="223"/>
      <c r="I588" s="223"/>
      <c r="J588" s="223"/>
      <c r="K588" s="223"/>
      <c r="L588" s="223"/>
      <c r="M588" s="532"/>
      <c r="N588" s="532"/>
      <c r="O588" s="532"/>
      <c r="P588" s="223"/>
      <c r="Q588" s="223"/>
      <c r="R588" s="223"/>
      <c r="S588" s="223"/>
      <c r="T588" s="223"/>
      <c r="U588" s="532"/>
      <c r="V588" s="532"/>
      <c r="W588" s="223"/>
      <c r="X588" s="532"/>
      <c r="Y588" s="223"/>
      <c r="Z588" s="223"/>
      <c r="AA588" s="223"/>
      <c r="AB588" s="223"/>
      <c r="AC588" s="223"/>
      <c r="AD588" s="223"/>
    </row>
    <row r="589" ht="15.75" customHeight="1">
      <c r="A589" s="532"/>
      <c r="B589" s="221"/>
      <c r="C589" s="223"/>
      <c r="D589" s="223"/>
      <c r="E589" s="223"/>
      <c r="F589" s="223"/>
      <c r="G589" s="223"/>
      <c r="H589" s="223"/>
      <c r="I589" s="223"/>
      <c r="J589" s="223"/>
      <c r="K589" s="223"/>
      <c r="L589" s="223"/>
      <c r="M589" s="532"/>
      <c r="N589" s="532"/>
      <c r="O589" s="532"/>
      <c r="P589" s="223"/>
      <c r="Q589" s="223"/>
      <c r="R589" s="223"/>
      <c r="S589" s="223"/>
      <c r="T589" s="223"/>
      <c r="U589" s="532"/>
      <c r="V589" s="532"/>
      <c r="W589" s="223"/>
      <c r="X589" s="532"/>
      <c r="Y589" s="223"/>
      <c r="Z589" s="223"/>
      <c r="AA589" s="223"/>
      <c r="AB589" s="223"/>
      <c r="AC589" s="223"/>
      <c r="AD589" s="223"/>
    </row>
    <row r="590" ht="15.75" customHeight="1">
      <c r="A590" s="532"/>
      <c r="B590" s="221"/>
      <c r="C590" s="223"/>
      <c r="D590" s="223"/>
      <c r="E590" s="223"/>
      <c r="F590" s="223"/>
      <c r="G590" s="223"/>
      <c r="H590" s="223"/>
      <c r="I590" s="223"/>
      <c r="J590" s="223"/>
      <c r="K590" s="223"/>
      <c r="L590" s="223"/>
      <c r="M590" s="532"/>
      <c r="N590" s="532"/>
      <c r="O590" s="532"/>
      <c r="P590" s="223"/>
      <c r="Q590" s="223"/>
      <c r="R590" s="223"/>
      <c r="S590" s="223"/>
      <c r="T590" s="223"/>
      <c r="U590" s="532"/>
      <c r="V590" s="532"/>
      <c r="W590" s="223"/>
      <c r="X590" s="532"/>
      <c r="Y590" s="223"/>
      <c r="Z590" s="223"/>
      <c r="AA590" s="223"/>
      <c r="AB590" s="223"/>
      <c r="AC590" s="223"/>
      <c r="AD590" s="223"/>
    </row>
    <row r="591" ht="15.75" customHeight="1">
      <c r="A591" s="532"/>
      <c r="B591" s="221"/>
      <c r="C591" s="223"/>
      <c r="D591" s="223"/>
      <c r="E591" s="223"/>
      <c r="F591" s="223"/>
      <c r="G591" s="223"/>
      <c r="H591" s="223"/>
      <c r="I591" s="223"/>
      <c r="J591" s="223"/>
      <c r="K591" s="223"/>
      <c r="L591" s="223"/>
      <c r="M591" s="532"/>
      <c r="N591" s="532"/>
      <c r="O591" s="532"/>
      <c r="P591" s="223"/>
      <c r="Q591" s="223"/>
      <c r="R591" s="223"/>
      <c r="S591" s="223"/>
      <c r="T591" s="223"/>
      <c r="U591" s="532"/>
      <c r="V591" s="532"/>
      <c r="W591" s="223"/>
      <c r="X591" s="532"/>
      <c r="Y591" s="223"/>
      <c r="Z591" s="223"/>
      <c r="AA591" s="223"/>
      <c r="AB591" s="223"/>
      <c r="AC591" s="223"/>
      <c r="AD591" s="223"/>
    </row>
    <row r="592" ht="15.75" customHeight="1">
      <c r="A592" s="532"/>
      <c r="B592" s="221"/>
      <c r="C592" s="223"/>
      <c r="D592" s="223"/>
      <c r="E592" s="223"/>
      <c r="F592" s="223"/>
      <c r="G592" s="223"/>
      <c r="H592" s="223"/>
      <c r="I592" s="223"/>
      <c r="J592" s="223"/>
      <c r="K592" s="223"/>
      <c r="L592" s="223"/>
      <c r="M592" s="532"/>
      <c r="N592" s="532"/>
      <c r="O592" s="532"/>
      <c r="P592" s="223"/>
      <c r="Q592" s="223"/>
      <c r="R592" s="223"/>
      <c r="S592" s="223"/>
      <c r="T592" s="223"/>
      <c r="U592" s="532"/>
      <c r="V592" s="532"/>
      <c r="W592" s="223"/>
      <c r="X592" s="532"/>
      <c r="Y592" s="223"/>
      <c r="Z592" s="223"/>
      <c r="AA592" s="223"/>
      <c r="AB592" s="223"/>
      <c r="AC592" s="223"/>
      <c r="AD592" s="223"/>
    </row>
    <row r="593" ht="15.75" customHeight="1">
      <c r="A593" s="532"/>
      <c r="B593" s="221"/>
      <c r="C593" s="223"/>
      <c r="D593" s="223"/>
      <c r="E593" s="223"/>
      <c r="F593" s="223"/>
      <c r="G593" s="223"/>
      <c r="H593" s="223"/>
      <c r="I593" s="223"/>
      <c r="J593" s="223"/>
      <c r="K593" s="223"/>
      <c r="L593" s="223"/>
      <c r="M593" s="532"/>
      <c r="N593" s="532"/>
      <c r="O593" s="532"/>
      <c r="P593" s="223"/>
      <c r="Q593" s="223"/>
      <c r="R593" s="223"/>
      <c r="S593" s="223"/>
      <c r="T593" s="223"/>
      <c r="U593" s="532"/>
      <c r="V593" s="532"/>
      <c r="W593" s="223"/>
      <c r="X593" s="532"/>
      <c r="Y593" s="223"/>
      <c r="Z593" s="223"/>
      <c r="AA593" s="223"/>
      <c r="AB593" s="223"/>
      <c r="AC593" s="223"/>
      <c r="AD593" s="223"/>
    </row>
    <row r="594" ht="15.75" customHeight="1">
      <c r="A594" s="532"/>
      <c r="B594" s="221"/>
      <c r="C594" s="223"/>
      <c r="D594" s="223"/>
      <c r="E594" s="223"/>
      <c r="F594" s="223"/>
      <c r="G594" s="223"/>
      <c r="H594" s="223"/>
      <c r="I594" s="223"/>
      <c r="J594" s="223"/>
      <c r="K594" s="223"/>
      <c r="L594" s="223"/>
      <c r="M594" s="532"/>
      <c r="N594" s="532"/>
      <c r="O594" s="532"/>
      <c r="P594" s="223"/>
      <c r="Q594" s="223"/>
      <c r="R594" s="223"/>
      <c r="S594" s="223"/>
      <c r="T594" s="223"/>
      <c r="U594" s="532"/>
      <c r="V594" s="532"/>
      <c r="W594" s="223"/>
      <c r="X594" s="532"/>
      <c r="Y594" s="223"/>
      <c r="Z594" s="223"/>
      <c r="AA594" s="223"/>
      <c r="AB594" s="223"/>
      <c r="AC594" s="223"/>
      <c r="AD594" s="223"/>
    </row>
    <row r="595" ht="15.75" customHeight="1">
      <c r="A595" s="532"/>
      <c r="B595" s="221"/>
      <c r="C595" s="223"/>
      <c r="D595" s="223"/>
      <c r="E595" s="223"/>
      <c r="F595" s="223"/>
      <c r="G595" s="223"/>
      <c r="H595" s="223"/>
      <c r="I595" s="223"/>
      <c r="J595" s="223"/>
      <c r="K595" s="223"/>
      <c r="L595" s="223"/>
      <c r="M595" s="532"/>
      <c r="N595" s="532"/>
      <c r="O595" s="532"/>
      <c r="P595" s="223"/>
      <c r="Q595" s="223"/>
      <c r="R595" s="223"/>
      <c r="S595" s="223"/>
      <c r="T595" s="223"/>
      <c r="U595" s="532"/>
      <c r="V595" s="532"/>
      <c r="W595" s="223"/>
      <c r="X595" s="532"/>
      <c r="Y595" s="223"/>
      <c r="Z595" s="223"/>
      <c r="AA595" s="223"/>
      <c r="AB595" s="223"/>
      <c r="AC595" s="223"/>
      <c r="AD595" s="223"/>
    </row>
    <row r="596" ht="15.75" customHeight="1">
      <c r="A596" s="532"/>
      <c r="B596" s="221"/>
      <c r="C596" s="223"/>
      <c r="D596" s="223"/>
      <c r="E596" s="223"/>
      <c r="F596" s="223"/>
      <c r="G596" s="223"/>
      <c r="H596" s="223"/>
      <c r="I596" s="223"/>
      <c r="J596" s="223"/>
      <c r="K596" s="223"/>
      <c r="L596" s="223"/>
      <c r="M596" s="532"/>
      <c r="N596" s="532"/>
      <c r="O596" s="532"/>
      <c r="P596" s="223"/>
      <c r="Q596" s="223"/>
      <c r="R596" s="223"/>
      <c r="S596" s="223"/>
      <c r="T596" s="223"/>
      <c r="U596" s="532"/>
      <c r="V596" s="532"/>
      <c r="W596" s="223"/>
      <c r="X596" s="532"/>
      <c r="Y596" s="223"/>
      <c r="Z596" s="223"/>
      <c r="AA596" s="223"/>
      <c r="AB596" s="223"/>
      <c r="AC596" s="223"/>
      <c r="AD596" s="223"/>
    </row>
    <row r="597" ht="15.75" customHeight="1">
      <c r="A597" s="532"/>
      <c r="B597" s="221"/>
      <c r="C597" s="223"/>
      <c r="D597" s="223"/>
      <c r="E597" s="223"/>
      <c r="F597" s="223"/>
      <c r="G597" s="223"/>
      <c r="H597" s="223"/>
      <c r="I597" s="223"/>
      <c r="J597" s="223"/>
      <c r="K597" s="223"/>
      <c r="L597" s="223"/>
      <c r="M597" s="532"/>
      <c r="N597" s="532"/>
      <c r="O597" s="532"/>
      <c r="P597" s="223"/>
      <c r="Q597" s="223"/>
      <c r="R597" s="223"/>
      <c r="S597" s="223"/>
      <c r="T597" s="223"/>
      <c r="U597" s="532"/>
      <c r="V597" s="532"/>
      <c r="W597" s="223"/>
      <c r="X597" s="532"/>
      <c r="Y597" s="223"/>
      <c r="Z597" s="223"/>
      <c r="AA597" s="223"/>
      <c r="AB597" s="223"/>
      <c r="AC597" s="223"/>
      <c r="AD597" s="223"/>
    </row>
    <row r="598" ht="15.75" customHeight="1">
      <c r="A598" s="532"/>
      <c r="B598" s="221"/>
      <c r="C598" s="223"/>
      <c r="D598" s="223"/>
      <c r="E598" s="223"/>
      <c r="F598" s="223"/>
      <c r="G598" s="223"/>
      <c r="H598" s="223"/>
      <c r="I598" s="223"/>
      <c r="J598" s="223"/>
      <c r="K598" s="223"/>
      <c r="L598" s="223"/>
      <c r="M598" s="532"/>
      <c r="N598" s="532"/>
      <c r="O598" s="532"/>
      <c r="P598" s="223"/>
      <c r="Q598" s="223"/>
      <c r="R598" s="223"/>
      <c r="S598" s="223"/>
      <c r="T598" s="223"/>
      <c r="U598" s="532"/>
      <c r="V598" s="532"/>
      <c r="W598" s="223"/>
      <c r="X598" s="532"/>
      <c r="Y598" s="223"/>
      <c r="Z598" s="223"/>
      <c r="AA598" s="223"/>
      <c r="AB598" s="223"/>
      <c r="AC598" s="223"/>
      <c r="AD598" s="223"/>
    </row>
    <row r="599" ht="15.75" customHeight="1">
      <c r="A599" s="532"/>
      <c r="B599" s="221"/>
      <c r="C599" s="223"/>
      <c r="D599" s="223"/>
      <c r="E599" s="223"/>
      <c r="F599" s="223"/>
      <c r="G599" s="223"/>
      <c r="H599" s="223"/>
      <c r="I599" s="223"/>
      <c r="J599" s="223"/>
      <c r="K599" s="223"/>
      <c r="L599" s="223"/>
      <c r="M599" s="532"/>
      <c r="N599" s="532"/>
      <c r="O599" s="532"/>
      <c r="P599" s="223"/>
      <c r="Q599" s="223"/>
      <c r="R599" s="223"/>
      <c r="S599" s="223"/>
      <c r="T599" s="223"/>
      <c r="U599" s="532"/>
      <c r="V599" s="532"/>
      <c r="W599" s="223"/>
      <c r="X599" s="532"/>
      <c r="Y599" s="223"/>
      <c r="Z599" s="223"/>
      <c r="AA599" s="223"/>
      <c r="AB599" s="223"/>
      <c r="AC599" s="223"/>
      <c r="AD599" s="223"/>
    </row>
    <row r="600" ht="15.75" customHeight="1">
      <c r="A600" s="532"/>
      <c r="B600" s="221"/>
      <c r="C600" s="223"/>
      <c r="D600" s="223"/>
      <c r="E600" s="223"/>
      <c r="F600" s="223"/>
      <c r="G600" s="223"/>
      <c r="H600" s="223"/>
      <c r="I600" s="223"/>
      <c r="J600" s="223"/>
      <c r="K600" s="223"/>
      <c r="L600" s="223"/>
      <c r="M600" s="532"/>
      <c r="N600" s="532"/>
      <c r="O600" s="532"/>
      <c r="P600" s="223"/>
      <c r="Q600" s="223"/>
      <c r="R600" s="223"/>
      <c r="S600" s="223"/>
      <c r="T600" s="223"/>
      <c r="U600" s="532"/>
      <c r="V600" s="532"/>
      <c r="W600" s="223"/>
      <c r="X600" s="532"/>
      <c r="Y600" s="223"/>
      <c r="Z600" s="223"/>
      <c r="AA600" s="223"/>
      <c r="AB600" s="223"/>
      <c r="AC600" s="223"/>
      <c r="AD600" s="223"/>
    </row>
    <row r="601" ht="15.75" customHeight="1">
      <c r="A601" s="532"/>
      <c r="B601" s="221"/>
      <c r="C601" s="223"/>
      <c r="D601" s="223"/>
      <c r="E601" s="223"/>
      <c r="F601" s="223"/>
      <c r="G601" s="223"/>
      <c r="H601" s="223"/>
      <c r="I601" s="223"/>
      <c r="J601" s="223"/>
      <c r="K601" s="223"/>
      <c r="L601" s="223"/>
      <c r="M601" s="532"/>
      <c r="N601" s="532"/>
      <c r="O601" s="532"/>
      <c r="P601" s="223"/>
      <c r="Q601" s="223"/>
      <c r="R601" s="223"/>
      <c r="S601" s="223"/>
      <c r="T601" s="223"/>
      <c r="U601" s="532"/>
      <c r="V601" s="532"/>
      <c r="W601" s="223"/>
      <c r="X601" s="532"/>
      <c r="Y601" s="223"/>
      <c r="Z601" s="223"/>
      <c r="AA601" s="223"/>
      <c r="AB601" s="223"/>
      <c r="AC601" s="223"/>
      <c r="AD601" s="223"/>
    </row>
    <row r="602" ht="15.75" customHeight="1">
      <c r="A602" s="532"/>
      <c r="B602" s="221"/>
      <c r="C602" s="223"/>
      <c r="D602" s="223"/>
      <c r="E602" s="223"/>
      <c r="F602" s="223"/>
      <c r="G602" s="223"/>
      <c r="H602" s="223"/>
      <c r="I602" s="223"/>
      <c r="J602" s="223"/>
      <c r="K602" s="223"/>
      <c r="L602" s="223"/>
      <c r="M602" s="532"/>
      <c r="N602" s="532"/>
      <c r="O602" s="532"/>
      <c r="P602" s="223"/>
      <c r="Q602" s="223"/>
      <c r="R602" s="223"/>
      <c r="S602" s="223"/>
      <c r="T602" s="223"/>
      <c r="U602" s="532"/>
      <c r="V602" s="532"/>
      <c r="W602" s="223"/>
      <c r="X602" s="532"/>
      <c r="Y602" s="223"/>
      <c r="Z602" s="223"/>
      <c r="AA602" s="223"/>
      <c r="AB602" s="223"/>
      <c r="AC602" s="223"/>
      <c r="AD602" s="223"/>
    </row>
    <row r="603" ht="15.75" customHeight="1">
      <c r="A603" s="532"/>
      <c r="B603" s="221"/>
      <c r="C603" s="223"/>
      <c r="D603" s="223"/>
      <c r="E603" s="223"/>
      <c r="F603" s="223"/>
      <c r="G603" s="223"/>
      <c r="H603" s="223"/>
      <c r="I603" s="223"/>
      <c r="J603" s="223"/>
      <c r="K603" s="223"/>
      <c r="L603" s="223"/>
      <c r="M603" s="532"/>
      <c r="N603" s="532"/>
      <c r="O603" s="532"/>
      <c r="P603" s="223"/>
      <c r="Q603" s="223"/>
      <c r="R603" s="223"/>
      <c r="S603" s="223"/>
      <c r="T603" s="223"/>
      <c r="U603" s="532"/>
      <c r="V603" s="532"/>
      <c r="W603" s="223"/>
      <c r="X603" s="532"/>
      <c r="Y603" s="223"/>
      <c r="Z603" s="223"/>
      <c r="AA603" s="223"/>
      <c r="AB603" s="223"/>
      <c r="AC603" s="223"/>
      <c r="AD603" s="223"/>
    </row>
    <row r="604" ht="15.75" customHeight="1">
      <c r="A604" s="532"/>
      <c r="B604" s="221"/>
      <c r="C604" s="223"/>
      <c r="D604" s="223"/>
      <c r="E604" s="223"/>
      <c r="F604" s="223"/>
      <c r="G604" s="223"/>
      <c r="H604" s="223"/>
      <c r="I604" s="223"/>
      <c r="J604" s="223"/>
      <c r="K604" s="223"/>
      <c r="L604" s="223"/>
      <c r="M604" s="532"/>
      <c r="N604" s="532"/>
      <c r="O604" s="532"/>
      <c r="P604" s="223"/>
      <c r="Q604" s="223"/>
      <c r="R604" s="223"/>
      <c r="S604" s="223"/>
      <c r="T604" s="223"/>
      <c r="U604" s="532"/>
      <c r="V604" s="532"/>
      <c r="W604" s="223"/>
      <c r="X604" s="532"/>
      <c r="Y604" s="223"/>
      <c r="Z604" s="223"/>
      <c r="AA604" s="223"/>
      <c r="AB604" s="223"/>
      <c r="AC604" s="223"/>
      <c r="AD604" s="223"/>
    </row>
    <row r="605" ht="15.75" customHeight="1">
      <c r="A605" s="532"/>
      <c r="B605" s="221"/>
      <c r="C605" s="223"/>
      <c r="D605" s="223"/>
      <c r="E605" s="223"/>
      <c r="F605" s="223"/>
      <c r="G605" s="223"/>
      <c r="H605" s="223"/>
      <c r="I605" s="223"/>
      <c r="J605" s="223"/>
      <c r="K605" s="223"/>
      <c r="L605" s="223"/>
      <c r="M605" s="532"/>
      <c r="N605" s="532"/>
      <c r="O605" s="532"/>
      <c r="P605" s="223"/>
      <c r="Q605" s="223"/>
      <c r="R605" s="223"/>
      <c r="S605" s="223"/>
      <c r="T605" s="223"/>
      <c r="U605" s="532"/>
      <c r="V605" s="532"/>
      <c r="W605" s="223"/>
      <c r="X605" s="532"/>
      <c r="Y605" s="223"/>
      <c r="Z605" s="223"/>
      <c r="AA605" s="223"/>
      <c r="AB605" s="223"/>
      <c r="AC605" s="223"/>
      <c r="AD605" s="223"/>
    </row>
    <row r="606" ht="15.75" customHeight="1">
      <c r="A606" s="532"/>
      <c r="B606" s="221"/>
      <c r="C606" s="223"/>
      <c r="D606" s="223"/>
      <c r="E606" s="223"/>
      <c r="F606" s="223"/>
      <c r="G606" s="223"/>
      <c r="H606" s="223"/>
      <c r="I606" s="223"/>
      <c r="J606" s="223"/>
      <c r="K606" s="223"/>
      <c r="L606" s="223"/>
      <c r="M606" s="532"/>
      <c r="N606" s="532"/>
      <c r="O606" s="532"/>
      <c r="P606" s="223"/>
      <c r="Q606" s="223"/>
      <c r="R606" s="223"/>
      <c r="S606" s="223"/>
      <c r="T606" s="223"/>
      <c r="U606" s="532"/>
      <c r="V606" s="532"/>
      <c r="W606" s="223"/>
      <c r="X606" s="532"/>
      <c r="Y606" s="223"/>
      <c r="Z606" s="223"/>
      <c r="AA606" s="223"/>
      <c r="AB606" s="223"/>
      <c r="AC606" s="223"/>
      <c r="AD606" s="223"/>
    </row>
    <row r="607" ht="15.75" customHeight="1">
      <c r="A607" s="532"/>
      <c r="B607" s="221"/>
      <c r="C607" s="223"/>
      <c r="D607" s="223"/>
      <c r="E607" s="223"/>
      <c r="F607" s="223"/>
      <c r="G607" s="223"/>
      <c r="H607" s="223"/>
      <c r="I607" s="223"/>
      <c r="J607" s="223"/>
      <c r="K607" s="223"/>
      <c r="L607" s="223"/>
      <c r="M607" s="532"/>
      <c r="N607" s="532"/>
      <c r="O607" s="532"/>
      <c r="P607" s="223"/>
      <c r="Q607" s="223"/>
      <c r="R607" s="223"/>
      <c r="S607" s="223"/>
      <c r="T607" s="223"/>
      <c r="U607" s="532"/>
      <c r="V607" s="532"/>
      <c r="W607" s="223"/>
      <c r="X607" s="532"/>
      <c r="Y607" s="223"/>
      <c r="Z607" s="223"/>
      <c r="AA607" s="223"/>
      <c r="AB607" s="223"/>
      <c r="AC607" s="223"/>
      <c r="AD607" s="223"/>
    </row>
    <row r="608" ht="15.75" customHeight="1">
      <c r="A608" s="532"/>
      <c r="B608" s="221"/>
      <c r="C608" s="223"/>
      <c r="D608" s="223"/>
      <c r="E608" s="223"/>
      <c r="F608" s="223"/>
      <c r="G608" s="223"/>
      <c r="H608" s="223"/>
      <c r="I608" s="223"/>
      <c r="J608" s="223"/>
      <c r="K608" s="223"/>
      <c r="L608" s="223"/>
      <c r="M608" s="532"/>
      <c r="N608" s="532"/>
      <c r="O608" s="532"/>
      <c r="P608" s="223"/>
      <c r="Q608" s="223"/>
      <c r="R608" s="223"/>
      <c r="S608" s="223"/>
      <c r="T608" s="223"/>
      <c r="U608" s="532"/>
      <c r="V608" s="532"/>
      <c r="W608" s="223"/>
      <c r="X608" s="532"/>
      <c r="Y608" s="223"/>
      <c r="Z608" s="223"/>
      <c r="AA608" s="223"/>
      <c r="AB608" s="223"/>
      <c r="AC608" s="223"/>
      <c r="AD608" s="223"/>
    </row>
    <row r="609" ht="15.75" customHeight="1">
      <c r="A609" s="532"/>
      <c r="B609" s="221"/>
      <c r="C609" s="223"/>
      <c r="D609" s="223"/>
      <c r="E609" s="223"/>
      <c r="F609" s="223"/>
      <c r="G609" s="223"/>
      <c r="H609" s="223"/>
      <c r="I609" s="223"/>
      <c r="J609" s="223"/>
      <c r="K609" s="223"/>
      <c r="L609" s="223"/>
      <c r="M609" s="532"/>
      <c r="N609" s="532"/>
      <c r="O609" s="532"/>
      <c r="P609" s="223"/>
      <c r="Q609" s="223"/>
      <c r="R609" s="223"/>
      <c r="S609" s="223"/>
      <c r="T609" s="223"/>
      <c r="U609" s="532"/>
      <c r="V609" s="532"/>
      <c r="W609" s="223"/>
      <c r="X609" s="532"/>
      <c r="Y609" s="223"/>
      <c r="Z609" s="223"/>
      <c r="AA609" s="223"/>
      <c r="AB609" s="223"/>
      <c r="AC609" s="223"/>
      <c r="AD609" s="223"/>
    </row>
    <row r="610" ht="15.75" customHeight="1">
      <c r="A610" s="532"/>
      <c r="B610" s="221"/>
      <c r="C610" s="223"/>
      <c r="D610" s="223"/>
      <c r="E610" s="223"/>
      <c r="F610" s="223"/>
      <c r="G610" s="223"/>
      <c r="H610" s="223"/>
      <c r="I610" s="223"/>
      <c r="J610" s="223"/>
      <c r="K610" s="223"/>
      <c r="L610" s="223"/>
      <c r="M610" s="532"/>
      <c r="N610" s="532"/>
      <c r="O610" s="532"/>
      <c r="P610" s="223"/>
      <c r="Q610" s="223"/>
      <c r="R610" s="223"/>
      <c r="S610" s="223"/>
      <c r="T610" s="223"/>
      <c r="U610" s="532"/>
      <c r="V610" s="532"/>
      <c r="W610" s="223"/>
      <c r="X610" s="532"/>
      <c r="Y610" s="223"/>
      <c r="Z610" s="223"/>
      <c r="AA610" s="223"/>
      <c r="AB610" s="223"/>
      <c r="AC610" s="223"/>
      <c r="AD610" s="223"/>
    </row>
    <row r="611" ht="15.75" customHeight="1">
      <c r="A611" s="532"/>
      <c r="B611" s="221"/>
      <c r="C611" s="223"/>
      <c r="D611" s="223"/>
      <c r="E611" s="223"/>
      <c r="F611" s="223"/>
      <c r="G611" s="223"/>
      <c r="H611" s="223"/>
      <c r="I611" s="223"/>
      <c r="J611" s="223"/>
      <c r="K611" s="223"/>
      <c r="L611" s="223"/>
      <c r="M611" s="532"/>
      <c r="N611" s="532"/>
      <c r="O611" s="532"/>
      <c r="P611" s="223"/>
      <c r="Q611" s="223"/>
      <c r="R611" s="223"/>
      <c r="S611" s="223"/>
      <c r="T611" s="223"/>
      <c r="U611" s="532"/>
      <c r="V611" s="532"/>
      <c r="W611" s="223"/>
      <c r="X611" s="532"/>
      <c r="Y611" s="223"/>
      <c r="Z611" s="223"/>
      <c r="AA611" s="223"/>
      <c r="AB611" s="223"/>
      <c r="AC611" s="223"/>
      <c r="AD611" s="223"/>
    </row>
    <row r="612" ht="15.75" customHeight="1">
      <c r="A612" s="532"/>
      <c r="B612" s="221"/>
      <c r="C612" s="223"/>
      <c r="D612" s="223"/>
      <c r="E612" s="223"/>
      <c r="F612" s="223"/>
      <c r="G612" s="223"/>
      <c r="H612" s="223"/>
      <c r="I612" s="223"/>
      <c r="J612" s="223"/>
      <c r="K612" s="223"/>
      <c r="L612" s="223"/>
      <c r="M612" s="532"/>
      <c r="N612" s="532"/>
      <c r="O612" s="532"/>
      <c r="P612" s="223"/>
      <c r="Q612" s="223"/>
      <c r="R612" s="223"/>
      <c r="S612" s="223"/>
      <c r="T612" s="223"/>
      <c r="U612" s="532"/>
      <c r="V612" s="532"/>
      <c r="W612" s="223"/>
      <c r="X612" s="532"/>
      <c r="Y612" s="223"/>
      <c r="Z612" s="223"/>
      <c r="AA612" s="223"/>
      <c r="AB612" s="223"/>
      <c r="AC612" s="223"/>
      <c r="AD612" s="223"/>
    </row>
    <row r="613" ht="15.75" customHeight="1">
      <c r="A613" s="532"/>
      <c r="B613" s="221"/>
      <c r="C613" s="223"/>
      <c r="D613" s="223"/>
      <c r="E613" s="223"/>
      <c r="F613" s="223"/>
      <c r="G613" s="223"/>
      <c r="H613" s="223"/>
      <c r="I613" s="223"/>
      <c r="J613" s="223"/>
      <c r="K613" s="223"/>
      <c r="L613" s="223"/>
      <c r="M613" s="532"/>
      <c r="N613" s="532"/>
      <c r="O613" s="532"/>
      <c r="P613" s="223"/>
      <c r="Q613" s="223"/>
      <c r="R613" s="223"/>
      <c r="S613" s="223"/>
      <c r="T613" s="223"/>
      <c r="U613" s="532"/>
      <c r="V613" s="532"/>
      <c r="W613" s="223"/>
      <c r="X613" s="532"/>
      <c r="Y613" s="223"/>
      <c r="Z613" s="223"/>
      <c r="AA613" s="223"/>
      <c r="AB613" s="223"/>
      <c r="AC613" s="223"/>
      <c r="AD613" s="223"/>
    </row>
    <row r="614" ht="15.75" customHeight="1">
      <c r="A614" s="532"/>
      <c r="B614" s="221"/>
      <c r="C614" s="223"/>
      <c r="D614" s="223"/>
      <c r="E614" s="223"/>
      <c r="F614" s="223"/>
      <c r="G614" s="223"/>
      <c r="H614" s="223"/>
      <c r="I614" s="223"/>
      <c r="J614" s="223"/>
      <c r="K614" s="223"/>
      <c r="L614" s="223"/>
      <c r="M614" s="532"/>
      <c r="N614" s="532"/>
      <c r="O614" s="532"/>
      <c r="P614" s="223"/>
      <c r="Q614" s="223"/>
      <c r="R614" s="223"/>
      <c r="S614" s="223"/>
      <c r="T614" s="223"/>
      <c r="U614" s="532"/>
      <c r="V614" s="532"/>
      <c r="W614" s="223"/>
      <c r="X614" s="532"/>
      <c r="Y614" s="223"/>
      <c r="Z614" s="223"/>
      <c r="AA614" s="223"/>
      <c r="AB614" s="223"/>
      <c r="AC614" s="223"/>
      <c r="AD614" s="223"/>
    </row>
    <row r="615" ht="15.75" customHeight="1">
      <c r="A615" s="532"/>
      <c r="B615" s="221"/>
      <c r="C615" s="223"/>
      <c r="D615" s="223"/>
      <c r="E615" s="223"/>
      <c r="F615" s="223"/>
      <c r="G615" s="223"/>
      <c r="H615" s="223"/>
      <c r="I615" s="223"/>
      <c r="J615" s="223"/>
      <c r="K615" s="223"/>
      <c r="L615" s="223"/>
      <c r="M615" s="532"/>
      <c r="N615" s="532"/>
      <c r="O615" s="532"/>
      <c r="P615" s="223"/>
      <c r="Q615" s="223"/>
      <c r="R615" s="223"/>
      <c r="S615" s="223"/>
      <c r="T615" s="223"/>
      <c r="U615" s="532"/>
      <c r="V615" s="532"/>
      <c r="W615" s="223"/>
      <c r="X615" s="532"/>
      <c r="Y615" s="223"/>
      <c r="Z615" s="223"/>
      <c r="AA615" s="223"/>
      <c r="AB615" s="223"/>
      <c r="AC615" s="223"/>
      <c r="AD615" s="223"/>
    </row>
    <row r="616" ht="15.75" customHeight="1">
      <c r="A616" s="532"/>
      <c r="B616" s="221"/>
      <c r="C616" s="223"/>
      <c r="D616" s="223"/>
      <c r="E616" s="223"/>
      <c r="F616" s="223"/>
      <c r="G616" s="223"/>
      <c r="H616" s="223"/>
      <c r="I616" s="223"/>
      <c r="J616" s="223"/>
      <c r="K616" s="223"/>
      <c r="L616" s="223"/>
      <c r="M616" s="532"/>
      <c r="N616" s="532"/>
      <c r="O616" s="532"/>
      <c r="P616" s="223"/>
      <c r="Q616" s="223"/>
      <c r="R616" s="223"/>
      <c r="S616" s="223"/>
      <c r="T616" s="223"/>
      <c r="U616" s="532"/>
      <c r="V616" s="532"/>
      <c r="W616" s="223"/>
      <c r="X616" s="532"/>
      <c r="Y616" s="223"/>
      <c r="Z616" s="223"/>
      <c r="AA616" s="223"/>
      <c r="AB616" s="223"/>
      <c r="AC616" s="223"/>
      <c r="AD616" s="223"/>
    </row>
    <row r="617" ht="15.75" customHeight="1">
      <c r="A617" s="532"/>
      <c r="B617" s="221"/>
      <c r="C617" s="223"/>
      <c r="D617" s="223"/>
      <c r="E617" s="223"/>
      <c r="F617" s="223"/>
      <c r="G617" s="223"/>
      <c r="H617" s="223"/>
      <c r="I617" s="223"/>
      <c r="J617" s="223"/>
      <c r="K617" s="223"/>
      <c r="L617" s="223"/>
      <c r="M617" s="532"/>
      <c r="N617" s="532"/>
      <c r="O617" s="532"/>
      <c r="P617" s="223"/>
      <c r="Q617" s="223"/>
      <c r="R617" s="223"/>
      <c r="S617" s="223"/>
      <c r="T617" s="223"/>
      <c r="U617" s="532"/>
      <c r="V617" s="532"/>
      <c r="W617" s="223"/>
      <c r="X617" s="532"/>
      <c r="Y617" s="223"/>
      <c r="Z617" s="223"/>
      <c r="AA617" s="223"/>
      <c r="AB617" s="223"/>
      <c r="AC617" s="223"/>
      <c r="AD617" s="223"/>
    </row>
    <row r="618" ht="15.75" customHeight="1">
      <c r="A618" s="532"/>
      <c r="B618" s="221"/>
      <c r="C618" s="223"/>
      <c r="D618" s="223"/>
      <c r="E618" s="223"/>
      <c r="F618" s="223"/>
      <c r="G618" s="223"/>
      <c r="H618" s="223"/>
      <c r="I618" s="223"/>
      <c r="J618" s="223"/>
      <c r="K618" s="223"/>
      <c r="L618" s="223"/>
      <c r="M618" s="532"/>
      <c r="N618" s="532"/>
      <c r="O618" s="532"/>
      <c r="P618" s="223"/>
      <c r="Q618" s="223"/>
      <c r="R618" s="223"/>
      <c r="S618" s="223"/>
      <c r="T618" s="223"/>
      <c r="U618" s="532"/>
      <c r="V618" s="532"/>
      <c r="W618" s="223"/>
      <c r="X618" s="532"/>
      <c r="Y618" s="223"/>
      <c r="Z618" s="223"/>
      <c r="AA618" s="223"/>
      <c r="AB618" s="223"/>
      <c r="AC618" s="223"/>
      <c r="AD618" s="223"/>
    </row>
    <row r="619" ht="15.75" customHeight="1">
      <c r="A619" s="532"/>
      <c r="B619" s="221"/>
      <c r="C619" s="223"/>
      <c r="D619" s="223"/>
      <c r="E619" s="223"/>
      <c r="F619" s="223"/>
      <c r="G619" s="223"/>
      <c r="H619" s="223"/>
      <c r="I619" s="223"/>
      <c r="J619" s="223"/>
      <c r="K619" s="223"/>
      <c r="L619" s="223"/>
      <c r="M619" s="532"/>
      <c r="N619" s="532"/>
      <c r="O619" s="532"/>
      <c r="P619" s="223"/>
      <c r="Q619" s="223"/>
      <c r="R619" s="223"/>
      <c r="S619" s="223"/>
      <c r="T619" s="223"/>
      <c r="U619" s="532"/>
      <c r="V619" s="532"/>
      <c r="W619" s="223"/>
      <c r="X619" s="532"/>
      <c r="Y619" s="223"/>
      <c r="Z619" s="223"/>
      <c r="AA619" s="223"/>
      <c r="AB619" s="223"/>
      <c r="AC619" s="223"/>
      <c r="AD619" s="223"/>
    </row>
    <row r="620" ht="15.75" customHeight="1">
      <c r="A620" s="532"/>
      <c r="B620" s="221"/>
      <c r="C620" s="223"/>
      <c r="D620" s="223"/>
      <c r="E620" s="223"/>
      <c r="F620" s="223"/>
      <c r="G620" s="223"/>
      <c r="H620" s="223"/>
      <c r="I620" s="223"/>
      <c r="J620" s="223"/>
      <c r="K620" s="223"/>
      <c r="L620" s="223"/>
      <c r="M620" s="532"/>
      <c r="N620" s="532"/>
      <c r="O620" s="532"/>
      <c r="P620" s="223"/>
      <c r="Q620" s="223"/>
      <c r="R620" s="223"/>
      <c r="S620" s="223"/>
      <c r="T620" s="223"/>
      <c r="U620" s="532"/>
      <c r="V620" s="532"/>
      <c r="W620" s="223"/>
      <c r="X620" s="532"/>
      <c r="Y620" s="223"/>
      <c r="Z620" s="223"/>
      <c r="AA620" s="223"/>
      <c r="AB620" s="223"/>
      <c r="AC620" s="223"/>
      <c r="AD620" s="223"/>
    </row>
    <row r="621" ht="15.75" customHeight="1">
      <c r="A621" s="532"/>
      <c r="B621" s="221"/>
      <c r="C621" s="223"/>
      <c r="D621" s="223"/>
      <c r="E621" s="223"/>
      <c r="F621" s="223"/>
      <c r="G621" s="223"/>
      <c r="H621" s="223"/>
      <c r="I621" s="223"/>
      <c r="J621" s="223"/>
      <c r="K621" s="223"/>
      <c r="L621" s="223"/>
      <c r="M621" s="532"/>
      <c r="N621" s="532"/>
      <c r="O621" s="532"/>
      <c r="P621" s="223"/>
      <c r="Q621" s="223"/>
      <c r="R621" s="223"/>
      <c r="S621" s="223"/>
      <c r="T621" s="223"/>
      <c r="U621" s="532"/>
      <c r="V621" s="532"/>
      <c r="W621" s="223"/>
      <c r="X621" s="532"/>
      <c r="Y621" s="223"/>
      <c r="Z621" s="223"/>
      <c r="AA621" s="223"/>
      <c r="AB621" s="223"/>
      <c r="AC621" s="223"/>
      <c r="AD621" s="223"/>
    </row>
    <row r="622" ht="15.75" customHeight="1">
      <c r="A622" s="532"/>
      <c r="B622" s="221"/>
      <c r="C622" s="223"/>
      <c r="D622" s="223"/>
      <c r="E622" s="223"/>
      <c r="F622" s="223"/>
      <c r="G622" s="223"/>
      <c r="H622" s="223"/>
      <c r="I622" s="223"/>
      <c r="J622" s="223"/>
      <c r="K622" s="223"/>
      <c r="L622" s="223"/>
      <c r="M622" s="532"/>
      <c r="N622" s="532"/>
      <c r="O622" s="532"/>
      <c r="P622" s="223"/>
      <c r="Q622" s="223"/>
      <c r="R622" s="223"/>
      <c r="S622" s="223"/>
      <c r="T622" s="223"/>
      <c r="U622" s="532"/>
      <c r="V622" s="532"/>
      <c r="W622" s="223"/>
      <c r="X622" s="532"/>
      <c r="Y622" s="223"/>
      <c r="Z622" s="223"/>
      <c r="AA622" s="223"/>
      <c r="AB622" s="223"/>
      <c r="AC622" s="223"/>
      <c r="AD622" s="223"/>
    </row>
    <row r="623" ht="15.75" customHeight="1">
      <c r="A623" s="532"/>
      <c r="B623" s="221"/>
      <c r="C623" s="223"/>
      <c r="D623" s="223"/>
      <c r="E623" s="223"/>
      <c r="F623" s="223"/>
      <c r="G623" s="223"/>
      <c r="H623" s="223"/>
      <c r="I623" s="223"/>
      <c r="J623" s="223"/>
      <c r="K623" s="223"/>
      <c r="L623" s="223"/>
      <c r="M623" s="532"/>
      <c r="N623" s="532"/>
      <c r="O623" s="532"/>
      <c r="P623" s="223"/>
      <c r="Q623" s="223"/>
      <c r="R623" s="223"/>
      <c r="S623" s="223"/>
      <c r="T623" s="223"/>
      <c r="U623" s="532"/>
      <c r="V623" s="532"/>
      <c r="W623" s="223"/>
      <c r="X623" s="532"/>
      <c r="Y623" s="223"/>
      <c r="Z623" s="223"/>
      <c r="AA623" s="223"/>
      <c r="AB623" s="223"/>
      <c r="AC623" s="223"/>
      <c r="AD623" s="223"/>
    </row>
    <row r="624" ht="15.75" customHeight="1">
      <c r="A624" s="532"/>
      <c r="B624" s="221"/>
      <c r="C624" s="223"/>
      <c r="D624" s="223"/>
      <c r="E624" s="223"/>
      <c r="F624" s="223"/>
      <c r="G624" s="223"/>
      <c r="H624" s="223"/>
      <c r="I624" s="223"/>
      <c r="J624" s="223"/>
      <c r="K624" s="223"/>
      <c r="L624" s="223"/>
      <c r="M624" s="532"/>
      <c r="N624" s="532"/>
      <c r="O624" s="532"/>
      <c r="P624" s="223"/>
      <c r="Q624" s="223"/>
      <c r="R624" s="223"/>
      <c r="S624" s="223"/>
      <c r="T624" s="223"/>
      <c r="U624" s="532"/>
      <c r="V624" s="532"/>
      <c r="W624" s="223"/>
      <c r="X624" s="532"/>
      <c r="Y624" s="223"/>
      <c r="Z624" s="223"/>
      <c r="AA624" s="223"/>
      <c r="AB624" s="223"/>
      <c r="AC624" s="223"/>
      <c r="AD624" s="223"/>
    </row>
    <row r="625" ht="15.75" customHeight="1">
      <c r="A625" s="532"/>
      <c r="B625" s="221"/>
      <c r="C625" s="223"/>
      <c r="D625" s="223"/>
      <c r="E625" s="223"/>
      <c r="F625" s="223"/>
      <c r="G625" s="223"/>
      <c r="H625" s="223"/>
      <c r="I625" s="223"/>
      <c r="J625" s="223"/>
      <c r="K625" s="223"/>
      <c r="L625" s="223"/>
      <c r="M625" s="532"/>
      <c r="N625" s="532"/>
      <c r="O625" s="532"/>
      <c r="P625" s="223"/>
      <c r="Q625" s="223"/>
      <c r="R625" s="223"/>
      <c r="S625" s="223"/>
      <c r="T625" s="223"/>
      <c r="U625" s="532"/>
      <c r="V625" s="532"/>
      <c r="W625" s="223"/>
      <c r="X625" s="532"/>
      <c r="Y625" s="223"/>
      <c r="Z625" s="223"/>
      <c r="AA625" s="223"/>
      <c r="AB625" s="223"/>
      <c r="AC625" s="223"/>
      <c r="AD625" s="223"/>
    </row>
    <row r="626" ht="15.75" customHeight="1">
      <c r="A626" s="532"/>
      <c r="B626" s="221"/>
      <c r="C626" s="223"/>
      <c r="D626" s="223"/>
      <c r="E626" s="223"/>
      <c r="F626" s="223"/>
      <c r="G626" s="223"/>
      <c r="H626" s="223"/>
      <c r="I626" s="223"/>
      <c r="J626" s="223"/>
      <c r="K626" s="223"/>
      <c r="L626" s="223"/>
      <c r="M626" s="532"/>
      <c r="N626" s="532"/>
      <c r="O626" s="532"/>
      <c r="P626" s="223"/>
      <c r="Q626" s="223"/>
      <c r="R626" s="223"/>
      <c r="S626" s="223"/>
      <c r="T626" s="223"/>
      <c r="U626" s="532"/>
      <c r="V626" s="532"/>
      <c r="W626" s="223"/>
      <c r="X626" s="532"/>
      <c r="Y626" s="223"/>
      <c r="Z626" s="223"/>
      <c r="AA626" s="223"/>
      <c r="AB626" s="223"/>
      <c r="AC626" s="223"/>
      <c r="AD626" s="223"/>
    </row>
    <row r="627" ht="15.75" customHeight="1">
      <c r="A627" s="532"/>
      <c r="B627" s="221"/>
      <c r="C627" s="223"/>
      <c r="D627" s="223"/>
      <c r="E627" s="223"/>
      <c r="F627" s="223"/>
      <c r="G627" s="223"/>
      <c r="H627" s="223"/>
      <c r="I627" s="223"/>
      <c r="J627" s="223"/>
      <c r="K627" s="223"/>
      <c r="L627" s="223"/>
      <c r="M627" s="532"/>
      <c r="N627" s="532"/>
      <c r="O627" s="532"/>
      <c r="P627" s="223"/>
      <c r="Q627" s="223"/>
      <c r="R627" s="223"/>
      <c r="S627" s="223"/>
      <c r="T627" s="223"/>
      <c r="U627" s="532"/>
      <c r="V627" s="532"/>
      <c r="W627" s="223"/>
      <c r="X627" s="532"/>
      <c r="Y627" s="223"/>
      <c r="Z627" s="223"/>
      <c r="AA627" s="223"/>
      <c r="AB627" s="223"/>
      <c r="AC627" s="223"/>
      <c r="AD627" s="223"/>
    </row>
    <row r="628" ht="15.75" customHeight="1">
      <c r="A628" s="532"/>
      <c r="B628" s="221"/>
      <c r="C628" s="223"/>
      <c r="D628" s="223"/>
      <c r="E628" s="223"/>
      <c r="F628" s="223"/>
      <c r="G628" s="223"/>
      <c r="H628" s="223"/>
      <c r="I628" s="223"/>
      <c r="J628" s="223"/>
      <c r="K628" s="223"/>
      <c r="L628" s="223"/>
      <c r="M628" s="532"/>
      <c r="N628" s="532"/>
      <c r="O628" s="532"/>
      <c r="P628" s="223"/>
      <c r="Q628" s="223"/>
      <c r="R628" s="223"/>
      <c r="S628" s="223"/>
      <c r="T628" s="223"/>
      <c r="U628" s="532"/>
      <c r="V628" s="532"/>
      <c r="W628" s="223"/>
      <c r="X628" s="532"/>
      <c r="Y628" s="223"/>
      <c r="Z628" s="223"/>
      <c r="AA628" s="223"/>
      <c r="AB628" s="223"/>
      <c r="AC628" s="223"/>
      <c r="AD628" s="223"/>
    </row>
    <row r="629" ht="15.75" customHeight="1">
      <c r="A629" s="532"/>
      <c r="B629" s="221"/>
      <c r="C629" s="223"/>
      <c r="D629" s="223"/>
      <c r="E629" s="223"/>
      <c r="F629" s="223"/>
      <c r="G629" s="223"/>
      <c r="H629" s="223"/>
      <c r="I629" s="223"/>
      <c r="J629" s="223"/>
      <c r="K629" s="223"/>
      <c r="L629" s="223"/>
      <c r="M629" s="532"/>
      <c r="N629" s="532"/>
      <c r="O629" s="532"/>
      <c r="P629" s="223"/>
      <c r="Q629" s="223"/>
      <c r="R629" s="223"/>
      <c r="S629" s="223"/>
      <c r="T629" s="223"/>
      <c r="U629" s="532"/>
      <c r="V629" s="532"/>
      <c r="W629" s="223"/>
      <c r="X629" s="532"/>
      <c r="Y629" s="223"/>
      <c r="Z629" s="223"/>
      <c r="AA629" s="223"/>
      <c r="AB629" s="223"/>
      <c r="AC629" s="223"/>
      <c r="AD629" s="223"/>
    </row>
    <row r="630" ht="15.75" customHeight="1">
      <c r="A630" s="532"/>
      <c r="B630" s="221"/>
      <c r="C630" s="223"/>
      <c r="D630" s="223"/>
      <c r="E630" s="223"/>
      <c r="F630" s="223"/>
      <c r="G630" s="223"/>
      <c r="H630" s="223"/>
      <c r="I630" s="223"/>
      <c r="J630" s="223"/>
      <c r="K630" s="223"/>
      <c r="L630" s="223"/>
      <c r="M630" s="532"/>
      <c r="N630" s="532"/>
      <c r="O630" s="532"/>
      <c r="P630" s="223"/>
      <c r="Q630" s="223"/>
      <c r="R630" s="223"/>
      <c r="S630" s="223"/>
      <c r="T630" s="223"/>
      <c r="U630" s="532"/>
      <c r="V630" s="532"/>
      <c r="W630" s="223"/>
      <c r="X630" s="532"/>
      <c r="Y630" s="223"/>
      <c r="Z630" s="223"/>
      <c r="AA630" s="223"/>
      <c r="AB630" s="223"/>
      <c r="AC630" s="223"/>
      <c r="AD630" s="223"/>
    </row>
    <row r="631" ht="15.75" customHeight="1">
      <c r="A631" s="532"/>
      <c r="B631" s="221"/>
      <c r="C631" s="223"/>
      <c r="D631" s="223"/>
      <c r="E631" s="223"/>
      <c r="F631" s="223"/>
      <c r="G631" s="223"/>
      <c r="H631" s="223"/>
      <c r="I631" s="223"/>
      <c r="J631" s="223"/>
      <c r="K631" s="223"/>
      <c r="L631" s="223"/>
      <c r="M631" s="532"/>
      <c r="N631" s="532"/>
      <c r="O631" s="532"/>
      <c r="P631" s="223"/>
      <c r="Q631" s="223"/>
      <c r="R631" s="223"/>
      <c r="S631" s="223"/>
      <c r="T631" s="223"/>
      <c r="U631" s="532"/>
      <c r="V631" s="532"/>
      <c r="W631" s="223"/>
      <c r="X631" s="532"/>
      <c r="Y631" s="223"/>
      <c r="Z631" s="223"/>
      <c r="AA631" s="223"/>
      <c r="AB631" s="223"/>
      <c r="AC631" s="223"/>
      <c r="AD631" s="223"/>
    </row>
    <row r="632" ht="15.75" customHeight="1">
      <c r="A632" s="532"/>
      <c r="B632" s="221"/>
      <c r="C632" s="223"/>
      <c r="D632" s="223"/>
      <c r="E632" s="223"/>
      <c r="F632" s="223"/>
      <c r="G632" s="223"/>
      <c r="H632" s="223"/>
      <c r="I632" s="223"/>
      <c r="J632" s="223"/>
      <c r="K632" s="223"/>
      <c r="L632" s="223"/>
      <c r="M632" s="532"/>
      <c r="N632" s="532"/>
      <c r="O632" s="532"/>
      <c r="P632" s="223"/>
      <c r="Q632" s="223"/>
      <c r="R632" s="223"/>
      <c r="S632" s="223"/>
      <c r="T632" s="223"/>
      <c r="U632" s="532"/>
      <c r="V632" s="532"/>
      <c r="W632" s="223"/>
      <c r="X632" s="532"/>
      <c r="Y632" s="223"/>
      <c r="Z632" s="223"/>
      <c r="AA632" s="223"/>
      <c r="AB632" s="223"/>
      <c r="AC632" s="223"/>
      <c r="AD632" s="223"/>
    </row>
    <row r="633" ht="15.75" customHeight="1">
      <c r="A633" s="532"/>
      <c r="B633" s="221"/>
      <c r="C633" s="223"/>
      <c r="D633" s="223"/>
      <c r="E633" s="223"/>
      <c r="F633" s="223"/>
      <c r="G633" s="223"/>
      <c r="H633" s="223"/>
      <c r="I633" s="223"/>
      <c r="J633" s="223"/>
      <c r="K633" s="223"/>
      <c r="L633" s="223"/>
      <c r="M633" s="532"/>
      <c r="N633" s="532"/>
      <c r="O633" s="532"/>
      <c r="P633" s="223"/>
      <c r="Q633" s="223"/>
      <c r="R633" s="223"/>
      <c r="S633" s="223"/>
      <c r="T633" s="223"/>
      <c r="U633" s="532"/>
      <c r="V633" s="532"/>
      <c r="W633" s="223"/>
      <c r="X633" s="532"/>
      <c r="Y633" s="223"/>
      <c r="Z633" s="223"/>
      <c r="AA633" s="223"/>
      <c r="AB633" s="223"/>
      <c r="AC633" s="223"/>
      <c r="AD633" s="223"/>
    </row>
    <row r="634" ht="15.75" customHeight="1">
      <c r="A634" s="532"/>
      <c r="B634" s="221"/>
      <c r="C634" s="223"/>
      <c r="D634" s="223"/>
      <c r="E634" s="223"/>
      <c r="F634" s="223"/>
      <c r="G634" s="223"/>
      <c r="H634" s="223"/>
      <c r="I634" s="223"/>
      <c r="J634" s="223"/>
      <c r="K634" s="223"/>
      <c r="L634" s="223"/>
      <c r="M634" s="532"/>
      <c r="N634" s="532"/>
      <c r="O634" s="532"/>
      <c r="P634" s="223"/>
      <c r="Q634" s="223"/>
      <c r="R634" s="223"/>
      <c r="S634" s="223"/>
      <c r="T634" s="223"/>
      <c r="U634" s="532"/>
      <c r="V634" s="532"/>
      <c r="W634" s="223"/>
      <c r="X634" s="532"/>
      <c r="Y634" s="223"/>
      <c r="Z634" s="223"/>
      <c r="AA634" s="223"/>
      <c r="AB634" s="223"/>
      <c r="AC634" s="223"/>
      <c r="AD634" s="223"/>
    </row>
    <row r="635" ht="15.75" customHeight="1">
      <c r="A635" s="532"/>
      <c r="B635" s="221"/>
      <c r="C635" s="223"/>
      <c r="D635" s="223"/>
      <c r="E635" s="223"/>
      <c r="F635" s="223"/>
      <c r="G635" s="223"/>
      <c r="H635" s="223"/>
      <c r="I635" s="223"/>
      <c r="J635" s="223"/>
      <c r="K635" s="223"/>
      <c r="L635" s="223"/>
      <c r="M635" s="532"/>
      <c r="N635" s="532"/>
      <c r="O635" s="532"/>
      <c r="P635" s="223"/>
      <c r="Q635" s="223"/>
      <c r="R635" s="223"/>
      <c r="S635" s="223"/>
      <c r="T635" s="223"/>
      <c r="U635" s="532"/>
      <c r="V635" s="532"/>
      <c r="W635" s="223"/>
      <c r="X635" s="532"/>
      <c r="Y635" s="223"/>
      <c r="Z635" s="223"/>
      <c r="AA635" s="223"/>
      <c r="AB635" s="223"/>
      <c r="AC635" s="223"/>
      <c r="AD635" s="223"/>
    </row>
    <row r="636" ht="15.75" customHeight="1">
      <c r="A636" s="532"/>
      <c r="B636" s="221"/>
      <c r="C636" s="223"/>
      <c r="D636" s="223"/>
      <c r="E636" s="223"/>
      <c r="F636" s="223"/>
      <c r="G636" s="223"/>
      <c r="H636" s="223"/>
      <c r="I636" s="223"/>
      <c r="J636" s="223"/>
      <c r="K636" s="223"/>
      <c r="L636" s="223"/>
      <c r="M636" s="532"/>
      <c r="N636" s="532"/>
      <c r="O636" s="532"/>
      <c r="P636" s="223"/>
      <c r="Q636" s="223"/>
      <c r="R636" s="223"/>
      <c r="S636" s="223"/>
      <c r="T636" s="223"/>
      <c r="U636" s="532"/>
      <c r="V636" s="532"/>
      <c r="W636" s="223"/>
      <c r="X636" s="532"/>
      <c r="Y636" s="223"/>
      <c r="Z636" s="223"/>
      <c r="AA636" s="223"/>
      <c r="AB636" s="223"/>
      <c r="AC636" s="223"/>
      <c r="AD636" s="223"/>
    </row>
    <row r="637" ht="15.75" customHeight="1">
      <c r="A637" s="532"/>
      <c r="B637" s="221"/>
      <c r="C637" s="223"/>
      <c r="D637" s="223"/>
      <c r="E637" s="223"/>
      <c r="F637" s="223"/>
      <c r="G637" s="223"/>
      <c r="H637" s="223"/>
      <c r="I637" s="223"/>
      <c r="J637" s="223"/>
      <c r="K637" s="223"/>
      <c r="L637" s="223"/>
      <c r="M637" s="532"/>
      <c r="N637" s="532"/>
      <c r="O637" s="532"/>
      <c r="P637" s="223"/>
      <c r="Q637" s="223"/>
      <c r="R637" s="223"/>
      <c r="S637" s="223"/>
      <c r="T637" s="223"/>
      <c r="U637" s="532"/>
      <c r="V637" s="532"/>
      <c r="W637" s="223"/>
      <c r="X637" s="532"/>
      <c r="Y637" s="223"/>
      <c r="Z637" s="223"/>
      <c r="AA637" s="223"/>
      <c r="AB637" s="223"/>
      <c r="AC637" s="223"/>
      <c r="AD637" s="223"/>
    </row>
    <row r="638" ht="15.75" customHeight="1">
      <c r="A638" s="532"/>
      <c r="B638" s="221"/>
      <c r="C638" s="223"/>
      <c r="D638" s="223"/>
      <c r="E638" s="223"/>
      <c r="F638" s="223"/>
      <c r="G638" s="223"/>
      <c r="H638" s="223"/>
      <c r="I638" s="223"/>
      <c r="J638" s="223"/>
      <c r="K638" s="223"/>
      <c r="L638" s="223"/>
      <c r="M638" s="532"/>
      <c r="N638" s="532"/>
      <c r="O638" s="532"/>
      <c r="P638" s="223"/>
      <c r="Q638" s="223"/>
      <c r="R638" s="223"/>
      <c r="S638" s="223"/>
      <c r="T638" s="223"/>
      <c r="U638" s="532"/>
      <c r="V638" s="532"/>
      <c r="W638" s="223"/>
      <c r="X638" s="532"/>
      <c r="Y638" s="223"/>
      <c r="Z638" s="223"/>
      <c r="AA638" s="223"/>
      <c r="AB638" s="223"/>
      <c r="AC638" s="223"/>
      <c r="AD638" s="223"/>
    </row>
    <row r="639" ht="15.75" customHeight="1">
      <c r="A639" s="532"/>
      <c r="B639" s="221"/>
      <c r="C639" s="223"/>
      <c r="D639" s="223"/>
      <c r="E639" s="223"/>
      <c r="F639" s="223"/>
      <c r="G639" s="223"/>
      <c r="H639" s="223"/>
      <c r="I639" s="223"/>
      <c r="J639" s="223"/>
      <c r="K639" s="223"/>
      <c r="L639" s="223"/>
      <c r="M639" s="532"/>
      <c r="N639" s="532"/>
      <c r="O639" s="532"/>
      <c r="P639" s="223"/>
      <c r="Q639" s="223"/>
      <c r="R639" s="223"/>
      <c r="S639" s="223"/>
      <c r="T639" s="223"/>
      <c r="U639" s="532"/>
      <c r="V639" s="532"/>
      <c r="W639" s="223"/>
      <c r="X639" s="532"/>
      <c r="Y639" s="223"/>
      <c r="Z639" s="223"/>
      <c r="AA639" s="223"/>
      <c r="AB639" s="223"/>
      <c r="AC639" s="223"/>
      <c r="AD639" s="223"/>
    </row>
    <row r="640" ht="15.75" customHeight="1">
      <c r="A640" s="532"/>
      <c r="B640" s="221"/>
      <c r="C640" s="223"/>
      <c r="D640" s="223"/>
      <c r="E640" s="223"/>
      <c r="F640" s="223"/>
      <c r="G640" s="223"/>
      <c r="H640" s="223"/>
      <c r="I640" s="223"/>
      <c r="J640" s="223"/>
      <c r="K640" s="223"/>
      <c r="L640" s="223"/>
      <c r="M640" s="532"/>
      <c r="N640" s="532"/>
      <c r="O640" s="532"/>
      <c r="P640" s="223"/>
      <c r="Q640" s="223"/>
      <c r="R640" s="223"/>
      <c r="S640" s="223"/>
      <c r="T640" s="223"/>
      <c r="U640" s="532"/>
      <c r="V640" s="532"/>
      <c r="W640" s="223"/>
      <c r="X640" s="532"/>
      <c r="Y640" s="223"/>
      <c r="Z640" s="223"/>
      <c r="AA640" s="223"/>
      <c r="AB640" s="223"/>
      <c r="AC640" s="223"/>
      <c r="AD640" s="223"/>
    </row>
    <row r="641" ht="15.75" customHeight="1">
      <c r="A641" s="532"/>
      <c r="B641" s="221"/>
      <c r="C641" s="223"/>
      <c r="D641" s="223"/>
      <c r="E641" s="223"/>
      <c r="F641" s="223"/>
      <c r="G641" s="223"/>
      <c r="H641" s="223"/>
      <c r="I641" s="223"/>
      <c r="J641" s="223"/>
      <c r="K641" s="223"/>
      <c r="L641" s="223"/>
      <c r="M641" s="532"/>
      <c r="N641" s="532"/>
      <c r="O641" s="532"/>
      <c r="P641" s="223"/>
      <c r="Q641" s="223"/>
      <c r="R641" s="223"/>
      <c r="S641" s="223"/>
      <c r="T641" s="223"/>
      <c r="U641" s="532"/>
      <c r="V641" s="532"/>
      <c r="W641" s="223"/>
      <c r="X641" s="532"/>
      <c r="Y641" s="223"/>
      <c r="Z641" s="223"/>
      <c r="AA641" s="223"/>
      <c r="AB641" s="223"/>
      <c r="AC641" s="223"/>
      <c r="AD641" s="223"/>
    </row>
    <row r="642" ht="15.75" customHeight="1">
      <c r="A642" s="532"/>
      <c r="B642" s="221"/>
      <c r="C642" s="223"/>
      <c r="D642" s="223"/>
      <c r="E642" s="223"/>
      <c r="F642" s="223"/>
      <c r="G642" s="223"/>
      <c r="H642" s="223"/>
      <c r="I642" s="223"/>
      <c r="J642" s="223"/>
      <c r="K642" s="223"/>
      <c r="L642" s="223"/>
      <c r="M642" s="532"/>
      <c r="N642" s="532"/>
      <c r="O642" s="532"/>
      <c r="P642" s="223"/>
      <c r="Q642" s="223"/>
      <c r="R642" s="223"/>
      <c r="S642" s="223"/>
      <c r="T642" s="223"/>
      <c r="U642" s="532"/>
      <c r="V642" s="532"/>
      <c r="W642" s="223"/>
      <c r="X642" s="532"/>
      <c r="Y642" s="223"/>
      <c r="Z642" s="223"/>
      <c r="AA642" s="223"/>
      <c r="AB642" s="223"/>
      <c r="AC642" s="223"/>
      <c r="AD642" s="223"/>
    </row>
    <row r="643" ht="15.75" customHeight="1">
      <c r="A643" s="532"/>
      <c r="B643" s="221"/>
      <c r="C643" s="223"/>
      <c r="D643" s="223"/>
      <c r="E643" s="223"/>
      <c r="F643" s="223"/>
      <c r="G643" s="223"/>
      <c r="H643" s="223"/>
      <c r="I643" s="223"/>
      <c r="J643" s="223"/>
      <c r="K643" s="223"/>
      <c r="L643" s="223"/>
      <c r="M643" s="532"/>
      <c r="N643" s="532"/>
      <c r="O643" s="532"/>
      <c r="P643" s="223"/>
      <c r="Q643" s="223"/>
      <c r="R643" s="223"/>
      <c r="S643" s="223"/>
      <c r="T643" s="223"/>
      <c r="U643" s="532"/>
      <c r="V643" s="532"/>
      <c r="W643" s="223"/>
      <c r="X643" s="532"/>
      <c r="Y643" s="223"/>
      <c r="Z643" s="223"/>
      <c r="AA643" s="223"/>
      <c r="AB643" s="223"/>
      <c r="AC643" s="223"/>
      <c r="AD643" s="223"/>
    </row>
    <row r="644" ht="15.75" customHeight="1">
      <c r="A644" s="532"/>
      <c r="B644" s="221"/>
      <c r="C644" s="223"/>
      <c r="D644" s="223"/>
      <c r="E644" s="223"/>
      <c r="F644" s="223"/>
      <c r="G644" s="223"/>
      <c r="H644" s="223"/>
      <c r="I644" s="223"/>
      <c r="J644" s="223"/>
      <c r="K644" s="223"/>
      <c r="L644" s="223"/>
      <c r="M644" s="532"/>
      <c r="N644" s="532"/>
      <c r="O644" s="532"/>
      <c r="P644" s="223"/>
      <c r="Q644" s="223"/>
      <c r="R644" s="223"/>
      <c r="S644" s="223"/>
      <c r="T644" s="223"/>
      <c r="U644" s="532"/>
      <c r="V644" s="532"/>
      <c r="W644" s="223"/>
      <c r="X644" s="532"/>
      <c r="Y644" s="223"/>
      <c r="Z644" s="223"/>
      <c r="AA644" s="223"/>
      <c r="AB644" s="223"/>
      <c r="AC644" s="223"/>
      <c r="AD644" s="223"/>
    </row>
    <row r="645" ht="15.75" customHeight="1">
      <c r="A645" s="532"/>
      <c r="B645" s="221"/>
      <c r="C645" s="223"/>
      <c r="D645" s="223"/>
      <c r="E645" s="223"/>
      <c r="F645" s="223"/>
      <c r="G645" s="223"/>
      <c r="H645" s="223"/>
      <c r="I645" s="223"/>
      <c r="J645" s="223"/>
      <c r="K645" s="223"/>
      <c r="L645" s="223"/>
      <c r="M645" s="532"/>
      <c r="N645" s="532"/>
      <c r="O645" s="532"/>
      <c r="P645" s="223"/>
      <c r="Q645" s="223"/>
      <c r="R645" s="223"/>
      <c r="S645" s="223"/>
      <c r="T645" s="223"/>
      <c r="U645" s="532"/>
      <c r="V645" s="532"/>
      <c r="W645" s="223"/>
      <c r="X645" s="532"/>
      <c r="Y645" s="223"/>
      <c r="Z645" s="223"/>
      <c r="AA645" s="223"/>
      <c r="AB645" s="223"/>
      <c r="AC645" s="223"/>
      <c r="AD645" s="223"/>
    </row>
    <row r="646" ht="15.75" customHeight="1">
      <c r="A646" s="532"/>
      <c r="B646" s="221"/>
      <c r="C646" s="223"/>
      <c r="D646" s="223"/>
      <c r="E646" s="223"/>
      <c r="F646" s="223"/>
      <c r="G646" s="223"/>
      <c r="H646" s="223"/>
      <c r="I646" s="223"/>
      <c r="J646" s="223"/>
      <c r="K646" s="223"/>
      <c r="L646" s="223"/>
      <c r="M646" s="532"/>
      <c r="N646" s="532"/>
      <c r="O646" s="532"/>
      <c r="P646" s="223"/>
      <c r="Q646" s="223"/>
      <c r="R646" s="223"/>
      <c r="S646" s="223"/>
      <c r="T646" s="223"/>
      <c r="U646" s="532"/>
      <c r="V646" s="532"/>
      <c r="W646" s="223"/>
      <c r="X646" s="532"/>
      <c r="Y646" s="223"/>
      <c r="Z646" s="223"/>
      <c r="AA646" s="223"/>
      <c r="AB646" s="223"/>
      <c r="AC646" s="223"/>
      <c r="AD646" s="223"/>
    </row>
    <row r="647" ht="15.75" customHeight="1">
      <c r="A647" s="532"/>
      <c r="B647" s="221"/>
      <c r="C647" s="223"/>
      <c r="D647" s="223"/>
      <c r="E647" s="223"/>
      <c r="F647" s="223"/>
      <c r="G647" s="223"/>
      <c r="H647" s="223"/>
      <c r="I647" s="223"/>
      <c r="J647" s="223"/>
      <c r="K647" s="223"/>
      <c r="L647" s="223"/>
      <c r="M647" s="532"/>
      <c r="N647" s="532"/>
      <c r="O647" s="532"/>
      <c r="P647" s="223"/>
      <c r="Q647" s="223"/>
      <c r="R647" s="223"/>
      <c r="S647" s="223"/>
      <c r="T647" s="223"/>
      <c r="U647" s="532"/>
      <c r="V647" s="532"/>
      <c r="W647" s="223"/>
      <c r="X647" s="532"/>
      <c r="Y647" s="223"/>
      <c r="Z647" s="223"/>
      <c r="AA647" s="223"/>
      <c r="AB647" s="223"/>
      <c r="AC647" s="223"/>
      <c r="AD647" s="223"/>
    </row>
    <row r="648" ht="15.75" customHeight="1">
      <c r="A648" s="532"/>
      <c r="B648" s="221"/>
      <c r="C648" s="223"/>
      <c r="D648" s="223"/>
      <c r="E648" s="223"/>
      <c r="F648" s="223"/>
      <c r="G648" s="223"/>
      <c r="H648" s="223"/>
      <c r="I648" s="223"/>
      <c r="J648" s="223"/>
      <c r="K648" s="223"/>
      <c r="L648" s="223"/>
      <c r="M648" s="532"/>
      <c r="N648" s="532"/>
      <c r="O648" s="532"/>
      <c r="P648" s="223"/>
      <c r="Q648" s="223"/>
      <c r="R648" s="223"/>
      <c r="S648" s="223"/>
      <c r="T648" s="223"/>
      <c r="U648" s="532"/>
      <c r="V648" s="532"/>
      <c r="W648" s="223"/>
      <c r="X648" s="532"/>
      <c r="Y648" s="223"/>
      <c r="Z648" s="223"/>
      <c r="AA648" s="223"/>
      <c r="AB648" s="223"/>
      <c r="AC648" s="223"/>
      <c r="AD648" s="223"/>
    </row>
    <row r="649" ht="15.75" customHeight="1">
      <c r="A649" s="532"/>
      <c r="B649" s="221"/>
      <c r="C649" s="223"/>
      <c r="D649" s="223"/>
      <c r="E649" s="223"/>
      <c r="F649" s="223"/>
      <c r="G649" s="223"/>
      <c r="H649" s="223"/>
      <c r="I649" s="223"/>
      <c r="J649" s="223"/>
      <c r="K649" s="223"/>
      <c r="L649" s="223"/>
      <c r="M649" s="532"/>
      <c r="N649" s="532"/>
      <c r="O649" s="532"/>
      <c r="P649" s="223"/>
      <c r="Q649" s="223"/>
      <c r="R649" s="223"/>
      <c r="S649" s="223"/>
      <c r="T649" s="223"/>
      <c r="U649" s="532"/>
      <c r="V649" s="532"/>
      <c r="W649" s="223"/>
      <c r="X649" s="532"/>
      <c r="Y649" s="223"/>
      <c r="Z649" s="223"/>
      <c r="AA649" s="223"/>
      <c r="AB649" s="223"/>
      <c r="AC649" s="223"/>
      <c r="AD649" s="223"/>
    </row>
    <row r="650" ht="15.75" customHeight="1">
      <c r="A650" s="532"/>
      <c r="B650" s="221"/>
      <c r="C650" s="223"/>
      <c r="D650" s="223"/>
      <c r="E650" s="223"/>
      <c r="F650" s="223"/>
      <c r="G650" s="223"/>
      <c r="H650" s="223"/>
      <c r="I650" s="223"/>
      <c r="J650" s="223"/>
      <c r="K650" s="223"/>
      <c r="L650" s="223"/>
      <c r="M650" s="532"/>
      <c r="N650" s="532"/>
      <c r="O650" s="532"/>
      <c r="P650" s="223"/>
      <c r="Q650" s="223"/>
      <c r="R650" s="223"/>
      <c r="S650" s="223"/>
      <c r="T650" s="223"/>
      <c r="U650" s="532"/>
      <c r="V650" s="532"/>
      <c r="W650" s="223"/>
      <c r="X650" s="532"/>
      <c r="Y650" s="223"/>
      <c r="Z650" s="223"/>
      <c r="AA650" s="223"/>
      <c r="AB650" s="223"/>
      <c r="AC650" s="223"/>
      <c r="AD650" s="223"/>
    </row>
    <row r="651" ht="15.75" customHeight="1">
      <c r="A651" s="532"/>
      <c r="B651" s="221"/>
      <c r="C651" s="223"/>
      <c r="D651" s="223"/>
      <c r="E651" s="223"/>
      <c r="F651" s="223"/>
      <c r="G651" s="223"/>
      <c r="H651" s="223"/>
      <c r="I651" s="223"/>
      <c r="J651" s="223"/>
      <c r="K651" s="223"/>
      <c r="L651" s="223"/>
      <c r="M651" s="532"/>
      <c r="N651" s="532"/>
      <c r="O651" s="532"/>
      <c r="P651" s="223"/>
      <c r="Q651" s="223"/>
      <c r="R651" s="223"/>
      <c r="S651" s="223"/>
      <c r="T651" s="223"/>
      <c r="U651" s="532"/>
      <c r="V651" s="532"/>
      <c r="W651" s="223"/>
      <c r="X651" s="532"/>
      <c r="Y651" s="223"/>
      <c r="Z651" s="223"/>
      <c r="AA651" s="223"/>
      <c r="AB651" s="223"/>
      <c r="AC651" s="223"/>
      <c r="AD651" s="223"/>
    </row>
    <row r="652" ht="15.75" customHeight="1">
      <c r="A652" s="532"/>
      <c r="B652" s="221"/>
      <c r="C652" s="223"/>
      <c r="D652" s="223"/>
      <c r="E652" s="223"/>
      <c r="F652" s="223"/>
      <c r="G652" s="223"/>
      <c r="H652" s="223"/>
      <c r="I652" s="223"/>
      <c r="J652" s="223"/>
      <c r="K652" s="223"/>
      <c r="L652" s="223"/>
      <c r="M652" s="532"/>
      <c r="N652" s="532"/>
      <c r="O652" s="532"/>
      <c r="P652" s="223"/>
      <c r="Q652" s="223"/>
      <c r="R652" s="223"/>
      <c r="S652" s="223"/>
      <c r="T652" s="223"/>
      <c r="U652" s="532"/>
      <c r="V652" s="532"/>
      <c r="W652" s="223"/>
      <c r="X652" s="532"/>
      <c r="Y652" s="223"/>
      <c r="Z652" s="223"/>
      <c r="AA652" s="223"/>
      <c r="AB652" s="223"/>
      <c r="AC652" s="223"/>
      <c r="AD652" s="223"/>
    </row>
    <row r="653" ht="15.75" customHeight="1">
      <c r="A653" s="532"/>
      <c r="B653" s="221"/>
      <c r="C653" s="223"/>
      <c r="D653" s="223"/>
      <c r="E653" s="223"/>
      <c r="F653" s="223"/>
      <c r="G653" s="223"/>
      <c r="H653" s="223"/>
      <c r="I653" s="223"/>
      <c r="J653" s="223"/>
      <c r="K653" s="223"/>
      <c r="L653" s="223"/>
      <c r="M653" s="532"/>
      <c r="N653" s="532"/>
      <c r="O653" s="532"/>
      <c r="P653" s="223"/>
      <c r="Q653" s="223"/>
      <c r="R653" s="223"/>
      <c r="S653" s="223"/>
      <c r="T653" s="223"/>
      <c r="U653" s="532"/>
      <c r="V653" s="532"/>
      <c r="W653" s="223"/>
      <c r="X653" s="532"/>
      <c r="Y653" s="223"/>
      <c r="Z653" s="223"/>
      <c r="AA653" s="223"/>
      <c r="AB653" s="223"/>
      <c r="AC653" s="223"/>
      <c r="AD653" s="223"/>
    </row>
    <row r="654" ht="15.75" customHeight="1">
      <c r="A654" s="532"/>
      <c r="B654" s="221"/>
      <c r="C654" s="223"/>
      <c r="D654" s="223"/>
      <c r="E654" s="223"/>
      <c r="F654" s="223"/>
      <c r="G654" s="223"/>
      <c r="H654" s="223"/>
      <c r="I654" s="223"/>
      <c r="J654" s="223"/>
      <c r="K654" s="223"/>
      <c r="L654" s="223"/>
      <c r="M654" s="532"/>
      <c r="N654" s="532"/>
      <c r="O654" s="532"/>
      <c r="P654" s="223"/>
      <c r="Q654" s="223"/>
      <c r="R654" s="223"/>
      <c r="S654" s="223"/>
      <c r="T654" s="223"/>
      <c r="U654" s="532"/>
      <c r="V654" s="532"/>
      <c r="W654" s="223"/>
      <c r="X654" s="532"/>
      <c r="Y654" s="223"/>
      <c r="Z654" s="223"/>
      <c r="AA654" s="223"/>
      <c r="AB654" s="223"/>
      <c r="AC654" s="223"/>
      <c r="AD654" s="223"/>
    </row>
    <row r="655" ht="15.75" customHeight="1">
      <c r="A655" s="532"/>
      <c r="B655" s="221"/>
      <c r="C655" s="223"/>
      <c r="D655" s="223"/>
      <c r="E655" s="223"/>
      <c r="F655" s="223"/>
      <c r="G655" s="223"/>
      <c r="H655" s="223"/>
      <c r="I655" s="223"/>
      <c r="J655" s="223"/>
      <c r="K655" s="223"/>
      <c r="L655" s="223"/>
      <c r="M655" s="532"/>
      <c r="N655" s="532"/>
      <c r="O655" s="532"/>
      <c r="P655" s="223"/>
      <c r="Q655" s="223"/>
      <c r="R655" s="223"/>
      <c r="S655" s="223"/>
      <c r="T655" s="223"/>
      <c r="U655" s="532"/>
      <c r="V655" s="532"/>
      <c r="W655" s="223"/>
      <c r="X655" s="532"/>
      <c r="Y655" s="223"/>
      <c r="Z655" s="223"/>
      <c r="AA655" s="223"/>
      <c r="AB655" s="223"/>
      <c r="AC655" s="223"/>
      <c r="AD655" s="223"/>
    </row>
    <row r="656" ht="15.75" customHeight="1">
      <c r="A656" s="532"/>
      <c r="B656" s="221"/>
      <c r="C656" s="223"/>
      <c r="D656" s="223"/>
      <c r="E656" s="223"/>
      <c r="F656" s="223"/>
      <c r="G656" s="223"/>
      <c r="H656" s="223"/>
      <c r="I656" s="223"/>
      <c r="J656" s="223"/>
      <c r="K656" s="223"/>
      <c r="L656" s="223"/>
      <c r="M656" s="532"/>
      <c r="N656" s="532"/>
      <c r="O656" s="532"/>
      <c r="P656" s="223"/>
      <c r="Q656" s="223"/>
      <c r="R656" s="223"/>
      <c r="S656" s="223"/>
      <c r="T656" s="223"/>
      <c r="U656" s="532"/>
      <c r="V656" s="532"/>
      <c r="W656" s="223"/>
      <c r="X656" s="532"/>
      <c r="Y656" s="223"/>
      <c r="Z656" s="223"/>
      <c r="AA656" s="223"/>
      <c r="AB656" s="223"/>
      <c r="AC656" s="223"/>
      <c r="AD656" s="223"/>
    </row>
    <row r="657" ht="15.75" customHeight="1">
      <c r="A657" s="532"/>
      <c r="B657" s="221"/>
      <c r="C657" s="223"/>
      <c r="D657" s="223"/>
      <c r="E657" s="223"/>
      <c r="F657" s="223"/>
      <c r="G657" s="223"/>
      <c r="H657" s="223"/>
      <c r="I657" s="223"/>
      <c r="J657" s="223"/>
      <c r="K657" s="223"/>
      <c r="L657" s="223"/>
      <c r="M657" s="532"/>
      <c r="N657" s="532"/>
      <c r="O657" s="532"/>
      <c r="P657" s="223"/>
      <c r="Q657" s="223"/>
      <c r="R657" s="223"/>
      <c r="S657" s="223"/>
      <c r="T657" s="223"/>
      <c r="U657" s="532"/>
      <c r="V657" s="532"/>
      <c r="W657" s="223"/>
      <c r="X657" s="532"/>
      <c r="Y657" s="223"/>
      <c r="Z657" s="223"/>
      <c r="AA657" s="223"/>
      <c r="AB657" s="223"/>
      <c r="AC657" s="223"/>
      <c r="AD657" s="223"/>
    </row>
    <row r="658" ht="15.75" customHeight="1">
      <c r="A658" s="532"/>
      <c r="B658" s="221"/>
      <c r="C658" s="223"/>
      <c r="D658" s="223"/>
      <c r="E658" s="223"/>
      <c r="F658" s="223"/>
      <c r="G658" s="223"/>
      <c r="H658" s="223"/>
      <c r="I658" s="223"/>
      <c r="J658" s="223"/>
      <c r="K658" s="223"/>
      <c r="L658" s="223"/>
      <c r="M658" s="532"/>
      <c r="N658" s="532"/>
      <c r="O658" s="532"/>
      <c r="P658" s="223"/>
      <c r="Q658" s="223"/>
      <c r="R658" s="223"/>
      <c r="S658" s="223"/>
      <c r="T658" s="223"/>
      <c r="U658" s="532"/>
      <c r="V658" s="532"/>
      <c r="W658" s="223"/>
      <c r="X658" s="532"/>
      <c r="Y658" s="223"/>
      <c r="Z658" s="223"/>
      <c r="AA658" s="223"/>
      <c r="AB658" s="223"/>
      <c r="AC658" s="223"/>
      <c r="AD658" s="223"/>
    </row>
    <row r="659" ht="15.75" customHeight="1">
      <c r="A659" s="532"/>
      <c r="B659" s="221"/>
      <c r="C659" s="223"/>
      <c r="D659" s="223"/>
      <c r="E659" s="223"/>
      <c r="F659" s="223"/>
      <c r="G659" s="223"/>
      <c r="H659" s="223"/>
      <c r="I659" s="223"/>
      <c r="J659" s="223"/>
      <c r="K659" s="223"/>
      <c r="L659" s="223"/>
      <c r="M659" s="532"/>
      <c r="N659" s="532"/>
      <c r="O659" s="532"/>
      <c r="P659" s="223"/>
      <c r="Q659" s="223"/>
      <c r="R659" s="223"/>
      <c r="S659" s="223"/>
      <c r="T659" s="223"/>
      <c r="U659" s="532"/>
      <c r="V659" s="532"/>
      <c r="W659" s="223"/>
      <c r="X659" s="532"/>
      <c r="Y659" s="223"/>
      <c r="Z659" s="223"/>
      <c r="AA659" s="223"/>
      <c r="AB659" s="223"/>
      <c r="AC659" s="223"/>
      <c r="AD659" s="223"/>
    </row>
    <row r="660" ht="15.75" customHeight="1">
      <c r="A660" s="532"/>
      <c r="B660" s="221"/>
      <c r="C660" s="223"/>
      <c r="D660" s="223"/>
      <c r="E660" s="223"/>
      <c r="F660" s="223"/>
      <c r="G660" s="223"/>
      <c r="H660" s="223"/>
      <c r="I660" s="223"/>
      <c r="J660" s="223"/>
      <c r="K660" s="223"/>
      <c r="L660" s="223"/>
      <c r="M660" s="532"/>
      <c r="N660" s="532"/>
      <c r="O660" s="532"/>
      <c r="P660" s="223"/>
      <c r="Q660" s="223"/>
      <c r="R660" s="223"/>
      <c r="S660" s="223"/>
      <c r="T660" s="223"/>
      <c r="U660" s="532"/>
      <c r="V660" s="532"/>
      <c r="W660" s="223"/>
      <c r="X660" s="532"/>
      <c r="Y660" s="223"/>
      <c r="Z660" s="223"/>
      <c r="AA660" s="223"/>
      <c r="AB660" s="223"/>
      <c r="AC660" s="223"/>
      <c r="AD660" s="223"/>
    </row>
    <row r="661" ht="15.75" customHeight="1">
      <c r="A661" s="532"/>
      <c r="B661" s="221"/>
      <c r="C661" s="223"/>
      <c r="D661" s="223"/>
      <c r="E661" s="223"/>
      <c r="F661" s="223"/>
      <c r="G661" s="223"/>
      <c r="H661" s="223"/>
      <c r="I661" s="223"/>
      <c r="J661" s="223"/>
      <c r="K661" s="223"/>
      <c r="L661" s="223"/>
      <c r="M661" s="532"/>
      <c r="N661" s="532"/>
      <c r="O661" s="532"/>
      <c r="P661" s="223"/>
      <c r="Q661" s="223"/>
      <c r="R661" s="223"/>
      <c r="S661" s="223"/>
      <c r="T661" s="223"/>
      <c r="U661" s="532"/>
      <c r="V661" s="532"/>
      <c r="W661" s="223"/>
      <c r="X661" s="532"/>
      <c r="Y661" s="223"/>
      <c r="Z661" s="223"/>
      <c r="AA661" s="223"/>
      <c r="AB661" s="223"/>
      <c r="AC661" s="223"/>
      <c r="AD661" s="223"/>
    </row>
    <row r="662" ht="15.75" customHeight="1">
      <c r="A662" s="532"/>
      <c r="B662" s="221"/>
      <c r="C662" s="223"/>
      <c r="D662" s="223"/>
      <c r="E662" s="223"/>
      <c r="F662" s="223"/>
      <c r="G662" s="223"/>
      <c r="H662" s="223"/>
      <c r="I662" s="223"/>
      <c r="J662" s="223"/>
      <c r="K662" s="223"/>
      <c r="L662" s="223"/>
      <c r="M662" s="532"/>
      <c r="N662" s="532"/>
      <c r="O662" s="532"/>
      <c r="P662" s="223"/>
      <c r="Q662" s="223"/>
      <c r="R662" s="223"/>
      <c r="S662" s="223"/>
      <c r="T662" s="223"/>
      <c r="U662" s="532"/>
      <c r="V662" s="532"/>
      <c r="W662" s="223"/>
      <c r="X662" s="532"/>
      <c r="Y662" s="223"/>
      <c r="Z662" s="223"/>
      <c r="AA662" s="223"/>
      <c r="AB662" s="223"/>
      <c r="AC662" s="223"/>
      <c r="AD662" s="223"/>
    </row>
    <row r="663" ht="15.75" customHeight="1">
      <c r="A663" s="532"/>
      <c r="B663" s="221"/>
      <c r="C663" s="223"/>
      <c r="D663" s="223"/>
      <c r="E663" s="223"/>
      <c r="F663" s="223"/>
      <c r="G663" s="223"/>
      <c r="H663" s="223"/>
      <c r="I663" s="223"/>
      <c r="J663" s="223"/>
      <c r="K663" s="223"/>
      <c r="L663" s="223"/>
      <c r="M663" s="532"/>
      <c r="N663" s="532"/>
      <c r="O663" s="532"/>
      <c r="P663" s="223"/>
      <c r="Q663" s="223"/>
      <c r="R663" s="223"/>
      <c r="S663" s="223"/>
      <c r="T663" s="223"/>
      <c r="U663" s="532"/>
      <c r="V663" s="532"/>
      <c r="W663" s="223"/>
      <c r="X663" s="532"/>
      <c r="Y663" s="223"/>
      <c r="Z663" s="223"/>
      <c r="AA663" s="223"/>
      <c r="AB663" s="223"/>
      <c r="AC663" s="223"/>
      <c r="AD663" s="223"/>
    </row>
    <row r="664" ht="15.75" customHeight="1">
      <c r="A664" s="532"/>
      <c r="B664" s="221"/>
      <c r="C664" s="223"/>
      <c r="D664" s="223"/>
      <c r="E664" s="223"/>
      <c r="F664" s="223"/>
      <c r="G664" s="223"/>
      <c r="H664" s="223"/>
      <c r="I664" s="223"/>
      <c r="J664" s="223"/>
      <c r="K664" s="223"/>
      <c r="L664" s="223"/>
      <c r="M664" s="532"/>
      <c r="N664" s="532"/>
      <c r="O664" s="532"/>
      <c r="P664" s="223"/>
      <c r="Q664" s="223"/>
      <c r="R664" s="223"/>
      <c r="S664" s="223"/>
      <c r="T664" s="223"/>
      <c r="U664" s="532"/>
      <c r="V664" s="532"/>
      <c r="W664" s="223"/>
      <c r="X664" s="532"/>
      <c r="Y664" s="223"/>
      <c r="Z664" s="223"/>
      <c r="AA664" s="223"/>
      <c r="AB664" s="223"/>
      <c r="AC664" s="223"/>
      <c r="AD664" s="223"/>
    </row>
    <row r="665" ht="15.75" customHeight="1">
      <c r="A665" s="532"/>
      <c r="B665" s="221"/>
      <c r="C665" s="223"/>
      <c r="D665" s="223"/>
      <c r="E665" s="223"/>
      <c r="F665" s="223"/>
      <c r="G665" s="223"/>
      <c r="H665" s="223"/>
      <c r="I665" s="223"/>
      <c r="J665" s="223"/>
      <c r="K665" s="223"/>
      <c r="L665" s="223"/>
      <c r="M665" s="532"/>
      <c r="N665" s="532"/>
      <c r="O665" s="532"/>
      <c r="P665" s="223"/>
      <c r="Q665" s="223"/>
      <c r="R665" s="223"/>
      <c r="S665" s="223"/>
      <c r="T665" s="223"/>
      <c r="U665" s="532"/>
      <c r="V665" s="532"/>
      <c r="W665" s="223"/>
      <c r="X665" s="532"/>
      <c r="Y665" s="223"/>
      <c r="Z665" s="223"/>
      <c r="AA665" s="223"/>
      <c r="AB665" s="223"/>
      <c r="AC665" s="223"/>
      <c r="AD665" s="223"/>
    </row>
    <row r="666" ht="15.75" customHeight="1">
      <c r="A666" s="532"/>
      <c r="B666" s="221"/>
      <c r="C666" s="223"/>
      <c r="D666" s="223"/>
      <c r="E666" s="223"/>
      <c r="F666" s="223"/>
      <c r="G666" s="223"/>
      <c r="H666" s="223"/>
      <c r="I666" s="223"/>
      <c r="J666" s="223"/>
      <c r="K666" s="223"/>
      <c r="L666" s="223"/>
      <c r="M666" s="532"/>
      <c r="N666" s="532"/>
      <c r="O666" s="532"/>
      <c r="P666" s="223"/>
      <c r="Q666" s="223"/>
      <c r="R666" s="223"/>
      <c r="S666" s="223"/>
      <c r="T666" s="223"/>
      <c r="U666" s="532"/>
      <c r="V666" s="532"/>
      <c r="W666" s="223"/>
      <c r="X666" s="532"/>
      <c r="Y666" s="223"/>
      <c r="Z666" s="223"/>
      <c r="AA666" s="223"/>
      <c r="AB666" s="223"/>
      <c r="AC666" s="223"/>
      <c r="AD666" s="223"/>
    </row>
    <row r="667" ht="15.75" customHeight="1">
      <c r="A667" s="532"/>
      <c r="B667" s="221"/>
      <c r="C667" s="223"/>
      <c r="D667" s="223"/>
      <c r="E667" s="223"/>
      <c r="F667" s="223"/>
      <c r="G667" s="223"/>
      <c r="H667" s="223"/>
      <c r="I667" s="223"/>
      <c r="J667" s="223"/>
      <c r="K667" s="223"/>
      <c r="L667" s="223"/>
      <c r="M667" s="532"/>
      <c r="N667" s="532"/>
      <c r="O667" s="532"/>
      <c r="P667" s="223"/>
      <c r="Q667" s="223"/>
      <c r="R667" s="223"/>
      <c r="S667" s="223"/>
      <c r="T667" s="223"/>
      <c r="U667" s="532"/>
      <c r="V667" s="532"/>
      <c r="W667" s="223"/>
      <c r="X667" s="532"/>
      <c r="Y667" s="223"/>
      <c r="Z667" s="223"/>
      <c r="AA667" s="223"/>
      <c r="AB667" s="223"/>
      <c r="AC667" s="223"/>
      <c r="AD667" s="223"/>
    </row>
    <row r="668" ht="15.75" customHeight="1">
      <c r="A668" s="532"/>
      <c r="B668" s="221"/>
      <c r="C668" s="223"/>
      <c r="D668" s="223"/>
      <c r="E668" s="223"/>
      <c r="F668" s="223"/>
      <c r="G668" s="223"/>
      <c r="H668" s="223"/>
      <c r="I668" s="223"/>
      <c r="J668" s="223"/>
      <c r="K668" s="223"/>
      <c r="L668" s="223"/>
      <c r="M668" s="532"/>
      <c r="N668" s="532"/>
      <c r="O668" s="532"/>
      <c r="P668" s="223"/>
      <c r="Q668" s="223"/>
      <c r="R668" s="223"/>
      <c r="S668" s="223"/>
      <c r="T668" s="223"/>
      <c r="U668" s="532"/>
      <c r="V668" s="532"/>
      <c r="W668" s="223"/>
      <c r="X668" s="532"/>
      <c r="Y668" s="223"/>
      <c r="Z668" s="223"/>
      <c r="AA668" s="223"/>
      <c r="AB668" s="223"/>
      <c r="AC668" s="223"/>
      <c r="AD668" s="223"/>
    </row>
    <row r="669" ht="15.75" customHeight="1">
      <c r="A669" s="532"/>
      <c r="B669" s="221"/>
      <c r="C669" s="223"/>
      <c r="D669" s="223"/>
      <c r="E669" s="223"/>
      <c r="F669" s="223"/>
      <c r="G669" s="223"/>
      <c r="H669" s="223"/>
      <c r="I669" s="223"/>
      <c r="J669" s="223"/>
      <c r="K669" s="223"/>
      <c r="L669" s="223"/>
      <c r="M669" s="532"/>
      <c r="N669" s="532"/>
      <c r="O669" s="532"/>
      <c r="P669" s="223"/>
      <c r="Q669" s="223"/>
      <c r="R669" s="223"/>
      <c r="S669" s="223"/>
      <c r="T669" s="223"/>
      <c r="U669" s="532"/>
      <c r="V669" s="532"/>
      <c r="W669" s="223"/>
      <c r="X669" s="532"/>
      <c r="Y669" s="223"/>
      <c r="Z669" s="223"/>
      <c r="AA669" s="223"/>
      <c r="AB669" s="223"/>
      <c r="AC669" s="223"/>
      <c r="AD669" s="223"/>
    </row>
    <row r="670" ht="15.75" customHeight="1">
      <c r="A670" s="532"/>
      <c r="B670" s="221"/>
      <c r="C670" s="223"/>
      <c r="D670" s="223"/>
      <c r="E670" s="223"/>
      <c r="F670" s="223"/>
      <c r="G670" s="223"/>
      <c r="H670" s="223"/>
      <c r="I670" s="223"/>
      <c r="J670" s="223"/>
      <c r="K670" s="223"/>
      <c r="L670" s="223"/>
      <c r="M670" s="532"/>
      <c r="N670" s="532"/>
      <c r="O670" s="532"/>
      <c r="P670" s="223"/>
      <c r="Q670" s="223"/>
      <c r="R670" s="223"/>
      <c r="S670" s="223"/>
      <c r="T670" s="223"/>
      <c r="U670" s="532"/>
      <c r="V670" s="532"/>
      <c r="W670" s="223"/>
      <c r="X670" s="532"/>
      <c r="Y670" s="223"/>
      <c r="Z670" s="223"/>
      <c r="AA670" s="223"/>
      <c r="AB670" s="223"/>
      <c r="AC670" s="223"/>
      <c r="AD670" s="223"/>
    </row>
    <row r="671" ht="15.75" customHeight="1">
      <c r="A671" s="532"/>
      <c r="B671" s="221"/>
      <c r="C671" s="223"/>
      <c r="D671" s="223"/>
      <c r="E671" s="223"/>
      <c r="F671" s="223"/>
      <c r="G671" s="223"/>
      <c r="H671" s="223"/>
      <c r="I671" s="223"/>
      <c r="J671" s="223"/>
      <c r="K671" s="223"/>
      <c r="L671" s="223"/>
      <c r="M671" s="532"/>
      <c r="N671" s="532"/>
      <c r="O671" s="532"/>
      <c r="P671" s="223"/>
      <c r="Q671" s="223"/>
      <c r="R671" s="223"/>
      <c r="S671" s="223"/>
      <c r="T671" s="223"/>
      <c r="U671" s="532"/>
      <c r="V671" s="532"/>
      <c r="W671" s="223"/>
      <c r="X671" s="532"/>
      <c r="Y671" s="223"/>
      <c r="Z671" s="223"/>
      <c r="AA671" s="223"/>
      <c r="AB671" s="223"/>
      <c r="AC671" s="223"/>
      <c r="AD671" s="223"/>
    </row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0.86"/>
    <col customWidth="1" min="2" max="4" width="12.57"/>
    <col customWidth="1" min="5" max="5" width="21.0"/>
    <col customWidth="1" min="6" max="6" width="12.57"/>
    <col customWidth="1" min="7" max="7" width="14.57"/>
    <col customWidth="1" min="8" max="18" width="12.57"/>
    <col customWidth="1" min="19" max="19" width="16.57"/>
    <col customWidth="1" min="20" max="20" width="19.86"/>
    <col customWidth="1" min="21" max="26" width="12.57"/>
  </cols>
  <sheetData>
    <row r="1" ht="15.75" customHeight="1">
      <c r="A1" s="752" t="s">
        <v>3462</v>
      </c>
      <c r="B1" s="1122" t="s">
        <v>3463</v>
      </c>
      <c r="C1" s="1123" t="s">
        <v>2</v>
      </c>
      <c r="D1" s="1123" t="s">
        <v>3</v>
      </c>
      <c r="E1" s="1122" t="s">
        <v>4</v>
      </c>
      <c r="F1" s="1123" t="s">
        <v>5</v>
      </c>
      <c r="G1" s="1124" t="s">
        <v>5973</v>
      </c>
      <c r="H1" s="1124" t="s">
        <v>5974</v>
      </c>
      <c r="I1" s="1124" t="s">
        <v>10944</v>
      </c>
      <c r="J1" s="1124" t="s">
        <v>10945</v>
      </c>
      <c r="K1" s="1123" t="s">
        <v>8</v>
      </c>
      <c r="L1" s="1123" t="s">
        <v>9</v>
      </c>
      <c r="M1" s="1230" t="s">
        <v>10</v>
      </c>
      <c r="N1" s="575" t="s">
        <v>12631</v>
      </c>
      <c r="O1" s="575" t="s">
        <v>8652</v>
      </c>
      <c r="P1" s="575" t="s">
        <v>12</v>
      </c>
      <c r="Q1" s="575" t="s">
        <v>8653</v>
      </c>
      <c r="R1" s="1126" t="s">
        <v>5977</v>
      </c>
      <c r="S1" s="1126" t="s">
        <v>5978</v>
      </c>
      <c r="T1" s="575" t="s">
        <v>5979</v>
      </c>
      <c r="U1" s="1130" t="s">
        <v>12632</v>
      </c>
      <c r="V1" s="1130" t="s">
        <v>12633</v>
      </c>
      <c r="W1" s="1130" t="s">
        <v>12634</v>
      </c>
      <c r="X1" s="1130" t="s">
        <v>12635</v>
      </c>
      <c r="Y1" s="1130" t="s">
        <v>12636</v>
      </c>
      <c r="Z1" s="91"/>
    </row>
    <row r="2" ht="15.75" customHeight="1">
      <c r="A2" s="1293">
        <v>41605.0</v>
      </c>
      <c r="B2" s="599" t="s">
        <v>54</v>
      </c>
      <c r="C2" s="1004" t="s">
        <v>12637</v>
      </c>
      <c r="D2" s="388" t="s">
        <v>12638</v>
      </c>
      <c r="E2" s="340" t="s">
        <v>4750</v>
      </c>
      <c r="F2" s="1137">
        <v>100.0</v>
      </c>
      <c r="G2" s="325">
        <v>100.8</v>
      </c>
      <c r="H2" s="466">
        <f t="shared" ref="H2:H12" si="1">G2*F2</f>
        <v>10080</v>
      </c>
      <c r="I2" s="793"/>
      <c r="J2" s="793"/>
      <c r="K2" s="256" t="s">
        <v>8675</v>
      </c>
      <c r="L2" s="592" t="s">
        <v>12639</v>
      </c>
      <c r="M2" s="832">
        <v>41652.0</v>
      </c>
      <c r="N2" s="592" t="s">
        <v>90</v>
      </c>
      <c r="O2" s="388"/>
      <c r="P2" s="388" t="s">
        <v>90</v>
      </c>
      <c r="Q2" s="773">
        <v>2.0131100103404E13</v>
      </c>
      <c r="R2" s="1294">
        <v>13230.0</v>
      </c>
      <c r="S2" s="793"/>
      <c r="T2" s="388" t="s">
        <v>6081</v>
      </c>
      <c r="U2" s="1143">
        <v>41642.0</v>
      </c>
      <c r="V2" s="1295">
        <v>41652.0</v>
      </c>
      <c r="W2" s="1296">
        <v>395577.0</v>
      </c>
      <c r="X2" s="1297" t="s">
        <v>12640</v>
      </c>
      <c r="Y2" s="388"/>
      <c r="Z2" s="91"/>
    </row>
    <row r="3" ht="15.75" customHeight="1">
      <c r="A3" s="1293">
        <v>41613.0</v>
      </c>
      <c r="B3" s="599" t="s">
        <v>54</v>
      </c>
      <c r="C3" s="1004" t="s">
        <v>12641</v>
      </c>
      <c r="D3" s="388" t="s">
        <v>12642</v>
      </c>
      <c r="E3" s="340" t="s">
        <v>4750</v>
      </c>
      <c r="F3" s="1137">
        <v>50.0</v>
      </c>
      <c r="G3" s="325">
        <v>100.8</v>
      </c>
      <c r="H3" s="466">
        <f t="shared" si="1"/>
        <v>5040</v>
      </c>
      <c r="I3" s="793"/>
      <c r="J3" s="793"/>
      <c r="K3" s="256" t="s">
        <v>8675</v>
      </c>
      <c r="L3" s="592" t="s">
        <v>12639</v>
      </c>
      <c r="M3" s="832">
        <v>41652.0</v>
      </c>
      <c r="N3" s="592" t="s">
        <v>90</v>
      </c>
      <c r="O3" s="388"/>
      <c r="P3" s="388" t="s">
        <v>90</v>
      </c>
      <c r="Q3" s="773">
        <v>2.0131200105685E13</v>
      </c>
      <c r="R3" s="466"/>
      <c r="S3" s="793"/>
      <c r="T3" s="388" t="s">
        <v>6081</v>
      </c>
      <c r="U3" s="1143">
        <v>41642.0</v>
      </c>
      <c r="V3" s="1133"/>
      <c r="W3" s="1149"/>
      <c r="X3" s="320"/>
      <c r="Y3" s="388"/>
      <c r="Z3" s="91"/>
    </row>
    <row r="4" ht="15.75" customHeight="1">
      <c r="A4" s="1293">
        <v>41583.0</v>
      </c>
      <c r="B4" s="599" t="s">
        <v>1204</v>
      </c>
      <c r="C4" s="1004" t="s">
        <v>12643</v>
      </c>
      <c r="D4" s="388" t="s">
        <v>12644</v>
      </c>
      <c r="E4" s="340" t="s">
        <v>12645</v>
      </c>
      <c r="F4" s="1137">
        <v>1.0</v>
      </c>
      <c r="G4" s="325">
        <v>553.0</v>
      </c>
      <c r="H4" s="466">
        <f t="shared" si="1"/>
        <v>553</v>
      </c>
      <c r="I4" s="793"/>
      <c r="J4" s="793"/>
      <c r="K4" s="256" t="s">
        <v>87</v>
      </c>
      <c r="L4" s="320" t="s">
        <v>12094</v>
      </c>
      <c r="M4" s="832">
        <v>41642.0</v>
      </c>
      <c r="N4" s="592" t="s">
        <v>12646</v>
      </c>
      <c r="O4" s="832">
        <v>41626.0</v>
      </c>
      <c r="P4" s="388" t="s">
        <v>11214</v>
      </c>
      <c r="Q4" s="388"/>
      <c r="R4" s="793"/>
      <c r="S4" s="325">
        <v>14700.0</v>
      </c>
      <c r="T4" s="388"/>
      <c r="U4" s="1143">
        <v>41625.0</v>
      </c>
      <c r="V4" s="1143">
        <v>41625.0</v>
      </c>
      <c r="W4" s="1159">
        <v>14700.0</v>
      </c>
      <c r="X4" s="1298" t="s">
        <v>12647</v>
      </c>
      <c r="Y4" s="388"/>
      <c r="Z4" s="91"/>
    </row>
    <row r="5" ht="15.75" customHeight="1">
      <c r="A5" s="1293">
        <v>41583.0</v>
      </c>
      <c r="B5" s="599" t="s">
        <v>1204</v>
      </c>
      <c r="C5" s="1004" t="s">
        <v>12643</v>
      </c>
      <c r="D5" s="388" t="s">
        <v>12644</v>
      </c>
      <c r="E5" s="340" t="s">
        <v>12648</v>
      </c>
      <c r="F5" s="1137">
        <v>4.0</v>
      </c>
      <c r="G5" s="325">
        <v>177.0</v>
      </c>
      <c r="H5" s="466">
        <f t="shared" si="1"/>
        <v>708</v>
      </c>
      <c r="I5" s="793"/>
      <c r="J5" s="793"/>
      <c r="K5" s="256" t="s">
        <v>87</v>
      </c>
      <c r="L5" s="320" t="s">
        <v>12094</v>
      </c>
      <c r="M5" s="832">
        <v>41642.0</v>
      </c>
      <c r="N5" s="592" t="s">
        <v>12646</v>
      </c>
      <c r="O5" s="832">
        <v>41626.0</v>
      </c>
      <c r="P5" s="388" t="s">
        <v>90</v>
      </c>
      <c r="Q5" s="773">
        <v>2.013110010233E13</v>
      </c>
      <c r="R5" s="466">
        <v>613.2</v>
      </c>
      <c r="S5" s="793"/>
      <c r="T5" s="388" t="s">
        <v>6081</v>
      </c>
      <c r="U5" s="1143">
        <v>41621.0</v>
      </c>
      <c r="V5" s="1143">
        <v>41590.0</v>
      </c>
      <c r="W5" s="1159">
        <v>17994.0</v>
      </c>
      <c r="X5" s="1298"/>
      <c r="Y5" s="388"/>
      <c r="Z5" s="91"/>
    </row>
    <row r="6" ht="15.75" customHeight="1">
      <c r="A6" s="1293">
        <v>41628.0</v>
      </c>
      <c r="B6" s="599" t="s">
        <v>1204</v>
      </c>
      <c r="C6" s="1004" t="s">
        <v>12643</v>
      </c>
      <c r="D6" s="388" t="s">
        <v>12649</v>
      </c>
      <c r="E6" s="340" t="s">
        <v>12650</v>
      </c>
      <c r="F6" s="1137">
        <v>1.0</v>
      </c>
      <c r="G6" s="325">
        <v>43.0</v>
      </c>
      <c r="H6" s="466">
        <f t="shared" si="1"/>
        <v>43</v>
      </c>
      <c r="I6" s="793"/>
      <c r="J6" s="793"/>
      <c r="K6" s="256" t="s">
        <v>87</v>
      </c>
      <c r="L6" s="320" t="s">
        <v>12094</v>
      </c>
      <c r="M6" s="832">
        <v>41642.0</v>
      </c>
      <c r="N6" s="592" t="s">
        <v>12646</v>
      </c>
      <c r="O6" s="832">
        <v>41639.0</v>
      </c>
      <c r="P6" s="388" t="s">
        <v>12651</v>
      </c>
      <c r="Q6" s="388"/>
      <c r="R6" s="793"/>
      <c r="S6" s="1299">
        <v>2526.0</v>
      </c>
      <c r="T6" s="388"/>
      <c r="U6" s="1143">
        <v>41639.0</v>
      </c>
      <c r="V6" s="1295">
        <v>41639.0</v>
      </c>
      <c r="W6" s="1296">
        <v>2625.0</v>
      </c>
      <c r="X6" s="1298"/>
      <c r="Y6" s="388"/>
      <c r="Z6" s="91"/>
    </row>
    <row r="7" ht="15.75" customHeight="1">
      <c r="A7" s="1293">
        <v>41628.0</v>
      </c>
      <c r="B7" s="599" t="s">
        <v>1204</v>
      </c>
      <c r="C7" s="1004" t="s">
        <v>12643</v>
      </c>
      <c r="D7" s="388" t="s">
        <v>12649</v>
      </c>
      <c r="E7" s="340" t="s">
        <v>12652</v>
      </c>
      <c r="F7" s="1137">
        <v>1.0</v>
      </c>
      <c r="G7" s="325">
        <v>40.0</v>
      </c>
      <c r="H7" s="466">
        <f t="shared" si="1"/>
        <v>40</v>
      </c>
      <c r="I7" s="793"/>
      <c r="J7" s="793"/>
      <c r="K7" s="256" t="s">
        <v>87</v>
      </c>
      <c r="L7" s="832">
        <v>41642.0</v>
      </c>
      <c r="M7" s="388"/>
      <c r="N7" s="592" t="s">
        <v>12646</v>
      </c>
      <c r="O7" s="832">
        <v>41639.0</v>
      </c>
      <c r="P7" s="388" t="s">
        <v>12651</v>
      </c>
      <c r="Q7" s="388"/>
      <c r="R7" s="793"/>
      <c r="S7" s="325"/>
      <c r="T7" s="388"/>
      <c r="U7" s="1143">
        <v>41639.0</v>
      </c>
      <c r="V7" s="1133"/>
      <c r="W7" s="1149"/>
      <c r="X7" s="773"/>
      <c r="Y7" s="388"/>
      <c r="Z7" s="91"/>
    </row>
    <row r="8" ht="15.75" customHeight="1">
      <c r="A8" s="1293">
        <v>41618.0</v>
      </c>
      <c r="B8" s="599" t="s">
        <v>1204</v>
      </c>
      <c r="C8" s="1004" t="s">
        <v>12653</v>
      </c>
      <c r="D8" s="388"/>
      <c r="E8" s="340" t="s">
        <v>12654</v>
      </c>
      <c r="F8" s="1137">
        <v>100.0</v>
      </c>
      <c r="G8" s="325">
        <v>37.5</v>
      </c>
      <c r="H8" s="466">
        <f t="shared" si="1"/>
        <v>3750</v>
      </c>
      <c r="I8" s="793"/>
      <c r="J8" s="793"/>
      <c r="K8" s="256" t="s">
        <v>87</v>
      </c>
      <c r="L8" s="320" t="s">
        <v>12094</v>
      </c>
      <c r="M8" s="832">
        <v>41662.0</v>
      </c>
      <c r="N8" s="592" t="s">
        <v>12655</v>
      </c>
      <c r="O8" s="832">
        <v>41659.0</v>
      </c>
      <c r="P8" s="388" t="s">
        <v>12656</v>
      </c>
      <c r="Q8" s="388"/>
      <c r="R8" s="793"/>
      <c r="S8" s="325">
        <v>105000.0</v>
      </c>
      <c r="T8" s="265" t="s">
        <v>2510</v>
      </c>
      <c r="U8" s="1143">
        <v>41690.0</v>
      </c>
      <c r="V8" s="1143">
        <v>41656.0</v>
      </c>
      <c r="W8" s="1159">
        <v>10500.0</v>
      </c>
      <c r="X8" s="773" t="s">
        <v>12657</v>
      </c>
      <c r="Y8" s="388"/>
      <c r="Z8" s="91"/>
    </row>
    <row r="9" ht="15.75" customHeight="1">
      <c r="A9" s="1293">
        <v>41618.0</v>
      </c>
      <c r="B9" s="599" t="s">
        <v>1204</v>
      </c>
      <c r="C9" s="1004" t="s">
        <v>12658</v>
      </c>
      <c r="D9" s="388" t="s">
        <v>12659</v>
      </c>
      <c r="E9" s="340" t="s">
        <v>12654</v>
      </c>
      <c r="F9" s="1137">
        <v>100.0</v>
      </c>
      <c r="G9" s="325">
        <v>37.5</v>
      </c>
      <c r="H9" s="466">
        <f t="shared" si="1"/>
        <v>3750</v>
      </c>
      <c r="I9" s="793"/>
      <c r="J9" s="793"/>
      <c r="K9" s="256" t="s">
        <v>87</v>
      </c>
      <c r="L9" s="320" t="s">
        <v>12094</v>
      </c>
      <c r="M9" s="832">
        <v>41694.0</v>
      </c>
      <c r="N9" s="592" t="s">
        <v>12655</v>
      </c>
      <c r="O9" s="832">
        <v>41691.0</v>
      </c>
      <c r="P9" s="388" t="s">
        <v>12656</v>
      </c>
      <c r="Q9" s="388"/>
      <c r="R9" s="793"/>
      <c r="S9" s="325">
        <v>105000.0</v>
      </c>
      <c r="T9" s="265" t="s">
        <v>2510</v>
      </c>
      <c r="U9" s="1143">
        <v>41730.0</v>
      </c>
      <c r="V9" s="1143">
        <v>41690.0</v>
      </c>
      <c r="W9" s="1159">
        <v>10500.0</v>
      </c>
      <c r="X9" s="773" t="s">
        <v>12660</v>
      </c>
      <c r="Y9" s="388"/>
      <c r="Z9" s="91"/>
    </row>
    <row r="10" ht="15.75" customHeight="1">
      <c r="A10" s="1293">
        <v>41621.0</v>
      </c>
      <c r="B10" s="599" t="s">
        <v>12661</v>
      </c>
      <c r="C10" s="1004" t="s">
        <v>12662</v>
      </c>
      <c r="D10" s="388" t="s">
        <v>12663</v>
      </c>
      <c r="E10" s="340" t="s">
        <v>12664</v>
      </c>
      <c r="F10" s="1137">
        <v>80.0</v>
      </c>
      <c r="G10" s="325">
        <f>152*1.05</f>
        <v>159.6</v>
      </c>
      <c r="H10" s="466">
        <f t="shared" si="1"/>
        <v>12768</v>
      </c>
      <c r="I10" s="793"/>
      <c r="J10" s="793"/>
      <c r="K10" s="256" t="s">
        <v>11999</v>
      </c>
      <c r="L10" s="592" t="s">
        <v>12665</v>
      </c>
      <c r="M10" s="832">
        <v>41648.0</v>
      </c>
      <c r="N10" s="592" t="s">
        <v>90</v>
      </c>
      <c r="O10" s="388"/>
      <c r="P10" s="388" t="s">
        <v>90</v>
      </c>
      <c r="Q10" s="773">
        <v>2.0131200112246E13</v>
      </c>
      <c r="R10" s="325">
        <v>11592.0</v>
      </c>
      <c r="S10" s="793"/>
      <c r="T10" s="388" t="s">
        <v>6081</v>
      </c>
      <c r="U10" s="1143">
        <v>41690.0</v>
      </c>
      <c r="V10" s="1133">
        <v>41648.0</v>
      </c>
      <c r="W10" s="1149">
        <v>346949.0</v>
      </c>
      <c r="X10" s="1300" t="s">
        <v>12640</v>
      </c>
      <c r="Y10" s="388"/>
      <c r="Z10" s="91"/>
    </row>
    <row r="11" ht="15.75" customHeight="1">
      <c r="A11" s="1293">
        <v>41628.0</v>
      </c>
      <c r="B11" s="599" t="s">
        <v>12661</v>
      </c>
      <c r="C11" s="1004" t="s">
        <v>12666</v>
      </c>
      <c r="D11" s="388" t="s">
        <v>12667</v>
      </c>
      <c r="E11" s="340" t="s">
        <v>12668</v>
      </c>
      <c r="F11" s="1137">
        <v>20.0</v>
      </c>
      <c r="G11" s="325">
        <f>130.5*1.05</f>
        <v>137.025</v>
      </c>
      <c r="H11" s="466">
        <f t="shared" si="1"/>
        <v>2740.5</v>
      </c>
      <c r="I11" s="793"/>
      <c r="J11" s="793"/>
      <c r="K11" s="592" t="s">
        <v>11999</v>
      </c>
      <c r="L11" s="592" t="s">
        <v>12665</v>
      </c>
      <c r="M11" s="832">
        <v>41648.0</v>
      </c>
      <c r="N11" s="592" t="s">
        <v>90</v>
      </c>
      <c r="O11" s="388"/>
      <c r="P11" s="388" t="s">
        <v>90</v>
      </c>
      <c r="Q11" s="773">
        <v>2.0131200112486E13</v>
      </c>
      <c r="R11" s="1299">
        <v>2520.0</v>
      </c>
      <c r="S11" s="793"/>
      <c r="T11" s="1300" t="s">
        <v>6081</v>
      </c>
      <c r="U11" s="1143">
        <v>41690.0</v>
      </c>
      <c r="V11" s="1295">
        <v>41648.0</v>
      </c>
      <c r="W11" s="1296">
        <v>75424.0</v>
      </c>
      <c r="X11" s="1300"/>
      <c r="Y11" s="388"/>
      <c r="Z11" s="91"/>
    </row>
    <row r="12" ht="15.75" customHeight="1">
      <c r="A12" s="1293">
        <v>41628.0</v>
      </c>
      <c r="B12" s="599" t="s">
        <v>12661</v>
      </c>
      <c r="C12" s="1004" t="s">
        <v>12666</v>
      </c>
      <c r="D12" s="388" t="s">
        <v>12667</v>
      </c>
      <c r="E12" s="340" t="s">
        <v>4808</v>
      </c>
      <c r="F12" s="1137">
        <v>20.0</v>
      </c>
      <c r="G12" s="325">
        <f>3.5*1.05</f>
        <v>3.675</v>
      </c>
      <c r="H12" s="466">
        <f t="shared" si="1"/>
        <v>73.5</v>
      </c>
      <c r="I12" s="793"/>
      <c r="J12" s="793"/>
      <c r="K12" s="592" t="s">
        <v>11999</v>
      </c>
      <c r="L12" s="592" t="s">
        <v>12665</v>
      </c>
      <c r="M12" s="832">
        <v>41648.0</v>
      </c>
      <c r="N12" s="592" t="s">
        <v>90</v>
      </c>
      <c r="O12" s="388"/>
      <c r="P12" s="388" t="s">
        <v>90</v>
      </c>
      <c r="Q12" s="773">
        <v>2.0131200112486E13</v>
      </c>
      <c r="R12" s="325"/>
      <c r="S12" s="793"/>
      <c r="T12" s="388"/>
      <c r="U12" s="1143">
        <v>41690.0</v>
      </c>
      <c r="V12" s="1133"/>
      <c r="W12" s="1149"/>
      <c r="X12" s="388"/>
      <c r="Y12" s="388"/>
      <c r="Z12" s="91"/>
    </row>
    <row r="13" ht="15.75" customHeight="1">
      <c r="A13" s="1293">
        <v>41632.0</v>
      </c>
      <c r="B13" s="599" t="s">
        <v>12669</v>
      </c>
      <c r="C13" s="388"/>
      <c r="D13" s="388" t="s">
        <v>12670</v>
      </c>
      <c r="E13" s="340" t="s">
        <v>12671</v>
      </c>
      <c r="F13" s="1137">
        <v>1.0</v>
      </c>
      <c r="G13" s="325">
        <v>270.0</v>
      </c>
      <c r="H13" s="466">
        <v>270.0</v>
      </c>
      <c r="I13" s="793"/>
      <c r="J13" s="793"/>
      <c r="K13" s="256" t="s">
        <v>3874</v>
      </c>
      <c r="L13" s="592" t="s">
        <v>12672</v>
      </c>
      <c r="M13" s="832">
        <v>41648.0</v>
      </c>
      <c r="N13" s="592" t="s">
        <v>12646</v>
      </c>
      <c r="O13" s="832">
        <v>41634.0</v>
      </c>
      <c r="P13" s="388" t="s">
        <v>12673</v>
      </c>
      <c r="Q13" s="388"/>
      <c r="R13" s="793"/>
      <c r="S13" s="325">
        <v>7980.0</v>
      </c>
      <c r="T13" s="388" t="s">
        <v>8689</v>
      </c>
      <c r="U13" s="1143">
        <v>41690.0</v>
      </c>
      <c r="V13" s="1143">
        <v>41634.0</v>
      </c>
      <c r="W13" s="1159">
        <v>7980.0</v>
      </c>
      <c r="X13" s="773" t="s">
        <v>12674</v>
      </c>
      <c r="Y13" s="388"/>
      <c r="Z13" s="91"/>
    </row>
    <row r="14" ht="15.75" customHeight="1">
      <c r="A14" s="1293">
        <v>41638.0</v>
      </c>
      <c r="B14" s="599" t="s">
        <v>12661</v>
      </c>
      <c r="C14" s="1004" t="s">
        <v>12675</v>
      </c>
      <c r="D14" s="388" t="s">
        <v>12676</v>
      </c>
      <c r="E14" s="340" t="s">
        <v>12677</v>
      </c>
      <c r="F14" s="1137">
        <v>7.0</v>
      </c>
      <c r="G14" s="325">
        <f>39*1.05</f>
        <v>40.95</v>
      </c>
      <c r="H14" s="466">
        <f t="shared" ref="H14:H22" si="2">G14*F14</f>
        <v>286.65</v>
      </c>
      <c r="I14" s="793"/>
      <c r="J14" s="793"/>
      <c r="K14" s="256" t="s">
        <v>11999</v>
      </c>
      <c r="L14" s="592" t="s">
        <v>12665</v>
      </c>
      <c r="M14" s="832">
        <v>41648.0</v>
      </c>
      <c r="N14" s="592" t="s">
        <v>90</v>
      </c>
      <c r="O14" s="388"/>
      <c r="P14" s="388" t="s">
        <v>90</v>
      </c>
      <c r="Q14" s="773">
        <v>2.013120011254E13</v>
      </c>
      <c r="R14" s="325">
        <v>242.55</v>
      </c>
      <c r="S14" s="793"/>
      <c r="T14" s="388" t="s">
        <v>6081</v>
      </c>
      <c r="U14" s="388"/>
      <c r="V14" s="1133">
        <v>41648.0</v>
      </c>
      <c r="W14" s="1149">
        <v>7260.0</v>
      </c>
      <c r="X14" s="388" t="s">
        <v>12640</v>
      </c>
      <c r="Y14" s="388"/>
      <c r="Z14" s="91"/>
    </row>
    <row r="15" ht="15.75" customHeight="1">
      <c r="A15" s="1293">
        <v>41653.0</v>
      </c>
      <c r="B15" s="599" t="s">
        <v>6587</v>
      </c>
      <c r="C15" s="1004">
        <v>1.400001E7</v>
      </c>
      <c r="D15" s="388" t="s">
        <v>12678</v>
      </c>
      <c r="E15" s="340" t="s">
        <v>12679</v>
      </c>
      <c r="F15" s="1137">
        <v>1.0</v>
      </c>
      <c r="G15" s="325">
        <v>1142.0</v>
      </c>
      <c r="H15" s="466">
        <f t="shared" si="2"/>
        <v>1142</v>
      </c>
      <c r="I15" s="793"/>
      <c r="J15" s="793"/>
      <c r="K15" s="256" t="s">
        <v>8675</v>
      </c>
      <c r="L15" s="269" t="s">
        <v>6591</v>
      </c>
      <c r="M15" s="832">
        <v>41687.0</v>
      </c>
      <c r="N15" s="592" t="s">
        <v>12680</v>
      </c>
      <c r="O15" s="388"/>
      <c r="P15" s="388" t="s">
        <v>12681</v>
      </c>
      <c r="Q15" s="388"/>
      <c r="R15" s="793"/>
      <c r="S15" s="1299">
        <v>165866.0</v>
      </c>
      <c r="T15" s="388" t="s">
        <v>11250</v>
      </c>
      <c r="U15" s="1143">
        <v>41682.0</v>
      </c>
      <c r="V15" s="1295">
        <v>41322.0</v>
      </c>
      <c r="W15" s="1296">
        <v>165756.0</v>
      </c>
      <c r="X15" s="773" t="s">
        <v>12682</v>
      </c>
      <c r="Y15" s="388"/>
      <c r="Z15" s="91"/>
    </row>
    <row r="16" ht="15.75" customHeight="1">
      <c r="A16" s="1293">
        <v>41653.0</v>
      </c>
      <c r="B16" s="599" t="s">
        <v>6587</v>
      </c>
      <c r="C16" s="1004">
        <v>1.400001E7</v>
      </c>
      <c r="D16" s="388" t="s">
        <v>12678</v>
      </c>
      <c r="E16" s="340" t="s">
        <v>12683</v>
      </c>
      <c r="F16" s="1137">
        <v>5.0</v>
      </c>
      <c r="G16" s="325">
        <v>772.0</v>
      </c>
      <c r="H16" s="466">
        <f t="shared" si="2"/>
        <v>3860</v>
      </c>
      <c r="I16" s="793"/>
      <c r="J16" s="793"/>
      <c r="K16" s="256" t="s">
        <v>8675</v>
      </c>
      <c r="L16" s="592" t="s">
        <v>6591</v>
      </c>
      <c r="M16" s="832">
        <v>41687.0</v>
      </c>
      <c r="N16" s="592" t="s">
        <v>12680</v>
      </c>
      <c r="O16" s="388"/>
      <c r="P16" s="388" t="s">
        <v>12681</v>
      </c>
      <c r="Q16" s="388"/>
      <c r="R16" s="793"/>
      <c r="S16" s="1299"/>
      <c r="T16" s="388" t="s">
        <v>2346</v>
      </c>
      <c r="U16" s="1143">
        <v>41682.0</v>
      </c>
      <c r="V16" s="1295"/>
      <c r="W16" s="1296"/>
      <c r="X16" s="773" t="s">
        <v>12682</v>
      </c>
      <c r="Y16" s="388"/>
      <c r="Z16" s="91"/>
    </row>
    <row r="17" ht="15.75" customHeight="1">
      <c r="A17" s="1293">
        <v>41653.0</v>
      </c>
      <c r="B17" s="599" t="s">
        <v>6587</v>
      </c>
      <c r="C17" s="1004">
        <v>1.400001E7</v>
      </c>
      <c r="D17" s="388" t="s">
        <v>12678</v>
      </c>
      <c r="E17" s="340" t="s">
        <v>12684</v>
      </c>
      <c r="F17" s="1137">
        <v>1.0</v>
      </c>
      <c r="G17" s="325">
        <v>835.0</v>
      </c>
      <c r="H17" s="466">
        <f t="shared" si="2"/>
        <v>835</v>
      </c>
      <c r="I17" s="793"/>
      <c r="J17" s="793"/>
      <c r="K17" s="256" t="s">
        <v>8675</v>
      </c>
      <c r="L17" s="592" t="s">
        <v>6591</v>
      </c>
      <c r="M17" s="832">
        <v>41687.0</v>
      </c>
      <c r="N17" s="592" t="s">
        <v>12680</v>
      </c>
      <c r="O17" s="388"/>
      <c r="P17" s="388" t="s">
        <v>12681</v>
      </c>
      <c r="Q17" s="388"/>
      <c r="R17" s="793"/>
      <c r="S17" s="325"/>
      <c r="T17" s="388" t="s">
        <v>2346</v>
      </c>
      <c r="U17" s="1143">
        <v>41682.0</v>
      </c>
      <c r="V17" s="1133"/>
      <c r="W17" s="1149"/>
      <c r="X17" s="773" t="s">
        <v>12682</v>
      </c>
      <c r="Y17" s="388"/>
      <c r="Z17" s="91"/>
    </row>
    <row r="18" ht="15.75" customHeight="1">
      <c r="A18" s="1293">
        <v>41660.0</v>
      </c>
      <c r="B18" s="599" t="s">
        <v>12661</v>
      </c>
      <c r="C18" s="1004" t="s">
        <v>12685</v>
      </c>
      <c r="D18" s="388" t="s">
        <v>12686</v>
      </c>
      <c r="E18" s="340" t="s">
        <v>12687</v>
      </c>
      <c r="F18" s="1137">
        <v>2.0</v>
      </c>
      <c r="G18" s="325">
        <f>297*1.05</f>
        <v>311.85</v>
      </c>
      <c r="H18" s="466">
        <f t="shared" si="2"/>
        <v>623.7</v>
      </c>
      <c r="I18" s="793"/>
      <c r="J18" s="793"/>
      <c r="K18" s="256" t="s">
        <v>11999</v>
      </c>
      <c r="L18" s="592" t="s">
        <v>12665</v>
      </c>
      <c r="M18" s="832">
        <v>41666.0</v>
      </c>
      <c r="N18" s="592" t="s">
        <v>90</v>
      </c>
      <c r="O18" s="388"/>
      <c r="P18" s="388" t="s">
        <v>90</v>
      </c>
      <c r="Q18" s="773">
        <v>2.0140100114637E13</v>
      </c>
      <c r="R18" s="466">
        <v>560.7</v>
      </c>
      <c r="S18" s="793"/>
      <c r="T18" s="388" t="s">
        <v>6081</v>
      </c>
      <c r="U18" s="1143">
        <v>41712.0</v>
      </c>
      <c r="V18" s="1133">
        <v>41666.0</v>
      </c>
      <c r="W18" s="1149">
        <v>16835.0</v>
      </c>
      <c r="X18" s="320" t="s">
        <v>12688</v>
      </c>
      <c r="Y18" s="388"/>
      <c r="Z18" s="91"/>
    </row>
    <row r="19" ht="15.75" customHeight="1">
      <c r="A19" s="1293">
        <v>41667.0</v>
      </c>
      <c r="B19" s="599" t="s">
        <v>12661</v>
      </c>
      <c r="C19" s="1004" t="s">
        <v>12689</v>
      </c>
      <c r="D19" s="388" t="s">
        <v>12690</v>
      </c>
      <c r="E19" s="340" t="s">
        <v>12691</v>
      </c>
      <c r="F19" s="1137">
        <v>5.0</v>
      </c>
      <c r="G19" s="325">
        <v>121.8</v>
      </c>
      <c r="H19" s="466">
        <f t="shared" si="2"/>
        <v>609</v>
      </c>
      <c r="I19" s="793"/>
      <c r="J19" s="793"/>
      <c r="K19" s="256" t="s">
        <v>11999</v>
      </c>
      <c r="L19" s="592" t="s">
        <v>12665</v>
      </c>
      <c r="M19" s="832">
        <v>41680.0</v>
      </c>
      <c r="N19" s="592" t="s">
        <v>90</v>
      </c>
      <c r="O19" s="388"/>
      <c r="P19" s="388" t="s">
        <v>90</v>
      </c>
      <c r="Q19" s="773">
        <v>2.0140100115109E13</v>
      </c>
      <c r="R19" s="466">
        <v>546.0</v>
      </c>
      <c r="S19" s="793"/>
      <c r="T19" s="388" t="s">
        <v>6081</v>
      </c>
      <c r="U19" s="1143">
        <v>41712.0</v>
      </c>
      <c r="V19" s="1133">
        <v>41680.0</v>
      </c>
      <c r="W19" s="1149">
        <v>16465.0</v>
      </c>
      <c r="X19" s="388" t="s">
        <v>12688</v>
      </c>
      <c r="Y19" s="388"/>
      <c r="Z19" s="91"/>
    </row>
    <row r="20" ht="15.75" customHeight="1">
      <c r="A20" s="1293">
        <v>41676.0</v>
      </c>
      <c r="B20" s="599" t="s">
        <v>12692</v>
      </c>
      <c r="C20" s="1004">
        <v>1.4000027E7</v>
      </c>
      <c r="D20" s="388" t="s">
        <v>12693</v>
      </c>
      <c r="E20" s="340" t="s">
        <v>12694</v>
      </c>
      <c r="F20" s="1137">
        <v>2.0</v>
      </c>
      <c r="G20" s="325">
        <v>478.0</v>
      </c>
      <c r="H20" s="466">
        <f t="shared" si="2"/>
        <v>956</v>
      </c>
      <c r="I20" s="793"/>
      <c r="J20" s="793"/>
      <c r="K20" s="256" t="s">
        <v>8675</v>
      </c>
      <c r="L20" s="1301" t="s">
        <v>12695</v>
      </c>
      <c r="M20" s="832">
        <v>41704.0</v>
      </c>
      <c r="N20" s="592" t="s">
        <v>12646</v>
      </c>
      <c r="O20" s="832">
        <v>41702.0</v>
      </c>
      <c r="P20" s="388" t="s">
        <v>12696</v>
      </c>
      <c r="Q20" s="773" t="s">
        <v>12697</v>
      </c>
      <c r="R20" s="793"/>
      <c r="S20" s="1299">
        <v>28379.0</v>
      </c>
      <c r="T20" s="388" t="s">
        <v>12698</v>
      </c>
      <c r="U20" s="1302">
        <v>41695.0</v>
      </c>
      <c r="V20" s="1302">
        <v>41701.0</v>
      </c>
      <c r="W20" s="1303">
        <v>28379.0</v>
      </c>
      <c r="X20" s="1297" t="s">
        <v>12699</v>
      </c>
      <c r="Y20" s="388"/>
      <c r="Z20" s="91"/>
    </row>
    <row r="21" ht="15.75" customHeight="1">
      <c r="A21" s="1293">
        <v>41676.0</v>
      </c>
      <c r="B21" s="599" t="s">
        <v>12692</v>
      </c>
      <c r="C21" s="1004">
        <v>1.4000027E7</v>
      </c>
      <c r="D21" s="388" t="s">
        <v>12693</v>
      </c>
      <c r="E21" s="340" t="s">
        <v>12700</v>
      </c>
      <c r="F21" s="1137">
        <v>2.0</v>
      </c>
      <c r="G21" s="325">
        <v>25.0</v>
      </c>
      <c r="H21" s="466">
        <f t="shared" si="2"/>
        <v>50</v>
      </c>
      <c r="I21" s="793"/>
      <c r="J21" s="793"/>
      <c r="K21" s="256" t="s">
        <v>8675</v>
      </c>
      <c r="L21" s="592"/>
      <c r="M21" s="832">
        <v>41704.0</v>
      </c>
      <c r="N21" s="592" t="s">
        <v>12646</v>
      </c>
      <c r="O21" s="832">
        <v>41702.0</v>
      </c>
      <c r="P21" s="388" t="s">
        <v>12696</v>
      </c>
      <c r="Q21" s="773" t="s">
        <v>12697</v>
      </c>
      <c r="R21" s="793"/>
      <c r="S21" s="325"/>
      <c r="T21" s="388" t="s">
        <v>12698</v>
      </c>
      <c r="U21" s="1143"/>
      <c r="V21" s="1143"/>
      <c r="W21" s="1159"/>
      <c r="X21" s="320"/>
      <c r="Y21" s="388"/>
      <c r="Z21" s="91"/>
    </row>
    <row r="22" ht="15.75" customHeight="1">
      <c r="A22" s="1293">
        <v>41681.0</v>
      </c>
      <c r="B22" s="599" t="s">
        <v>11038</v>
      </c>
      <c r="C22" s="388"/>
      <c r="D22" s="388" t="s">
        <v>12701</v>
      </c>
      <c r="E22" s="340" t="s">
        <v>11009</v>
      </c>
      <c r="F22" s="1137">
        <v>5.0</v>
      </c>
      <c r="G22" s="325">
        <v>70.6</v>
      </c>
      <c r="H22" s="466">
        <f t="shared" si="2"/>
        <v>353</v>
      </c>
      <c r="I22" s="793"/>
      <c r="J22" s="793"/>
      <c r="K22" s="256" t="s">
        <v>3874</v>
      </c>
      <c r="L22" s="592" t="s">
        <v>12702</v>
      </c>
      <c r="M22" s="832">
        <v>41726.0</v>
      </c>
      <c r="N22" s="592" t="s">
        <v>90</v>
      </c>
      <c r="O22" s="832">
        <v>41724.0</v>
      </c>
      <c r="P22" s="388" t="s">
        <v>90</v>
      </c>
      <c r="Q22" s="773">
        <v>2.0140200115658E13</v>
      </c>
      <c r="R22" s="466">
        <v>315.0</v>
      </c>
      <c r="S22" s="793"/>
      <c r="T22" s="388" t="s">
        <v>6081</v>
      </c>
      <c r="U22" s="1143">
        <v>41712.0</v>
      </c>
      <c r="V22" s="1133">
        <v>41724.0</v>
      </c>
      <c r="W22" s="1149">
        <v>9537.0</v>
      </c>
      <c r="X22" s="320" t="s">
        <v>12703</v>
      </c>
      <c r="Y22" s="388"/>
      <c r="Z22" s="91"/>
    </row>
    <row r="23" ht="15.75" customHeight="1">
      <c r="A23" s="1293">
        <v>41681.0</v>
      </c>
      <c r="B23" s="599" t="s">
        <v>11038</v>
      </c>
      <c r="C23" s="388"/>
      <c r="D23" s="388" t="s">
        <v>12701</v>
      </c>
      <c r="E23" s="340" t="s">
        <v>12704</v>
      </c>
      <c r="F23" s="1137">
        <v>1.0</v>
      </c>
      <c r="G23" s="325">
        <v>118.0</v>
      </c>
      <c r="H23" s="466">
        <v>118.0</v>
      </c>
      <c r="I23" s="793"/>
      <c r="J23" s="793"/>
      <c r="K23" s="256" t="s">
        <v>3874</v>
      </c>
      <c r="L23" s="592" t="s">
        <v>12705</v>
      </c>
      <c r="M23" s="832">
        <v>41726.0</v>
      </c>
      <c r="N23" s="592" t="s">
        <v>90</v>
      </c>
      <c r="O23" s="832">
        <v>41724.0</v>
      </c>
      <c r="P23" s="388" t="s">
        <v>90</v>
      </c>
      <c r="Q23" s="773">
        <v>2.0140300117288E13</v>
      </c>
      <c r="R23" s="466">
        <v>109.2</v>
      </c>
      <c r="S23" s="793"/>
      <c r="T23" s="388" t="s">
        <v>6081</v>
      </c>
      <c r="U23" s="1143">
        <v>41712.0</v>
      </c>
      <c r="V23" s="1133">
        <v>41724.0</v>
      </c>
      <c r="W23" s="1149">
        <v>3306.0</v>
      </c>
      <c r="X23" s="320" t="s">
        <v>12703</v>
      </c>
      <c r="Y23" s="388"/>
      <c r="Z23" s="91"/>
    </row>
    <row r="24" ht="15.75" customHeight="1">
      <c r="A24" s="1293">
        <v>41682.0</v>
      </c>
      <c r="B24" s="599" t="s">
        <v>10993</v>
      </c>
      <c r="C24" s="388"/>
      <c r="D24" s="388" t="s">
        <v>12706</v>
      </c>
      <c r="E24" s="340" t="s">
        <v>12707</v>
      </c>
      <c r="F24" s="1137">
        <v>4.0</v>
      </c>
      <c r="G24" s="1245">
        <v>166.3</v>
      </c>
      <c r="H24" s="1250">
        <v>665.2</v>
      </c>
      <c r="I24" s="388"/>
      <c r="J24" s="388"/>
      <c r="K24" s="256" t="s">
        <v>3874</v>
      </c>
      <c r="L24" s="1301" t="s">
        <v>12708</v>
      </c>
      <c r="M24" s="832">
        <v>41716.0</v>
      </c>
      <c r="N24" s="592" t="s">
        <v>12709</v>
      </c>
      <c r="O24" s="388"/>
      <c r="P24" s="388" t="s">
        <v>12710</v>
      </c>
      <c r="Q24" s="388"/>
      <c r="R24" s="1304"/>
      <c r="S24" s="1299">
        <v>33046.0</v>
      </c>
      <c r="T24" s="388" t="s">
        <v>12711</v>
      </c>
      <c r="U24" s="1143">
        <v>41704.0</v>
      </c>
      <c r="V24" s="1295">
        <v>41715.0</v>
      </c>
      <c r="W24" s="1296">
        <v>33044.0</v>
      </c>
      <c r="X24" s="1297" t="s">
        <v>12712</v>
      </c>
      <c r="Y24" s="388"/>
      <c r="Z24" s="91"/>
    </row>
    <row r="25" ht="15.75" customHeight="1">
      <c r="A25" s="1293">
        <v>41682.0</v>
      </c>
      <c r="B25" s="599" t="s">
        <v>10993</v>
      </c>
      <c r="C25" s="388"/>
      <c r="D25" s="388" t="s">
        <v>12706</v>
      </c>
      <c r="E25" s="340" t="s">
        <v>12713</v>
      </c>
      <c r="F25" s="1137">
        <v>2.0</v>
      </c>
      <c r="G25" s="1245">
        <v>157.6</v>
      </c>
      <c r="H25" s="1250">
        <v>315.2</v>
      </c>
      <c r="I25" s="388"/>
      <c r="J25" s="388"/>
      <c r="K25" s="256" t="s">
        <v>3874</v>
      </c>
      <c r="L25" s="1301"/>
      <c r="M25" s="832">
        <v>41716.0</v>
      </c>
      <c r="N25" s="592" t="s">
        <v>12709</v>
      </c>
      <c r="O25" s="388"/>
      <c r="P25" s="388" t="s">
        <v>12710</v>
      </c>
      <c r="Q25" s="388"/>
      <c r="R25" s="1304"/>
      <c r="S25" s="1299"/>
      <c r="T25" s="388" t="s">
        <v>12711</v>
      </c>
      <c r="U25" s="1143">
        <v>41704.0</v>
      </c>
      <c r="V25" s="1295"/>
      <c r="W25" s="1296"/>
      <c r="X25" s="1297"/>
      <c r="Y25" s="388"/>
      <c r="Z25" s="91"/>
    </row>
    <row r="26" ht="15.75" customHeight="1">
      <c r="A26" s="1293">
        <v>41682.0</v>
      </c>
      <c r="B26" s="599" t="s">
        <v>10993</v>
      </c>
      <c r="C26" s="388"/>
      <c r="D26" s="388" t="s">
        <v>12706</v>
      </c>
      <c r="E26" s="340" t="s">
        <v>12714</v>
      </c>
      <c r="F26" s="1137">
        <v>1.0</v>
      </c>
      <c r="G26" s="1262">
        <v>149.0</v>
      </c>
      <c r="H26" s="1238">
        <v>149.0</v>
      </c>
      <c r="I26" s="388"/>
      <c r="J26" s="388"/>
      <c r="K26" s="256" t="s">
        <v>3874</v>
      </c>
      <c r="L26" s="592"/>
      <c r="M26" s="832">
        <v>41716.0</v>
      </c>
      <c r="N26" s="592" t="s">
        <v>12709</v>
      </c>
      <c r="O26" s="388"/>
      <c r="P26" s="388" t="s">
        <v>12710</v>
      </c>
      <c r="Q26" s="388"/>
      <c r="R26" s="1304"/>
      <c r="S26" s="325"/>
      <c r="T26" s="388" t="s">
        <v>12711</v>
      </c>
      <c r="U26" s="1143">
        <v>41704.0</v>
      </c>
      <c r="V26" s="1133"/>
      <c r="W26" s="1149"/>
      <c r="X26" s="320"/>
      <c r="Y26" s="388"/>
      <c r="Z26" s="91"/>
    </row>
    <row r="27" ht="15.75" customHeight="1">
      <c r="A27" s="1293">
        <v>41687.0</v>
      </c>
      <c r="B27" s="599" t="s">
        <v>12715</v>
      </c>
      <c r="C27" s="1004" t="s">
        <v>12716</v>
      </c>
      <c r="D27" s="388" t="s">
        <v>12717</v>
      </c>
      <c r="E27" s="340" t="s">
        <v>7305</v>
      </c>
      <c r="F27" s="1137">
        <v>1.0</v>
      </c>
      <c r="G27" s="325">
        <v>33.33</v>
      </c>
      <c r="H27" s="466">
        <f t="shared" ref="H27:H50" si="3">G27*F27</f>
        <v>33.33</v>
      </c>
      <c r="I27" s="793"/>
      <c r="J27" s="793"/>
      <c r="K27" s="256" t="s">
        <v>87</v>
      </c>
      <c r="L27" s="592" t="s">
        <v>12718</v>
      </c>
      <c r="M27" s="832">
        <v>41708.0</v>
      </c>
      <c r="N27" s="592" t="s">
        <v>90</v>
      </c>
      <c r="O27" s="388"/>
      <c r="P27" s="388" t="s">
        <v>90</v>
      </c>
      <c r="Q27" s="773">
        <v>2.0140200115969E13</v>
      </c>
      <c r="R27" s="1294">
        <v>359.1</v>
      </c>
      <c r="S27" s="793"/>
      <c r="T27" s="388" t="s">
        <v>6081</v>
      </c>
      <c r="U27" s="1143">
        <v>41712.0</v>
      </c>
      <c r="V27" s="1302">
        <v>41708.0</v>
      </c>
      <c r="W27" s="1303">
        <v>10877.0</v>
      </c>
      <c r="X27" s="1297" t="s">
        <v>12719</v>
      </c>
      <c r="Y27" s="388"/>
      <c r="Z27" s="91"/>
    </row>
    <row r="28" ht="15.75" customHeight="1">
      <c r="A28" s="1293">
        <v>41687.0</v>
      </c>
      <c r="B28" s="599" t="s">
        <v>6246</v>
      </c>
      <c r="C28" s="1004" t="s">
        <v>12716</v>
      </c>
      <c r="D28" s="388" t="s">
        <v>12717</v>
      </c>
      <c r="E28" s="340" t="s">
        <v>12720</v>
      </c>
      <c r="F28" s="1137">
        <v>1.0</v>
      </c>
      <c r="G28" s="325">
        <v>346.67</v>
      </c>
      <c r="H28" s="466">
        <f t="shared" si="3"/>
        <v>346.67</v>
      </c>
      <c r="I28" s="793"/>
      <c r="J28" s="793"/>
      <c r="K28" s="256" t="s">
        <v>87</v>
      </c>
      <c r="L28" s="592" t="s">
        <v>12718</v>
      </c>
      <c r="M28" s="832">
        <v>41708.0</v>
      </c>
      <c r="N28" s="592" t="s">
        <v>90</v>
      </c>
      <c r="O28" s="388"/>
      <c r="P28" s="388" t="s">
        <v>90</v>
      </c>
      <c r="Q28" s="773">
        <v>2.0140200115969E13</v>
      </c>
      <c r="R28" s="466"/>
      <c r="S28" s="793"/>
      <c r="T28" s="388" t="s">
        <v>6081</v>
      </c>
      <c r="U28" s="1143">
        <v>41712.0</v>
      </c>
      <c r="V28" s="1143"/>
      <c r="W28" s="1159"/>
      <c r="X28" s="320"/>
      <c r="Y28" s="388"/>
      <c r="Z28" s="91"/>
    </row>
    <row r="29" ht="15.75" customHeight="1">
      <c r="A29" s="1293">
        <v>41689.0</v>
      </c>
      <c r="B29" s="599" t="s">
        <v>12661</v>
      </c>
      <c r="C29" s="1004" t="s">
        <v>12721</v>
      </c>
      <c r="D29" s="388" t="s">
        <v>12722</v>
      </c>
      <c r="E29" s="340" t="s">
        <v>12723</v>
      </c>
      <c r="F29" s="1137">
        <v>2.0</v>
      </c>
      <c r="G29" s="325">
        <f>361*1.05</f>
        <v>379.05</v>
      </c>
      <c r="H29" s="466">
        <f t="shared" si="3"/>
        <v>758.1</v>
      </c>
      <c r="I29" s="793"/>
      <c r="J29" s="793"/>
      <c r="K29" s="256" t="s">
        <v>11999</v>
      </c>
      <c r="L29" s="592" t="s">
        <v>12665</v>
      </c>
      <c r="M29" s="832">
        <v>41704.0</v>
      </c>
      <c r="N29" s="592" t="s">
        <v>90</v>
      </c>
      <c r="O29" s="388"/>
      <c r="P29" s="388" t="s">
        <v>90</v>
      </c>
      <c r="Q29" s="773">
        <v>2.0140200116083E13</v>
      </c>
      <c r="R29" s="1294">
        <v>1665.3</v>
      </c>
      <c r="S29" s="793"/>
      <c r="T29" s="388" t="s">
        <v>6081</v>
      </c>
      <c r="U29" s="1143">
        <v>41712.0</v>
      </c>
      <c r="V29" s="1295">
        <v>41704.0</v>
      </c>
      <c r="W29" s="1296">
        <v>50442.0</v>
      </c>
      <c r="X29" s="1300" t="s">
        <v>12724</v>
      </c>
      <c r="Y29" s="388"/>
      <c r="Z29" s="91"/>
    </row>
    <row r="30" ht="15.75" customHeight="1">
      <c r="A30" s="1293">
        <v>41689.0</v>
      </c>
      <c r="B30" s="599" t="s">
        <v>12661</v>
      </c>
      <c r="C30" s="1004" t="s">
        <v>12725</v>
      </c>
      <c r="D30" s="388" t="s">
        <v>12726</v>
      </c>
      <c r="E30" s="340" t="s">
        <v>12727</v>
      </c>
      <c r="F30" s="1137">
        <v>4.0</v>
      </c>
      <c r="G30" s="325">
        <f>263*1.05</f>
        <v>276.15</v>
      </c>
      <c r="H30" s="466">
        <f t="shared" si="3"/>
        <v>1104.6</v>
      </c>
      <c r="I30" s="793"/>
      <c r="J30" s="793"/>
      <c r="K30" s="256" t="s">
        <v>11999</v>
      </c>
      <c r="L30" s="592" t="s">
        <v>12665</v>
      </c>
      <c r="M30" s="832">
        <v>41704.0</v>
      </c>
      <c r="N30" s="592" t="s">
        <v>90</v>
      </c>
      <c r="O30" s="388"/>
      <c r="P30" s="388" t="s">
        <v>90</v>
      </c>
      <c r="Q30" s="773">
        <v>2.0140200116083E13</v>
      </c>
      <c r="R30" s="466"/>
      <c r="S30" s="793"/>
      <c r="T30" s="388" t="s">
        <v>6081</v>
      </c>
      <c r="U30" s="1143">
        <v>41712.0</v>
      </c>
      <c r="V30" s="1133"/>
      <c r="W30" s="1149"/>
      <c r="X30" s="388"/>
      <c r="Y30" s="388"/>
      <c r="Z30" s="91"/>
    </row>
    <row r="31" ht="15.75" customHeight="1">
      <c r="A31" s="1293">
        <v>41689.0</v>
      </c>
      <c r="B31" s="599" t="s">
        <v>54</v>
      </c>
      <c r="C31" s="265" t="s">
        <v>12728</v>
      </c>
      <c r="D31" s="320" t="s">
        <v>12729</v>
      </c>
      <c r="E31" s="340" t="s">
        <v>12324</v>
      </c>
      <c r="F31" s="1137">
        <v>4.0</v>
      </c>
      <c r="G31" s="325">
        <v>283.5</v>
      </c>
      <c r="H31" s="466">
        <f t="shared" si="3"/>
        <v>1134</v>
      </c>
      <c r="I31" s="793"/>
      <c r="J31" s="793"/>
      <c r="K31" s="256" t="s">
        <v>8675</v>
      </c>
      <c r="L31" s="592" t="s">
        <v>12730</v>
      </c>
      <c r="M31" s="832">
        <v>41708.0</v>
      </c>
      <c r="N31" s="592" t="s">
        <v>12646</v>
      </c>
      <c r="O31" s="832">
        <v>41696.0</v>
      </c>
      <c r="P31" s="388" t="s">
        <v>12673</v>
      </c>
      <c r="Q31" s="773" t="s">
        <v>12731</v>
      </c>
      <c r="R31" s="793"/>
      <c r="S31" s="325">
        <v>28896.0</v>
      </c>
      <c r="T31" s="388" t="s">
        <v>8689</v>
      </c>
      <c r="U31" s="1143">
        <v>41704.0</v>
      </c>
      <c r="V31" s="1143">
        <v>41696.0</v>
      </c>
      <c r="W31" s="1159">
        <v>28896.0</v>
      </c>
      <c r="X31" s="388" t="s">
        <v>12732</v>
      </c>
      <c r="Y31" s="388"/>
      <c r="Z31" s="91"/>
    </row>
    <row r="32" ht="15.75" customHeight="1">
      <c r="A32" s="1293">
        <v>41689.0</v>
      </c>
      <c r="B32" s="599" t="s">
        <v>12661</v>
      </c>
      <c r="C32" s="265" t="s">
        <v>12733</v>
      </c>
      <c r="D32" s="320" t="s">
        <v>12734</v>
      </c>
      <c r="E32" s="340" t="s">
        <v>12735</v>
      </c>
      <c r="F32" s="1137">
        <v>10.0</v>
      </c>
      <c r="G32" s="325">
        <f>137*1.05</f>
        <v>143.85</v>
      </c>
      <c r="H32" s="466">
        <f t="shared" si="3"/>
        <v>1438.5</v>
      </c>
      <c r="I32" s="793"/>
      <c r="J32" s="793"/>
      <c r="K32" s="256" t="s">
        <v>11999</v>
      </c>
      <c r="L32" s="592" t="s">
        <v>12665</v>
      </c>
      <c r="M32" s="832">
        <v>41704.0</v>
      </c>
      <c r="N32" s="592" t="s">
        <v>90</v>
      </c>
      <c r="O32" s="388"/>
      <c r="P32" s="388" t="s">
        <v>90</v>
      </c>
      <c r="Q32" s="773">
        <v>2.0140200116136E13</v>
      </c>
      <c r="R32" s="1294">
        <v>2352.0</v>
      </c>
      <c r="S32" s="793"/>
      <c r="T32" s="388" t="s">
        <v>6081</v>
      </c>
      <c r="U32" s="1143">
        <v>41712.0</v>
      </c>
      <c r="V32" s="1295">
        <v>41704.0</v>
      </c>
      <c r="W32" s="1296">
        <v>71242.0</v>
      </c>
      <c r="X32" s="1300" t="s">
        <v>12724</v>
      </c>
      <c r="Y32" s="388"/>
      <c r="Z32" s="91"/>
    </row>
    <row r="33" ht="15.75" customHeight="1">
      <c r="A33" s="1293">
        <v>41690.0</v>
      </c>
      <c r="B33" s="599" t="s">
        <v>12661</v>
      </c>
      <c r="C33" s="265" t="s">
        <v>12736</v>
      </c>
      <c r="D33" s="320" t="s">
        <v>12737</v>
      </c>
      <c r="E33" s="340" t="s">
        <v>12704</v>
      </c>
      <c r="F33" s="1137">
        <v>10.0</v>
      </c>
      <c r="G33" s="325">
        <f>116*1.05</f>
        <v>121.8</v>
      </c>
      <c r="H33" s="466">
        <f t="shared" si="3"/>
        <v>1218</v>
      </c>
      <c r="I33" s="793"/>
      <c r="J33" s="793"/>
      <c r="K33" s="256" t="s">
        <v>11999</v>
      </c>
      <c r="L33" s="592" t="s">
        <v>12665</v>
      </c>
      <c r="M33" s="832">
        <v>41704.0</v>
      </c>
      <c r="N33" s="592" t="s">
        <v>90</v>
      </c>
      <c r="O33" s="388"/>
      <c r="P33" s="388" t="s">
        <v>90</v>
      </c>
      <c r="Q33" s="773">
        <v>2.0140200116136E13</v>
      </c>
      <c r="R33" s="466"/>
      <c r="S33" s="793"/>
      <c r="T33" s="388" t="s">
        <v>6081</v>
      </c>
      <c r="U33" s="1143">
        <v>41712.0</v>
      </c>
      <c r="V33" s="1133"/>
      <c r="W33" s="1149"/>
      <c r="X33" s="388"/>
      <c r="Y33" s="388"/>
      <c r="Z33" s="91"/>
    </row>
    <row r="34" ht="15.75" customHeight="1">
      <c r="A34" s="1293">
        <v>41690.0</v>
      </c>
      <c r="B34" s="599" t="s">
        <v>54</v>
      </c>
      <c r="C34" s="265" t="s">
        <v>12738</v>
      </c>
      <c r="D34" s="320" t="s">
        <v>12739</v>
      </c>
      <c r="E34" s="340" t="s">
        <v>4750</v>
      </c>
      <c r="F34" s="1137">
        <v>150.0</v>
      </c>
      <c r="G34" s="325">
        <v>103.95</v>
      </c>
      <c r="H34" s="466">
        <f t="shared" si="3"/>
        <v>15592.5</v>
      </c>
      <c r="I34" s="793"/>
      <c r="J34" s="793"/>
      <c r="K34" s="256" t="s">
        <v>8675</v>
      </c>
      <c r="L34" s="592" t="s">
        <v>12665</v>
      </c>
      <c r="M34" s="832">
        <v>41711.0</v>
      </c>
      <c r="N34" s="592" t="s">
        <v>90</v>
      </c>
      <c r="O34" s="388"/>
      <c r="P34" s="388" t="s">
        <v>90</v>
      </c>
      <c r="Q34" s="773">
        <v>2.0140200116137E13</v>
      </c>
      <c r="R34" s="466">
        <v>13230.0</v>
      </c>
      <c r="S34" s="793"/>
      <c r="T34" s="388" t="s">
        <v>12740</v>
      </c>
      <c r="U34" s="1143">
        <v>41701.0</v>
      </c>
      <c r="V34" s="1133">
        <v>41346.0</v>
      </c>
      <c r="W34" s="1149">
        <v>400009.0</v>
      </c>
      <c r="X34" s="388" t="s">
        <v>12741</v>
      </c>
      <c r="Y34" s="388"/>
      <c r="Z34" s="91"/>
    </row>
    <row r="35" ht="15.75" customHeight="1">
      <c r="A35" s="1293">
        <v>41691.0</v>
      </c>
      <c r="B35" s="599" t="s">
        <v>12661</v>
      </c>
      <c r="C35" s="1004" t="s">
        <v>12742</v>
      </c>
      <c r="D35" s="388" t="s">
        <v>12743</v>
      </c>
      <c r="E35" s="340" t="s">
        <v>12744</v>
      </c>
      <c r="F35" s="1137">
        <v>1.0</v>
      </c>
      <c r="G35" s="325">
        <f>998*1.05</f>
        <v>1047.9</v>
      </c>
      <c r="H35" s="466">
        <f t="shared" si="3"/>
        <v>1047.9</v>
      </c>
      <c r="I35" s="793"/>
      <c r="J35" s="793"/>
      <c r="K35" s="256" t="s">
        <v>11999</v>
      </c>
      <c r="L35" s="592" t="s">
        <v>12665</v>
      </c>
      <c r="M35" s="832">
        <v>41704.0</v>
      </c>
      <c r="N35" s="592" t="s">
        <v>90</v>
      </c>
      <c r="O35" s="388"/>
      <c r="P35" s="388" t="s">
        <v>90</v>
      </c>
      <c r="Q35" s="773">
        <v>2.0140200116271E13</v>
      </c>
      <c r="R35" s="466">
        <v>996.45</v>
      </c>
      <c r="S35" s="793"/>
      <c r="T35" s="388" t="s">
        <v>6081</v>
      </c>
      <c r="U35" s="1143">
        <v>41712.0</v>
      </c>
      <c r="V35" s="1133">
        <v>41704.0</v>
      </c>
      <c r="W35" s="1149">
        <v>30182.0</v>
      </c>
      <c r="X35" s="388" t="s">
        <v>12724</v>
      </c>
      <c r="Y35" s="388"/>
      <c r="Z35" s="91"/>
    </row>
    <row r="36" ht="15.75" customHeight="1">
      <c r="A36" s="1293">
        <v>41696.0</v>
      </c>
      <c r="B36" s="599" t="s">
        <v>12692</v>
      </c>
      <c r="C36" s="1004">
        <v>1.4000039E7</v>
      </c>
      <c r="D36" s="388" t="s">
        <v>12745</v>
      </c>
      <c r="E36" s="340" t="s">
        <v>12746</v>
      </c>
      <c r="F36" s="1137">
        <v>14.0</v>
      </c>
      <c r="G36" s="325">
        <v>466.0</v>
      </c>
      <c r="H36" s="466">
        <f t="shared" si="3"/>
        <v>6524</v>
      </c>
      <c r="I36" s="793"/>
      <c r="J36" s="793"/>
      <c r="K36" s="256" t="s">
        <v>8675</v>
      </c>
      <c r="L36" s="592" t="s">
        <v>12747</v>
      </c>
      <c r="M36" s="832">
        <v>41737.0</v>
      </c>
      <c r="N36" s="592" t="s">
        <v>12646</v>
      </c>
      <c r="O36" s="832">
        <v>41722.0</v>
      </c>
      <c r="P36" s="388" t="s">
        <v>90</v>
      </c>
      <c r="Q36" s="773">
        <v>2.0140300116694E13</v>
      </c>
      <c r="R36" s="466">
        <v>5953.5</v>
      </c>
      <c r="S36" s="793"/>
      <c r="T36" s="388" t="s">
        <v>6081</v>
      </c>
      <c r="U36" s="1143">
        <v>41740.0</v>
      </c>
      <c r="V36" s="1133">
        <v>41722.0</v>
      </c>
      <c r="W36" s="1149">
        <v>180242.0</v>
      </c>
      <c r="X36" s="320" t="s">
        <v>12748</v>
      </c>
      <c r="Y36" s="388"/>
      <c r="Z36" s="91"/>
    </row>
    <row r="37" ht="15.75" customHeight="1">
      <c r="A37" s="1293">
        <v>41696.0</v>
      </c>
      <c r="B37" s="599" t="s">
        <v>12715</v>
      </c>
      <c r="C37" s="388"/>
      <c r="D37" s="388" t="s">
        <v>12749</v>
      </c>
      <c r="E37" s="340" t="s">
        <v>12750</v>
      </c>
      <c r="F37" s="1137">
        <v>4.0</v>
      </c>
      <c r="G37" s="325">
        <v>335.0</v>
      </c>
      <c r="H37" s="466">
        <f t="shared" si="3"/>
        <v>1340</v>
      </c>
      <c r="I37" s="793"/>
      <c r="J37" s="793"/>
      <c r="K37" s="256" t="s">
        <v>87</v>
      </c>
      <c r="L37" s="592" t="s">
        <v>12718</v>
      </c>
      <c r="M37" s="832">
        <v>41708.0</v>
      </c>
      <c r="N37" s="592" t="s">
        <v>90</v>
      </c>
      <c r="O37" s="388"/>
      <c r="P37" s="388" t="s">
        <v>90</v>
      </c>
      <c r="Q37" s="773">
        <v>2.0140200116477E13</v>
      </c>
      <c r="R37" s="466">
        <v>1255.8</v>
      </c>
      <c r="S37" s="793"/>
      <c r="T37" s="388" t="s">
        <v>6081</v>
      </c>
      <c r="U37" s="1143">
        <v>41712.0</v>
      </c>
      <c r="V37" s="1143">
        <v>41708.0</v>
      </c>
      <c r="W37" s="1159">
        <v>38038.0</v>
      </c>
      <c r="X37" s="320" t="s">
        <v>12719</v>
      </c>
      <c r="Y37" s="388"/>
      <c r="Z37" s="91"/>
    </row>
    <row r="38" ht="15.75" customHeight="1">
      <c r="A38" s="1293">
        <v>41704.0</v>
      </c>
      <c r="B38" s="599" t="s">
        <v>6246</v>
      </c>
      <c r="C38" s="1004" t="s">
        <v>12751</v>
      </c>
      <c r="D38" s="388" t="s">
        <v>12752</v>
      </c>
      <c r="E38" s="340" t="s">
        <v>12720</v>
      </c>
      <c r="F38" s="1137">
        <v>2.0</v>
      </c>
      <c r="G38" s="325">
        <v>346.67</v>
      </c>
      <c r="H38" s="466">
        <f t="shared" si="3"/>
        <v>693.34</v>
      </c>
      <c r="I38" s="793"/>
      <c r="J38" s="793"/>
      <c r="K38" s="256" t="s">
        <v>87</v>
      </c>
      <c r="L38" s="592" t="s">
        <v>12718</v>
      </c>
      <c r="M38" s="832">
        <v>41725.0</v>
      </c>
      <c r="N38" s="592" t="s">
        <v>12646</v>
      </c>
      <c r="O38" s="832">
        <v>41724.0</v>
      </c>
      <c r="P38" s="388" t="s">
        <v>90</v>
      </c>
      <c r="Q38" s="1298">
        <v>2.0140300117015E13</v>
      </c>
      <c r="R38" s="1299">
        <v>718.2</v>
      </c>
      <c r="S38" s="793"/>
      <c r="T38" s="388" t="s">
        <v>6081</v>
      </c>
      <c r="U38" s="1143">
        <v>41731.0</v>
      </c>
      <c r="V38" s="1295">
        <v>41724.0</v>
      </c>
      <c r="W38" s="1296">
        <v>21744.0</v>
      </c>
      <c r="X38" s="1305" t="s">
        <v>12753</v>
      </c>
      <c r="Y38" s="388"/>
      <c r="Z38" s="91"/>
    </row>
    <row r="39" ht="15.75" customHeight="1">
      <c r="A39" s="1293">
        <v>41704.0</v>
      </c>
      <c r="B39" s="599" t="s">
        <v>6246</v>
      </c>
      <c r="C39" s="1004" t="s">
        <v>12751</v>
      </c>
      <c r="D39" s="388" t="s">
        <v>12752</v>
      </c>
      <c r="E39" s="340" t="s">
        <v>7305</v>
      </c>
      <c r="F39" s="1137">
        <v>2.0</v>
      </c>
      <c r="G39" s="325">
        <v>33.33</v>
      </c>
      <c r="H39" s="466">
        <f t="shared" si="3"/>
        <v>66.66</v>
      </c>
      <c r="I39" s="793"/>
      <c r="J39" s="793"/>
      <c r="K39" s="256" t="s">
        <v>87</v>
      </c>
      <c r="L39" s="256" t="s">
        <v>12718</v>
      </c>
      <c r="M39" s="832">
        <v>41725.0</v>
      </c>
      <c r="N39" s="592" t="s">
        <v>12646</v>
      </c>
      <c r="O39" s="832">
        <v>41724.0</v>
      </c>
      <c r="P39" s="388" t="s">
        <v>90</v>
      </c>
      <c r="Q39" s="773"/>
      <c r="R39" s="325"/>
      <c r="S39" s="793"/>
      <c r="T39" s="388" t="s">
        <v>6081</v>
      </c>
      <c r="U39" s="1143">
        <v>41731.0</v>
      </c>
      <c r="V39" s="1133"/>
      <c r="W39" s="1149"/>
      <c r="X39" s="265"/>
      <c r="Y39" s="388"/>
      <c r="Z39" s="91"/>
    </row>
    <row r="40" ht="15.75" customHeight="1">
      <c r="A40" s="1293">
        <v>41710.0</v>
      </c>
      <c r="B40" s="599" t="s">
        <v>12661</v>
      </c>
      <c r="C40" s="1004" t="s">
        <v>12754</v>
      </c>
      <c r="D40" s="388" t="s">
        <v>12755</v>
      </c>
      <c r="E40" s="340" t="s">
        <v>11868</v>
      </c>
      <c r="F40" s="1137">
        <v>10.0</v>
      </c>
      <c r="G40" s="325">
        <f>130.5*1.05</f>
        <v>137.025</v>
      </c>
      <c r="H40" s="466">
        <f t="shared" si="3"/>
        <v>1370.25</v>
      </c>
      <c r="I40" s="793"/>
      <c r="J40" s="793"/>
      <c r="K40" s="256" t="s">
        <v>11999</v>
      </c>
      <c r="L40" s="256" t="s">
        <v>12665</v>
      </c>
      <c r="M40" s="832">
        <v>41722.0</v>
      </c>
      <c r="N40" s="592" t="s">
        <v>90</v>
      </c>
      <c r="O40" s="388"/>
      <c r="P40" s="388" t="s">
        <v>90</v>
      </c>
      <c r="Q40" s="773">
        <v>2.0140300117248E13</v>
      </c>
      <c r="R40" s="1299">
        <v>1260.0</v>
      </c>
      <c r="S40" s="793"/>
      <c r="T40" s="388" t="s">
        <v>6081</v>
      </c>
      <c r="U40" s="1143">
        <v>41731.0</v>
      </c>
      <c r="V40" s="1295">
        <v>41722.0</v>
      </c>
      <c r="W40" s="1296">
        <v>38147.0</v>
      </c>
      <c r="X40" s="1300" t="s">
        <v>12756</v>
      </c>
      <c r="Y40" s="388"/>
      <c r="Z40" s="91"/>
    </row>
    <row r="41" ht="15.75" customHeight="1">
      <c r="A41" s="1293">
        <v>41710.0</v>
      </c>
      <c r="B41" s="599" t="s">
        <v>12661</v>
      </c>
      <c r="C41" s="1004" t="s">
        <v>12754</v>
      </c>
      <c r="D41" s="388" t="s">
        <v>12755</v>
      </c>
      <c r="E41" s="340" t="s">
        <v>12757</v>
      </c>
      <c r="F41" s="1137">
        <v>10.0</v>
      </c>
      <c r="G41" s="325">
        <f>3.5*1.05</f>
        <v>3.675</v>
      </c>
      <c r="H41" s="466">
        <f t="shared" si="3"/>
        <v>36.75</v>
      </c>
      <c r="I41" s="793"/>
      <c r="J41" s="793"/>
      <c r="K41" s="256" t="s">
        <v>11999</v>
      </c>
      <c r="L41" s="256" t="s">
        <v>12665</v>
      </c>
      <c r="M41" s="832">
        <v>41722.0</v>
      </c>
      <c r="N41" s="592" t="s">
        <v>90</v>
      </c>
      <c r="O41" s="388"/>
      <c r="P41" s="388" t="s">
        <v>90</v>
      </c>
      <c r="Q41" s="773">
        <v>2.0140300117248E13</v>
      </c>
      <c r="R41" s="325"/>
      <c r="S41" s="793"/>
      <c r="T41" s="388" t="s">
        <v>6081</v>
      </c>
      <c r="U41" s="1143">
        <v>41731.0</v>
      </c>
      <c r="V41" s="1133"/>
      <c r="W41" s="1149"/>
      <c r="X41" s="1300"/>
      <c r="Y41" s="388"/>
      <c r="Z41" s="91"/>
    </row>
    <row r="42" ht="15.75" customHeight="1">
      <c r="A42" s="1293">
        <v>41710.0</v>
      </c>
      <c r="B42" s="599" t="s">
        <v>12661</v>
      </c>
      <c r="C42" s="1004" t="s">
        <v>12758</v>
      </c>
      <c r="D42" s="388" t="s">
        <v>12759</v>
      </c>
      <c r="E42" s="340" t="s">
        <v>12691</v>
      </c>
      <c r="F42" s="1137">
        <v>15.0</v>
      </c>
      <c r="G42" s="325">
        <f>116*1.05</f>
        <v>121.8</v>
      </c>
      <c r="H42" s="466">
        <f t="shared" si="3"/>
        <v>1827</v>
      </c>
      <c r="I42" s="793"/>
      <c r="J42" s="793"/>
      <c r="K42" s="256" t="s">
        <v>11999</v>
      </c>
      <c r="L42" s="256" t="s">
        <v>12665</v>
      </c>
      <c r="M42" s="832">
        <v>41722.0</v>
      </c>
      <c r="N42" s="592" t="s">
        <v>90</v>
      </c>
      <c r="O42" s="388"/>
      <c r="P42" s="388" t="s">
        <v>90</v>
      </c>
      <c r="Q42" s="773">
        <v>2.0140300117289E13</v>
      </c>
      <c r="R42" s="325">
        <v>1638.0</v>
      </c>
      <c r="S42" s="793"/>
      <c r="T42" s="388" t="s">
        <v>6081</v>
      </c>
      <c r="U42" s="1143">
        <v>41731.0</v>
      </c>
      <c r="V42" s="1133">
        <v>41722.0</v>
      </c>
      <c r="W42" s="1149">
        <v>49590.0</v>
      </c>
      <c r="X42" s="388"/>
      <c r="Y42" s="388"/>
      <c r="Z42" s="91"/>
    </row>
    <row r="43" ht="15.75" customHeight="1">
      <c r="A43" s="1293">
        <v>41708.0</v>
      </c>
      <c r="B43" s="599" t="s">
        <v>1204</v>
      </c>
      <c r="C43" s="388"/>
      <c r="D43" s="388" t="s">
        <v>12760</v>
      </c>
      <c r="E43" s="340" t="s">
        <v>10425</v>
      </c>
      <c r="F43" s="1137">
        <v>20.0</v>
      </c>
      <c r="G43" s="325">
        <v>177.0</v>
      </c>
      <c r="H43" s="466">
        <f t="shared" si="3"/>
        <v>3540</v>
      </c>
      <c r="I43" s="793"/>
      <c r="J43" s="793"/>
      <c r="K43" s="256" t="s">
        <v>87</v>
      </c>
      <c r="L43" s="320" t="s">
        <v>12094</v>
      </c>
      <c r="M43" s="832">
        <v>41725.0</v>
      </c>
      <c r="N43" s="592" t="s">
        <v>12646</v>
      </c>
      <c r="O43" s="1148">
        <v>41722.0</v>
      </c>
      <c r="P43" s="388" t="s">
        <v>90</v>
      </c>
      <c r="Q43" s="773">
        <v>2.014030011714E13</v>
      </c>
      <c r="R43" s="325">
        <v>3066.0</v>
      </c>
      <c r="S43" s="793"/>
      <c r="T43" s="388" t="s">
        <v>6081</v>
      </c>
      <c r="U43" s="1143">
        <v>41731.0</v>
      </c>
      <c r="V43" s="1143">
        <v>41722.0</v>
      </c>
      <c r="W43" s="1159">
        <v>92823.0</v>
      </c>
      <c r="X43" s="1297" t="s">
        <v>12761</v>
      </c>
      <c r="Y43" s="388"/>
      <c r="Z43" s="91"/>
    </row>
    <row r="44" ht="15.75" customHeight="1">
      <c r="A44" s="1293">
        <v>41708.0</v>
      </c>
      <c r="B44" s="599" t="s">
        <v>1204</v>
      </c>
      <c r="C44" s="388"/>
      <c r="D44" s="388" t="s">
        <v>12760</v>
      </c>
      <c r="E44" s="340" t="s">
        <v>12645</v>
      </c>
      <c r="F44" s="1137">
        <v>7.0</v>
      </c>
      <c r="G44" s="325">
        <v>553.0</v>
      </c>
      <c r="H44" s="466">
        <f t="shared" si="3"/>
        <v>3871</v>
      </c>
      <c r="I44" s="793"/>
      <c r="J44" s="793"/>
      <c r="K44" s="256" t="s">
        <v>87</v>
      </c>
      <c r="L44" s="320" t="s">
        <v>12094</v>
      </c>
      <c r="M44" s="832">
        <v>41725.0</v>
      </c>
      <c r="N44" s="592" t="s">
        <v>12646</v>
      </c>
      <c r="O44" s="832">
        <v>41723.0</v>
      </c>
      <c r="P44" s="388" t="s">
        <v>11214</v>
      </c>
      <c r="Q44" s="388"/>
      <c r="R44" s="793"/>
      <c r="S44" s="325">
        <v>102900.0</v>
      </c>
      <c r="T44" s="388" t="s">
        <v>12762</v>
      </c>
      <c r="U44" s="1143">
        <v>41723.0</v>
      </c>
      <c r="V44" s="1143">
        <v>41717.0</v>
      </c>
      <c r="W44" s="1159">
        <v>102900.0</v>
      </c>
      <c r="X44" s="1297"/>
      <c r="Y44" s="388"/>
      <c r="Z44" s="91"/>
    </row>
    <row r="45" ht="15.75" customHeight="1">
      <c r="A45" s="1293">
        <v>41708.0</v>
      </c>
      <c r="B45" s="599" t="s">
        <v>1204</v>
      </c>
      <c r="C45" s="388"/>
      <c r="D45" s="388" t="s">
        <v>12760</v>
      </c>
      <c r="E45" s="340" t="s">
        <v>9431</v>
      </c>
      <c r="F45" s="1137">
        <v>7.0</v>
      </c>
      <c r="G45" s="325">
        <v>38.0</v>
      </c>
      <c r="H45" s="466">
        <f t="shared" si="3"/>
        <v>266</v>
      </c>
      <c r="I45" s="793"/>
      <c r="J45" s="793"/>
      <c r="K45" s="256" t="s">
        <v>87</v>
      </c>
      <c r="L45" s="320" t="s">
        <v>12094</v>
      </c>
      <c r="M45" s="832">
        <v>41725.0</v>
      </c>
      <c r="N45" s="592" t="s">
        <v>12646</v>
      </c>
      <c r="O45" s="832">
        <v>41724.0</v>
      </c>
      <c r="P45" s="388" t="s">
        <v>12651</v>
      </c>
      <c r="Q45" s="388"/>
      <c r="R45" s="793"/>
      <c r="S45" s="1299">
        <v>15780.0</v>
      </c>
      <c r="T45" s="388" t="s">
        <v>12763</v>
      </c>
      <c r="U45" s="1143">
        <v>41718.0</v>
      </c>
      <c r="V45" s="1295">
        <v>41726.0</v>
      </c>
      <c r="W45" s="1296">
        <v>15780.0</v>
      </c>
      <c r="X45" s="1297"/>
      <c r="Y45" s="388"/>
      <c r="Z45" s="91"/>
    </row>
    <row r="46" ht="15.75" customHeight="1">
      <c r="A46" s="1293">
        <v>41708.0</v>
      </c>
      <c r="B46" s="599" t="s">
        <v>1204</v>
      </c>
      <c r="C46" s="388"/>
      <c r="D46" s="388" t="s">
        <v>12760</v>
      </c>
      <c r="E46" s="340" t="s">
        <v>9434</v>
      </c>
      <c r="F46" s="1137">
        <v>7.0</v>
      </c>
      <c r="G46" s="325">
        <v>40.0</v>
      </c>
      <c r="H46" s="466">
        <f t="shared" si="3"/>
        <v>280</v>
      </c>
      <c r="I46" s="793"/>
      <c r="J46" s="793"/>
      <c r="K46" s="256" t="s">
        <v>87</v>
      </c>
      <c r="L46" s="320" t="s">
        <v>12094</v>
      </c>
      <c r="M46" s="832">
        <v>41725.0</v>
      </c>
      <c r="N46" s="592" t="s">
        <v>12646</v>
      </c>
      <c r="O46" s="832">
        <v>41724.0</v>
      </c>
      <c r="P46" s="388" t="s">
        <v>12651</v>
      </c>
      <c r="Q46" s="388"/>
      <c r="R46" s="793"/>
      <c r="S46" s="325"/>
      <c r="T46" s="388" t="s">
        <v>12763</v>
      </c>
      <c r="U46" s="1143">
        <v>41718.0</v>
      </c>
      <c r="V46" s="1133"/>
      <c r="W46" s="1149"/>
      <c r="X46" s="320"/>
      <c r="Y46" s="388"/>
      <c r="Z46" s="91"/>
    </row>
    <row r="47" ht="15.75" customHeight="1">
      <c r="A47" s="1293">
        <v>41715.0</v>
      </c>
      <c r="B47" s="599" t="s">
        <v>11038</v>
      </c>
      <c r="C47" s="388"/>
      <c r="D47" s="388" t="s">
        <v>12764</v>
      </c>
      <c r="E47" s="340" t="s">
        <v>12765</v>
      </c>
      <c r="F47" s="1137">
        <v>1.0</v>
      </c>
      <c r="G47" s="325">
        <v>481.0</v>
      </c>
      <c r="H47" s="466">
        <f t="shared" si="3"/>
        <v>481</v>
      </c>
      <c r="I47" s="793"/>
      <c r="J47" s="793"/>
      <c r="K47" s="256" t="s">
        <v>3874</v>
      </c>
      <c r="L47" s="320" t="s">
        <v>12766</v>
      </c>
      <c r="M47" s="832">
        <v>41726.0</v>
      </c>
      <c r="N47" s="592" t="s">
        <v>90</v>
      </c>
      <c r="O47" s="832">
        <v>41724.0</v>
      </c>
      <c r="P47" s="388" t="s">
        <v>90</v>
      </c>
      <c r="Q47" s="773">
        <v>2.014020011657E13</v>
      </c>
      <c r="R47" s="325">
        <v>445.2</v>
      </c>
      <c r="S47" s="793"/>
      <c r="T47" s="388" t="s">
        <v>6081</v>
      </c>
      <c r="U47" s="1143">
        <v>41731.0</v>
      </c>
      <c r="V47" s="1133">
        <v>41724.0</v>
      </c>
      <c r="W47" s="1149">
        <v>13478.0</v>
      </c>
      <c r="X47" s="320" t="s">
        <v>12703</v>
      </c>
      <c r="Y47" s="388"/>
      <c r="Z47" s="91"/>
    </row>
    <row r="48" ht="15.75" customHeight="1">
      <c r="A48" s="1293">
        <v>41716.0</v>
      </c>
      <c r="B48" s="599" t="s">
        <v>6246</v>
      </c>
      <c r="C48" s="388"/>
      <c r="D48" s="388" t="s">
        <v>12767</v>
      </c>
      <c r="E48" s="340" t="s">
        <v>12768</v>
      </c>
      <c r="F48" s="1137">
        <v>2.0</v>
      </c>
      <c r="G48" s="325">
        <v>115.0</v>
      </c>
      <c r="H48" s="466">
        <f t="shared" si="3"/>
        <v>230</v>
      </c>
      <c r="I48" s="793"/>
      <c r="J48" s="793"/>
      <c r="K48" s="256" t="s">
        <v>87</v>
      </c>
      <c r="L48" s="256" t="s">
        <v>12718</v>
      </c>
      <c r="M48" s="832">
        <v>41725.0</v>
      </c>
      <c r="N48" s="592" t="s">
        <v>12646</v>
      </c>
      <c r="O48" s="832">
        <v>41724.0</v>
      </c>
      <c r="P48" s="388" t="s">
        <v>90</v>
      </c>
      <c r="Q48" s="773">
        <v>2.0140300117798E13</v>
      </c>
      <c r="R48" s="325">
        <v>205.8</v>
      </c>
      <c r="S48" s="793"/>
      <c r="T48" s="388" t="s">
        <v>6081</v>
      </c>
      <c r="U48" s="1143">
        <v>41731.0</v>
      </c>
      <c r="V48" s="1133">
        <v>41724.0</v>
      </c>
      <c r="W48" s="1149">
        <v>6231.0</v>
      </c>
      <c r="X48" s="265" t="s">
        <v>12753</v>
      </c>
      <c r="Y48" s="388"/>
      <c r="Z48" s="91"/>
    </row>
    <row r="49" ht="15.75" customHeight="1">
      <c r="A49" s="1293">
        <v>41717.0</v>
      </c>
      <c r="B49" s="599" t="s">
        <v>12661</v>
      </c>
      <c r="C49" s="1004" t="s">
        <v>12769</v>
      </c>
      <c r="D49" s="388" t="s">
        <v>12770</v>
      </c>
      <c r="E49" s="340" t="s">
        <v>11868</v>
      </c>
      <c r="F49" s="1137">
        <v>20.0</v>
      </c>
      <c r="G49" s="325">
        <f>130.5*1.05</f>
        <v>137.025</v>
      </c>
      <c r="H49" s="466">
        <f t="shared" si="3"/>
        <v>2740.5</v>
      </c>
      <c r="I49" s="793"/>
      <c r="J49" s="793"/>
      <c r="K49" s="256" t="s">
        <v>11999</v>
      </c>
      <c r="L49" s="256" t="s">
        <v>12665</v>
      </c>
      <c r="M49" s="832">
        <v>41729.0</v>
      </c>
      <c r="N49" s="592" t="s">
        <v>90</v>
      </c>
      <c r="O49" s="388"/>
      <c r="P49" s="388" t="s">
        <v>90</v>
      </c>
      <c r="Q49" s="1298">
        <v>2.0140300117515E13</v>
      </c>
      <c r="R49" s="1299">
        <v>2520.0</v>
      </c>
      <c r="S49" s="793"/>
      <c r="T49" s="388" t="s">
        <v>6081</v>
      </c>
      <c r="U49" s="1143">
        <v>41731.0</v>
      </c>
      <c r="V49" s="1295">
        <v>41729.0</v>
      </c>
      <c r="W49" s="1296">
        <v>76293.0</v>
      </c>
      <c r="X49" s="1300" t="s">
        <v>12771</v>
      </c>
      <c r="Y49" s="388"/>
      <c r="Z49" s="91"/>
    </row>
    <row r="50" ht="15.75" customHeight="1">
      <c r="A50" s="1293">
        <v>41717.0</v>
      </c>
      <c r="B50" s="599" t="s">
        <v>12661</v>
      </c>
      <c r="C50" s="1004" t="s">
        <v>12769</v>
      </c>
      <c r="D50" s="388" t="s">
        <v>12770</v>
      </c>
      <c r="E50" s="340" t="s">
        <v>12757</v>
      </c>
      <c r="F50" s="1137">
        <v>20.0</v>
      </c>
      <c r="G50" s="325">
        <f>3.5*1.05</f>
        <v>3.675</v>
      </c>
      <c r="H50" s="466">
        <f t="shared" si="3"/>
        <v>73.5</v>
      </c>
      <c r="I50" s="793"/>
      <c r="J50" s="793"/>
      <c r="K50" s="256" t="s">
        <v>11999</v>
      </c>
      <c r="L50" s="592" t="s">
        <v>12665</v>
      </c>
      <c r="M50" s="832">
        <v>41729.0</v>
      </c>
      <c r="N50" s="592" t="s">
        <v>90</v>
      </c>
      <c r="O50" s="388"/>
      <c r="P50" s="388" t="s">
        <v>90</v>
      </c>
      <c r="Q50" s="773"/>
      <c r="R50" s="325"/>
      <c r="S50" s="793"/>
      <c r="T50" s="388" t="s">
        <v>6081</v>
      </c>
      <c r="U50" s="1143">
        <v>41731.0</v>
      </c>
      <c r="V50" s="1133"/>
      <c r="W50" s="1149"/>
      <c r="X50" s="388"/>
      <c r="Y50" s="388"/>
      <c r="Z50" s="91"/>
    </row>
    <row r="51" ht="15.75" customHeight="1">
      <c r="A51" s="1293">
        <v>41729.0</v>
      </c>
      <c r="B51" s="599" t="s">
        <v>11038</v>
      </c>
      <c r="C51" s="388"/>
      <c r="D51" s="388" t="s">
        <v>12772</v>
      </c>
      <c r="E51" s="340" t="s">
        <v>7301</v>
      </c>
      <c r="F51" s="1137">
        <v>1.0</v>
      </c>
      <c r="G51" s="325">
        <v>443.0</v>
      </c>
      <c r="H51" s="466">
        <v>443.0</v>
      </c>
      <c r="I51" s="793"/>
      <c r="J51" s="793"/>
      <c r="K51" s="256" t="s">
        <v>3874</v>
      </c>
      <c r="L51" s="592" t="s">
        <v>12702</v>
      </c>
      <c r="M51" s="832">
        <v>41745.0</v>
      </c>
      <c r="N51" s="592" t="s">
        <v>90</v>
      </c>
      <c r="O51" s="832">
        <v>41744.0</v>
      </c>
      <c r="P51" s="388" t="s">
        <v>90</v>
      </c>
      <c r="Q51" s="1298">
        <v>2.0140400120316E13</v>
      </c>
      <c r="R51" s="1294">
        <v>441.0</v>
      </c>
      <c r="S51" s="793"/>
      <c r="T51" s="388" t="s">
        <v>6081</v>
      </c>
      <c r="U51" s="1143">
        <v>41780.0</v>
      </c>
      <c r="V51" s="1302">
        <v>41744.0</v>
      </c>
      <c r="W51" s="1303">
        <v>13334.0</v>
      </c>
      <c r="X51" s="1297" t="s">
        <v>12773</v>
      </c>
      <c r="Y51" s="388"/>
      <c r="Z51" s="91"/>
    </row>
    <row r="52" ht="15.75" customHeight="1">
      <c r="A52" s="1293">
        <v>41729.0</v>
      </c>
      <c r="B52" s="599" t="s">
        <v>11038</v>
      </c>
      <c r="C52" s="388"/>
      <c r="D52" s="388" t="s">
        <v>12772</v>
      </c>
      <c r="E52" s="340" t="s">
        <v>7305</v>
      </c>
      <c r="F52" s="1137">
        <v>1.0</v>
      </c>
      <c r="G52" s="325">
        <v>35.0</v>
      </c>
      <c r="H52" s="466">
        <v>35.0</v>
      </c>
      <c r="I52" s="793"/>
      <c r="J52" s="793"/>
      <c r="K52" s="256" t="s">
        <v>3874</v>
      </c>
      <c r="L52" s="592" t="s">
        <v>12702</v>
      </c>
      <c r="M52" s="832">
        <v>41745.0</v>
      </c>
      <c r="N52" s="592" t="s">
        <v>90</v>
      </c>
      <c r="O52" s="832">
        <v>41744.0</v>
      </c>
      <c r="P52" s="388" t="s">
        <v>90</v>
      </c>
      <c r="Q52" s="773"/>
      <c r="R52" s="466"/>
      <c r="S52" s="793"/>
      <c r="T52" s="388" t="s">
        <v>6081</v>
      </c>
      <c r="U52" s="1143">
        <v>41780.0</v>
      </c>
      <c r="V52" s="1143"/>
      <c r="W52" s="1159"/>
      <c r="X52" s="320"/>
      <c r="Y52" s="388"/>
      <c r="Z52" s="91"/>
    </row>
    <row r="53" ht="15.75" customHeight="1">
      <c r="A53" s="1293">
        <v>41731.0</v>
      </c>
      <c r="B53" s="599" t="s">
        <v>12661</v>
      </c>
      <c r="C53" s="1004" t="s">
        <v>12774</v>
      </c>
      <c r="D53" s="388" t="s">
        <v>12775</v>
      </c>
      <c r="E53" s="340" t="s">
        <v>12776</v>
      </c>
      <c r="F53" s="1137">
        <v>40.0</v>
      </c>
      <c r="G53" s="325">
        <f>350*1.05</f>
        <v>367.5</v>
      </c>
      <c r="H53" s="466">
        <f t="shared" ref="H53:H58" si="4">G53*F53</f>
        <v>14700</v>
      </c>
      <c r="I53" s="793"/>
      <c r="J53" s="793"/>
      <c r="K53" s="256" t="s">
        <v>11999</v>
      </c>
      <c r="L53" s="592" t="s">
        <v>12665</v>
      </c>
      <c r="M53" s="832">
        <v>41754.0</v>
      </c>
      <c r="N53" s="592" t="s">
        <v>90</v>
      </c>
      <c r="O53" s="388"/>
      <c r="P53" s="388" t="s">
        <v>90</v>
      </c>
      <c r="Q53" s="773">
        <v>2.014030011924E13</v>
      </c>
      <c r="R53" s="325">
        <v>12936.0</v>
      </c>
      <c r="S53" s="793"/>
      <c r="T53" s="388" t="s">
        <v>6081</v>
      </c>
      <c r="U53" s="1143">
        <v>41757.0</v>
      </c>
      <c r="V53" s="1133">
        <v>41754.0</v>
      </c>
      <c r="W53" s="1149">
        <v>389374.0</v>
      </c>
      <c r="X53" s="388" t="s">
        <v>12777</v>
      </c>
      <c r="Y53" s="388"/>
      <c r="Z53" s="91"/>
    </row>
    <row r="54" ht="15.75" customHeight="1">
      <c r="A54" s="1293">
        <v>41732.0</v>
      </c>
      <c r="B54" s="599" t="s">
        <v>12661</v>
      </c>
      <c r="C54" s="1004" t="s">
        <v>12778</v>
      </c>
      <c r="D54" s="388" t="s">
        <v>12779</v>
      </c>
      <c r="E54" s="340" t="s">
        <v>12780</v>
      </c>
      <c r="F54" s="1137">
        <v>1.0</v>
      </c>
      <c r="G54" s="325">
        <f>965*1.05</f>
        <v>1013.25</v>
      </c>
      <c r="H54" s="466">
        <f t="shared" si="4"/>
        <v>1013.25</v>
      </c>
      <c r="I54" s="793"/>
      <c r="J54" s="793"/>
      <c r="K54" s="256" t="s">
        <v>11999</v>
      </c>
      <c r="L54" s="592" t="s">
        <v>12665</v>
      </c>
      <c r="M54" s="832">
        <v>41743.0</v>
      </c>
      <c r="N54" s="592" t="s">
        <v>90</v>
      </c>
      <c r="O54" s="388"/>
      <c r="P54" s="388" t="s">
        <v>90</v>
      </c>
      <c r="Q54" s="1298">
        <v>2.0140400119997E13</v>
      </c>
      <c r="R54" s="1294">
        <v>1672.65</v>
      </c>
      <c r="S54" s="793"/>
      <c r="T54" s="1300" t="s">
        <v>11006</v>
      </c>
      <c r="U54" s="1302">
        <v>41780.0</v>
      </c>
      <c r="V54" s="1295">
        <v>41743.0</v>
      </c>
      <c r="W54" s="1296">
        <v>50573.0</v>
      </c>
      <c r="X54" s="1300" t="s">
        <v>12781</v>
      </c>
      <c r="Y54" s="388"/>
      <c r="Z54" s="91"/>
    </row>
    <row r="55" ht="15.75" customHeight="1">
      <c r="A55" s="1293">
        <v>41732.0</v>
      </c>
      <c r="B55" s="599" t="s">
        <v>12661</v>
      </c>
      <c r="C55" s="1004" t="s">
        <v>12778</v>
      </c>
      <c r="D55" s="388" t="s">
        <v>12779</v>
      </c>
      <c r="E55" s="340" t="s">
        <v>12782</v>
      </c>
      <c r="F55" s="1137">
        <v>1.0</v>
      </c>
      <c r="G55" s="325">
        <f>773*1.05</f>
        <v>811.65</v>
      </c>
      <c r="H55" s="466">
        <f t="shared" si="4"/>
        <v>811.65</v>
      </c>
      <c r="I55" s="793"/>
      <c r="J55" s="793"/>
      <c r="K55" s="256" t="s">
        <v>11999</v>
      </c>
      <c r="L55" s="592" t="s">
        <v>12665</v>
      </c>
      <c r="M55" s="832">
        <v>41743.0</v>
      </c>
      <c r="N55" s="592" t="s">
        <v>90</v>
      </c>
      <c r="O55" s="388"/>
      <c r="P55" s="388" t="s">
        <v>90</v>
      </c>
      <c r="Q55" s="773"/>
      <c r="R55" s="466"/>
      <c r="S55" s="793"/>
      <c r="T55" s="388"/>
      <c r="U55" s="1143"/>
      <c r="V55" s="1133"/>
      <c r="W55" s="1149"/>
      <c r="X55" s="388"/>
      <c r="Y55" s="388"/>
      <c r="Z55" s="91"/>
    </row>
    <row r="56" ht="15.75" customHeight="1">
      <c r="A56" s="1293">
        <v>41730.0</v>
      </c>
      <c r="B56" s="599" t="s">
        <v>673</v>
      </c>
      <c r="C56" s="388"/>
      <c r="D56" s="388" t="s">
        <v>12783</v>
      </c>
      <c r="E56" s="340" t="s">
        <v>12784</v>
      </c>
      <c r="F56" s="1137">
        <v>1.0</v>
      </c>
      <c r="G56" s="325">
        <v>650.0</v>
      </c>
      <c r="H56" s="466">
        <f t="shared" si="4"/>
        <v>650</v>
      </c>
      <c r="I56" s="793"/>
      <c r="J56" s="793"/>
      <c r="K56" s="256" t="s">
        <v>12785</v>
      </c>
      <c r="L56" s="592" t="s">
        <v>12786</v>
      </c>
      <c r="M56" s="832">
        <v>41766.0</v>
      </c>
      <c r="N56" s="592" t="s">
        <v>12646</v>
      </c>
      <c r="O56" s="832">
        <v>41764.0</v>
      </c>
      <c r="P56" s="388" t="s">
        <v>12673</v>
      </c>
      <c r="Q56" s="773" t="s">
        <v>12787</v>
      </c>
      <c r="R56" s="793"/>
      <c r="S56" s="325">
        <v>18900.0</v>
      </c>
      <c r="T56" s="388" t="s">
        <v>8689</v>
      </c>
      <c r="U56" s="1143">
        <v>41771.0</v>
      </c>
      <c r="V56" s="1302">
        <v>41761.0</v>
      </c>
      <c r="W56" s="1303">
        <v>19478.0</v>
      </c>
      <c r="X56" s="1305" t="s">
        <v>12788</v>
      </c>
      <c r="Y56" s="388"/>
      <c r="Z56" s="91"/>
    </row>
    <row r="57" ht="15.75" customHeight="1">
      <c r="A57" s="1293">
        <v>41730.0</v>
      </c>
      <c r="B57" s="599" t="s">
        <v>673</v>
      </c>
      <c r="C57" s="388"/>
      <c r="D57" s="388" t="s">
        <v>12783</v>
      </c>
      <c r="E57" s="1306" t="s">
        <v>12789</v>
      </c>
      <c r="F57" s="1137">
        <v>1.0</v>
      </c>
      <c r="G57" s="325">
        <v>22.0</v>
      </c>
      <c r="H57" s="466">
        <f t="shared" si="4"/>
        <v>22</v>
      </c>
      <c r="I57" s="793"/>
      <c r="J57" s="793"/>
      <c r="K57" s="256" t="s">
        <v>12785</v>
      </c>
      <c r="L57" s="592" t="s">
        <v>12786</v>
      </c>
      <c r="M57" s="832">
        <v>41766.0</v>
      </c>
      <c r="N57" s="592" t="s">
        <v>12646</v>
      </c>
      <c r="O57" s="832">
        <v>41764.0</v>
      </c>
      <c r="P57" s="388" t="s">
        <v>12673</v>
      </c>
      <c r="Q57" s="773" t="s">
        <v>12787</v>
      </c>
      <c r="R57" s="793"/>
      <c r="S57" s="325">
        <f>504+73.5</f>
        <v>577.5</v>
      </c>
      <c r="T57" s="388" t="s">
        <v>8689</v>
      </c>
      <c r="U57" s="1143">
        <v>41771.0</v>
      </c>
      <c r="V57" s="1143"/>
      <c r="W57" s="1159"/>
      <c r="X57" s="265"/>
      <c r="Y57" s="388"/>
      <c r="Z57" s="91"/>
    </row>
    <row r="58" ht="15.75" customHeight="1">
      <c r="A58" s="1293">
        <v>41736.0</v>
      </c>
      <c r="B58" s="599" t="s">
        <v>1204</v>
      </c>
      <c r="C58" s="388"/>
      <c r="D58" s="388" t="s">
        <v>12790</v>
      </c>
      <c r="E58" s="340" t="s">
        <v>12654</v>
      </c>
      <c r="F58" s="1137">
        <v>108.0</v>
      </c>
      <c r="G58" s="325">
        <v>37.5</v>
      </c>
      <c r="H58" s="466">
        <f t="shared" si="4"/>
        <v>4050</v>
      </c>
      <c r="I58" s="793"/>
      <c r="J58" s="793"/>
      <c r="K58" s="256" t="s">
        <v>87</v>
      </c>
      <c r="L58" s="592" t="s">
        <v>12791</v>
      </c>
      <c r="M58" s="832">
        <v>41767.0</v>
      </c>
      <c r="N58" s="592" t="s">
        <v>12646</v>
      </c>
      <c r="O58" s="832">
        <v>41753.0</v>
      </c>
      <c r="P58" s="388" t="s">
        <v>12655</v>
      </c>
      <c r="Q58" s="388"/>
      <c r="R58" s="793"/>
      <c r="S58" s="325">
        <v>113400.0</v>
      </c>
      <c r="T58" s="265" t="s">
        <v>2510</v>
      </c>
      <c r="U58" s="1143">
        <v>41803.0</v>
      </c>
      <c r="V58" s="1143">
        <v>41752.0</v>
      </c>
      <c r="W58" s="1159">
        <v>113400.0</v>
      </c>
      <c r="X58" s="320" t="s">
        <v>12792</v>
      </c>
      <c r="Y58" s="388"/>
      <c r="Z58" s="91"/>
    </row>
    <row r="59" ht="15.75" customHeight="1">
      <c r="A59" s="1293">
        <v>41736.0</v>
      </c>
      <c r="B59" s="599" t="s">
        <v>1204</v>
      </c>
      <c r="C59" s="388"/>
      <c r="D59" s="388" t="s">
        <v>12793</v>
      </c>
      <c r="E59" s="340" t="s">
        <v>12654</v>
      </c>
      <c r="F59" s="1137">
        <v>72.0</v>
      </c>
      <c r="G59" s="325">
        <v>37.5</v>
      </c>
      <c r="H59" s="793"/>
      <c r="I59" s="793"/>
      <c r="J59" s="793"/>
      <c r="K59" s="256" t="s">
        <v>87</v>
      </c>
      <c r="L59" s="388"/>
      <c r="M59" s="823" t="s">
        <v>12794</v>
      </c>
      <c r="N59" s="592" t="s">
        <v>12646</v>
      </c>
      <c r="O59" s="823" t="s">
        <v>12794</v>
      </c>
      <c r="P59" s="388" t="s">
        <v>12655</v>
      </c>
      <c r="Q59" s="388"/>
      <c r="R59" s="793"/>
      <c r="S59" s="793"/>
      <c r="T59" s="265" t="s">
        <v>2510</v>
      </c>
      <c r="U59" s="388"/>
      <c r="V59" s="388"/>
      <c r="W59" s="388"/>
      <c r="X59" s="388"/>
      <c r="Y59" s="388"/>
      <c r="Z59" s="91"/>
    </row>
    <row r="60" ht="15.75" customHeight="1">
      <c r="A60" s="1293">
        <v>41736.0</v>
      </c>
      <c r="B60" s="599" t="s">
        <v>6246</v>
      </c>
      <c r="C60" s="388"/>
      <c r="D60" s="388" t="s">
        <v>12795</v>
      </c>
      <c r="E60" s="340" t="s">
        <v>12768</v>
      </c>
      <c r="F60" s="1137">
        <v>8.0</v>
      </c>
      <c r="G60" s="325">
        <v>115.0</v>
      </c>
      <c r="H60" s="466">
        <f t="shared" ref="H60:H64" si="5">G60*F60</f>
        <v>920</v>
      </c>
      <c r="I60" s="793"/>
      <c r="J60" s="793"/>
      <c r="K60" s="256" t="s">
        <v>87</v>
      </c>
      <c r="L60" s="1301" t="s">
        <v>12718</v>
      </c>
      <c r="M60" s="832">
        <v>41745.0</v>
      </c>
      <c r="N60" s="592" t="s">
        <v>90</v>
      </c>
      <c r="O60" s="1307">
        <v>41744.0</v>
      </c>
      <c r="P60" s="388" t="s">
        <v>90</v>
      </c>
      <c r="Q60" s="1298">
        <v>2.0140400120223E13</v>
      </c>
      <c r="R60" s="1294">
        <v>1325.1</v>
      </c>
      <c r="S60" s="793"/>
      <c r="T60" s="1300" t="s">
        <v>6081</v>
      </c>
      <c r="U60" s="1143">
        <v>41780.0</v>
      </c>
      <c r="V60" s="1295">
        <v>41744.0</v>
      </c>
      <c r="W60" s="1296">
        <v>40064.0</v>
      </c>
      <c r="X60" s="1297" t="s">
        <v>12796</v>
      </c>
      <c r="Y60" s="388"/>
      <c r="Z60" s="91"/>
    </row>
    <row r="61" ht="15.75" customHeight="1">
      <c r="A61" s="1293">
        <v>41736.0</v>
      </c>
      <c r="B61" s="599" t="s">
        <v>6246</v>
      </c>
      <c r="C61" s="388"/>
      <c r="D61" s="388" t="s">
        <v>12795</v>
      </c>
      <c r="E61" s="340" t="s">
        <v>6629</v>
      </c>
      <c r="F61" s="1137">
        <v>2.0</v>
      </c>
      <c r="G61" s="325">
        <v>270.0</v>
      </c>
      <c r="H61" s="466">
        <f t="shared" si="5"/>
        <v>540</v>
      </c>
      <c r="I61" s="793"/>
      <c r="J61" s="793"/>
      <c r="K61" s="256" t="s">
        <v>87</v>
      </c>
      <c r="L61" s="1301"/>
      <c r="M61" s="832">
        <v>41745.0</v>
      </c>
      <c r="N61" s="592" t="s">
        <v>90</v>
      </c>
      <c r="O61" s="1307"/>
      <c r="P61" s="388" t="s">
        <v>90</v>
      </c>
      <c r="Q61" s="773"/>
      <c r="R61" s="466"/>
      <c r="S61" s="793"/>
      <c r="T61" s="1300"/>
      <c r="U61" s="1143">
        <v>41780.0</v>
      </c>
      <c r="V61" s="1133"/>
      <c r="W61" s="1149"/>
      <c r="X61" s="1297"/>
      <c r="Y61" s="388"/>
      <c r="Z61" s="91"/>
    </row>
    <row r="62" ht="15.75" customHeight="1">
      <c r="A62" s="1293">
        <v>41736.0</v>
      </c>
      <c r="B62" s="599" t="s">
        <v>6246</v>
      </c>
      <c r="C62" s="388"/>
      <c r="D62" s="388" t="s">
        <v>12795</v>
      </c>
      <c r="E62" s="340" t="s">
        <v>6249</v>
      </c>
      <c r="F62" s="1137">
        <v>2.0</v>
      </c>
      <c r="G62" s="325">
        <v>60.0</v>
      </c>
      <c r="H62" s="466">
        <f t="shared" si="5"/>
        <v>120</v>
      </c>
      <c r="I62" s="793"/>
      <c r="J62" s="793"/>
      <c r="K62" s="256" t="s">
        <v>87</v>
      </c>
      <c r="L62" s="592"/>
      <c r="M62" s="832">
        <v>41745.0</v>
      </c>
      <c r="N62" s="592" t="s">
        <v>90</v>
      </c>
      <c r="O62" s="832"/>
      <c r="P62" s="388" t="s">
        <v>90</v>
      </c>
      <c r="Q62" s="773">
        <v>2.0140400120231E13</v>
      </c>
      <c r="R62" s="466">
        <v>109.2</v>
      </c>
      <c r="S62" s="793"/>
      <c r="T62" s="388"/>
      <c r="U62" s="1143">
        <v>41780.0</v>
      </c>
      <c r="V62" s="1133">
        <v>41744.0</v>
      </c>
      <c r="W62" s="1149">
        <v>3302.0</v>
      </c>
      <c r="X62" s="320"/>
      <c r="Y62" s="388"/>
      <c r="Z62" s="91"/>
    </row>
    <row r="63" ht="15.75" customHeight="1">
      <c r="A63" s="1293">
        <v>41736.0</v>
      </c>
      <c r="B63" s="599" t="s">
        <v>10926</v>
      </c>
      <c r="C63" s="1004" t="s">
        <v>12797</v>
      </c>
      <c r="D63" s="388" t="s">
        <v>12798</v>
      </c>
      <c r="E63" s="340" t="s">
        <v>12799</v>
      </c>
      <c r="F63" s="1137">
        <v>2.0</v>
      </c>
      <c r="G63" s="325">
        <f>414*1.05</f>
        <v>434.7</v>
      </c>
      <c r="H63" s="466">
        <f t="shared" si="5"/>
        <v>869.4</v>
      </c>
      <c r="I63" s="793"/>
      <c r="J63" s="793"/>
      <c r="K63" s="256" t="s">
        <v>12800</v>
      </c>
      <c r="L63" s="592" t="s">
        <v>12665</v>
      </c>
      <c r="M63" s="832">
        <v>41743.0</v>
      </c>
      <c r="N63" s="592" t="s">
        <v>90</v>
      </c>
      <c r="O63" s="388"/>
      <c r="P63" s="388" t="s">
        <v>90</v>
      </c>
      <c r="Q63" s="773">
        <v>2.0140400120222E13</v>
      </c>
      <c r="R63" s="466">
        <v>819.0</v>
      </c>
      <c r="S63" s="793"/>
      <c r="T63" s="388" t="s">
        <v>6081</v>
      </c>
      <c r="U63" s="1143">
        <v>41780.0</v>
      </c>
      <c r="V63" s="1133">
        <v>41743.0</v>
      </c>
      <c r="W63" s="1149">
        <v>24762.0</v>
      </c>
      <c r="X63" s="388" t="s">
        <v>12801</v>
      </c>
      <c r="Y63" s="388"/>
      <c r="Z63" s="91"/>
    </row>
    <row r="64" ht="15.75" customHeight="1">
      <c r="A64" s="1293">
        <v>41738.0</v>
      </c>
      <c r="B64" s="599" t="s">
        <v>10926</v>
      </c>
      <c r="C64" s="1004" t="s">
        <v>12802</v>
      </c>
      <c r="D64" s="388" t="s">
        <v>12803</v>
      </c>
      <c r="E64" s="340" t="s">
        <v>12804</v>
      </c>
      <c r="F64" s="1137">
        <v>3.0</v>
      </c>
      <c r="G64" s="325">
        <f>2996/30*1.05</f>
        <v>104.86</v>
      </c>
      <c r="H64" s="466">
        <f t="shared" si="5"/>
        <v>314.58</v>
      </c>
      <c r="I64" s="793"/>
      <c r="J64" s="793"/>
      <c r="K64" s="256" t="s">
        <v>12800</v>
      </c>
      <c r="L64" s="256" t="s">
        <v>12805</v>
      </c>
      <c r="M64" s="832">
        <v>41743.0</v>
      </c>
      <c r="N64" s="592" t="s">
        <v>12673</v>
      </c>
      <c r="O64" s="832">
        <v>41739.0</v>
      </c>
      <c r="P64" s="388" t="s">
        <v>12673</v>
      </c>
      <c r="Q64" s="773" t="s">
        <v>12806</v>
      </c>
      <c r="R64" s="793"/>
      <c r="S64" s="325">
        <v>8681.0</v>
      </c>
      <c r="T64" s="388" t="s">
        <v>8689</v>
      </c>
      <c r="U64" s="1143">
        <v>41771.0</v>
      </c>
      <c r="V64" s="1143">
        <v>41738.0</v>
      </c>
      <c r="W64" s="1159">
        <v>8681.0</v>
      </c>
      <c r="X64" s="388" t="s">
        <v>12807</v>
      </c>
      <c r="Y64" s="388"/>
      <c r="Z64" s="91"/>
    </row>
    <row r="65" ht="15.75" customHeight="1">
      <c r="A65" s="1293">
        <v>41746.0</v>
      </c>
      <c r="B65" s="599" t="s">
        <v>10926</v>
      </c>
      <c r="C65" s="1004" t="s">
        <v>12808</v>
      </c>
      <c r="D65" s="388" t="s">
        <v>12809</v>
      </c>
      <c r="E65" s="340" t="s">
        <v>12810</v>
      </c>
      <c r="F65" s="1137">
        <v>30.0</v>
      </c>
      <c r="G65" s="325">
        <f>61.5*1.05</f>
        <v>64.575</v>
      </c>
      <c r="H65" s="466">
        <f>F65*G65</f>
        <v>1937.25</v>
      </c>
      <c r="I65" s="793"/>
      <c r="J65" s="793"/>
      <c r="K65" s="256" t="s">
        <v>12800</v>
      </c>
      <c r="L65" s="592" t="s">
        <v>12665</v>
      </c>
      <c r="M65" s="832">
        <v>41757.0</v>
      </c>
      <c r="N65" s="592" t="s">
        <v>90</v>
      </c>
      <c r="O65" s="388"/>
      <c r="P65" s="388" t="s">
        <v>90</v>
      </c>
      <c r="Q65" s="773">
        <v>2.0140400120884E13</v>
      </c>
      <c r="R65" s="466">
        <v>1701.0</v>
      </c>
      <c r="S65" s="793"/>
      <c r="T65" s="388" t="s">
        <v>6081</v>
      </c>
      <c r="U65" s="1143">
        <v>41780.0</v>
      </c>
      <c r="V65" s="1133">
        <v>41758.0</v>
      </c>
      <c r="W65" s="1149">
        <v>51200.0</v>
      </c>
      <c r="X65" s="388" t="s">
        <v>12811</v>
      </c>
      <c r="Y65" s="388"/>
      <c r="Z65" s="91"/>
    </row>
    <row r="66" ht="15.75" customHeight="1">
      <c r="A66" s="1293">
        <v>41748.0</v>
      </c>
      <c r="B66" s="599" t="s">
        <v>6246</v>
      </c>
      <c r="C66" s="388"/>
      <c r="D66" s="388" t="s">
        <v>12812</v>
      </c>
      <c r="E66" s="340" t="s">
        <v>12768</v>
      </c>
      <c r="F66" s="1137">
        <v>8.0</v>
      </c>
      <c r="G66" s="325">
        <v>115.0</v>
      </c>
      <c r="H66" s="466">
        <f t="shared" ref="H66:H70" si="6">G66*F66</f>
        <v>920</v>
      </c>
      <c r="I66" s="793"/>
      <c r="J66" s="793"/>
      <c r="K66" s="256" t="s">
        <v>87</v>
      </c>
      <c r="L66" s="256" t="s">
        <v>12813</v>
      </c>
      <c r="M66" s="832">
        <v>41767.0</v>
      </c>
      <c r="N66" s="592" t="s">
        <v>90</v>
      </c>
      <c r="O66" s="832">
        <v>41759.0</v>
      </c>
      <c r="P66" s="388" t="s">
        <v>90</v>
      </c>
      <c r="Q66" s="773">
        <v>2.0140400120923E13</v>
      </c>
      <c r="R66" s="466">
        <v>823.2</v>
      </c>
      <c r="S66" s="793"/>
      <c r="T66" s="388" t="s">
        <v>6081</v>
      </c>
      <c r="U66" s="1143">
        <v>41780.0</v>
      </c>
      <c r="V66" s="1143">
        <v>41759.0</v>
      </c>
      <c r="W66" s="1159">
        <v>24778.0</v>
      </c>
      <c r="X66" s="265" t="s">
        <v>12814</v>
      </c>
      <c r="Y66" s="388"/>
      <c r="Z66" s="91"/>
    </row>
    <row r="67" ht="15.75" customHeight="1">
      <c r="A67" s="1293">
        <v>41750.0</v>
      </c>
      <c r="B67" s="599" t="s">
        <v>8749</v>
      </c>
      <c r="C67" s="1004" t="s">
        <v>12815</v>
      </c>
      <c r="D67" s="388" t="s">
        <v>12816</v>
      </c>
      <c r="E67" s="340" t="s">
        <v>12817</v>
      </c>
      <c r="F67" s="1137">
        <v>1.0</v>
      </c>
      <c r="G67" s="325">
        <v>61.95</v>
      </c>
      <c r="H67" s="466">
        <f t="shared" si="6"/>
        <v>61.95</v>
      </c>
      <c r="I67" s="793"/>
      <c r="J67" s="793"/>
      <c r="K67" s="256" t="s">
        <v>11086</v>
      </c>
      <c r="L67" s="592" t="s">
        <v>12665</v>
      </c>
      <c r="M67" s="832">
        <v>41757.0</v>
      </c>
      <c r="N67" s="592" t="s">
        <v>90</v>
      </c>
      <c r="O67" s="388"/>
      <c r="P67" s="388" t="s">
        <v>90</v>
      </c>
      <c r="Q67" s="773">
        <v>2.0140400120857E13</v>
      </c>
      <c r="R67" s="466">
        <v>54.6</v>
      </c>
      <c r="S67" s="793"/>
      <c r="T67" s="388" t="s">
        <v>6081</v>
      </c>
      <c r="U67" s="1143">
        <v>41780.0</v>
      </c>
      <c r="V67" s="1133">
        <v>41758.0</v>
      </c>
      <c r="W67" s="1149">
        <v>1643.0</v>
      </c>
      <c r="X67" s="388" t="s">
        <v>12811</v>
      </c>
      <c r="Y67" s="388"/>
      <c r="Z67" s="91"/>
    </row>
    <row r="68" ht="15.75" customHeight="1">
      <c r="A68" s="1293">
        <v>41750.0</v>
      </c>
      <c r="B68" s="599" t="s">
        <v>12661</v>
      </c>
      <c r="C68" s="1004" t="s">
        <v>12818</v>
      </c>
      <c r="D68" s="388" t="s">
        <v>12819</v>
      </c>
      <c r="E68" s="340" t="s">
        <v>12820</v>
      </c>
      <c r="F68" s="1137">
        <v>27.0</v>
      </c>
      <c r="G68" s="325">
        <f>177*1.05</f>
        <v>185.85</v>
      </c>
      <c r="H68" s="466">
        <f t="shared" si="6"/>
        <v>5017.95</v>
      </c>
      <c r="I68" s="793"/>
      <c r="J68" s="793"/>
      <c r="K68" s="256" t="s">
        <v>11999</v>
      </c>
      <c r="L68" s="592" t="s">
        <v>12665</v>
      </c>
      <c r="M68" s="832">
        <v>41757.0</v>
      </c>
      <c r="N68" s="592" t="s">
        <v>90</v>
      </c>
      <c r="O68" s="388"/>
      <c r="P68" s="388" t="s">
        <v>90</v>
      </c>
      <c r="Q68" s="1298">
        <v>2.0140400120854E13</v>
      </c>
      <c r="R68" s="1299">
        <v>6322.05</v>
      </c>
      <c r="S68" s="793"/>
      <c r="T68" s="1300" t="s">
        <v>6081</v>
      </c>
      <c r="U68" s="1302">
        <v>41753.0</v>
      </c>
      <c r="V68" s="1295">
        <v>41757.0</v>
      </c>
      <c r="W68" s="1296">
        <v>190294.0</v>
      </c>
      <c r="X68" s="1300" t="s">
        <v>12811</v>
      </c>
      <c r="Y68" s="388"/>
      <c r="Z68" s="91"/>
    </row>
    <row r="69" ht="15.75" customHeight="1">
      <c r="A69" s="1293">
        <v>41750.0</v>
      </c>
      <c r="B69" s="599" t="s">
        <v>12661</v>
      </c>
      <c r="C69" s="1004" t="s">
        <v>12818</v>
      </c>
      <c r="D69" s="388" t="s">
        <v>12819</v>
      </c>
      <c r="E69" s="340" t="s">
        <v>12821</v>
      </c>
      <c r="F69" s="1137">
        <v>27.0</v>
      </c>
      <c r="G69" s="325">
        <f>70*1.05</f>
        <v>73.5</v>
      </c>
      <c r="H69" s="466">
        <f t="shared" si="6"/>
        <v>1984.5</v>
      </c>
      <c r="I69" s="793"/>
      <c r="J69" s="793"/>
      <c r="K69" s="256" t="s">
        <v>11999</v>
      </c>
      <c r="L69" s="592" t="s">
        <v>12665</v>
      </c>
      <c r="M69" s="832">
        <v>41757.0</v>
      </c>
      <c r="N69" s="592" t="s">
        <v>90</v>
      </c>
      <c r="O69" s="388"/>
      <c r="P69" s="388" t="s">
        <v>90</v>
      </c>
      <c r="Q69" s="773"/>
      <c r="R69" s="325"/>
      <c r="S69" s="793"/>
      <c r="T69" s="388"/>
      <c r="U69" s="1143"/>
      <c r="V69" s="1133"/>
      <c r="W69" s="1149"/>
      <c r="X69" s="388"/>
      <c r="Y69" s="388"/>
      <c r="Z69" s="91"/>
    </row>
    <row r="70" ht="15.75" customHeight="1">
      <c r="A70" s="1293">
        <v>41751.0</v>
      </c>
      <c r="B70" s="599" t="s">
        <v>12661</v>
      </c>
      <c r="C70" s="1004" t="s">
        <v>12822</v>
      </c>
      <c r="D70" s="388" t="s">
        <v>12823</v>
      </c>
      <c r="E70" s="340" t="s">
        <v>12824</v>
      </c>
      <c r="F70" s="1137">
        <v>1.0</v>
      </c>
      <c r="G70" s="325">
        <f>998*1.05</f>
        <v>1047.9</v>
      </c>
      <c r="H70" s="466">
        <f t="shared" si="6"/>
        <v>1047.9</v>
      </c>
      <c r="I70" s="793"/>
      <c r="J70" s="793"/>
      <c r="K70" s="256" t="s">
        <v>11999</v>
      </c>
      <c r="L70" s="592" t="s">
        <v>12665</v>
      </c>
      <c r="M70" s="832">
        <v>41764.0</v>
      </c>
      <c r="N70" s="592" t="s">
        <v>90</v>
      </c>
      <c r="O70" s="388"/>
      <c r="P70" s="388" t="s">
        <v>90</v>
      </c>
      <c r="Q70" s="773">
        <v>2.01404001216E13</v>
      </c>
      <c r="R70" s="466">
        <v>924.0</v>
      </c>
      <c r="S70" s="793"/>
      <c r="T70" s="388" t="s">
        <v>6081</v>
      </c>
      <c r="U70" s="1143">
        <v>41780.0</v>
      </c>
      <c r="V70" s="1133">
        <v>41764.0</v>
      </c>
      <c r="W70" s="1149">
        <v>27923.0</v>
      </c>
      <c r="X70" s="388" t="s">
        <v>12825</v>
      </c>
      <c r="Y70" s="388"/>
      <c r="Z70" s="91"/>
    </row>
    <row r="71" ht="15.75" customHeight="1">
      <c r="A71" s="1293">
        <v>41751.0</v>
      </c>
      <c r="B71" s="599" t="s">
        <v>3871</v>
      </c>
      <c r="C71" s="388"/>
      <c r="D71" s="388" t="s">
        <v>12826</v>
      </c>
      <c r="E71" s="340" t="s">
        <v>12827</v>
      </c>
      <c r="F71" s="1137">
        <v>1.0</v>
      </c>
      <c r="G71" s="325">
        <v>248.0</v>
      </c>
      <c r="H71" s="466">
        <v>248.0</v>
      </c>
      <c r="I71" s="793"/>
      <c r="J71" s="793"/>
      <c r="K71" s="256" t="s">
        <v>12828</v>
      </c>
      <c r="L71" s="592" t="s">
        <v>12829</v>
      </c>
      <c r="M71" s="832">
        <v>41774.0</v>
      </c>
      <c r="N71" s="592" t="s">
        <v>90</v>
      </c>
      <c r="O71" s="832">
        <v>41761.0</v>
      </c>
      <c r="P71" s="388" t="s">
        <v>90</v>
      </c>
      <c r="Q71" s="773">
        <v>2.0140400121566E13</v>
      </c>
      <c r="R71" s="466">
        <v>226.8</v>
      </c>
      <c r="S71" s="793"/>
      <c r="T71" s="388" t="s">
        <v>6081</v>
      </c>
      <c r="U71" s="1143">
        <v>41780.0</v>
      </c>
      <c r="V71" s="1143">
        <v>41761.0</v>
      </c>
      <c r="W71" s="1159">
        <v>6854.0</v>
      </c>
      <c r="X71" s="320" t="s">
        <v>12830</v>
      </c>
      <c r="Y71" s="388"/>
      <c r="Z71" s="91"/>
    </row>
    <row r="72" ht="15.75" customHeight="1">
      <c r="A72" s="1293">
        <v>41759.0</v>
      </c>
      <c r="B72" s="599" t="s">
        <v>12669</v>
      </c>
      <c r="C72" s="388"/>
      <c r="D72" s="388" t="s">
        <v>12831</v>
      </c>
      <c r="E72" s="340" t="s">
        <v>12832</v>
      </c>
      <c r="F72" s="1137">
        <v>2.0</v>
      </c>
      <c r="G72" s="325">
        <v>427.0</v>
      </c>
      <c r="H72" s="466">
        <f t="shared" ref="H72:H76" si="7">F72*G72</f>
        <v>854</v>
      </c>
      <c r="I72" s="793"/>
      <c r="J72" s="793"/>
      <c r="K72" s="256" t="s">
        <v>3874</v>
      </c>
      <c r="L72" s="256" t="s">
        <v>12833</v>
      </c>
      <c r="M72" s="832">
        <v>41788.0</v>
      </c>
      <c r="N72" s="592" t="s">
        <v>11675</v>
      </c>
      <c r="O72" s="832">
        <v>41785.0</v>
      </c>
      <c r="P72" s="388" t="s">
        <v>90</v>
      </c>
      <c r="Q72" s="773">
        <v>2.0140400122017E13</v>
      </c>
      <c r="R72" s="466">
        <v>793.8</v>
      </c>
      <c r="S72" s="793"/>
      <c r="T72" s="388" t="s">
        <v>6081</v>
      </c>
      <c r="U72" s="1143">
        <v>41785.0</v>
      </c>
      <c r="V72" s="1133">
        <v>41785.0</v>
      </c>
      <c r="W72" s="1296">
        <v>23909.0</v>
      </c>
      <c r="X72" s="320" t="s">
        <v>12834</v>
      </c>
      <c r="Y72" s="388"/>
      <c r="Z72" s="91"/>
    </row>
    <row r="73" ht="15.75" customHeight="1">
      <c r="A73" s="1293">
        <v>41764.0</v>
      </c>
      <c r="B73" s="599" t="s">
        <v>3871</v>
      </c>
      <c r="C73" s="388"/>
      <c r="D73" s="388" t="s">
        <v>12835</v>
      </c>
      <c r="E73" s="340" t="s">
        <v>12836</v>
      </c>
      <c r="F73" s="1137">
        <v>2.0</v>
      </c>
      <c r="G73" s="325">
        <v>133.0</v>
      </c>
      <c r="H73" s="466">
        <f t="shared" si="7"/>
        <v>266</v>
      </c>
      <c r="I73" s="793"/>
      <c r="J73" s="793"/>
      <c r="K73" s="256" t="s">
        <v>12828</v>
      </c>
      <c r="L73" s="388" t="s">
        <v>12829</v>
      </c>
      <c r="M73" s="832">
        <v>41774.0</v>
      </c>
      <c r="N73" s="1301" t="s">
        <v>90</v>
      </c>
      <c r="O73" s="1308">
        <v>41771.0</v>
      </c>
      <c r="P73" s="1300" t="s">
        <v>90</v>
      </c>
      <c r="Q73" s="1298">
        <v>2.014050012245E13</v>
      </c>
      <c r="R73" s="1294">
        <v>417.9</v>
      </c>
      <c r="S73" s="793"/>
      <c r="T73" s="388" t="s">
        <v>6081</v>
      </c>
      <c r="U73" s="1143">
        <v>41780.0</v>
      </c>
      <c r="V73" s="1295">
        <v>41771.0</v>
      </c>
      <c r="W73" s="1296">
        <v>12556.0</v>
      </c>
      <c r="X73" s="1297" t="s">
        <v>12830</v>
      </c>
      <c r="Y73" s="388"/>
      <c r="Z73" s="91"/>
    </row>
    <row r="74" ht="15.75" customHeight="1">
      <c r="A74" s="1293">
        <v>41764.0</v>
      </c>
      <c r="B74" s="599" t="s">
        <v>3871</v>
      </c>
      <c r="C74" s="388"/>
      <c r="D74" s="388" t="s">
        <v>12835</v>
      </c>
      <c r="E74" s="340" t="s">
        <v>12062</v>
      </c>
      <c r="F74" s="1137">
        <v>2.0</v>
      </c>
      <c r="G74" s="325">
        <v>97.0</v>
      </c>
      <c r="H74" s="466">
        <f t="shared" si="7"/>
        <v>194</v>
      </c>
      <c r="I74" s="793"/>
      <c r="J74" s="793"/>
      <c r="K74" s="256" t="s">
        <v>12837</v>
      </c>
      <c r="L74" s="388" t="s">
        <v>12829</v>
      </c>
      <c r="M74" s="832">
        <v>41774.0</v>
      </c>
      <c r="N74" s="592"/>
      <c r="O74" s="1148"/>
      <c r="P74" s="388"/>
      <c r="Q74" s="773"/>
      <c r="R74" s="466"/>
      <c r="S74" s="793"/>
      <c r="T74" s="388" t="s">
        <v>6081</v>
      </c>
      <c r="U74" s="1143">
        <v>41780.0</v>
      </c>
      <c r="V74" s="1133"/>
      <c r="W74" s="1149"/>
      <c r="X74" s="320"/>
      <c r="Y74" s="388"/>
      <c r="Z74" s="91"/>
    </row>
    <row r="75" ht="15.75" customHeight="1">
      <c r="A75" s="1293">
        <v>41764.0</v>
      </c>
      <c r="B75" s="599" t="s">
        <v>12838</v>
      </c>
      <c r="C75" s="388"/>
      <c r="D75" s="388" t="s">
        <v>12839</v>
      </c>
      <c r="E75" s="599" t="s">
        <v>12840</v>
      </c>
      <c r="F75" s="1137">
        <v>2.0</v>
      </c>
      <c r="G75" s="325">
        <v>170.0</v>
      </c>
      <c r="H75" s="466">
        <f t="shared" si="7"/>
        <v>340</v>
      </c>
      <c r="I75" s="793"/>
      <c r="J75" s="793"/>
      <c r="K75" s="256" t="s">
        <v>12093</v>
      </c>
      <c r="L75" s="256" t="s">
        <v>12833</v>
      </c>
      <c r="M75" s="832">
        <v>41786.0</v>
      </c>
      <c r="N75" s="592" t="s">
        <v>11675</v>
      </c>
      <c r="O75" s="832">
        <v>41780.0</v>
      </c>
      <c r="P75" s="388" t="s">
        <v>12841</v>
      </c>
      <c r="Q75" s="388"/>
      <c r="R75" s="793"/>
      <c r="S75" s="325">
        <v>6072.0</v>
      </c>
      <c r="T75" s="388" t="s">
        <v>12842</v>
      </c>
      <c r="U75" s="1143">
        <v>41780.0</v>
      </c>
      <c r="V75" s="1143">
        <v>41779.0</v>
      </c>
      <c r="W75" s="1159">
        <v>6072.0</v>
      </c>
      <c r="X75" s="320" t="s">
        <v>12843</v>
      </c>
      <c r="Y75" s="388"/>
      <c r="Z75" s="91"/>
    </row>
    <row r="76" ht="15.75" customHeight="1">
      <c r="A76" s="1293">
        <v>41766.0</v>
      </c>
      <c r="B76" s="599" t="s">
        <v>10926</v>
      </c>
      <c r="C76" s="1004" t="s">
        <v>12844</v>
      </c>
      <c r="D76" s="388" t="s">
        <v>12845</v>
      </c>
      <c r="E76" s="340" t="s">
        <v>12846</v>
      </c>
      <c r="F76" s="1137">
        <v>5.0</v>
      </c>
      <c r="G76" s="325">
        <f>56*1.05</f>
        <v>58.8</v>
      </c>
      <c r="H76" s="466">
        <f t="shared" si="7"/>
        <v>294</v>
      </c>
      <c r="I76" s="793"/>
      <c r="J76" s="793"/>
      <c r="K76" s="256" t="s">
        <v>12800</v>
      </c>
      <c r="L76" s="592" t="s">
        <v>12665</v>
      </c>
      <c r="M76" s="832">
        <v>41771.0</v>
      </c>
      <c r="N76" s="592" t="s">
        <v>90</v>
      </c>
      <c r="O76" s="388"/>
      <c r="P76" s="388" t="s">
        <v>976</v>
      </c>
      <c r="Q76" s="773">
        <v>2.0140500122614E13</v>
      </c>
      <c r="R76" s="466">
        <v>273.0</v>
      </c>
      <c r="S76" s="793"/>
      <c r="T76" s="388" t="s">
        <v>6081</v>
      </c>
      <c r="U76" s="1143">
        <v>41780.0</v>
      </c>
      <c r="V76" s="1133">
        <v>41771.0</v>
      </c>
      <c r="W76" s="1149">
        <v>8202.0</v>
      </c>
      <c r="X76" s="388" t="s">
        <v>12847</v>
      </c>
      <c r="Y76" s="388"/>
      <c r="Z76" s="91"/>
    </row>
    <row r="77" ht="15.75" customHeight="1">
      <c r="A77" s="1293">
        <v>41771.0</v>
      </c>
      <c r="B77" s="599" t="s">
        <v>12692</v>
      </c>
      <c r="C77" s="1004">
        <v>1.4000067E7</v>
      </c>
      <c r="D77" s="388" t="s">
        <v>12848</v>
      </c>
      <c r="E77" s="340" t="s">
        <v>11579</v>
      </c>
      <c r="F77" s="1137">
        <v>4.0</v>
      </c>
      <c r="G77" s="325">
        <v>84.5</v>
      </c>
      <c r="H77" s="466">
        <f t="shared" ref="H77:H80" si="8">G77*F77</f>
        <v>338</v>
      </c>
      <c r="I77" s="793"/>
      <c r="J77" s="793"/>
      <c r="K77" s="256" t="s">
        <v>8675</v>
      </c>
      <c r="L77" s="592" t="s">
        <v>12849</v>
      </c>
      <c r="M77" s="832">
        <v>41788.0</v>
      </c>
      <c r="N77" s="592" t="s">
        <v>6067</v>
      </c>
      <c r="O77" s="832">
        <v>41782.0</v>
      </c>
      <c r="P77" s="388" t="s">
        <v>976</v>
      </c>
      <c r="Q77" s="773">
        <v>2.0140500122969E13</v>
      </c>
      <c r="R77" s="466">
        <v>320.67</v>
      </c>
      <c r="S77" s="793"/>
      <c r="T77" s="388" t="s">
        <v>6081</v>
      </c>
      <c r="U77" s="1143">
        <v>41782.0</v>
      </c>
      <c r="V77" s="1143">
        <v>41782.0</v>
      </c>
      <c r="W77" s="1159">
        <v>9659.0</v>
      </c>
      <c r="X77" s="1297" t="s">
        <v>12850</v>
      </c>
      <c r="Y77" s="388"/>
      <c r="Z77" s="91"/>
    </row>
    <row r="78" ht="15.75" customHeight="1">
      <c r="A78" s="1293">
        <v>41771.0</v>
      </c>
      <c r="B78" s="599" t="s">
        <v>12692</v>
      </c>
      <c r="C78" s="1004">
        <v>1.4000067E7</v>
      </c>
      <c r="D78" s="388" t="s">
        <v>12848</v>
      </c>
      <c r="E78" s="340" t="s">
        <v>12851</v>
      </c>
      <c r="F78" s="1137">
        <v>4.0</v>
      </c>
      <c r="G78" s="325">
        <v>25.0</v>
      </c>
      <c r="H78" s="466">
        <f t="shared" si="8"/>
        <v>100</v>
      </c>
      <c r="I78" s="793"/>
      <c r="J78" s="793"/>
      <c r="K78" s="256" t="s">
        <v>8675</v>
      </c>
      <c r="L78" s="592" t="s">
        <v>12849</v>
      </c>
      <c r="M78" s="832">
        <v>41788.0</v>
      </c>
      <c r="N78" s="592" t="s">
        <v>6067</v>
      </c>
      <c r="O78" s="832">
        <v>41779.0</v>
      </c>
      <c r="P78" s="388" t="s">
        <v>303</v>
      </c>
      <c r="Q78" s="388"/>
      <c r="R78" s="793"/>
      <c r="S78" s="466">
        <v>2394.0</v>
      </c>
      <c r="T78" s="320" t="s">
        <v>12352</v>
      </c>
      <c r="U78" s="1143">
        <v>41788.0</v>
      </c>
      <c r="V78" s="1143">
        <v>41778.0</v>
      </c>
      <c r="W78" s="1159">
        <v>2394.0</v>
      </c>
      <c r="X78" s="320"/>
      <c r="Y78" s="388"/>
      <c r="Z78" s="91"/>
    </row>
    <row r="79" ht="15.75" customHeight="1">
      <c r="A79" s="1293">
        <v>41772.0</v>
      </c>
      <c r="B79" s="599" t="s">
        <v>12852</v>
      </c>
      <c r="C79" s="388"/>
      <c r="D79" s="388" t="s">
        <v>12853</v>
      </c>
      <c r="E79" s="340" t="s">
        <v>12854</v>
      </c>
      <c r="F79" s="1137">
        <v>1.0</v>
      </c>
      <c r="G79" s="325">
        <v>189.0</v>
      </c>
      <c r="H79" s="466">
        <f t="shared" si="8"/>
        <v>189</v>
      </c>
      <c r="I79" s="793"/>
      <c r="J79" s="793"/>
      <c r="K79" s="256" t="s">
        <v>8675</v>
      </c>
      <c r="L79" s="592" t="s">
        <v>12855</v>
      </c>
      <c r="M79" s="832">
        <v>41802.0</v>
      </c>
      <c r="N79" s="256" t="s">
        <v>9141</v>
      </c>
      <c r="O79" s="832">
        <v>41796.0</v>
      </c>
      <c r="P79" s="388" t="s">
        <v>12856</v>
      </c>
      <c r="Q79" s="388"/>
      <c r="R79" s="793"/>
      <c r="S79" s="325">
        <v>4305.0</v>
      </c>
      <c r="T79" s="388" t="s">
        <v>12857</v>
      </c>
      <c r="U79" s="1143">
        <v>41774.0</v>
      </c>
      <c r="V79" s="1143">
        <v>41795.0</v>
      </c>
      <c r="W79" s="1159">
        <v>4305.0</v>
      </c>
      <c r="X79" s="1300" t="s">
        <v>12858</v>
      </c>
      <c r="Y79" s="388"/>
      <c r="Z79" s="91"/>
    </row>
    <row r="80" ht="15.75" customHeight="1">
      <c r="A80" s="1293">
        <v>41772.0</v>
      </c>
      <c r="B80" s="599" t="s">
        <v>12852</v>
      </c>
      <c r="C80" s="388"/>
      <c r="D80" s="388" t="s">
        <v>12853</v>
      </c>
      <c r="E80" s="340" t="s">
        <v>12859</v>
      </c>
      <c r="F80" s="1137">
        <v>1.0</v>
      </c>
      <c r="G80" s="325">
        <v>329.0</v>
      </c>
      <c r="H80" s="466">
        <f t="shared" si="8"/>
        <v>329</v>
      </c>
      <c r="I80" s="793"/>
      <c r="J80" s="793"/>
      <c r="K80" s="256" t="s">
        <v>8675</v>
      </c>
      <c r="L80" s="592" t="s">
        <v>12855</v>
      </c>
      <c r="M80" s="832">
        <v>41802.0</v>
      </c>
      <c r="N80" s="592" t="s">
        <v>9141</v>
      </c>
      <c r="O80" s="832">
        <v>41775.0</v>
      </c>
      <c r="P80" s="388" t="s">
        <v>12673</v>
      </c>
      <c r="Q80" s="773">
        <v>1135650.0</v>
      </c>
      <c r="R80" s="793"/>
      <c r="S80" s="466">
        <v>8348.0</v>
      </c>
      <c r="T80" s="320" t="s">
        <v>8689</v>
      </c>
      <c r="U80" s="1133">
        <v>41823.0</v>
      </c>
      <c r="V80" s="1143">
        <v>41774.0</v>
      </c>
      <c r="W80" s="1159">
        <v>8348.0</v>
      </c>
      <c r="X80" s="388"/>
      <c r="Y80" s="388"/>
      <c r="Z80" s="91"/>
    </row>
    <row r="81" ht="15.75" customHeight="1">
      <c r="A81" s="1293">
        <v>41773.0</v>
      </c>
      <c r="B81" s="599" t="s">
        <v>10926</v>
      </c>
      <c r="C81" s="1004" t="s">
        <v>12860</v>
      </c>
      <c r="D81" s="388" t="s">
        <v>12861</v>
      </c>
      <c r="E81" s="340" t="s">
        <v>11345</v>
      </c>
      <c r="F81" s="1137">
        <v>20.0</v>
      </c>
      <c r="G81" s="325">
        <v>64.6</v>
      </c>
      <c r="H81" s="466">
        <f>F81*G81</f>
        <v>1292</v>
      </c>
      <c r="I81" s="793"/>
      <c r="J81" s="793"/>
      <c r="K81" s="256" t="s">
        <v>12800</v>
      </c>
      <c r="L81" s="592" t="s">
        <v>12665</v>
      </c>
      <c r="M81" s="832">
        <v>41785.0</v>
      </c>
      <c r="N81" s="592" t="s">
        <v>90</v>
      </c>
      <c r="O81" s="388"/>
      <c r="P81" s="388" t="s">
        <v>90</v>
      </c>
      <c r="Q81" s="773">
        <v>2.014050012312E13</v>
      </c>
      <c r="R81" s="466">
        <v>1134.0</v>
      </c>
      <c r="S81" s="793"/>
      <c r="T81" s="388" t="s">
        <v>11006</v>
      </c>
      <c r="U81" s="1143">
        <v>41785.0</v>
      </c>
      <c r="V81" s="1133">
        <v>41785.0</v>
      </c>
      <c r="W81" s="1149">
        <v>34156.0</v>
      </c>
      <c r="X81" s="388" t="s">
        <v>12862</v>
      </c>
      <c r="Y81" s="388"/>
      <c r="Z81" s="91"/>
    </row>
    <row r="82" ht="15.75" customHeight="1">
      <c r="A82" s="1293">
        <v>41773.0</v>
      </c>
      <c r="B82" s="599" t="s">
        <v>12863</v>
      </c>
      <c r="C82" s="1004">
        <v>6972.0</v>
      </c>
      <c r="D82" s="388" t="s">
        <v>12864</v>
      </c>
      <c r="E82" s="340" t="s">
        <v>12865</v>
      </c>
      <c r="F82" s="1137">
        <v>1.0</v>
      </c>
      <c r="G82" s="325">
        <v>1188.0</v>
      </c>
      <c r="H82" s="466">
        <v>1188.0</v>
      </c>
      <c r="I82" s="793"/>
      <c r="J82" s="793"/>
      <c r="K82" s="256" t="s">
        <v>87</v>
      </c>
      <c r="L82" s="256" t="s">
        <v>12866</v>
      </c>
      <c r="M82" s="832">
        <v>41824.0</v>
      </c>
      <c r="N82" s="592" t="s">
        <v>6067</v>
      </c>
      <c r="O82" s="832">
        <v>41822.0</v>
      </c>
      <c r="P82" s="388" t="s">
        <v>12681</v>
      </c>
      <c r="Q82" s="388"/>
      <c r="R82" s="793"/>
      <c r="S82" s="325">
        <v>19429.0</v>
      </c>
      <c r="T82" s="388" t="s">
        <v>11250</v>
      </c>
      <c r="U82" s="1143">
        <v>41821.0</v>
      </c>
      <c r="V82" s="1143">
        <v>41821.0</v>
      </c>
      <c r="W82" s="1159">
        <v>19429.0</v>
      </c>
      <c r="X82" s="320" t="s">
        <v>12867</v>
      </c>
      <c r="Y82" s="388"/>
      <c r="Z82" s="91"/>
    </row>
    <row r="83" ht="15.75" customHeight="1">
      <c r="A83" s="1293">
        <v>41774.0</v>
      </c>
      <c r="B83" s="599" t="s">
        <v>54</v>
      </c>
      <c r="C83" s="388"/>
      <c r="D83" s="388" t="s">
        <v>12868</v>
      </c>
      <c r="E83" s="340" t="s">
        <v>12869</v>
      </c>
      <c r="F83" s="1137">
        <v>50.0</v>
      </c>
      <c r="G83" s="325">
        <v>150.15</v>
      </c>
      <c r="H83" s="466">
        <f>G83*F83</f>
        <v>7507.5</v>
      </c>
      <c r="I83" s="793"/>
      <c r="J83" s="793"/>
      <c r="K83" s="256" t="s">
        <v>8675</v>
      </c>
      <c r="L83" s="592" t="s">
        <v>12665</v>
      </c>
      <c r="M83" s="832">
        <v>41788.0</v>
      </c>
      <c r="N83" s="592" t="s">
        <v>90</v>
      </c>
      <c r="O83" s="388"/>
      <c r="P83" s="388" t="s">
        <v>90</v>
      </c>
      <c r="Q83" s="773">
        <v>2.0140500123239E13</v>
      </c>
      <c r="R83" s="466">
        <v>6720.0</v>
      </c>
      <c r="S83" s="793"/>
      <c r="T83" s="388" t="s">
        <v>6081</v>
      </c>
      <c r="U83" s="1143">
        <v>41788.0</v>
      </c>
      <c r="V83" s="1133">
        <v>41788.0</v>
      </c>
      <c r="W83" s="1149">
        <v>202406.0</v>
      </c>
      <c r="X83" s="388" t="s">
        <v>12870</v>
      </c>
      <c r="Y83" s="388"/>
      <c r="Z83" s="91"/>
    </row>
    <row r="84" ht="15.75" customHeight="1">
      <c r="A84" s="1293">
        <v>41775.0</v>
      </c>
      <c r="B84" s="599" t="s">
        <v>631</v>
      </c>
      <c r="C84" s="1004" t="s">
        <v>12871</v>
      </c>
      <c r="D84" s="388" t="s">
        <v>12872</v>
      </c>
      <c r="E84" s="340" t="s">
        <v>12873</v>
      </c>
      <c r="F84" s="1137">
        <v>1.0</v>
      </c>
      <c r="G84" s="325">
        <f>130*1.05</f>
        <v>136.5</v>
      </c>
      <c r="H84" s="466">
        <f t="shared" ref="H84:H89" si="9">F84*G84</f>
        <v>136.5</v>
      </c>
      <c r="I84" s="793"/>
      <c r="J84" s="793"/>
      <c r="K84" s="256" t="s">
        <v>12874</v>
      </c>
      <c r="L84" s="592" t="s">
        <v>12665</v>
      </c>
      <c r="M84" s="832">
        <v>41781.0</v>
      </c>
      <c r="N84" s="592" t="s">
        <v>90</v>
      </c>
      <c r="O84" s="388"/>
      <c r="P84" s="388" t="s">
        <v>90</v>
      </c>
      <c r="Q84" s="773">
        <v>2.0140500123183E13</v>
      </c>
      <c r="R84" s="466">
        <v>119.7</v>
      </c>
      <c r="S84" s="793"/>
      <c r="T84" s="388" t="s">
        <v>6081</v>
      </c>
      <c r="U84" s="1143">
        <v>41788.0</v>
      </c>
      <c r="V84" s="1133">
        <v>41781.0</v>
      </c>
      <c r="W84" s="1149">
        <v>3605.0</v>
      </c>
      <c r="X84" s="388" t="s">
        <v>12875</v>
      </c>
      <c r="Y84" s="388" t="s">
        <v>12876</v>
      </c>
      <c r="Z84" s="91"/>
    </row>
    <row r="85" ht="15.75" customHeight="1">
      <c r="A85" s="1293">
        <v>41775.0</v>
      </c>
      <c r="B85" s="599" t="s">
        <v>12661</v>
      </c>
      <c r="C85" s="1004" t="s">
        <v>12877</v>
      </c>
      <c r="D85" s="388" t="s">
        <v>12878</v>
      </c>
      <c r="E85" s="340" t="s">
        <v>12879</v>
      </c>
      <c r="F85" s="1137">
        <v>7.0</v>
      </c>
      <c r="G85" s="325">
        <f t="shared" ref="G85:G86" si="10">897*1.05</f>
        <v>941.85</v>
      </c>
      <c r="H85" s="466">
        <f t="shared" si="9"/>
        <v>6592.95</v>
      </c>
      <c r="I85" s="793"/>
      <c r="J85" s="793"/>
      <c r="K85" s="256" t="s">
        <v>12874</v>
      </c>
      <c r="L85" s="592" t="s">
        <v>12665</v>
      </c>
      <c r="M85" s="832">
        <v>41785.0</v>
      </c>
      <c r="N85" s="592" t="s">
        <v>6067</v>
      </c>
      <c r="O85" s="832">
        <v>41778.0</v>
      </c>
      <c r="P85" s="388" t="s">
        <v>90</v>
      </c>
      <c r="Q85" s="1298">
        <v>2.0140500123012E13</v>
      </c>
      <c r="R85" s="1294">
        <v>9355.5</v>
      </c>
      <c r="S85" s="793"/>
      <c r="T85" s="1300" t="s">
        <v>6081</v>
      </c>
      <c r="U85" s="1302">
        <v>41786.0</v>
      </c>
      <c r="V85" s="1133">
        <v>41778.0</v>
      </c>
      <c r="W85" s="1149">
        <v>178873.0</v>
      </c>
      <c r="X85" s="388" t="s">
        <v>12880</v>
      </c>
      <c r="Y85" s="388"/>
      <c r="Z85" s="91"/>
    </row>
    <row r="86" ht="15.75" customHeight="1">
      <c r="A86" s="1293">
        <v>41775.0</v>
      </c>
      <c r="B86" s="599" t="s">
        <v>12661</v>
      </c>
      <c r="C86" s="1004" t="s">
        <v>12877</v>
      </c>
      <c r="D86" s="388" t="s">
        <v>12878</v>
      </c>
      <c r="E86" s="340" t="s">
        <v>12879</v>
      </c>
      <c r="F86" s="1137">
        <v>4.0</v>
      </c>
      <c r="G86" s="325">
        <f t="shared" si="10"/>
        <v>941.85</v>
      </c>
      <c r="H86" s="466">
        <f t="shared" si="9"/>
        <v>3767.4</v>
      </c>
      <c r="I86" s="793"/>
      <c r="J86" s="793"/>
      <c r="K86" s="256" t="s">
        <v>12874</v>
      </c>
      <c r="L86" s="592" t="s">
        <v>12665</v>
      </c>
      <c r="M86" s="832">
        <v>41802.0</v>
      </c>
      <c r="N86" s="592" t="s">
        <v>90</v>
      </c>
      <c r="O86" s="388"/>
      <c r="P86" s="388" t="s">
        <v>90</v>
      </c>
      <c r="Q86" s="773"/>
      <c r="R86" s="466"/>
      <c r="S86" s="793"/>
      <c r="T86" s="388"/>
      <c r="U86" s="1143"/>
      <c r="V86" s="1133">
        <v>41802.0</v>
      </c>
      <c r="W86" s="1149">
        <v>101992.0</v>
      </c>
      <c r="X86" s="388" t="s">
        <v>12881</v>
      </c>
      <c r="Y86" s="388"/>
      <c r="Z86" s="91"/>
    </row>
    <row r="87" ht="15.75" customHeight="1">
      <c r="A87" s="1293">
        <v>41779.0</v>
      </c>
      <c r="B87" s="599" t="s">
        <v>11996</v>
      </c>
      <c r="C87" s="388"/>
      <c r="D87" s="388" t="s">
        <v>12882</v>
      </c>
      <c r="E87" s="340" t="s">
        <v>12883</v>
      </c>
      <c r="F87" s="1137">
        <v>1.0</v>
      </c>
      <c r="G87" s="325">
        <v>135.0</v>
      </c>
      <c r="H87" s="466">
        <f t="shared" si="9"/>
        <v>135</v>
      </c>
      <c r="I87" s="793"/>
      <c r="J87" s="793"/>
      <c r="K87" s="256" t="s">
        <v>11999</v>
      </c>
      <c r="L87" s="592" t="s">
        <v>12884</v>
      </c>
      <c r="M87" s="832">
        <v>41809.0</v>
      </c>
      <c r="N87" s="592" t="s">
        <v>6067</v>
      </c>
      <c r="O87" s="1148">
        <v>41699.0</v>
      </c>
      <c r="P87" s="388" t="s">
        <v>12885</v>
      </c>
      <c r="Q87" s="388"/>
      <c r="R87" s="466">
        <v>110.0</v>
      </c>
      <c r="S87" s="793"/>
      <c r="T87" s="388" t="s">
        <v>12886</v>
      </c>
      <c r="U87" s="1143">
        <v>41699.0</v>
      </c>
      <c r="V87" s="1137" t="s">
        <v>5701</v>
      </c>
      <c r="W87" s="1137" t="s">
        <v>5701</v>
      </c>
      <c r="X87" s="1297" t="s">
        <v>12887</v>
      </c>
      <c r="Y87" s="388"/>
      <c r="Z87" s="91"/>
    </row>
    <row r="88" ht="15.75" customHeight="1">
      <c r="A88" s="1293">
        <v>41779.0</v>
      </c>
      <c r="B88" s="599" t="s">
        <v>11996</v>
      </c>
      <c r="C88" s="388"/>
      <c r="D88" s="388" t="s">
        <v>12882</v>
      </c>
      <c r="E88" s="340" t="s">
        <v>3859</v>
      </c>
      <c r="F88" s="1137">
        <v>1.0</v>
      </c>
      <c r="G88" s="325">
        <v>46.0</v>
      </c>
      <c r="H88" s="466">
        <f t="shared" si="9"/>
        <v>46</v>
      </c>
      <c r="I88" s="793"/>
      <c r="J88" s="793"/>
      <c r="K88" s="256" t="s">
        <v>11999</v>
      </c>
      <c r="L88" s="592" t="s">
        <v>12884</v>
      </c>
      <c r="M88" s="832">
        <v>41809.0</v>
      </c>
      <c r="N88" s="592" t="s">
        <v>6067</v>
      </c>
      <c r="O88" s="1308">
        <v>41782.0</v>
      </c>
      <c r="P88" s="1300" t="s">
        <v>12651</v>
      </c>
      <c r="Q88" s="388"/>
      <c r="R88" s="793"/>
      <c r="S88" s="1294">
        <v>2709.0</v>
      </c>
      <c r="T88" s="1300" t="s">
        <v>12888</v>
      </c>
      <c r="U88" s="1302">
        <v>41781.0</v>
      </c>
      <c r="V88" s="1302">
        <v>41799.0</v>
      </c>
      <c r="W88" s="1303">
        <v>2709.0</v>
      </c>
      <c r="X88" s="1297"/>
      <c r="Y88" s="388"/>
      <c r="Z88" s="91"/>
    </row>
    <row r="89" ht="15.75" customHeight="1">
      <c r="A89" s="1293">
        <v>41779.0</v>
      </c>
      <c r="B89" s="599" t="s">
        <v>11996</v>
      </c>
      <c r="C89" s="388"/>
      <c r="D89" s="388" t="s">
        <v>12882</v>
      </c>
      <c r="E89" s="340" t="s">
        <v>12889</v>
      </c>
      <c r="F89" s="1137">
        <v>1.0</v>
      </c>
      <c r="G89" s="325">
        <v>51.0</v>
      </c>
      <c r="H89" s="466">
        <f t="shared" si="9"/>
        <v>51</v>
      </c>
      <c r="I89" s="793"/>
      <c r="J89" s="793"/>
      <c r="K89" s="256" t="s">
        <v>11999</v>
      </c>
      <c r="L89" s="592" t="s">
        <v>12884</v>
      </c>
      <c r="M89" s="832">
        <v>41809.0</v>
      </c>
      <c r="N89" s="592" t="s">
        <v>6067</v>
      </c>
      <c r="O89" s="1148"/>
      <c r="P89" s="388"/>
      <c r="Q89" s="388"/>
      <c r="R89" s="793"/>
      <c r="S89" s="466"/>
      <c r="T89" s="388"/>
      <c r="U89" s="1143"/>
      <c r="V89" s="1143"/>
      <c r="W89" s="1159"/>
      <c r="X89" s="1297"/>
      <c r="Y89" s="388"/>
      <c r="Z89" s="91"/>
    </row>
    <row r="90" ht="15.75" customHeight="1">
      <c r="A90" s="1293">
        <v>41779.0</v>
      </c>
      <c r="B90" s="599" t="s">
        <v>11996</v>
      </c>
      <c r="C90" s="388"/>
      <c r="D90" s="388" t="s">
        <v>12882</v>
      </c>
      <c r="E90" s="340" t="s">
        <v>12890</v>
      </c>
      <c r="F90" s="1137">
        <v>1.0</v>
      </c>
      <c r="G90" s="325">
        <v>130.0</v>
      </c>
      <c r="H90" s="466">
        <f t="shared" ref="H90:H118" si="11">G90*F90</f>
        <v>130</v>
      </c>
      <c r="I90" s="793"/>
      <c r="J90" s="793"/>
      <c r="K90" s="256" t="s">
        <v>11999</v>
      </c>
      <c r="L90" s="592" t="s">
        <v>12884</v>
      </c>
      <c r="M90" s="832">
        <v>41809.0</v>
      </c>
      <c r="N90" s="592" t="s">
        <v>6067</v>
      </c>
      <c r="O90" s="1148">
        <v>41794.0</v>
      </c>
      <c r="P90" s="388" t="s">
        <v>12891</v>
      </c>
      <c r="Q90" s="388"/>
      <c r="R90" s="793"/>
      <c r="S90" s="466">
        <v>3612.0</v>
      </c>
      <c r="T90" s="388" t="s">
        <v>12892</v>
      </c>
      <c r="U90" s="1143">
        <v>41793.0</v>
      </c>
      <c r="V90" s="1143">
        <v>41799.0</v>
      </c>
      <c r="W90" s="1159">
        <v>3612.0</v>
      </c>
      <c r="X90" s="320"/>
      <c r="Y90" s="388"/>
      <c r="Z90" s="91"/>
    </row>
    <row r="91" ht="15.75" customHeight="1">
      <c r="A91" s="1293">
        <v>41781.0</v>
      </c>
      <c r="B91" s="599" t="s">
        <v>3871</v>
      </c>
      <c r="C91" s="388"/>
      <c r="D91" s="388" t="s">
        <v>12893</v>
      </c>
      <c r="E91" s="340" t="s">
        <v>3877</v>
      </c>
      <c r="F91" s="1137">
        <v>20.0</v>
      </c>
      <c r="G91" s="325">
        <v>147.0</v>
      </c>
      <c r="H91" s="466">
        <f t="shared" si="11"/>
        <v>2940</v>
      </c>
      <c r="I91" s="793"/>
      <c r="J91" s="793"/>
      <c r="K91" s="256" t="s">
        <v>3874</v>
      </c>
      <c r="L91" s="388" t="s">
        <v>12829</v>
      </c>
      <c r="M91" s="832">
        <v>41795.0</v>
      </c>
      <c r="N91" s="592" t="s">
        <v>6067</v>
      </c>
      <c r="O91" s="832">
        <v>41794.0</v>
      </c>
      <c r="P91" s="388" t="s">
        <v>90</v>
      </c>
      <c r="Q91" s="773">
        <v>2.0140500124281E13</v>
      </c>
      <c r="R91" s="466">
        <v>2163.0</v>
      </c>
      <c r="S91" s="793"/>
      <c r="T91" s="388" t="s">
        <v>6081</v>
      </c>
      <c r="U91" s="1143">
        <v>41788.0</v>
      </c>
      <c r="V91" s="1143">
        <v>41794.0</v>
      </c>
      <c r="W91" s="1159">
        <v>65020.0</v>
      </c>
      <c r="X91" s="320" t="s">
        <v>12894</v>
      </c>
      <c r="Y91" s="388"/>
      <c r="Z91" s="91"/>
    </row>
    <row r="92" ht="15.75" customHeight="1">
      <c r="A92" s="1293">
        <v>41781.0</v>
      </c>
      <c r="B92" s="599" t="s">
        <v>8749</v>
      </c>
      <c r="C92" s="1004" t="s">
        <v>12895</v>
      </c>
      <c r="D92" s="388" t="s">
        <v>12896</v>
      </c>
      <c r="E92" s="340" t="s">
        <v>12897</v>
      </c>
      <c r="F92" s="1137">
        <v>1.0</v>
      </c>
      <c r="G92" s="325">
        <v>101.85</v>
      </c>
      <c r="H92" s="466">
        <f t="shared" si="11"/>
        <v>101.85</v>
      </c>
      <c r="I92" s="793"/>
      <c r="J92" s="793"/>
      <c r="K92" s="256" t="s">
        <v>12898</v>
      </c>
      <c r="L92" s="592" t="s">
        <v>12665</v>
      </c>
      <c r="M92" s="832">
        <v>41788.0</v>
      </c>
      <c r="N92" s="592" t="s">
        <v>90</v>
      </c>
      <c r="O92" s="388"/>
      <c r="P92" s="388" t="s">
        <v>90</v>
      </c>
      <c r="Q92" s="1298">
        <v>2.014050012398E13</v>
      </c>
      <c r="R92" s="1294">
        <v>92.4</v>
      </c>
      <c r="S92" s="793"/>
      <c r="T92" s="1300" t="s">
        <v>6081</v>
      </c>
      <c r="U92" s="1302">
        <v>41782.0</v>
      </c>
      <c r="V92" s="1295">
        <v>41788.0</v>
      </c>
      <c r="W92" s="1296">
        <v>2783.0</v>
      </c>
      <c r="X92" s="1300" t="s">
        <v>12870</v>
      </c>
      <c r="Y92" s="388"/>
      <c r="Z92" s="91"/>
    </row>
    <row r="93" ht="15.75" customHeight="1">
      <c r="A93" s="1293">
        <v>41781.0</v>
      </c>
      <c r="B93" s="599" t="s">
        <v>8749</v>
      </c>
      <c r="C93" s="1004" t="s">
        <v>12895</v>
      </c>
      <c r="D93" s="388" t="s">
        <v>12896</v>
      </c>
      <c r="E93" s="340" t="s">
        <v>12757</v>
      </c>
      <c r="F93" s="1137">
        <v>1.0</v>
      </c>
      <c r="G93" s="325">
        <v>3.885</v>
      </c>
      <c r="H93" s="466">
        <f t="shared" si="11"/>
        <v>3.885</v>
      </c>
      <c r="I93" s="793"/>
      <c r="J93" s="793"/>
      <c r="K93" s="256" t="s">
        <v>12898</v>
      </c>
      <c r="L93" s="592" t="s">
        <v>12665</v>
      </c>
      <c r="M93" s="832">
        <v>41788.0</v>
      </c>
      <c r="N93" s="592" t="s">
        <v>90</v>
      </c>
      <c r="O93" s="388"/>
      <c r="P93" s="388" t="s">
        <v>90</v>
      </c>
      <c r="Q93" s="773"/>
      <c r="R93" s="466"/>
      <c r="S93" s="793"/>
      <c r="T93" s="388"/>
      <c r="U93" s="1143"/>
      <c r="V93" s="1133"/>
      <c r="W93" s="1149"/>
      <c r="X93" s="388"/>
      <c r="Y93" s="388"/>
      <c r="Z93" s="91"/>
    </row>
    <row r="94" ht="15.75" customHeight="1">
      <c r="A94" s="1293">
        <v>41786.0</v>
      </c>
      <c r="B94" s="599" t="s">
        <v>10926</v>
      </c>
      <c r="C94" s="1004" t="s">
        <v>12899</v>
      </c>
      <c r="D94" s="388" t="s">
        <v>12900</v>
      </c>
      <c r="E94" s="340" t="s">
        <v>12901</v>
      </c>
      <c r="F94" s="1137">
        <v>30.0</v>
      </c>
      <c r="G94" s="325">
        <v>64.575</v>
      </c>
      <c r="H94" s="466">
        <f t="shared" si="11"/>
        <v>1937.25</v>
      </c>
      <c r="I94" s="793"/>
      <c r="J94" s="793"/>
      <c r="K94" s="256" t="s">
        <v>11086</v>
      </c>
      <c r="L94" s="592" t="s">
        <v>12665</v>
      </c>
      <c r="M94" s="832">
        <v>41793.0</v>
      </c>
      <c r="N94" s="592" t="s">
        <v>90</v>
      </c>
      <c r="O94" s="388"/>
      <c r="P94" s="388" t="s">
        <v>90</v>
      </c>
      <c r="Q94" s="773">
        <v>2.0140500124389E13</v>
      </c>
      <c r="R94" s="466">
        <v>1701.0</v>
      </c>
      <c r="S94" s="793"/>
      <c r="T94" s="388" t="s">
        <v>6081</v>
      </c>
      <c r="U94" s="1143">
        <v>41823.0</v>
      </c>
      <c r="V94" s="1133">
        <v>41793.0</v>
      </c>
      <c r="W94" s="1149">
        <v>51132.0</v>
      </c>
      <c r="X94" s="320" t="s">
        <v>12902</v>
      </c>
      <c r="Y94" s="388"/>
      <c r="Z94" s="91"/>
    </row>
    <row r="95" ht="15.75" customHeight="1">
      <c r="A95" s="1293">
        <v>41787.0</v>
      </c>
      <c r="B95" s="599" t="s">
        <v>3871</v>
      </c>
      <c r="C95" s="1004" t="s">
        <v>12903</v>
      </c>
      <c r="D95" s="388" t="s">
        <v>12904</v>
      </c>
      <c r="E95" s="340" t="s">
        <v>12062</v>
      </c>
      <c r="F95" s="1137">
        <v>15.0</v>
      </c>
      <c r="G95" s="325">
        <v>97.0</v>
      </c>
      <c r="H95" s="466">
        <f t="shared" si="11"/>
        <v>1455</v>
      </c>
      <c r="I95" s="793"/>
      <c r="J95" s="793"/>
      <c r="K95" s="256" t="s">
        <v>3874</v>
      </c>
      <c r="L95" s="388" t="s">
        <v>12829</v>
      </c>
      <c r="M95" s="832">
        <v>41806.0</v>
      </c>
      <c r="N95" s="592" t="s">
        <v>6067</v>
      </c>
      <c r="O95" s="832">
        <v>41803.0</v>
      </c>
      <c r="P95" s="388" t="s">
        <v>90</v>
      </c>
      <c r="Q95" s="1298">
        <v>2.0140600125122E13</v>
      </c>
      <c r="R95" s="1294">
        <v>2714.25</v>
      </c>
      <c r="S95" s="793"/>
      <c r="T95" s="1300" t="s">
        <v>11006</v>
      </c>
      <c r="U95" s="1143">
        <v>41810.0</v>
      </c>
      <c r="V95" s="1302">
        <v>41803.0</v>
      </c>
      <c r="W95" s="1303">
        <v>81373.0</v>
      </c>
      <c r="X95" s="1297" t="s">
        <v>12905</v>
      </c>
      <c r="Y95" s="388"/>
      <c r="Z95" s="91"/>
    </row>
    <row r="96" ht="15.75" customHeight="1">
      <c r="A96" s="1293">
        <v>41787.0</v>
      </c>
      <c r="B96" s="599" t="s">
        <v>3871</v>
      </c>
      <c r="C96" s="1004" t="s">
        <v>12903</v>
      </c>
      <c r="D96" s="388" t="s">
        <v>12904</v>
      </c>
      <c r="E96" s="340" t="s">
        <v>12906</v>
      </c>
      <c r="F96" s="1137">
        <v>4.0</v>
      </c>
      <c r="G96" s="325">
        <v>362.0</v>
      </c>
      <c r="H96" s="466">
        <f t="shared" si="11"/>
        <v>1448</v>
      </c>
      <c r="I96" s="793"/>
      <c r="J96" s="793"/>
      <c r="K96" s="256" t="s">
        <v>3874</v>
      </c>
      <c r="L96" s="388" t="s">
        <v>12829</v>
      </c>
      <c r="M96" s="832">
        <v>41806.0</v>
      </c>
      <c r="N96" s="592" t="s">
        <v>6067</v>
      </c>
      <c r="O96" s="832">
        <v>41803.0</v>
      </c>
      <c r="P96" s="388" t="s">
        <v>90</v>
      </c>
      <c r="Q96" s="1298"/>
      <c r="R96" s="1294"/>
      <c r="S96" s="793"/>
      <c r="T96" s="1300"/>
      <c r="U96" s="1143">
        <v>41810.0</v>
      </c>
      <c r="V96" s="1302"/>
      <c r="W96" s="1303"/>
      <c r="X96" s="1297"/>
      <c r="Y96" s="388"/>
      <c r="Z96" s="91"/>
    </row>
    <row r="97" ht="15.75" customHeight="1">
      <c r="A97" s="1293">
        <v>41787.0</v>
      </c>
      <c r="B97" s="599" t="s">
        <v>3871</v>
      </c>
      <c r="C97" s="1004" t="s">
        <v>12903</v>
      </c>
      <c r="D97" s="388" t="s">
        <v>12904</v>
      </c>
      <c r="E97" s="340" t="s">
        <v>4780</v>
      </c>
      <c r="F97" s="1137">
        <v>1.0</v>
      </c>
      <c r="G97" s="325">
        <v>93.0</v>
      </c>
      <c r="H97" s="466">
        <f t="shared" si="11"/>
        <v>93</v>
      </c>
      <c r="I97" s="793"/>
      <c r="J97" s="793"/>
      <c r="K97" s="256" t="s">
        <v>3874</v>
      </c>
      <c r="L97" s="388" t="s">
        <v>12829</v>
      </c>
      <c r="M97" s="832">
        <v>41806.0</v>
      </c>
      <c r="N97" s="592" t="s">
        <v>6067</v>
      </c>
      <c r="O97" s="832">
        <v>41803.0</v>
      </c>
      <c r="P97" s="388" t="s">
        <v>90</v>
      </c>
      <c r="Q97" s="773"/>
      <c r="R97" s="466"/>
      <c r="S97" s="793"/>
      <c r="T97" s="388"/>
      <c r="U97" s="1143">
        <v>41810.0</v>
      </c>
      <c r="V97" s="1143"/>
      <c r="W97" s="1159"/>
      <c r="X97" s="320"/>
      <c r="Y97" s="388"/>
      <c r="Z97" s="91"/>
    </row>
    <row r="98" ht="15.75" customHeight="1">
      <c r="A98" s="1293">
        <v>41788.0</v>
      </c>
      <c r="B98" s="599" t="s">
        <v>12661</v>
      </c>
      <c r="C98" s="1004" t="s">
        <v>12907</v>
      </c>
      <c r="D98" s="388" t="s">
        <v>12908</v>
      </c>
      <c r="E98" s="340" t="s">
        <v>12909</v>
      </c>
      <c r="F98" s="1137">
        <v>10.0</v>
      </c>
      <c r="G98" s="325">
        <f>100*1.05</f>
        <v>105</v>
      </c>
      <c r="H98" s="466">
        <f t="shared" si="11"/>
        <v>1050</v>
      </c>
      <c r="I98" s="793"/>
      <c r="J98" s="793"/>
      <c r="K98" s="256" t="s">
        <v>11999</v>
      </c>
      <c r="L98" s="592" t="s">
        <v>12665</v>
      </c>
      <c r="M98" s="832">
        <v>41802.0</v>
      </c>
      <c r="N98" s="592" t="s">
        <v>90</v>
      </c>
      <c r="O98" s="388"/>
      <c r="P98" s="388" t="s">
        <v>90</v>
      </c>
      <c r="Q98" s="773">
        <v>2.0140500123979E13</v>
      </c>
      <c r="R98" s="466">
        <v>955.5</v>
      </c>
      <c r="S98" s="793"/>
      <c r="T98" s="388" t="s">
        <v>6081</v>
      </c>
      <c r="U98" s="1143">
        <v>41810.0</v>
      </c>
      <c r="V98" s="1133">
        <v>41802.0</v>
      </c>
      <c r="W98" s="1149">
        <v>28646.0</v>
      </c>
      <c r="X98" s="388" t="s">
        <v>12881</v>
      </c>
      <c r="Y98" s="388"/>
      <c r="Z98" s="91"/>
    </row>
    <row r="99" ht="15.75" customHeight="1">
      <c r="A99" s="1293">
        <v>41799.0</v>
      </c>
      <c r="B99" s="599" t="s">
        <v>8749</v>
      </c>
      <c r="C99" s="388"/>
      <c r="D99" s="388" t="s">
        <v>12910</v>
      </c>
      <c r="E99" s="340" t="s">
        <v>4568</v>
      </c>
      <c r="F99" s="1137">
        <v>1.0</v>
      </c>
      <c r="G99" s="466">
        <v>69.3</v>
      </c>
      <c r="H99" s="466">
        <f t="shared" si="11"/>
        <v>69.3</v>
      </c>
      <c r="I99" s="793"/>
      <c r="J99" s="793"/>
      <c r="K99" s="256" t="s">
        <v>11086</v>
      </c>
      <c r="L99" s="592" t="s">
        <v>12665</v>
      </c>
      <c r="M99" s="832">
        <v>41806.0</v>
      </c>
      <c r="N99" s="592" t="s">
        <v>90</v>
      </c>
      <c r="O99" s="388"/>
      <c r="P99" s="388" t="s">
        <v>90</v>
      </c>
      <c r="Q99" s="773">
        <v>2.0140600125562E13</v>
      </c>
      <c r="R99" s="466">
        <v>60.9</v>
      </c>
      <c r="S99" s="793"/>
      <c r="T99" s="388" t="s">
        <v>6081</v>
      </c>
      <c r="U99" s="1143">
        <v>41810.0</v>
      </c>
      <c r="V99" s="1133">
        <v>41806.0</v>
      </c>
      <c r="W99" s="1149">
        <v>1826.0</v>
      </c>
      <c r="X99" s="388" t="s">
        <v>12911</v>
      </c>
      <c r="Y99" s="388"/>
      <c r="Z99" s="91"/>
    </row>
    <row r="100" ht="15.75" customHeight="1">
      <c r="A100" s="1293">
        <v>41800.0</v>
      </c>
      <c r="B100" s="599" t="s">
        <v>11038</v>
      </c>
      <c r="C100" s="388"/>
      <c r="D100" s="388" t="s">
        <v>12912</v>
      </c>
      <c r="E100" s="340" t="s">
        <v>11213</v>
      </c>
      <c r="F100" s="1137">
        <v>5.0</v>
      </c>
      <c r="G100" s="325">
        <v>149.0</v>
      </c>
      <c r="H100" s="466">
        <f t="shared" si="11"/>
        <v>745</v>
      </c>
      <c r="I100" s="793"/>
      <c r="J100" s="793"/>
      <c r="K100" s="256" t="s">
        <v>3874</v>
      </c>
      <c r="L100" s="592" t="s">
        <v>12913</v>
      </c>
      <c r="M100" s="832">
        <v>41811.0</v>
      </c>
      <c r="N100" s="592" t="s">
        <v>6067</v>
      </c>
      <c r="O100" s="832">
        <v>41810.0</v>
      </c>
      <c r="P100" s="388" t="s">
        <v>90</v>
      </c>
      <c r="Q100" s="773">
        <v>2.0140600125566E13</v>
      </c>
      <c r="R100" s="466">
        <v>682.5</v>
      </c>
      <c r="S100" s="793"/>
      <c r="T100" s="388" t="s">
        <v>6081</v>
      </c>
      <c r="U100" s="1143">
        <v>41810.0</v>
      </c>
      <c r="V100" s="1143">
        <v>41810.0</v>
      </c>
      <c r="W100" s="1159">
        <v>20461.0</v>
      </c>
      <c r="X100" s="320" t="s">
        <v>12914</v>
      </c>
      <c r="Y100" s="388"/>
      <c r="Z100" s="91"/>
    </row>
    <row r="101" ht="15.75" customHeight="1">
      <c r="A101" s="1293">
        <v>41800.0</v>
      </c>
      <c r="B101" s="599" t="s">
        <v>10926</v>
      </c>
      <c r="C101" s="388"/>
      <c r="D101" s="388" t="s">
        <v>12915</v>
      </c>
      <c r="E101" s="340" t="s">
        <v>12916</v>
      </c>
      <c r="F101" s="1137">
        <v>1.0</v>
      </c>
      <c r="G101" s="325">
        <v>105.6</v>
      </c>
      <c r="H101" s="466">
        <f t="shared" si="11"/>
        <v>105.6</v>
      </c>
      <c r="I101" s="793"/>
      <c r="J101" s="793"/>
      <c r="K101" s="256" t="s">
        <v>11086</v>
      </c>
      <c r="L101" s="592" t="s">
        <v>11675</v>
      </c>
      <c r="M101" s="832">
        <v>41802.0</v>
      </c>
      <c r="N101" s="592" t="s">
        <v>11675</v>
      </c>
      <c r="O101" s="832">
        <v>41802.0</v>
      </c>
      <c r="P101" s="388" t="s">
        <v>11033</v>
      </c>
      <c r="Q101" s="773" t="s">
        <v>12917</v>
      </c>
      <c r="R101" s="793"/>
      <c r="S101" s="466">
        <v>2894.0</v>
      </c>
      <c r="T101" s="320" t="s">
        <v>8689</v>
      </c>
      <c r="U101" s="1133">
        <v>41823.0</v>
      </c>
      <c r="V101" s="1143">
        <v>41801.0</v>
      </c>
      <c r="W101" s="1159">
        <v>2894.0</v>
      </c>
      <c r="X101" s="388" t="s">
        <v>12858</v>
      </c>
      <c r="Y101" s="388"/>
      <c r="Z101" s="91"/>
    </row>
    <row r="102" ht="15.75" customHeight="1">
      <c r="A102" s="1293">
        <v>41802.0</v>
      </c>
      <c r="B102" s="599" t="s">
        <v>10926</v>
      </c>
      <c r="C102" s="1004" t="s">
        <v>12918</v>
      </c>
      <c r="D102" s="388" t="s">
        <v>12919</v>
      </c>
      <c r="E102" s="340" t="s">
        <v>11345</v>
      </c>
      <c r="F102" s="1137">
        <v>40.0</v>
      </c>
      <c r="G102" s="325">
        <v>64.05</v>
      </c>
      <c r="H102" s="325">
        <f t="shared" si="11"/>
        <v>2562</v>
      </c>
      <c r="I102" s="793"/>
      <c r="J102" s="793"/>
      <c r="K102" s="256" t="s">
        <v>11086</v>
      </c>
      <c r="L102" s="592" t="s">
        <v>12665</v>
      </c>
      <c r="M102" s="832">
        <v>41809.0</v>
      </c>
      <c r="N102" s="592" t="s">
        <v>90</v>
      </c>
      <c r="O102" s="388"/>
      <c r="P102" s="388" t="s">
        <v>90</v>
      </c>
      <c r="Q102" s="773">
        <v>2.0140600125777E13</v>
      </c>
      <c r="R102" s="466">
        <v>2268.0</v>
      </c>
      <c r="S102" s="793"/>
      <c r="T102" s="388" t="s">
        <v>6081</v>
      </c>
      <c r="U102" s="1143">
        <v>41810.0</v>
      </c>
      <c r="V102" s="1133">
        <v>41809.0</v>
      </c>
      <c r="W102" s="1149">
        <v>67995.0</v>
      </c>
      <c r="X102" s="388" t="s">
        <v>12920</v>
      </c>
      <c r="Y102" s="388"/>
      <c r="Z102" s="91"/>
    </row>
    <row r="103" ht="15.75" customHeight="1">
      <c r="A103" s="1293">
        <v>41803.0</v>
      </c>
      <c r="B103" s="599" t="s">
        <v>631</v>
      </c>
      <c r="C103" s="1004" t="s">
        <v>12921</v>
      </c>
      <c r="D103" s="388" t="s">
        <v>12922</v>
      </c>
      <c r="E103" s="340" t="s">
        <v>12923</v>
      </c>
      <c r="F103" s="1137">
        <v>30.0</v>
      </c>
      <c r="G103" s="325">
        <f t="shared" ref="G103:G104" si="12">84*1.05</f>
        <v>88.2</v>
      </c>
      <c r="H103" s="466">
        <f t="shared" si="11"/>
        <v>2646</v>
      </c>
      <c r="I103" s="793"/>
      <c r="J103" s="793"/>
      <c r="K103" s="256" t="s">
        <v>11999</v>
      </c>
      <c r="L103" s="592" t="s">
        <v>12665</v>
      </c>
      <c r="M103" s="832">
        <v>41830.0</v>
      </c>
      <c r="N103" s="592" t="s">
        <v>90</v>
      </c>
      <c r="O103" s="388"/>
      <c r="P103" s="388" t="s">
        <v>90</v>
      </c>
      <c r="Q103" s="1298">
        <v>2.0140600125914E13</v>
      </c>
      <c r="R103" s="1294">
        <v>5748.75</v>
      </c>
      <c r="S103" s="793"/>
      <c r="T103" s="388" t="s">
        <v>6081</v>
      </c>
      <c r="U103" s="1137">
        <v>2.0140715E7</v>
      </c>
      <c r="V103" s="1133">
        <v>41835.0</v>
      </c>
      <c r="W103" s="1149">
        <v>68583.0</v>
      </c>
      <c r="X103" s="388" t="s">
        <v>12924</v>
      </c>
      <c r="Y103" s="388" t="s">
        <v>12925</v>
      </c>
      <c r="Z103" s="91"/>
    </row>
    <row r="104" ht="15.75" customHeight="1">
      <c r="A104" s="1293">
        <v>41803.0</v>
      </c>
      <c r="B104" s="599" t="s">
        <v>631</v>
      </c>
      <c r="C104" s="1004" t="s">
        <v>12921</v>
      </c>
      <c r="D104" s="388" t="s">
        <v>12922</v>
      </c>
      <c r="E104" s="340" t="s">
        <v>12923</v>
      </c>
      <c r="F104" s="1137">
        <v>45.0</v>
      </c>
      <c r="G104" s="325">
        <f t="shared" si="12"/>
        <v>88.2</v>
      </c>
      <c r="H104" s="466">
        <f t="shared" si="11"/>
        <v>3969</v>
      </c>
      <c r="I104" s="793"/>
      <c r="J104" s="793"/>
      <c r="K104" s="256" t="s">
        <v>11999</v>
      </c>
      <c r="L104" s="592" t="s">
        <v>12665</v>
      </c>
      <c r="M104" s="832">
        <v>41844.0</v>
      </c>
      <c r="N104" s="592" t="s">
        <v>90</v>
      </c>
      <c r="O104" s="388"/>
      <c r="P104" s="388" t="s">
        <v>90</v>
      </c>
      <c r="Q104" s="773"/>
      <c r="R104" s="466"/>
      <c r="S104" s="793"/>
      <c r="T104" s="388" t="s">
        <v>6081</v>
      </c>
      <c r="U104" s="1137">
        <v>2.0140715E7</v>
      </c>
      <c r="V104" s="1133">
        <v>41844.0</v>
      </c>
      <c r="W104" s="1149">
        <v>103253.0</v>
      </c>
      <c r="X104" s="388" t="s">
        <v>12926</v>
      </c>
      <c r="Y104" s="388" t="s">
        <v>12927</v>
      </c>
      <c r="Z104" s="91"/>
    </row>
    <row r="105" ht="15.75" customHeight="1">
      <c r="A105" s="1293">
        <v>41803.0</v>
      </c>
      <c r="B105" s="599" t="s">
        <v>631</v>
      </c>
      <c r="C105" s="1004" t="s">
        <v>12921</v>
      </c>
      <c r="D105" s="388" t="s">
        <v>12922</v>
      </c>
      <c r="E105" s="340" t="s">
        <v>12348</v>
      </c>
      <c r="F105" s="1137">
        <v>30.0</v>
      </c>
      <c r="G105" s="325">
        <f t="shared" ref="G105:G106" si="13">10*1.05</f>
        <v>10.5</v>
      </c>
      <c r="H105" s="466">
        <f t="shared" si="11"/>
        <v>315</v>
      </c>
      <c r="I105" s="793"/>
      <c r="J105" s="793"/>
      <c r="K105" s="256" t="s">
        <v>11999</v>
      </c>
      <c r="L105" s="592" t="s">
        <v>12730</v>
      </c>
      <c r="M105" s="832">
        <v>41830.0</v>
      </c>
      <c r="N105" s="592" t="s">
        <v>12928</v>
      </c>
      <c r="O105" s="832">
        <v>41816.0</v>
      </c>
      <c r="P105" s="388" t="s">
        <v>303</v>
      </c>
      <c r="Q105" s="773" t="s">
        <v>12929</v>
      </c>
      <c r="R105" s="793"/>
      <c r="S105" s="466">
        <v>5670.0</v>
      </c>
      <c r="T105" s="388" t="s">
        <v>12930</v>
      </c>
      <c r="U105" s="1143">
        <v>41862.0</v>
      </c>
      <c r="V105" s="1302">
        <v>41821.0</v>
      </c>
      <c r="W105" s="1303">
        <v>14175.0</v>
      </c>
      <c r="X105" s="388" t="s">
        <v>12924</v>
      </c>
      <c r="Y105" s="388" t="s">
        <v>12925</v>
      </c>
      <c r="Z105" s="91"/>
    </row>
    <row r="106" ht="15.75" customHeight="1">
      <c r="A106" s="1293">
        <v>41803.0</v>
      </c>
      <c r="B106" s="599" t="s">
        <v>631</v>
      </c>
      <c r="C106" s="1004" t="s">
        <v>12921</v>
      </c>
      <c r="D106" s="388" t="s">
        <v>12922</v>
      </c>
      <c r="E106" s="340" t="s">
        <v>12348</v>
      </c>
      <c r="F106" s="1137">
        <v>45.0</v>
      </c>
      <c r="G106" s="325">
        <f t="shared" si="13"/>
        <v>10.5</v>
      </c>
      <c r="H106" s="466">
        <f t="shared" si="11"/>
        <v>472.5</v>
      </c>
      <c r="I106" s="793"/>
      <c r="J106" s="793"/>
      <c r="K106" s="256" t="s">
        <v>11999</v>
      </c>
      <c r="L106" s="592" t="s">
        <v>12730</v>
      </c>
      <c r="M106" s="832">
        <v>41844.0</v>
      </c>
      <c r="N106" s="592" t="s">
        <v>12928</v>
      </c>
      <c r="O106" s="832">
        <v>41816.0</v>
      </c>
      <c r="P106" s="388" t="s">
        <v>303</v>
      </c>
      <c r="Q106" s="773" t="s">
        <v>12929</v>
      </c>
      <c r="R106" s="793"/>
      <c r="S106" s="466">
        <v>8505.0</v>
      </c>
      <c r="T106" s="388" t="s">
        <v>12930</v>
      </c>
      <c r="U106" s="1143">
        <v>41862.0</v>
      </c>
      <c r="V106" s="1143"/>
      <c r="W106" s="1159"/>
      <c r="X106" s="388" t="s">
        <v>12926</v>
      </c>
      <c r="Y106" s="388" t="s">
        <v>12927</v>
      </c>
      <c r="Z106" s="91"/>
    </row>
    <row r="107" ht="15.75" customHeight="1">
      <c r="A107" s="1293">
        <v>41807.0</v>
      </c>
      <c r="B107" s="599" t="s">
        <v>12661</v>
      </c>
      <c r="C107" s="1004" t="s">
        <v>12931</v>
      </c>
      <c r="D107" s="388" t="s">
        <v>12932</v>
      </c>
      <c r="E107" s="340" t="s">
        <v>12933</v>
      </c>
      <c r="F107" s="1137">
        <v>20.0</v>
      </c>
      <c r="G107" s="1309">
        <f>144*1.05</f>
        <v>151.2</v>
      </c>
      <c r="H107" s="1310">
        <f t="shared" si="11"/>
        <v>3024</v>
      </c>
      <c r="I107" s="793"/>
      <c r="J107" s="793"/>
      <c r="K107" s="256" t="s">
        <v>11999</v>
      </c>
      <c r="L107" s="592" t="s">
        <v>12665</v>
      </c>
      <c r="M107" s="832">
        <v>41841.0</v>
      </c>
      <c r="N107" s="592" t="s">
        <v>90</v>
      </c>
      <c r="O107" s="388"/>
      <c r="P107" s="388" t="s">
        <v>90</v>
      </c>
      <c r="Q107" s="773">
        <v>2.0140600125821E13</v>
      </c>
      <c r="R107" s="1294">
        <v>4300.8</v>
      </c>
      <c r="S107" s="793"/>
      <c r="T107" s="1300" t="s">
        <v>6081</v>
      </c>
      <c r="U107" s="1143">
        <v>41858.0</v>
      </c>
      <c r="V107" s="1133">
        <v>41841.0</v>
      </c>
      <c r="W107" s="1149">
        <v>86752.0</v>
      </c>
      <c r="X107" s="388" t="s">
        <v>12934</v>
      </c>
      <c r="Y107" s="388" t="s">
        <v>12935</v>
      </c>
      <c r="Z107" s="91"/>
    </row>
    <row r="108" ht="15.75" customHeight="1">
      <c r="A108" s="1293">
        <v>41807.0</v>
      </c>
      <c r="B108" s="599" t="s">
        <v>12661</v>
      </c>
      <c r="C108" s="1004" t="s">
        <v>12931</v>
      </c>
      <c r="D108" s="388" t="s">
        <v>12932</v>
      </c>
      <c r="E108" s="340" t="s">
        <v>12936</v>
      </c>
      <c r="F108" s="1137">
        <v>2.0</v>
      </c>
      <c r="G108" s="325">
        <f>253*1.05</f>
        <v>265.65</v>
      </c>
      <c r="H108" s="466">
        <f t="shared" si="11"/>
        <v>531.3</v>
      </c>
      <c r="I108" s="793"/>
      <c r="J108" s="793"/>
      <c r="K108" s="256" t="s">
        <v>11999</v>
      </c>
      <c r="L108" s="592" t="s">
        <v>12665</v>
      </c>
      <c r="M108" s="832">
        <v>41820.0</v>
      </c>
      <c r="N108" s="592" t="s">
        <v>90</v>
      </c>
      <c r="O108" s="388"/>
      <c r="P108" s="388" t="s">
        <v>90</v>
      </c>
      <c r="Q108" s="773">
        <v>2.0140600125821E13</v>
      </c>
      <c r="R108" s="1294"/>
      <c r="S108" s="793"/>
      <c r="T108" s="1300"/>
      <c r="U108" s="1143">
        <v>41858.0</v>
      </c>
      <c r="V108" s="1295">
        <v>41820.0</v>
      </c>
      <c r="W108" s="1296">
        <v>42007.0</v>
      </c>
      <c r="X108" s="1300" t="s">
        <v>12937</v>
      </c>
      <c r="Y108" s="1300" t="s">
        <v>12938</v>
      </c>
      <c r="Z108" s="91"/>
    </row>
    <row r="109" ht="15.75" customHeight="1">
      <c r="A109" s="1293">
        <v>41807.0</v>
      </c>
      <c r="B109" s="599" t="s">
        <v>12661</v>
      </c>
      <c r="C109" s="1004" t="s">
        <v>12939</v>
      </c>
      <c r="D109" s="388" t="s">
        <v>12940</v>
      </c>
      <c r="E109" s="340" t="s">
        <v>12941</v>
      </c>
      <c r="F109" s="1137">
        <v>1.0</v>
      </c>
      <c r="G109" s="325">
        <f>998*1.05</f>
        <v>1047.9</v>
      </c>
      <c r="H109" s="466">
        <f t="shared" si="11"/>
        <v>1047.9</v>
      </c>
      <c r="I109" s="793"/>
      <c r="J109" s="793"/>
      <c r="K109" s="256" t="s">
        <v>11999</v>
      </c>
      <c r="L109" s="592" t="s">
        <v>12665</v>
      </c>
      <c r="M109" s="832">
        <v>41820.0</v>
      </c>
      <c r="N109" s="592" t="s">
        <v>90</v>
      </c>
      <c r="O109" s="388"/>
      <c r="P109" s="388" t="s">
        <v>90</v>
      </c>
      <c r="Q109" s="773">
        <v>2.0140600125821E13</v>
      </c>
      <c r="R109" s="466"/>
      <c r="S109" s="793"/>
      <c r="T109" s="388"/>
      <c r="U109" s="1143">
        <v>41858.0</v>
      </c>
      <c r="V109" s="1133"/>
      <c r="W109" s="1149"/>
      <c r="X109" s="388"/>
      <c r="Y109" s="388"/>
      <c r="Z109" s="91"/>
    </row>
    <row r="110" ht="15.75" customHeight="1">
      <c r="A110" s="1293">
        <v>41807.0</v>
      </c>
      <c r="B110" s="599" t="s">
        <v>10926</v>
      </c>
      <c r="C110" s="1004" t="s">
        <v>12942</v>
      </c>
      <c r="D110" s="388" t="s">
        <v>12943</v>
      </c>
      <c r="E110" s="340" t="s">
        <v>11345</v>
      </c>
      <c r="F110" s="1137">
        <v>20.0</v>
      </c>
      <c r="G110" s="325">
        <v>64.05</v>
      </c>
      <c r="H110" s="466">
        <f t="shared" si="11"/>
        <v>1281</v>
      </c>
      <c r="I110" s="793"/>
      <c r="J110" s="793"/>
      <c r="K110" s="256" t="s">
        <v>11086</v>
      </c>
      <c r="L110" s="592" t="s">
        <v>12665</v>
      </c>
      <c r="M110" s="832">
        <v>41809.0</v>
      </c>
      <c r="N110" s="592" t="s">
        <v>90</v>
      </c>
      <c r="O110" s="388"/>
      <c r="P110" s="388" t="s">
        <v>90</v>
      </c>
      <c r="Q110" s="773" t="s">
        <v>12944</v>
      </c>
      <c r="R110" s="466">
        <v>1134.0</v>
      </c>
      <c r="S110" s="793"/>
      <c r="T110" s="388" t="s">
        <v>6081</v>
      </c>
      <c r="U110" s="1137">
        <v>2.0140715E7</v>
      </c>
      <c r="V110" s="1133">
        <v>41809.0</v>
      </c>
      <c r="W110" s="1149">
        <v>33997.0</v>
      </c>
      <c r="X110" s="388" t="s">
        <v>12920</v>
      </c>
      <c r="Y110" s="388"/>
      <c r="Z110" s="91"/>
    </row>
    <row r="111" ht="15.75" customHeight="1">
      <c r="A111" s="1293">
        <v>41807.0</v>
      </c>
      <c r="B111" s="599" t="s">
        <v>10926</v>
      </c>
      <c r="C111" s="1004" t="s">
        <v>12945</v>
      </c>
      <c r="D111" s="388" t="s">
        <v>12946</v>
      </c>
      <c r="E111" s="340" t="s">
        <v>3676</v>
      </c>
      <c r="F111" s="1137">
        <v>5.0</v>
      </c>
      <c r="G111" s="325">
        <v>45.0</v>
      </c>
      <c r="H111" s="466">
        <f t="shared" si="11"/>
        <v>225</v>
      </c>
      <c r="I111" s="793"/>
      <c r="J111" s="793"/>
      <c r="K111" s="256" t="s">
        <v>11086</v>
      </c>
      <c r="L111" s="592" t="s">
        <v>11675</v>
      </c>
      <c r="M111" s="832">
        <v>41810.0</v>
      </c>
      <c r="N111" s="592" t="s">
        <v>12928</v>
      </c>
      <c r="O111" s="832">
        <v>41808.0</v>
      </c>
      <c r="P111" s="388" t="s">
        <v>11033</v>
      </c>
      <c r="Q111" s="773" t="s">
        <v>12947</v>
      </c>
      <c r="R111" s="793"/>
      <c r="S111" s="466">
        <v>6489.0</v>
      </c>
      <c r="T111" s="320" t="s">
        <v>8689</v>
      </c>
      <c r="U111" s="773">
        <v>2.0140703E7</v>
      </c>
      <c r="V111" s="1143">
        <v>41807.0</v>
      </c>
      <c r="W111" s="1159">
        <v>6489.0</v>
      </c>
      <c r="X111" s="388" t="s">
        <v>12920</v>
      </c>
      <c r="Y111" s="388"/>
      <c r="Z111" s="91"/>
    </row>
    <row r="112" ht="15.75" customHeight="1">
      <c r="A112" s="1293">
        <v>41808.0</v>
      </c>
      <c r="B112" s="599" t="s">
        <v>10664</v>
      </c>
      <c r="C112" s="1004" t="s">
        <v>12948</v>
      </c>
      <c r="D112" s="388" t="s">
        <v>12949</v>
      </c>
      <c r="E112" s="340" t="s">
        <v>12950</v>
      </c>
      <c r="F112" s="1137">
        <v>32.0</v>
      </c>
      <c r="G112" s="325">
        <v>1477.0</v>
      </c>
      <c r="H112" s="1310">
        <f t="shared" si="11"/>
        <v>47264</v>
      </c>
      <c r="I112" s="793"/>
      <c r="J112" s="793"/>
      <c r="K112" s="256" t="s">
        <v>87</v>
      </c>
      <c r="L112" s="1301" t="s">
        <v>12951</v>
      </c>
      <c r="M112" s="832">
        <v>41858.0</v>
      </c>
      <c r="N112" s="1301" t="s">
        <v>90</v>
      </c>
      <c r="O112" s="388"/>
      <c r="P112" s="1300" t="s">
        <v>90</v>
      </c>
      <c r="Q112" s="1298" t="s">
        <v>12944</v>
      </c>
      <c r="R112" s="466">
        <v>45763.2</v>
      </c>
      <c r="S112" s="793"/>
      <c r="T112" s="1300" t="s">
        <v>6081</v>
      </c>
      <c r="U112" s="1137">
        <v>2.0140807E7</v>
      </c>
      <c r="V112" s="1295">
        <v>41851.0</v>
      </c>
      <c r="W112" s="1296">
        <v>1392049.0</v>
      </c>
      <c r="X112" s="1297" t="s">
        <v>12952</v>
      </c>
      <c r="Y112" s="1300"/>
      <c r="Z112" s="91"/>
    </row>
    <row r="113" ht="15.75" customHeight="1">
      <c r="A113" s="1293">
        <v>41808.0</v>
      </c>
      <c r="B113" s="599" t="s">
        <v>10664</v>
      </c>
      <c r="C113" s="1004" t="s">
        <v>12948</v>
      </c>
      <c r="D113" s="388" t="s">
        <v>12949</v>
      </c>
      <c r="E113" s="340" t="s">
        <v>12953</v>
      </c>
      <c r="F113" s="1137">
        <v>32.0</v>
      </c>
      <c r="G113" s="325">
        <v>12.0</v>
      </c>
      <c r="H113" s="1310">
        <f t="shared" si="11"/>
        <v>384</v>
      </c>
      <c r="I113" s="793"/>
      <c r="J113" s="793"/>
      <c r="K113" s="256" t="s">
        <v>87</v>
      </c>
      <c r="L113" s="1301"/>
      <c r="M113" s="832">
        <v>41858.0</v>
      </c>
      <c r="N113" s="1301"/>
      <c r="O113" s="388"/>
      <c r="P113" s="1300"/>
      <c r="Q113" s="1298"/>
      <c r="R113" s="466">
        <v>369.6</v>
      </c>
      <c r="S113" s="793"/>
      <c r="T113" s="1300"/>
      <c r="U113" s="1137">
        <v>2.0140807E7</v>
      </c>
      <c r="V113" s="1295"/>
      <c r="W113" s="1296"/>
      <c r="X113" s="1297"/>
      <c r="Y113" s="1300"/>
      <c r="Z113" s="91"/>
    </row>
    <row r="114" ht="15.75" customHeight="1">
      <c r="A114" s="1293">
        <v>41808.0</v>
      </c>
      <c r="B114" s="599" t="s">
        <v>10664</v>
      </c>
      <c r="C114" s="1004" t="s">
        <v>12948</v>
      </c>
      <c r="D114" s="388" t="s">
        <v>12949</v>
      </c>
      <c r="E114" s="340" t="s">
        <v>12954</v>
      </c>
      <c r="F114" s="1137">
        <v>32.0</v>
      </c>
      <c r="G114" s="325">
        <v>12.0</v>
      </c>
      <c r="H114" s="1310">
        <f t="shared" si="11"/>
        <v>384</v>
      </c>
      <c r="I114" s="793"/>
      <c r="J114" s="793"/>
      <c r="K114" s="256" t="s">
        <v>87</v>
      </c>
      <c r="L114" s="592"/>
      <c r="M114" s="832">
        <v>41858.0</v>
      </c>
      <c r="N114" s="592"/>
      <c r="O114" s="388"/>
      <c r="P114" s="388"/>
      <c r="Q114" s="773"/>
      <c r="R114" s="466">
        <v>369.6</v>
      </c>
      <c r="S114" s="793"/>
      <c r="T114" s="388"/>
      <c r="U114" s="1137">
        <v>2.0140807E7</v>
      </c>
      <c r="V114" s="1133"/>
      <c r="W114" s="1149"/>
      <c r="X114" s="320"/>
      <c r="Y114" s="388"/>
      <c r="Z114" s="91"/>
    </row>
    <row r="115" ht="15.75" customHeight="1">
      <c r="A115" s="1293">
        <v>41808.0</v>
      </c>
      <c r="B115" s="599" t="s">
        <v>12955</v>
      </c>
      <c r="C115" s="388"/>
      <c r="D115" s="388" t="s">
        <v>12956</v>
      </c>
      <c r="E115" s="340" t="s">
        <v>12957</v>
      </c>
      <c r="F115" s="1137">
        <v>1.0</v>
      </c>
      <c r="G115" s="325">
        <v>311.0</v>
      </c>
      <c r="H115" s="466">
        <f t="shared" si="11"/>
        <v>311</v>
      </c>
      <c r="I115" s="793"/>
      <c r="J115" s="793"/>
      <c r="K115" s="256" t="s">
        <v>11086</v>
      </c>
      <c r="L115" s="592" t="s">
        <v>11675</v>
      </c>
      <c r="M115" s="832">
        <v>41810.0</v>
      </c>
      <c r="N115" s="592" t="s">
        <v>6067</v>
      </c>
      <c r="O115" s="832">
        <v>41809.0</v>
      </c>
      <c r="P115" s="388" t="s">
        <v>12673</v>
      </c>
      <c r="Q115" s="773" t="s">
        <v>12958</v>
      </c>
      <c r="R115" s="793"/>
      <c r="S115" s="466">
        <v>8247.0</v>
      </c>
      <c r="T115" s="320" t="s">
        <v>8689</v>
      </c>
      <c r="U115" s="773">
        <v>2.0140703E7</v>
      </c>
      <c r="V115" s="1133">
        <v>41808.0</v>
      </c>
      <c r="W115" s="1159">
        <v>8247.0</v>
      </c>
      <c r="X115" s="320" t="s">
        <v>12959</v>
      </c>
      <c r="Y115" s="388" t="s">
        <v>12960</v>
      </c>
      <c r="Z115" s="91"/>
    </row>
    <row r="116" ht="15.75" customHeight="1">
      <c r="A116" s="1293">
        <v>41808.0</v>
      </c>
      <c r="B116" s="599" t="s">
        <v>12661</v>
      </c>
      <c r="C116" s="1004" t="s">
        <v>12961</v>
      </c>
      <c r="D116" s="388" t="s">
        <v>12962</v>
      </c>
      <c r="E116" s="340" t="s">
        <v>12941</v>
      </c>
      <c r="F116" s="1137">
        <v>1.0</v>
      </c>
      <c r="G116" s="325">
        <f>998*1.05</f>
        <v>1047.9</v>
      </c>
      <c r="H116" s="466">
        <f t="shared" si="11"/>
        <v>1047.9</v>
      </c>
      <c r="I116" s="793"/>
      <c r="J116" s="793"/>
      <c r="K116" s="256" t="s">
        <v>11999</v>
      </c>
      <c r="L116" s="592" t="s">
        <v>12665</v>
      </c>
      <c r="M116" s="832">
        <v>41820.0</v>
      </c>
      <c r="N116" s="592" t="s">
        <v>90</v>
      </c>
      <c r="O116" s="388"/>
      <c r="P116" s="388" t="s">
        <v>90</v>
      </c>
      <c r="Q116" s="773">
        <v>2.0140600126131E13</v>
      </c>
      <c r="R116" s="466">
        <v>924.0</v>
      </c>
      <c r="S116" s="793"/>
      <c r="T116" s="388" t="s">
        <v>6081</v>
      </c>
      <c r="U116" s="1137">
        <v>2.0140703E7</v>
      </c>
      <c r="V116" s="1133">
        <v>41820.0</v>
      </c>
      <c r="W116" s="1149">
        <v>27669.0</v>
      </c>
      <c r="X116" s="388" t="s">
        <v>12937</v>
      </c>
      <c r="Y116" s="388" t="s">
        <v>12938</v>
      </c>
      <c r="Z116" s="91"/>
    </row>
    <row r="117" ht="15.75" customHeight="1">
      <c r="A117" s="1293">
        <v>41808.0</v>
      </c>
      <c r="B117" s="599" t="s">
        <v>6587</v>
      </c>
      <c r="C117" s="388"/>
      <c r="D117" s="388" t="s">
        <v>12963</v>
      </c>
      <c r="E117" s="340" t="s">
        <v>12683</v>
      </c>
      <c r="F117" s="1137">
        <v>5.0</v>
      </c>
      <c r="G117" s="325">
        <v>772.0</v>
      </c>
      <c r="H117" s="466">
        <f t="shared" si="11"/>
        <v>3860</v>
      </c>
      <c r="I117" s="793"/>
      <c r="J117" s="793"/>
      <c r="K117" s="256" t="s">
        <v>8675</v>
      </c>
      <c r="L117" s="592" t="s">
        <v>6591</v>
      </c>
      <c r="M117" s="832">
        <v>41829.0</v>
      </c>
      <c r="N117" s="592" t="s">
        <v>12680</v>
      </c>
      <c r="O117" s="388"/>
      <c r="P117" s="388" t="s">
        <v>12680</v>
      </c>
      <c r="Q117" s="773" t="s">
        <v>12964</v>
      </c>
      <c r="R117" s="793"/>
      <c r="S117" s="466">
        <v>109662.0</v>
      </c>
      <c r="T117" s="388" t="s">
        <v>11250</v>
      </c>
      <c r="U117" s="1137">
        <v>2.0140707E7</v>
      </c>
      <c r="V117" s="1133">
        <v>41829.0</v>
      </c>
      <c r="W117" s="1149">
        <v>109662.0</v>
      </c>
      <c r="X117" s="320" t="s">
        <v>12965</v>
      </c>
      <c r="Y117" s="388"/>
      <c r="Z117" s="91"/>
    </row>
    <row r="118" ht="15.75" customHeight="1">
      <c r="A118" s="1293">
        <v>41809.0</v>
      </c>
      <c r="B118" s="599" t="s">
        <v>8749</v>
      </c>
      <c r="C118" s="1004" t="s">
        <v>12966</v>
      </c>
      <c r="D118" s="388" t="s">
        <v>12967</v>
      </c>
      <c r="E118" s="340" t="s">
        <v>12968</v>
      </c>
      <c r="F118" s="1137">
        <v>400.0</v>
      </c>
      <c r="G118" s="325">
        <v>0.77</v>
      </c>
      <c r="H118" s="466">
        <f t="shared" si="11"/>
        <v>308</v>
      </c>
      <c r="I118" s="793"/>
      <c r="J118" s="793"/>
      <c r="K118" s="256" t="s">
        <v>11086</v>
      </c>
      <c r="L118" s="592" t="s">
        <v>11675</v>
      </c>
      <c r="M118" s="832">
        <v>41813.0</v>
      </c>
      <c r="N118" s="592" t="s">
        <v>6067</v>
      </c>
      <c r="O118" s="832">
        <v>41810.0</v>
      </c>
      <c r="P118" s="388" t="s">
        <v>12969</v>
      </c>
      <c r="Q118" s="773" t="s">
        <v>12958</v>
      </c>
      <c r="R118" s="793"/>
      <c r="S118" s="466">
        <v>6930.0</v>
      </c>
      <c r="T118" s="388" t="s">
        <v>5998</v>
      </c>
      <c r="U118" s="1137">
        <v>2.0140619E7</v>
      </c>
      <c r="V118" s="1133">
        <v>41810.0</v>
      </c>
      <c r="W118" s="1149">
        <v>6930.0</v>
      </c>
      <c r="X118" s="388" t="s">
        <v>12970</v>
      </c>
      <c r="Y118" s="388"/>
      <c r="Z118" s="91"/>
    </row>
    <row r="119" ht="15.75" customHeight="1">
      <c r="A119" s="1293">
        <v>41813.0</v>
      </c>
      <c r="B119" s="599" t="s">
        <v>7411</v>
      </c>
      <c r="C119" s="1004" t="s">
        <v>12971</v>
      </c>
      <c r="D119" s="388" t="s">
        <v>12972</v>
      </c>
      <c r="E119" s="340" t="s">
        <v>7414</v>
      </c>
      <c r="F119" s="1137">
        <v>15.0</v>
      </c>
      <c r="G119" s="325">
        <v>240.0</v>
      </c>
      <c r="H119" s="1310">
        <f t="shared" ref="H119:H159" si="14">F119*G119</f>
        <v>3600</v>
      </c>
      <c r="I119" s="793"/>
      <c r="J119" s="793"/>
      <c r="K119" s="256" t="s">
        <v>12093</v>
      </c>
      <c r="L119" s="592" t="s">
        <v>12973</v>
      </c>
      <c r="M119" s="832">
        <v>41827.0</v>
      </c>
      <c r="N119" s="592" t="s">
        <v>6067</v>
      </c>
      <c r="O119" s="832">
        <v>41824.0</v>
      </c>
      <c r="P119" s="388" t="s">
        <v>90</v>
      </c>
      <c r="Q119" s="773">
        <v>2.014060012653E13</v>
      </c>
      <c r="R119" s="466">
        <v>2677.5</v>
      </c>
      <c r="S119" s="793"/>
      <c r="T119" s="388" t="s">
        <v>6081</v>
      </c>
      <c r="U119" s="1137">
        <v>2.0140703E7</v>
      </c>
      <c r="V119" s="1133">
        <v>41824.0</v>
      </c>
      <c r="W119" s="1149">
        <v>80124.0</v>
      </c>
      <c r="X119" s="265" t="s">
        <v>12974</v>
      </c>
      <c r="Y119" s="388"/>
      <c r="Z119" s="91"/>
    </row>
    <row r="120" ht="15.75" customHeight="1">
      <c r="A120" s="1293">
        <v>41813.0</v>
      </c>
      <c r="B120" s="599" t="s">
        <v>10926</v>
      </c>
      <c r="C120" s="1004" t="s">
        <v>12975</v>
      </c>
      <c r="D120" s="388" t="s">
        <v>12976</v>
      </c>
      <c r="E120" s="340" t="s">
        <v>11572</v>
      </c>
      <c r="F120" s="1137">
        <v>7.0</v>
      </c>
      <c r="G120" s="325">
        <v>181.65</v>
      </c>
      <c r="H120" s="466">
        <f t="shared" si="14"/>
        <v>1271.55</v>
      </c>
      <c r="I120" s="793"/>
      <c r="J120" s="466">
        <v>38147.0</v>
      </c>
      <c r="K120" s="256" t="s">
        <v>11086</v>
      </c>
      <c r="L120" s="592" t="s">
        <v>11675</v>
      </c>
      <c r="M120" s="832">
        <v>41823.0</v>
      </c>
      <c r="N120" s="592" t="s">
        <v>6067</v>
      </c>
      <c r="O120" s="832">
        <v>41822.0</v>
      </c>
      <c r="P120" s="388" t="s">
        <v>12673</v>
      </c>
      <c r="Q120" s="773" t="s">
        <v>12977</v>
      </c>
      <c r="R120" s="793"/>
      <c r="S120" s="466">
        <v>36515.0</v>
      </c>
      <c r="T120" s="388" t="s">
        <v>8689</v>
      </c>
      <c r="U120" s="1143">
        <v>41862.0</v>
      </c>
      <c r="V120" s="1143">
        <v>41821.0</v>
      </c>
      <c r="W120" s="1159">
        <v>36515.0</v>
      </c>
      <c r="X120" s="388" t="s">
        <v>12978</v>
      </c>
      <c r="Y120" s="388" t="s">
        <v>12979</v>
      </c>
      <c r="Z120" s="91"/>
    </row>
    <row r="121" ht="15.75" customHeight="1">
      <c r="A121" s="1293">
        <v>41813.0</v>
      </c>
      <c r="B121" s="599" t="s">
        <v>10926</v>
      </c>
      <c r="C121" s="1004" t="s">
        <v>12975</v>
      </c>
      <c r="D121" s="388" t="s">
        <v>12976</v>
      </c>
      <c r="E121" s="340" t="s">
        <v>11572</v>
      </c>
      <c r="F121" s="1137">
        <v>3.0</v>
      </c>
      <c r="G121" s="325">
        <v>181.65</v>
      </c>
      <c r="H121" s="466">
        <f t="shared" si="14"/>
        <v>544.95</v>
      </c>
      <c r="I121" s="793"/>
      <c r="J121" s="466">
        <v>16349.0</v>
      </c>
      <c r="K121" s="256" t="s">
        <v>11086</v>
      </c>
      <c r="L121" s="592" t="s">
        <v>11675</v>
      </c>
      <c r="M121" s="832">
        <v>41852.0</v>
      </c>
      <c r="N121" s="592" t="s">
        <v>6067</v>
      </c>
      <c r="O121" s="832">
        <v>41851.0</v>
      </c>
      <c r="P121" s="388" t="s">
        <v>12673</v>
      </c>
      <c r="Q121" s="773" t="s">
        <v>12977</v>
      </c>
      <c r="R121" s="793"/>
      <c r="S121" s="466">
        <v>15649.0</v>
      </c>
      <c r="T121" s="388" t="s">
        <v>8689</v>
      </c>
      <c r="U121" s="1143">
        <v>41879.0</v>
      </c>
      <c r="V121" s="1143">
        <v>41850.0</v>
      </c>
      <c r="W121" s="1159">
        <v>15649.0</v>
      </c>
      <c r="X121" s="388" t="s">
        <v>12980</v>
      </c>
      <c r="Y121" s="388" t="s">
        <v>12981</v>
      </c>
      <c r="Z121" s="91"/>
    </row>
    <row r="122" ht="15.75" customHeight="1">
      <c r="A122" s="1311">
        <v>41823.0</v>
      </c>
      <c r="B122" s="340" t="s">
        <v>1204</v>
      </c>
      <c r="C122" s="265" t="s">
        <v>12982</v>
      </c>
      <c r="D122" s="320" t="s">
        <v>12983</v>
      </c>
      <c r="E122" s="340" t="s">
        <v>12984</v>
      </c>
      <c r="F122" s="773">
        <v>50.0</v>
      </c>
      <c r="G122" s="466">
        <v>8.4</v>
      </c>
      <c r="H122" s="466">
        <f t="shared" si="14"/>
        <v>420</v>
      </c>
      <c r="I122" s="793"/>
      <c r="J122" s="793"/>
      <c r="K122" s="256" t="s">
        <v>12093</v>
      </c>
      <c r="L122" s="320" t="s">
        <v>12094</v>
      </c>
      <c r="M122" s="832">
        <v>41872.0</v>
      </c>
      <c r="N122" s="256" t="s">
        <v>6067</v>
      </c>
      <c r="O122" s="832">
        <v>41871.0</v>
      </c>
      <c r="P122" s="320" t="s">
        <v>12985</v>
      </c>
      <c r="Q122" s="773" t="s">
        <v>12986</v>
      </c>
      <c r="R122" s="793"/>
      <c r="S122" s="466">
        <v>11025.0</v>
      </c>
      <c r="T122" s="265" t="s">
        <v>2510</v>
      </c>
      <c r="U122" s="1133">
        <v>41912.0</v>
      </c>
      <c r="V122" s="1295">
        <v>41870.0</v>
      </c>
      <c r="W122" s="1296">
        <v>53025.0</v>
      </c>
      <c r="X122" s="1297" t="s">
        <v>12987</v>
      </c>
      <c r="Y122" s="388"/>
      <c r="Z122" s="91"/>
    </row>
    <row r="123" ht="15.75" customHeight="1">
      <c r="A123" s="1311">
        <v>41823.0</v>
      </c>
      <c r="B123" s="340" t="s">
        <v>1204</v>
      </c>
      <c r="C123" s="265" t="s">
        <v>12982</v>
      </c>
      <c r="D123" s="320" t="s">
        <v>12983</v>
      </c>
      <c r="E123" s="340" t="s">
        <v>4488</v>
      </c>
      <c r="F123" s="773">
        <v>200.0</v>
      </c>
      <c r="G123" s="466">
        <v>7.9</v>
      </c>
      <c r="H123" s="466">
        <f t="shared" si="14"/>
        <v>1580</v>
      </c>
      <c r="I123" s="793"/>
      <c r="J123" s="793"/>
      <c r="K123" s="256" t="s">
        <v>12093</v>
      </c>
      <c r="L123" s="320" t="s">
        <v>12094</v>
      </c>
      <c r="M123" s="832">
        <v>41872.0</v>
      </c>
      <c r="N123" s="256" t="s">
        <v>6067</v>
      </c>
      <c r="O123" s="832">
        <v>41871.0</v>
      </c>
      <c r="P123" s="320" t="s">
        <v>12985</v>
      </c>
      <c r="Q123" s="773" t="s">
        <v>12986</v>
      </c>
      <c r="R123" s="793"/>
      <c r="S123" s="466">
        <v>42000.0</v>
      </c>
      <c r="T123" s="265" t="s">
        <v>2510</v>
      </c>
      <c r="U123" s="1133">
        <v>41912.0</v>
      </c>
      <c r="V123" s="1133"/>
      <c r="W123" s="1149"/>
      <c r="X123" s="320"/>
      <c r="Y123" s="388"/>
      <c r="Z123" s="91"/>
    </row>
    <row r="124" ht="15.75" customHeight="1">
      <c r="A124" s="1293">
        <v>41823.0</v>
      </c>
      <c r="B124" s="599" t="s">
        <v>1204</v>
      </c>
      <c r="C124" s="1004" t="s">
        <v>12988</v>
      </c>
      <c r="D124" s="388" t="s">
        <v>12989</v>
      </c>
      <c r="E124" s="340" t="s">
        <v>9438</v>
      </c>
      <c r="F124" s="1137">
        <v>9.0</v>
      </c>
      <c r="G124" s="325">
        <v>177.0</v>
      </c>
      <c r="H124" s="1310">
        <f t="shared" si="14"/>
        <v>1593</v>
      </c>
      <c r="I124" s="793"/>
      <c r="J124" s="793"/>
      <c r="K124" s="256" t="s">
        <v>12093</v>
      </c>
      <c r="L124" s="320" t="s">
        <v>12094</v>
      </c>
      <c r="M124" s="832">
        <v>41841.0</v>
      </c>
      <c r="N124" s="592" t="s">
        <v>6067</v>
      </c>
      <c r="O124" s="832">
        <v>41835.0</v>
      </c>
      <c r="P124" s="388" t="s">
        <v>90</v>
      </c>
      <c r="Q124" s="1137">
        <v>2.0140700127804E13</v>
      </c>
      <c r="R124" s="466">
        <v>1379.7</v>
      </c>
      <c r="S124" s="793"/>
      <c r="T124" s="388" t="s">
        <v>6081</v>
      </c>
      <c r="U124" s="1143">
        <v>41891.0</v>
      </c>
      <c r="V124" s="1143">
        <v>41836.0</v>
      </c>
      <c r="W124" s="1159">
        <v>41150.0</v>
      </c>
      <c r="X124" s="1297" t="s">
        <v>12990</v>
      </c>
      <c r="Y124" s="388"/>
      <c r="Z124" s="91"/>
    </row>
    <row r="125" ht="15.75" customHeight="1">
      <c r="A125" s="1293">
        <v>41823.0</v>
      </c>
      <c r="B125" s="599" t="s">
        <v>1204</v>
      </c>
      <c r="C125" s="1004" t="s">
        <v>12991</v>
      </c>
      <c r="D125" s="388" t="s">
        <v>12989</v>
      </c>
      <c r="E125" s="340" t="s">
        <v>12138</v>
      </c>
      <c r="F125" s="1137">
        <v>3.0</v>
      </c>
      <c r="G125" s="325">
        <v>553.0</v>
      </c>
      <c r="H125" s="1310">
        <f t="shared" si="14"/>
        <v>1659</v>
      </c>
      <c r="I125" s="793"/>
      <c r="J125" s="793"/>
      <c r="K125" s="256" t="s">
        <v>12093</v>
      </c>
      <c r="L125" s="320" t="s">
        <v>12094</v>
      </c>
      <c r="M125" s="832">
        <v>41841.0</v>
      </c>
      <c r="N125" s="592" t="s">
        <v>6067</v>
      </c>
      <c r="O125" s="832">
        <v>41838.0</v>
      </c>
      <c r="P125" s="388" t="s">
        <v>11214</v>
      </c>
      <c r="Q125" s="1137" t="s">
        <v>12992</v>
      </c>
      <c r="R125" s="793"/>
      <c r="S125" s="466">
        <v>44100.0</v>
      </c>
      <c r="T125" s="388" t="s">
        <v>12993</v>
      </c>
      <c r="U125" s="1143">
        <v>41885.0</v>
      </c>
      <c r="V125" s="1143">
        <v>41838.0</v>
      </c>
      <c r="W125" s="1159">
        <v>44100.0</v>
      </c>
      <c r="X125" s="320"/>
      <c r="Y125" s="388"/>
      <c r="Z125" s="91"/>
    </row>
    <row r="126" ht="15.75" customHeight="1">
      <c r="A126" s="1293">
        <v>41827.0</v>
      </c>
      <c r="B126" s="599" t="s">
        <v>8749</v>
      </c>
      <c r="C126" s="1004" t="s">
        <v>12994</v>
      </c>
      <c r="D126" s="388" t="s">
        <v>12995</v>
      </c>
      <c r="E126" s="340" t="s">
        <v>4568</v>
      </c>
      <c r="F126" s="1137">
        <v>1.0</v>
      </c>
      <c r="G126" s="325">
        <v>69.3</v>
      </c>
      <c r="H126" s="466">
        <f t="shared" si="14"/>
        <v>69.3</v>
      </c>
      <c r="I126" s="793"/>
      <c r="J126" s="793"/>
      <c r="K126" s="256" t="s">
        <v>11086</v>
      </c>
      <c r="L126" s="592" t="s">
        <v>12665</v>
      </c>
      <c r="M126" s="832">
        <v>41851.0</v>
      </c>
      <c r="N126" s="592" t="s">
        <v>90</v>
      </c>
      <c r="O126" s="388"/>
      <c r="P126" s="388" t="s">
        <v>90</v>
      </c>
      <c r="Q126" s="1312">
        <v>2.014070012795E13</v>
      </c>
      <c r="R126" s="1294">
        <v>121.8</v>
      </c>
      <c r="S126" s="793"/>
      <c r="T126" s="1300" t="s">
        <v>6081</v>
      </c>
      <c r="U126" s="388"/>
      <c r="V126" s="1295">
        <v>41851.0</v>
      </c>
      <c r="W126" s="1296">
        <v>3646.0</v>
      </c>
      <c r="X126" s="1300" t="s">
        <v>12996</v>
      </c>
      <c r="Y126" s="1300" t="s">
        <v>12997</v>
      </c>
      <c r="Z126" s="91"/>
    </row>
    <row r="127" ht="15.75" customHeight="1">
      <c r="A127" s="1293">
        <v>41827.0</v>
      </c>
      <c r="B127" s="599" t="s">
        <v>8749</v>
      </c>
      <c r="C127" s="1004" t="s">
        <v>12998</v>
      </c>
      <c r="D127" s="388" t="s">
        <v>12999</v>
      </c>
      <c r="E127" s="340" t="s">
        <v>4568</v>
      </c>
      <c r="F127" s="1137">
        <v>1.0</v>
      </c>
      <c r="G127" s="325">
        <v>69.3</v>
      </c>
      <c r="H127" s="466">
        <f t="shared" si="14"/>
        <v>69.3</v>
      </c>
      <c r="I127" s="793"/>
      <c r="J127" s="793"/>
      <c r="K127" s="256" t="s">
        <v>11086</v>
      </c>
      <c r="L127" s="592" t="s">
        <v>12665</v>
      </c>
      <c r="M127" s="832">
        <v>41851.0</v>
      </c>
      <c r="N127" s="592" t="s">
        <v>90</v>
      </c>
      <c r="O127" s="388"/>
      <c r="P127" s="388" t="s">
        <v>90</v>
      </c>
      <c r="Q127" s="1137"/>
      <c r="R127" s="466"/>
      <c r="S127" s="793"/>
      <c r="T127" s="388"/>
      <c r="U127" s="388"/>
      <c r="V127" s="1133"/>
      <c r="W127" s="1149"/>
      <c r="X127" s="388"/>
      <c r="Y127" s="388"/>
      <c r="Z127" s="91"/>
    </row>
    <row r="128" ht="15.75" customHeight="1">
      <c r="A128" s="1293">
        <v>41828.0</v>
      </c>
      <c r="B128" s="599" t="s">
        <v>8749</v>
      </c>
      <c r="C128" s="1004" t="s">
        <v>13000</v>
      </c>
      <c r="D128" s="388" t="s">
        <v>13001</v>
      </c>
      <c r="E128" s="340" t="s">
        <v>4306</v>
      </c>
      <c r="F128" s="1137">
        <v>3.0</v>
      </c>
      <c r="G128" s="325">
        <v>88.7</v>
      </c>
      <c r="H128" s="466">
        <f t="shared" si="14"/>
        <v>266.1</v>
      </c>
      <c r="I128" s="793"/>
      <c r="J128" s="793"/>
      <c r="K128" s="256" t="s">
        <v>11086</v>
      </c>
      <c r="L128" s="592" t="s">
        <v>12665</v>
      </c>
      <c r="M128" s="832">
        <v>41834.0</v>
      </c>
      <c r="N128" s="592" t="s">
        <v>90</v>
      </c>
      <c r="O128" s="388"/>
      <c r="P128" s="320" t="s">
        <v>90</v>
      </c>
      <c r="Q128" s="773">
        <v>2.0140700128161E13</v>
      </c>
      <c r="R128" s="466">
        <v>245.7</v>
      </c>
      <c r="S128" s="793"/>
      <c r="T128" s="320" t="s">
        <v>6081</v>
      </c>
      <c r="U128" s="1137">
        <v>2.0140715E7</v>
      </c>
      <c r="V128" s="1133">
        <v>41834.0</v>
      </c>
      <c r="W128" s="1149">
        <v>7328.0</v>
      </c>
      <c r="X128" s="388" t="s">
        <v>13002</v>
      </c>
      <c r="Y128" s="388" t="s">
        <v>13003</v>
      </c>
      <c r="Z128" s="91"/>
    </row>
    <row r="129" ht="15.75" customHeight="1">
      <c r="A129" s="1293">
        <v>41831.0</v>
      </c>
      <c r="B129" s="599" t="s">
        <v>12661</v>
      </c>
      <c r="C129" s="1004" t="s">
        <v>13004</v>
      </c>
      <c r="D129" s="388" t="s">
        <v>13005</v>
      </c>
      <c r="E129" s="340" t="s">
        <v>13006</v>
      </c>
      <c r="F129" s="1137">
        <v>10.0</v>
      </c>
      <c r="G129" s="325">
        <f>173*1.05</f>
        <v>181.65</v>
      </c>
      <c r="H129" s="466">
        <f t="shared" si="14"/>
        <v>1816.5</v>
      </c>
      <c r="I129" s="793"/>
      <c r="J129" s="793"/>
      <c r="K129" s="256" t="s">
        <v>11999</v>
      </c>
      <c r="L129" s="592" t="s">
        <v>12665</v>
      </c>
      <c r="M129" s="832">
        <v>41837.0</v>
      </c>
      <c r="N129" s="592" t="s">
        <v>90</v>
      </c>
      <c r="O129" s="388"/>
      <c r="P129" s="388" t="s">
        <v>90</v>
      </c>
      <c r="Q129" s="773">
        <v>2.0140700128384E13</v>
      </c>
      <c r="R129" s="466">
        <v>1501.5</v>
      </c>
      <c r="S129" s="793"/>
      <c r="T129" s="388" t="s">
        <v>6081</v>
      </c>
      <c r="U129" s="1143">
        <v>41870.0</v>
      </c>
      <c r="V129" s="1143">
        <v>41837.0</v>
      </c>
      <c r="W129" s="1159">
        <v>44782.0</v>
      </c>
      <c r="X129" s="388" t="s">
        <v>13007</v>
      </c>
      <c r="Y129" s="388" t="s">
        <v>12935</v>
      </c>
      <c r="Z129" s="91"/>
    </row>
    <row r="130" ht="15.75" customHeight="1">
      <c r="A130" s="1293">
        <v>41834.0</v>
      </c>
      <c r="B130" s="599" t="s">
        <v>10946</v>
      </c>
      <c r="C130" s="388"/>
      <c r="D130" s="388" t="s">
        <v>13008</v>
      </c>
      <c r="E130" s="340" t="s">
        <v>13009</v>
      </c>
      <c r="F130" s="1137">
        <v>3.0</v>
      </c>
      <c r="G130" s="325">
        <v>42.0</v>
      </c>
      <c r="H130" s="466">
        <f t="shared" si="14"/>
        <v>126</v>
      </c>
      <c r="I130" s="793"/>
      <c r="J130" s="466">
        <v>3780.0</v>
      </c>
      <c r="K130" s="256" t="s">
        <v>11898</v>
      </c>
      <c r="L130" s="592" t="s">
        <v>13010</v>
      </c>
      <c r="M130" s="832">
        <v>41835.0</v>
      </c>
      <c r="N130" s="592" t="s">
        <v>6067</v>
      </c>
      <c r="O130" s="832">
        <v>41836.0</v>
      </c>
      <c r="P130" s="388" t="s">
        <v>10926</v>
      </c>
      <c r="Q130" s="1137" t="s">
        <v>13011</v>
      </c>
      <c r="R130" s="466">
        <v>100.8</v>
      </c>
      <c r="S130" s="325">
        <v>3024.0</v>
      </c>
      <c r="T130" s="388" t="s">
        <v>12435</v>
      </c>
      <c r="U130" s="1143">
        <v>41835.0</v>
      </c>
      <c r="V130" s="1133">
        <v>41835.0</v>
      </c>
      <c r="W130" s="1149">
        <v>3024.0</v>
      </c>
      <c r="X130" s="388" t="s">
        <v>13012</v>
      </c>
      <c r="Y130" s="388" t="s">
        <v>13013</v>
      </c>
      <c r="Z130" s="91"/>
    </row>
    <row r="131" ht="15.75" customHeight="1">
      <c r="A131" s="1293">
        <v>41835.0</v>
      </c>
      <c r="B131" s="599" t="s">
        <v>11038</v>
      </c>
      <c r="C131" s="388"/>
      <c r="D131" s="388" t="s">
        <v>13014</v>
      </c>
      <c r="E131" s="340" t="s">
        <v>13015</v>
      </c>
      <c r="F131" s="1137">
        <v>1.0</v>
      </c>
      <c r="G131" s="325">
        <v>720.0</v>
      </c>
      <c r="H131" s="1310">
        <f t="shared" si="14"/>
        <v>720</v>
      </c>
      <c r="I131" s="793"/>
      <c r="J131" s="793"/>
      <c r="K131" s="256" t="s">
        <v>3874</v>
      </c>
      <c r="L131" s="592" t="s">
        <v>12913</v>
      </c>
      <c r="M131" s="832">
        <v>41870.0</v>
      </c>
      <c r="N131" s="592" t="s">
        <v>6067</v>
      </c>
      <c r="O131" s="832">
        <v>41869.0</v>
      </c>
      <c r="P131" s="388" t="s">
        <v>90</v>
      </c>
      <c r="Q131" s="773">
        <v>2.0140700128485E13</v>
      </c>
      <c r="R131" s="466">
        <v>682.5</v>
      </c>
      <c r="S131" s="793"/>
      <c r="T131" s="388" t="s">
        <v>6081</v>
      </c>
      <c r="U131" s="1143">
        <v>41912.0</v>
      </c>
      <c r="V131" s="1133">
        <v>41869.0</v>
      </c>
      <c r="W131" s="1149">
        <v>20427.0</v>
      </c>
      <c r="X131" s="320" t="s">
        <v>13016</v>
      </c>
      <c r="Y131" s="388"/>
      <c r="Z131" s="91"/>
    </row>
    <row r="132" ht="15.75" customHeight="1">
      <c r="A132" s="1293">
        <v>41835.0</v>
      </c>
      <c r="B132" s="599" t="s">
        <v>3871</v>
      </c>
      <c r="C132" s="1004" t="s">
        <v>13017</v>
      </c>
      <c r="D132" s="388" t="s">
        <v>13018</v>
      </c>
      <c r="E132" s="340" t="s">
        <v>12062</v>
      </c>
      <c r="F132" s="1137">
        <v>8.0</v>
      </c>
      <c r="G132" s="325">
        <v>97.0</v>
      </c>
      <c r="H132" s="1310">
        <f t="shared" si="14"/>
        <v>776</v>
      </c>
      <c r="I132" s="793"/>
      <c r="J132" s="793"/>
      <c r="K132" s="256" t="s">
        <v>3874</v>
      </c>
      <c r="L132" s="1301" t="s">
        <v>12063</v>
      </c>
      <c r="M132" s="832">
        <v>41844.0</v>
      </c>
      <c r="N132" s="1301" t="s">
        <v>6067</v>
      </c>
      <c r="O132" s="1307">
        <v>41841.0</v>
      </c>
      <c r="P132" s="1300" t="s">
        <v>90</v>
      </c>
      <c r="Q132" s="1298">
        <v>2.0140700128544E13</v>
      </c>
      <c r="R132" s="1294">
        <v>934.5</v>
      </c>
      <c r="S132" s="793"/>
      <c r="T132" s="1300" t="s">
        <v>6081</v>
      </c>
      <c r="U132" s="1143">
        <v>41858.0</v>
      </c>
      <c r="V132" s="1295">
        <v>41841.0</v>
      </c>
      <c r="W132" s="1296">
        <v>27974.0</v>
      </c>
      <c r="X132" s="1297" t="s">
        <v>13019</v>
      </c>
      <c r="Y132" s="388"/>
      <c r="Z132" s="91"/>
    </row>
    <row r="133" ht="15.75" customHeight="1">
      <c r="A133" s="1293">
        <v>41835.0</v>
      </c>
      <c r="B133" s="599" t="s">
        <v>3871</v>
      </c>
      <c r="C133" s="1004" t="s">
        <v>13017</v>
      </c>
      <c r="D133" s="388" t="s">
        <v>13018</v>
      </c>
      <c r="E133" s="340" t="s">
        <v>11062</v>
      </c>
      <c r="F133" s="1137">
        <v>2.0</v>
      </c>
      <c r="G133" s="325">
        <v>137.0</v>
      </c>
      <c r="H133" s="1310">
        <f t="shared" si="14"/>
        <v>274</v>
      </c>
      <c r="I133" s="793"/>
      <c r="J133" s="793"/>
      <c r="K133" s="256" t="s">
        <v>3874</v>
      </c>
      <c r="L133" s="592"/>
      <c r="M133" s="832">
        <v>41844.0</v>
      </c>
      <c r="N133" s="592"/>
      <c r="O133" s="832"/>
      <c r="P133" s="388"/>
      <c r="Q133" s="773"/>
      <c r="R133" s="466"/>
      <c r="S133" s="793"/>
      <c r="T133" s="388"/>
      <c r="U133" s="1143">
        <v>41858.0</v>
      </c>
      <c r="V133" s="1133"/>
      <c r="W133" s="1149"/>
      <c r="X133" s="320"/>
      <c r="Y133" s="388"/>
      <c r="Z133" s="91"/>
    </row>
    <row r="134" ht="15.75" customHeight="1">
      <c r="A134" s="1293">
        <v>41836.0</v>
      </c>
      <c r="B134" s="599" t="s">
        <v>12661</v>
      </c>
      <c r="C134" s="1004" t="s">
        <v>13020</v>
      </c>
      <c r="D134" s="388" t="s">
        <v>13021</v>
      </c>
      <c r="E134" s="340" t="s">
        <v>13022</v>
      </c>
      <c r="F134" s="1137">
        <v>2.0</v>
      </c>
      <c r="G134" s="325">
        <f>189*1.05</f>
        <v>198.45</v>
      </c>
      <c r="H134" s="466">
        <f t="shared" si="14"/>
        <v>396.9</v>
      </c>
      <c r="I134" s="793"/>
      <c r="J134" s="793"/>
      <c r="K134" s="256" t="s">
        <v>11999</v>
      </c>
      <c r="L134" s="592" t="s">
        <v>12665</v>
      </c>
      <c r="M134" s="832">
        <v>41844.0</v>
      </c>
      <c r="N134" s="592" t="s">
        <v>90</v>
      </c>
      <c r="O134" s="388"/>
      <c r="P134" s="388" t="s">
        <v>90</v>
      </c>
      <c r="Q134" s="773">
        <v>2.0140700128623E13</v>
      </c>
      <c r="R134" s="466">
        <v>357.0</v>
      </c>
      <c r="S134" s="793"/>
      <c r="T134" s="388" t="s">
        <v>6081</v>
      </c>
      <c r="U134" s="1137">
        <v>2.0140909E7</v>
      </c>
      <c r="V134" s="1133">
        <v>41844.0</v>
      </c>
      <c r="W134" s="1149">
        <v>10687.0</v>
      </c>
      <c r="X134" s="388" t="s">
        <v>13023</v>
      </c>
      <c r="Y134" s="388" t="s">
        <v>13024</v>
      </c>
      <c r="Z134" s="91"/>
    </row>
    <row r="135" ht="15.75" customHeight="1">
      <c r="A135" s="1293">
        <v>41837.0</v>
      </c>
      <c r="B135" s="599" t="s">
        <v>631</v>
      </c>
      <c r="C135" s="1004" t="s">
        <v>13025</v>
      </c>
      <c r="D135" s="388" t="s">
        <v>13026</v>
      </c>
      <c r="E135" s="340" t="s">
        <v>12873</v>
      </c>
      <c r="F135" s="1137">
        <v>20.0</v>
      </c>
      <c r="G135" s="325">
        <f>125*1.05</f>
        <v>131.25</v>
      </c>
      <c r="H135" s="466">
        <f t="shared" si="14"/>
        <v>2625</v>
      </c>
      <c r="I135" s="793"/>
      <c r="J135" s="466">
        <f>H135*29.4</f>
        <v>77175</v>
      </c>
      <c r="K135" s="256" t="s">
        <v>11999</v>
      </c>
      <c r="L135" s="592" t="s">
        <v>12665</v>
      </c>
      <c r="M135" s="832">
        <v>41865.0</v>
      </c>
      <c r="N135" s="592" t="s">
        <v>90</v>
      </c>
      <c r="O135" s="388"/>
      <c r="P135" s="388" t="s">
        <v>90</v>
      </c>
      <c r="Q135" s="773" t="s">
        <v>13027</v>
      </c>
      <c r="R135" s="466">
        <v>2394.0</v>
      </c>
      <c r="S135" s="793"/>
      <c r="T135" s="388" t="s">
        <v>6081</v>
      </c>
      <c r="U135" s="1143">
        <v>41870.0</v>
      </c>
      <c r="V135" s="773" t="s">
        <v>13028</v>
      </c>
      <c r="W135" s="773" t="s">
        <v>13029</v>
      </c>
      <c r="X135" s="388" t="s">
        <v>13030</v>
      </c>
      <c r="Y135" s="388" t="s">
        <v>13031</v>
      </c>
      <c r="Z135" s="91"/>
    </row>
    <row r="136" ht="15.75" customHeight="1">
      <c r="A136" s="1293">
        <v>41837.0</v>
      </c>
      <c r="B136" s="599" t="s">
        <v>631</v>
      </c>
      <c r="C136" s="1004" t="s">
        <v>13025</v>
      </c>
      <c r="D136" s="388" t="s">
        <v>13026</v>
      </c>
      <c r="E136" s="340" t="s">
        <v>7071</v>
      </c>
      <c r="F136" s="1137">
        <v>3.0</v>
      </c>
      <c r="G136" s="325">
        <f>172*1.05</f>
        <v>180.6</v>
      </c>
      <c r="H136" s="466">
        <f t="shared" si="14"/>
        <v>541.8</v>
      </c>
      <c r="I136" s="793"/>
      <c r="J136" s="466">
        <v>16240.0</v>
      </c>
      <c r="K136" s="256" t="s">
        <v>11999</v>
      </c>
      <c r="L136" s="592" t="s">
        <v>12665</v>
      </c>
      <c r="M136" s="832">
        <v>41848.0</v>
      </c>
      <c r="N136" s="592" t="s">
        <v>90</v>
      </c>
      <c r="O136" s="388"/>
      <c r="P136" s="388" t="s">
        <v>90</v>
      </c>
      <c r="Q136" s="773">
        <v>2.0140700128679E13</v>
      </c>
      <c r="R136" s="466">
        <v>500.85</v>
      </c>
      <c r="S136" s="793"/>
      <c r="T136" s="388" t="s">
        <v>6081</v>
      </c>
      <c r="U136" s="1143">
        <v>41858.0</v>
      </c>
      <c r="V136" s="1133">
        <v>41848.0</v>
      </c>
      <c r="W136" s="1149">
        <v>14993.0</v>
      </c>
      <c r="X136" s="320" t="s">
        <v>13032</v>
      </c>
      <c r="Y136" s="388" t="s">
        <v>13033</v>
      </c>
      <c r="Z136" s="91"/>
    </row>
    <row r="137" ht="15.75" customHeight="1">
      <c r="A137" s="1293">
        <v>41838.0</v>
      </c>
      <c r="B137" s="599" t="s">
        <v>10926</v>
      </c>
      <c r="C137" s="1004" t="s">
        <v>13034</v>
      </c>
      <c r="D137" s="388" t="s">
        <v>13035</v>
      </c>
      <c r="E137" s="844" t="s">
        <v>13036</v>
      </c>
      <c r="F137" s="1137">
        <v>3.0</v>
      </c>
      <c r="G137" s="325">
        <v>124.25</v>
      </c>
      <c r="H137" s="466">
        <f t="shared" si="14"/>
        <v>372.75</v>
      </c>
      <c r="I137" s="793"/>
      <c r="J137" s="1313">
        <v>11182.5</v>
      </c>
      <c r="K137" s="256" t="s">
        <v>11086</v>
      </c>
      <c r="L137" s="592" t="s">
        <v>11675</v>
      </c>
      <c r="M137" s="832">
        <v>41844.0</v>
      </c>
      <c r="N137" s="592" t="s">
        <v>12928</v>
      </c>
      <c r="O137" s="832">
        <v>41842.0</v>
      </c>
      <c r="P137" s="388" t="s">
        <v>12673</v>
      </c>
      <c r="Q137" s="1137" t="s">
        <v>13037</v>
      </c>
      <c r="R137" s="793"/>
      <c r="S137" s="466">
        <v>11065.95</v>
      </c>
      <c r="T137" s="388" t="s">
        <v>8689</v>
      </c>
      <c r="U137" s="1143">
        <v>41862.0</v>
      </c>
      <c r="V137" s="1302">
        <v>41842.0</v>
      </c>
      <c r="W137" s="1303">
        <v>22928.0</v>
      </c>
      <c r="X137" s="1300" t="s">
        <v>13038</v>
      </c>
      <c r="Y137" s="1300" t="s">
        <v>12927</v>
      </c>
      <c r="Z137" s="91"/>
    </row>
    <row r="138" ht="15.75" customHeight="1">
      <c r="A138" s="1293">
        <v>41838.0</v>
      </c>
      <c r="B138" s="599" t="s">
        <v>10926</v>
      </c>
      <c r="C138" s="1004" t="s">
        <v>13034</v>
      </c>
      <c r="D138" s="388" t="s">
        <v>13035</v>
      </c>
      <c r="E138" s="844" t="s">
        <v>13039</v>
      </c>
      <c r="F138" s="1137">
        <v>2.0</v>
      </c>
      <c r="G138" s="325">
        <v>93.695</v>
      </c>
      <c r="H138" s="466">
        <f t="shared" si="14"/>
        <v>187.39</v>
      </c>
      <c r="I138" s="793"/>
      <c r="J138" s="1313">
        <v>5621.7</v>
      </c>
      <c r="K138" s="256" t="s">
        <v>11086</v>
      </c>
      <c r="L138" s="592" t="s">
        <v>11675</v>
      </c>
      <c r="M138" s="832">
        <v>41844.0</v>
      </c>
      <c r="N138" s="592" t="s">
        <v>12928</v>
      </c>
      <c r="O138" s="832">
        <v>41842.0</v>
      </c>
      <c r="P138" s="388" t="s">
        <v>12673</v>
      </c>
      <c r="Q138" s="1137" t="s">
        <v>13037</v>
      </c>
      <c r="R138" s="793"/>
      <c r="S138" s="466">
        <v>5367.6</v>
      </c>
      <c r="T138" s="388" t="s">
        <v>8689</v>
      </c>
      <c r="U138" s="1143">
        <v>41862.0</v>
      </c>
      <c r="V138" s="1302"/>
      <c r="W138" s="1303"/>
      <c r="X138" s="1300"/>
      <c r="Y138" s="1300"/>
      <c r="Z138" s="91"/>
    </row>
    <row r="139" ht="15.75" customHeight="1">
      <c r="A139" s="1293">
        <v>41838.0</v>
      </c>
      <c r="B139" s="599" t="s">
        <v>10926</v>
      </c>
      <c r="C139" s="1004" t="s">
        <v>13040</v>
      </c>
      <c r="D139" s="388" t="s">
        <v>13041</v>
      </c>
      <c r="E139" s="844" t="s">
        <v>13042</v>
      </c>
      <c r="F139" s="1137">
        <v>5.0</v>
      </c>
      <c r="G139" s="325">
        <v>45.08</v>
      </c>
      <c r="H139" s="466">
        <f t="shared" si="14"/>
        <v>225.4</v>
      </c>
      <c r="I139" s="793"/>
      <c r="J139" s="1313">
        <v>6762.0</v>
      </c>
      <c r="K139" s="256" t="s">
        <v>11086</v>
      </c>
      <c r="L139" s="592" t="s">
        <v>11675</v>
      </c>
      <c r="M139" s="832">
        <v>41844.0</v>
      </c>
      <c r="N139" s="592" t="s">
        <v>12928</v>
      </c>
      <c r="O139" s="832">
        <v>41842.0</v>
      </c>
      <c r="P139" s="388" t="s">
        <v>12673</v>
      </c>
      <c r="Q139" s="1137" t="s">
        <v>13043</v>
      </c>
      <c r="R139" s="793"/>
      <c r="S139" s="466">
        <v>6494.0</v>
      </c>
      <c r="T139" s="388" t="s">
        <v>8689</v>
      </c>
      <c r="U139" s="1143">
        <v>41862.0</v>
      </c>
      <c r="V139" s="1143"/>
      <c r="W139" s="1159"/>
      <c r="X139" s="388"/>
      <c r="Y139" s="388"/>
      <c r="Z139" s="91"/>
    </row>
    <row r="140" ht="15.75" customHeight="1">
      <c r="A140" s="1293">
        <v>41841.0</v>
      </c>
      <c r="B140" s="599" t="s">
        <v>13044</v>
      </c>
      <c r="C140" s="1004" t="s">
        <v>13045</v>
      </c>
      <c r="D140" s="388" t="s">
        <v>13046</v>
      </c>
      <c r="E140" s="340" t="s">
        <v>13047</v>
      </c>
      <c r="F140" s="1137">
        <v>100.0</v>
      </c>
      <c r="G140" s="325">
        <v>36.0</v>
      </c>
      <c r="H140" s="1310">
        <f t="shared" si="14"/>
        <v>3600</v>
      </c>
      <c r="I140" s="793"/>
      <c r="J140" s="793"/>
      <c r="K140" s="256" t="s">
        <v>12093</v>
      </c>
      <c r="L140" s="592" t="s">
        <v>263</v>
      </c>
      <c r="M140" s="832">
        <v>41848.0</v>
      </c>
      <c r="N140" s="592" t="s">
        <v>6067</v>
      </c>
      <c r="O140" s="832">
        <v>41845.0</v>
      </c>
      <c r="P140" s="388" t="s">
        <v>10977</v>
      </c>
      <c r="Q140" s="1137" t="s">
        <v>13048</v>
      </c>
      <c r="R140" s="793"/>
      <c r="S140" s="466">
        <v>94437.0</v>
      </c>
      <c r="T140" s="388" t="s">
        <v>13049</v>
      </c>
      <c r="U140" s="1143">
        <v>41862.0</v>
      </c>
      <c r="V140" s="1143">
        <v>41844.0</v>
      </c>
      <c r="W140" s="1159">
        <v>94437.0</v>
      </c>
      <c r="X140" s="320" t="s">
        <v>13050</v>
      </c>
      <c r="Y140" s="388"/>
      <c r="Z140" s="91"/>
    </row>
    <row r="141" ht="15.75" customHeight="1">
      <c r="A141" s="1293">
        <v>41842.0</v>
      </c>
      <c r="B141" s="599" t="s">
        <v>10926</v>
      </c>
      <c r="C141" s="1004" t="s">
        <v>13051</v>
      </c>
      <c r="D141" s="388" t="s">
        <v>13052</v>
      </c>
      <c r="E141" s="340" t="s">
        <v>13053</v>
      </c>
      <c r="F141" s="1137">
        <v>1.0</v>
      </c>
      <c r="G141" s="325">
        <v>110.985</v>
      </c>
      <c r="H141" s="466">
        <f t="shared" si="14"/>
        <v>110.985</v>
      </c>
      <c r="I141" s="793"/>
      <c r="J141" s="466">
        <v>3329.55</v>
      </c>
      <c r="K141" s="256" t="s">
        <v>11086</v>
      </c>
      <c r="L141" s="592" t="s">
        <v>11675</v>
      </c>
      <c r="M141" s="832">
        <v>41848.0</v>
      </c>
      <c r="N141" s="592" t="s">
        <v>13054</v>
      </c>
      <c r="O141" s="832">
        <v>41845.0</v>
      </c>
      <c r="P141" s="388" t="s">
        <v>12673</v>
      </c>
      <c r="Q141" s="1137" t="s">
        <v>13055</v>
      </c>
      <c r="R141" s="793"/>
      <c r="S141" s="466">
        <v>3192.0</v>
      </c>
      <c r="T141" s="388" t="s">
        <v>8689</v>
      </c>
      <c r="U141" s="1143">
        <v>41862.0</v>
      </c>
      <c r="V141" s="1143">
        <v>41848.0</v>
      </c>
      <c r="W141" s="1159">
        <v>3192.0</v>
      </c>
      <c r="X141" s="388" t="s">
        <v>13056</v>
      </c>
      <c r="Y141" s="388" t="s">
        <v>13057</v>
      </c>
      <c r="Z141" s="91"/>
    </row>
    <row r="142" ht="15.75" customHeight="1">
      <c r="A142" s="1293">
        <v>41844.0</v>
      </c>
      <c r="B142" s="599" t="s">
        <v>10926</v>
      </c>
      <c r="C142" s="1004" t="s">
        <v>13058</v>
      </c>
      <c r="D142" s="388" t="s">
        <v>13059</v>
      </c>
      <c r="E142" s="340" t="s">
        <v>13060</v>
      </c>
      <c r="F142" s="1137">
        <v>10.0</v>
      </c>
      <c r="G142" s="325">
        <v>181.65</v>
      </c>
      <c r="H142" s="466">
        <f t="shared" si="14"/>
        <v>1816.5</v>
      </c>
      <c r="I142" s="793"/>
      <c r="J142" s="466">
        <v>54495.0</v>
      </c>
      <c r="K142" s="256" t="s">
        <v>11086</v>
      </c>
      <c r="L142" s="592" t="s">
        <v>11675</v>
      </c>
      <c r="M142" s="832">
        <v>41864.0</v>
      </c>
      <c r="N142" s="592" t="s">
        <v>12928</v>
      </c>
      <c r="O142" s="832">
        <v>41858.0</v>
      </c>
      <c r="P142" s="388" t="s">
        <v>12673</v>
      </c>
      <c r="Q142" s="1137" t="s">
        <v>13061</v>
      </c>
      <c r="R142" s="793"/>
      <c r="S142" s="466">
        <v>52164.0</v>
      </c>
      <c r="T142" s="388" t="s">
        <v>8689</v>
      </c>
      <c r="U142" s="1143">
        <v>41879.0</v>
      </c>
      <c r="V142" s="1143">
        <v>41858.0</v>
      </c>
      <c r="W142" s="1159">
        <v>52164.0</v>
      </c>
      <c r="X142" s="388" t="s">
        <v>13062</v>
      </c>
      <c r="Y142" s="388" t="s">
        <v>13063</v>
      </c>
      <c r="Z142" s="91"/>
    </row>
    <row r="143" ht="15.75" customHeight="1">
      <c r="A143" s="1293">
        <v>41844.0</v>
      </c>
      <c r="B143" s="599" t="s">
        <v>10926</v>
      </c>
      <c r="C143" s="1004" t="s">
        <v>13064</v>
      </c>
      <c r="D143" s="388" t="s">
        <v>13065</v>
      </c>
      <c r="E143" s="340" t="s">
        <v>13066</v>
      </c>
      <c r="F143" s="1137">
        <v>19.0</v>
      </c>
      <c r="G143" s="325">
        <v>118.3</v>
      </c>
      <c r="H143" s="466">
        <f t="shared" si="14"/>
        <v>2247.7</v>
      </c>
      <c r="I143" s="793"/>
      <c r="J143" s="466">
        <v>67431.0</v>
      </c>
      <c r="K143" s="256" t="s">
        <v>11086</v>
      </c>
      <c r="L143" s="592" t="s">
        <v>11675</v>
      </c>
      <c r="M143" s="832">
        <v>41852.0</v>
      </c>
      <c r="N143" s="592" t="s">
        <v>6067</v>
      </c>
      <c r="O143" s="1148">
        <v>41850.0</v>
      </c>
      <c r="P143" s="388" t="s">
        <v>12673</v>
      </c>
      <c r="Q143" s="1137" t="s">
        <v>13067</v>
      </c>
      <c r="R143" s="793"/>
      <c r="S143" s="466">
        <v>64638.0</v>
      </c>
      <c r="T143" s="388" t="s">
        <v>8689</v>
      </c>
      <c r="U143" s="1143">
        <v>41879.0</v>
      </c>
      <c r="V143" s="1143">
        <v>41849.0</v>
      </c>
      <c r="W143" s="1159">
        <v>64638.0</v>
      </c>
      <c r="X143" s="388" t="s">
        <v>12980</v>
      </c>
      <c r="Y143" s="388" t="s">
        <v>12981</v>
      </c>
      <c r="Z143" s="91"/>
    </row>
    <row r="144" ht="15.75" customHeight="1">
      <c r="A144" s="1293">
        <v>41848.0</v>
      </c>
      <c r="B144" s="599" t="s">
        <v>10926</v>
      </c>
      <c r="C144" s="1004" t="s">
        <v>13068</v>
      </c>
      <c r="D144" s="388" t="s">
        <v>13069</v>
      </c>
      <c r="E144" s="340" t="s">
        <v>13036</v>
      </c>
      <c r="F144" s="1137">
        <v>5.0</v>
      </c>
      <c r="G144" s="325">
        <v>124.25</v>
      </c>
      <c r="H144" s="466">
        <f t="shared" si="14"/>
        <v>621.25</v>
      </c>
      <c r="I144" s="793"/>
      <c r="J144" s="466">
        <v>18637.5</v>
      </c>
      <c r="K144" s="256" t="s">
        <v>11086</v>
      </c>
      <c r="L144" s="592" t="s">
        <v>11675</v>
      </c>
      <c r="M144" s="832">
        <v>41852.0</v>
      </c>
      <c r="N144" s="592" t="s">
        <v>6067</v>
      </c>
      <c r="O144" s="1148">
        <v>41850.0</v>
      </c>
      <c r="P144" s="388" t="s">
        <v>12673</v>
      </c>
      <c r="Q144" s="1137" t="s">
        <v>13070</v>
      </c>
      <c r="R144" s="793"/>
      <c r="S144" s="466">
        <v>18443.25</v>
      </c>
      <c r="T144" s="388" t="s">
        <v>8689</v>
      </c>
      <c r="U144" s="1143">
        <v>41879.0</v>
      </c>
      <c r="V144" s="1302">
        <v>41849.0</v>
      </c>
      <c r="W144" s="1303">
        <v>75968.0</v>
      </c>
      <c r="X144" s="1300" t="s">
        <v>12980</v>
      </c>
      <c r="Y144" s="1300" t="s">
        <v>12981</v>
      </c>
      <c r="Z144" s="91"/>
    </row>
    <row r="145" ht="15.75" customHeight="1">
      <c r="A145" s="1293">
        <v>41848.0</v>
      </c>
      <c r="B145" s="599" t="s">
        <v>10926</v>
      </c>
      <c r="C145" s="1004" t="s">
        <v>13068</v>
      </c>
      <c r="D145" s="388" t="s">
        <v>13069</v>
      </c>
      <c r="E145" s="340" t="s">
        <v>13071</v>
      </c>
      <c r="F145" s="1137">
        <v>5.0</v>
      </c>
      <c r="G145" s="325">
        <v>45.08</v>
      </c>
      <c r="H145" s="466">
        <f t="shared" si="14"/>
        <v>225.4</v>
      </c>
      <c r="I145" s="793"/>
      <c r="J145" s="466">
        <v>6762.0</v>
      </c>
      <c r="K145" s="256" t="s">
        <v>11086</v>
      </c>
      <c r="L145" s="592" t="s">
        <v>11675</v>
      </c>
      <c r="M145" s="832">
        <v>41852.0</v>
      </c>
      <c r="N145" s="592" t="s">
        <v>6067</v>
      </c>
      <c r="O145" s="1148">
        <v>41850.0</v>
      </c>
      <c r="P145" s="388" t="s">
        <v>12673</v>
      </c>
      <c r="Q145" s="1137" t="s">
        <v>13070</v>
      </c>
      <c r="R145" s="793"/>
      <c r="S145" s="466">
        <v>6489.0</v>
      </c>
      <c r="T145" s="388" t="s">
        <v>8689</v>
      </c>
      <c r="U145" s="1143">
        <v>41879.0</v>
      </c>
      <c r="V145" s="1302"/>
      <c r="W145" s="1303"/>
      <c r="X145" s="1300"/>
      <c r="Y145" s="1300"/>
      <c r="Z145" s="91"/>
    </row>
    <row r="146" ht="15.75" customHeight="1">
      <c r="A146" s="1293">
        <v>41848.0</v>
      </c>
      <c r="B146" s="599" t="s">
        <v>10926</v>
      </c>
      <c r="C146" s="1004" t="s">
        <v>13068</v>
      </c>
      <c r="D146" s="388" t="s">
        <v>13069</v>
      </c>
      <c r="E146" s="340" t="s">
        <v>13072</v>
      </c>
      <c r="F146" s="1137">
        <v>15.0</v>
      </c>
      <c r="G146" s="325">
        <v>118.3</v>
      </c>
      <c r="H146" s="466">
        <f t="shared" si="14"/>
        <v>1774.5</v>
      </c>
      <c r="I146" s="793"/>
      <c r="J146" s="466">
        <v>53235.0</v>
      </c>
      <c r="K146" s="256" t="s">
        <v>11086</v>
      </c>
      <c r="L146" s="592" t="s">
        <v>11675</v>
      </c>
      <c r="M146" s="832">
        <v>41852.0</v>
      </c>
      <c r="N146" s="592" t="s">
        <v>6067</v>
      </c>
      <c r="O146" s="1148">
        <v>41850.0</v>
      </c>
      <c r="P146" s="388" t="s">
        <v>12673</v>
      </c>
      <c r="Q146" s="1137" t="s">
        <v>13070</v>
      </c>
      <c r="R146" s="793"/>
      <c r="S146" s="466">
        <v>51030.0</v>
      </c>
      <c r="T146" s="388" t="s">
        <v>8689</v>
      </c>
      <c r="U146" s="1143">
        <v>41879.0</v>
      </c>
      <c r="V146" s="1143"/>
      <c r="W146" s="1159"/>
      <c r="X146" s="388"/>
      <c r="Y146" s="388"/>
      <c r="Z146" s="91"/>
    </row>
    <row r="147" ht="15.75" customHeight="1">
      <c r="A147" s="1293">
        <v>41848.0</v>
      </c>
      <c r="B147" s="599" t="s">
        <v>10993</v>
      </c>
      <c r="C147" s="388"/>
      <c r="D147" s="388" t="s">
        <v>13073</v>
      </c>
      <c r="E147" s="340" t="s">
        <v>13074</v>
      </c>
      <c r="F147" s="1137">
        <v>16.0</v>
      </c>
      <c r="G147" s="1137">
        <v>216.0</v>
      </c>
      <c r="H147" s="1310">
        <f t="shared" si="14"/>
        <v>3456</v>
      </c>
      <c r="I147" s="388"/>
      <c r="J147" s="388"/>
      <c r="K147" s="256" t="s">
        <v>3874</v>
      </c>
      <c r="L147" s="592" t="s">
        <v>13075</v>
      </c>
      <c r="M147" s="832">
        <v>41863.0</v>
      </c>
      <c r="N147" s="592" t="s">
        <v>6067</v>
      </c>
      <c r="O147" s="832">
        <v>41862.0</v>
      </c>
      <c r="P147" s="388" t="s">
        <v>90</v>
      </c>
      <c r="Q147" s="1298">
        <v>2.0140800130387E13</v>
      </c>
      <c r="R147" s="1314">
        <v>3794.7</v>
      </c>
      <c r="S147" s="793"/>
      <c r="T147" s="1300" t="s">
        <v>6081</v>
      </c>
      <c r="U147" s="1143">
        <v>41870.0</v>
      </c>
      <c r="V147" s="1295">
        <v>41862.0</v>
      </c>
      <c r="W147" s="1296">
        <v>113575.0</v>
      </c>
      <c r="X147" s="265" t="s">
        <v>13076</v>
      </c>
      <c r="Y147" s="388"/>
      <c r="Z147" s="91"/>
    </row>
    <row r="148" ht="15.75" customHeight="1">
      <c r="A148" s="1293">
        <v>41848.0</v>
      </c>
      <c r="B148" s="599" t="s">
        <v>10993</v>
      </c>
      <c r="C148" s="388"/>
      <c r="D148" s="388" t="s">
        <v>13073</v>
      </c>
      <c r="E148" s="340" t="s">
        <v>7773</v>
      </c>
      <c r="F148" s="1137">
        <v>26.0</v>
      </c>
      <c r="G148" s="1137">
        <v>22.0</v>
      </c>
      <c r="H148" s="1310">
        <f t="shared" si="14"/>
        <v>572</v>
      </c>
      <c r="I148" s="388"/>
      <c r="J148" s="388"/>
      <c r="K148" s="256" t="s">
        <v>3874</v>
      </c>
      <c r="L148" s="592" t="s">
        <v>13077</v>
      </c>
      <c r="M148" s="832">
        <v>41863.0</v>
      </c>
      <c r="N148" s="592" t="s">
        <v>6067</v>
      </c>
      <c r="O148" s="832">
        <v>41862.0</v>
      </c>
      <c r="P148" s="388" t="s">
        <v>90</v>
      </c>
      <c r="Q148" s="773"/>
      <c r="R148" s="1263"/>
      <c r="S148" s="793"/>
      <c r="T148" s="388"/>
      <c r="U148" s="1143">
        <v>41870.0</v>
      </c>
      <c r="V148" s="1133"/>
      <c r="W148" s="1149"/>
      <c r="X148" s="265" t="s">
        <v>13078</v>
      </c>
      <c r="Y148" s="388"/>
      <c r="Z148" s="91"/>
    </row>
    <row r="149" ht="15.75" customHeight="1">
      <c r="A149" s="1293">
        <v>41849.0</v>
      </c>
      <c r="B149" s="599" t="s">
        <v>10926</v>
      </c>
      <c r="C149" s="1004" t="s">
        <v>13079</v>
      </c>
      <c r="D149" s="388" t="s">
        <v>13080</v>
      </c>
      <c r="E149" s="340" t="s">
        <v>11263</v>
      </c>
      <c r="F149" s="1137">
        <v>6.0</v>
      </c>
      <c r="G149" s="325">
        <v>100.625</v>
      </c>
      <c r="H149" s="466">
        <f t="shared" si="14"/>
        <v>603.75</v>
      </c>
      <c r="I149" s="793"/>
      <c r="J149" s="466">
        <v>18113.0</v>
      </c>
      <c r="K149" s="256" t="s">
        <v>11086</v>
      </c>
      <c r="L149" s="592" t="s">
        <v>11675</v>
      </c>
      <c r="M149" s="832">
        <v>41872.0</v>
      </c>
      <c r="N149" s="592" t="s">
        <v>13081</v>
      </c>
      <c r="O149" s="832">
        <v>41870.0</v>
      </c>
      <c r="P149" s="388" t="s">
        <v>11033</v>
      </c>
      <c r="Q149" s="1137" t="s">
        <v>13082</v>
      </c>
      <c r="R149" s="793"/>
      <c r="S149" s="466">
        <v>17362.8</v>
      </c>
      <c r="T149" s="388" t="s">
        <v>8689</v>
      </c>
      <c r="U149" s="1143">
        <v>41879.0</v>
      </c>
      <c r="V149" s="1143">
        <v>41869.0</v>
      </c>
      <c r="W149" s="1159">
        <v>17363.0</v>
      </c>
      <c r="X149" s="388" t="s">
        <v>13083</v>
      </c>
      <c r="Y149" s="388" t="s">
        <v>13084</v>
      </c>
      <c r="Z149" s="91"/>
    </row>
    <row r="150" ht="15.75" customHeight="1">
      <c r="A150" s="1293">
        <v>41849.0</v>
      </c>
      <c r="B150" s="599" t="s">
        <v>8749</v>
      </c>
      <c r="C150" s="1004" t="s">
        <v>13085</v>
      </c>
      <c r="D150" s="388" t="s">
        <v>13086</v>
      </c>
      <c r="E150" s="340" t="s">
        <v>13087</v>
      </c>
      <c r="F150" s="1137">
        <v>500.0</v>
      </c>
      <c r="G150" s="325">
        <v>0.77</v>
      </c>
      <c r="H150" s="466">
        <f t="shared" si="14"/>
        <v>385</v>
      </c>
      <c r="I150" s="793"/>
      <c r="J150" s="466">
        <v>11550.0</v>
      </c>
      <c r="K150" s="256" t="s">
        <v>11086</v>
      </c>
      <c r="L150" s="592" t="s">
        <v>11675</v>
      </c>
      <c r="M150" s="832">
        <v>41884.0</v>
      </c>
      <c r="N150" s="592" t="s">
        <v>13081</v>
      </c>
      <c r="O150" s="832">
        <v>41883.0</v>
      </c>
      <c r="P150" s="388" t="s">
        <v>13088</v>
      </c>
      <c r="Q150" s="1137" t="s">
        <v>13089</v>
      </c>
      <c r="R150" s="466">
        <v>288.75</v>
      </c>
      <c r="S150" s="466">
        <v>8662.5</v>
      </c>
      <c r="T150" s="388" t="s">
        <v>5998</v>
      </c>
      <c r="U150" s="1143">
        <v>41852.0</v>
      </c>
      <c r="V150" s="1143">
        <v>41880.0</v>
      </c>
      <c r="W150" s="1159">
        <v>8663.0</v>
      </c>
      <c r="X150" s="388" t="s">
        <v>13090</v>
      </c>
      <c r="Y150" s="388" t="s">
        <v>13091</v>
      </c>
      <c r="Z150" s="91"/>
    </row>
    <row r="151" ht="15.75" customHeight="1">
      <c r="A151" s="1293">
        <v>41850.0</v>
      </c>
      <c r="B151" s="599" t="s">
        <v>631</v>
      </c>
      <c r="C151" s="1004" t="s">
        <v>13092</v>
      </c>
      <c r="D151" s="388" t="s">
        <v>13093</v>
      </c>
      <c r="E151" s="340" t="s">
        <v>13094</v>
      </c>
      <c r="F151" s="1137">
        <v>12.0</v>
      </c>
      <c r="G151" s="325">
        <f>97*1.05</f>
        <v>101.85</v>
      </c>
      <c r="H151" s="466">
        <f t="shared" si="14"/>
        <v>1222.2</v>
      </c>
      <c r="I151" s="793"/>
      <c r="J151" s="466">
        <f>H151*29.4</f>
        <v>35932.68</v>
      </c>
      <c r="K151" s="256" t="s">
        <v>11999</v>
      </c>
      <c r="L151" s="592" t="s">
        <v>12665</v>
      </c>
      <c r="M151" s="832">
        <v>41865.0</v>
      </c>
      <c r="N151" s="592" t="s">
        <v>90</v>
      </c>
      <c r="O151" s="388"/>
      <c r="P151" s="388" t="s">
        <v>90</v>
      </c>
      <c r="Q151" s="773">
        <v>2.0140700130117E13</v>
      </c>
      <c r="R151" s="466">
        <v>1134.0</v>
      </c>
      <c r="S151" s="793"/>
      <c r="T151" s="388" t="s">
        <v>6081</v>
      </c>
      <c r="U151" s="1143">
        <v>41870.0</v>
      </c>
      <c r="V151" s="1133">
        <v>41865.0</v>
      </c>
      <c r="W151" s="1149">
        <v>33941.0</v>
      </c>
      <c r="X151" s="388" t="s">
        <v>13030</v>
      </c>
      <c r="Y151" s="388" t="s">
        <v>13031</v>
      </c>
      <c r="Z151" s="91"/>
    </row>
    <row r="152" ht="15.75" customHeight="1">
      <c r="A152" s="1293">
        <v>41851.0</v>
      </c>
      <c r="B152" s="599" t="s">
        <v>10926</v>
      </c>
      <c r="C152" s="1004" t="s">
        <v>13095</v>
      </c>
      <c r="D152" s="388" t="s">
        <v>13096</v>
      </c>
      <c r="E152" s="340" t="s">
        <v>13036</v>
      </c>
      <c r="F152" s="1137">
        <v>5.0</v>
      </c>
      <c r="G152" s="325">
        <v>124.25</v>
      </c>
      <c r="H152" s="466">
        <f t="shared" si="14"/>
        <v>621.25</v>
      </c>
      <c r="I152" s="793"/>
      <c r="J152" s="466">
        <v>18637.5</v>
      </c>
      <c r="K152" s="256" t="s">
        <v>11086</v>
      </c>
      <c r="L152" s="592" t="s">
        <v>11675</v>
      </c>
      <c r="M152" s="832">
        <v>41859.0</v>
      </c>
      <c r="N152" s="592" t="s">
        <v>13054</v>
      </c>
      <c r="O152" s="832">
        <v>41858.0</v>
      </c>
      <c r="P152" s="388" t="s">
        <v>11033</v>
      </c>
      <c r="Q152" s="1137" t="s">
        <v>13097</v>
      </c>
      <c r="R152" s="793"/>
      <c r="S152" s="466">
        <v>18443.25</v>
      </c>
      <c r="T152" s="388" t="s">
        <v>8689</v>
      </c>
      <c r="U152" s="1143">
        <v>41879.0</v>
      </c>
      <c r="V152" s="1295">
        <v>41857.0</v>
      </c>
      <c r="W152" s="1296">
        <v>24938.0</v>
      </c>
      <c r="X152" s="1300" t="s">
        <v>13098</v>
      </c>
      <c r="Y152" s="1300" t="s">
        <v>13099</v>
      </c>
      <c r="Z152" s="91"/>
    </row>
    <row r="153" ht="15.75" customHeight="1">
      <c r="A153" s="1293">
        <v>41851.0</v>
      </c>
      <c r="B153" s="599" t="s">
        <v>10926</v>
      </c>
      <c r="C153" s="1004" t="s">
        <v>13095</v>
      </c>
      <c r="D153" s="388" t="s">
        <v>13096</v>
      </c>
      <c r="E153" s="340" t="s">
        <v>13071</v>
      </c>
      <c r="F153" s="1137">
        <v>5.0</v>
      </c>
      <c r="G153" s="325">
        <v>45.08</v>
      </c>
      <c r="H153" s="466">
        <f t="shared" si="14"/>
        <v>225.4</v>
      </c>
      <c r="I153" s="793"/>
      <c r="J153" s="466">
        <v>6762.0</v>
      </c>
      <c r="K153" s="256" t="s">
        <v>11086</v>
      </c>
      <c r="L153" s="592" t="s">
        <v>11675</v>
      </c>
      <c r="M153" s="832">
        <v>41859.0</v>
      </c>
      <c r="N153" s="592" t="s">
        <v>13054</v>
      </c>
      <c r="O153" s="832">
        <v>41858.0</v>
      </c>
      <c r="P153" s="388" t="s">
        <v>11033</v>
      </c>
      <c r="Q153" s="1137" t="s">
        <v>13097</v>
      </c>
      <c r="R153" s="793"/>
      <c r="S153" s="466">
        <v>6489.0</v>
      </c>
      <c r="T153" s="388" t="s">
        <v>8689</v>
      </c>
      <c r="U153" s="1143">
        <v>41879.0</v>
      </c>
      <c r="V153" s="1133"/>
      <c r="W153" s="1149"/>
      <c r="X153" s="388"/>
      <c r="Y153" s="388"/>
      <c r="Z153" s="91"/>
    </row>
    <row r="154" ht="15.75" customHeight="1">
      <c r="A154" s="1293">
        <v>41851.0</v>
      </c>
      <c r="B154" s="599" t="s">
        <v>10946</v>
      </c>
      <c r="C154" s="388"/>
      <c r="D154" s="388" t="s">
        <v>13100</v>
      </c>
      <c r="E154" s="340" t="s">
        <v>13101</v>
      </c>
      <c r="F154" s="1137">
        <v>1.0</v>
      </c>
      <c r="G154" s="325">
        <v>147.0</v>
      </c>
      <c r="H154" s="466">
        <f t="shared" si="14"/>
        <v>147</v>
      </c>
      <c r="I154" s="793"/>
      <c r="J154" s="466">
        <v>4410.0</v>
      </c>
      <c r="K154" s="256" t="s">
        <v>11898</v>
      </c>
      <c r="L154" s="592" t="s">
        <v>10950</v>
      </c>
      <c r="M154" s="832">
        <v>41850.0</v>
      </c>
      <c r="N154" s="388"/>
      <c r="O154" s="1148">
        <v>41850.0</v>
      </c>
      <c r="P154" s="388" t="s">
        <v>10950</v>
      </c>
      <c r="Q154" s="388"/>
      <c r="R154" s="466">
        <v>126.0</v>
      </c>
      <c r="S154" s="325">
        <v>3772.0</v>
      </c>
      <c r="T154" s="388" t="s">
        <v>10953</v>
      </c>
      <c r="U154" s="1143">
        <v>41850.0</v>
      </c>
      <c r="V154" s="1133">
        <v>41851.0</v>
      </c>
      <c r="W154" s="1149">
        <v>3772.0</v>
      </c>
      <c r="X154" s="388" t="s">
        <v>13102</v>
      </c>
      <c r="Y154" s="388" t="s">
        <v>13103</v>
      </c>
      <c r="Z154" s="91"/>
    </row>
    <row r="155" ht="15.75" customHeight="1">
      <c r="A155" s="1293">
        <v>41856.0</v>
      </c>
      <c r="B155" s="599" t="s">
        <v>11038</v>
      </c>
      <c r="C155" s="388"/>
      <c r="D155" s="388" t="s">
        <v>13104</v>
      </c>
      <c r="E155" s="340" t="s">
        <v>11203</v>
      </c>
      <c r="F155" s="1137">
        <v>5.0</v>
      </c>
      <c r="G155" s="325">
        <v>52.0</v>
      </c>
      <c r="H155" s="1310">
        <f t="shared" si="14"/>
        <v>260</v>
      </c>
      <c r="I155" s="793"/>
      <c r="J155" s="793"/>
      <c r="K155" s="256" t="s">
        <v>3874</v>
      </c>
      <c r="L155" s="592" t="s">
        <v>13105</v>
      </c>
      <c r="M155" s="832">
        <v>41880.0</v>
      </c>
      <c r="N155" s="1301" t="s">
        <v>90</v>
      </c>
      <c r="O155" s="388"/>
      <c r="P155" s="388" t="s">
        <v>90</v>
      </c>
      <c r="Q155" s="1298">
        <v>2.014080013141E13</v>
      </c>
      <c r="R155" s="466">
        <v>231.0</v>
      </c>
      <c r="S155" s="793"/>
      <c r="T155" s="1300" t="s">
        <v>6081</v>
      </c>
      <c r="U155" s="1143">
        <v>41876.0</v>
      </c>
      <c r="V155" s="1295">
        <v>41880.0</v>
      </c>
      <c r="W155" s="1296">
        <v>621829.0</v>
      </c>
      <c r="X155" s="1297" t="s">
        <v>13106</v>
      </c>
      <c r="Y155" s="388"/>
      <c r="Z155" s="91"/>
    </row>
    <row r="156" ht="15.75" customHeight="1">
      <c r="A156" s="1293">
        <v>41856.0</v>
      </c>
      <c r="B156" s="599" t="s">
        <v>11038</v>
      </c>
      <c r="C156" s="388"/>
      <c r="D156" s="388" t="s">
        <v>13104</v>
      </c>
      <c r="E156" s="340" t="s">
        <v>13107</v>
      </c>
      <c r="F156" s="1137">
        <v>5.0</v>
      </c>
      <c r="G156" s="325">
        <v>101.0</v>
      </c>
      <c r="H156" s="1310">
        <f t="shared" si="14"/>
        <v>505</v>
      </c>
      <c r="I156" s="793"/>
      <c r="J156" s="793"/>
      <c r="K156" s="256" t="s">
        <v>3874</v>
      </c>
      <c r="L156" s="592" t="s">
        <v>13105</v>
      </c>
      <c r="M156" s="832">
        <v>41880.0</v>
      </c>
      <c r="N156" s="592"/>
      <c r="O156" s="388"/>
      <c r="P156" s="388" t="s">
        <v>90</v>
      </c>
      <c r="Q156" s="773"/>
      <c r="R156" s="466">
        <v>446.25</v>
      </c>
      <c r="S156" s="793"/>
      <c r="T156" s="388"/>
      <c r="U156" s="1143">
        <v>41876.0</v>
      </c>
      <c r="V156" s="1133"/>
      <c r="W156" s="1149"/>
      <c r="X156" s="320"/>
      <c r="Y156" s="388"/>
      <c r="Z156" s="91"/>
    </row>
    <row r="157" ht="15.75" customHeight="1">
      <c r="A157" s="1293">
        <v>41857.0</v>
      </c>
      <c r="B157" s="599" t="s">
        <v>10926</v>
      </c>
      <c r="C157" s="1004" t="s">
        <v>13108</v>
      </c>
      <c r="D157" s="388" t="s">
        <v>13109</v>
      </c>
      <c r="E157" s="340" t="s">
        <v>11263</v>
      </c>
      <c r="F157" s="1137">
        <v>9.0</v>
      </c>
      <c r="G157" s="325">
        <v>100.625</v>
      </c>
      <c r="H157" s="466">
        <f t="shared" si="14"/>
        <v>905.625</v>
      </c>
      <c r="I157" s="793"/>
      <c r="J157" s="466">
        <v>27169.0</v>
      </c>
      <c r="K157" s="256" t="s">
        <v>11086</v>
      </c>
      <c r="L157" s="592" t="s">
        <v>11675</v>
      </c>
      <c r="M157" s="832">
        <v>41872.0</v>
      </c>
      <c r="N157" s="592" t="s">
        <v>13081</v>
      </c>
      <c r="O157" s="832">
        <v>41871.0</v>
      </c>
      <c r="P157" s="388" t="s">
        <v>11033</v>
      </c>
      <c r="Q157" s="1137" t="s">
        <v>13110</v>
      </c>
      <c r="R157" s="793"/>
      <c r="S157" s="466">
        <v>26044.0</v>
      </c>
      <c r="T157" s="388" t="s">
        <v>8689</v>
      </c>
      <c r="U157" s="1143">
        <v>41879.0</v>
      </c>
      <c r="V157" s="1143">
        <v>41869.0</v>
      </c>
      <c r="W157" s="1159">
        <v>26044.0</v>
      </c>
      <c r="X157" s="388" t="s">
        <v>13083</v>
      </c>
      <c r="Y157" s="388" t="s">
        <v>13084</v>
      </c>
      <c r="Z157" s="91"/>
    </row>
    <row r="158" ht="15.75" customHeight="1">
      <c r="A158" s="1293">
        <v>41857.0</v>
      </c>
      <c r="B158" s="599" t="s">
        <v>8749</v>
      </c>
      <c r="C158" s="1004" t="s">
        <v>13111</v>
      </c>
      <c r="D158" s="388" t="s">
        <v>13112</v>
      </c>
      <c r="E158" s="340" t="s">
        <v>13113</v>
      </c>
      <c r="F158" s="1137">
        <v>1.0</v>
      </c>
      <c r="G158" s="325">
        <v>220.5</v>
      </c>
      <c r="H158" s="466">
        <f t="shared" si="14"/>
        <v>220.5</v>
      </c>
      <c r="I158" s="793"/>
      <c r="J158" s="466">
        <v>6615.0</v>
      </c>
      <c r="K158" s="256" t="s">
        <v>11086</v>
      </c>
      <c r="L158" s="592" t="s">
        <v>11675</v>
      </c>
      <c r="M158" s="832">
        <v>41872.0</v>
      </c>
      <c r="N158" s="592" t="s">
        <v>13081</v>
      </c>
      <c r="O158" s="832">
        <v>41872.0</v>
      </c>
      <c r="P158" s="388" t="s">
        <v>13114</v>
      </c>
      <c r="Q158" s="1137" t="s">
        <v>13115</v>
      </c>
      <c r="R158" s="466">
        <v>199.5</v>
      </c>
      <c r="S158" s="466">
        <v>5985.0</v>
      </c>
      <c r="T158" s="388" t="s">
        <v>2036</v>
      </c>
      <c r="U158" s="1143">
        <v>41862.0</v>
      </c>
      <c r="V158" s="1143">
        <v>41870.0</v>
      </c>
      <c r="W158" s="1159">
        <v>5985.0</v>
      </c>
      <c r="X158" s="388" t="s">
        <v>13116</v>
      </c>
      <c r="Y158" s="388" t="s">
        <v>13084</v>
      </c>
      <c r="Z158" s="91"/>
    </row>
    <row r="159" ht="15.75" customHeight="1">
      <c r="A159" s="1311">
        <v>41858.0</v>
      </c>
      <c r="B159" s="599" t="s">
        <v>10926</v>
      </c>
      <c r="C159" s="265" t="s">
        <v>13117</v>
      </c>
      <c r="D159" s="320" t="s">
        <v>13118</v>
      </c>
      <c r="E159" s="340" t="s">
        <v>13060</v>
      </c>
      <c r="F159" s="773">
        <v>10.0</v>
      </c>
      <c r="G159" s="466">
        <v>181.65</v>
      </c>
      <c r="H159" s="466">
        <f t="shared" si="14"/>
        <v>1816.5</v>
      </c>
      <c r="I159" s="793"/>
      <c r="J159" s="466">
        <v>54495.0</v>
      </c>
      <c r="K159" s="256" t="s">
        <v>11086</v>
      </c>
      <c r="L159" s="256" t="s">
        <v>11675</v>
      </c>
      <c r="M159" s="832">
        <v>41891.0</v>
      </c>
      <c r="N159" s="256" t="s">
        <v>10372</v>
      </c>
      <c r="O159" s="832">
        <v>41887.0</v>
      </c>
      <c r="P159" s="320" t="s">
        <v>11033</v>
      </c>
      <c r="Q159" s="773" t="s">
        <v>13119</v>
      </c>
      <c r="R159" s="793"/>
      <c r="S159" s="466">
        <v>52164.0</v>
      </c>
      <c r="T159" s="320" t="s">
        <v>8689</v>
      </c>
      <c r="U159" s="1133">
        <v>41911.0</v>
      </c>
      <c r="V159" s="1133">
        <v>41886.0</v>
      </c>
      <c r="W159" s="1149">
        <v>52164.0</v>
      </c>
      <c r="X159" s="320" t="s">
        <v>13120</v>
      </c>
      <c r="Y159" s="320" t="s">
        <v>13121</v>
      </c>
      <c r="Z159" s="91"/>
    </row>
    <row r="160" ht="15.75" customHeight="1">
      <c r="A160" s="1311">
        <v>41863.0</v>
      </c>
      <c r="B160" s="599" t="s">
        <v>631</v>
      </c>
      <c r="C160" s="265" t="s">
        <v>13122</v>
      </c>
      <c r="D160" s="320" t="s">
        <v>13123</v>
      </c>
      <c r="E160" s="340" t="s">
        <v>13124</v>
      </c>
      <c r="F160" s="773">
        <v>2.0</v>
      </c>
      <c r="G160" s="466">
        <v>177.0</v>
      </c>
      <c r="H160" s="466">
        <v>371.6</v>
      </c>
      <c r="I160" s="793"/>
      <c r="J160" s="466">
        <f t="shared" ref="J160:J161" si="15">H160*29.4</f>
        <v>10925.04</v>
      </c>
      <c r="K160" s="256" t="s">
        <v>11898</v>
      </c>
      <c r="L160" s="256" t="s">
        <v>90</v>
      </c>
      <c r="M160" s="832">
        <v>41872.0</v>
      </c>
      <c r="N160" s="1315" t="s">
        <v>90</v>
      </c>
      <c r="O160" s="388"/>
      <c r="P160" s="1297" t="s">
        <v>90</v>
      </c>
      <c r="Q160" s="1298">
        <v>2.0140800131328E13</v>
      </c>
      <c r="R160" s="1294">
        <v>451.5</v>
      </c>
      <c r="S160" s="793"/>
      <c r="T160" s="1297" t="s">
        <v>6081</v>
      </c>
      <c r="U160" s="1295">
        <v>41912.0</v>
      </c>
      <c r="V160" s="1295">
        <v>41872.0</v>
      </c>
      <c r="W160" s="1296">
        <v>13504.0</v>
      </c>
      <c r="X160" s="1297" t="s">
        <v>13125</v>
      </c>
      <c r="Y160" s="1297" t="s">
        <v>13126</v>
      </c>
      <c r="Z160" s="91"/>
    </row>
    <row r="161" ht="15.75" customHeight="1">
      <c r="A161" s="1311">
        <v>41863.0</v>
      </c>
      <c r="B161" s="599" t="s">
        <v>631</v>
      </c>
      <c r="C161" s="265" t="s">
        <v>13122</v>
      </c>
      <c r="D161" s="320" t="s">
        <v>13123</v>
      </c>
      <c r="E161" s="340" t="s">
        <v>13127</v>
      </c>
      <c r="F161" s="773">
        <v>2.0</v>
      </c>
      <c r="G161" s="466">
        <v>82.0</v>
      </c>
      <c r="H161" s="466">
        <v>172.2</v>
      </c>
      <c r="I161" s="793"/>
      <c r="J161" s="466">
        <f t="shared" si="15"/>
        <v>5062.68</v>
      </c>
      <c r="K161" s="256" t="s">
        <v>11898</v>
      </c>
      <c r="L161" s="256" t="s">
        <v>90</v>
      </c>
      <c r="M161" s="832">
        <v>41872.0</v>
      </c>
      <c r="N161" s="256"/>
      <c r="O161" s="388"/>
      <c r="P161" s="320"/>
      <c r="Q161" s="773"/>
      <c r="R161" s="466"/>
      <c r="S161" s="793"/>
      <c r="T161" s="320"/>
      <c r="U161" s="1133"/>
      <c r="V161" s="1133"/>
      <c r="W161" s="1149"/>
      <c r="X161" s="320"/>
      <c r="Y161" s="320"/>
      <c r="Z161" s="91"/>
    </row>
    <row r="162" ht="15.75" customHeight="1">
      <c r="A162" s="1293">
        <v>41864.0</v>
      </c>
      <c r="B162" s="599" t="s">
        <v>11038</v>
      </c>
      <c r="C162" s="388"/>
      <c r="D162" s="388" t="s">
        <v>13128</v>
      </c>
      <c r="E162" s="844" t="s">
        <v>7256</v>
      </c>
      <c r="F162" s="1137">
        <v>70.0</v>
      </c>
      <c r="G162" s="325">
        <v>90.0</v>
      </c>
      <c r="H162" s="1310">
        <f t="shared" ref="H162:H166" si="16">F162*G162</f>
        <v>6300</v>
      </c>
      <c r="I162" s="793"/>
      <c r="J162" s="793"/>
      <c r="K162" s="256" t="s">
        <v>3874</v>
      </c>
      <c r="L162" s="592" t="s">
        <v>13105</v>
      </c>
      <c r="M162" s="832">
        <v>41880.0</v>
      </c>
      <c r="N162" s="1301" t="s">
        <v>90</v>
      </c>
      <c r="O162" s="1300"/>
      <c r="P162" s="1300" t="s">
        <v>90</v>
      </c>
      <c r="Q162" s="1298">
        <v>2.014080013141E13</v>
      </c>
      <c r="R162" s="466">
        <v>5733.0</v>
      </c>
      <c r="S162" s="793"/>
      <c r="T162" s="1300" t="s">
        <v>13129</v>
      </c>
      <c r="U162" s="1302">
        <v>41876.0</v>
      </c>
      <c r="V162" s="1295">
        <v>41880.0</v>
      </c>
      <c r="W162" s="1296">
        <v>621829.0</v>
      </c>
      <c r="X162" s="1297" t="s">
        <v>13106</v>
      </c>
      <c r="Y162" s="388"/>
      <c r="Z162" s="91"/>
    </row>
    <row r="163" ht="15.75" customHeight="1">
      <c r="A163" s="1293">
        <v>41864.0</v>
      </c>
      <c r="B163" s="599" t="s">
        <v>11038</v>
      </c>
      <c r="C163" s="388"/>
      <c r="D163" s="388" t="s">
        <v>13128</v>
      </c>
      <c r="E163" s="599" t="s">
        <v>13130</v>
      </c>
      <c r="F163" s="1137">
        <v>30.0</v>
      </c>
      <c r="G163" s="325">
        <v>325.0</v>
      </c>
      <c r="H163" s="1310">
        <f t="shared" si="16"/>
        <v>9750</v>
      </c>
      <c r="I163" s="793"/>
      <c r="J163" s="793"/>
      <c r="K163" s="256" t="s">
        <v>3874</v>
      </c>
      <c r="L163" s="592" t="s">
        <v>13105</v>
      </c>
      <c r="M163" s="832">
        <v>41880.0</v>
      </c>
      <c r="N163" s="1301"/>
      <c r="O163" s="1300"/>
      <c r="P163" s="1300"/>
      <c r="Q163" s="1298"/>
      <c r="R163" s="466">
        <v>8505.0</v>
      </c>
      <c r="S163" s="793"/>
      <c r="T163" s="1300"/>
      <c r="U163" s="1302"/>
      <c r="V163" s="1295"/>
      <c r="W163" s="1296"/>
      <c r="X163" s="1297"/>
      <c r="Y163" s="388"/>
      <c r="Z163" s="91"/>
    </row>
    <row r="164" ht="15.75" customHeight="1">
      <c r="A164" s="1293">
        <v>41864.0</v>
      </c>
      <c r="B164" s="599" t="s">
        <v>11038</v>
      </c>
      <c r="C164" s="388"/>
      <c r="D164" s="388" t="s">
        <v>13128</v>
      </c>
      <c r="E164" s="599" t="s">
        <v>13131</v>
      </c>
      <c r="F164" s="1137">
        <v>5.0</v>
      </c>
      <c r="G164" s="325">
        <v>505.0</v>
      </c>
      <c r="H164" s="1310">
        <f t="shared" si="16"/>
        <v>2525</v>
      </c>
      <c r="I164" s="793"/>
      <c r="J164" s="793"/>
      <c r="K164" s="256" t="s">
        <v>3874</v>
      </c>
      <c r="L164" s="592" t="s">
        <v>13105</v>
      </c>
      <c r="M164" s="832">
        <v>41880.0</v>
      </c>
      <c r="N164" s="1301"/>
      <c r="O164" s="1300"/>
      <c r="P164" s="1300"/>
      <c r="Q164" s="1298"/>
      <c r="R164" s="466">
        <v>2357.25</v>
      </c>
      <c r="S164" s="793"/>
      <c r="T164" s="1300"/>
      <c r="U164" s="1302"/>
      <c r="V164" s="1295"/>
      <c r="W164" s="1296"/>
      <c r="X164" s="1297"/>
      <c r="Y164" s="388"/>
      <c r="Z164" s="91"/>
    </row>
    <row r="165" ht="15.75" customHeight="1">
      <c r="A165" s="1293">
        <v>41864.0</v>
      </c>
      <c r="B165" s="599" t="s">
        <v>11038</v>
      </c>
      <c r="C165" s="388"/>
      <c r="D165" s="388" t="s">
        <v>13128</v>
      </c>
      <c r="E165" s="599" t="s">
        <v>13132</v>
      </c>
      <c r="F165" s="1137">
        <v>1.0</v>
      </c>
      <c r="G165" s="325">
        <v>660.0</v>
      </c>
      <c r="H165" s="1310">
        <f t="shared" si="16"/>
        <v>660</v>
      </c>
      <c r="I165" s="793"/>
      <c r="J165" s="793"/>
      <c r="K165" s="256" t="s">
        <v>3874</v>
      </c>
      <c r="L165" s="592" t="s">
        <v>13105</v>
      </c>
      <c r="M165" s="832">
        <v>41880.0</v>
      </c>
      <c r="N165" s="1301"/>
      <c r="O165" s="1300"/>
      <c r="P165" s="1300"/>
      <c r="Q165" s="1298"/>
      <c r="R165" s="466">
        <v>614.25</v>
      </c>
      <c r="S165" s="793"/>
      <c r="T165" s="1300"/>
      <c r="U165" s="1302"/>
      <c r="V165" s="1295"/>
      <c r="W165" s="1296"/>
      <c r="X165" s="1297"/>
      <c r="Y165" s="388"/>
      <c r="Z165" s="91"/>
    </row>
    <row r="166" ht="15.75" customHeight="1">
      <c r="A166" s="1293">
        <v>41864.0</v>
      </c>
      <c r="B166" s="599" t="s">
        <v>11038</v>
      </c>
      <c r="C166" s="388"/>
      <c r="D166" s="388" t="s">
        <v>13128</v>
      </c>
      <c r="E166" s="599" t="s">
        <v>4780</v>
      </c>
      <c r="F166" s="1137">
        <v>35.0</v>
      </c>
      <c r="G166" s="325">
        <v>88.0</v>
      </c>
      <c r="H166" s="1310">
        <f t="shared" si="16"/>
        <v>3080</v>
      </c>
      <c r="I166" s="793"/>
      <c r="J166" s="793"/>
      <c r="K166" s="256" t="s">
        <v>3874</v>
      </c>
      <c r="L166" s="592" t="s">
        <v>13105</v>
      </c>
      <c r="M166" s="832">
        <v>41880.0</v>
      </c>
      <c r="N166" s="592"/>
      <c r="O166" s="388"/>
      <c r="P166" s="388"/>
      <c r="Q166" s="773"/>
      <c r="R166" s="466">
        <v>2903.25</v>
      </c>
      <c r="S166" s="793"/>
      <c r="T166" s="388"/>
      <c r="U166" s="1143"/>
      <c r="V166" s="1133"/>
      <c r="W166" s="1149"/>
      <c r="X166" s="320"/>
      <c r="Y166" s="388"/>
      <c r="Z166" s="91"/>
    </row>
    <row r="167" ht="15.75" customHeight="1">
      <c r="A167" s="1311">
        <v>41864.0</v>
      </c>
      <c r="B167" s="599" t="s">
        <v>54</v>
      </c>
      <c r="C167" s="265" t="s">
        <v>13133</v>
      </c>
      <c r="D167" s="320" t="s">
        <v>13134</v>
      </c>
      <c r="E167" s="340" t="s">
        <v>9054</v>
      </c>
      <c r="F167" s="773">
        <v>20.0</v>
      </c>
      <c r="G167" s="466">
        <v>150.15</v>
      </c>
      <c r="H167" s="1310">
        <f t="shared" ref="H167:H168" si="17">G167*F167</f>
        <v>3003</v>
      </c>
      <c r="I167" s="793"/>
      <c r="J167" s="793"/>
      <c r="K167" s="256" t="s">
        <v>8675</v>
      </c>
      <c r="L167" s="256" t="s">
        <v>90</v>
      </c>
      <c r="M167" s="832">
        <v>41877.0</v>
      </c>
      <c r="N167" s="256" t="s">
        <v>90</v>
      </c>
      <c r="O167" s="388"/>
      <c r="P167" s="320" t="s">
        <v>90</v>
      </c>
      <c r="Q167" s="773">
        <v>2.0140800131151E13</v>
      </c>
      <c r="R167" s="466">
        <v>2688.0</v>
      </c>
      <c r="S167" s="793"/>
      <c r="T167" s="1297" t="s">
        <v>6081</v>
      </c>
      <c r="U167" s="1133">
        <v>41912.0</v>
      </c>
      <c r="V167" s="1133">
        <v>41877.0</v>
      </c>
      <c r="W167" s="1149">
        <v>80398.0</v>
      </c>
      <c r="X167" s="320" t="s">
        <v>13135</v>
      </c>
      <c r="Y167" s="320" t="s">
        <v>13136</v>
      </c>
      <c r="Z167" s="91"/>
    </row>
    <row r="168" ht="15.75" customHeight="1">
      <c r="A168" s="1311">
        <v>41864.0</v>
      </c>
      <c r="B168" s="599" t="s">
        <v>54</v>
      </c>
      <c r="C168" s="265" t="s">
        <v>13133</v>
      </c>
      <c r="D168" s="320" t="s">
        <v>13134</v>
      </c>
      <c r="E168" s="340" t="s">
        <v>9054</v>
      </c>
      <c r="F168" s="773">
        <v>30.0</v>
      </c>
      <c r="G168" s="466">
        <v>150.15</v>
      </c>
      <c r="H168" s="1310">
        <f t="shared" si="17"/>
        <v>4504.5</v>
      </c>
      <c r="I168" s="793"/>
      <c r="J168" s="793"/>
      <c r="K168" s="256" t="s">
        <v>8675</v>
      </c>
      <c r="L168" s="256" t="s">
        <v>90</v>
      </c>
      <c r="M168" s="832">
        <v>41908.0</v>
      </c>
      <c r="N168" s="256" t="s">
        <v>90</v>
      </c>
      <c r="O168" s="388"/>
      <c r="P168" s="320" t="s">
        <v>90</v>
      </c>
      <c r="Q168" s="773">
        <v>2.0140800131151E13</v>
      </c>
      <c r="R168" s="466">
        <v>4032.0</v>
      </c>
      <c r="S168" s="793"/>
      <c r="T168" s="320"/>
      <c r="U168" s="1133">
        <v>41912.0</v>
      </c>
      <c r="V168" s="1133">
        <v>41908.0</v>
      </c>
      <c r="W168" s="1149">
        <v>120960.0</v>
      </c>
      <c r="X168" s="320" t="s">
        <v>13137</v>
      </c>
      <c r="Y168" s="320" t="s">
        <v>13138</v>
      </c>
      <c r="Z168" s="91"/>
    </row>
    <row r="169" ht="15.75" customHeight="1">
      <c r="A169" s="1311">
        <v>41865.0</v>
      </c>
      <c r="B169" s="599" t="s">
        <v>10926</v>
      </c>
      <c r="C169" s="265" t="s">
        <v>13139</v>
      </c>
      <c r="D169" s="320" t="s">
        <v>13140</v>
      </c>
      <c r="E169" s="340" t="s">
        <v>13141</v>
      </c>
      <c r="F169" s="773">
        <v>1.0</v>
      </c>
      <c r="G169" s="466">
        <v>131.6</v>
      </c>
      <c r="H169" s="466">
        <f t="shared" ref="H169:H174" si="18">F169*G169</f>
        <v>131.6</v>
      </c>
      <c r="I169" s="793"/>
      <c r="J169" s="466">
        <v>3948.0</v>
      </c>
      <c r="K169" s="256" t="s">
        <v>11086</v>
      </c>
      <c r="L169" s="256" t="s">
        <v>11675</v>
      </c>
      <c r="M169" s="832">
        <v>41884.0</v>
      </c>
      <c r="N169" s="256" t="s">
        <v>13142</v>
      </c>
      <c r="O169" s="832">
        <v>41883.0</v>
      </c>
      <c r="P169" s="320" t="s">
        <v>11033</v>
      </c>
      <c r="Q169" s="773" t="s">
        <v>13143</v>
      </c>
      <c r="R169" s="793"/>
      <c r="S169" s="466">
        <v>3776.85</v>
      </c>
      <c r="T169" s="320" t="s">
        <v>8689</v>
      </c>
      <c r="U169" s="1133">
        <v>41912.0</v>
      </c>
      <c r="V169" s="1133">
        <v>41883.0</v>
      </c>
      <c r="W169" s="1149">
        <v>3777.0</v>
      </c>
      <c r="X169" s="320" t="s">
        <v>13144</v>
      </c>
      <c r="Y169" s="320" t="s">
        <v>13145</v>
      </c>
      <c r="Z169" s="91"/>
    </row>
    <row r="170" ht="15.75" customHeight="1">
      <c r="A170" s="1293">
        <v>41865.0</v>
      </c>
      <c r="B170" s="599" t="s">
        <v>10926</v>
      </c>
      <c r="C170" s="1004" t="s">
        <v>13139</v>
      </c>
      <c r="D170" s="388" t="s">
        <v>13140</v>
      </c>
      <c r="E170" s="340" t="s">
        <v>3671</v>
      </c>
      <c r="F170" s="1137">
        <v>5.0</v>
      </c>
      <c r="G170" s="325">
        <v>138.425</v>
      </c>
      <c r="H170" s="466">
        <f t="shared" si="18"/>
        <v>692.125</v>
      </c>
      <c r="I170" s="793"/>
      <c r="J170" s="466">
        <v>20764.0</v>
      </c>
      <c r="K170" s="256" t="s">
        <v>11086</v>
      </c>
      <c r="L170" s="592" t="s">
        <v>11675</v>
      </c>
      <c r="M170" s="832">
        <v>41872.0</v>
      </c>
      <c r="N170" s="592" t="s">
        <v>13081</v>
      </c>
      <c r="O170" s="832">
        <v>41870.0</v>
      </c>
      <c r="P170" s="388" t="s">
        <v>11033</v>
      </c>
      <c r="Q170" s="1137" t="s">
        <v>13143</v>
      </c>
      <c r="R170" s="793"/>
      <c r="S170" s="466">
        <v>19913.25</v>
      </c>
      <c r="T170" s="388" t="s">
        <v>8689</v>
      </c>
      <c r="U170" s="1143">
        <v>41879.0</v>
      </c>
      <c r="V170" s="1143">
        <v>41866.0</v>
      </c>
      <c r="W170" s="1159">
        <v>19913.0</v>
      </c>
      <c r="X170" s="388" t="s">
        <v>13146</v>
      </c>
      <c r="Y170" s="388" t="s">
        <v>13084</v>
      </c>
      <c r="Z170" s="91"/>
    </row>
    <row r="171" ht="15.75" customHeight="1">
      <c r="A171" s="1311">
        <v>41869.0</v>
      </c>
      <c r="B171" s="340" t="s">
        <v>12669</v>
      </c>
      <c r="C171" s="265" t="s">
        <v>13147</v>
      </c>
      <c r="D171" s="320" t="s">
        <v>13148</v>
      </c>
      <c r="E171" s="340" t="s">
        <v>12883</v>
      </c>
      <c r="F171" s="773">
        <v>4.0</v>
      </c>
      <c r="G171" s="466">
        <v>132.0</v>
      </c>
      <c r="H171" s="466">
        <f t="shared" si="18"/>
        <v>528</v>
      </c>
      <c r="I171" s="793"/>
      <c r="J171" s="793"/>
      <c r="K171" s="256" t="s">
        <v>3874</v>
      </c>
      <c r="L171" s="256" t="s">
        <v>13149</v>
      </c>
      <c r="M171" s="832">
        <v>41899.0</v>
      </c>
      <c r="N171" s="388"/>
      <c r="O171" s="388"/>
      <c r="P171" s="388"/>
      <c r="Q171" s="388"/>
      <c r="R171" s="466">
        <v>440.0</v>
      </c>
      <c r="S171" s="793"/>
      <c r="T171" s="388"/>
      <c r="U171" s="320" t="s">
        <v>13150</v>
      </c>
      <c r="V171" s="773" t="s">
        <v>5701</v>
      </c>
      <c r="W171" s="773" t="s">
        <v>5701</v>
      </c>
      <c r="X171" s="320" t="s">
        <v>13151</v>
      </c>
      <c r="Y171" s="388"/>
      <c r="Z171" s="91"/>
    </row>
    <row r="172" ht="15.75" customHeight="1">
      <c r="A172" s="1293">
        <v>41870.0</v>
      </c>
      <c r="B172" s="599" t="s">
        <v>10926</v>
      </c>
      <c r="C172" s="1004" t="s">
        <v>13152</v>
      </c>
      <c r="D172" s="388" t="s">
        <v>13153</v>
      </c>
      <c r="E172" s="340" t="s">
        <v>10104</v>
      </c>
      <c r="F172" s="1137">
        <v>7.0</v>
      </c>
      <c r="G172" s="325">
        <v>131.95</v>
      </c>
      <c r="H172" s="466">
        <f t="shared" si="18"/>
        <v>923.65</v>
      </c>
      <c r="I172" s="793"/>
      <c r="J172" s="466">
        <v>27710.0</v>
      </c>
      <c r="K172" s="256" t="s">
        <v>11086</v>
      </c>
      <c r="L172" s="592" t="s">
        <v>11675</v>
      </c>
      <c r="M172" s="832">
        <v>41872.0</v>
      </c>
      <c r="N172" s="592" t="s">
        <v>11675</v>
      </c>
      <c r="O172" s="832">
        <v>41871.0</v>
      </c>
      <c r="P172" s="388" t="s">
        <v>11033</v>
      </c>
      <c r="Q172" s="1137" t="s">
        <v>13154</v>
      </c>
      <c r="R172" s="793"/>
      <c r="S172" s="466">
        <v>26534.0</v>
      </c>
      <c r="T172" s="388" t="s">
        <v>8689</v>
      </c>
      <c r="U172" s="1143">
        <v>41869.0</v>
      </c>
      <c r="V172" s="1143">
        <v>41870.0</v>
      </c>
      <c r="W172" s="1159">
        <v>26534.0</v>
      </c>
      <c r="X172" s="388" t="s">
        <v>13083</v>
      </c>
      <c r="Y172" s="388" t="s">
        <v>13084</v>
      </c>
      <c r="Z172" s="91"/>
    </row>
    <row r="173" ht="15.75" customHeight="1">
      <c r="A173" s="1293">
        <v>41871.0</v>
      </c>
      <c r="B173" s="599" t="s">
        <v>10926</v>
      </c>
      <c r="C173" s="1004" t="s">
        <v>13155</v>
      </c>
      <c r="D173" s="388" t="s">
        <v>13156</v>
      </c>
      <c r="E173" s="340" t="s">
        <v>6190</v>
      </c>
      <c r="F173" s="1137">
        <v>2.0</v>
      </c>
      <c r="G173" s="325">
        <v>141.75</v>
      </c>
      <c r="H173" s="466">
        <f t="shared" si="18"/>
        <v>283.5</v>
      </c>
      <c r="I173" s="793"/>
      <c r="J173" s="466">
        <v>8505.0</v>
      </c>
      <c r="K173" s="256" t="s">
        <v>11086</v>
      </c>
      <c r="L173" s="592" t="s">
        <v>11675</v>
      </c>
      <c r="M173" s="832">
        <v>41877.0</v>
      </c>
      <c r="N173" s="592" t="s">
        <v>13142</v>
      </c>
      <c r="O173" s="832">
        <v>41876.0</v>
      </c>
      <c r="P173" s="388" t="s">
        <v>11033</v>
      </c>
      <c r="Q173" s="1137" t="s">
        <v>13157</v>
      </c>
      <c r="R173" s="793"/>
      <c r="S173" s="466">
        <v>8139.6</v>
      </c>
      <c r="T173" s="388" t="s">
        <v>8689</v>
      </c>
      <c r="U173" s="1143">
        <v>41879.0</v>
      </c>
      <c r="V173" s="1302">
        <v>41872.0</v>
      </c>
      <c r="W173" s="1303">
        <v>14634.0</v>
      </c>
      <c r="X173" s="1300" t="s">
        <v>13158</v>
      </c>
      <c r="Y173" s="1300" t="s">
        <v>13159</v>
      </c>
      <c r="Z173" s="91"/>
    </row>
    <row r="174" ht="15.75" customHeight="1">
      <c r="A174" s="1293">
        <v>41871.0</v>
      </c>
      <c r="B174" s="599" t="s">
        <v>10926</v>
      </c>
      <c r="C174" s="1004" t="s">
        <v>13155</v>
      </c>
      <c r="D174" s="388" t="s">
        <v>13156</v>
      </c>
      <c r="E174" s="340" t="s">
        <v>13160</v>
      </c>
      <c r="F174" s="1137">
        <v>5.0</v>
      </c>
      <c r="G174" s="325">
        <v>45.08</v>
      </c>
      <c r="H174" s="466">
        <f t="shared" si="18"/>
        <v>225.4</v>
      </c>
      <c r="I174" s="793"/>
      <c r="J174" s="466">
        <v>6762.0</v>
      </c>
      <c r="K174" s="256" t="s">
        <v>11086</v>
      </c>
      <c r="L174" s="592" t="s">
        <v>11675</v>
      </c>
      <c r="M174" s="832">
        <v>41877.0</v>
      </c>
      <c r="N174" s="592" t="s">
        <v>13142</v>
      </c>
      <c r="O174" s="832">
        <v>41876.0</v>
      </c>
      <c r="P174" s="388" t="s">
        <v>11033</v>
      </c>
      <c r="Q174" s="1137" t="s">
        <v>13157</v>
      </c>
      <c r="R174" s="793"/>
      <c r="S174" s="466">
        <v>6494.25</v>
      </c>
      <c r="T174" s="388" t="s">
        <v>8689</v>
      </c>
      <c r="U174" s="1143">
        <v>41879.0</v>
      </c>
      <c r="V174" s="1143"/>
      <c r="W174" s="1159"/>
      <c r="X174" s="388"/>
      <c r="Y174" s="388"/>
      <c r="Z174" s="91"/>
    </row>
    <row r="175" ht="15.75" customHeight="1">
      <c r="A175" s="1293">
        <v>41872.0</v>
      </c>
      <c r="B175" s="599" t="s">
        <v>631</v>
      </c>
      <c r="C175" s="1004" t="s">
        <v>13161</v>
      </c>
      <c r="D175" s="388" t="s">
        <v>13162</v>
      </c>
      <c r="E175" s="340" t="s">
        <v>13163</v>
      </c>
      <c r="F175" s="1137">
        <v>10.0</v>
      </c>
      <c r="G175" s="325">
        <v>141.0</v>
      </c>
      <c r="H175" s="466">
        <f t="shared" ref="H175:H176" si="19">F175*G175*1.05</f>
        <v>1480.5</v>
      </c>
      <c r="I175" s="793"/>
      <c r="J175" s="466">
        <v>44504.0</v>
      </c>
      <c r="K175" s="256" t="s">
        <v>11898</v>
      </c>
      <c r="L175" s="256" t="s">
        <v>90</v>
      </c>
      <c r="M175" s="832">
        <v>41901.0</v>
      </c>
      <c r="N175" s="592" t="s">
        <v>90</v>
      </c>
      <c r="O175" s="388"/>
      <c r="P175" s="320" t="s">
        <v>90</v>
      </c>
      <c r="Q175" s="773">
        <v>2.0140800131576E13</v>
      </c>
      <c r="R175" s="466">
        <v>1365.0</v>
      </c>
      <c r="S175" s="793"/>
      <c r="T175" s="388" t="s">
        <v>13129</v>
      </c>
      <c r="U175" s="1143">
        <v>41912.0</v>
      </c>
      <c r="V175" s="1133">
        <v>41901.0</v>
      </c>
      <c r="W175" s="1149">
        <v>40779.0</v>
      </c>
      <c r="X175" s="1297" t="s">
        <v>13164</v>
      </c>
      <c r="Y175" s="1300" t="s">
        <v>13165</v>
      </c>
      <c r="Z175" s="91"/>
    </row>
    <row r="176" ht="15.75" customHeight="1">
      <c r="A176" s="1293">
        <v>41872.0</v>
      </c>
      <c r="B176" s="599" t="s">
        <v>631</v>
      </c>
      <c r="C176" s="1004" t="s">
        <v>13161</v>
      </c>
      <c r="D176" s="388" t="s">
        <v>13162</v>
      </c>
      <c r="E176" s="340" t="s">
        <v>13166</v>
      </c>
      <c r="F176" s="1137">
        <v>20.0</v>
      </c>
      <c r="G176" s="325">
        <v>11.0</v>
      </c>
      <c r="H176" s="466">
        <f t="shared" si="19"/>
        <v>231</v>
      </c>
      <c r="I176" s="793"/>
      <c r="J176" s="466">
        <v>6944.0</v>
      </c>
      <c r="K176" s="256" t="s">
        <v>11898</v>
      </c>
      <c r="L176" s="592" t="s">
        <v>11675</v>
      </c>
      <c r="M176" s="832">
        <v>41900.0</v>
      </c>
      <c r="N176" s="592" t="s">
        <v>9220</v>
      </c>
      <c r="O176" s="832">
        <v>41883.0</v>
      </c>
      <c r="P176" s="388" t="s">
        <v>303</v>
      </c>
      <c r="Q176" s="773" t="s">
        <v>13167</v>
      </c>
      <c r="R176" s="793"/>
      <c r="S176" s="466">
        <v>3864.0</v>
      </c>
      <c r="T176" s="388" t="s">
        <v>12352</v>
      </c>
      <c r="U176" s="1143">
        <v>41912.0</v>
      </c>
      <c r="V176" s="1133">
        <v>41883.0</v>
      </c>
      <c r="W176" s="1149">
        <v>3864.0</v>
      </c>
      <c r="X176" s="320"/>
      <c r="Y176" s="388"/>
      <c r="Z176" s="91"/>
    </row>
    <row r="177" ht="15.75" customHeight="1">
      <c r="A177" s="1293">
        <v>41876.0</v>
      </c>
      <c r="B177" s="599" t="s">
        <v>6246</v>
      </c>
      <c r="C177" s="1004">
        <v>13.0</v>
      </c>
      <c r="D177" s="388" t="s">
        <v>13168</v>
      </c>
      <c r="E177" s="340" t="s">
        <v>13169</v>
      </c>
      <c r="F177" s="1137">
        <v>6.0</v>
      </c>
      <c r="G177" s="325">
        <v>68.0</v>
      </c>
      <c r="H177" s="1310">
        <f t="shared" ref="H177:H201" si="20">F177*G177</f>
        <v>408</v>
      </c>
      <c r="I177" s="793"/>
      <c r="J177" s="793"/>
      <c r="K177" s="256" t="s">
        <v>87</v>
      </c>
      <c r="L177" s="1301" t="s">
        <v>13170</v>
      </c>
      <c r="M177" s="1148">
        <v>41884.0</v>
      </c>
      <c r="N177" s="1301" t="s">
        <v>6067</v>
      </c>
      <c r="O177" s="1307">
        <v>41883.0</v>
      </c>
      <c r="P177" s="1300" t="s">
        <v>90</v>
      </c>
      <c r="Q177" s="1298">
        <v>2.0140800132305E13</v>
      </c>
      <c r="R177" s="1294">
        <v>842.1</v>
      </c>
      <c r="S177" s="793"/>
      <c r="T177" s="1300" t="s">
        <v>6081</v>
      </c>
      <c r="U177" s="1143">
        <v>41912.0</v>
      </c>
      <c r="V177" s="1295">
        <v>41883.0</v>
      </c>
      <c r="W177" s="1296">
        <v>25204.0</v>
      </c>
      <c r="X177" s="1305" t="s">
        <v>13171</v>
      </c>
      <c r="Y177" s="388"/>
      <c r="Z177" s="91"/>
    </row>
    <row r="178" ht="15.75" customHeight="1">
      <c r="A178" s="1293">
        <v>41876.0</v>
      </c>
      <c r="B178" s="599" t="s">
        <v>6246</v>
      </c>
      <c r="C178" s="1004">
        <v>13.0</v>
      </c>
      <c r="D178" s="388" t="s">
        <v>13168</v>
      </c>
      <c r="E178" s="340" t="s">
        <v>3754</v>
      </c>
      <c r="F178" s="1137">
        <v>5.0</v>
      </c>
      <c r="G178" s="325">
        <v>53.0</v>
      </c>
      <c r="H178" s="1310">
        <f t="shared" si="20"/>
        <v>265</v>
      </c>
      <c r="I178" s="793"/>
      <c r="J178" s="793"/>
      <c r="K178" s="256" t="s">
        <v>87</v>
      </c>
      <c r="L178" s="1301"/>
      <c r="M178" s="1148">
        <v>41884.0</v>
      </c>
      <c r="N178" s="1301"/>
      <c r="O178" s="1307"/>
      <c r="P178" s="1300"/>
      <c r="Q178" s="1298"/>
      <c r="R178" s="1294"/>
      <c r="S178" s="793"/>
      <c r="T178" s="1300"/>
      <c r="U178" s="1143">
        <v>41912.0</v>
      </c>
      <c r="V178" s="1295"/>
      <c r="W178" s="1296"/>
      <c r="X178" s="1305"/>
      <c r="Y178" s="388"/>
      <c r="Z178" s="91"/>
    </row>
    <row r="179" ht="15.75" customHeight="1">
      <c r="A179" s="1293">
        <v>41876.0</v>
      </c>
      <c r="B179" s="599" t="s">
        <v>6246</v>
      </c>
      <c r="C179" s="1004">
        <v>13.0</v>
      </c>
      <c r="D179" s="388" t="s">
        <v>13168</v>
      </c>
      <c r="E179" s="340" t="s">
        <v>12817</v>
      </c>
      <c r="F179" s="1137">
        <v>5.0</v>
      </c>
      <c r="G179" s="325">
        <v>60.0</v>
      </c>
      <c r="H179" s="1310">
        <f t="shared" si="20"/>
        <v>300</v>
      </c>
      <c r="I179" s="793"/>
      <c r="J179" s="793"/>
      <c r="K179" s="256" t="s">
        <v>87</v>
      </c>
      <c r="L179" s="592"/>
      <c r="M179" s="1148">
        <v>41884.0</v>
      </c>
      <c r="N179" s="592"/>
      <c r="O179" s="832"/>
      <c r="P179" s="388"/>
      <c r="Q179" s="773"/>
      <c r="R179" s="466"/>
      <c r="S179" s="793"/>
      <c r="T179" s="388"/>
      <c r="U179" s="1143">
        <v>41912.0</v>
      </c>
      <c r="V179" s="1133"/>
      <c r="W179" s="1149"/>
      <c r="X179" s="265"/>
      <c r="Y179" s="388"/>
      <c r="Z179" s="91"/>
    </row>
    <row r="180" ht="15.75" customHeight="1">
      <c r="A180" s="1293">
        <v>41877.0</v>
      </c>
      <c r="B180" s="599" t="s">
        <v>11771</v>
      </c>
      <c r="C180" s="388"/>
      <c r="D180" s="388" t="s">
        <v>13172</v>
      </c>
      <c r="E180" s="340" t="s">
        <v>13173</v>
      </c>
      <c r="F180" s="1137">
        <v>2.0</v>
      </c>
      <c r="G180" s="325">
        <v>280.0</v>
      </c>
      <c r="H180" s="466">
        <f t="shared" si="20"/>
        <v>560</v>
      </c>
      <c r="I180" s="793"/>
      <c r="J180" s="325">
        <f>H180*30.026</f>
        <v>16814.56</v>
      </c>
      <c r="K180" s="256" t="s">
        <v>11898</v>
      </c>
      <c r="L180" s="592" t="s">
        <v>11774</v>
      </c>
      <c r="M180" s="832">
        <v>41897.0</v>
      </c>
      <c r="N180" s="592" t="s">
        <v>6067</v>
      </c>
      <c r="O180" s="832">
        <v>41887.0</v>
      </c>
      <c r="P180" s="388" t="s">
        <v>90</v>
      </c>
      <c r="Q180" s="773">
        <v>2.0140800132306E13</v>
      </c>
      <c r="R180" s="466">
        <v>518.7</v>
      </c>
      <c r="S180" s="793"/>
      <c r="T180" s="388" t="s">
        <v>13129</v>
      </c>
      <c r="U180" s="1143">
        <v>41912.0</v>
      </c>
      <c r="V180" s="1133">
        <v>41887.0</v>
      </c>
      <c r="W180" s="1149">
        <v>15525.0</v>
      </c>
      <c r="X180" s="320" t="s">
        <v>13174</v>
      </c>
      <c r="Y180" s="388"/>
      <c r="Z180" s="91"/>
    </row>
    <row r="181" ht="15.75" customHeight="1">
      <c r="A181" s="1293">
        <v>41878.0</v>
      </c>
      <c r="B181" s="599" t="s">
        <v>10926</v>
      </c>
      <c r="C181" s="1004" t="s">
        <v>13175</v>
      </c>
      <c r="D181" s="388" t="s">
        <v>13176</v>
      </c>
      <c r="E181" s="340" t="s">
        <v>6596</v>
      </c>
      <c r="F181" s="1137">
        <v>16.0</v>
      </c>
      <c r="G181" s="325">
        <v>118.3</v>
      </c>
      <c r="H181" s="466">
        <f t="shared" si="20"/>
        <v>1892.8</v>
      </c>
      <c r="I181" s="793"/>
      <c r="J181" s="466">
        <v>56784.0</v>
      </c>
      <c r="K181" s="256" t="s">
        <v>11086</v>
      </c>
      <c r="L181" s="592" t="s">
        <v>11675</v>
      </c>
      <c r="M181" s="832">
        <v>41884.0</v>
      </c>
      <c r="N181" s="592" t="s">
        <v>13142</v>
      </c>
      <c r="O181" s="832">
        <v>41883.0</v>
      </c>
      <c r="P181" s="388" t="s">
        <v>11033</v>
      </c>
      <c r="Q181" s="1137" t="s">
        <v>13177</v>
      </c>
      <c r="R181" s="793"/>
      <c r="S181" s="466">
        <v>54432.0</v>
      </c>
      <c r="T181" s="388" t="s">
        <v>8689</v>
      </c>
      <c r="U181" s="1143">
        <v>41911.0</v>
      </c>
      <c r="V181" s="1143">
        <v>41880.0</v>
      </c>
      <c r="W181" s="1159">
        <v>54432.0</v>
      </c>
      <c r="X181" s="320" t="s">
        <v>13144</v>
      </c>
      <c r="Y181" s="320" t="s">
        <v>13145</v>
      </c>
      <c r="Z181" s="91"/>
    </row>
    <row r="182" ht="15.75" customHeight="1">
      <c r="A182" s="1293">
        <v>41883.0</v>
      </c>
      <c r="B182" s="599" t="s">
        <v>11771</v>
      </c>
      <c r="C182" s="388"/>
      <c r="D182" s="388" t="s">
        <v>13178</v>
      </c>
      <c r="E182" s="340" t="s">
        <v>13179</v>
      </c>
      <c r="F182" s="1137">
        <v>6.0</v>
      </c>
      <c r="G182" s="325">
        <v>244.0</v>
      </c>
      <c r="H182" s="466">
        <f t="shared" si="20"/>
        <v>1464</v>
      </c>
      <c r="I182" s="793"/>
      <c r="J182" s="793"/>
      <c r="K182" s="256" t="s">
        <v>11898</v>
      </c>
      <c r="L182" s="592" t="s">
        <v>11774</v>
      </c>
      <c r="M182" s="832">
        <v>41897.0</v>
      </c>
      <c r="N182" s="1301" t="s">
        <v>6067</v>
      </c>
      <c r="O182" s="1307">
        <v>41893.0</v>
      </c>
      <c r="P182" s="1300" t="s">
        <v>90</v>
      </c>
      <c r="Q182" s="1298">
        <v>2.0140900132709E13</v>
      </c>
      <c r="R182" s="466">
        <v>1310.4</v>
      </c>
      <c r="S182" s="793"/>
      <c r="T182" s="1300" t="s">
        <v>13129</v>
      </c>
      <c r="U182" s="1143">
        <v>41912.0</v>
      </c>
      <c r="V182" s="1295">
        <v>41892.0</v>
      </c>
      <c r="W182" s="1296">
        <v>56033.0</v>
      </c>
      <c r="X182" s="1297" t="s">
        <v>13174</v>
      </c>
      <c r="Y182" s="388"/>
      <c r="Z182" s="91"/>
    </row>
    <row r="183" ht="15.75" customHeight="1">
      <c r="A183" s="1293">
        <v>41883.0</v>
      </c>
      <c r="B183" s="599" t="s">
        <v>11771</v>
      </c>
      <c r="C183" s="388"/>
      <c r="D183" s="388" t="s">
        <v>13180</v>
      </c>
      <c r="E183" s="340" t="s">
        <v>13181</v>
      </c>
      <c r="F183" s="1137">
        <v>1.0</v>
      </c>
      <c r="G183" s="325">
        <v>511.0</v>
      </c>
      <c r="H183" s="466">
        <f t="shared" si="20"/>
        <v>511</v>
      </c>
      <c r="I183" s="793"/>
      <c r="J183" s="793"/>
      <c r="K183" s="256" t="s">
        <v>11898</v>
      </c>
      <c r="L183" s="592" t="s">
        <v>11774</v>
      </c>
      <c r="M183" s="832">
        <v>41897.0</v>
      </c>
      <c r="N183" s="1301"/>
      <c r="O183" s="1307"/>
      <c r="P183" s="1300"/>
      <c r="Q183" s="1298"/>
      <c r="R183" s="466">
        <v>472.5</v>
      </c>
      <c r="S183" s="793"/>
      <c r="T183" s="1300"/>
      <c r="U183" s="1143">
        <v>41912.0</v>
      </c>
      <c r="V183" s="1295"/>
      <c r="W183" s="1296"/>
      <c r="X183" s="1297"/>
      <c r="Y183" s="388"/>
      <c r="Z183" s="91"/>
    </row>
    <row r="184" ht="15.75" customHeight="1">
      <c r="A184" s="1293">
        <v>41883.0</v>
      </c>
      <c r="B184" s="599" t="s">
        <v>11771</v>
      </c>
      <c r="C184" s="388"/>
      <c r="D184" s="388" t="s">
        <v>13180</v>
      </c>
      <c r="E184" s="340" t="s">
        <v>13182</v>
      </c>
      <c r="F184" s="1137">
        <v>1.0</v>
      </c>
      <c r="G184" s="325">
        <v>96.0</v>
      </c>
      <c r="H184" s="466">
        <f t="shared" si="20"/>
        <v>96</v>
      </c>
      <c r="I184" s="793"/>
      <c r="J184" s="793"/>
      <c r="K184" s="256" t="s">
        <v>11898</v>
      </c>
      <c r="L184" s="592" t="s">
        <v>11774</v>
      </c>
      <c r="M184" s="832">
        <v>41897.0</v>
      </c>
      <c r="N184" s="1301"/>
      <c r="O184" s="832"/>
      <c r="P184" s="1300"/>
      <c r="Q184" s="773"/>
      <c r="R184" s="466">
        <v>89.25</v>
      </c>
      <c r="S184" s="793"/>
      <c r="T184" s="1300"/>
      <c r="U184" s="1143">
        <v>41912.0</v>
      </c>
      <c r="V184" s="1133"/>
      <c r="W184" s="1149"/>
      <c r="X184" s="320"/>
      <c r="Y184" s="388"/>
      <c r="Z184" s="91"/>
    </row>
    <row r="185" ht="15.75" customHeight="1">
      <c r="A185" s="1293">
        <v>41883.0</v>
      </c>
      <c r="B185" s="599" t="s">
        <v>11771</v>
      </c>
      <c r="C185" s="388"/>
      <c r="D185" s="388" t="s">
        <v>13180</v>
      </c>
      <c r="E185" s="340" t="s">
        <v>13183</v>
      </c>
      <c r="F185" s="1137">
        <v>5.0</v>
      </c>
      <c r="G185" s="325">
        <v>362.0</v>
      </c>
      <c r="H185" s="466">
        <f t="shared" si="20"/>
        <v>1810</v>
      </c>
      <c r="I185" s="793"/>
      <c r="J185" s="793"/>
      <c r="K185" s="256" t="s">
        <v>11898</v>
      </c>
      <c r="L185" s="592" t="s">
        <v>11774</v>
      </c>
      <c r="M185" s="832">
        <v>41911.0</v>
      </c>
      <c r="N185" s="592"/>
      <c r="O185" s="832">
        <v>41908.0</v>
      </c>
      <c r="P185" s="388"/>
      <c r="Q185" s="773">
        <v>2.0140900132709E13</v>
      </c>
      <c r="R185" s="466">
        <v>1706.25</v>
      </c>
      <c r="S185" s="793"/>
      <c r="T185" s="388"/>
      <c r="U185" s="1143">
        <v>41912.0</v>
      </c>
      <c r="V185" s="1133">
        <v>41908.0</v>
      </c>
      <c r="W185" s="1149">
        <v>51188.0</v>
      </c>
      <c r="X185" s="320" t="s">
        <v>13184</v>
      </c>
      <c r="Y185" s="388"/>
      <c r="Z185" s="91"/>
    </row>
    <row r="186" ht="15.75" customHeight="1">
      <c r="A186" s="1293">
        <v>41886.0</v>
      </c>
      <c r="B186" s="599" t="s">
        <v>10926</v>
      </c>
      <c r="C186" s="1004" t="s">
        <v>13185</v>
      </c>
      <c r="D186" s="388" t="s">
        <v>13186</v>
      </c>
      <c r="E186" s="340" t="s">
        <v>11680</v>
      </c>
      <c r="F186" s="1137">
        <v>1.0</v>
      </c>
      <c r="G186" s="466">
        <v>295.505</v>
      </c>
      <c r="H186" s="466">
        <f t="shared" si="20"/>
        <v>295.505</v>
      </c>
      <c r="I186" s="793"/>
      <c r="J186" s="466">
        <v>8865.0</v>
      </c>
      <c r="K186" s="256" t="s">
        <v>11086</v>
      </c>
      <c r="L186" s="592" t="s">
        <v>11675</v>
      </c>
      <c r="M186" s="832">
        <v>41891.0</v>
      </c>
      <c r="N186" s="592" t="s">
        <v>10372</v>
      </c>
      <c r="O186" s="832">
        <v>41888.0</v>
      </c>
      <c r="P186" s="388" t="s">
        <v>11033</v>
      </c>
      <c r="Q186" s="1137" t="s">
        <v>13187</v>
      </c>
      <c r="R186" s="1304"/>
      <c r="S186" s="466">
        <v>8510.88</v>
      </c>
      <c r="T186" s="388" t="s">
        <v>8689</v>
      </c>
      <c r="U186" s="1143">
        <v>41911.0</v>
      </c>
      <c r="V186" s="1302">
        <v>41887.0</v>
      </c>
      <c r="W186" s="1303">
        <v>66681.0</v>
      </c>
      <c r="X186" s="1300" t="s">
        <v>13188</v>
      </c>
      <c r="Y186" s="1300" t="s">
        <v>13189</v>
      </c>
      <c r="Z186" s="91"/>
    </row>
    <row r="187" ht="15.75" customHeight="1">
      <c r="A187" s="1293">
        <v>41886.0</v>
      </c>
      <c r="B187" s="599" t="s">
        <v>10926</v>
      </c>
      <c r="C187" s="1004" t="s">
        <v>13185</v>
      </c>
      <c r="D187" s="388" t="s">
        <v>13186</v>
      </c>
      <c r="E187" s="340" t="s">
        <v>6451</v>
      </c>
      <c r="F187" s="1137">
        <v>10.0</v>
      </c>
      <c r="G187" s="466">
        <v>124.25</v>
      </c>
      <c r="H187" s="466">
        <f t="shared" si="20"/>
        <v>1242.5</v>
      </c>
      <c r="I187" s="793"/>
      <c r="J187" s="466">
        <v>37275.0</v>
      </c>
      <c r="K187" s="256" t="s">
        <v>11086</v>
      </c>
      <c r="L187" s="592" t="s">
        <v>11675</v>
      </c>
      <c r="M187" s="832">
        <v>41891.0</v>
      </c>
      <c r="N187" s="592" t="s">
        <v>10372</v>
      </c>
      <c r="O187" s="832">
        <v>41888.0</v>
      </c>
      <c r="P187" s="388" t="s">
        <v>11033</v>
      </c>
      <c r="Q187" s="1137" t="s">
        <v>13187</v>
      </c>
      <c r="R187" s="1304"/>
      <c r="S187" s="466">
        <v>36886.5</v>
      </c>
      <c r="T187" s="388" t="s">
        <v>8689</v>
      </c>
      <c r="U187" s="1143">
        <v>41911.0</v>
      </c>
      <c r="V187" s="1302"/>
      <c r="W187" s="1303"/>
      <c r="X187" s="1300"/>
      <c r="Y187" s="1300"/>
      <c r="Z187" s="91"/>
    </row>
    <row r="188" ht="15.75" customHeight="1">
      <c r="A188" s="1293">
        <v>41886.0</v>
      </c>
      <c r="B188" s="599" t="s">
        <v>10926</v>
      </c>
      <c r="C188" s="1004" t="s">
        <v>13185</v>
      </c>
      <c r="D188" s="388" t="s">
        <v>13186</v>
      </c>
      <c r="E188" s="340" t="s">
        <v>6190</v>
      </c>
      <c r="F188" s="1137">
        <v>2.0</v>
      </c>
      <c r="G188" s="466">
        <v>141.75</v>
      </c>
      <c r="H188" s="466">
        <f t="shared" si="20"/>
        <v>283.5</v>
      </c>
      <c r="I188" s="793"/>
      <c r="J188" s="466">
        <v>8505.0</v>
      </c>
      <c r="K188" s="256" t="s">
        <v>11086</v>
      </c>
      <c r="L188" s="592" t="s">
        <v>11675</v>
      </c>
      <c r="M188" s="832">
        <v>41891.0</v>
      </c>
      <c r="N188" s="592" t="s">
        <v>10372</v>
      </c>
      <c r="O188" s="832">
        <v>41888.0</v>
      </c>
      <c r="P188" s="388" t="s">
        <v>11033</v>
      </c>
      <c r="Q188" s="1137" t="s">
        <v>13187</v>
      </c>
      <c r="R188" s="1304"/>
      <c r="S188" s="466">
        <v>8138.76</v>
      </c>
      <c r="T188" s="388" t="s">
        <v>8689</v>
      </c>
      <c r="U188" s="1143">
        <v>41911.0</v>
      </c>
      <c r="V188" s="1302"/>
      <c r="W188" s="1303"/>
      <c r="X188" s="1300"/>
      <c r="Y188" s="1300"/>
      <c r="Z188" s="91"/>
    </row>
    <row r="189" ht="15.75" customHeight="1">
      <c r="A189" s="1293">
        <v>41886.0</v>
      </c>
      <c r="B189" s="599" t="s">
        <v>10926</v>
      </c>
      <c r="C189" s="1004" t="s">
        <v>13185</v>
      </c>
      <c r="D189" s="388" t="s">
        <v>13186</v>
      </c>
      <c r="E189" s="340" t="s">
        <v>11336</v>
      </c>
      <c r="F189" s="1137">
        <v>1.0</v>
      </c>
      <c r="G189" s="466">
        <v>72.17</v>
      </c>
      <c r="H189" s="466">
        <f t="shared" si="20"/>
        <v>72.17</v>
      </c>
      <c r="I189" s="793"/>
      <c r="J189" s="466">
        <v>2165.1</v>
      </c>
      <c r="K189" s="256" t="s">
        <v>11086</v>
      </c>
      <c r="L189" s="592" t="s">
        <v>11675</v>
      </c>
      <c r="M189" s="832">
        <v>41891.0</v>
      </c>
      <c r="N189" s="592" t="s">
        <v>10372</v>
      </c>
      <c r="O189" s="832">
        <v>41888.0</v>
      </c>
      <c r="P189" s="388" t="s">
        <v>11033</v>
      </c>
      <c r="Q189" s="1137" t="s">
        <v>13187</v>
      </c>
      <c r="R189" s="1304"/>
      <c r="S189" s="466">
        <v>2077.95</v>
      </c>
      <c r="T189" s="388" t="s">
        <v>8689</v>
      </c>
      <c r="U189" s="1143">
        <v>41911.0</v>
      </c>
      <c r="V189" s="1302"/>
      <c r="W189" s="1303"/>
      <c r="X189" s="1300"/>
      <c r="Y189" s="1300"/>
      <c r="Z189" s="91"/>
    </row>
    <row r="190" ht="15.75" customHeight="1">
      <c r="A190" s="1293">
        <v>41886.0</v>
      </c>
      <c r="B190" s="599" t="s">
        <v>10926</v>
      </c>
      <c r="C190" s="1004" t="s">
        <v>13185</v>
      </c>
      <c r="D190" s="388" t="s">
        <v>13186</v>
      </c>
      <c r="E190" s="340" t="s">
        <v>7196</v>
      </c>
      <c r="F190" s="1137">
        <v>3.0</v>
      </c>
      <c r="G190" s="466">
        <v>128.065</v>
      </c>
      <c r="H190" s="466">
        <f t="shared" si="20"/>
        <v>384.195</v>
      </c>
      <c r="I190" s="793"/>
      <c r="J190" s="466">
        <v>11525.85</v>
      </c>
      <c r="K190" s="256" t="s">
        <v>11086</v>
      </c>
      <c r="L190" s="592" t="s">
        <v>11675</v>
      </c>
      <c r="M190" s="832">
        <v>41891.0</v>
      </c>
      <c r="N190" s="592" t="s">
        <v>10372</v>
      </c>
      <c r="O190" s="832">
        <v>41888.0</v>
      </c>
      <c r="P190" s="388" t="s">
        <v>11033</v>
      </c>
      <c r="Q190" s="1137" t="s">
        <v>13187</v>
      </c>
      <c r="R190" s="1304"/>
      <c r="S190" s="466">
        <v>11065.95</v>
      </c>
      <c r="T190" s="388" t="s">
        <v>8689</v>
      </c>
      <c r="U190" s="1143">
        <v>41911.0</v>
      </c>
      <c r="V190" s="1143"/>
      <c r="W190" s="1159"/>
      <c r="X190" s="388"/>
      <c r="Y190" s="1300"/>
      <c r="Z190" s="91"/>
    </row>
    <row r="191" ht="15.75" customHeight="1">
      <c r="A191" s="1293">
        <v>41886.0</v>
      </c>
      <c r="B191" s="599" t="s">
        <v>10926</v>
      </c>
      <c r="C191" s="1004" t="s">
        <v>13190</v>
      </c>
      <c r="D191" s="388" t="s">
        <v>13191</v>
      </c>
      <c r="E191" s="340" t="s">
        <v>11729</v>
      </c>
      <c r="F191" s="1137">
        <v>2.0</v>
      </c>
      <c r="G191" s="466">
        <v>260.785</v>
      </c>
      <c r="H191" s="466">
        <f t="shared" si="20"/>
        <v>521.57</v>
      </c>
      <c r="I191" s="793"/>
      <c r="J191" s="466">
        <v>15647.0</v>
      </c>
      <c r="K191" s="256" t="s">
        <v>11086</v>
      </c>
      <c r="L191" s="592" t="s">
        <v>11675</v>
      </c>
      <c r="M191" s="832">
        <v>41891.0</v>
      </c>
      <c r="N191" s="592" t="s">
        <v>10372</v>
      </c>
      <c r="O191" s="832">
        <v>41888.0</v>
      </c>
      <c r="P191" s="388" t="s">
        <v>11033</v>
      </c>
      <c r="Q191" s="1137" t="s">
        <v>13192</v>
      </c>
      <c r="R191" s="793"/>
      <c r="S191" s="466">
        <v>15026.0</v>
      </c>
      <c r="T191" s="388" t="s">
        <v>8689</v>
      </c>
      <c r="U191" s="1143">
        <v>41911.0</v>
      </c>
      <c r="V191" s="1143">
        <v>41886.0</v>
      </c>
      <c r="W191" s="1159">
        <v>15026.0</v>
      </c>
      <c r="X191" s="388" t="s">
        <v>13120</v>
      </c>
      <c r="Y191" s="388"/>
      <c r="Z191" s="91"/>
    </row>
    <row r="192" ht="15.75" customHeight="1">
      <c r="A192" s="1293">
        <v>41887.0</v>
      </c>
      <c r="B192" s="599" t="s">
        <v>10926</v>
      </c>
      <c r="C192" s="1004" t="s">
        <v>13193</v>
      </c>
      <c r="D192" s="388" t="s">
        <v>13194</v>
      </c>
      <c r="E192" s="340" t="s">
        <v>6596</v>
      </c>
      <c r="F192" s="1137">
        <v>10.0</v>
      </c>
      <c r="G192" s="466">
        <v>118.3</v>
      </c>
      <c r="H192" s="466">
        <f t="shared" si="20"/>
        <v>1183</v>
      </c>
      <c r="I192" s="466">
        <v>3549.0</v>
      </c>
      <c r="J192" s="466">
        <v>35490.0</v>
      </c>
      <c r="K192" s="256" t="s">
        <v>11086</v>
      </c>
      <c r="L192" s="592" t="s">
        <v>11675</v>
      </c>
      <c r="M192" s="832">
        <v>41914.0</v>
      </c>
      <c r="N192" s="592" t="s">
        <v>9220</v>
      </c>
      <c r="O192" s="832">
        <v>41892.0</v>
      </c>
      <c r="P192" s="388" t="s">
        <v>11033</v>
      </c>
      <c r="Q192" s="1137" t="s">
        <v>13195</v>
      </c>
      <c r="R192" s="793"/>
      <c r="S192" s="466">
        <v>34020.0</v>
      </c>
      <c r="T192" s="388" t="s">
        <v>8689</v>
      </c>
      <c r="U192" s="1143">
        <v>41911.0</v>
      </c>
      <c r="V192" s="1302">
        <v>41891.0</v>
      </c>
      <c r="W192" s="1303">
        <v>115931.0</v>
      </c>
      <c r="X192" s="1297" t="s">
        <v>13196</v>
      </c>
      <c r="Y192" s="1297" t="s">
        <v>13197</v>
      </c>
      <c r="Z192" s="91"/>
    </row>
    <row r="193" ht="15.75" customHeight="1">
      <c r="A193" s="1293">
        <v>41887.0</v>
      </c>
      <c r="B193" s="599" t="s">
        <v>10926</v>
      </c>
      <c r="C193" s="1004" t="s">
        <v>13193</v>
      </c>
      <c r="D193" s="388" t="s">
        <v>13194</v>
      </c>
      <c r="E193" s="340" t="s">
        <v>6451</v>
      </c>
      <c r="F193" s="1137">
        <v>10.0</v>
      </c>
      <c r="G193" s="325">
        <v>124.25</v>
      </c>
      <c r="H193" s="466">
        <f t="shared" si="20"/>
        <v>1242.5</v>
      </c>
      <c r="I193" s="466">
        <v>3727.5</v>
      </c>
      <c r="J193" s="466">
        <v>37275.0</v>
      </c>
      <c r="K193" s="256" t="s">
        <v>11086</v>
      </c>
      <c r="L193" s="592" t="s">
        <v>11675</v>
      </c>
      <c r="M193" s="832">
        <v>41914.0</v>
      </c>
      <c r="N193" s="592" t="s">
        <v>9220</v>
      </c>
      <c r="O193" s="832">
        <v>41892.0</v>
      </c>
      <c r="P193" s="388" t="s">
        <v>11033</v>
      </c>
      <c r="Q193" s="1137" t="s">
        <v>13195</v>
      </c>
      <c r="R193" s="793"/>
      <c r="S193" s="466">
        <v>36886.5</v>
      </c>
      <c r="T193" s="388" t="s">
        <v>8689</v>
      </c>
      <c r="U193" s="1143">
        <v>41911.0</v>
      </c>
      <c r="V193" s="1302"/>
      <c r="W193" s="1303"/>
      <c r="X193" s="1297"/>
      <c r="Y193" s="1297"/>
      <c r="Z193" s="91"/>
    </row>
    <row r="194" ht="15.75" customHeight="1">
      <c r="A194" s="1293">
        <v>41887.0</v>
      </c>
      <c r="B194" s="599" t="s">
        <v>10926</v>
      </c>
      <c r="C194" s="1004" t="s">
        <v>13193</v>
      </c>
      <c r="D194" s="388" t="s">
        <v>13194</v>
      </c>
      <c r="E194" s="340" t="s">
        <v>3671</v>
      </c>
      <c r="F194" s="1137">
        <v>5.0</v>
      </c>
      <c r="G194" s="325">
        <v>138.425</v>
      </c>
      <c r="H194" s="466">
        <f t="shared" si="20"/>
        <v>692.125</v>
      </c>
      <c r="I194" s="466">
        <v>4152.75</v>
      </c>
      <c r="J194" s="466">
        <v>20764.0</v>
      </c>
      <c r="K194" s="256" t="s">
        <v>11086</v>
      </c>
      <c r="L194" s="592" t="s">
        <v>11675</v>
      </c>
      <c r="M194" s="832">
        <v>41914.0</v>
      </c>
      <c r="N194" s="592" t="s">
        <v>9220</v>
      </c>
      <c r="O194" s="832">
        <v>41892.0</v>
      </c>
      <c r="P194" s="388" t="s">
        <v>11033</v>
      </c>
      <c r="Q194" s="1137" t="s">
        <v>13195</v>
      </c>
      <c r="R194" s="793"/>
      <c r="S194" s="466">
        <v>19913.25</v>
      </c>
      <c r="T194" s="388" t="s">
        <v>8689</v>
      </c>
      <c r="U194" s="1143">
        <v>41911.0</v>
      </c>
      <c r="V194" s="1302"/>
      <c r="W194" s="1303"/>
      <c r="X194" s="1297"/>
      <c r="Y194" s="1297"/>
      <c r="Z194" s="91"/>
    </row>
    <row r="195" ht="15.75" customHeight="1">
      <c r="A195" s="1293">
        <v>41887.0</v>
      </c>
      <c r="B195" s="599" t="s">
        <v>10926</v>
      </c>
      <c r="C195" s="1004" t="s">
        <v>13193</v>
      </c>
      <c r="D195" s="388" t="s">
        <v>13194</v>
      </c>
      <c r="E195" s="340" t="s">
        <v>6194</v>
      </c>
      <c r="F195" s="1137">
        <v>5.0</v>
      </c>
      <c r="G195" s="325">
        <v>84.35</v>
      </c>
      <c r="H195" s="466">
        <f t="shared" si="20"/>
        <v>421.75</v>
      </c>
      <c r="I195" s="466">
        <v>2530.5</v>
      </c>
      <c r="J195" s="466">
        <v>12653.0</v>
      </c>
      <c r="K195" s="256" t="s">
        <v>11086</v>
      </c>
      <c r="L195" s="592" t="s">
        <v>11675</v>
      </c>
      <c r="M195" s="832">
        <v>41914.0</v>
      </c>
      <c r="N195" s="592" t="s">
        <v>9220</v>
      </c>
      <c r="O195" s="832">
        <v>41892.0</v>
      </c>
      <c r="P195" s="388" t="s">
        <v>11033</v>
      </c>
      <c r="Q195" s="1137" t="s">
        <v>13195</v>
      </c>
      <c r="R195" s="793"/>
      <c r="S195" s="466">
        <v>12122.25</v>
      </c>
      <c r="T195" s="388" t="s">
        <v>8689</v>
      </c>
      <c r="U195" s="1143">
        <v>41911.0</v>
      </c>
      <c r="V195" s="1302"/>
      <c r="W195" s="1303"/>
      <c r="X195" s="1297"/>
      <c r="Y195" s="1297"/>
      <c r="Z195" s="91"/>
    </row>
    <row r="196" ht="15.75" customHeight="1">
      <c r="A196" s="1293">
        <v>41887.0</v>
      </c>
      <c r="B196" s="599" t="s">
        <v>10926</v>
      </c>
      <c r="C196" s="1004" t="s">
        <v>13193</v>
      </c>
      <c r="D196" s="388" t="s">
        <v>13194</v>
      </c>
      <c r="E196" s="340" t="s">
        <v>3676</v>
      </c>
      <c r="F196" s="1137">
        <v>10.0</v>
      </c>
      <c r="G196" s="325">
        <v>45.08</v>
      </c>
      <c r="H196" s="466">
        <f t="shared" si="20"/>
        <v>450.8</v>
      </c>
      <c r="I196" s="466">
        <v>1352.4</v>
      </c>
      <c r="J196" s="466">
        <v>13524.0</v>
      </c>
      <c r="K196" s="256" t="s">
        <v>11086</v>
      </c>
      <c r="L196" s="592" t="s">
        <v>11675</v>
      </c>
      <c r="M196" s="832">
        <v>41914.0</v>
      </c>
      <c r="N196" s="592" t="s">
        <v>9220</v>
      </c>
      <c r="O196" s="832">
        <v>41892.0</v>
      </c>
      <c r="P196" s="388" t="s">
        <v>11033</v>
      </c>
      <c r="Q196" s="1137" t="s">
        <v>13195</v>
      </c>
      <c r="R196" s="793"/>
      <c r="S196" s="466">
        <v>12988.5</v>
      </c>
      <c r="T196" s="388" t="s">
        <v>8689</v>
      </c>
      <c r="U196" s="1143">
        <v>41911.0</v>
      </c>
      <c r="V196" s="1143"/>
      <c r="W196" s="1159"/>
      <c r="X196" s="320"/>
      <c r="Y196" s="320"/>
      <c r="Z196" s="91"/>
    </row>
    <row r="197" ht="15.75" customHeight="1">
      <c r="A197" s="1293">
        <v>41887.0</v>
      </c>
      <c r="B197" s="599" t="s">
        <v>10926</v>
      </c>
      <c r="C197" s="1004" t="s">
        <v>13198</v>
      </c>
      <c r="D197" s="388" t="s">
        <v>13199</v>
      </c>
      <c r="E197" s="340" t="s">
        <v>6596</v>
      </c>
      <c r="F197" s="1137">
        <v>5.0</v>
      </c>
      <c r="G197" s="325">
        <v>118.3</v>
      </c>
      <c r="H197" s="466">
        <f t="shared" si="20"/>
        <v>591.5</v>
      </c>
      <c r="I197" s="793"/>
      <c r="J197" s="466">
        <v>17745.0</v>
      </c>
      <c r="K197" s="256" t="s">
        <v>11086</v>
      </c>
      <c r="L197" s="592" t="s">
        <v>11675</v>
      </c>
      <c r="M197" s="832">
        <v>41898.0</v>
      </c>
      <c r="N197" s="592" t="s">
        <v>13081</v>
      </c>
      <c r="O197" s="832">
        <v>41892.0</v>
      </c>
      <c r="P197" s="388" t="s">
        <v>11033</v>
      </c>
      <c r="Q197" s="1137" t="s">
        <v>13200</v>
      </c>
      <c r="R197" s="793"/>
      <c r="S197" s="466">
        <v>17010.0</v>
      </c>
      <c r="T197" s="388" t="s">
        <v>8689</v>
      </c>
      <c r="U197" s="1143">
        <v>41911.0</v>
      </c>
      <c r="V197" s="1302">
        <v>41891.0</v>
      </c>
      <c r="W197" s="1303">
        <v>73983.0</v>
      </c>
      <c r="X197" s="1300" t="s">
        <v>13201</v>
      </c>
      <c r="Y197" s="1300" t="s">
        <v>13202</v>
      </c>
      <c r="Z197" s="91"/>
    </row>
    <row r="198" ht="15.75" customHeight="1">
      <c r="A198" s="1293">
        <v>41887.0</v>
      </c>
      <c r="B198" s="599" t="s">
        <v>10926</v>
      </c>
      <c r="C198" s="1004" t="s">
        <v>13198</v>
      </c>
      <c r="D198" s="388" t="s">
        <v>13199</v>
      </c>
      <c r="E198" s="340" t="s">
        <v>6451</v>
      </c>
      <c r="F198" s="1137">
        <v>5.0</v>
      </c>
      <c r="G198" s="325">
        <v>124.25</v>
      </c>
      <c r="H198" s="466">
        <f t="shared" si="20"/>
        <v>621.25</v>
      </c>
      <c r="I198" s="793"/>
      <c r="J198" s="466">
        <v>18638.0</v>
      </c>
      <c r="K198" s="256" t="s">
        <v>11086</v>
      </c>
      <c r="L198" s="592" t="s">
        <v>11675</v>
      </c>
      <c r="M198" s="832">
        <v>41898.0</v>
      </c>
      <c r="N198" s="592" t="s">
        <v>13081</v>
      </c>
      <c r="O198" s="832">
        <v>41892.0</v>
      </c>
      <c r="P198" s="388" t="s">
        <v>11033</v>
      </c>
      <c r="Q198" s="1137" t="s">
        <v>13200</v>
      </c>
      <c r="R198" s="793"/>
      <c r="S198" s="466">
        <v>18443.25</v>
      </c>
      <c r="T198" s="388" t="s">
        <v>8689</v>
      </c>
      <c r="U198" s="1143">
        <v>41911.0</v>
      </c>
      <c r="V198" s="1302"/>
      <c r="W198" s="1303"/>
      <c r="X198" s="1300"/>
      <c r="Y198" s="1300"/>
      <c r="Z198" s="91"/>
    </row>
    <row r="199" ht="15.75" customHeight="1">
      <c r="A199" s="1293">
        <v>41887.0</v>
      </c>
      <c r="B199" s="599" t="s">
        <v>10926</v>
      </c>
      <c r="C199" s="1004" t="s">
        <v>13198</v>
      </c>
      <c r="D199" s="388" t="s">
        <v>13199</v>
      </c>
      <c r="E199" s="340" t="s">
        <v>3671</v>
      </c>
      <c r="F199" s="1137">
        <v>5.0</v>
      </c>
      <c r="G199" s="325">
        <v>138.425</v>
      </c>
      <c r="H199" s="466">
        <f t="shared" si="20"/>
        <v>692.125</v>
      </c>
      <c r="I199" s="793"/>
      <c r="J199" s="466">
        <v>20764.0</v>
      </c>
      <c r="K199" s="256" t="s">
        <v>11086</v>
      </c>
      <c r="L199" s="592" t="s">
        <v>11675</v>
      </c>
      <c r="M199" s="832">
        <v>41898.0</v>
      </c>
      <c r="N199" s="592" t="s">
        <v>13081</v>
      </c>
      <c r="O199" s="832">
        <v>41892.0</v>
      </c>
      <c r="P199" s="388" t="s">
        <v>11033</v>
      </c>
      <c r="Q199" s="1137" t="s">
        <v>13200</v>
      </c>
      <c r="R199" s="793"/>
      <c r="S199" s="466">
        <v>19913.25</v>
      </c>
      <c r="T199" s="388" t="s">
        <v>8689</v>
      </c>
      <c r="U199" s="1143">
        <v>41911.0</v>
      </c>
      <c r="V199" s="1302"/>
      <c r="W199" s="1303"/>
      <c r="X199" s="1300"/>
      <c r="Y199" s="1300"/>
      <c r="Z199" s="91"/>
    </row>
    <row r="200" ht="15.75" customHeight="1">
      <c r="A200" s="1293">
        <v>41887.0</v>
      </c>
      <c r="B200" s="599" t="s">
        <v>10926</v>
      </c>
      <c r="C200" s="1004" t="s">
        <v>13198</v>
      </c>
      <c r="D200" s="388" t="s">
        <v>13199</v>
      </c>
      <c r="E200" s="340" t="s">
        <v>6194</v>
      </c>
      <c r="F200" s="1137">
        <v>5.0</v>
      </c>
      <c r="G200" s="325">
        <v>84.35</v>
      </c>
      <c r="H200" s="466">
        <f t="shared" si="20"/>
        <v>421.75</v>
      </c>
      <c r="I200" s="793"/>
      <c r="J200" s="466">
        <v>12653.0</v>
      </c>
      <c r="K200" s="256" t="s">
        <v>11086</v>
      </c>
      <c r="L200" s="592" t="s">
        <v>11675</v>
      </c>
      <c r="M200" s="832">
        <v>41898.0</v>
      </c>
      <c r="N200" s="592" t="s">
        <v>13081</v>
      </c>
      <c r="O200" s="832">
        <v>41892.0</v>
      </c>
      <c r="P200" s="388" t="s">
        <v>11033</v>
      </c>
      <c r="Q200" s="1137" t="s">
        <v>13200</v>
      </c>
      <c r="R200" s="793"/>
      <c r="S200" s="466">
        <v>12122.25</v>
      </c>
      <c r="T200" s="388" t="s">
        <v>8689</v>
      </c>
      <c r="U200" s="1143">
        <v>41911.0</v>
      </c>
      <c r="V200" s="1302"/>
      <c r="W200" s="1303"/>
      <c r="X200" s="1300"/>
      <c r="Y200" s="1300"/>
      <c r="Z200" s="91"/>
    </row>
    <row r="201" ht="15.75" customHeight="1">
      <c r="A201" s="1293">
        <v>41887.0</v>
      </c>
      <c r="B201" s="599" t="s">
        <v>10926</v>
      </c>
      <c r="C201" s="1004" t="s">
        <v>13198</v>
      </c>
      <c r="D201" s="388" t="s">
        <v>13199</v>
      </c>
      <c r="E201" s="340" t="s">
        <v>3676</v>
      </c>
      <c r="F201" s="1137">
        <v>5.0</v>
      </c>
      <c r="G201" s="325">
        <v>45.08</v>
      </c>
      <c r="H201" s="466">
        <f t="shared" si="20"/>
        <v>225.4</v>
      </c>
      <c r="I201" s="793"/>
      <c r="J201" s="466">
        <v>6762.0</v>
      </c>
      <c r="K201" s="256" t="s">
        <v>11086</v>
      </c>
      <c r="L201" s="592" t="s">
        <v>11675</v>
      </c>
      <c r="M201" s="832">
        <v>41898.0</v>
      </c>
      <c r="N201" s="592" t="s">
        <v>13081</v>
      </c>
      <c r="O201" s="832">
        <v>41892.0</v>
      </c>
      <c r="P201" s="388" t="s">
        <v>11033</v>
      </c>
      <c r="Q201" s="1137" t="s">
        <v>13200</v>
      </c>
      <c r="R201" s="793"/>
      <c r="S201" s="466">
        <v>6494.25</v>
      </c>
      <c r="T201" s="388" t="s">
        <v>8689</v>
      </c>
      <c r="U201" s="1143">
        <v>41911.0</v>
      </c>
      <c r="V201" s="1143"/>
      <c r="W201" s="1159"/>
      <c r="X201" s="388"/>
      <c r="Y201" s="388"/>
      <c r="Z201" s="91"/>
    </row>
    <row r="202" ht="15.75" customHeight="1">
      <c r="A202" s="1293">
        <v>41891.0</v>
      </c>
      <c r="B202" s="599" t="s">
        <v>6587</v>
      </c>
      <c r="C202" s="388"/>
      <c r="D202" s="388" t="s">
        <v>13203</v>
      </c>
      <c r="E202" s="340" t="s">
        <v>12683</v>
      </c>
      <c r="F202" s="1137">
        <v>3.0</v>
      </c>
      <c r="G202" s="325">
        <v>772.0</v>
      </c>
      <c r="H202" s="466">
        <f>G202*F202</f>
        <v>2316</v>
      </c>
      <c r="I202" s="793"/>
      <c r="J202" s="793"/>
      <c r="K202" s="256" t="s">
        <v>8675</v>
      </c>
      <c r="L202" s="592" t="s">
        <v>6591</v>
      </c>
      <c r="M202" s="832">
        <v>41912.0</v>
      </c>
      <c r="N202" s="592" t="s">
        <v>6067</v>
      </c>
      <c r="O202" s="832">
        <v>41908.0</v>
      </c>
      <c r="P202" s="388" t="s">
        <v>13204</v>
      </c>
      <c r="Q202" s="773" t="s">
        <v>13205</v>
      </c>
      <c r="R202" s="466">
        <v>2205.0</v>
      </c>
      <c r="S202" s="466">
        <v>66481.0</v>
      </c>
      <c r="T202" s="388" t="s">
        <v>11250</v>
      </c>
      <c r="U202" s="1143">
        <v>41904.0</v>
      </c>
      <c r="V202" s="1133">
        <v>41907.0</v>
      </c>
      <c r="W202" s="1149">
        <v>66723.0</v>
      </c>
      <c r="X202" s="320" t="s">
        <v>13206</v>
      </c>
      <c r="Y202" s="388"/>
      <c r="Z202" s="91"/>
    </row>
    <row r="203" ht="15.75" customHeight="1">
      <c r="A203" s="1293">
        <v>41891.0</v>
      </c>
      <c r="B203" s="599" t="s">
        <v>11771</v>
      </c>
      <c r="C203" s="388"/>
      <c r="D203" s="388" t="s">
        <v>13207</v>
      </c>
      <c r="E203" s="340" t="s">
        <v>13181</v>
      </c>
      <c r="F203" s="1137">
        <v>1.0</v>
      </c>
      <c r="G203" s="325">
        <v>511.0</v>
      </c>
      <c r="H203" s="466">
        <f t="shared" ref="H203:H217" si="21">F203*G203</f>
        <v>511</v>
      </c>
      <c r="I203" s="793"/>
      <c r="J203" s="793"/>
      <c r="K203" s="256" t="s">
        <v>11898</v>
      </c>
      <c r="L203" s="592" t="s">
        <v>11774</v>
      </c>
      <c r="M203" s="832">
        <v>41897.0</v>
      </c>
      <c r="N203" s="592" t="s">
        <v>6067</v>
      </c>
      <c r="O203" s="832">
        <v>41894.0</v>
      </c>
      <c r="P203" s="388" t="s">
        <v>90</v>
      </c>
      <c r="Q203" s="773">
        <v>2.0140900132993E13</v>
      </c>
      <c r="R203" s="466">
        <v>472.5</v>
      </c>
      <c r="S203" s="793"/>
      <c r="T203" s="388" t="s">
        <v>11006</v>
      </c>
      <c r="U203" s="1143">
        <v>41912.0</v>
      </c>
      <c r="V203" s="773" t="s">
        <v>13208</v>
      </c>
      <c r="W203" s="1149">
        <v>14116.0</v>
      </c>
      <c r="X203" s="320" t="s">
        <v>13174</v>
      </c>
      <c r="Y203" s="388"/>
      <c r="Z203" s="91"/>
    </row>
    <row r="204" ht="15.75" customHeight="1">
      <c r="A204" s="1293">
        <v>41892.0</v>
      </c>
      <c r="B204" s="599" t="s">
        <v>12325</v>
      </c>
      <c r="C204" s="1004" t="s">
        <v>13209</v>
      </c>
      <c r="D204" s="388" t="s">
        <v>13210</v>
      </c>
      <c r="E204" s="340" t="s">
        <v>13211</v>
      </c>
      <c r="F204" s="1137">
        <v>12.0</v>
      </c>
      <c r="G204" s="325">
        <v>217.87</v>
      </c>
      <c r="H204" s="466">
        <f t="shared" si="21"/>
        <v>2614.44</v>
      </c>
      <c r="I204" s="793"/>
      <c r="J204" s="466">
        <v>78435.0</v>
      </c>
      <c r="K204" s="256" t="s">
        <v>12246</v>
      </c>
      <c r="L204" s="592" t="s">
        <v>90</v>
      </c>
      <c r="M204" s="832">
        <v>41899.0</v>
      </c>
      <c r="N204" s="592" t="s">
        <v>90</v>
      </c>
      <c r="O204" s="388"/>
      <c r="P204" s="388" t="s">
        <v>90</v>
      </c>
      <c r="Q204" s="773">
        <v>2.0140900133066E13</v>
      </c>
      <c r="R204" s="466">
        <v>2457.0</v>
      </c>
      <c r="S204" s="793"/>
      <c r="T204" s="388" t="s">
        <v>11006</v>
      </c>
      <c r="U204" s="1143">
        <v>41912.0</v>
      </c>
      <c r="V204" s="1133">
        <v>41899.0</v>
      </c>
      <c r="W204" s="1149">
        <v>73403.0</v>
      </c>
      <c r="X204" s="388" t="s">
        <v>13212</v>
      </c>
      <c r="Y204" s="388" t="s">
        <v>13213</v>
      </c>
      <c r="Z204" s="91"/>
    </row>
    <row r="205" ht="15.75" customHeight="1">
      <c r="A205" s="1293">
        <v>41892.0</v>
      </c>
      <c r="B205" s="599" t="s">
        <v>11771</v>
      </c>
      <c r="C205" s="388"/>
      <c r="D205" s="388" t="s">
        <v>13214</v>
      </c>
      <c r="E205" s="340" t="s">
        <v>13124</v>
      </c>
      <c r="F205" s="1137">
        <v>20.0</v>
      </c>
      <c r="G205" s="325">
        <v>173.0</v>
      </c>
      <c r="H205" s="466">
        <f t="shared" si="21"/>
        <v>3460</v>
      </c>
      <c r="I205" s="793"/>
      <c r="J205" s="793"/>
      <c r="K205" s="256" t="s">
        <v>11898</v>
      </c>
      <c r="L205" s="592" t="s">
        <v>11774</v>
      </c>
      <c r="M205" s="832">
        <v>41911.0</v>
      </c>
      <c r="N205" s="592" t="s">
        <v>6067</v>
      </c>
      <c r="O205" s="832">
        <v>41908.0</v>
      </c>
      <c r="P205" s="388" t="s">
        <v>90</v>
      </c>
      <c r="Q205" s="773">
        <v>2.0140900133219E13</v>
      </c>
      <c r="R205" s="466">
        <v>3003.0</v>
      </c>
      <c r="S205" s="793"/>
      <c r="T205" s="388" t="s">
        <v>11006</v>
      </c>
      <c r="U205" s="1143">
        <v>41912.0</v>
      </c>
      <c r="V205" s="1133">
        <v>41908.0</v>
      </c>
      <c r="W205" s="1149">
        <v>90090.0</v>
      </c>
      <c r="X205" s="320" t="s">
        <v>13184</v>
      </c>
      <c r="Y205" s="388"/>
      <c r="Z205" s="91"/>
    </row>
    <row r="206" ht="15.75" customHeight="1">
      <c r="A206" s="1293">
        <v>41892.0</v>
      </c>
      <c r="B206" s="599" t="s">
        <v>10926</v>
      </c>
      <c r="C206" s="1004" t="s">
        <v>13215</v>
      </c>
      <c r="D206" s="388" t="s">
        <v>13216</v>
      </c>
      <c r="E206" s="340" t="s">
        <v>13217</v>
      </c>
      <c r="F206" s="1137">
        <v>2.0</v>
      </c>
      <c r="G206" s="325">
        <v>131.6</v>
      </c>
      <c r="H206" s="466">
        <f t="shared" si="21"/>
        <v>263.2</v>
      </c>
      <c r="I206" s="793"/>
      <c r="J206" s="466">
        <v>7896.0</v>
      </c>
      <c r="K206" s="256" t="s">
        <v>11086</v>
      </c>
      <c r="L206" s="592" t="s">
        <v>11675</v>
      </c>
      <c r="M206" s="1148">
        <v>41898.0</v>
      </c>
      <c r="N206" s="592" t="s">
        <v>13081</v>
      </c>
      <c r="O206" s="832">
        <v>41894.0</v>
      </c>
      <c r="P206" s="388" t="s">
        <v>11033</v>
      </c>
      <c r="Q206" s="1137" t="s">
        <v>13218</v>
      </c>
      <c r="R206" s="793"/>
      <c r="S206" s="466">
        <v>7554.0</v>
      </c>
      <c r="T206" s="388" t="s">
        <v>8689</v>
      </c>
      <c r="U206" s="1143">
        <v>41911.0</v>
      </c>
      <c r="V206" s="1302">
        <v>41893.0</v>
      </c>
      <c r="W206" s="1303">
        <v>34480.0</v>
      </c>
      <c r="X206" s="1300" t="s">
        <v>13219</v>
      </c>
      <c r="Y206" s="1300" t="s">
        <v>13202</v>
      </c>
      <c r="Z206" s="91"/>
    </row>
    <row r="207" ht="15.75" customHeight="1">
      <c r="A207" s="1293">
        <v>41892.0</v>
      </c>
      <c r="B207" s="599" t="s">
        <v>10926</v>
      </c>
      <c r="C207" s="1004" t="s">
        <v>13215</v>
      </c>
      <c r="D207" s="388" t="s">
        <v>13216</v>
      </c>
      <c r="E207" s="340" t="s">
        <v>7742</v>
      </c>
      <c r="F207" s="1137">
        <v>1.0</v>
      </c>
      <c r="G207" s="325">
        <v>177.38</v>
      </c>
      <c r="H207" s="466">
        <f t="shared" si="21"/>
        <v>177.38</v>
      </c>
      <c r="I207" s="793"/>
      <c r="J207" s="466">
        <v>5321.0</v>
      </c>
      <c r="K207" s="256" t="s">
        <v>11086</v>
      </c>
      <c r="L207" s="592" t="s">
        <v>11675</v>
      </c>
      <c r="M207" s="1148">
        <v>41898.0</v>
      </c>
      <c r="N207" s="592" t="s">
        <v>13081</v>
      </c>
      <c r="O207" s="832">
        <v>41894.0</v>
      </c>
      <c r="P207" s="388" t="s">
        <v>11033</v>
      </c>
      <c r="Q207" s="1137" t="s">
        <v>13218</v>
      </c>
      <c r="R207" s="793"/>
      <c r="S207" s="466">
        <v>5109.0</v>
      </c>
      <c r="T207" s="388" t="s">
        <v>8689</v>
      </c>
      <c r="U207" s="1143">
        <v>41911.0</v>
      </c>
      <c r="V207" s="1302"/>
      <c r="W207" s="1303"/>
      <c r="X207" s="1300"/>
      <c r="Y207" s="1300"/>
      <c r="Z207" s="91"/>
    </row>
    <row r="208" ht="15.75" customHeight="1">
      <c r="A208" s="1293">
        <v>41892.0</v>
      </c>
      <c r="B208" s="599" t="s">
        <v>10926</v>
      </c>
      <c r="C208" s="1004" t="s">
        <v>13215</v>
      </c>
      <c r="D208" s="388" t="s">
        <v>13216</v>
      </c>
      <c r="E208" s="340" t="s">
        <v>7014</v>
      </c>
      <c r="F208" s="1137">
        <v>6.0</v>
      </c>
      <c r="G208" s="325">
        <v>54.25</v>
      </c>
      <c r="H208" s="466">
        <f t="shared" si="21"/>
        <v>325.5</v>
      </c>
      <c r="I208" s="793"/>
      <c r="J208" s="466">
        <v>9765.0</v>
      </c>
      <c r="K208" s="256" t="s">
        <v>11086</v>
      </c>
      <c r="L208" s="592" t="s">
        <v>11675</v>
      </c>
      <c r="M208" s="1148">
        <v>41898.0</v>
      </c>
      <c r="N208" s="592" t="s">
        <v>13081</v>
      </c>
      <c r="O208" s="832">
        <v>41894.0</v>
      </c>
      <c r="P208" s="388" t="s">
        <v>11033</v>
      </c>
      <c r="Q208" s="1137" t="s">
        <v>13218</v>
      </c>
      <c r="R208" s="793"/>
      <c r="S208" s="466">
        <v>9349.0</v>
      </c>
      <c r="T208" s="388" t="s">
        <v>8689</v>
      </c>
      <c r="U208" s="1143">
        <v>41911.0</v>
      </c>
      <c r="V208" s="1302"/>
      <c r="W208" s="1303"/>
      <c r="X208" s="1300"/>
      <c r="Y208" s="1300"/>
      <c r="Z208" s="91"/>
    </row>
    <row r="209" ht="15.75" customHeight="1">
      <c r="A209" s="1293">
        <v>41892.0</v>
      </c>
      <c r="B209" s="599" t="s">
        <v>10926</v>
      </c>
      <c r="C209" s="1004" t="s">
        <v>13215</v>
      </c>
      <c r="D209" s="388" t="s">
        <v>13216</v>
      </c>
      <c r="E209" s="340" t="s">
        <v>11557</v>
      </c>
      <c r="F209" s="1137">
        <v>5.0</v>
      </c>
      <c r="G209" s="325">
        <v>72.17</v>
      </c>
      <c r="H209" s="466">
        <f t="shared" si="21"/>
        <v>360.85</v>
      </c>
      <c r="I209" s="793"/>
      <c r="J209" s="466">
        <v>10826.0</v>
      </c>
      <c r="K209" s="256" t="s">
        <v>11086</v>
      </c>
      <c r="L209" s="592" t="s">
        <v>11675</v>
      </c>
      <c r="M209" s="1148">
        <v>41898.0</v>
      </c>
      <c r="N209" s="592" t="s">
        <v>13081</v>
      </c>
      <c r="O209" s="832">
        <v>41894.0</v>
      </c>
      <c r="P209" s="388" t="s">
        <v>11033</v>
      </c>
      <c r="Q209" s="1137" t="s">
        <v>13218</v>
      </c>
      <c r="R209" s="793"/>
      <c r="S209" s="466">
        <v>10390.0</v>
      </c>
      <c r="T209" s="388" t="s">
        <v>8689</v>
      </c>
      <c r="U209" s="1143">
        <v>41911.0</v>
      </c>
      <c r="V209" s="1302"/>
      <c r="W209" s="1303"/>
      <c r="X209" s="1300"/>
      <c r="Y209" s="1300"/>
      <c r="Z209" s="91"/>
    </row>
    <row r="210" ht="15.75" customHeight="1">
      <c r="A210" s="1293">
        <v>41892.0</v>
      </c>
      <c r="B210" s="599" t="s">
        <v>10926</v>
      </c>
      <c r="C210" s="1004" t="s">
        <v>13215</v>
      </c>
      <c r="D210" s="388" t="s">
        <v>13216</v>
      </c>
      <c r="E210" s="340" t="s">
        <v>11336</v>
      </c>
      <c r="F210" s="1137">
        <v>1.0</v>
      </c>
      <c r="G210" s="325">
        <v>72.17</v>
      </c>
      <c r="H210" s="466">
        <f t="shared" si="21"/>
        <v>72.17</v>
      </c>
      <c r="I210" s="793"/>
      <c r="J210" s="466">
        <v>2165.0</v>
      </c>
      <c r="K210" s="256" t="s">
        <v>11086</v>
      </c>
      <c r="L210" s="592" t="s">
        <v>11675</v>
      </c>
      <c r="M210" s="1148">
        <v>41898.0</v>
      </c>
      <c r="N210" s="592" t="s">
        <v>13081</v>
      </c>
      <c r="O210" s="832">
        <v>41894.0</v>
      </c>
      <c r="P210" s="388" t="s">
        <v>11033</v>
      </c>
      <c r="Q210" s="1137" t="s">
        <v>13218</v>
      </c>
      <c r="R210" s="793"/>
      <c r="S210" s="466">
        <v>2078.0</v>
      </c>
      <c r="T210" s="388" t="s">
        <v>8689</v>
      </c>
      <c r="U210" s="1143">
        <v>41911.0</v>
      </c>
      <c r="V210" s="1143"/>
      <c r="W210" s="1159"/>
      <c r="X210" s="388"/>
      <c r="Y210" s="388"/>
      <c r="Z210" s="91"/>
    </row>
    <row r="211" ht="15.75" customHeight="1">
      <c r="A211" s="1293">
        <v>41893.0</v>
      </c>
      <c r="B211" s="599" t="s">
        <v>11771</v>
      </c>
      <c r="C211" s="388"/>
      <c r="D211" s="388" t="s">
        <v>13220</v>
      </c>
      <c r="E211" s="340" t="s">
        <v>13221</v>
      </c>
      <c r="F211" s="1137">
        <v>2.0</v>
      </c>
      <c r="G211" s="325">
        <v>487.0</v>
      </c>
      <c r="H211" s="466">
        <f t="shared" si="21"/>
        <v>974</v>
      </c>
      <c r="I211" s="793"/>
      <c r="J211" s="793"/>
      <c r="K211" s="256" t="s">
        <v>11898</v>
      </c>
      <c r="L211" s="592" t="s">
        <v>11774</v>
      </c>
      <c r="M211" s="832">
        <v>41911.0</v>
      </c>
      <c r="N211" s="592" t="s">
        <v>6067</v>
      </c>
      <c r="O211" s="832">
        <v>41908.0</v>
      </c>
      <c r="P211" s="388" t="s">
        <v>90</v>
      </c>
      <c r="Q211" s="773">
        <v>2.0140900133217E13</v>
      </c>
      <c r="R211" s="466">
        <v>900.9</v>
      </c>
      <c r="S211" s="793"/>
      <c r="T211" s="388" t="s">
        <v>11006</v>
      </c>
      <c r="U211" s="1143">
        <v>41912.0</v>
      </c>
      <c r="V211" s="1133">
        <v>41908.0</v>
      </c>
      <c r="W211" s="1149">
        <v>27027.0</v>
      </c>
      <c r="X211" s="320" t="s">
        <v>13184</v>
      </c>
      <c r="Y211" s="388"/>
      <c r="Z211" s="91"/>
    </row>
    <row r="212" ht="15.75" customHeight="1">
      <c r="A212" s="1293">
        <v>41898.0</v>
      </c>
      <c r="B212" s="599" t="s">
        <v>10926</v>
      </c>
      <c r="C212" s="1004" t="s">
        <v>13222</v>
      </c>
      <c r="D212" s="388" t="s">
        <v>13223</v>
      </c>
      <c r="E212" s="340" t="s">
        <v>11263</v>
      </c>
      <c r="F212" s="1137">
        <v>7.0</v>
      </c>
      <c r="G212" s="325">
        <v>100.625</v>
      </c>
      <c r="H212" s="466">
        <f t="shared" si="21"/>
        <v>704.375</v>
      </c>
      <c r="I212" s="793"/>
      <c r="J212" s="466">
        <v>21131.0</v>
      </c>
      <c r="K212" s="256" t="s">
        <v>11086</v>
      </c>
      <c r="L212" s="592" t="s">
        <v>11675</v>
      </c>
      <c r="M212" s="832">
        <v>41900.0</v>
      </c>
      <c r="N212" s="592" t="s">
        <v>9220</v>
      </c>
      <c r="O212" s="832">
        <v>41899.0</v>
      </c>
      <c r="P212" s="388" t="s">
        <v>11033</v>
      </c>
      <c r="Q212" s="1137" t="s">
        <v>13224</v>
      </c>
      <c r="R212" s="793"/>
      <c r="S212" s="466">
        <v>20257.0</v>
      </c>
      <c r="T212" s="388" t="s">
        <v>8689</v>
      </c>
      <c r="U212" s="1143">
        <v>41911.0</v>
      </c>
      <c r="V212" s="1143">
        <v>41899.0</v>
      </c>
      <c r="W212" s="1159">
        <v>20257.0</v>
      </c>
      <c r="X212" s="388" t="s">
        <v>13225</v>
      </c>
      <c r="Y212" s="388" t="s">
        <v>13165</v>
      </c>
      <c r="Z212" s="91"/>
    </row>
    <row r="213" ht="15.75" customHeight="1">
      <c r="A213" s="1293">
        <v>41899.0</v>
      </c>
      <c r="B213" s="599" t="s">
        <v>11771</v>
      </c>
      <c r="C213" s="388"/>
      <c r="D213" s="388" t="s">
        <v>13226</v>
      </c>
      <c r="E213" s="340" t="s">
        <v>13227</v>
      </c>
      <c r="F213" s="1137">
        <v>6.0</v>
      </c>
      <c r="G213" s="325">
        <v>82.0</v>
      </c>
      <c r="H213" s="466">
        <f t="shared" si="21"/>
        <v>492</v>
      </c>
      <c r="I213" s="793"/>
      <c r="J213" s="793"/>
      <c r="K213" s="256" t="s">
        <v>11898</v>
      </c>
      <c r="L213" s="592" t="s">
        <v>11774</v>
      </c>
      <c r="M213" s="832">
        <v>41933.0</v>
      </c>
      <c r="N213" s="1301" t="s">
        <v>6067</v>
      </c>
      <c r="O213" s="832">
        <v>41929.0</v>
      </c>
      <c r="P213" s="388" t="s">
        <v>90</v>
      </c>
      <c r="Q213" s="773">
        <v>2.0140900133602E13</v>
      </c>
      <c r="R213" s="466">
        <v>459.9</v>
      </c>
      <c r="S213" s="793"/>
      <c r="T213" s="388" t="s">
        <v>11006</v>
      </c>
      <c r="U213" s="1143">
        <v>41946.0</v>
      </c>
      <c r="V213" s="1133">
        <v>41929.0</v>
      </c>
      <c r="W213" s="1149">
        <v>49259.0</v>
      </c>
      <c r="X213" s="1297" t="s">
        <v>13228</v>
      </c>
      <c r="Y213" s="388"/>
      <c r="Z213" s="91"/>
    </row>
    <row r="214" ht="15.75" customHeight="1">
      <c r="A214" s="1293">
        <v>41899.0</v>
      </c>
      <c r="B214" s="599" t="s">
        <v>11771</v>
      </c>
      <c r="C214" s="388"/>
      <c r="D214" s="388" t="s">
        <v>13226</v>
      </c>
      <c r="E214" s="340" t="s">
        <v>13229</v>
      </c>
      <c r="F214" s="1137">
        <v>2.0</v>
      </c>
      <c r="G214" s="325">
        <v>52.0</v>
      </c>
      <c r="H214" s="466">
        <f t="shared" si="21"/>
        <v>104</v>
      </c>
      <c r="I214" s="793"/>
      <c r="J214" s="793"/>
      <c r="K214" s="256" t="s">
        <v>11898</v>
      </c>
      <c r="L214" s="592" t="s">
        <v>11774</v>
      </c>
      <c r="M214" s="832">
        <v>41933.0</v>
      </c>
      <c r="N214" s="1301"/>
      <c r="O214" s="256" t="s">
        <v>13230</v>
      </c>
      <c r="P214" s="388" t="s">
        <v>12709</v>
      </c>
      <c r="Q214" s="773">
        <v>227210.0</v>
      </c>
      <c r="R214" s="466">
        <v>134.4</v>
      </c>
      <c r="S214" s="466">
        <v>4097.0</v>
      </c>
      <c r="T214" s="388" t="s">
        <v>2043</v>
      </c>
      <c r="U214" s="1143">
        <v>41912.0</v>
      </c>
      <c r="V214" s="1137" t="s">
        <v>13231</v>
      </c>
      <c r="W214" s="1149">
        <v>4097.0</v>
      </c>
      <c r="X214" s="1297"/>
      <c r="Y214" s="388"/>
      <c r="Z214" s="91"/>
    </row>
    <row r="215" ht="15.75" customHeight="1">
      <c r="A215" s="1293">
        <v>41899.0</v>
      </c>
      <c r="B215" s="599" t="s">
        <v>11771</v>
      </c>
      <c r="C215" s="388"/>
      <c r="D215" s="388" t="s">
        <v>13226</v>
      </c>
      <c r="E215" s="340" t="s">
        <v>13229</v>
      </c>
      <c r="F215" s="1137">
        <v>4.0</v>
      </c>
      <c r="G215" s="325">
        <v>52.0</v>
      </c>
      <c r="H215" s="466">
        <f t="shared" si="21"/>
        <v>208</v>
      </c>
      <c r="I215" s="793"/>
      <c r="J215" s="793"/>
      <c r="K215" s="256" t="s">
        <v>11898</v>
      </c>
      <c r="L215" s="592" t="s">
        <v>11774</v>
      </c>
      <c r="M215" s="832">
        <v>41933.0</v>
      </c>
      <c r="N215" s="1301"/>
      <c r="O215" s="832">
        <v>41929.0</v>
      </c>
      <c r="P215" s="1297" t="s">
        <v>90</v>
      </c>
      <c r="Q215" s="1298">
        <v>2.0140900133602E13</v>
      </c>
      <c r="R215" s="466">
        <v>193.2</v>
      </c>
      <c r="S215" s="793"/>
      <c r="T215" s="1300" t="s">
        <v>11006</v>
      </c>
      <c r="U215" s="1143">
        <v>41946.0</v>
      </c>
      <c r="V215" s="1295">
        <v>41929.0</v>
      </c>
      <c r="W215" s="1296">
        <v>49259.0</v>
      </c>
      <c r="X215" s="1297"/>
      <c r="Y215" s="388"/>
      <c r="Z215" s="91"/>
    </row>
    <row r="216" ht="15.75" customHeight="1">
      <c r="A216" s="1293">
        <v>41899.0</v>
      </c>
      <c r="B216" s="599" t="s">
        <v>11771</v>
      </c>
      <c r="C216" s="388"/>
      <c r="D216" s="388" t="s">
        <v>13226</v>
      </c>
      <c r="E216" s="340" t="s">
        <v>13232</v>
      </c>
      <c r="F216" s="1137">
        <v>3.0</v>
      </c>
      <c r="G216" s="325">
        <v>268.0</v>
      </c>
      <c r="H216" s="466">
        <f t="shared" si="21"/>
        <v>804</v>
      </c>
      <c r="I216" s="793"/>
      <c r="J216" s="793"/>
      <c r="K216" s="256" t="s">
        <v>11898</v>
      </c>
      <c r="L216" s="592" t="s">
        <v>11774</v>
      </c>
      <c r="M216" s="832">
        <v>41933.0</v>
      </c>
      <c r="N216" s="1301"/>
      <c r="O216" s="832">
        <v>41929.0</v>
      </c>
      <c r="P216" s="1297"/>
      <c r="Q216" s="1298"/>
      <c r="R216" s="466">
        <v>693.0</v>
      </c>
      <c r="S216" s="793"/>
      <c r="T216" s="1300"/>
      <c r="U216" s="1143">
        <v>41946.0</v>
      </c>
      <c r="V216" s="1295"/>
      <c r="W216" s="1296"/>
      <c r="X216" s="1297"/>
      <c r="Y216" s="388"/>
      <c r="Z216" s="91"/>
    </row>
    <row r="217" ht="15.75" customHeight="1">
      <c r="A217" s="1293">
        <v>41899.0</v>
      </c>
      <c r="B217" s="599" t="s">
        <v>11771</v>
      </c>
      <c r="C217" s="388"/>
      <c r="D217" s="388" t="s">
        <v>13226</v>
      </c>
      <c r="E217" s="340" t="s">
        <v>13233</v>
      </c>
      <c r="F217" s="1137">
        <v>3.0</v>
      </c>
      <c r="G217" s="325">
        <v>100.0</v>
      </c>
      <c r="H217" s="466">
        <f t="shared" si="21"/>
        <v>300</v>
      </c>
      <c r="I217" s="793"/>
      <c r="J217" s="793"/>
      <c r="K217" s="256" t="s">
        <v>11898</v>
      </c>
      <c r="L217" s="592" t="s">
        <v>11774</v>
      </c>
      <c r="M217" s="832">
        <v>41933.0</v>
      </c>
      <c r="N217" s="592"/>
      <c r="O217" s="832">
        <v>41929.0</v>
      </c>
      <c r="P217" s="320"/>
      <c r="Q217" s="773"/>
      <c r="R217" s="466">
        <v>277.2</v>
      </c>
      <c r="S217" s="793"/>
      <c r="T217" s="388"/>
      <c r="U217" s="1143">
        <v>41946.0</v>
      </c>
      <c r="V217" s="1133"/>
      <c r="W217" s="1149"/>
      <c r="X217" s="320"/>
      <c r="Y217" s="388"/>
      <c r="Z217" s="91"/>
    </row>
    <row r="218" ht="15.75" customHeight="1">
      <c r="A218" s="1311">
        <v>41900.0</v>
      </c>
      <c r="B218" s="599" t="s">
        <v>10926</v>
      </c>
      <c r="C218" s="265" t="s">
        <v>13234</v>
      </c>
      <c r="D218" s="320" t="s">
        <v>13235</v>
      </c>
      <c r="E218" s="340" t="s">
        <v>10104</v>
      </c>
      <c r="F218" s="773">
        <v>1.0</v>
      </c>
      <c r="G218" s="466">
        <v>131.96</v>
      </c>
      <c r="H218" s="466">
        <v>131.96</v>
      </c>
      <c r="I218" s="466">
        <v>3959.0</v>
      </c>
      <c r="J218" s="466">
        <v>3959.0</v>
      </c>
      <c r="K218" s="256" t="s">
        <v>11086</v>
      </c>
      <c r="L218" s="256" t="s">
        <v>13236</v>
      </c>
      <c r="M218" s="832">
        <v>41904.0</v>
      </c>
      <c r="N218" s="256" t="s">
        <v>9220</v>
      </c>
      <c r="O218" s="832">
        <v>41901.0</v>
      </c>
      <c r="P218" s="320" t="s">
        <v>11033</v>
      </c>
      <c r="Q218" s="773" t="s">
        <v>13237</v>
      </c>
      <c r="R218" s="793"/>
      <c r="S218" s="466">
        <v>3791.0</v>
      </c>
      <c r="T218" s="320" t="s">
        <v>8689</v>
      </c>
      <c r="U218" s="1133">
        <v>41911.0</v>
      </c>
      <c r="V218" s="1133">
        <v>41901.0</v>
      </c>
      <c r="W218" s="1149">
        <v>3791.0</v>
      </c>
      <c r="X218" s="320" t="s">
        <v>13238</v>
      </c>
      <c r="Y218" s="320" t="s">
        <v>13239</v>
      </c>
      <c r="Z218" s="91"/>
    </row>
    <row r="219" ht="15.75" customHeight="1">
      <c r="A219" s="1293">
        <v>41901.0</v>
      </c>
      <c r="B219" s="599" t="s">
        <v>10946</v>
      </c>
      <c r="C219" s="388"/>
      <c r="D219" s="388" t="s">
        <v>13240</v>
      </c>
      <c r="E219" s="340" t="s">
        <v>13241</v>
      </c>
      <c r="F219" s="1137">
        <v>2.0</v>
      </c>
      <c r="G219" s="793"/>
      <c r="H219" s="466">
        <f t="shared" ref="H219:H223" si="22">J219/30</f>
        <v>2030</v>
      </c>
      <c r="I219" s="466">
        <v>30450.0</v>
      </c>
      <c r="J219" s="466">
        <f t="shared" ref="J219:J223" si="23">F219*I219</f>
        <v>60900</v>
      </c>
      <c r="K219" s="256" t="s">
        <v>11898</v>
      </c>
      <c r="L219" s="592" t="s">
        <v>13010</v>
      </c>
      <c r="M219" s="832">
        <v>41947.0</v>
      </c>
      <c r="N219" s="592" t="s">
        <v>6067</v>
      </c>
      <c r="O219" s="832">
        <v>41946.0</v>
      </c>
      <c r="P219" s="388" t="s">
        <v>10950</v>
      </c>
      <c r="Q219" s="388"/>
      <c r="R219" s="793"/>
      <c r="S219" s="466">
        <v>0.0</v>
      </c>
      <c r="T219" s="388" t="s">
        <v>10953</v>
      </c>
      <c r="U219" s="388" t="s">
        <v>13242</v>
      </c>
      <c r="V219" s="1133">
        <v>41943.0</v>
      </c>
      <c r="W219" s="1149">
        <v>55440.0</v>
      </c>
      <c r="X219" s="388" t="s">
        <v>13243</v>
      </c>
      <c r="Y219" s="388" t="s">
        <v>13244</v>
      </c>
      <c r="Z219" s="91"/>
    </row>
    <row r="220" ht="15.75" customHeight="1">
      <c r="A220" s="1293">
        <v>41901.0</v>
      </c>
      <c r="B220" s="599" t="s">
        <v>10946</v>
      </c>
      <c r="C220" s="388"/>
      <c r="D220" s="388" t="s">
        <v>13240</v>
      </c>
      <c r="E220" s="340" t="s">
        <v>13241</v>
      </c>
      <c r="F220" s="1137">
        <v>33.0</v>
      </c>
      <c r="G220" s="793"/>
      <c r="H220" s="466">
        <f t="shared" si="22"/>
        <v>33495</v>
      </c>
      <c r="I220" s="466">
        <v>30450.0</v>
      </c>
      <c r="J220" s="466">
        <f t="shared" si="23"/>
        <v>1004850</v>
      </c>
      <c r="K220" s="256" t="s">
        <v>11898</v>
      </c>
      <c r="L220" s="592" t="s">
        <v>6067</v>
      </c>
      <c r="M220" s="832">
        <v>41960.0</v>
      </c>
      <c r="N220" s="592" t="s">
        <v>13245</v>
      </c>
      <c r="O220" s="832">
        <v>41955.0</v>
      </c>
      <c r="P220" s="388" t="s">
        <v>10950</v>
      </c>
      <c r="Q220" s="1137" t="s">
        <v>13246</v>
      </c>
      <c r="R220" s="793"/>
      <c r="S220" s="466">
        <v>970200.0</v>
      </c>
      <c r="T220" s="388" t="s">
        <v>10953</v>
      </c>
      <c r="U220" s="388" t="s">
        <v>13247</v>
      </c>
      <c r="V220" s="1143">
        <v>41955.0</v>
      </c>
      <c r="W220" s="1159">
        <v>914760.0</v>
      </c>
      <c r="X220" s="1297" t="s">
        <v>13248</v>
      </c>
      <c r="Y220" s="1300" t="s">
        <v>13249</v>
      </c>
      <c r="Z220" s="91"/>
    </row>
    <row r="221" ht="15.75" customHeight="1">
      <c r="A221" s="1293">
        <v>41901.0</v>
      </c>
      <c r="B221" s="599" t="s">
        <v>10946</v>
      </c>
      <c r="C221" s="388"/>
      <c r="D221" s="388" t="s">
        <v>13240</v>
      </c>
      <c r="E221" s="340" t="s">
        <v>13250</v>
      </c>
      <c r="F221" s="1137">
        <v>3.0</v>
      </c>
      <c r="G221" s="793"/>
      <c r="H221" s="466">
        <f t="shared" si="22"/>
        <v>3255</v>
      </c>
      <c r="I221" s="466">
        <v>32550.0</v>
      </c>
      <c r="J221" s="466">
        <f t="shared" si="23"/>
        <v>97650</v>
      </c>
      <c r="K221" s="256" t="s">
        <v>11898</v>
      </c>
      <c r="L221" s="592" t="s">
        <v>6067</v>
      </c>
      <c r="M221" s="832">
        <v>41960.0</v>
      </c>
      <c r="N221" s="592" t="s">
        <v>13245</v>
      </c>
      <c r="O221" s="832">
        <v>41955.0</v>
      </c>
      <c r="P221" s="388" t="s">
        <v>10950</v>
      </c>
      <c r="Q221" s="1137" t="s">
        <v>13246</v>
      </c>
      <c r="R221" s="793"/>
      <c r="S221" s="466">
        <v>89208.0</v>
      </c>
      <c r="T221" s="388" t="s">
        <v>10953</v>
      </c>
      <c r="U221" s="388" t="s">
        <v>13242</v>
      </c>
      <c r="V221" s="1302">
        <v>41957.0</v>
      </c>
      <c r="W221" s="1303">
        <v>225729.0</v>
      </c>
      <c r="X221" s="1297"/>
      <c r="Y221" s="1300"/>
      <c r="Z221" s="91"/>
    </row>
    <row r="222" ht="15.75" customHeight="1">
      <c r="A222" s="1293">
        <v>41901.0</v>
      </c>
      <c r="B222" s="599" t="s">
        <v>10946</v>
      </c>
      <c r="C222" s="388"/>
      <c r="D222" s="388" t="s">
        <v>13240</v>
      </c>
      <c r="E222" s="340" t="s">
        <v>13251</v>
      </c>
      <c r="F222" s="1137">
        <v>4.0</v>
      </c>
      <c r="G222" s="793"/>
      <c r="H222" s="466">
        <f t="shared" si="22"/>
        <v>5012</v>
      </c>
      <c r="I222" s="466">
        <v>37590.0</v>
      </c>
      <c r="J222" s="466">
        <f t="shared" si="23"/>
        <v>150360</v>
      </c>
      <c r="K222" s="256" t="s">
        <v>11898</v>
      </c>
      <c r="L222" s="592" t="s">
        <v>6067</v>
      </c>
      <c r="M222" s="832">
        <v>41960.0</v>
      </c>
      <c r="N222" s="592" t="s">
        <v>13245</v>
      </c>
      <c r="O222" s="832">
        <v>41957.0</v>
      </c>
      <c r="P222" s="388" t="s">
        <v>10950</v>
      </c>
      <c r="Q222" s="388"/>
      <c r="R222" s="793"/>
      <c r="S222" s="466">
        <v>135576.0</v>
      </c>
      <c r="T222" s="388" t="s">
        <v>10953</v>
      </c>
      <c r="U222" s="388" t="s">
        <v>13242</v>
      </c>
      <c r="V222" s="1302"/>
      <c r="W222" s="1303"/>
      <c r="X222" s="1297"/>
      <c r="Y222" s="1300"/>
      <c r="Z222" s="91"/>
    </row>
    <row r="223" ht="15.75" customHeight="1">
      <c r="A223" s="1293">
        <v>41921.0</v>
      </c>
      <c r="B223" s="599" t="s">
        <v>10946</v>
      </c>
      <c r="C223" s="388"/>
      <c r="D223" s="388" t="s">
        <v>13252</v>
      </c>
      <c r="E223" s="340" t="s">
        <v>13253</v>
      </c>
      <c r="F223" s="1137">
        <v>1.0</v>
      </c>
      <c r="G223" s="325">
        <v>0.0</v>
      </c>
      <c r="H223" s="466">
        <f t="shared" si="22"/>
        <v>0</v>
      </c>
      <c r="I223" s="793"/>
      <c r="J223" s="466">
        <f t="shared" si="23"/>
        <v>0</v>
      </c>
      <c r="K223" s="256" t="s">
        <v>11898</v>
      </c>
      <c r="L223" s="592" t="s">
        <v>6067</v>
      </c>
      <c r="M223" s="832">
        <v>41960.0</v>
      </c>
      <c r="N223" s="592" t="s">
        <v>13245</v>
      </c>
      <c r="O223" s="832">
        <v>41957.0</v>
      </c>
      <c r="P223" s="388" t="s">
        <v>10950</v>
      </c>
      <c r="Q223" s="773" t="s">
        <v>13254</v>
      </c>
      <c r="R223" s="793"/>
      <c r="S223" s="466">
        <v>945.0</v>
      </c>
      <c r="T223" s="388" t="s">
        <v>10953</v>
      </c>
      <c r="U223" s="388" t="s">
        <v>13242</v>
      </c>
      <c r="V223" s="1143"/>
      <c r="W223" s="1159"/>
      <c r="X223" s="320"/>
      <c r="Y223" s="388"/>
      <c r="Z223" s="91"/>
    </row>
    <row r="224" ht="15.75" customHeight="1">
      <c r="A224" s="1293">
        <v>41901.0</v>
      </c>
      <c r="B224" s="599" t="s">
        <v>11771</v>
      </c>
      <c r="C224" s="388"/>
      <c r="D224" s="388" t="s">
        <v>13255</v>
      </c>
      <c r="E224" s="340" t="s">
        <v>12820</v>
      </c>
      <c r="F224" s="1137">
        <v>1.0</v>
      </c>
      <c r="G224" s="325">
        <v>180.0</v>
      </c>
      <c r="H224" s="466">
        <f t="shared" ref="H224:H239" si="24">F224*G224</f>
        <v>180</v>
      </c>
      <c r="I224" s="793"/>
      <c r="J224" s="793"/>
      <c r="K224" s="256" t="s">
        <v>11898</v>
      </c>
      <c r="L224" s="592" t="s">
        <v>11774</v>
      </c>
      <c r="M224" s="832">
        <v>41933.0</v>
      </c>
      <c r="N224" s="1301" t="s">
        <v>6067</v>
      </c>
      <c r="O224" s="832">
        <v>41929.0</v>
      </c>
      <c r="P224" s="1300" t="s">
        <v>90</v>
      </c>
      <c r="Q224" s="773">
        <v>2.0140900133894E13</v>
      </c>
      <c r="R224" s="466">
        <v>166.95</v>
      </c>
      <c r="S224" s="793"/>
      <c r="T224" s="1300" t="s">
        <v>6081</v>
      </c>
      <c r="U224" s="1143">
        <v>41946.0</v>
      </c>
      <c r="V224" s="1295">
        <v>41929.0</v>
      </c>
      <c r="W224" s="1296">
        <v>12936.0</v>
      </c>
      <c r="X224" s="1297" t="s">
        <v>13228</v>
      </c>
      <c r="Y224" s="388"/>
      <c r="Z224" s="91"/>
    </row>
    <row r="225" ht="15.75" customHeight="1">
      <c r="A225" s="1293">
        <v>41901.0</v>
      </c>
      <c r="B225" s="599" t="s">
        <v>11771</v>
      </c>
      <c r="C225" s="388"/>
      <c r="D225" s="388" t="s">
        <v>13255</v>
      </c>
      <c r="E225" s="340" t="s">
        <v>13256</v>
      </c>
      <c r="F225" s="1137">
        <v>1.0</v>
      </c>
      <c r="G225" s="325">
        <v>280.0</v>
      </c>
      <c r="H225" s="466">
        <f t="shared" si="24"/>
        <v>280</v>
      </c>
      <c r="I225" s="793"/>
      <c r="J225" s="793"/>
      <c r="K225" s="256" t="s">
        <v>11898</v>
      </c>
      <c r="L225" s="592" t="s">
        <v>11774</v>
      </c>
      <c r="M225" s="832">
        <v>41933.0</v>
      </c>
      <c r="N225" s="592"/>
      <c r="O225" s="832">
        <v>41929.0</v>
      </c>
      <c r="P225" s="388"/>
      <c r="Q225" s="773">
        <v>2.0140900133894E13</v>
      </c>
      <c r="R225" s="466">
        <v>259.35</v>
      </c>
      <c r="S225" s="793"/>
      <c r="T225" s="388"/>
      <c r="U225" s="1143">
        <v>41946.0</v>
      </c>
      <c r="V225" s="1133"/>
      <c r="W225" s="1149"/>
      <c r="X225" s="320"/>
      <c r="Y225" s="388"/>
      <c r="Z225" s="91"/>
    </row>
    <row r="226" ht="15.75" customHeight="1">
      <c r="A226" s="1293">
        <v>41907.0</v>
      </c>
      <c r="B226" s="599" t="s">
        <v>10926</v>
      </c>
      <c r="C226" s="1004" t="s">
        <v>13257</v>
      </c>
      <c r="D226" s="388" t="s">
        <v>13258</v>
      </c>
      <c r="E226" s="340" t="s">
        <v>13259</v>
      </c>
      <c r="F226" s="1137">
        <v>9.0</v>
      </c>
      <c r="G226" s="325">
        <v>18.13</v>
      </c>
      <c r="H226" s="466">
        <f t="shared" si="24"/>
        <v>163.17</v>
      </c>
      <c r="I226" s="466">
        <v>543.9</v>
      </c>
      <c r="J226" s="1149">
        <f t="shared" ref="J226:J239" si="25">F226*I226</f>
        <v>4895.1</v>
      </c>
      <c r="K226" s="256" t="s">
        <v>11086</v>
      </c>
      <c r="L226" s="592" t="s">
        <v>11675</v>
      </c>
      <c r="M226" s="832">
        <v>41914.0</v>
      </c>
      <c r="N226" s="1301" t="s">
        <v>9220</v>
      </c>
      <c r="O226" s="832">
        <v>41912.0</v>
      </c>
      <c r="P226" s="388" t="s">
        <v>11033</v>
      </c>
      <c r="Q226" s="1137" t="s">
        <v>13260</v>
      </c>
      <c r="R226" s="793"/>
      <c r="S226" s="466">
        <v>4697.0</v>
      </c>
      <c r="T226" s="388" t="s">
        <v>8689</v>
      </c>
      <c r="U226" s="1133">
        <v>41936.0</v>
      </c>
      <c r="V226" s="1302">
        <v>41912.0</v>
      </c>
      <c r="W226" s="1303">
        <v>215455.0</v>
      </c>
      <c r="X226" s="1297" t="s">
        <v>13261</v>
      </c>
      <c r="Y226" s="1300" t="s">
        <v>13197</v>
      </c>
      <c r="Z226" s="91"/>
    </row>
    <row r="227" ht="15.75" customHeight="1">
      <c r="A227" s="1293">
        <v>41907.0</v>
      </c>
      <c r="B227" s="599" t="s">
        <v>10926</v>
      </c>
      <c r="C227" s="1004" t="s">
        <v>13257</v>
      </c>
      <c r="D227" s="388" t="s">
        <v>13258</v>
      </c>
      <c r="E227" s="340" t="s">
        <v>13141</v>
      </c>
      <c r="F227" s="1137">
        <v>11.0</v>
      </c>
      <c r="G227" s="325">
        <v>131.11</v>
      </c>
      <c r="H227" s="466">
        <f t="shared" si="24"/>
        <v>1442.21</v>
      </c>
      <c r="I227" s="466">
        <v>3933.3</v>
      </c>
      <c r="J227" s="1149">
        <f t="shared" si="25"/>
        <v>43266.3</v>
      </c>
      <c r="K227" s="256" t="s">
        <v>11086</v>
      </c>
      <c r="L227" s="592" t="s">
        <v>11675</v>
      </c>
      <c r="M227" s="832">
        <v>41914.0</v>
      </c>
      <c r="N227" s="592"/>
      <c r="O227" s="832">
        <v>41912.0</v>
      </c>
      <c r="P227" s="388" t="s">
        <v>11033</v>
      </c>
      <c r="Q227" s="1137" t="s">
        <v>13260</v>
      </c>
      <c r="R227" s="793"/>
      <c r="S227" s="466">
        <v>41545.0</v>
      </c>
      <c r="T227" s="388" t="s">
        <v>8689</v>
      </c>
      <c r="U227" s="1133">
        <v>41936.0</v>
      </c>
      <c r="V227" s="1302"/>
      <c r="W227" s="1303"/>
      <c r="X227" s="1297"/>
      <c r="Y227" s="1300"/>
      <c r="Z227" s="91"/>
    </row>
    <row r="228" ht="15.75" customHeight="1">
      <c r="A228" s="1293">
        <v>41907.0</v>
      </c>
      <c r="B228" s="599" t="s">
        <v>10926</v>
      </c>
      <c r="C228" s="1004" t="s">
        <v>13257</v>
      </c>
      <c r="D228" s="388" t="s">
        <v>13258</v>
      </c>
      <c r="E228" s="340" t="s">
        <v>6190</v>
      </c>
      <c r="F228" s="1137">
        <v>4.0</v>
      </c>
      <c r="G228" s="325">
        <v>141.295</v>
      </c>
      <c r="H228" s="466">
        <f t="shared" si="24"/>
        <v>565.18</v>
      </c>
      <c r="I228" s="466">
        <v>4238.85</v>
      </c>
      <c r="J228" s="1149">
        <f t="shared" si="25"/>
        <v>16955.4</v>
      </c>
      <c r="K228" s="256" t="s">
        <v>11086</v>
      </c>
      <c r="L228" s="592" t="s">
        <v>11675</v>
      </c>
      <c r="M228" s="832">
        <v>41914.0</v>
      </c>
      <c r="N228" s="1301" t="s">
        <v>9220</v>
      </c>
      <c r="O228" s="832">
        <v>41912.0</v>
      </c>
      <c r="P228" s="388" t="s">
        <v>11033</v>
      </c>
      <c r="Q228" s="1137" t="s">
        <v>13260</v>
      </c>
      <c r="R228" s="793"/>
      <c r="S228" s="466">
        <v>16279.0</v>
      </c>
      <c r="T228" s="388" t="s">
        <v>8689</v>
      </c>
      <c r="U228" s="1133">
        <v>41936.0</v>
      </c>
      <c r="V228" s="1302"/>
      <c r="W228" s="1303"/>
      <c r="X228" s="1297"/>
      <c r="Y228" s="1300"/>
      <c r="Z228" s="91"/>
    </row>
    <row r="229" ht="15.75" customHeight="1">
      <c r="A229" s="1293">
        <v>41907.0</v>
      </c>
      <c r="B229" s="599" t="s">
        <v>10926</v>
      </c>
      <c r="C229" s="1004" t="s">
        <v>13257</v>
      </c>
      <c r="D229" s="388" t="s">
        <v>13258</v>
      </c>
      <c r="E229" s="340" t="s">
        <v>7014</v>
      </c>
      <c r="F229" s="1137">
        <v>2.0</v>
      </c>
      <c r="G229" s="325">
        <v>54.11</v>
      </c>
      <c r="H229" s="466">
        <f t="shared" si="24"/>
        <v>108.22</v>
      </c>
      <c r="I229" s="466">
        <v>1623.3</v>
      </c>
      <c r="J229" s="1149">
        <f t="shared" si="25"/>
        <v>3246.6</v>
      </c>
      <c r="K229" s="256" t="s">
        <v>11086</v>
      </c>
      <c r="L229" s="592" t="s">
        <v>11675</v>
      </c>
      <c r="M229" s="832">
        <v>41914.0</v>
      </c>
      <c r="N229" s="592"/>
      <c r="O229" s="832">
        <v>41912.0</v>
      </c>
      <c r="P229" s="388" t="s">
        <v>11033</v>
      </c>
      <c r="Q229" s="1137" t="s">
        <v>13260</v>
      </c>
      <c r="R229" s="793"/>
      <c r="S229" s="466">
        <v>3116.0</v>
      </c>
      <c r="T229" s="388" t="s">
        <v>8689</v>
      </c>
      <c r="U229" s="1133">
        <v>41936.0</v>
      </c>
      <c r="V229" s="1302"/>
      <c r="W229" s="1303"/>
      <c r="X229" s="1297"/>
      <c r="Y229" s="1300"/>
      <c r="Z229" s="91"/>
    </row>
    <row r="230" ht="15.75" customHeight="1">
      <c r="A230" s="1293">
        <v>41907.0</v>
      </c>
      <c r="B230" s="599" t="s">
        <v>10926</v>
      </c>
      <c r="C230" s="1004" t="s">
        <v>13257</v>
      </c>
      <c r="D230" s="388" t="s">
        <v>13258</v>
      </c>
      <c r="E230" s="340" t="s">
        <v>7196</v>
      </c>
      <c r="F230" s="1137">
        <v>4.0</v>
      </c>
      <c r="G230" s="325">
        <v>128.065</v>
      </c>
      <c r="H230" s="466">
        <f t="shared" si="24"/>
        <v>512.26</v>
      </c>
      <c r="I230" s="466">
        <v>3841.95</v>
      </c>
      <c r="J230" s="1149">
        <f t="shared" si="25"/>
        <v>15367.8</v>
      </c>
      <c r="K230" s="256" t="s">
        <v>11086</v>
      </c>
      <c r="L230" s="592" t="s">
        <v>11675</v>
      </c>
      <c r="M230" s="832">
        <v>41914.0</v>
      </c>
      <c r="N230" s="1301" t="s">
        <v>9220</v>
      </c>
      <c r="O230" s="832">
        <v>41912.0</v>
      </c>
      <c r="P230" s="388" t="s">
        <v>11033</v>
      </c>
      <c r="Q230" s="1137" t="s">
        <v>13260</v>
      </c>
      <c r="R230" s="793"/>
      <c r="S230" s="466">
        <v>14755.0</v>
      </c>
      <c r="T230" s="388" t="s">
        <v>8689</v>
      </c>
      <c r="U230" s="1133">
        <v>41936.0</v>
      </c>
      <c r="V230" s="1302"/>
      <c r="W230" s="1303"/>
      <c r="X230" s="320"/>
      <c r="Y230" s="1300"/>
      <c r="Z230" s="91"/>
    </row>
    <row r="231" ht="15.75" customHeight="1">
      <c r="A231" s="1293">
        <v>41907.0</v>
      </c>
      <c r="B231" s="599" t="s">
        <v>10926</v>
      </c>
      <c r="C231" s="1004" t="s">
        <v>13257</v>
      </c>
      <c r="D231" s="388" t="s">
        <v>13258</v>
      </c>
      <c r="E231" s="340" t="s">
        <v>4196</v>
      </c>
      <c r="F231" s="1137">
        <v>7.0</v>
      </c>
      <c r="G231" s="325">
        <v>72.24</v>
      </c>
      <c r="H231" s="466">
        <f t="shared" si="24"/>
        <v>505.68</v>
      </c>
      <c r="I231" s="466">
        <v>2167.2</v>
      </c>
      <c r="J231" s="1149">
        <f t="shared" si="25"/>
        <v>15170.4</v>
      </c>
      <c r="K231" s="256" t="s">
        <v>11086</v>
      </c>
      <c r="L231" s="592" t="s">
        <v>11675</v>
      </c>
      <c r="M231" s="832">
        <v>41914.0</v>
      </c>
      <c r="N231" s="592"/>
      <c r="O231" s="832">
        <v>41912.0</v>
      </c>
      <c r="P231" s="388" t="s">
        <v>11033</v>
      </c>
      <c r="Q231" s="1137" t="s">
        <v>13260</v>
      </c>
      <c r="R231" s="793"/>
      <c r="S231" s="466">
        <v>14560.0</v>
      </c>
      <c r="T231" s="388" t="s">
        <v>8689</v>
      </c>
      <c r="U231" s="1133">
        <v>41936.0</v>
      </c>
      <c r="V231" s="1302"/>
      <c r="W231" s="1303"/>
      <c r="X231" s="1297" t="s">
        <v>13262</v>
      </c>
      <c r="Y231" s="1300"/>
      <c r="Z231" s="91"/>
    </row>
    <row r="232" ht="15.75" customHeight="1">
      <c r="A232" s="1293">
        <v>41907.0</v>
      </c>
      <c r="B232" s="599" t="s">
        <v>10926</v>
      </c>
      <c r="C232" s="1004" t="s">
        <v>13257</v>
      </c>
      <c r="D232" s="388" t="s">
        <v>13258</v>
      </c>
      <c r="E232" s="340" t="s">
        <v>4089</v>
      </c>
      <c r="F232" s="1137">
        <v>20.0</v>
      </c>
      <c r="G232" s="325">
        <v>50.645</v>
      </c>
      <c r="H232" s="466">
        <f t="shared" si="24"/>
        <v>1012.9</v>
      </c>
      <c r="I232" s="466">
        <v>1519.35</v>
      </c>
      <c r="J232" s="1149">
        <f t="shared" si="25"/>
        <v>30387</v>
      </c>
      <c r="K232" s="256" t="s">
        <v>11086</v>
      </c>
      <c r="L232" s="592" t="s">
        <v>11675</v>
      </c>
      <c r="M232" s="832">
        <v>41914.0</v>
      </c>
      <c r="N232" s="1301" t="s">
        <v>9220</v>
      </c>
      <c r="O232" s="832">
        <v>41912.0</v>
      </c>
      <c r="P232" s="388" t="s">
        <v>11033</v>
      </c>
      <c r="Q232" s="1137" t="s">
        <v>13260</v>
      </c>
      <c r="R232" s="793"/>
      <c r="S232" s="466">
        <v>29169.0</v>
      </c>
      <c r="T232" s="388" t="s">
        <v>8689</v>
      </c>
      <c r="U232" s="1133">
        <v>41936.0</v>
      </c>
      <c r="V232" s="1302"/>
      <c r="W232" s="1303"/>
      <c r="X232" s="1297"/>
      <c r="Y232" s="1300"/>
      <c r="Z232" s="91"/>
    </row>
    <row r="233" ht="15.75" customHeight="1">
      <c r="A233" s="1293">
        <v>41907.0</v>
      </c>
      <c r="B233" s="599" t="s">
        <v>10926</v>
      </c>
      <c r="C233" s="1004" t="s">
        <v>13257</v>
      </c>
      <c r="D233" s="388" t="s">
        <v>13258</v>
      </c>
      <c r="E233" s="340" t="s">
        <v>7741</v>
      </c>
      <c r="F233" s="1137">
        <v>16.0</v>
      </c>
      <c r="G233" s="325">
        <v>45.745</v>
      </c>
      <c r="H233" s="466">
        <f t="shared" si="24"/>
        <v>731.92</v>
      </c>
      <c r="I233" s="466">
        <v>1372.35</v>
      </c>
      <c r="J233" s="1149">
        <f t="shared" si="25"/>
        <v>21957.6</v>
      </c>
      <c r="K233" s="256" t="s">
        <v>11086</v>
      </c>
      <c r="L233" s="592" t="s">
        <v>11675</v>
      </c>
      <c r="M233" s="832">
        <v>41914.0</v>
      </c>
      <c r="N233" s="592"/>
      <c r="O233" s="832">
        <v>41912.0</v>
      </c>
      <c r="P233" s="388" t="s">
        <v>11033</v>
      </c>
      <c r="Q233" s="1137" t="s">
        <v>13260</v>
      </c>
      <c r="R233" s="793"/>
      <c r="S233" s="466">
        <v>21084.0</v>
      </c>
      <c r="T233" s="388" t="s">
        <v>8689</v>
      </c>
      <c r="U233" s="1133">
        <v>41936.0</v>
      </c>
      <c r="V233" s="1302"/>
      <c r="W233" s="1303"/>
      <c r="X233" s="1297"/>
      <c r="Y233" s="1300"/>
      <c r="Z233" s="91"/>
    </row>
    <row r="234" ht="15.75" customHeight="1">
      <c r="A234" s="1293">
        <v>41907.0</v>
      </c>
      <c r="B234" s="599" t="s">
        <v>10926</v>
      </c>
      <c r="C234" s="1004" t="s">
        <v>13257</v>
      </c>
      <c r="D234" s="388" t="s">
        <v>13258</v>
      </c>
      <c r="E234" s="340" t="s">
        <v>11420</v>
      </c>
      <c r="F234" s="1137">
        <v>3.0</v>
      </c>
      <c r="G234" s="325">
        <v>51.625</v>
      </c>
      <c r="H234" s="466">
        <f t="shared" si="24"/>
        <v>154.875</v>
      </c>
      <c r="I234" s="466">
        <v>1548.75</v>
      </c>
      <c r="J234" s="1149">
        <f t="shared" si="25"/>
        <v>4646.25</v>
      </c>
      <c r="K234" s="256" t="s">
        <v>11086</v>
      </c>
      <c r="L234" s="592" t="s">
        <v>11675</v>
      </c>
      <c r="M234" s="832">
        <v>41914.0</v>
      </c>
      <c r="N234" s="1301" t="s">
        <v>9220</v>
      </c>
      <c r="O234" s="832">
        <v>41912.0</v>
      </c>
      <c r="P234" s="388" t="s">
        <v>11033</v>
      </c>
      <c r="Q234" s="1137" t="s">
        <v>13260</v>
      </c>
      <c r="R234" s="793"/>
      <c r="S234" s="466">
        <v>4460.0</v>
      </c>
      <c r="T234" s="388" t="s">
        <v>8689</v>
      </c>
      <c r="U234" s="1133">
        <v>41936.0</v>
      </c>
      <c r="V234" s="1302"/>
      <c r="W234" s="1303"/>
      <c r="X234" s="1297"/>
      <c r="Y234" s="1300"/>
      <c r="Z234" s="91"/>
    </row>
    <row r="235" ht="15.75" customHeight="1">
      <c r="A235" s="1293">
        <v>41907.0</v>
      </c>
      <c r="B235" s="599" t="s">
        <v>10926</v>
      </c>
      <c r="C235" s="1004" t="s">
        <v>13257</v>
      </c>
      <c r="D235" s="388" t="s">
        <v>13258</v>
      </c>
      <c r="E235" s="340" t="s">
        <v>11357</v>
      </c>
      <c r="F235" s="1137">
        <v>5.0</v>
      </c>
      <c r="G235" s="325">
        <v>270.515</v>
      </c>
      <c r="H235" s="466">
        <f t="shared" si="24"/>
        <v>1352.575</v>
      </c>
      <c r="I235" s="466">
        <v>8115.45</v>
      </c>
      <c r="J235" s="1149">
        <f t="shared" si="25"/>
        <v>40577.25</v>
      </c>
      <c r="K235" s="256" t="s">
        <v>11086</v>
      </c>
      <c r="L235" s="592" t="s">
        <v>11675</v>
      </c>
      <c r="M235" s="832">
        <v>41914.0</v>
      </c>
      <c r="N235" s="592"/>
      <c r="O235" s="832">
        <v>41912.0</v>
      </c>
      <c r="P235" s="388" t="s">
        <v>11033</v>
      </c>
      <c r="Q235" s="1137" t="s">
        <v>13260</v>
      </c>
      <c r="R235" s="793"/>
      <c r="S235" s="466">
        <v>38955.0</v>
      </c>
      <c r="T235" s="388" t="s">
        <v>8689</v>
      </c>
      <c r="U235" s="1133">
        <v>41936.0</v>
      </c>
      <c r="V235" s="1302"/>
      <c r="W235" s="1303"/>
      <c r="X235" s="320"/>
      <c r="Y235" s="1300"/>
      <c r="Z235" s="91"/>
    </row>
    <row r="236" ht="15.75" customHeight="1">
      <c r="A236" s="1293">
        <v>41907.0</v>
      </c>
      <c r="B236" s="599" t="s">
        <v>10926</v>
      </c>
      <c r="C236" s="1004" t="s">
        <v>13257</v>
      </c>
      <c r="D236" s="388" t="s">
        <v>13258</v>
      </c>
      <c r="E236" s="340" t="s">
        <v>11421</v>
      </c>
      <c r="F236" s="1137">
        <v>2.0</v>
      </c>
      <c r="G236" s="325">
        <v>137.095</v>
      </c>
      <c r="H236" s="466">
        <f t="shared" si="24"/>
        <v>274.19</v>
      </c>
      <c r="I236" s="466">
        <v>4112.85</v>
      </c>
      <c r="J236" s="1149">
        <f t="shared" si="25"/>
        <v>8225.7</v>
      </c>
      <c r="K236" s="256" t="s">
        <v>11086</v>
      </c>
      <c r="L236" s="592" t="s">
        <v>11675</v>
      </c>
      <c r="M236" s="832">
        <v>41914.0</v>
      </c>
      <c r="N236" s="1301" t="s">
        <v>9220</v>
      </c>
      <c r="O236" s="832">
        <v>41912.0</v>
      </c>
      <c r="P236" s="388" t="s">
        <v>11033</v>
      </c>
      <c r="Q236" s="1137" t="s">
        <v>13260</v>
      </c>
      <c r="R236" s="793"/>
      <c r="S236" s="466">
        <v>7896.0</v>
      </c>
      <c r="T236" s="388" t="s">
        <v>8689</v>
      </c>
      <c r="U236" s="1133">
        <v>41936.0</v>
      </c>
      <c r="V236" s="1302"/>
      <c r="W236" s="1303"/>
      <c r="X236" s="1297" t="s">
        <v>13263</v>
      </c>
      <c r="Y236" s="1300"/>
      <c r="Z236" s="91"/>
    </row>
    <row r="237" ht="15.75" customHeight="1">
      <c r="A237" s="1293">
        <v>41907.0</v>
      </c>
      <c r="B237" s="599" t="s">
        <v>10926</v>
      </c>
      <c r="C237" s="1004" t="s">
        <v>13257</v>
      </c>
      <c r="D237" s="388" t="s">
        <v>13258</v>
      </c>
      <c r="E237" s="340" t="s">
        <v>11422</v>
      </c>
      <c r="F237" s="1137">
        <v>3.0</v>
      </c>
      <c r="G237" s="325">
        <v>219.205</v>
      </c>
      <c r="H237" s="466">
        <f t="shared" si="24"/>
        <v>657.615</v>
      </c>
      <c r="I237" s="466">
        <v>6576.15</v>
      </c>
      <c r="J237" s="1149">
        <f t="shared" si="25"/>
        <v>19728.45</v>
      </c>
      <c r="K237" s="256" t="s">
        <v>11086</v>
      </c>
      <c r="L237" s="592" t="s">
        <v>11675</v>
      </c>
      <c r="M237" s="832">
        <v>41914.0</v>
      </c>
      <c r="N237" s="592"/>
      <c r="O237" s="832">
        <v>41912.0</v>
      </c>
      <c r="P237" s="388" t="s">
        <v>11033</v>
      </c>
      <c r="Q237" s="1137" t="s">
        <v>13260</v>
      </c>
      <c r="R237" s="793"/>
      <c r="S237" s="466">
        <v>18938.0</v>
      </c>
      <c r="T237" s="388" t="s">
        <v>8689</v>
      </c>
      <c r="U237" s="1133">
        <v>41936.0</v>
      </c>
      <c r="V237" s="1143"/>
      <c r="W237" s="1159"/>
      <c r="X237" s="320"/>
      <c r="Y237" s="388"/>
      <c r="Z237" s="91"/>
    </row>
    <row r="238" ht="15.75" customHeight="1">
      <c r="A238" s="1293">
        <v>41907.0</v>
      </c>
      <c r="B238" s="599" t="s">
        <v>10926</v>
      </c>
      <c r="C238" s="1004" t="s">
        <v>13257</v>
      </c>
      <c r="D238" s="388" t="s">
        <v>13264</v>
      </c>
      <c r="E238" s="340" t="s">
        <v>7741</v>
      </c>
      <c r="F238" s="1137">
        <v>4.0</v>
      </c>
      <c r="G238" s="325">
        <v>45.745</v>
      </c>
      <c r="H238" s="466">
        <f t="shared" si="24"/>
        <v>182.98</v>
      </c>
      <c r="I238" s="466">
        <v>1372.35</v>
      </c>
      <c r="J238" s="1149">
        <f t="shared" si="25"/>
        <v>5489.4</v>
      </c>
      <c r="K238" s="256" t="s">
        <v>11086</v>
      </c>
      <c r="L238" s="592" t="s">
        <v>13236</v>
      </c>
      <c r="M238" s="832">
        <v>41925.0</v>
      </c>
      <c r="N238" s="1301" t="s">
        <v>9220</v>
      </c>
      <c r="O238" s="832">
        <v>41921.0</v>
      </c>
      <c r="P238" s="388" t="s">
        <v>11033</v>
      </c>
      <c r="Q238" s="1137" t="s">
        <v>13260</v>
      </c>
      <c r="R238" s="793"/>
      <c r="S238" s="466">
        <v>5271.0</v>
      </c>
      <c r="T238" s="388" t="s">
        <v>8689</v>
      </c>
      <c r="U238" s="1133">
        <v>41936.0</v>
      </c>
      <c r="V238" s="1295">
        <v>41926.0</v>
      </c>
      <c r="W238" s="1296">
        <v>9219.0</v>
      </c>
      <c r="X238" s="388" t="s">
        <v>13265</v>
      </c>
      <c r="Y238" s="388" t="s">
        <v>13266</v>
      </c>
      <c r="Z238" s="91"/>
    </row>
    <row r="239" ht="15.75" customHeight="1">
      <c r="A239" s="1293">
        <v>41907.0</v>
      </c>
      <c r="B239" s="599" t="s">
        <v>10926</v>
      </c>
      <c r="C239" s="1004" t="s">
        <v>13257</v>
      </c>
      <c r="D239" s="388" t="s">
        <v>13267</v>
      </c>
      <c r="E239" s="340" t="s">
        <v>11421</v>
      </c>
      <c r="F239" s="1137">
        <v>1.0</v>
      </c>
      <c r="G239" s="325">
        <v>137.095</v>
      </c>
      <c r="H239" s="466">
        <f t="shared" si="24"/>
        <v>137.095</v>
      </c>
      <c r="I239" s="466">
        <v>4112.85</v>
      </c>
      <c r="J239" s="1149">
        <f t="shared" si="25"/>
        <v>4112.85</v>
      </c>
      <c r="K239" s="256" t="s">
        <v>11086</v>
      </c>
      <c r="L239" s="592" t="s">
        <v>11675</v>
      </c>
      <c r="M239" s="832">
        <v>41927.0</v>
      </c>
      <c r="N239" s="592"/>
      <c r="O239" s="832">
        <v>41926.0</v>
      </c>
      <c r="P239" s="388" t="s">
        <v>11033</v>
      </c>
      <c r="Q239" s="1137" t="s">
        <v>13260</v>
      </c>
      <c r="R239" s="793"/>
      <c r="S239" s="466">
        <v>3948.0</v>
      </c>
      <c r="T239" s="388" t="s">
        <v>8689</v>
      </c>
      <c r="U239" s="1133">
        <v>41936.0</v>
      </c>
      <c r="V239" s="1133"/>
      <c r="W239" s="1149"/>
      <c r="X239" s="320" t="s">
        <v>13268</v>
      </c>
      <c r="Y239" s="320" t="s">
        <v>13269</v>
      </c>
      <c r="Z239" s="91"/>
    </row>
    <row r="240" ht="15.75" customHeight="1">
      <c r="A240" s="1293">
        <v>41908.0</v>
      </c>
      <c r="B240" s="599" t="s">
        <v>54</v>
      </c>
      <c r="C240" s="1004" t="s">
        <v>13270</v>
      </c>
      <c r="D240" s="388" t="s">
        <v>13271</v>
      </c>
      <c r="E240" s="340" t="s">
        <v>4750</v>
      </c>
      <c r="F240" s="1137">
        <v>50.0</v>
      </c>
      <c r="G240" s="325">
        <v>103.95</v>
      </c>
      <c r="H240" s="466">
        <f t="shared" ref="H240:H244" si="26">G240*F240</f>
        <v>5197.5</v>
      </c>
      <c r="I240" s="793"/>
      <c r="J240" s="388"/>
      <c r="K240" s="256" t="s">
        <v>8675</v>
      </c>
      <c r="L240" s="592" t="s">
        <v>90</v>
      </c>
      <c r="M240" s="832">
        <v>41919.0</v>
      </c>
      <c r="N240" s="592" t="s">
        <v>90</v>
      </c>
      <c r="O240" s="388"/>
      <c r="P240" s="388" t="s">
        <v>90</v>
      </c>
      <c r="Q240" s="773">
        <v>2.0140900134216E13</v>
      </c>
      <c r="R240" s="466">
        <v>4410.0</v>
      </c>
      <c r="S240" s="793"/>
      <c r="T240" s="388" t="s">
        <v>6081</v>
      </c>
      <c r="U240" s="1133">
        <v>41936.0</v>
      </c>
      <c r="V240" s="1133">
        <v>41919.0</v>
      </c>
      <c r="W240" s="1149">
        <v>133336.0</v>
      </c>
      <c r="X240" s="388" t="s">
        <v>13272</v>
      </c>
      <c r="Y240" s="388" t="s">
        <v>13273</v>
      </c>
      <c r="Z240" s="91"/>
    </row>
    <row r="241" ht="15.75" customHeight="1">
      <c r="A241" s="1311">
        <v>41908.0</v>
      </c>
      <c r="B241" s="340" t="s">
        <v>1204</v>
      </c>
      <c r="C241" s="265" t="s">
        <v>13274</v>
      </c>
      <c r="D241" s="320" t="s">
        <v>13275</v>
      </c>
      <c r="E241" s="340" t="s">
        <v>13276</v>
      </c>
      <c r="F241" s="773">
        <v>6.0</v>
      </c>
      <c r="G241" s="466">
        <v>331.0</v>
      </c>
      <c r="H241" s="466">
        <f t="shared" si="26"/>
        <v>1986</v>
      </c>
      <c r="I241" s="793"/>
      <c r="J241" s="388"/>
      <c r="K241" s="256" t="s">
        <v>12093</v>
      </c>
      <c r="L241" s="256" t="s">
        <v>13277</v>
      </c>
      <c r="M241" s="832">
        <v>41919.0</v>
      </c>
      <c r="N241" s="256" t="s">
        <v>6067</v>
      </c>
      <c r="O241" s="832">
        <v>41915.0</v>
      </c>
      <c r="P241" s="320" t="s">
        <v>90</v>
      </c>
      <c r="Q241" s="773">
        <v>2.0140900133761E13</v>
      </c>
      <c r="R241" s="466">
        <v>1883.7</v>
      </c>
      <c r="S241" s="793"/>
      <c r="T241" s="320" t="s">
        <v>6081</v>
      </c>
      <c r="U241" s="1133">
        <v>41946.0</v>
      </c>
      <c r="V241" s="1133">
        <v>41915.0</v>
      </c>
      <c r="W241" s="1149">
        <v>56954.0</v>
      </c>
      <c r="X241" s="320" t="s">
        <v>13278</v>
      </c>
      <c r="Y241" s="388"/>
      <c r="Z241" s="91"/>
    </row>
    <row r="242" ht="15.75" customHeight="1">
      <c r="A242" s="1311">
        <v>41908.0</v>
      </c>
      <c r="B242" s="340" t="s">
        <v>1204</v>
      </c>
      <c r="C242" s="265" t="s">
        <v>13274</v>
      </c>
      <c r="D242" s="320" t="s">
        <v>13275</v>
      </c>
      <c r="E242" s="340" t="s">
        <v>13276</v>
      </c>
      <c r="F242" s="773">
        <v>34.0</v>
      </c>
      <c r="G242" s="466">
        <v>331.0</v>
      </c>
      <c r="H242" s="466">
        <f t="shared" si="26"/>
        <v>11254</v>
      </c>
      <c r="I242" s="793"/>
      <c r="J242" s="388"/>
      <c r="K242" s="256" t="s">
        <v>12093</v>
      </c>
      <c r="L242" s="256" t="s">
        <v>13277</v>
      </c>
      <c r="M242" s="832">
        <v>41949.0</v>
      </c>
      <c r="N242" s="256" t="s">
        <v>6067</v>
      </c>
      <c r="O242" s="832">
        <v>41939.0</v>
      </c>
      <c r="P242" s="320" t="s">
        <v>90</v>
      </c>
      <c r="Q242" s="773">
        <v>2.0140900133761E13</v>
      </c>
      <c r="R242" s="466">
        <v>10674.3</v>
      </c>
      <c r="S242" s="793"/>
      <c r="T242" s="320" t="s">
        <v>6081</v>
      </c>
      <c r="U242" s="1133">
        <v>41950.0</v>
      </c>
      <c r="V242" s="1133">
        <v>41939.0</v>
      </c>
      <c r="W242" s="1149">
        <v>323805.0</v>
      </c>
      <c r="X242" s="265" t="s">
        <v>13279</v>
      </c>
      <c r="Y242" s="388"/>
      <c r="Z242" s="91"/>
    </row>
    <row r="243" ht="15.75" customHeight="1">
      <c r="A243" s="1293">
        <v>41908.0</v>
      </c>
      <c r="B243" s="599" t="s">
        <v>10926</v>
      </c>
      <c r="C243" s="1004" t="s">
        <v>13280</v>
      </c>
      <c r="D243" s="388" t="s">
        <v>13281</v>
      </c>
      <c r="E243" s="340" t="s">
        <v>4196</v>
      </c>
      <c r="F243" s="1137">
        <v>10.0</v>
      </c>
      <c r="G243" s="325">
        <v>72.24</v>
      </c>
      <c r="H243" s="466">
        <f t="shared" si="26"/>
        <v>722.4</v>
      </c>
      <c r="I243" s="466">
        <v>2167.2</v>
      </c>
      <c r="J243" s="1149">
        <f t="shared" ref="J243:J244" si="27">F243*I243</f>
        <v>21672</v>
      </c>
      <c r="K243" s="256" t="s">
        <v>11086</v>
      </c>
      <c r="L243" s="592" t="s">
        <v>11675</v>
      </c>
      <c r="M243" s="832">
        <v>41914.0</v>
      </c>
      <c r="N243" s="592" t="s">
        <v>9220</v>
      </c>
      <c r="O243" s="832">
        <v>41912.0</v>
      </c>
      <c r="P243" s="388" t="s">
        <v>11033</v>
      </c>
      <c r="Q243" s="1137" t="s">
        <v>13282</v>
      </c>
      <c r="R243" s="793"/>
      <c r="S243" s="466">
        <v>20801.0</v>
      </c>
      <c r="T243" s="388" t="s">
        <v>8689</v>
      </c>
      <c r="U243" s="1133">
        <v>41936.0</v>
      </c>
      <c r="V243" s="1143">
        <v>41912.0</v>
      </c>
      <c r="W243" s="1159">
        <v>20801.0</v>
      </c>
      <c r="X243" s="320" t="s">
        <v>13283</v>
      </c>
      <c r="Y243" s="388" t="s">
        <v>13197</v>
      </c>
      <c r="Z243" s="91"/>
    </row>
    <row r="244" ht="15.75" customHeight="1">
      <c r="A244" s="1293">
        <v>41908.0</v>
      </c>
      <c r="B244" s="599" t="s">
        <v>10926</v>
      </c>
      <c r="C244" s="1004" t="s">
        <v>13284</v>
      </c>
      <c r="D244" s="388" t="s">
        <v>13285</v>
      </c>
      <c r="E244" s="340" t="s">
        <v>12621</v>
      </c>
      <c r="F244" s="1137">
        <v>3.0</v>
      </c>
      <c r="G244" s="466">
        <v>66.01</v>
      </c>
      <c r="H244" s="466">
        <f t="shared" si="26"/>
        <v>198.03</v>
      </c>
      <c r="I244" s="466">
        <v>1980.3</v>
      </c>
      <c r="J244" s="1149">
        <f t="shared" si="27"/>
        <v>5940.9</v>
      </c>
      <c r="K244" s="256" t="s">
        <v>11086</v>
      </c>
      <c r="L244" s="592" t="s">
        <v>11675</v>
      </c>
      <c r="M244" s="832">
        <v>41935.0</v>
      </c>
      <c r="N244" s="592" t="s">
        <v>10372</v>
      </c>
      <c r="O244" s="832">
        <v>41934.0</v>
      </c>
      <c r="P244" s="388" t="s">
        <v>11033</v>
      </c>
      <c r="Q244" s="1137" t="s">
        <v>13286</v>
      </c>
      <c r="R244" s="793"/>
      <c r="S244" s="466">
        <v>5705.0</v>
      </c>
      <c r="T244" s="388" t="s">
        <v>8689</v>
      </c>
      <c r="U244" s="1143">
        <v>41946.0</v>
      </c>
      <c r="V244" s="1143">
        <v>41929.0</v>
      </c>
      <c r="W244" s="1159">
        <v>5705.0</v>
      </c>
      <c r="X244" s="320" t="s">
        <v>13287</v>
      </c>
      <c r="Y244" s="388" t="s">
        <v>13288</v>
      </c>
      <c r="Z244" s="91"/>
    </row>
    <row r="245" ht="15.75" customHeight="1">
      <c r="A245" s="1293">
        <v>41912.0</v>
      </c>
      <c r="B245" s="599" t="s">
        <v>11771</v>
      </c>
      <c r="C245" s="388"/>
      <c r="D245" s="388" t="s">
        <v>13289</v>
      </c>
      <c r="E245" s="340" t="s">
        <v>13290</v>
      </c>
      <c r="F245" s="1137">
        <v>5.0</v>
      </c>
      <c r="G245" s="325">
        <v>31.5</v>
      </c>
      <c r="H245" s="466">
        <f t="shared" ref="H245:H255" si="28">F245*G245</f>
        <v>157.5</v>
      </c>
      <c r="I245" s="793"/>
      <c r="J245" s="793"/>
      <c r="K245" s="256" t="s">
        <v>11898</v>
      </c>
      <c r="L245" s="592" t="s">
        <v>11774</v>
      </c>
      <c r="M245" s="832">
        <v>41919.0</v>
      </c>
      <c r="N245" s="592" t="s">
        <v>6067</v>
      </c>
      <c r="O245" s="832">
        <v>41915.0</v>
      </c>
      <c r="P245" s="388" t="s">
        <v>12985</v>
      </c>
      <c r="Q245" s="1137" t="s">
        <v>13291</v>
      </c>
      <c r="R245" s="793"/>
      <c r="S245" s="466">
        <v>4253.0</v>
      </c>
      <c r="T245" s="265" t="s">
        <v>2510</v>
      </c>
      <c r="U245" s="1143">
        <v>41946.0</v>
      </c>
      <c r="V245" s="1143">
        <v>41914.0</v>
      </c>
      <c r="W245" s="1159">
        <v>4253.0</v>
      </c>
      <c r="X245" s="320" t="s">
        <v>13292</v>
      </c>
      <c r="Y245" s="388"/>
      <c r="Z245" s="91"/>
    </row>
    <row r="246" ht="15.75" customHeight="1">
      <c r="A246" s="1293">
        <v>41914.0</v>
      </c>
      <c r="B246" s="599" t="s">
        <v>10926</v>
      </c>
      <c r="C246" s="1004" t="s">
        <v>13293</v>
      </c>
      <c r="D246" s="388" t="s">
        <v>13294</v>
      </c>
      <c r="E246" s="340" t="s">
        <v>7014</v>
      </c>
      <c r="F246" s="1137">
        <v>2.0</v>
      </c>
      <c r="G246" s="325">
        <v>54.11</v>
      </c>
      <c r="H246" s="466">
        <f t="shared" si="28"/>
        <v>108.22</v>
      </c>
      <c r="I246" s="466">
        <v>1623.3</v>
      </c>
      <c r="J246" s="1149">
        <f t="shared" ref="J246:J255" si="29">F246*I246</f>
        <v>3246.6</v>
      </c>
      <c r="K246" s="256" t="s">
        <v>11086</v>
      </c>
      <c r="L246" s="592" t="s">
        <v>11675</v>
      </c>
      <c r="M246" s="832">
        <v>41925.0</v>
      </c>
      <c r="N246" s="592" t="s">
        <v>6067</v>
      </c>
      <c r="O246" s="832">
        <v>41920.0</v>
      </c>
      <c r="P246" s="388" t="s">
        <v>11033</v>
      </c>
      <c r="Q246" s="1137" t="s">
        <v>13295</v>
      </c>
      <c r="R246" s="793"/>
      <c r="S246" s="466">
        <v>3116.0</v>
      </c>
      <c r="T246" s="388" t="s">
        <v>8689</v>
      </c>
      <c r="U246" s="1143">
        <v>41935.0</v>
      </c>
      <c r="V246" s="1295">
        <v>41926.0</v>
      </c>
      <c r="W246" s="1296">
        <v>216737.0</v>
      </c>
      <c r="X246" s="388" t="s">
        <v>13296</v>
      </c>
      <c r="Y246" s="388" t="s">
        <v>13266</v>
      </c>
      <c r="Z246" s="91"/>
    </row>
    <row r="247" ht="15.75" customHeight="1">
      <c r="A247" s="1293">
        <v>41914.0</v>
      </c>
      <c r="B247" s="599" t="s">
        <v>10926</v>
      </c>
      <c r="C247" s="1004" t="s">
        <v>13293</v>
      </c>
      <c r="D247" s="388" t="s">
        <v>13297</v>
      </c>
      <c r="E247" s="340" t="s">
        <v>11336</v>
      </c>
      <c r="F247" s="1137">
        <v>1.0</v>
      </c>
      <c r="G247" s="325">
        <v>72.17</v>
      </c>
      <c r="H247" s="466">
        <f t="shared" si="28"/>
        <v>72.17</v>
      </c>
      <c r="I247" s="466">
        <v>2165.1</v>
      </c>
      <c r="J247" s="1149">
        <f t="shared" si="29"/>
        <v>2165.1</v>
      </c>
      <c r="K247" s="256" t="s">
        <v>11086</v>
      </c>
      <c r="L247" s="592" t="s">
        <v>11675</v>
      </c>
      <c r="M247" s="832">
        <v>41927.0</v>
      </c>
      <c r="N247" s="592" t="s">
        <v>9220</v>
      </c>
      <c r="O247" s="832">
        <v>41926.0</v>
      </c>
      <c r="P247" s="388" t="s">
        <v>11033</v>
      </c>
      <c r="Q247" s="1137" t="s">
        <v>13295</v>
      </c>
      <c r="R247" s="793"/>
      <c r="S247" s="466">
        <v>2078.0</v>
      </c>
      <c r="T247" s="388" t="s">
        <v>8689</v>
      </c>
      <c r="U247" s="1143">
        <v>41935.0</v>
      </c>
      <c r="V247" s="1295"/>
      <c r="W247" s="1296"/>
      <c r="X247" s="320" t="s">
        <v>13268</v>
      </c>
      <c r="Y247" s="320" t="s">
        <v>13269</v>
      </c>
      <c r="Z247" s="91"/>
    </row>
    <row r="248" ht="15.75" customHeight="1">
      <c r="A248" s="1293">
        <v>41914.0</v>
      </c>
      <c r="B248" s="599" t="s">
        <v>10926</v>
      </c>
      <c r="C248" s="1004" t="s">
        <v>13293</v>
      </c>
      <c r="D248" s="388" t="s">
        <v>13294</v>
      </c>
      <c r="E248" s="340" t="s">
        <v>7196</v>
      </c>
      <c r="F248" s="1137">
        <v>1.0</v>
      </c>
      <c r="G248" s="325">
        <v>128.065</v>
      </c>
      <c r="H248" s="466">
        <f t="shared" si="28"/>
        <v>128.065</v>
      </c>
      <c r="I248" s="466">
        <v>3841.95</v>
      </c>
      <c r="J248" s="1149">
        <f t="shared" si="29"/>
        <v>3841.95</v>
      </c>
      <c r="K248" s="256" t="s">
        <v>11086</v>
      </c>
      <c r="L248" s="592" t="s">
        <v>11675</v>
      </c>
      <c r="M248" s="832">
        <v>41925.0</v>
      </c>
      <c r="N248" s="592" t="s">
        <v>6067</v>
      </c>
      <c r="O248" s="832">
        <v>41920.0</v>
      </c>
      <c r="P248" s="388" t="s">
        <v>11033</v>
      </c>
      <c r="Q248" s="1137" t="s">
        <v>13295</v>
      </c>
      <c r="R248" s="793"/>
      <c r="S248" s="466">
        <v>3689.0</v>
      </c>
      <c r="T248" s="388" t="s">
        <v>8689</v>
      </c>
      <c r="U248" s="1143">
        <v>41935.0</v>
      </c>
      <c r="V248" s="1295"/>
      <c r="W248" s="1296"/>
      <c r="X248" s="1300" t="s">
        <v>13296</v>
      </c>
      <c r="Y248" s="1300" t="s">
        <v>13266</v>
      </c>
      <c r="Z248" s="91"/>
    </row>
    <row r="249" ht="15.75" customHeight="1">
      <c r="A249" s="1293">
        <v>41914.0</v>
      </c>
      <c r="B249" s="599" t="s">
        <v>10926</v>
      </c>
      <c r="C249" s="1004" t="s">
        <v>13293</v>
      </c>
      <c r="D249" s="388" t="s">
        <v>13294</v>
      </c>
      <c r="E249" s="340" t="s">
        <v>4089</v>
      </c>
      <c r="F249" s="1137">
        <v>44.0</v>
      </c>
      <c r="G249" s="325">
        <v>50.645</v>
      </c>
      <c r="H249" s="466">
        <f t="shared" si="28"/>
        <v>2228.38</v>
      </c>
      <c r="I249" s="466">
        <v>1519.35</v>
      </c>
      <c r="J249" s="1149">
        <f t="shared" si="29"/>
        <v>66851.4</v>
      </c>
      <c r="K249" s="256" t="s">
        <v>11086</v>
      </c>
      <c r="L249" s="592" t="s">
        <v>11675</v>
      </c>
      <c r="M249" s="832">
        <v>41925.0</v>
      </c>
      <c r="N249" s="592" t="s">
        <v>6067</v>
      </c>
      <c r="O249" s="832">
        <v>41920.0</v>
      </c>
      <c r="P249" s="388" t="s">
        <v>11033</v>
      </c>
      <c r="Q249" s="1137" t="s">
        <v>13295</v>
      </c>
      <c r="R249" s="793"/>
      <c r="S249" s="466">
        <v>64172.0</v>
      </c>
      <c r="T249" s="388" t="s">
        <v>8689</v>
      </c>
      <c r="U249" s="1143">
        <v>41935.0</v>
      </c>
      <c r="V249" s="1295"/>
      <c r="W249" s="1296"/>
      <c r="X249" s="1300"/>
      <c r="Y249" s="1300"/>
      <c r="Z249" s="91"/>
    </row>
    <row r="250" ht="15.75" customHeight="1">
      <c r="A250" s="1293">
        <v>41914.0</v>
      </c>
      <c r="B250" s="599" t="s">
        <v>10926</v>
      </c>
      <c r="C250" s="1004" t="s">
        <v>13293</v>
      </c>
      <c r="D250" s="388" t="s">
        <v>13294</v>
      </c>
      <c r="E250" s="340" t="s">
        <v>7741</v>
      </c>
      <c r="F250" s="1137">
        <v>44.0</v>
      </c>
      <c r="G250" s="325">
        <v>45.745</v>
      </c>
      <c r="H250" s="466">
        <f t="shared" si="28"/>
        <v>2012.78</v>
      </c>
      <c r="I250" s="466">
        <v>1372.35</v>
      </c>
      <c r="J250" s="1149">
        <f t="shared" si="29"/>
        <v>60383.4</v>
      </c>
      <c r="K250" s="256" t="s">
        <v>11086</v>
      </c>
      <c r="L250" s="592" t="s">
        <v>11675</v>
      </c>
      <c r="M250" s="832">
        <v>41925.0</v>
      </c>
      <c r="N250" s="592" t="s">
        <v>6067</v>
      </c>
      <c r="O250" s="832">
        <v>41920.0</v>
      </c>
      <c r="P250" s="388" t="s">
        <v>11033</v>
      </c>
      <c r="Q250" s="1137" t="s">
        <v>13295</v>
      </c>
      <c r="R250" s="793"/>
      <c r="S250" s="466">
        <v>57981.0</v>
      </c>
      <c r="T250" s="388" t="s">
        <v>8689</v>
      </c>
      <c r="U250" s="1143">
        <v>41935.0</v>
      </c>
      <c r="V250" s="1295"/>
      <c r="W250" s="1296"/>
      <c r="X250" s="1300"/>
      <c r="Y250" s="1300"/>
      <c r="Z250" s="91"/>
    </row>
    <row r="251" ht="15.75" customHeight="1">
      <c r="A251" s="1293">
        <v>41914.0</v>
      </c>
      <c r="B251" s="599" t="s">
        <v>10926</v>
      </c>
      <c r="C251" s="1004" t="s">
        <v>13293</v>
      </c>
      <c r="D251" s="388" t="s">
        <v>13294</v>
      </c>
      <c r="E251" s="340" t="s">
        <v>11357</v>
      </c>
      <c r="F251" s="1137">
        <v>11.0</v>
      </c>
      <c r="G251" s="325">
        <v>270.515</v>
      </c>
      <c r="H251" s="466">
        <f t="shared" si="28"/>
        <v>2975.665</v>
      </c>
      <c r="I251" s="466">
        <v>8115.45</v>
      </c>
      <c r="J251" s="1149">
        <f t="shared" si="29"/>
        <v>89269.95</v>
      </c>
      <c r="K251" s="256" t="s">
        <v>11086</v>
      </c>
      <c r="L251" s="592" t="s">
        <v>11675</v>
      </c>
      <c r="M251" s="832">
        <v>41925.0</v>
      </c>
      <c r="N251" s="592" t="s">
        <v>6067</v>
      </c>
      <c r="O251" s="832">
        <v>41920.0</v>
      </c>
      <c r="P251" s="388" t="s">
        <v>11033</v>
      </c>
      <c r="Q251" s="1137" t="s">
        <v>13295</v>
      </c>
      <c r="R251" s="793"/>
      <c r="S251" s="466">
        <v>85701.0</v>
      </c>
      <c r="T251" s="388" t="s">
        <v>8689</v>
      </c>
      <c r="U251" s="1143">
        <v>41935.0</v>
      </c>
      <c r="V251" s="1133"/>
      <c r="W251" s="1149"/>
      <c r="X251" s="388"/>
      <c r="Y251" s="388"/>
      <c r="Z251" s="91"/>
    </row>
    <row r="252" ht="15.75" customHeight="1">
      <c r="A252" s="1293">
        <v>41914.0</v>
      </c>
      <c r="B252" s="599" t="s">
        <v>10926</v>
      </c>
      <c r="C252" s="1004" t="s">
        <v>13298</v>
      </c>
      <c r="D252" s="388" t="s">
        <v>13299</v>
      </c>
      <c r="E252" s="340" t="s">
        <v>13300</v>
      </c>
      <c r="F252" s="1137">
        <v>1.0</v>
      </c>
      <c r="G252" s="325">
        <v>13.72</v>
      </c>
      <c r="H252" s="466">
        <f t="shared" si="28"/>
        <v>13.72</v>
      </c>
      <c r="I252" s="466">
        <v>411.6</v>
      </c>
      <c r="J252" s="1149">
        <f t="shared" si="29"/>
        <v>411.6</v>
      </c>
      <c r="K252" s="256" t="s">
        <v>11086</v>
      </c>
      <c r="L252" s="592" t="s">
        <v>13236</v>
      </c>
      <c r="M252" s="832">
        <v>41925.0</v>
      </c>
      <c r="N252" s="592" t="s">
        <v>6067</v>
      </c>
      <c r="O252" s="832">
        <v>41920.0</v>
      </c>
      <c r="P252" s="388" t="s">
        <v>11033</v>
      </c>
      <c r="Q252" s="1137" t="s">
        <v>13301</v>
      </c>
      <c r="R252" s="793"/>
      <c r="S252" s="466">
        <v>396.0</v>
      </c>
      <c r="T252" s="388" t="s">
        <v>8689</v>
      </c>
      <c r="U252" s="1143">
        <v>41946.0</v>
      </c>
      <c r="V252" s="1302">
        <v>41919.0</v>
      </c>
      <c r="W252" s="1303">
        <v>6472.0</v>
      </c>
      <c r="X252" s="1300" t="s">
        <v>13265</v>
      </c>
      <c r="Y252" s="1300" t="s">
        <v>13266</v>
      </c>
      <c r="Z252" s="91"/>
    </row>
    <row r="253" ht="15.75" customHeight="1">
      <c r="A253" s="1293">
        <v>41914.0</v>
      </c>
      <c r="B253" s="599" t="s">
        <v>10926</v>
      </c>
      <c r="C253" s="1004" t="s">
        <v>13298</v>
      </c>
      <c r="D253" s="388" t="s">
        <v>13299</v>
      </c>
      <c r="E253" s="340" t="s">
        <v>13302</v>
      </c>
      <c r="F253" s="1137">
        <v>1.0</v>
      </c>
      <c r="G253" s="325">
        <v>10.29</v>
      </c>
      <c r="H253" s="466">
        <f t="shared" si="28"/>
        <v>10.29</v>
      </c>
      <c r="I253" s="466">
        <v>308.7</v>
      </c>
      <c r="J253" s="1149">
        <f t="shared" si="29"/>
        <v>308.7</v>
      </c>
      <c r="K253" s="256" t="s">
        <v>11086</v>
      </c>
      <c r="L253" s="592" t="s">
        <v>13236</v>
      </c>
      <c r="M253" s="832">
        <v>41925.0</v>
      </c>
      <c r="N253" s="592" t="s">
        <v>6067</v>
      </c>
      <c r="O253" s="832">
        <v>41920.0</v>
      </c>
      <c r="P253" s="388" t="s">
        <v>11033</v>
      </c>
      <c r="Q253" s="1137" t="s">
        <v>13301</v>
      </c>
      <c r="R253" s="793"/>
      <c r="S253" s="466">
        <v>296.0</v>
      </c>
      <c r="T253" s="388" t="s">
        <v>8689</v>
      </c>
      <c r="U253" s="1143">
        <v>41946.0</v>
      </c>
      <c r="V253" s="1302"/>
      <c r="W253" s="1303"/>
      <c r="X253" s="1300"/>
      <c r="Y253" s="1300"/>
      <c r="Z253" s="91"/>
    </row>
    <row r="254" ht="15.75" customHeight="1">
      <c r="A254" s="1293">
        <v>41914.0</v>
      </c>
      <c r="B254" s="599" t="s">
        <v>10926</v>
      </c>
      <c r="C254" s="1004" t="s">
        <v>13298</v>
      </c>
      <c r="D254" s="388" t="s">
        <v>13299</v>
      </c>
      <c r="E254" s="340" t="s">
        <v>6329</v>
      </c>
      <c r="F254" s="1137">
        <v>1.0</v>
      </c>
      <c r="G254" s="325">
        <v>138.075</v>
      </c>
      <c r="H254" s="466">
        <f t="shared" si="28"/>
        <v>138.075</v>
      </c>
      <c r="I254" s="466">
        <v>4142.25</v>
      </c>
      <c r="J254" s="1149">
        <f t="shared" si="29"/>
        <v>4142.25</v>
      </c>
      <c r="K254" s="256" t="s">
        <v>11086</v>
      </c>
      <c r="L254" s="592" t="s">
        <v>13236</v>
      </c>
      <c r="M254" s="832">
        <v>41925.0</v>
      </c>
      <c r="N254" s="592" t="s">
        <v>6067</v>
      </c>
      <c r="O254" s="832">
        <v>41920.0</v>
      </c>
      <c r="P254" s="388" t="s">
        <v>11033</v>
      </c>
      <c r="Q254" s="1137" t="s">
        <v>13301</v>
      </c>
      <c r="R254" s="793"/>
      <c r="S254" s="466">
        <v>3700.0</v>
      </c>
      <c r="T254" s="388" t="s">
        <v>8689</v>
      </c>
      <c r="U254" s="1143">
        <v>41946.0</v>
      </c>
      <c r="V254" s="1302"/>
      <c r="W254" s="1303"/>
      <c r="X254" s="1300"/>
      <c r="Y254" s="1300"/>
      <c r="Z254" s="91"/>
    </row>
    <row r="255" ht="15.75" customHeight="1">
      <c r="A255" s="1293">
        <v>41914.0</v>
      </c>
      <c r="B255" s="599" t="s">
        <v>10926</v>
      </c>
      <c r="C255" s="1004" t="s">
        <v>13298</v>
      </c>
      <c r="D255" s="388" t="s">
        <v>13299</v>
      </c>
      <c r="E255" s="340" t="s">
        <v>4196</v>
      </c>
      <c r="F255" s="1137">
        <v>1.0</v>
      </c>
      <c r="G255" s="325">
        <v>72.24</v>
      </c>
      <c r="H255" s="466">
        <f t="shared" si="28"/>
        <v>72.24</v>
      </c>
      <c r="I255" s="466">
        <v>2167.2</v>
      </c>
      <c r="J255" s="1149">
        <f t="shared" si="29"/>
        <v>2167.2</v>
      </c>
      <c r="K255" s="256" t="s">
        <v>11086</v>
      </c>
      <c r="L255" s="592" t="s">
        <v>13236</v>
      </c>
      <c r="M255" s="832">
        <v>41925.0</v>
      </c>
      <c r="N255" s="592" t="s">
        <v>6067</v>
      </c>
      <c r="O255" s="832">
        <v>41920.0</v>
      </c>
      <c r="P255" s="388" t="s">
        <v>11033</v>
      </c>
      <c r="Q255" s="1137" t="s">
        <v>13301</v>
      </c>
      <c r="R255" s="793"/>
      <c r="S255" s="466">
        <v>2080.0</v>
      </c>
      <c r="T255" s="388" t="s">
        <v>8689</v>
      </c>
      <c r="U255" s="1143">
        <v>41946.0</v>
      </c>
      <c r="V255" s="1143"/>
      <c r="W255" s="1159"/>
      <c r="X255" s="388"/>
      <c r="Y255" s="388"/>
      <c r="Z255" s="91"/>
    </row>
    <row r="256" ht="15.75" customHeight="1">
      <c r="A256" s="1293">
        <v>41915.0</v>
      </c>
      <c r="B256" s="599" t="s">
        <v>54</v>
      </c>
      <c r="C256" s="1004" t="s">
        <v>13303</v>
      </c>
      <c r="D256" s="388" t="s">
        <v>13304</v>
      </c>
      <c r="E256" s="340" t="s">
        <v>13305</v>
      </c>
      <c r="F256" s="1137">
        <v>10.0</v>
      </c>
      <c r="G256" s="325">
        <v>165.9</v>
      </c>
      <c r="H256" s="466">
        <f t="shared" ref="H256:H257" si="30">G256*F256</f>
        <v>1659</v>
      </c>
      <c r="I256" s="793"/>
      <c r="J256" s="388"/>
      <c r="K256" s="256" t="s">
        <v>12246</v>
      </c>
      <c r="L256" s="592" t="s">
        <v>90</v>
      </c>
      <c r="M256" s="832">
        <v>41941.0</v>
      </c>
      <c r="N256" s="592" t="s">
        <v>90</v>
      </c>
      <c r="O256" s="388"/>
      <c r="P256" s="388" t="s">
        <v>90</v>
      </c>
      <c r="Q256" s="773">
        <v>2.0141000134762E13</v>
      </c>
      <c r="R256" s="466">
        <v>1008.0</v>
      </c>
      <c r="S256" s="793"/>
      <c r="T256" s="388" t="s">
        <v>6081</v>
      </c>
      <c r="U256" s="1143">
        <v>41936.0</v>
      </c>
      <c r="V256" s="1133">
        <v>41941.0</v>
      </c>
      <c r="W256" s="1149">
        <v>30578.0</v>
      </c>
      <c r="X256" s="388" t="s">
        <v>13306</v>
      </c>
      <c r="Y256" s="388" t="s">
        <v>13307</v>
      </c>
      <c r="Z256" s="91"/>
    </row>
    <row r="257" ht="15.75" customHeight="1">
      <c r="A257" s="1311">
        <v>41915.0</v>
      </c>
      <c r="B257" s="599" t="s">
        <v>54</v>
      </c>
      <c r="C257" s="265" t="s">
        <v>13303</v>
      </c>
      <c r="D257" s="320" t="s">
        <v>13304</v>
      </c>
      <c r="E257" s="340" t="s">
        <v>4750</v>
      </c>
      <c r="F257" s="773">
        <v>50.0</v>
      </c>
      <c r="G257" s="466">
        <v>103.95</v>
      </c>
      <c r="H257" s="466">
        <f t="shared" si="30"/>
        <v>5197.5</v>
      </c>
      <c r="I257" s="793"/>
      <c r="J257" s="388"/>
      <c r="K257" s="256" t="s">
        <v>12246</v>
      </c>
      <c r="L257" s="256" t="s">
        <v>90</v>
      </c>
      <c r="M257" s="832">
        <v>41969.0</v>
      </c>
      <c r="N257" s="256" t="s">
        <v>90</v>
      </c>
      <c r="O257" s="388"/>
      <c r="P257" s="320" t="s">
        <v>90</v>
      </c>
      <c r="Q257" s="773">
        <v>2.0141000134746E13</v>
      </c>
      <c r="R257" s="466">
        <v>4410.0</v>
      </c>
      <c r="S257" s="793"/>
      <c r="T257" s="320" t="s">
        <v>11006</v>
      </c>
      <c r="U257" s="1133">
        <v>41983.0</v>
      </c>
      <c r="V257" s="1133">
        <v>41969.0</v>
      </c>
      <c r="W257" s="1296">
        <v>134946.0</v>
      </c>
      <c r="X257" s="320" t="s">
        <v>13308</v>
      </c>
      <c r="Y257" s="320" t="s">
        <v>13309</v>
      </c>
      <c r="Z257" s="91"/>
    </row>
    <row r="258" ht="15.75" customHeight="1">
      <c r="A258" s="1293">
        <v>41918.0</v>
      </c>
      <c r="B258" s="599" t="s">
        <v>11771</v>
      </c>
      <c r="C258" s="388"/>
      <c r="D258" s="388" t="s">
        <v>13310</v>
      </c>
      <c r="E258" s="340" t="s">
        <v>13311</v>
      </c>
      <c r="F258" s="1137">
        <v>9.0</v>
      </c>
      <c r="G258" s="325">
        <v>103.0</v>
      </c>
      <c r="H258" s="466">
        <f t="shared" ref="H258:H289" si="31">F258*G258</f>
        <v>927</v>
      </c>
      <c r="I258" s="793"/>
      <c r="J258" s="793"/>
      <c r="K258" s="256" t="s">
        <v>11898</v>
      </c>
      <c r="L258" s="592" t="s">
        <v>11774</v>
      </c>
      <c r="M258" s="832">
        <v>41926.0</v>
      </c>
      <c r="N258" s="592" t="s">
        <v>6067</v>
      </c>
      <c r="O258" s="832">
        <v>41925.0</v>
      </c>
      <c r="P258" s="388" t="s">
        <v>13312</v>
      </c>
      <c r="Q258" s="773">
        <v>2.0141000134834E13</v>
      </c>
      <c r="R258" s="466">
        <v>859.95</v>
      </c>
      <c r="S258" s="793"/>
      <c r="T258" s="388" t="s">
        <v>6081</v>
      </c>
      <c r="U258" s="1143">
        <v>41946.0</v>
      </c>
      <c r="V258" s="1133">
        <v>41925.0</v>
      </c>
      <c r="W258" s="1149">
        <v>26095.0</v>
      </c>
      <c r="X258" s="320" t="s">
        <v>13313</v>
      </c>
      <c r="Y258" s="388"/>
      <c r="Z258" s="91"/>
    </row>
    <row r="259" ht="15.75" customHeight="1">
      <c r="A259" s="1293">
        <v>41918.0</v>
      </c>
      <c r="B259" s="599" t="s">
        <v>10926</v>
      </c>
      <c r="C259" s="1004" t="s">
        <v>13314</v>
      </c>
      <c r="D259" s="388" t="s">
        <v>13315</v>
      </c>
      <c r="E259" s="340" t="s">
        <v>7584</v>
      </c>
      <c r="F259" s="1137">
        <v>1.0</v>
      </c>
      <c r="G259" s="325">
        <v>118.65</v>
      </c>
      <c r="H259" s="466">
        <f t="shared" si="31"/>
        <v>118.65</v>
      </c>
      <c r="I259" s="466">
        <v>3559.5</v>
      </c>
      <c r="J259" s="1149">
        <f t="shared" ref="J259:J260" si="32">F259*I259</f>
        <v>3559.5</v>
      </c>
      <c r="K259" s="256" t="s">
        <v>11086</v>
      </c>
      <c r="L259" s="592" t="s">
        <v>11675</v>
      </c>
      <c r="M259" s="832">
        <v>41926.0</v>
      </c>
      <c r="N259" s="592" t="s">
        <v>6067</v>
      </c>
      <c r="O259" s="832">
        <v>41920.0</v>
      </c>
      <c r="P259" s="388" t="s">
        <v>11033</v>
      </c>
      <c r="Q259" s="1137" t="s">
        <v>13316</v>
      </c>
      <c r="R259" s="793"/>
      <c r="S259" s="466">
        <v>3401.0</v>
      </c>
      <c r="T259" s="388" t="s">
        <v>8689</v>
      </c>
      <c r="U259" s="1143">
        <v>41936.0</v>
      </c>
      <c r="V259" s="1302">
        <v>41919.0</v>
      </c>
      <c r="W259" s="1303">
        <v>71441.0</v>
      </c>
      <c r="X259" s="1300" t="s">
        <v>13317</v>
      </c>
      <c r="Y259" s="1300" t="s">
        <v>13266</v>
      </c>
      <c r="Z259" s="91"/>
    </row>
    <row r="260" ht="15.75" customHeight="1">
      <c r="A260" s="1293">
        <v>41918.0</v>
      </c>
      <c r="B260" s="599" t="s">
        <v>10926</v>
      </c>
      <c r="C260" s="1004" t="s">
        <v>13314</v>
      </c>
      <c r="D260" s="388" t="s">
        <v>13315</v>
      </c>
      <c r="E260" s="340" t="s">
        <v>6596</v>
      </c>
      <c r="F260" s="1137">
        <v>20.0</v>
      </c>
      <c r="G260" s="325">
        <v>118.3</v>
      </c>
      <c r="H260" s="466">
        <f t="shared" si="31"/>
        <v>2366</v>
      </c>
      <c r="I260" s="466">
        <v>3549.0</v>
      </c>
      <c r="J260" s="1149">
        <f t="shared" si="32"/>
        <v>70980</v>
      </c>
      <c r="K260" s="256" t="s">
        <v>11086</v>
      </c>
      <c r="L260" s="592" t="s">
        <v>11675</v>
      </c>
      <c r="M260" s="832">
        <v>41926.0</v>
      </c>
      <c r="N260" s="592" t="s">
        <v>6067</v>
      </c>
      <c r="O260" s="832">
        <v>41920.0</v>
      </c>
      <c r="P260" s="388" t="s">
        <v>11033</v>
      </c>
      <c r="Q260" s="1137" t="s">
        <v>13316</v>
      </c>
      <c r="R260" s="793"/>
      <c r="S260" s="466">
        <v>68040.0</v>
      </c>
      <c r="T260" s="388" t="s">
        <v>8689</v>
      </c>
      <c r="U260" s="1143">
        <v>41936.0</v>
      </c>
      <c r="V260" s="1143"/>
      <c r="W260" s="1159"/>
      <c r="X260" s="388"/>
      <c r="Y260" s="388"/>
      <c r="Z260" s="91"/>
    </row>
    <row r="261" ht="15.75" customHeight="1">
      <c r="A261" s="1293">
        <v>41919.0</v>
      </c>
      <c r="B261" s="599" t="s">
        <v>11771</v>
      </c>
      <c r="C261" s="388"/>
      <c r="D261" s="388" t="s">
        <v>13318</v>
      </c>
      <c r="E261" s="340" t="s">
        <v>13319</v>
      </c>
      <c r="F261" s="1137">
        <v>1.0</v>
      </c>
      <c r="G261" s="325">
        <v>1070.0</v>
      </c>
      <c r="H261" s="466">
        <f t="shared" si="31"/>
        <v>1070</v>
      </c>
      <c r="I261" s="793"/>
      <c r="J261" s="793"/>
      <c r="K261" s="256" t="s">
        <v>11898</v>
      </c>
      <c r="L261" s="592" t="s">
        <v>11774</v>
      </c>
      <c r="M261" s="832">
        <v>41926.0</v>
      </c>
      <c r="N261" s="592" t="s">
        <v>6067</v>
      </c>
      <c r="O261" s="832">
        <v>41925.0</v>
      </c>
      <c r="P261" s="388" t="s">
        <v>90</v>
      </c>
      <c r="Q261" s="773">
        <v>2.014100013489E13</v>
      </c>
      <c r="R261" s="466">
        <v>924.0</v>
      </c>
      <c r="S261" s="793"/>
      <c r="T261" s="388" t="s">
        <v>6081</v>
      </c>
      <c r="U261" s="1143">
        <v>41946.0</v>
      </c>
      <c r="V261" s="1133">
        <v>41925.0</v>
      </c>
      <c r="W261" s="1149">
        <v>28039.0</v>
      </c>
      <c r="X261" s="320" t="s">
        <v>13313</v>
      </c>
      <c r="Y261" s="388"/>
      <c r="Z261" s="91"/>
    </row>
    <row r="262" ht="15.75" customHeight="1">
      <c r="A262" s="1311">
        <v>41920.0</v>
      </c>
      <c r="B262" s="340" t="s">
        <v>11038</v>
      </c>
      <c r="C262" s="388"/>
      <c r="D262" s="320" t="s">
        <v>13320</v>
      </c>
      <c r="E262" s="340" t="s">
        <v>13321</v>
      </c>
      <c r="F262" s="773">
        <v>1.0</v>
      </c>
      <c r="G262" s="466">
        <v>865.0</v>
      </c>
      <c r="H262" s="466">
        <f t="shared" si="31"/>
        <v>865</v>
      </c>
      <c r="I262" s="793"/>
      <c r="J262" s="793"/>
      <c r="K262" s="256" t="s">
        <v>3874</v>
      </c>
      <c r="L262" s="256" t="s">
        <v>13322</v>
      </c>
      <c r="M262" s="832">
        <v>41946.0</v>
      </c>
      <c r="N262" s="256" t="s">
        <v>6067</v>
      </c>
      <c r="O262" s="388"/>
      <c r="P262" s="320" t="s">
        <v>13323</v>
      </c>
      <c r="Q262" s="773" t="s">
        <v>13324</v>
      </c>
      <c r="R262" s="793"/>
      <c r="S262" s="466">
        <v>23468.0</v>
      </c>
      <c r="T262" s="320" t="s">
        <v>2000</v>
      </c>
      <c r="U262" s="1133">
        <v>41936.0</v>
      </c>
      <c r="V262" s="1133">
        <v>41939.0</v>
      </c>
      <c r="W262" s="1149">
        <v>23468.0</v>
      </c>
      <c r="X262" s="1297" t="s">
        <v>13325</v>
      </c>
      <c r="Y262" s="388"/>
      <c r="Z262" s="91"/>
    </row>
    <row r="263" ht="15.75" customHeight="1">
      <c r="A263" s="1311">
        <v>41920.0</v>
      </c>
      <c r="B263" s="340" t="s">
        <v>11038</v>
      </c>
      <c r="C263" s="388"/>
      <c r="D263" s="320" t="s">
        <v>13320</v>
      </c>
      <c r="E263" s="340" t="s">
        <v>13326</v>
      </c>
      <c r="F263" s="773">
        <v>1.0</v>
      </c>
      <c r="G263" s="466">
        <v>540.0</v>
      </c>
      <c r="H263" s="466">
        <f t="shared" si="31"/>
        <v>540</v>
      </c>
      <c r="I263" s="793"/>
      <c r="J263" s="388"/>
      <c r="K263" s="256" t="s">
        <v>3874</v>
      </c>
      <c r="L263" s="256" t="s">
        <v>13322</v>
      </c>
      <c r="M263" s="832">
        <v>41946.0</v>
      </c>
      <c r="N263" s="388"/>
      <c r="O263" s="832">
        <v>41941.0</v>
      </c>
      <c r="P263" s="388"/>
      <c r="Q263" s="773" t="s">
        <v>13327</v>
      </c>
      <c r="R263" s="466">
        <v>420.0</v>
      </c>
      <c r="S263" s="793"/>
      <c r="T263" s="388"/>
      <c r="U263" s="1133">
        <v>41936.0</v>
      </c>
      <c r="V263" s="773" t="s">
        <v>5701</v>
      </c>
      <c r="W263" s="773" t="s">
        <v>5701</v>
      </c>
      <c r="X263" s="1297"/>
      <c r="Y263" s="388"/>
      <c r="Z263" s="91"/>
    </row>
    <row r="264" ht="15.75" customHeight="1">
      <c r="A264" s="1311">
        <v>41920.0</v>
      </c>
      <c r="B264" s="340" t="s">
        <v>11038</v>
      </c>
      <c r="C264" s="388"/>
      <c r="D264" s="320" t="s">
        <v>13320</v>
      </c>
      <c r="E264" s="340" t="s">
        <v>3618</v>
      </c>
      <c r="F264" s="773">
        <v>20.0</v>
      </c>
      <c r="G264" s="466">
        <v>115.0</v>
      </c>
      <c r="H264" s="466">
        <f t="shared" si="31"/>
        <v>2300</v>
      </c>
      <c r="I264" s="793"/>
      <c r="J264" s="388"/>
      <c r="K264" s="256" t="s">
        <v>3874</v>
      </c>
      <c r="L264" s="256" t="s">
        <v>13322</v>
      </c>
      <c r="M264" s="832">
        <v>41946.0</v>
      </c>
      <c r="N264" s="256" t="s">
        <v>6067</v>
      </c>
      <c r="O264" s="832">
        <v>41941.0</v>
      </c>
      <c r="P264" s="320" t="s">
        <v>90</v>
      </c>
      <c r="Q264" s="773">
        <v>2.0141000135512E13</v>
      </c>
      <c r="R264" s="466">
        <v>2016.0</v>
      </c>
      <c r="S264" s="793"/>
      <c r="T264" s="320" t="s">
        <v>6081</v>
      </c>
      <c r="U264" s="1133">
        <v>41936.0</v>
      </c>
      <c r="V264" s="1133">
        <v>41941.0</v>
      </c>
      <c r="W264" s="1149">
        <v>61155.0</v>
      </c>
      <c r="X264" s="320"/>
      <c r="Y264" s="388"/>
      <c r="Z264" s="91"/>
    </row>
    <row r="265" ht="15.75" customHeight="1">
      <c r="A265" s="1311">
        <v>41920.0</v>
      </c>
      <c r="B265" s="599" t="s">
        <v>10926</v>
      </c>
      <c r="C265" s="265" t="s">
        <v>13328</v>
      </c>
      <c r="D265" s="320" t="s">
        <v>13329</v>
      </c>
      <c r="E265" s="340" t="s">
        <v>13330</v>
      </c>
      <c r="F265" s="773">
        <v>5.0</v>
      </c>
      <c r="G265" s="466">
        <v>30.45</v>
      </c>
      <c r="H265" s="466">
        <f t="shared" si="31"/>
        <v>152.25</v>
      </c>
      <c r="I265" s="793"/>
      <c r="J265" s="388"/>
      <c r="K265" s="256" t="s">
        <v>11086</v>
      </c>
      <c r="L265" s="256" t="s">
        <v>90</v>
      </c>
      <c r="M265" s="832">
        <v>41947.0</v>
      </c>
      <c r="N265" s="256" t="s">
        <v>90</v>
      </c>
      <c r="O265" s="388"/>
      <c r="P265" s="320" t="s">
        <v>90</v>
      </c>
      <c r="Q265" s="773">
        <v>2.0141000134965E13</v>
      </c>
      <c r="R265" s="466">
        <v>152.25</v>
      </c>
      <c r="S265" s="793"/>
      <c r="T265" s="320" t="s">
        <v>6081</v>
      </c>
      <c r="U265" s="1133">
        <v>41976.0</v>
      </c>
      <c r="V265" s="1295">
        <v>41947.0</v>
      </c>
      <c r="W265" s="1296">
        <v>31698.0</v>
      </c>
      <c r="X265" s="1297" t="s">
        <v>13331</v>
      </c>
      <c r="Y265" s="1297" t="s">
        <v>13332</v>
      </c>
      <c r="Z265" s="91"/>
    </row>
    <row r="266" ht="15.75" customHeight="1">
      <c r="A266" s="1311">
        <v>41920.0</v>
      </c>
      <c r="B266" s="599" t="s">
        <v>10926</v>
      </c>
      <c r="C266" s="265" t="s">
        <v>13328</v>
      </c>
      <c r="D266" s="320" t="s">
        <v>13329</v>
      </c>
      <c r="E266" s="340" t="s">
        <v>7414</v>
      </c>
      <c r="F266" s="773">
        <v>5.0</v>
      </c>
      <c r="G266" s="466">
        <v>204.75</v>
      </c>
      <c r="H266" s="466">
        <f t="shared" si="31"/>
        <v>1023.75</v>
      </c>
      <c r="I266" s="793"/>
      <c r="J266" s="388"/>
      <c r="K266" s="256" t="s">
        <v>11086</v>
      </c>
      <c r="L266" s="256" t="s">
        <v>90</v>
      </c>
      <c r="M266" s="832">
        <v>41947.0</v>
      </c>
      <c r="N266" s="256" t="s">
        <v>90</v>
      </c>
      <c r="O266" s="388"/>
      <c r="P266" s="320" t="s">
        <v>90</v>
      </c>
      <c r="Q266" s="773">
        <v>2.0141000134965E13</v>
      </c>
      <c r="R266" s="466">
        <v>892.5</v>
      </c>
      <c r="S266" s="793"/>
      <c r="T266" s="320" t="s">
        <v>6081</v>
      </c>
      <c r="U266" s="1133">
        <v>41976.0</v>
      </c>
      <c r="V266" s="1133"/>
      <c r="W266" s="1149"/>
      <c r="X266" s="320"/>
      <c r="Y266" s="320"/>
      <c r="Z266" s="91"/>
    </row>
    <row r="267" ht="15.75" customHeight="1">
      <c r="A267" s="1293">
        <v>41925.0</v>
      </c>
      <c r="B267" s="599" t="s">
        <v>10926</v>
      </c>
      <c r="C267" s="1004" t="s">
        <v>13333</v>
      </c>
      <c r="D267" s="388" t="s">
        <v>13334</v>
      </c>
      <c r="E267" s="340" t="s">
        <v>8582</v>
      </c>
      <c r="F267" s="1137">
        <v>2.0</v>
      </c>
      <c r="G267" s="466">
        <v>236.88</v>
      </c>
      <c r="H267" s="466">
        <f t="shared" si="31"/>
        <v>473.76</v>
      </c>
      <c r="I267" s="466">
        <v>7106.4</v>
      </c>
      <c r="J267" s="466">
        <f t="shared" ref="J267:J274" si="33">F267*I267</f>
        <v>14212.8</v>
      </c>
      <c r="K267" s="256" t="s">
        <v>11086</v>
      </c>
      <c r="L267" s="592" t="s">
        <v>11675</v>
      </c>
      <c r="M267" s="832">
        <v>41927.0</v>
      </c>
      <c r="N267" s="1301" t="s">
        <v>9220</v>
      </c>
      <c r="O267" s="832">
        <v>41926.0</v>
      </c>
      <c r="P267" s="388" t="s">
        <v>11033</v>
      </c>
      <c r="Q267" s="773" t="s">
        <v>13335</v>
      </c>
      <c r="R267" s="793"/>
      <c r="S267" s="466">
        <v>13644.0</v>
      </c>
      <c r="T267" s="388" t="s">
        <v>8689</v>
      </c>
      <c r="U267" s="1143">
        <v>41936.0</v>
      </c>
      <c r="V267" s="1302">
        <v>41925.0</v>
      </c>
      <c r="W267" s="1303">
        <v>47950.0</v>
      </c>
      <c r="X267" s="1300" t="s">
        <v>13336</v>
      </c>
      <c r="Y267" s="1300" t="s">
        <v>13269</v>
      </c>
      <c r="Z267" s="91"/>
    </row>
    <row r="268" ht="15.75" customHeight="1">
      <c r="A268" s="1293">
        <v>41925.0</v>
      </c>
      <c r="B268" s="599" t="s">
        <v>10926</v>
      </c>
      <c r="C268" s="1004" t="s">
        <v>13333</v>
      </c>
      <c r="D268" s="388" t="s">
        <v>13334</v>
      </c>
      <c r="E268" s="340" t="s">
        <v>13337</v>
      </c>
      <c r="F268" s="1137">
        <v>1.0</v>
      </c>
      <c r="G268" s="466">
        <v>49.42</v>
      </c>
      <c r="H268" s="466">
        <f t="shared" si="31"/>
        <v>49.42</v>
      </c>
      <c r="I268" s="466">
        <v>1482.6</v>
      </c>
      <c r="J268" s="466">
        <f t="shared" si="33"/>
        <v>1482.6</v>
      </c>
      <c r="K268" s="256" t="s">
        <v>11086</v>
      </c>
      <c r="L268" s="592" t="s">
        <v>11675</v>
      </c>
      <c r="M268" s="832">
        <v>41927.0</v>
      </c>
      <c r="N268" s="1301" t="s">
        <v>9220</v>
      </c>
      <c r="O268" s="832">
        <v>41926.0</v>
      </c>
      <c r="P268" s="388" t="s">
        <v>11033</v>
      </c>
      <c r="Q268" s="773" t="s">
        <v>13335</v>
      </c>
      <c r="R268" s="793"/>
      <c r="S268" s="466">
        <v>1424.0</v>
      </c>
      <c r="T268" s="388" t="s">
        <v>8689</v>
      </c>
      <c r="U268" s="1143">
        <v>41936.0</v>
      </c>
      <c r="V268" s="1302"/>
      <c r="W268" s="1303"/>
      <c r="X268" s="1300"/>
      <c r="Y268" s="1300"/>
      <c r="Z268" s="91"/>
    </row>
    <row r="269" ht="15.75" customHeight="1">
      <c r="A269" s="1293">
        <v>41925.0</v>
      </c>
      <c r="B269" s="599" t="s">
        <v>10926</v>
      </c>
      <c r="C269" s="1004" t="s">
        <v>13333</v>
      </c>
      <c r="D269" s="388" t="s">
        <v>13334</v>
      </c>
      <c r="E269" s="340" t="s">
        <v>13338</v>
      </c>
      <c r="F269" s="1137">
        <v>4.0</v>
      </c>
      <c r="G269" s="466">
        <v>10.29</v>
      </c>
      <c r="H269" s="466">
        <f t="shared" si="31"/>
        <v>41.16</v>
      </c>
      <c r="I269" s="466">
        <v>308.7</v>
      </c>
      <c r="J269" s="466">
        <f t="shared" si="33"/>
        <v>1234.8</v>
      </c>
      <c r="K269" s="256" t="s">
        <v>11086</v>
      </c>
      <c r="L269" s="592" t="s">
        <v>11675</v>
      </c>
      <c r="M269" s="832">
        <v>41927.0</v>
      </c>
      <c r="N269" s="1301" t="s">
        <v>9220</v>
      </c>
      <c r="O269" s="832">
        <v>41926.0</v>
      </c>
      <c r="P269" s="388" t="s">
        <v>11033</v>
      </c>
      <c r="Q269" s="773" t="s">
        <v>13335</v>
      </c>
      <c r="R269" s="793"/>
      <c r="S269" s="466">
        <v>1184.0</v>
      </c>
      <c r="T269" s="388" t="s">
        <v>8689</v>
      </c>
      <c r="U269" s="1143">
        <v>41936.0</v>
      </c>
      <c r="V269" s="1302"/>
      <c r="W269" s="1303"/>
      <c r="X269" s="1300"/>
      <c r="Y269" s="1300"/>
      <c r="Z269" s="91"/>
    </row>
    <row r="270" ht="15.75" customHeight="1">
      <c r="A270" s="1293">
        <v>41925.0</v>
      </c>
      <c r="B270" s="599" t="s">
        <v>10926</v>
      </c>
      <c r="C270" s="1004" t="s">
        <v>13333</v>
      </c>
      <c r="D270" s="388" t="s">
        <v>13334</v>
      </c>
      <c r="E270" s="340" t="s">
        <v>13339</v>
      </c>
      <c r="F270" s="1137">
        <v>1.0</v>
      </c>
      <c r="G270" s="466">
        <v>141.645</v>
      </c>
      <c r="H270" s="466">
        <f t="shared" si="31"/>
        <v>141.645</v>
      </c>
      <c r="I270" s="466">
        <v>4249.35</v>
      </c>
      <c r="J270" s="466">
        <f t="shared" si="33"/>
        <v>4249.35</v>
      </c>
      <c r="K270" s="256" t="s">
        <v>11086</v>
      </c>
      <c r="L270" s="592" t="s">
        <v>11675</v>
      </c>
      <c r="M270" s="832">
        <v>41927.0</v>
      </c>
      <c r="N270" s="1301" t="s">
        <v>9220</v>
      </c>
      <c r="O270" s="832">
        <v>41926.0</v>
      </c>
      <c r="P270" s="388" t="s">
        <v>11033</v>
      </c>
      <c r="Q270" s="773" t="s">
        <v>13335</v>
      </c>
      <c r="R270" s="793"/>
      <c r="S270" s="466">
        <v>4079.0</v>
      </c>
      <c r="T270" s="388" t="s">
        <v>8689</v>
      </c>
      <c r="U270" s="1143">
        <v>41936.0</v>
      </c>
      <c r="V270" s="1302"/>
      <c r="W270" s="1303"/>
      <c r="X270" s="1300"/>
      <c r="Y270" s="1300"/>
      <c r="Z270" s="91"/>
    </row>
    <row r="271" ht="15.75" customHeight="1">
      <c r="A271" s="1293">
        <v>41925.0</v>
      </c>
      <c r="B271" s="599" t="s">
        <v>10926</v>
      </c>
      <c r="C271" s="1004" t="s">
        <v>13333</v>
      </c>
      <c r="D271" s="388" t="s">
        <v>13334</v>
      </c>
      <c r="E271" s="340" t="s">
        <v>6190</v>
      </c>
      <c r="F271" s="1137">
        <v>2.0</v>
      </c>
      <c r="G271" s="466">
        <v>141.295</v>
      </c>
      <c r="H271" s="466">
        <f t="shared" si="31"/>
        <v>282.59</v>
      </c>
      <c r="I271" s="466">
        <v>4238.85</v>
      </c>
      <c r="J271" s="466">
        <f t="shared" si="33"/>
        <v>8477.7</v>
      </c>
      <c r="K271" s="256" t="s">
        <v>11086</v>
      </c>
      <c r="L271" s="592" t="s">
        <v>11675</v>
      </c>
      <c r="M271" s="832">
        <v>41927.0</v>
      </c>
      <c r="N271" s="1301" t="s">
        <v>9220</v>
      </c>
      <c r="O271" s="832">
        <v>41926.0</v>
      </c>
      <c r="P271" s="388" t="s">
        <v>11033</v>
      </c>
      <c r="Q271" s="773" t="s">
        <v>13335</v>
      </c>
      <c r="R271" s="793"/>
      <c r="S271" s="466">
        <v>8140.0</v>
      </c>
      <c r="T271" s="388" t="s">
        <v>8689</v>
      </c>
      <c r="U271" s="1143">
        <v>41936.0</v>
      </c>
      <c r="V271" s="1302"/>
      <c r="W271" s="1303"/>
      <c r="X271" s="388"/>
      <c r="Y271" s="1300"/>
      <c r="Z271" s="91"/>
    </row>
    <row r="272" ht="15.75" customHeight="1">
      <c r="A272" s="1293">
        <v>41925.0</v>
      </c>
      <c r="B272" s="599" t="s">
        <v>10926</v>
      </c>
      <c r="C272" s="1004" t="s">
        <v>13333</v>
      </c>
      <c r="D272" s="388" t="s">
        <v>13334</v>
      </c>
      <c r="E272" s="340" t="s">
        <v>6329</v>
      </c>
      <c r="F272" s="1137">
        <v>3.0</v>
      </c>
      <c r="G272" s="466">
        <v>138.075</v>
      </c>
      <c r="H272" s="466">
        <f t="shared" si="31"/>
        <v>414.225</v>
      </c>
      <c r="I272" s="466">
        <v>4142.25</v>
      </c>
      <c r="J272" s="466">
        <f t="shared" si="33"/>
        <v>12426.75</v>
      </c>
      <c r="K272" s="256" t="s">
        <v>11086</v>
      </c>
      <c r="L272" s="592" t="s">
        <v>11675</v>
      </c>
      <c r="M272" s="832">
        <v>41927.0</v>
      </c>
      <c r="N272" s="1301" t="s">
        <v>9220</v>
      </c>
      <c r="O272" s="832">
        <v>41926.0</v>
      </c>
      <c r="P272" s="388" t="s">
        <v>11033</v>
      </c>
      <c r="Q272" s="773" t="s">
        <v>13335</v>
      </c>
      <c r="R272" s="793"/>
      <c r="S272" s="466">
        <v>11101.0</v>
      </c>
      <c r="T272" s="388" t="s">
        <v>8689</v>
      </c>
      <c r="U272" s="1143">
        <v>41936.0</v>
      </c>
      <c r="V272" s="1302"/>
      <c r="W272" s="1303"/>
      <c r="X272" s="1300" t="s">
        <v>13340</v>
      </c>
      <c r="Y272" s="1300"/>
      <c r="Z272" s="91"/>
    </row>
    <row r="273" ht="15.75" customHeight="1">
      <c r="A273" s="1293">
        <v>41925.0</v>
      </c>
      <c r="B273" s="599" t="s">
        <v>10926</v>
      </c>
      <c r="C273" s="1004" t="s">
        <v>13333</v>
      </c>
      <c r="D273" s="388" t="s">
        <v>13334</v>
      </c>
      <c r="E273" s="340" t="s">
        <v>13341</v>
      </c>
      <c r="F273" s="1137">
        <v>1.0</v>
      </c>
      <c r="G273" s="466">
        <v>290.955</v>
      </c>
      <c r="H273" s="466">
        <f t="shared" si="31"/>
        <v>290.955</v>
      </c>
      <c r="I273" s="466">
        <v>8728.65</v>
      </c>
      <c r="J273" s="466">
        <f t="shared" si="33"/>
        <v>8728.65</v>
      </c>
      <c r="K273" s="256" t="s">
        <v>11086</v>
      </c>
      <c r="L273" s="592" t="s">
        <v>11675</v>
      </c>
      <c r="M273" s="832">
        <v>41927.0</v>
      </c>
      <c r="N273" s="1301" t="s">
        <v>9220</v>
      </c>
      <c r="O273" s="832">
        <v>41926.0</v>
      </c>
      <c r="P273" s="388" t="s">
        <v>11033</v>
      </c>
      <c r="Q273" s="773" t="s">
        <v>13335</v>
      </c>
      <c r="R273" s="793"/>
      <c r="S273" s="466">
        <v>8379.0</v>
      </c>
      <c r="T273" s="388" t="s">
        <v>8689</v>
      </c>
      <c r="U273" s="1143">
        <v>41936.0</v>
      </c>
      <c r="V273" s="1143"/>
      <c r="W273" s="1159"/>
      <c r="X273" s="388"/>
      <c r="Y273" s="388"/>
      <c r="Z273" s="91"/>
    </row>
    <row r="274" ht="15.75" customHeight="1">
      <c r="A274" s="1293">
        <v>41925.0</v>
      </c>
      <c r="B274" s="599" t="s">
        <v>10926</v>
      </c>
      <c r="C274" s="1004" t="s">
        <v>13333</v>
      </c>
      <c r="D274" s="388" t="s">
        <v>13342</v>
      </c>
      <c r="E274" s="340" t="s">
        <v>11263</v>
      </c>
      <c r="F274" s="1137">
        <v>1.0</v>
      </c>
      <c r="G274" s="466">
        <v>97.335</v>
      </c>
      <c r="H274" s="466">
        <f t="shared" si="31"/>
        <v>97.335</v>
      </c>
      <c r="I274" s="466">
        <v>3014.55</v>
      </c>
      <c r="J274" s="466">
        <f t="shared" si="33"/>
        <v>3014.55</v>
      </c>
      <c r="K274" s="256" t="s">
        <v>11086</v>
      </c>
      <c r="L274" s="592" t="s">
        <v>13343</v>
      </c>
      <c r="M274" s="832">
        <v>41942.0</v>
      </c>
      <c r="N274" s="592" t="s">
        <v>6067</v>
      </c>
      <c r="O274" s="832">
        <v>41942.0</v>
      </c>
      <c r="P274" s="388" t="s">
        <v>11033</v>
      </c>
      <c r="Q274" s="773" t="s">
        <v>13335</v>
      </c>
      <c r="R274" s="793"/>
      <c r="S274" s="466">
        <v>2894.0</v>
      </c>
      <c r="T274" s="388" t="s">
        <v>8689</v>
      </c>
      <c r="U274" s="1143">
        <v>41946.0</v>
      </c>
      <c r="V274" s="1143">
        <v>41941.0</v>
      </c>
      <c r="W274" s="1159">
        <v>2894.0</v>
      </c>
      <c r="X274" s="388" t="s">
        <v>13344</v>
      </c>
      <c r="Y274" s="388" t="s">
        <v>13345</v>
      </c>
      <c r="Z274" s="91"/>
    </row>
    <row r="275" ht="15.75" customHeight="1">
      <c r="A275" s="1293">
        <v>41925.0</v>
      </c>
      <c r="B275" s="599" t="s">
        <v>673</v>
      </c>
      <c r="C275" s="388"/>
      <c r="D275" s="388" t="s">
        <v>13346</v>
      </c>
      <c r="E275" s="340" t="s">
        <v>3765</v>
      </c>
      <c r="F275" s="1137">
        <v>1.0</v>
      </c>
      <c r="G275" s="325">
        <v>366.0</v>
      </c>
      <c r="H275" s="466">
        <f t="shared" si="31"/>
        <v>366</v>
      </c>
      <c r="I275" s="793"/>
      <c r="J275" s="388"/>
      <c r="K275" s="256" t="s">
        <v>11972</v>
      </c>
      <c r="L275" s="592" t="s">
        <v>13347</v>
      </c>
      <c r="M275" s="832">
        <v>41942.0</v>
      </c>
      <c r="N275" s="592" t="s">
        <v>6067</v>
      </c>
      <c r="O275" s="832">
        <v>41941.0</v>
      </c>
      <c r="P275" s="388" t="s">
        <v>90</v>
      </c>
      <c r="Q275" s="773">
        <v>2.0141000135513E13</v>
      </c>
      <c r="R275" s="466">
        <v>334.95</v>
      </c>
      <c r="S275" s="793"/>
      <c r="T275" s="388" t="s">
        <v>6081</v>
      </c>
      <c r="U275" s="1143">
        <v>41936.0</v>
      </c>
      <c r="V275" s="1133">
        <v>41941.0</v>
      </c>
      <c r="W275" s="1149">
        <v>10161.0</v>
      </c>
      <c r="X275" s="265" t="s">
        <v>13348</v>
      </c>
      <c r="Y275" s="388"/>
      <c r="Z275" s="91"/>
    </row>
    <row r="276" ht="15.75" customHeight="1">
      <c r="A276" s="1293">
        <v>41925.0</v>
      </c>
      <c r="B276" s="599" t="s">
        <v>1204</v>
      </c>
      <c r="C276" s="1004" t="s">
        <v>13349</v>
      </c>
      <c r="D276" s="388" t="s">
        <v>13350</v>
      </c>
      <c r="E276" s="340" t="s">
        <v>13351</v>
      </c>
      <c r="F276" s="1137">
        <v>50.0</v>
      </c>
      <c r="G276" s="325">
        <v>19.0</v>
      </c>
      <c r="H276" s="466">
        <f t="shared" si="31"/>
        <v>950</v>
      </c>
      <c r="I276" s="793"/>
      <c r="J276" s="388"/>
      <c r="K276" s="256" t="s">
        <v>11972</v>
      </c>
      <c r="L276" s="256" t="s">
        <v>13277</v>
      </c>
      <c r="M276" s="832">
        <v>41988.0</v>
      </c>
      <c r="N276" s="592" t="s">
        <v>6067</v>
      </c>
      <c r="O276" s="832">
        <v>41974.0</v>
      </c>
      <c r="P276" s="388" t="s">
        <v>12985</v>
      </c>
      <c r="Q276" s="1137" t="s">
        <v>13352</v>
      </c>
      <c r="R276" s="793"/>
      <c r="S276" s="466">
        <v>25725.0</v>
      </c>
      <c r="T276" s="265" t="s">
        <v>2510</v>
      </c>
      <c r="U276" s="1143">
        <v>42047.0</v>
      </c>
      <c r="V276" s="1133">
        <v>41974.0</v>
      </c>
      <c r="W276" s="1149">
        <v>25725.0</v>
      </c>
      <c r="X276" s="320" t="s">
        <v>13353</v>
      </c>
      <c r="Y276" s="388"/>
      <c r="Z276" s="91"/>
    </row>
    <row r="277" ht="15.75" customHeight="1">
      <c r="A277" s="1311">
        <v>41925.0</v>
      </c>
      <c r="B277" s="340" t="s">
        <v>1204</v>
      </c>
      <c r="C277" s="265" t="s">
        <v>13354</v>
      </c>
      <c r="D277" s="320" t="s">
        <v>13350</v>
      </c>
      <c r="E277" s="340" t="s">
        <v>13351</v>
      </c>
      <c r="F277" s="773">
        <v>5.0</v>
      </c>
      <c r="G277" s="466">
        <v>20.7</v>
      </c>
      <c r="H277" s="466">
        <f t="shared" si="31"/>
        <v>103.5</v>
      </c>
      <c r="I277" s="793"/>
      <c r="J277" s="388"/>
      <c r="K277" s="256" t="s">
        <v>11972</v>
      </c>
      <c r="L277" s="256" t="s">
        <v>13277</v>
      </c>
      <c r="M277" s="832">
        <v>41928.0</v>
      </c>
      <c r="N277" s="256" t="s">
        <v>6067</v>
      </c>
      <c r="O277" s="832">
        <v>41927.0</v>
      </c>
      <c r="P277" s="320" t="s">
        <v>12985</v>
      </c>
      <c r="Q277" s="773" t="s">
        <v>13352</v>
      </c>
      <c r="R277" s="793"/>
      <c r="S277" s="466">
        <v>2573.0</v>
      </c>
      <c r="T277" s="265" t="s">
        <v>2510</v>
      </c>
      <c r="U277" s="1133">
        <v>41946.0</v>
      </c>
      <c r="V277" s="1133">
        <v>41926.0</v>
      </c>
      <c r="W277" s="1149">
        <v>2573.0</v>
      </c>
      <c r="X277" s="320" t="s">
        <v>13355</v>
      </c>
      <c r="Y277" s="388"/>
      <c r="Z277" s="91"/>
    </row>
    <row r="278" ht="15.75" customHeight="1">
      <c r="A278" s="1293">
        <v>41926.0</v>
      </c>
      <c r="B278" s="599" t="s">
        <v>10926</v>
      </c>
      <c r="C278" s="1004" t="s">
        <v>13356</v>
      </c>
      <c r="D278" s="388" t="s">
        <v>13357</v>
      </c>
      <c r="E278" s="844" t="s">
        <v>11579</v>
      </c>
      <c r="F278" s="1137">
        <v>40.0</v>
      </c>
      <c r="G278" s="325">
        <v>89.25</v>
      </c>
      <c r="H278" s="466">
        <f t="shared" si="31"/>
        <v>3570</v>
      </c>
      <c r="I278" s="793"/>
      <c r="J278" s="388"/>
      <c r="K278" s="256" t="s">
        <v>11086</v>
      </c>
      <c r="L278" s="592" t="s">
        <v>90</v>
      </c>
      <c r="M278" s="832">
        <v>41932.0</v>
      </c>
      <c r="N278" s="592" t="s">
        <v>90</v>
      </c>
      <c r="O278" s="388"/>
      <c r="P278" s="388" t="s">
        <v>90</v>
      </c>
      <c r="Q278" s="1137">
        <v>2.014100013511E13</v>
      </c>
      <c r="R278" s="466">
        <v>3206.7</v>
      </c>
      <c r="S278" s="793"/>
      <c r="T278" s="388" t="s">
        <v>6081</v>
      </c>
      <c r="U278" s="1143">
        <v>41946.0</v>
      </c>
      <c r="V278" s="1143">
        <v>41932.0</v>
      </c>
      <c r="W278" s="1159">
        <v>97307.0</v>
      </c>
      <c r="X278" s="388" t="s">
        <v>13358</v>
      </c>
      <c r="Y278" s="388" t="s">
        <v>13359</v>
      </c>
      <c r="Z278" s="91"/>
    </row>
    <row r="279" ht="15.75" customHeight="1">
      <c r="A279" s="1311">
        <v>41926.0</v>
      </c>
      <c r="B279" s="599" t="s">
        <v>10926</v>
      </c>
      <c r="C279" s="265" t="s">
        <v>13356</v>
      </c>
      <c r="D279" s="320" t="s">
        <v>13360</v>
      </c>
      <c r="E279" s="597" t="s">
        <v>11579</v>
      </c>
      <c r="F279" s="773">
        <v>41.0</v>
      </c>
      <c r="G279" s="466">
        <v>89.25</v>
      </c>
      <c r="H279" s="466">
        <f t="shared" si="31"/>
        <v>3659.25</v>
      </c>
      <c r="I279" s="793"/>
      <c r="J279" s="388"/>
      <c r="K279" s="256" t="s">
        <v>11086</v>
      </c>
      <c r="L279" s="256" t="s">
        <v>90</v>
      </c>
      <c r="M279" s="832">
        <v>41953.0</v>
      </c>
      <c r="N279" s="256" t="s">
        <v>90</v>
      </c>
      <c r="O279" s="388"/>
      <c r="P279" s="320" t="s">
        <v>90</v>
      </c>
      <c r="Q279" s="773">
        <v>2.01410001351E13</v>
      </c>
      <c r="R279" s="466">
        <v>3286.87</v>
      </c>
      <c r="S279" s="793"/>
      <c r="T279" s="320" t="s">
        <v>6081</v>
      </c>
      <c r="U279" s="1133">
        <v>41976.0</v>
      </c>
      <c r="V279" s="1133">
        <v>41953.0</v>
      </c>
      <c r="W279" s="1149">
        <v>99724.0</v>
      </c>
      <c r="X279" s="320" t="s">
        <v>13361</v>
      </c>
      <c r="Y279" s="320" t="s">
        <v>13362</v>
      </c>
      <c r="Z279" s="91"/>
    </row>
    <row r="280" ht="15.75" customHeight="1">
      <c r="A280" s="1293">
        <v>41927.0</v>
      </c>
      <c r="B280" s="599" t="s">
        <v>11771</v>
      </c>
      <c r="C280" s="388"/>
      <c r="D280" s="388" t="s">
        <v>13363</v>
      </c>
      <c r="E280" s="340" t="s">
        <v>13364</v>
      </c>
      <c r="F280" s="1137">
        <v>8.0</v>
      </c>
      <c r="G280" s="325">
        <v>29.5</v>
      </c>
      <c r="H280" s="466">
        <f t="shared" si="31"/>
        <v>236</v>
      </c>
      <c r="I280" s="793"/>
      <c r="J280" s="793"/>
      <c r="K280" s="256" t="s">
        <v>11898</v>
      </c>
      <c r="L280" s="592" t="s">
        <v>11774</v>
      </c>
      <c r="M280" s="832">
        <v>41935.0</v>
      </c>
      <c r="N280" s="592" t="s">
        <v>6067</v>
      </c>
      <c r="O280" s="832">
        <v>41934.0</v>
      </c>
      <c r="P280" s="388" t="s">
        <v>90</v>
      </c>
      <c r="Q280" s="773">
        <v>2.0141000135405E13</v>
      </c>
      <c r="R280" s="466">
        <v>218.4</v>
      </c>
      <c r="S280" s="793"/>
      <c r="T280" s="388" t="s">
        <v>6081</v>
      </c>
      <c r="U280" s="1143">
        <v>41946.0</v>
      </c>
      <c r="V280" s="1133">
        <v>41934.0</v>
      </c>
      <c r="W280" s="1149">
        <v>6625.0</v>
      </c>
      <c r="X280" s="1297" t="s">
        <v>13365</v>
      </c>
      <c r="Y280" s="388"/>
      <c r="Z280" s="91"/>
    </row>
    <row r="281" ht="15.75" customHeight="1">
      <c r="A281" s="1293">
        <v>41927.0</v>
      </c>
      <c r="B281" s="599" t="s">
        <v>11771</v>
      </c>
      <c r="C281" s="388"/>
      <c r="D281" s="388" t="s">
        <v>13366</v>
      </c>
      <c r="E281" s="340" t="s">
        <v>13367</v>
      </c>
      <c r="F281" s="1137">
        <v>2.0</v>
      </c>
      <c r="G281" s="325">
        <v>232.0</v>
      </c>
      <c r="H281" s="466">
        <f t="shared" si="31"/>
        <v>464</v>
      </c>
      <c r="I281" s="793"/>
      <c r="J281" s="793"/>
      <c r="K281" s="256" t="s">
        <v>11898</v>
      </c>
      <c r="L281" s="592" t="s">
        <v>11774</v>
      </c>
      <c r="M281" s="832">
        <v>41935.0</v>
      </c>
      <c r="N281" s="592" t="s">
        <v>6067</v>
      </c>
      <c r="O281" s="832">
        <v>41934.0</v>
      </c>
      <c r="P281" s="388" t="s">
        <v>90</v>
      </c>
      <c r="Q281" s="773">
        <v>2.0141000135403E13</v>
      </c>
      <c r="R281" s="466">
        <v>415.8</v>
      </c>
      <c r="S281" s="793"/>
      <c r="T281" s="388" t="s">
        <v>6081</v>
      </c>
      <c r="U281" s="1143">
        <v>41946.0</v>
      </c>
      <c r="V281" s="1133">
        <v>41934.0</v>
      </c>
      <c r="W281" s="1149">
        <v>12613.0</v>
      </c>
      <c r="X281" s="320"/>
      <c r="Y281" s="388"/>
      <c r="Z281" s="91"/>
    </row>
    <row r="282" ht="15.75" customHeight="1">
      <c r="A282" s="1293">
        <v>41929.0</v>
      </c>
      <c r="B282" s="599" t="s">
        <v>8749</v>
      </c>
      <c r="C282" s="1004" t="s">
        <v>13368</v>
      </c>
      <c r="D282" s="388" t="s">
        <v>13369</v>
      </c>
      <c r="E282" s="340" t="s">
        <v>13370</v>
      </c>
      <c r="F282" s="1137">
        <v>200.0</v>
      </c>
      <c r="G282" s="325">
        <v>1.05</v>
      </c>
      <c r="H282" s="466">
        <f t="shared" si="31"/>
        <v>210</v>
      </c>
      <c r="I282" s="466">
        <v>31.5</v>
      </c>
      <c r="J282" s="466">
        <f t="shared" ref="J282:J284" si="34">F282*I282</f>
        <v>6300</v>
      </c>
      <c r="K282" s="256" t="s">
        <v>11086</v>
      </c>
      <c r="L282" s="592" t="s">
        <v>11675</v>
      </c>
      <c r="M282" s="832">
        <v>41949.0</v>
      </c>
      <c r="N282" s="592" t="s">
        <v>10372</v>
      </c>
      <c r="O282" s="832">
        <v>41947.0</v>
      </c>
      <c r="P282" s="388" t="s">
        <v>10989</v>
      </c>
      <c r="Q282" s="1137" t="s">
        <v>13371</v>
      </c>
      <c r="R282" s="793"/>
      <c r="S282" s="466">
        <v>5250.0</v>
      </c>
      <c r="T282" s="388" t="s">
        <v>11975</v>
      </c>
      <c r="U282" s="1143">
        <v>41953.0</v>
      </c>
      <c r="V282" s="1133">
        <v>41947.0</v>
      </c>
      <c r="W282" s="1149">
        <v>5250.0</v>
      </c>
      <c r="X282" s="388" t="s">
        <v>13372</v>
      </c>
      <c r="Y282" s="388" t="s">
        <v>13373</v>
      </c>
      <c r="Z282" s="91"/>
    </row>
    <row r="283" ht="15.75" customHeight="1">
      <c r="A283" s="1293">
        <v>41929.0</v>
      </c>
      <c r="B283" s="599" t="s">
        <v>10926</v>
      </c>
      <c r="C283" s="1004" t="s">
        <v>13374</v>
      </c>
      <c r="D283" s="388" t="s">
        <v>13375</v>
      </c>
      <c r="E283" s="340" t="s">
        <v>13376</v>
      </c>
      <c r="F283" s="1137">
        <v>1.0</v>
      </c>
      <c r="G283" s="466">
        <v>184.24</v>
      </c>
      <c r="H283" s="466">
        <f t="shared" si="31"/>
        <v>184.24</v>
      </c>
      <c r="I283" s="466">
        <v>5527.2</v>
      </c>
      <c r="J283" s="466">
        <f t="shared" si="34"/>
        <v>5527.2</v>
      </c>
      <c r="K283" s="256" t="s">
        <v>11086</v>
      </c>
      <c r="L283" s="592" t="s">
        <v>11675</v>
      </c>
      <c r="M283" s="832">
        <v>41940.0</v>
      </c>
      <c r="N283" s="592" t="s">
        <v>9220</v>
      </c>
      <c r="O283" s="832">
        <v>41939.0</v>
      </c>
      <c r="P283" s="388" t="s">
        <v>11033</v>
      </c>
      <c r="Q283" s="1137" t="s">
        <v>13377</v>
      </c>
      <c r="R283" s="793"/>
      <c r="S283" s="466">
        <v>5306.0</v>
      </c>
      <c r="T283" s="388" t="s">
        <v>8689</v>
      </c>
      <c r="U283" s="1143">
        <v>41936.0</v>
      </c>
      <c r="V283" s="1302">
        <v>41935.0</v>
      </c>
      <c r="W283" s="1303">
        <v>212764.0</v>
      </c>
      <c r="X283" s="1300" t="s">
        <v>13378</v>
      </c>
      <c r="Y283" s="1300" t="s">
        <v>13379</v>
      </c>
      <c r="Z283" s="91"/>
    </row>
    <row r="284" ht="15.75" customHeight="1">
      <c r="A284" s="1293">
        <v>41929.0</v>
      </c>
      <c r="B284" s="599" t="s">
        <v>10926</v>
      </c>
      <c r="C284" s="1004" t="s">
        <v>13374</v>
      </c>
      <c r="D284" s="388" t="s">
        <v>13375</v>
      </c>
      <c r="E284" s="340" t="s">
        <v>7584</v>
      </c>
      <c r="F284" s="1137">
        <v>61.0</v>
      </c>
      <c r="G284" s="466">
        <v>118.09</v>
      </c>
      <c r="H284" s="466">
        <f t="shared" si="31"/>
        <v>7203.49</v>
      </c>
      <c r="I284" s="466">
        <v>3542.7</v>
      </c>
      <c r="J284" s="466">
        <f t="shared" si="34"/>
        <v>216104.7</v>
      </c>
      <c r="K284" s="256" t="s">
        <v>11086</v>
      </c>
      <c r="L284" s="592" t="s">
        <v>11675</v>
      </c>
      <c r="M284" s="832">
        <v>41940.0</v>
      </c>
      <c r="N284" s="592" t="s">
        <v>9220</v>
      </c>
      <c r="O284" s="832">
        <v>41939.0</v>
      </c>
      <c r="P284" s="388" t="s">
        <v>11033</v>
      </c>
      <c r="Q284" s="773" t="s">
        <v>13377</v>
      </c>
      <c r="R284" s="793"/>
      <c r="S284" s="466">
        <v>207458.0</v>
      </c>
      <c r="T284" s="388" t="s">
        <v>8689</v>
      </c>
      <c r="U284" s="1143">
        <v>41936.0</v>
      </c>
      <c r="V284" s="1143"/>
      <c r="W284" s="1159"/>
      <c r="X284" s="388"/>
      <c r="Y284" s="388"/>
      <c r="Z284" s="91"/>
    </row>
    <row r="285" ht="15.75" customHeight="1">
      <c r="A285" s="1293">
        <v>41932.0</v>
      </c>
      <c r="B285" s="599" t="s">
        <v>10926</v>
      </c>
      <c r="C285" s="1004" t="s">
        <v>13380</v>
      </c>
      <c r="D285" s="388" t="s">
        <v>13381</v>
      </c>
      <c r="E285" s="340" t="s">
        <v>9438</v>
      </c>
      <c r="F285" s="1137">
        <v>28.0</v>
      </c>
      <c r="G285" s="325">
        <v>180.6</v>
      </c>
      <c r="H285" s="466">
        <f t="shared" si="31"/>
        <v>5056.8</v>
      </c>
      <c r="I285" s="793"/>
      <c r="J285" s="388"/>
      <c r="K285" s="256" t="s">
        <v>11086</v>
      </c>
      <c r="L285" s="592" t="s">
        <v>90</v>
      </c>
      <c r="M285" s="832">
        <v>41940.0</v>
      </c>
      <c r="N285" s="592" t="s">
        <v>90</v>
      </c>
      <c r="O285" s="388"/>
      <c r="P285" s="388" t="s">
        <v>90</v>
      </c>
      <c r="Q285" s="773">
        <v>2.0141000135529E13</v>
      </c>
      <c r="R285" s="466">
        <v>4292.4</v>
      </c>
      <c r="S285" s="793"/>
      <c r="T285" s="388" t="s">
        <v>6081</v>
      </c>
      <c r="U285" s="1143">
        <v>41936.0</v>
      </c>
      <c r="V285" s="1133">
        <v>41940.0</v>
      </c>
      <c r="W285" s="1149">
        <v>130210.0</v>
      </c>
      <c r="X285" s="1297" t="s">
        <v>13382</v>
      </c>
      <c r="Y285" s="1300" t="s">
        <v>13379</v>
      </c>
      <c r="Z285" s="91"/>
    </row>
    <row r="286" ht="15.75" customHeight="1">
      <c r="A286" s="1293">
        <v>41932.0</v>
      </c>
      <c r="B286" s="599" t="s">
        <v>10926</v>
      </c>
      <c r="C286" s="1004" t="s">
        <v>13380</v>
      </c>
      <c r="D286" s="388" t="s">
        <v>13381</v>
      </c>
      <c r="E286" s="340" t="s">
        <v>11644</v>
      </c>
      <c r="F286" s="1137">
        <v>28.0</v>
      </c>
      <c r="G286" s="325">
        <v>21.0</v>
      </c>
      <c r="H286" s="466">
        <f t="shared" si="31"/>
        <v>588</v>
      </c>
      <c r="I286" s="793"/>
      <c r="J286" s="388"/>
      <c r="K286" s="256" t="s">
        <v>11086</v>
      </c>
      <c r="L286" s="592" t="s">
        <v>90</v>
      </c>
      <c r="M286" s="832">
        <v>41940.0</v>
      </c>
      <c r="N286" s="592" t="s">
        <v>9220</v>
      </c>
      <c r="O286" s="832">
        <v>41936.0</v>
      </c>
      <c r="P286" s="388" t="s">
        <v>303</v>
      </c>
      <c r="Q286" s="773" t="s">
        <v>13383</v>
      </c>
      <c r="R286" s="793"/>
      <c r="S286" s="466">
        <v>13230.0</v>
      </c>
      <c r="T286" s="388" t="s">
        <v>12352</v>
      </c>
      <c r="U286" s="1143">
        <v>41976.0</v>
      </c>
      <c r="V286" s="1133">
        <v>41934.0</v>
      </c>
      <c r="W286" s="1149">
        <v>13230.0</v>
      </c>
      <c r="X286" s="320"/>
      <c r="Y286" s="388"/>
      <c r="Z286" s="91"/>
    </row>
    <row r="287" ht="15.75" customHeight="1">
      <c r="A287" s="1311">
        <v>41933.0</v>
      </c>
      <c r="B287" s="599" t="s">
        <v>10926</v>
      </c>
      <c r="C287" s="265" t="s">
        <v>13384</v>
      </c>
      <c r="D287" s="320" t="s">
        <v>13385</v>
      </c>
      <c r="E287" s="340" t="s">
        <v>11329</v>
      </c>
      <c r="F287" s="773">
        <v>10.0</v>
      </c>
      <c r="G287" s="466">
        <v>181.65</v>
      </c>
      <c r="H287" s="466">
        <f t="shared" si="31"/>
        <v>1816.5</v>
      </c>
      <c r="I287" s="466">
        <v>5449.5</v>
      </c>
      <c r="J287" s="466">
        <f>F287*I287</f>
        <v>54495</v>
      </c>
      <c r="K287" s="256" t="s">
        <v>11086</v>
      </c>
      <c r="L287" s="256" t="s">
        <v>11675</v>
      </c>
      <c r="M287" s="832">
        <v>41954.0</v>
      </c>
      <c r="N287" s="256" t="s">
        <v>9220</v>
      </c>
      <c r="O287" s="832">
        <v>41960.0</v>
      </c>
      <c r="P287" s="320" t="s">
        <v>11033</v>
      </c>
      <c r="Q287" s="773" t="s">
        <v>13386</v>
      </c>
      <c r="R287" s="793"/>
      <c r="S287" s="466">
        <v>52164.0</v>
      </c>
      <c r="T287" s="320" t="s">
        <v>8689</v>
      </c>
      <c r="U287" s="1133">
        <v>41976.0</v>
      </c>
      <c r="V287" s="1133">
        <v>41950.0</v>
      </c>
      <c r="W287" s="1149">
        <v>52164.0</v>
      </c>
      <c r="X287" s="320" t="s">
        <v>13387</v>
      </c>
      <c r="Y287" s="320" t="s">
        <v>13388</v>
      </c>
      <c r="Z287" s="91"/>
    </row>
    <row r="288" ht="15.75" customHeight="1">
      <c r="A288" s="1293">
        <v>41933.0</v>
      </c>
      <c r="B288" s="599" t="s">
        <v>3871</v>
      </c>
      <c r="C288" s="1004" t="s">
        <v>13389</v>
      </c>
      <c r="D288" s="388" t="s">
        <v>13390</v>
      </c>
      <c r="E288" s="340" t="s">
        <v>13022</v>
      </c>
      <c r="F288" s="1137">
        <v>4.0</v>
      </c>
      <c r="G288" s="325">
        <v>193.0</v>
      </c>
      <c r="H288" s="466">
        <f t="shared" si="31"/>
        <v>772</v>
      </c>
      <c r="I288" s="793"/>
      <c r="J288" s="388"/>
      <c r="K288" s="256" t="s">
        <v>3874</v>
      </c>
      <c r="L288" s="592" t="s">
        <v>13391</v>
      </c>
      <c r="M288" s="832">
        <v>41956.0</v>
      </c>
      <c r="N288" s="592" t="s">
        <v>6067</v>
      </c>
      <c r="O288" s="832">
        <v>41954.0</v>
      </c>
      <c r="P288" s="388" t="s">
        <v>90</v>
      </c>
      <c r="Q288" s="773">
        <v>2.0141000135739E13</v>
      </c>
      <c r="R288" s="466">
        <v>714.0</v>
      </c>
      <c r="S288" s="793"/>
      <c r="T288" s="388" t="s">
        <v>6081</v>
      </c>
      <c r="U288" s="1143">
        <v>41976.0</v>
      </c>
      <c r="V288" s="1295">
        <v>41954.0</v>
      </c>
      <c r="W288" s="1296">
        <v>115925.0</v>
      </c>
      <c r="X288" s="1305" t="s">
        <v>13392</v>
      </c>
      <c r="Y288" s="388"/>
      <c r="Z288" s="91"/>
    </row>
    <row r="289" ht="15.75" customHeight="1">
      <c r="A289" s="1293">
        <v>41933.0</v>
      </c>
      <c r="B289" s="599" t="s">
        <v>3871</v>
      </c>
      <c r="C289" s="1004" t="s">
        <v>13389</v>
      </c>
      <c r="D289" s="388" t="s">
        <v>13390</v>
      </c>
      <c r="E289" s="340" t="s">
        <v>7065</v>
      </c>
      <c r="F289" s="1137">
        <v>23.0</v>
      </c>
      <c r="G289" s="325">
        <v>161.0</v>
      </c>
      <c r="H289" s="466">
        <f t="shared" si="31"/>
        <v>3703</v>
      </c>
      <c r="I289" s="793"/>
      <c r="J289" s="388"/>
      <c r="K289" s="256" t="s">
        <v>3874</v>
      </c>
      <c r="L289" s="592" t="s">
        <v>13391</v>
      </c>
      <c r="M289" s="832">
        <v>41956.0</v>
      </c>
      <c r="N289" s="592" t="s">
        <v>6067</v>
      </c>
      <c r="O289" s="832">
        <v>41954.0</v>
      </c>
      <c r="P289" s="388" t="s">
        <v>90</v>
      </c>
      <c r="Q289" s="773">
        <v>2.0141000135739E13</v>
      </c>
      <c r="R289" s="466">
        <v>3091.2</v>
      </c>
      <c r="S289" s="793"/>
      <c r="T289" s="388" t="s">
        <v>6081</v>
      </c>
      <c r="U289" s="1143">
        <v>41976.0</v>
      </c>
      <c r="V289" s="1133"/>
      <c r="W289" s="1149"/>
      <c r="X289" s="265"/>
      <c r="Y289" s="388"/>
      <c r="Z289" s="91"/>
    </row>
    <row r="290" ht="15.75" customHeight="1">
      <c r="A290" s="1311">
        <v>41933.0</v>
      </c>
      <c r="B290" s="340" t="s">
        <v>11952</v>
      </c>
      <c r="C290" s="388"/>
      <c r="D290" s="320" t="s">
        <v>13393</v>
      </c>
      <c r="E290" s="340" t="s">
        <v>13394</v>
      </c>
      <c r="F290" s="773">
        <v>1.0</v>
      </c>
      <c r="G290" s="466">
        <v>0.0</v>
      </c>
      <c r="H290" s="466">
        <v>0.0</v>
      </c>
      <c r="I290" s="793"/>
      <c r="J290" s="388"/>
      <c r="K290" s="256" t="s">
        <v>11898</v>
      </c>
      <c r="L290" s="256" t="s">
        <v>13395</v>
      </c>
      <c r="M290" s="832">
        <v>41933.0</v>
      </c>
      <c r="N290" s="388"/>
      <c r="O290" s="388"/>
      <c r="P290" s="388"/>
      <c r="Q290" s="388"/>
      <c r="R290" s="793"/>
      <c r="S290" s="793"/>
      <c r="T290" s="388"/>
      <c r="U290" s="388"/>
      <c r="V290" s="1316" t="s">
        <v>13396</v>
      </c>
      <c r="W290" s="1316" t="s">
        <v>13396</v>
      </c>
      <c r="X290" s="1316" t="s">
        <v>13396</v>
      </c>
      <c r="Y290" s="388"/>
      <c r="Z290" s="91"/>
    </row>
    <row r="291" ht="15.75" customHeight="1">
      <c r="A291" s="1293">
        <v>41934.0</v>
      </c>
      <c r="B291" s="599" t="s">
        <v>11771</v>
      </c>
      <c r="C291" s="388"/>
      <c r="D291" s="388" t="s">
        <v>13397</v>
      </c>
      <c r="E291" s="340" t="s">
        <v>13398</v>
      </c>
      <c r="F291" s="1137">
        <v>11.0</v>
      </c>
      <c r="G291" s="325">
        <v>446.0</v>
      </c>
      <c r="H291" s="466">
        <f t="shared" ref="H291:H301" si="35">F291*G291</f>
        <v>4906</v>
      </c>
      <c r="I291" s="793"/>
      <c r="J291" s="793"/>
      <c r="K291" s="256" t="s">
        <v>11898</v>
      </c>
      <c r="L291" s="592" t="s">
        <v>11774</v>
      </c>
      <c r="M291" s="832">
        <v>41974.0</v>
      </c>
      <c r="N291" s="592" t="s">
        <v>6067</v>
      </c>
      <c r="O291" s="832">
        <v>41971.0</v>
      </c>
      <c r="P291" s="388" t="s">
        <v>90</v>
      </c>
      <c r="Q291" s="773">
        <v>2.0141000135824E13</v>
      </c>
      <c r="R291" s="466">
        <v>4539.15</v>
      </c>
      <c r="S291" s="793"/>
      <c r="T291" s="388" t="s">
        <v>6081</v>
      </c>
      <c r="U291" s="1143">
        <v>41983.0</v>
      </c>
      <c r="V291" s="1295">
        <v>41971.0</v>
      </c>
      <c r="W291" s="1296">
        <v>210998.0</v>
      </c>
      <c r="X291" s="1297" t="s">
        <v>13399</v>
      </c>
      <c r="Y291" s="388"/>
      <c r="Z291" s="91"/>
    </row>
    <row r="292" ht="15.75" customHeight="1">
      <c r="A292" s="1293">
        <v>41934.0</v>
      </c>
      <c r="B292" s="599" t="s">
        <v>11771</v>
      </c>
      <c r="C292" s="388"/>
      <c r="D292" s="388" t="s">
        <v>13397</v>
      </c>
      <c r="E292" s="340" t="s">
        <v>13400</v>
      </c>
      <c r="F292" s="1137">
        <v>3.0</v>
      </c>
      <c r="G292" s="325">
        <v>845.0</v>
      </c>
      <c r="H292" s="466">
        <f t="shared" si="35"/>
        <v>2535</v>
      </c>
      <c r="I292" s="793"/>
      <c r="J292" s="793"/>
      <c r="K292" s="256" t="s">
        <v>11898</v>
      </c>
      <c r="L292" s="592" t="s">
        <v>11774</v>
      </c>
      <c r="M292" s="832">
        <v>41974.0</v>
      </c>
      <c r="N292" s="592" t="s">
        <v>6067</v>
      </c>
      <c r="O292" s="832">
        <v>41971.0</v>
      </c>
      <c r="P292" s="388" t="s">
        <v>90</v>
      </c>
      <c r="Q292" s="773">
        <v>2.0141000135824E13</v>
      </c>
      <c r="R292" s="466">
        <v>2356.2</v>
      </c>
      <c r="S292" s="793"/>
      <c r="T292" s="388" t="s">
        <v>6081</v>
      </c>
      <c r="U292" s="1143">
        <v>41983.0</v>
      </c>
      <c r="V292" s="1133"/>
      <c r="W292" s="1149"/>
      <c r="X292" s="320"/>
      <c r="Y292" s="388"/>
      <c r="Z292" s="91"/>
    </row>
    <row r="293" ht="15.75" customHeight="1">
      <c r="A293" s="1293">
        <v>41934.0</v>
      </c>
      <c r="B293" s="599" t="s">
        <v>54</v>
      </c>
      <c r="C293" s="1004" t="s">
        <v>13401</v>
      </c>
      <c r="D293" s="388" t="s">
        <v>13402</v>
      </c>
      <c r="E293" s="340" t="s">
        <v>9054</v>
      </c>
      <c r="F293" s="1137">
        <v>50.0</v>
      </c>
      <c r="G293" s="325">
        <v>150.15</v>
      </c>
      <c r="H293" s="466">
        <f t="shared" si="35"/>
        <v>7507.5</v>
      </c>
      <c r="I293" s="793"/>
      <c r="J293" s="388"/>
      <c r="K293" s="256" t="s">
        <v>12246</v>
      </c>
      <c r="L293" s="592" t="s">
        <v>90</v>
      </c>
      <c r="M293" s="832">
        <v>41969.0</v>
      </c>
      <c r="N293" s="592" t="s">
        <v>90</v>
      </c>
      <c r="O293" s="388"/>
      <c r="P293" s="388" t="s">
        <v>90</v>
      </c>
      <c r="Q293" s="773">
        <v>2.0141000135822E13</v>
      </c>
      <c r="R293" s="466">
        <v>6720.0</v>
      </c>
      <c r="S293" s="793"/>
      <c r="T293" s="388" t="s">
        <v>6081</v>
      </c>
      <c r="U293" s="1143">
        <v>41976.0</v>
      </c>
      <c r="V293" s="1133">
        <v>41969.0</v>
      </c>
      <c r="W293" s="1149">
        <v>205632.0</v>
      </c>
      <c r="X293" s="388" t="s">
        <v>13403</v>
      </c>
      <c r="Y293" s="388" t="s">
        <v>13309</v>
      </c>
      <c r="Z293" s="91"/>
    </row>
    <row r="294" ht="15.75" customHeight="1">
      <c r="A294" s="1311">
        <v>41934.0</v>
      </c>
      <c r="B294" s="599" t="s">
        <v>12325</v>
      </c>
      <c r="C294" s="265" t="s">
        <v>13404</v>
      </c>
      <c r="D294" s="320" t="s">
        <v>13405</v>
      </c>
      <c r="E294" s="340" t="s">
        <v>13406</v>
      </c>
      <c r="F294" s="773">
        <v>56.0</v>
      </c>
      <c r="G294" s="466">
        <v>217.87</v>
      </c>
      <c r="H294" s="466">
        <f t="shared" si="35"/>
        <v>12200.72</v>
      </c>
      <c r="I294" s="466">
        <v>6536.25</v>
      </c>
      <c r="J294" s="466">
        <f>F294*I294</f>
        <v>366030</v>
      </c>
      <c r="K294" s="256" t="s">
        <v>12246</v>
      </c>
      <c r="L294" s="256" t="s">
        <v>90</v>
      </c>
      <c r="M294" s="832">
        <v>41942.0</v>
      </c>
      <c r="N294" s="256" t="s">
        <v>90</v>
      </c>
      <c r="O294" s="388"/>
      <c r="P294" s="320" t="s">
        <v>90</v>
      </c>
      <c r="Q294" s="773">
        <v>2.0141000136066E13</v>
      </c>
      <c r="R294" s="466">
        <v>10878.0</v>
      </c>
      <c r="S294" s="793"/>
      <c r="T294" s="320" t="s">
        <v>6081</v>
      </c>
      <c r="U294" s="1133">
        <v>41946.0</v>
      </c>
      <c r="V294" s="1133">
        <v>41942.0</v>
      </c>
      <c r="W294" s="1149">
        <v>329984.0</v>
      </c>
      <c r="X294" s="320" t="s">
        <v>13407</v>
      </c>
      <c r="Y294" s="320" t="s">
        <v>13408</v>
      </c>
      <c r="Z294" s="91"/>
    </row>
    <row r="295" ht="15.75" customHeight="1">
      <c r="A295" s="1293">
        <v>41934.0</v>
      </c>
      <c r="B295" s="599" t="s">
        <v>8749</v>
      </c>
      <c r="C295" s="1004" t="s">
        <v>13409</v>
      </c>
      <c r="D295" s="388" t="s">
        <v>13410</v>
      </c>
      <c r="E295" s="340" t="s">
        <v>8402</v>
      </c>
      <c r="F295" s="1137">
        <v>2.0</v>
      </c>
      <c r="G295" s="325">
        <v>57.3</v>
      </c>
      <c r="H295" s="466">
        <f t="shared" si="35"/>
        <v>114.6</v>
      </c>
      <c r="I295" s="793"/>
      <c r="J295" s="388"/>
      <c r="K295" s="256" t="s">
        <v>11086</v>
      </c>
      <c r="L295" s="592" t="s">
        <v>90</v>
      </c>
      <c r="M295" s="832">
        <v>41946.0</v>
      </c>
      <c r="N295" s="592" t="s">
        <v>90</v>
      </c>
      <c r="O295" s="388"/>
      <c r="P295" s="388" t="s">
        <v>90</v>
      </c>
      <c r="Q295" s="773">
        <v>2.0141000135859E13</v>
      </c>
      <c r="R295" s="466">
        <v>100.8</v>
      </c>
      <c r="S295" s="793"/>
      <c r="T295" s="388" t="s">
        <v>6081</v>
      </c>
      <c r="U295" s="1143">
        <v>41946.0</v>
      </c>
      <c r="V295" s="1133">
        <v>41946.0</v>
      </c>
      <c r="W295" s="1149">
        <v>3058.0</v>
      </c>
      <c r="X295" s="320" t="s">
        <v>13411</v>
      </c>
      <c r="Y295" s="320" t="s">
        <v>13244</v>
      </c>
      <c r="Z295" s="91"/>
    </row>
    <row r="296" ht="15.75" customHeight="1">
      <c r="A296" s="1293">
        <v>41935.0</v>
      </c>
      <c r="B296" s="599" t="s">
        <v>10926</v>
      </c>
      <c r="C296" s="1004" t="s">
        <v>13412</v>
      </c>
      <c r="D296" s="388" t="s">
        <v>13413</v>
      </c>
      <c r="E296" s="340" t="s">
        <v>6329</v>
      </c>
      <c r="F296" s="1137">
        <v>1.0</v>
      </c>
      <c r="G296" s="325">
        <v>138.075</v>
      </c>
      <c r="H296" s="466">
        <f t="shared" si="35"/>
        <v>138.075</v>
      </c>
      <c r="I296" s="466">
        <v>4142.25</v>
      </c>
      <c r="J296" s="773">
        <f t="shared" ref="J296:J301" si="36">F296*I296</f>
        <v>4142.25</v>
      </c>
      <c r="K296" s="256" t="s">
        <v>11086</v>
      </c>
      <c r="L296" s="592" t="s">
        <v>11675</v>
      </c>
      <c r="M296" s="832">
        <v>41939.0</v>
      </c>
      <c r="N296" s="592" t="s">
        <v>9220</v>
      </c>
      <c r="O296" s="832">
        <v>41939.0</v>
      </c>
      <c r="P296" s="388" t="s">
        <v>11033</v>
      </c>
      <c r="Q296" s="1137" t="s">
        <v>13414</v>
      </c>
      <c r="R296" s="793"/>
      <c r="S296" s="325">
        <v>3700.2</v>
      </c>
      <c r="T296" s="388" t="s">
        <v>8689</v>
      </c>
      <c r="U296" s="1143">
        <v>41946.0</v>
      </c>
      <c r="V296" s="1295">
        <v>41939.0</v>
      </c>
      <c r="W296" s="1296">
        <v>37710.0</v>
      </c>
      <c r="X296" s="1300" t="s">
        <v>13415</v>
      </c>
      <c r="Y296" s="1300" t="s">
        <v>13416</v>
      </c>
      <c r="Z296" s="91"/>
    </row>
    <row r="297" ht="15.75" customHeight="1">
      <c r="A297" s="1293">
        <v>41935.0</v>
      </c>
      <c r="B297" s="599" t="s">
        <v>10926</v>
      </c>
      <c r="C297" s="1004" t="s">
        <v>13412</v>
      </c>
      <c r="D297" s="388" t="s">
        <v>13413</v>
      </c>
      <c r="E297" s="844" t="s">
        <v>7584</v>
      </c>
      <c r="F297" s="1137">
        <v>10.0</v>
      </c>
      <c r="G297" s="325">
        <v>118.09</v>
      </c>
      <c r="H297" s="466">
        <f t="shared" si="35"/>
        <v>1180.9</v>
      </c>
      <c r="I297" s="466">
        <v>3542.7</v>
      </c>
      <c r="J297" s="773">
        <f t="shared" si="36"/>
        <v>35427</v>
      </c>
      <c r="K297" s="256" t="s">
        <v>11086</v>
      </c>
      <c r="L297" s="592" t="s">
        <v>11675</v>
      </c>
      <c r="M297" s="832">
        <v>41939.0</v>
      </c>
      <c r="N297" s="592" t="s">
        <v>9220</v>
      </c>
      <c r="O297" s="832">
        <v>41939.0</v>
      </c>
      <c r="P297" s="388" t="s">
        <v>11033</v>
      </c>
      <c r="Q297" s="1137" t="s">
        <v>13414</v>
      </c>
      <c r="R297" s="793"/>
      <c r="S297" s="325">
        <v>34009.5</v>
      </c>
      <c r="T297" s="388" t="s">
        <v>8689</v>
      </c>
      <c r="U297" s="1143">
        <v>41946.0</v>
      </c>
      <c r="V297" s="1133"/>
      <c r="W297" s="1149"/>
      <c r="X297" s="388"/>
      <c r="Y297" s="1300"/>
      <c r="Z297" s="91"/>
    </row>
    <row r="298" ht="15.75" customHeight="1">
      <c r="A298" s="1293">
        <v>41935.0</v>
      </c>
      <c r="B298" s="599" t="s">
        <v>10926</v>
      </c>
      <c r="C298" s="1004" t="s">
        <v>13417</v>
      </c>
      <c r="D298" s="388" t="s">
        <v>13418</v>
      </c>
      <c r="E298" s="599" t="s">
        <v>6190</v>
      </c>
      <c r="F298" s="1137">
        <v>2.0</v>
      </c>
      <c r="G298" s="325">
        <v>141.295</v>
      </c>
      <c r="H298" s="466">
        <f t="shared" si="35"/>
        <v>282.59</v>
      </c>
      <c r="I298" s="466">
        <v>4238.85</v>
      </c>
      <c r="J298" s="773">
        <f t="shared" si="36"/>
        <v>8477.7</v>
      </c>
      <c r="K298" s="256" t="s">
        <v>11086</v>
      </c>
      <c r="L298" s="592" t="s">
        <v>11675</v>
      </c>
      <c r="M298" s="832">
        <v>41939.0</v>
      </c>
      <c r="N298" s="592" t="s">
        <v>9220</v>
      </c>
      <c r="O298" s="832">
        <v>41939.0</v>
      </c>
      <c r="P298" s="388" t="s">
        <v>11033</v>
      </c>
      <c r="Q298" s="1137" t="s">
        <v>13419</v>
      </c>
      <c r="R298" s="793"/>
      <c r="S298" s="325">
        <v>8139.6</v>
      </c>
      <c r="T298" s="388" t="s">
        <v>8689</v>
      </c>
      <c r="U298" s="1143">
        <v>41946.0</v>
      </c>
      <c r="V298" s="1295">
        <v>41939.0</v>
      </c>
      <c r="W298" s="1296">
        <v>25768.0</v>
      </c>
      <c r="X298" s="1300" t="s">
        <v>13420</v>
      </c>
      <c r="Y298" s="1300"/>
      <c r="Z298" s="91"/>
    </row>
    <row r="299" ht="15.75" customHeight="1">
      <c r="A299" s="1293">
        <v>41935.0</v>
      </c>
      <c r="B299" s="599" t="s">
        <v>10926</v>
      </c>
      <c r="C299" s="1004" t="s">
        <v>13417</v>
      </c>
      <c r="D299" s="388" t="s">
        <v>13418</v>
      </c>
      <c r="E299" s="599" t="s">
        <v>3674</v>
      </c>
      <c r="F299" s="1137">
        <v>1.0</v>
      </c>
      <c r="G299" s="325">
        <v>69.16</v>
      </c>
      <c r="H299" s="466">
        <f t="shared" si="35"/>
        <v>69.16</v>
      </c>
      <c r="I299" s="466">
        <v>2074.8</v>
      </c>
      <c r="J299" s="773">
        <f t="shared" si="36"/>
        <v>2074.8</v>
      </c>
      <c r="K299" s="256" t="s">
        <v>11086</v>
      </c>
      <c r="L299" s="592" t="s">
        <v>11675</v>
      </c>
      <c r="M299" s="832">
        <v>41939.0</v>
      </c>
      <c r="N299" s="592" t="s">
        <v>9220</v>
      </c>
      <c r="O299" s="832">
        <v>41939.0</v>
      </c>
      <c r="P299" s="388" t="s">
        <v>11033</v>
      </c>
      <c r="Q299" s="1137" t="s">
        <v>13419</v>
      </c>
      <c r="R299" s="793"/>
      <c r="S299" s="325">
        <v>1991.85</v>
      </c>
      <c r="T299" s="388" t="s">
        <v>8689</v>
      </c>
      <c r="U299" s="1143">
        <v>41946.0</v>
      </c>
      <c r="V299" s="1295"/>
      <c r="W299" s="1296"/>
      <c r="X299" s="1300"/>
      <c r="Y299" s="1300"/>
      <c r="Z299" s="91"/>
    </row>
    <row r="300" ht="15.75" customHeight="1">
      <c r="A300" s="1293">
        <v>41935.0</v>
      </c>
      <c r="B300" s="599" t="s">
        <v>10926</v>
      </c>
      <c r="C300" s="1004" t="s">
        <v>13417</v>
      </c>
      <c r="D300" s="388" t="s">
        <v>13418</v>
      </c>
      <c r="E300" s="599" t="s">
        <v>7196</v>
      </c>
      <c r="F300" s="1137">
        <v>1.0</v>
      </c>
      <c r="G300" s="325">
        <v>128.065</v>
      </c>
      <c r="H300" s="466">
        <f t="shared" si="35"/>
        <v>128.065</v>
      </c>
      <c r="I300" s="466">
        <v>3841.95</v>
      </c>
      <c r="J300" s="773">
        <f t="shared" si="36"/>
        <v>3841.95</v>
      </c>
      <c r="K300" s="256" t="s">
        <v>11086</v>
      </c>
      <c r="L300" s="592" t="s">
        <v>11675</v>
      </c>
      <c r="M300" s="832">
        <v>41939.0</v>
      </c>
      <c r="N300" s="592" t="s">
        <v>9220</v>
      </c>
      <c r="O300" s="832">
        <v>41939.0</v>
      </c>
      <c r="P300" s="388" t="s">
        <v>11033</v>
      </c>
      <c r="Q300" s="1137" t="s">
        <v>13419</v>
      </c>
      <c r="R300" s="793"/>
      <c r="S300" s="325">
        <v>3688.65</v>
      </c>
      <c r="T300" s="388" t="s">
        <v>8689</v>
      </c>
      <c r="U300" s="1143">
        <v>41946.0</v>
      </c>
      <c r="V300" s="1295"/>
      <c r="W300" s="1296"/>
      <c r="X300" s="1300"/>
      <c r="Y300" s="1300"/>
      <c r="Z300" s="91"/>
    </row>
    <row r="301" ht="15.75" customHeight="1">
      <c r="A301" s="1293">
        <v>41935.0</v>
      </c>
      <c r="B301" s="599" t="s">
        <v>10926</v>
      </c>
      <c r="C301" s="1004" t="s">
        <v>13417</v>
      </c>
      <c r="D301" s="388" t="s">
        <v>13418</v>
      </c>
      <c r="E301" s="599" t="s">
        <v>13421</v>
      </c>
      <c r="F301" s="1137">
        <v>3.0</v>
      </c>
      <c r="G301" s="325">
        <v>138.285</v>
      </c>
      <c r="H301" s="466">
        <f t="shared" si="35"/>
        <v>414.855</v>
      </c>
      <c r="I301" s="466">
        <v>4148.55</v>
      </c>
      <c r="J301" s="773">
        <f t="shared" si="36"/>
        <v>12445.65</v>
      </c>
      <c r="K301" s="256" t="s">
        <v>11086</v>
      </c>
      <c r="L301" s="592" t="s">
        <v>11675</v>
      </c>
      <c r="M301" s="832">
        <v>41939.0</v>
      </c>
      <c r="N301" s="592" t="s">
        <v>9220</v>
      </c>
      <c r="O301" s="832">
        <v>41939.0</v>
      </c>
      <c r="P301" s="388" t="s">
        <v>11033</v>
      </c>
      <c r="Q301" s="1137" t="s">
        <v>13419</v>
      </c>
      <c r="R301" s="793"/>
      <c r="S301" s="325">
        <v>11947.95</v>
      </c>
      <c r="T301" s="388" t="s">
        <v>8689</v>
      </c>
      <c r="U301" s="1143">
        <v>41946.0</v>
      </c>
      <c r="V301" s="1133"/>
      <c r="W301" s="1149"/>
      <c r="X301" s="388"/>
      <c r="Y301" s="388"/>
      <c r="Z301" s="91"/>
    </row>
    <row r="302" ht="15.75" customHeight="1">
      <c r="A302" s="1293">
        <v>41936.0</v>
      </c>
      <c r="B302" s="599" t="s">
        <v>12692</v>
      </c>
      <c r="C302" s="1004">
        <v>1.400014E7</v>
      </c>
      <c r="D302" s="388" t="s">
        <v>13422</v>
      </c>
      <c r="E302" s="340" t="s">
        <v>12851</v>
      </c>
      <c r="F302" s="1137">
        <v>9.0</v>
      </c>
      <c r="G302" s="325">
        <v>25.0</v>
      </c>
      <c r="H302" s="466">
        <f>G302*F302</f>
        <v>225</v>
      </c>
      <c r="I302" s="793"/>
      <c r="J302" s="793"/>
      <c r="K302" s="256" t="s">
        <v>8675</v>
      </c>
      <c r="L302" s="592" t="s">
        <v>12849</v>
      </c>
      <c r="M302" s="832">
        <v>41949.0</v>
      </c>
      <c r="N302" s="592" t="s">
        <v>6067</v>
      </c>
      <c r="O302" s="832">
        <v>41947.0</v>
      </c>
      <c r="P302" s="388" t="s">
        <v>105</v>
      </c>
      <c r="Q302" s="773" t="s">
        <v>13423</v>
      </c>
      <c r="R302" s="793"/>
      <c r="S302" s="466">
        <v>5198.0</v>
      </c>
      <c r="T302" s="388" t="s">
        <v>12352</v>
      </c>
      <c r="U302" s="1143">
        <v>41976.0</v>
      </c>
      <c r="V302" s="1133">
        <v>41946.0</v>
      </c>
      <c r="W302" s="1149">
        <v>5198.0</v>
      </c>
      <c r="X302" s="320" t="s">
        <v>13424</v>
      </c>
      <c r="Y302" s="388"/>
      <c r="Z302" s="91"/>
    </row>
    <row r="303" ht="15.75" customHeight="1">
      <c r="A303" s="1293">
        <v>41939.0</v>
      </c>
      <c r="B303" s="599" t="s">
        <v>11771</v>
      </c>
      <c r="C303" s="388"/>
      <c r="D303" s="388" t="s">
        <v>13425</v>
      </c>
      <c r="E303" s="340" t="s">
        <v>13426</v>
      </c>
      <c r="F303" s="1137">
        <v>1.0</v>
      </c>
      <c r="G303" s="325">
        <v>500.0</v>
      </c>
      <c r="H303" s="466">
        <f t="shared" ref="H303:H318" si="37">F303*G303</f>
        <v>500</v>
      </c>
      <c r="I303" s="793"/>
      <c r="J303" s="793"/>
      <c r="K303" s="256" t="s">
        <v>11898</v>
      </c>
      <c r="L303" s="592" t="s">
        <v>11774</v>
      </c>
      <c r="M303" s="832">
        <v>41956.0</v>
      </c>
      <c r="N303" s="592" t="s">
        <v>6067</v>
      </c>
      <c r="O303" s="832">
        <v>41953.0</v>
      </c>
      <c r="P303" s="388" t="s">
        <v>90</v>
      </c>
      <c r="Q303" s="773" t="s">
        <v>13427</v>
      </c>
      <c r="R303" s="466">
        <v>471.45</v>
      </c>
      <c r="S303" s="793"/>
      <c r="T303" s="388" t="s">
        <v>6081</v>
      </c>
      <c r="U303" s="1143">
        <v>41976.0</v>
      </c>
      <c r="V303" s="1133">
        <v>41953.0</v>
      </c>
      <c r="W303" s="1149">
        <v>14304.0</v>
      </c>
      <c r="X303" s="265" t="s">
        <v>13428</v>
      </c>
      <c r="Y303" s="388"/>
      <c r="Z303" s="91"/>
    </row>
    <row r="304" ht="15.75" customHeight="1">
      <c r="A304" s="1293">
        <v>41939.0</v>
      </c>
      <c r="B304" s="599" t="s">
        <v>8749</v>
      </c>
      <c r="C304" s="1004" t="s">
        <v>13429</v>
      </c>
      <c r="D304" s="388" t="s">
        <v>13430</v>
      </c>
      <c r="E304" s="599" t="s">
        <v>13431</v>
      </c>
      <c r="F304" s="1137">
        <v>3.0</v>
      </c>
      <c r="G304" s="325">
        <v>155.715</v>
      </c>
      <c r="H304" s="466">
        <f t="shared" si="37"/>
        <v>467.145</v>
      </c>
      <c r="I304" s="793"/>
      <c r="J304" s="793"/>
      <c r="K304" s="256" t="s">
        <v>11086</v>
      </c>
      <c r="L304" s="388"/>
      <c r="M304" s="832">
        <v>41949.0</v>
      </c>
      <c r="N304" s="592" t="s">
        <v>90</v>
      </c>
      <c r="O304" s="388"/>
      <c r="P304" s="388" t="s">
        <v>90</v>
      </c>
      <c r="Q304" s="773" t="s">
        <v>13432</v>
      </c>
      <c r="R304" s="466">
        <v>381.15</v>
      </c>
      <c r="S304" s="793"/>
      <c r="T304" s="388" t="s">
        <v>6081</v>
      </c>
      <c r="U304" s="1143">
        <v>41976.0</v>
      </c>
      <c r="V304" s="1133">
        <v>41949.0</v>
      </c>
      <c r="W304" s="1149">
        <v>11564.0</v>
      </c>
      <c r="X304" s="388" t="s">
        <v>13433</v>
      </c>
      <c r="Y304" s="388" t="s">
        <v>13373</v>
      </c>
      <c r="Z304" s="91"/>
    </row>
    <row r="305" ht="15.75" customHeight="1">
      <c r="A305" s="1293">
        <v>41940.0</v>
      </c>
      <c r="B305" s="599" t="s">
        <v>11038</v>
      </c>
      <c r="C305" s="388"/>
      <c r="D305" s="388" t="s">
        <v>13434</v>
      </c>
      <c r="E305" s="340" t="s">
        <v>3618</v>
      </c>
      <c r="F305" s="1137">
        <v>10.0</v>
      </c>
      <c r="G305" s="325">
        <v>115.0</v>
      </c>
      <c r="H305" s="466">
        <f t="shared" si="37"/>
        <v>1150</v>
      </c>
      <c r="I305" s="793"/>
      <c r="J305" s="388"/>
      <c r="K305" s="256" t="s">
        <v>3874</v>
      </c>
      <c r="L305" s="592" t="s">
        <v>13322</v>
      </c>
      <c r="M305" s="832">
        <v>41946.0</v>
      </c>
      <c r="N305" s="592" t="s">
        <v>6067</v>
      </c>
      <c r="O305" s="832">
        <v>41943.0</v>
      </c>
      <c r="P305" s="388" t="s">
        <v>90</v>
      </c>
      <c r="Q305" s="773">
        <v>2.014100013608E13</v>
      </c>
      <c r="R305" s="466">
        <v>1008.0</v>
      </c>
      <c r="S305" s="793"/>
      <c r="T305" s="388" t="s">
        <v>6081</v>
      </c>
      <c r="U305" s="1143">
        <v>41946.0</v>
      </c>
      <c r="V305" s="1133">
        <v>41943.0</v>
      </c>
      <c r="W305" s="1149">
        <v>30578.0</v>
      </c>
      <c r="X305" s="265" t="s">
        <v>13325</v>
      </c>
      <c r="Y305" s="388"/>
      <c r="Z305" s="91"/>
    </row>
    <row r="306" ht="15.75" customHeight="1">
      <c r="A306" s="1311">
        <v>41940.0</v>
      </c>
      <c r="B306" s="340" t="s">
        <v>11952</v>
      </c>
      <c r="C306" s="388"/>
      <c r="D306" s="320" t="s">
        <v>13435</v>
      </c>
      <c r="E306" s="340" t="s">
        <v>13436</v>
      </c>
      <c r="F306" s="773">
        <v>1.0</v>
      </c>
      <c r="G306" s="466">
        <v>2100.0</v>
      </c>
      <c r="H306" s="466">
        <f t="shared" si="37"/>
        <v>2100</v>
      </c>
      <c r="I306" s="793"/>
      <c r="J306" s="793"/>
      <c r="K306" s="256" t="s">
        <v>11898</v>
      </c>
      <c r="L306" s="256" t="s">
        <v>13437</v>
      </c>
      <c r="M306" s="832">
        <v>41977.0</v>
      </c>
      <c r="N306" s="256" t="s">
        <v>13438</v>
      </c>
      <c r="O306" s="832">
        <v>41971.0</v>
      </c>
      <c r="P306" s="320" t="s">
        <v>13439</v>
      </c>
      <c r="Q306" s="388"/>
      <c r="R306" s="793"/>
      <c r="S306" s="1294">
        <v>42000.0</v>
      </c>
      <c r="T306" s="320" t="s">
        <v>13440</v>
      </c>
      <c r="U306" s="1133">
        <v>41953.0</v>
      </c>
      <c r="V306" s="1133">
        <v>41971.0</v>
      </c>
      <c r="W306" s="1149">
        <v>42000.0</v>
      </c>
      <c r="X306" s="320" t="s">
        <v>13441</v>
      </c>
      <c r="Y306" s="1297" t="s">
        <v>13442</v>
      </c>
      <c r="Z306" s="91"/>
    </row>
    <row r="307" ht="15.75" customHeight="1">
      <c r="A307" s="1311">
        <v>41940.0</v>
      </c>
      <c r="B307" s="340" t="s">
        <v>11952</v>
      </c>
      <c r="C307" s="388"/>
      <c r="D307" s="320" t="s">
        <v>13435</v>
      </c>
      <c r="E307" s="340" t="s">
        <v>13443</v>
      </c>
      <c r="F307" s="773">
        <v>1.0</v>
      </c>
      <c r="G307" s="466">
        <v>0.0</v>
      </c>
      <c r="H307" s="466">
        <f t="shared" si="37"/>
        <v>0</v>
      </c>
      <c r="I307" s="793"/>
      <c r="J307" s="793"/>
      <c r="K307" s="256" t="s">
        <v>11898</v>
      </c>
      <c r="L307" s="256" t="s">
        <v>13437</v>
      </c>
      <c r="M307" s="832">
        <v>41977.0</v>
      </c>
      <c r="N307" s="256" t="s">
        <v>13438</v>
      </c>
      <c r="O307" s="832">
        <v>41971.0</v>
      </c>
      <c r="P307" s="320" t="s">
        <v>13439</v>
      </c>
      <c r="Q307" s="388"/>
      <c r="R307" s="793"/>
      <c r="S307" s="466"/>
      <c r="T307" s="320" t="s">
        <v>13440</v>
      </c>
      <c r="U307" s="1133">
        <v>41953.0</v>
      </c>
      <c r="V307" s="1133">
        <v>41971.0</v>
      </c>
      <c r="W307" s="773">
        <v>0.0</v>
      </c>
      <c r="X307" s="320" t="s">
        <v>13441</v>
      </c>
      <c r="Y307" s="320"/>
      <c r="Z307" s="91"/>
    </row>
    <row r="308" ht="15.75" customHeight="1">
      <c r="A308" s="1293">
        <v>41941.0</v>
      </c>
      <c r="B308" s="599" t="s">
        <v>10926</v>
      </c>
      <c r="C308" s="1004" t="s">
        <v>13444</v>
      </c>
      <c r="D308" s="388" t="s">
        <v>13445</v>
      </c>
      <c r="E308" s="340" t="s">
        <v>6596</v>
      </c>
      <c r="F308" s="1137">
        <v>8.0</v>
      </c>
      <c r="G308" s="325">
        <v>118.3</v>
      </c>
      <c r="H308" s="466">
        <f t="shared" si="37"/>
        <v>946.4</v>
      </c>
      <c r="I308" s="466">
        <v>3549.0</v>
      </c>
      <c r="J308" s="773">
        <f t="shared" ref="J308:J310" si="38">F308*I308</f>
        <v>28392</v>
      </c>
      <c r="K308" s="256" t="s">
        <v>11086</v>
      </c>
      <c r="L308" s="1301" t="s">
        <v>13142</v>
      </c>
      <c r="M308" s="832">
        <v>41946.0</v>
      </c>
      <c r="N308" s="592" t="s">
        <v>6067</v>
      </c>
      <c r="O308" s="832">
        <v>41943.0</v>
      </c>
      <c r="P308" s="388" t="s">
        <v>11033</v>
      </c>
      <c r="Q308" s="1137" t="s">
        <v>13446</v>
      </c>
      <c r="R308" s="793"/>
      <c r="S308" s="466">
        <v>27216.0</v>
      </c>
      <c r="T308" s="388" t="s">
        <v>8689</v>
      </c>
      <c r="U308" s="1143">
        <v>41976.0</v>
      </c>
      <c r="V308" s="1295">
        <v>41942.0</v>
      </c>
      <c r="W308" s="1296">
        <v>38663.0</v>
      </c>
      <c r="X308" s="1297" t="s">
        <v>13447</v>
      </c>
      <c r="Y308" s="1297" t="s">
        <v>13244</v>
      </c>
      <c r="Z308" s="91"/>
    </row>
    <row r="309" ht="15.75" customHeight="1">
      <c r="A309" s="1293">
        <v>41941.0</v>
      </c>
      <c r="B309" s="599" t="s">
        <v>10926</v>
      </c>
      <c r="C309" s="1004" t="s">
        <v>13444</v>
      </c>
      <c r="D309" s="388" t="s">
        <v>13445</v>
      </c>
      <c r="E309" s="340" t="s">
        <v>6190</v>
      </c>
      <c r="F309" s="1137">
        <v>1.0</v>
      </c>
      <c r="G309" s="325">
        <v>141.295</v>
      </c>
      <c r="H309" s="466">
        <f t="shared" si="37"/>
        <v>141.295</v>
      </c>
      <c r="I309" s="466">
        <v>4238.85</v>
      </c>
      <c r="J309" s="773">
        <f t="shared" si="38"/>
        <v>4238.85</v>
      </c>
      <c r="K309" s="256" t="s">
        <v>11086</v>
      </c>
      <c r="L309" s="1301"/>
      <c r="M309" s="832">
        <v>41946.0</v>
      </c>
      <c r="N309" s="592" t="s">
        <v>6067</v>
      </c>
      <c r="O309" s="832">
        <v>41943.0</v>
      </c>
      <c r="P309" s="388" t="s">
        <v>11033</v>
      </c>
      <c r="Q309" s="1137" t="s">
        <v>13446</v>
      </c>
      <c r="R309" s="793"/>
      <c r="S309" s="466">
        <v>4069.8</v>
      </c>
      <c r="T309" s="388" t="s">
        <v>8689</v>
      </c>
      <c r="U309" s="1143">
        <v>41976.0</v>
      </c>
      <c r="V309" s="1295"/>
      <c r="W309" s="1296"/>
      <c r="X309" s="1297"/>
      <c r="Y309" s="1297"/>
      <c r="Z309" s="91"/>
    </row>
    <row r="310" ht="15.75" customHeight="1">
      <c r="A310" s="1293">
        <v>41941.0</v>
      </c>
      <c r="B310" s="599" t="s">
        <v>10926</v>
      </c>
      <c r="C310" s="1004" t="s">
        <v>13444</v>
      </c>
      <c r="D310" s="388" t="s">
        <v>13445</v>
      </c>
      <c r="E310" s="340" t="s">
        <v>7196</v>
      </c>
      <c r="F310" s="1137">
        <v>2.0</v>
      </c>
      <c r="G310" s="325">
        <v>128.065</v>
      </c>
      <c r="H310" s="466">
        <f t="shared" si="37"/>
        <v>256.13</v>
      </c>
      <c r="I310" s="466">
        <v>3841.95</v>
      </c>
      <c r="J310" s="773">
        <f t="shared" si="38"/>
        <v>7683.9</v>
      </c>
      <c r="K310" s="256" t="s">
        <v>11086</v>
      </c>
      <c r="L310" s="592"/>
      <c r="M310" s="832">
        <v>41946.0</v>
      </c>
      <c r="N310" s="592" t="s">
        <v>6067</v>
      </c>
      <c r="O310" s="832">
        <v>41943.0</v>
      </c>
      <c r="P310" s="388" t="s">
        <v>11033</v>
      </c>
      <c r="Q310" s="1137" t="s">
        <v>13446</v>
      </c>
      <c r="R310" s="793"/>
      <c r="S310" s="466">
        <v>7377.3</v>
      </c>
      <c r="T310" s="388" t="s">
        <v>8689</v>
      </c>
      <c r="U310" s="1143">
        <v>41976.0</v>
      </c>
      <c r="V310" s="1133"/>
      <c r="W310" s="1149"/>
      <c r="X310" s="320"/>
      <c r="Y310" s="320"/>
      <c r="Z310" s="91"/>
    </row>
    <row r="311" ht="15.75" customHeight="1">
      <c r="A311" s="1293">
        <v>41946.0</v>
      </c>
      <c r="B311" s="599" t="s">
        <v>11214</v>
      </c>
      <c r="C311" s="1004">
        <v>3.100044767E9</v>
      </c>
      <c r="D311" s="388" t="s">
        <v>13448</v>
      </c>
      <c r="E311" s="340" t="s">
        <v>13449</v>
      </c>
      <c r="F311" s="1137">
        <v>2.0</v>
      </c>
      <c r="G311" s="325">
        <v>116.55</v>
      </c>
      <c r="H311" s="466">
        <f t="shared" si="37"/>
        <v>233.1</v>
      </c>
      <c r="I311" s="793"/>
      <c r="J311" s="793"/>
      <c r="K311" s="256" t="s">
        <v>11898</v>
      </c>
      <c r="L311" s="592" t="s">
        <v>90</v>
      </c>
      <c r="M311" s="832">
        <v>41953.0</v>
      </c>
      <c r="N311" s="592" t="s">
        <v>90</v>
      </c>
      <c r="O311" s="388"/>
      <c r="P311" s="388" t="s">
        <v>90</v>
      </c>
      <c r="Q311" s="773" t="s">
        <v>13450</v>
      </c>
      <c r="R311" s="466">
        <v>184.8</v>
      </c>
      <c r="S311" s="793"/>
      <c r="T311" s="388" t="s">
        <v>6081</v>
      </c>
      <c r="U311" s="1143">
        <v>41976.0</v>
      </c>
      <c r="V311" s="1133">
        <v>41953.0</v>
      </c>
      <c r="W311" s="1149">
        <v>5607.0</v>
      </c>
      <c r="X311" s="388" t="s">
        <v>13451</v>
      </c>
      <c r="Y311" s="388" t="s">
        <v>13362</v>
      </c>
      <c r="Z311" s="91"/>
    </row>
    <row r="312" ht="15.75" customHeight="1">
      <c r="A312" s="1293">
        <v>41946.0</v>
      </c>
      <c r="B312" s="599" t="s">
        <v>11214</v>
      </c>
      <c r="C312" s="1004">
        <v>3.100044767E9</v>
      </c>
      <c r="D312" s="388" t="s">
        <v>13448</v>
      </c>
      <c r="E312" s="340" t="s">
        <v>13452</v>
      </c>
      <c r="F312" s="1137">
        <v>3.0</v>
      </c>
      <c r="G312" s="325">
        <v>23.1</v>
      </c>
      <c r="H312" s="466">
        <f t="shared" si="37"/>
        <v>69.3</v>
      </c>
      <c r="I312" s="793"/>
      <c r="J312" s="793"/>
      <c r="K312" s="256" t="s">
        <v>11898</v>
      </c>
      <c r="L312" s="592" t="s">
        <v>10372</v>
      </c>
      <c r="M312" s="832">
        <v>41953.0</v>
      </c>
      <c r="N312" s="592" t="s">
        <v>6067</v>
      </c>
      <c r="O312" s="832">
        <v>41950.0</v>
      </c>
      <c r="P312" s="388" t="s">
        <v>105</v>
      </c>
      <c r="Q312" s="773" t="s">
        <v>13453</v>
      </c>
      <c r="R312" s="793"/>
      <c r="S312" s="466">
        <v>1502.0</v>
      </c>
      <c r="T312" s="388" t="s">
        <v>12352</v>
      </c>
      <c r="U312" s="1143">
        <v>41976.0</v>
      </c>
      <c r="V312" s="1143">
        <v>41948.0</v>
      </c>
      <c r="W312" s="1159">
        <v>1502.0</v>
      </c>
      <c r="X312" s="388" t="s">
        <v>13451</v>
      </c>
      <c r="Y312" s="388" t="s">
        <v>13362</v>
      </c>
      <c r="Z312" s="91"/>
    </row>
    <row r="313" ht="15.75" customHeight="1">
      <c r="A313" s="1293">
        <v>41947.0</v>
      </c>
      <c r="B313" s="599" t="s">
        <v>10926</v>
      </c>
      <c r="C313" s="1004" t="s">
        <v>13454</v>
      </c>
      <c r="D313" s="388" t="s">
        <v>13455</v>
      </c>
      <c r="E313" s="340" t="s">
        <v>7584</v>
      </c>
      <c r="F313" s="1137">
        <v>2.0</v>
      </c>
      <c r="G313" s="325">
        <v>118.09</v>
      </c>
      <c r="H313" s="466">
        <f t="shared" si="37"/>
        <v>236.18</v>
      </c>
      <c r="I313" s="466">
        <v>3542.7</v>
      </c>
      <c r="J313" s="773">
        <f>F313*I313</f>
        <v>7085.4</v>
      </c>
      <c r="K313" s="256" t="s">
        <v>11086</v>
      </c>
      <c r="L313" s="592" t="s">
        <v>10372</v>
      </c>
      <c r="M313" s="832">
        <v>41953.0</v>
      </c>
      <c r="N313" s="592" t="s">
        <v>6067</v>
      </c>
      <c r="O313" s="832">
        <v>41949.0</v>
      </c>
      <c r="P313" s="388" t="s">
        <v>11033</v>
      </c>
      <c r="Q313" s="773" t="s">
        <v>13456</v>
      </c>
      <c r="R313" s="793"/>
      <c r="S313" s="466">
        <v>6802.0</v>
      </c>
      <c r="T313" s="388" t="s">
        <v>8689</v>
      </c>
      <c r="U313" s="1143">
        <v>41976.0</v>
      </c>
      <c r="V313" s="1143">
        <v>41947.0</v>
      </c>
      <c r="W313" s="1159">
        <v>6802.0</v>
      </c>
      <c r="X313" s="388" t="s">
        <v>13457</v>
      </c>
      <c r="Y313" s="388" t="s">
        <v>13362</v>
      </c>
      <c r="Z313" s="91"/>
    </row>
    <row r="314" ht="15.75" customHeight="1">
      <c r="A314" s="1293">
        <v>41948.0</v>
      </c>
      <c r="B314" s="599" t="s">
        <v>10926</v>
      </c>
      <c r="C314" s="1004" t="s">
        <v>13458</v>
      </c>
      <c r="D314" s="388" t="s">
        <v>13459</v>
      </c>
      <c r="E314" s="340" t="s">
        <v>13460</v>
      </c>
      <c r="F314" s="1137">
        <v>20.0</v>
      </c>
      <c r="G314" s="466">
        <v>533.4</v>
      </c>
      <c r="H314" s="466">
        <f t="shared" si="37"/>
        <v>10668</v>
      </c>
      <c r="I314" s="793"/>
      <c r="J314" s="793"/>
      <c r="K314" s="256" t="s">
        <v>11086</v>
      </c>
      <c r="L314" s="592" t="s">
        <v>90</v>
      </c>
      <c r="M314" s="832">
        <v>41988.0</v>
      </c>
      <c r="N314" s="592" t="s">
        <v>90</v>
      </c>
      <c r="O314" s="388"/>
      <c r="P314" s="388" t="s">
        <v>90</v>
      </c>
      <c r="Q314" s="773">
        <v>2.0141100136715E13</v>
      </c>
      <c r="R314" s="466">
        <v>9828.0</v>
      </c>
      <c r="S314" s="793"/>
      <c r="T314" s="388" t="s">
        <v>6081</v>
      </c>
      <c r="U314" s="1143">
        <v>41990.0</v>
      </c>
      <c r="V314" s="1133">
        <v>41988.0</v>
      </c>
      <c r="W314" s="1149">
        <v>305405.0</v>
      </c>
      <c r="X314" s="388" t="s">
        <v>13461</v>
      </c>
      <c r="Y314" s="388" t="s">
        <v>13462</v>
      </c>
      <c r="Z314" s="91"/>
    </row>
    <row r="315" ht="15.75" customHeight="1">
      <c r="A315" s="1293">
        <v>41949.0</v>
      </c>
      <c r="B315" s="599" t="s">
        <v>11214</v>
      </c>
      <c r="C315" s="1004">
        <v>3.100044811E9</v>
      </c>
      <c r="D315" s="388" t="s">
        <v>13463</v>
      </c>
      <c r="E315" s="340" t="s">
        <v>13449</v>
      </c>
      <c r="F315" s="1137">
        <v>1.0</v>
      </c>
      <c r="G315" s="325">
        <v>116.55</v>
      </c>
      <c r="H315" s="466">
        <f t="shared" si="37"/>
        <v>116.55</v>
      </c>
      <c r="I315" s="793"/>
      <c r="J315" s="793"/>
      <c r="K315" s="256" t="s">
        <v>11898</v>
      </c>
      <c r="L315" s="592" t="s">
        <v>90</v>
      </c>
      <c r="M315" s="832">
        <v>41953.0</v>
      </c>
      <c r="N315" s="592" t="s">
        <v>90</v>
      </c>
      <c r="O315" s="388"/>
      <c r="P315" s="388" t="s">
        <v>90</v>
      </c>
      <c r="Q315" s="773" t="s">
        <v>13464</v>
      </c>
      <c r="R315" s="466">
        <v>92.4</v>
      </c>
      <c r="S315" s="793"/>
      <c r="T315" s="388" t="s">
        <v>6081</v>
      </c>
      <c r="U315" s="1143">
        <v>41976.0</v>
      </c>
      <c r="V315" s="1133">
        <v>41953.0</v>
      </c>
      <c r="W315" s="1149">
        <v>2803.0</v>
      </c>
      <c r="X315" s="388" t="s">
        <v>13465</v>
      </c>
      <c r="Y315" s="388" t="s">
        <v>13362</v>
      </c>
      <c r="Z315" s="91"/>
    </row>
    <row r="316" ht="15.75" customHeight="1">
      <c r="A316" s="1311">
        <v>41949.0</v>
      </c>
      <c r="B316" s="599" t="s">
        <v>10926</v>
      </c>
      <c r="C316" s="265" t="s">
        <v>13466</v>
      </c>
      <c r="D316" s="320" t="s">
        <v>13467</v>
      </c>
      <c r="E316" s="340" t="s">
        <v>6451</v>
      </c>
      <c r="F316" s="773">
        <v>5.0</v>
      </c>
      <c r="G316" s="466">
        <v>124.25</v>
      </c>
      <c r="H316" s="466">
        <f t="shared" si="37"/>
        <v>621.25</v>
      </c>
      <c r="I316" s="466">
        <v>3727.5</v>
      </c>
      <c r="J316" s="773">
        <f t="shared" ref="J316:J318" si="39">F316*I316</f>
        <v>18637.5</v>
      </c>
      <c r="K316" s="256" t="s">
        <v>11086</v>
      </c>
      <c r="L316" s="256" t="s">
        <v>11675</v>
      </c>
      <c r="M316" s="832">
        <v>41954.0</v>
      </c>
      <c r="N316" s="256" t="s">
        <v>9220</v>
      </c>
      <c r="O316" s="832">
        <v>41953.0</v>
      </c>
      <c r="P316" s="320" t="s">
        <v>11033</v>
      </c>
      <c r="Q316" s="320" t="s">
        <v>13468</v>
      </c>
      <c r="R316" s="793"/>
      <c r="S316" s="466">
        <v>18443.0</v>
      </c>
      <c r="T316" s="320" t="s">
        <v>8689</v>
      </c>
      <c r="U316" s="1133">
        <v>41976.0</v>
      </c>
      <c r="V316" s="1295">
        <v>41950.0</v>
      </c>
      <c r="W316" s="1296">
        <v>38357.0</v>
      </c>
      <c r="X316" s="1297" t="s">
        <v>13387</v>
      </c>
      <c r="Y316" s="1297" t="s">
        <v>13388</v>
      </c>
      <c r="Z316" s="91"/>
    </row>
    <row r="317" ht="15.75" customHeight="1">
      <c r="A317" s="1311">
        <v>41949.0</v>
      </c>
      <c r="B317" s="599" t="s">
        <v>10926</v>
      </c>
      <c r="C317" s="265" t="s">
        <v>13466</v>
      </c>
      <c r="D317" s="320" t="s">
        <v>13467</v>
      </c>
      <c r="E317" s="340" t="s">
        <v>3671</v>
      </c>
      <c r="F317" s="773">
        <v>5.0</v>
      </c>
      <c r="G317" s="466">
        <v>138.425</v>
      </c>
      <c r="H317" s="466">
        <f t="shared" si="37"/>
        <v>692.125</v>
      </c>
      <c r="I317" s="466">
        <v>4152.75</v>
      </c>
      <c r="J317" s="773">
        <f t="shared" si="39"/>
        <v>20763.75</v>
      </c>
      <c r="K317" s="256" t="s">
        <v>11086</v>
      </c>
      <c r="L317" s="256" t="s">
        <v>11675</v>
      </c>
      <c r="M317" s="832">
        <v>41954.0</v>
      </c>
      <c r="N317" s="256" t="s">
        <v>9220</v>
      </c>
      <c r="O317" s="832">
        <v>41953.0</v>
      </c>
      <c r="P317" s="320" t="s">
        <v>11033</v>
      </c>
      <c r="Q317" s="320" t="s">
        <v>13468</v>
      </c>
      <c r="R317" s="793"/>
      <c r="S317" s="466">
        <v>19913.0</v>
      </c>
      <c r="T317" s="320" t="s">
        <v>8689</v>
      </c>
      <c r="U317" s="1133">
        <v>41976.0</v>
      </c>
      <c r="V317" s="1133"/>
      <c r="W317" s="1149"/>
      <c r="X317" s="320"/>
      <c r="Y317" s="1297"/>
      <c r="Z317" s="91"/>
    </row>
    <row r="318" ht="15.75" customHeight="1">
      <c r="A318" s="1311">
        <v>41949.0</v>
      </c>
      <c r="B318" s="599" t="s">
        <v>10926</v>
      </c>
      <c r="C318" s="265" t="s">
        <v>13466</v>
      </c>
      <c r="D318" s="320" t="s">
        <v>13469</v>
      </c>
      <c r="E318" s="340" t="s">
        <v>13470</v>
      </c>
      <c r="F318" s="773">
        <v>1.0</v>
      </c>
      <c r="G318" s="466">
        <v>101.885</v>
      </c>
      <c r="H318" s="466">
        <f t="shared" si="37"/>
        <v>101.885</v>
      </c>
      <c r="I318" s="466">
        <v>3056.55</v>
      </c>
      <c r="J318" s="773">
        <f t="shared" si="39"/>
        <v>3056.55</v>
      </c>
      <c r="K318" s="256" t="s">
        <v>11086</v>
      </c>
      <c r="L318" s="256" t="s">
        <v>11675</v>
      </c>
      <c r="M318" s="832">
        <v>41954.0</v>
      </c>
      <c r="N318" s="256" t="s">
        <v>9220</v>
      </c>
      <c r="O318" s="832">
        <v>41960.0</v>
      </c>
      <c r="P318" s="320" t="s">
        <v>11033</v>
      </c>
      <c r="Q318" s="320" t="s">
        <v>13471</v>
      </c>
      <c r="R318" s="793"/>
      <c r="S318" s="466">
        <v>2934.0</v>
      </c>
      <c r="T318" s="320" t="s">
        <v>8689</v>
      </c>
      <c r="U318" s="1133">
        <v>41976.0</v>
      </c>
      <c r="V318" s="1133">
        <v>41950.0</v>
      </c>
      <c r="W318" s="1149">
        <v>2934.0</v>
      </c>
      <c r="X318" s="320" t="s">
        <v>13387</v>
      </c>
      <c r="Y318" s="320"/>
      <c r="Z318" s="91"/>
    </row>
    <row r="319" ht="15.75" customHeight="1">
      <c r="A319" s="1293">
        <v>41949.0</v>
      </c>
      <c r="B319" s="599" t="s">
        <v>6587</v>
      </c>
      <c r="C319" s="388"/>
      <c r="D319" s="388" t="s">
        <v>13472</v>
      </c>
      <c r="E319" s="340" t="s">
        <v>11247</v>
      </c>
      <c r="F319" s="1137">
        <v>2.0</v>
      </c>
      <c r="G319" s="325">
        <v>772.0</v>
      </c>
      <c r="H319" s="466">
        <f>G319*F319</f>
        <v>1544</v>
      </c>
      <c r="I319" s="793"/>
      <c r="J319" s="793"/>
      <c r="K319" s="256" t="s">
        <v>8675</v>
      </c>
      <c r="L319" s="592" t="s">
        <v>6591</v>
      </c>
      <c r="M319" s="832">
        <v>41991.0</v>
      </c>
      <c r="N319" s="592" t="s">
        <v>6067</v>
      </c>
      <c r="O319" s="832">
        <v>41972.0</v>
      </c>
      <c r="P319" s="388" t="s">
        <v>12680</v>
      </c>
      <c r="Q319" s="265" t="s">
        <v>13473</v>
      </c>
      <c r="R319" s="466">
        <v>1438.5</v>
      </c>
      <c r="S319" s="466">
        <v>44399.0</v>
      </c>
      <c r="T319" s="388" t="s">
        <v>11250</v>
      </c>
      <c r="U319" s="1143">
        <v>42009.0</v>
      </c>
      <c r="V319" s="1133">
        <v>41970.0</v>
      </c>
      <c r="W319" s="1149">
        <v>44399.0</v>
      </c>
      <c r="X319" s="1297" t="s">
        <v>13474</v>
      </c>
      <c r="Y319" s="388"/>
      <c r="Z319" s="91"/>
    </row>
    <row r="320" ht="15.75" customHeight="1">
      <c r="A320" s="1293">
        <v>41949.0</v>
      </c>
      <c r="B320" s="599" t="s">
        <v>6587</v>
      </c>
      <c r="C320" s="388"/>
      <c r="D320" s="388" t="s">
        <v>13472</v>
      </c>
      <c r="E320" s="340" t="s">
        <v>13475</v>
      </c>
      <c r="F320" s="1137">
        <v>1.0</v>
      </c>
      <c r="G320" s="325">
        <v>0.0</v>
      </c>
      <c r="H320" s="466">
        <v>0.0</v>
      </c>
      <c r="I320" s="793"/>
      <c r="J320" s="793"/>
      <c r="K320" s="256" t="s">
        <v>8675</v>
      </c>
      <c r="L320" s="592" t="s">
        <v>6591</v>
      </c>
      <c r="M320" s="832">
        <v>41991.0</v>
      </c>
      <c r="N320" s="592" t="s">
        <v>6067</v>
      </c>
      <c r="O320" s="832">
        <v>41954.0</v>
      </c>
      <c r="P320" s="388" t="s">
        <v>13476</v>
      </c>
      <c r="Q320" s="388"/>
      <c r="R320" s="793"/>
      <c r="S320" s="325">
        <v>1465.0</v>
      </c>
      <c r="T320" s="388" t="s">
        <v>13477</v>
      </c>
      <c r="U320" s="1143">
        <v>41953.0</v>
      </c>
      <c r="V320" s="1143">
        <v>41954.0</v>
      </c>
      <c r="W320" s="1159">
        <v>1465.0</v>
      </c>
      <c r="X320" s="320"/>
      <c r="Y320" s="388"/>
      <c r="Z320" s="91"/>
    </row>
    <row r="321" ht="15.75" customHeight="1">
      <c r="A321" s="1293">
        <v>41949.0</v>
      </c>
      <c r="B321" s="599" t="s">
        <v>8749</v>
      </c>
      <c r="C321" s="1004" t="s">
        <v>13478</v>
      </c>
      <c r="D321" s="388" t="s">
        <v>13479</v>
      </c>
      <c r="E321" s="340" t="s">
        <v>8402</v>
      </c>
      <c r="F321" s="1137">
        <v>1.0</v>
      </c>
      <c r="G321" s="325">
        <v>54.6</v>
      </c>
      <c r="H321" s="466">
        <f t="shared" ref="H321:H326" si="40">G321*F321</f>
        <v>54.6</v>
      </c>
      <c r="I321" s="793"/>
      <c r="J321" s="793"/>
      <c r="K321" s="256" t="s">
        <v>11086</v>
      </c>
      <c r="L321" s="592" t="s">
        <v>90</v>
      </c>
      <c r="M321" s="832">
        <v>41956.0</v>
      </c>
      <c r="N321" s="592" t="s">
        <v>90</v>
      </c>
      <c r="O321" s="388"/>
      <c r="P321" s="388" t="s">
        <v>90</v>
      </c>
      <c r="Q321" s="773" t="s">
        <v>13480</v>
      </c>
      <c r="R321" s="466">
        <v>50.4</v>
      </c>
      <c r="S321" s="793"/>
      <c r="T321" s="388" t="s">
        <v>11006</v>
      </c>
      <c r="U321" s="1143">
        <v>41976.0</v>
      </c>
      <c r="V321" s="1133">
        <v>41956.0</v>
      </c>
      <c r="W321" s="1149">
        <v>1535.0</v>
      </c>
      <c r="X321" s="388" t="s">
        <v>13481</v>
      </c>
      <c r="Y321" s="388" t="s">
        <v>13482</v>
      </c>
      <c r="Z321" s="91"/>
    </row>
    <row r="322" ht="15.75" customHeight="1">
      <c r="A322" s="1293">
        <v>41950.0</v>
      </c>
      <c r="B322" s="599" t="s">
        <v>11771</v>
      </c>
      <c r="C322" s="388"/>
      <c r="D322" s="388" t="s">
        <v>13483</v>
      </c>
      <c r="E322" s="340" t="s">
        <v>13484</v>
      </c>
      <c r="F322" s="1137">
        <v>2.0</v>
      </c>
      <c r="G322" s="325">
        <v>768.0</v>
      </c>
      <c r="H322" s="466">
        <f t="shared" si="40"/>
        <v>1536</v>
      </c>
      <c r="I322" s="793"/>
      <c r="J322" s="793"/>
      <c r="K322" s="256" t="s">
        <v>10949</v>
      </c>
      <c r="L322" s="592" t="s">
        <v>11774</v>
      </c>
      <c r="M322" s="832">
        <v>41984.0</v>
      </c>
      <c r="N322" s="592" t="s">
        <v>6067</v>
      </c>
      <c r="O322" s="832">
        <v>41982.0</v>
      </c>
      <c r="P322" s="388" t="s">
        <v>90</v>
      </c>
      <c r="Q322" s="773" t="s">
        <v>13485</v>
      </c>
      <c r="R322" s="466">
        <v>1419.6</v>
      </c>
      <c r="S322" s="793"/>
      <c r="T322" s="388" t="s">
        <v>11006</v>
      </c>
      <c r="U322" s="1143">
        <v>42013.0</v>
      </c>
      <c r="V322" s="1133">
        <v>41982.0</v>
      </c>
      <c r="W322" s="1149">
        <v>51366.0</v>
      </c>
      <c r="X322" s="1297" t="s">
        <v>13486</v>
      </c>
      <c r="Y322" s="388"/>
      <c r="Z322" s="91"/>
    </row>
    <row r="323" ht="15.75" customHeight="1">
      <c r="A323" s="1293">
        <v>41950.0</v>
      </c>
      <c r="B323" s="599" t="s">
        <v>11771</v>
      </c>
      <c r="C323" s="388"/>
      <c r="D323" s="388" t="s">
        <v>13483</v>
      </c>
      <c r="E323" s="340" t="s">
        <v>13487</v>
      </c>
      <c r="F323" s="1137">
        <v>1.0</v>
      </c>
      <c r="G323" s="325">
        <v>265.0</v>
      </c>
      <c r="H323" s="466">
        <f t="shared" si="40"/>
        <v>265</v>
      </c>
      <c r="I323" s="793"/>
      <c r="J323" s="793"/>
      <c r="K323" s="256" t="s">
        <v>10949</v>
      </c>
      <c r="L323" s="592" t="s">
        <v>11774</v>
      </c>
      <c r="M323" s="832">
        <v>41984.0</v>
      </c>
      <c r="N323" s="592" t="s">
        <v>6067</v>
      </c>
      <c r="O323" s="832">
        <v>41982.0</v>
      </c>
      <c r="P323" s="388" t="s">
        <v>90</v>
      </c>
      <c r="Q323" s="773" t="s">
        <v>13485</v>
      </c>
      <c r="R323" s="466">
        <v>245.7</v>
      </c>
      <c r="S323" s="793"/>
      <c r="T323" s="388" t="s">
        <v>11006</v>
      </c>
      <c r="U323" s="1143">
        <v>42013.0</v>
      </c>
      <c r="V323" s="773" t="s">
        <v>8836</v>
      </c>
      <c r="W323" s="773" t="s">
        <v>8836</v>
      </c>
      <c r="X323" s="320"/>
      <c r="Y323" s="388"/>
      <c r="Z323" s="91"/>
    </row>
    <row r="324" ht="15.75" customHeight="1">
      <c r="A324" s="1293">
        <v>41950.0</v>
      </c>
      <c r="B324" s="599" t="s">
        <v>11771</v>
      </c>
      <c r="C324" s="388"/>
      <c r="D324" s="388" t="s">
        <v>13488</v>
      </c>
      <c r="E324" s="340" t="s">
        <v>13489</v>
      </c>
      <c r="F324" s="1137">
        <v>4.0</v>
      </c>
      <c r="G324" s="325">
        <v>85.0</v>
      </c>
      <c r="H324" s="466">
        <f t="shared" si="40"/>
        <v>340</v>
      </c>
      <c r="I324" s="793"/>
      <c r="J324" s="793"/>
      <c r="K324" s="256" t="s">
        <v>10949</v>
      </c>
      <c r="L324" s="592" t="s">
        <v>11774</v>
      </c>
      <c r="M324" s="832">
        <v>41963.0</v>
      </c>
      <c r="N324" s="592" t="s">
        <v>6067</v>
      </c>
      <c r="O324" s="832">
        <v>41961.0</v>
      </c>
      <c r="P324" s="388" t="s">
        <v>90</v>
      </c>
      <c r="Q324" s="773" t="s">
        <v>13490</v>
      </c>
      <c r="R324" s="466">
        <v>315.0</v>
      </c>
      <c r="S324" s="793"/>
      <c r="T324" s="388" t="s">
        <v>11006</v>
      </c>
      <c r="U324" s="1143">
        <v>41976.0</v>
      </c>
      <c r="V324" s="1133">
        <v>41961.0</v>
      </c>
      <c r="W324" s="1149">
        <v>9596.0</v>
      </c>
      <c r="X324" s="388" t="s">
        <v>13491</v>
      </c>
      <c r="Y324" s="388"/>
      <c r="Z324" s="91"/>
    </row>
    <row r="325" ht="15.75" customHeight="1">
      <c r="A325" s="1293">
        <v>41950.0</v>
      </c>
      <c r="B325" s="599" t="s">
        <v>10926</v>
      </c>
      <c r="C325" s="1004" t="s">
        <v>13492</v>
      </c>
      <c r="D325" s="388" t="s">
        <v>13493</v>
      </c>
      <c r="E325" s="340" t="s">
        <v>7584</v>
      </c>
      <c r="F325" s="1137">
        <v>1.0</v>
      </c>
      <c r="G325" s="466">
        <v>118.09</v>
      </c>
      <c r="H325" s="466">
        <f t="shared" si="40"/>
        <v>118.09</v>
      </c>
      <c r="I325" s="466">
        <v>3542.7</v>
      </c>
      <c r="J325" s="773">
        <f t="shared" ref="J325:J326" si="41">F325*I325</f>
        <v>3542.7</v>
      </c>
      <c r="K325" s="256" t="s">
        <v>11086</v>
      </c>
      <c r="L325" s="592" t="s">
        <v>11675</v>
      </c>
      <c r="M325" s="832">
        <v>41983.0</v>
      </c>
      <c r="N325" s="592" t="s">
        <v>6067</v>
      </c>
      <c r="O325" s="832">
        <v>41982.0</v>
      </c>
      <c r="P325" s="388" t="s">
        <v>11033</v>
      </c>
      <c r="Q325" s="1137" t="s">
        <v>13494</v>
      </c>
      <c r="R325" s="793"/>
      <c r="S325" s="466">
        <v>3401.0</v>
      </c>
      <c r="T325" s="388" t="s">
        <v>8689</v>
      </c>
      <c r="U325" s="1143">
        <v>42010.0</v>
      </c>
      <c r="V325" s="1143">
        <v>41981.0</v>
      </c>
      <c r="W325" s="1159">
        <v>3401.0</v>
      </c>
      <c r="X325" s="388" t="s">
        <v>13495</v>
      </c>
      <c r="Y325" s="388" t="s">
        <v>13496</v>
      </c>
      <c r="Z325" s="91"/>
    </row>
    <row r="326" ht="15.75" customHeight="1">
      <c r="A326" s="1293">
        <v>41950.0</v>
      </c>
      <c r="B326" s="599" t="s">
        <v>10926</v>
      </c>
      <c r="C326" s="1004" t="s">
        <v>13492</v>
      </c>
      <c r="D326" s="388" t="s">
        <v>13497</v>
      </c>
      <c r="E326" s="340" t="s">
        <v>7584</v>
      </c>
      <c r="F326" s="1137">
        <v>5.0</v>
      </c>
      <c r="G326" s="466">
        <v>118.09</v>
      </c>
      <c r="H326" s="466">
        <f t="shared" si="40"/>
        <v>590.45</v>
      </c>
      <c r="I326" s="466">
        <v>3542.7</v>
      </c>
      <c r="J326" s="773">
        <f t="shared" si="41"/>
        <v>17713.5</v>
      </c>
      <c r="K326" s="256" t="s">
        <v>11086</v>
      </c>
      <c r="L326" s="592" t="s">
        <v>11675</v>
      </c>
      <c r="M326" s="832">
        <v>41989.0</v>
      </c>
      <c r="N326" s="592" t="s">
        <v>6067</v>
      </c>
      <c r="O326" s="832">
        <v>41988.0</v>
      </c>
      <c r="P326" s="388" t="s">
        <v>11033</v>
      </c>
      <c r="Q326" s="1137" t="s">
        <v>13494</v>
      </c>
      <c r="R326" s="793"/>
      <c r="S326" s="466">
        <v>17005.0</v>
      </c>
      <c r="T326" s="388" t="s">
        <v>8689</v>
      </c>
      <c r="U326" s="1143">
        <v>42010.0</v>
      </c>
      <c r="V326" s="1143">
        <v>41985.0</v>
      </c>
      <c r="W326" s="1159">
        <v>17005.0</v>
      </c>
      <c r="X326" s="388" t="s">
        <v>13498</v>
      </c>
      <c r="Y326" s="388" t="s">
        <v>13499</v>
      </c>
      <c r="Z326" s="91"/>
    </row>
    <row r="327" ht="15.75" customHeight="1">
      <c r="A327" s="1293">
        <v>41955.0</v>
      </c>
      <c r="B327" s="599" t="s">
        <v>11987</v>
      </c>
      <c r="C327" s="388"/>
      <c r="D327" s="388" t="s">
        <v>13500</v>
      </c>
      <c r="E327" s="340" t="s">
        <v>13501</v>
      </c>
      <c r="F327" s="1137">
        <v>50.0</v>
      </c>
      <c r="G327" s="466">
        <v>24.0</v>
      </c>
      <c r="H327" s="466">
        <f>F327*G327</f>
        <v>1200</v>
      </c>
      <c r="I327" s="793"/>
      <c r="J327" s="793"/>
      <c r="K327" s="256" t="s">
        <v>13502</v>
      </c>
      <c r="L327" s="592" t="s">
        <v>11990</v>
      </c>
      <c r="M327" s="832">
        <v>41970.0</v>
      </c>
      <c r="N327" s="592" t="s">
        <v>6067</v>
      </c>
      <c r="O327" s="832">
        <v>41969.0</v>
      </c>
      <c r="P327" s="388" t="s">
        <v>13503</v>
      </c>
      <c r="Q327" s="1137" t="s">
        <v>13504</v>
      </c>
      <c r="R327" s="793"/>
      <c r="S327" s="325">
        <v>34335.0</v>
      </c>
      <c r="T327" s="388" t="s">
        <v>2127</v>
      </c>
      <c r="U327" s="1143">
        <v>41960.0</v>
      </c>
      <c r="V327" s="1302">
        <v>41967.0</v>
      </c>
      <c r="W327" s="1303">
        <v>34335.0</v>
      </c>
      <c r="X327" s="1300" t="s">
        <v>13505</v>
      </c>
      <c r="Y327" s="388"/>
      <c r="Z327" s="91"/>
    </row>
    <row r="328" ht="15.75" customHeight="1">
      <c r="A328" s="1293">
        <v>41955.0</v>
      </c>
      <c r="B328" s="599" t="s">
        <v>11987</v>
      </c>
      <c r="C328" s="388"/>
      <c r="D328" s="388" t="s">
        <v>13500</v>
      </c>
      <c r="E328" s="340" t="s">
        <v>13506</v>
      </c>
      <c r="F328" s="388"/>
      <c r="G328" s="466">
        <v>25.0</v>
      </c>
      <c r="H328" s="466">
        <v>25.0</v>
      </c>
      <c r="I328" s="793"/>
      <c r="J328" s="388"/>
      <c r="K328" s="256" t="s">
        <v>13502</v>
      </c>
      <c r="L328" s="592" t="s">
        <v>13507</v>
      </c>
      <c r="M328" s="832">
        <v>41970.0</v>
      </c>
      <c r="N328" s="592" t="s">
        <v>6067</v>
      </c>
      <c r="O328" s="832">
        <v>41969.0</v>
      </c>
      <c r="P328" s="388" t="s">
        <v>13503</v>
      </c>
      <c r="Q328" s="1137" t="s">
        <v>13504</v>
      </c>
      <c r="R328" s="793"/>
      <c r="S328" s="325">
        <v>0.0</v>
      </c>
      <c r="T328" s="388" t="s">
        <v>2127</v>
      </c>
      <c r="U328" s="1143">
        <v>41960.0</v>
      </c>
      <c r="V328" s="1143"/>
      <c r="W328" s="1159"/>
      <c r="X328" s="388"/>
      <c r="Y328" s="388"/>
      <c r="Z328" s="91"/>
    </row>
    <row r="329" ht="15.75" customHeight="1">
      <c r="A329" s="1293">
        <v>41955.0</v>
      </c>
      <c r="B329" s="599" t="s">
        <v>10926</v>
      </c>
      <c r="C329" s="1004" t="s">
        <v>13508</v>
      </c>
      <c r="D329" s="388" t="s">
        <v>13509</v>
      </c>
      <c r="E329" s="340" t="s">
        <v>11263</v>
      </c>
      <c r="F329" s="1137">
        <v>36.0</v>
      </c>
      <c r="G329" s="466">
        <v>100.485</v>
      </c>
      <c r="H329" s="466">
        <f t="shared" ref="H329:H331" si="42">F329*G329</f>
        <v>3617.46</v>
      </c>
      <c r="I329" s="466">
        <v>3014.55</v>
      </c>
      <c r="J329" s="773">
        <f t="shared" ref="J329:J331" si="43">F329*I329</f>
        <v>108523.8</v>
      </c>
      <c r="K329" s="256" t="s">
        <v>11086</v>
      </c>
      <c r="L329" s="592" t="s">
        <v>11675</v>
      </c>
      <c r="M329" s="832">
        <v>42003.0</v>
      </c>
      <c r="N329" s="592" t="s">
        <v>6067</v>
      </c>
      <c r="O329" s="832">
        <v>41999.0</v>
      </c>
      <c r="P329" s="388" t="s">
        <v>11033</v>
      </c>
      <c r="Q329" s="1137" t="s">
        <v>13510</v>
      </c>
      <c r="R329" s="793"/>
      <c r="S329" s="466">
        <v>104177.0</v>
      </c>
      <c r="T329" s="388" t="s">
        <v>8689</v>
      </c>
      <c r="U329" s="1143">
        <v>42010.0</v>
      </c>
      <c r="V329" s="1143">
        <v>41999.0</v>
      </c>
      <c r="W329" s="1159">
        <v>104177.0</v>
      </c>
      <c r="X329" s="388" t="s">
        <v>13511</v>
      </c>
      <c r="Y329" s="388" t="s">
        <v>13512</v>
      </c>
      <c r="Z329" s="91"/>
    </row>
    <row r="330" ht="15.75" customHeight="1">
      <c r="A330" s="1293">
        <v>41956.0</v>
      </c>
      <c r="B330" s="599" t="s">
        <v>10926</v>
      </c>
      <c r="C330" s="1004" t="s">
        <v>13513</v>
      </c>
      <c r="D330" s="388" t="s">
        <v>13514</v>
      </c>
      <c r="E330" s="340" t="s">
        <v>11725</v>
      </c>
      <c r="F330" s="1137">
        <v>2.0</v>
      </c>
      <c r="G330" s="325">
        <v>99.19</v>
      </c>
      <c r="H330" s="466">
        <f t="shared" si="42"/>
        <v>198.38</v>
      </c>
      <c r="I330" s="466">
        <v>2975.7</v>
      </c>
      <c r="J330" s="773">
        <f t="shared" si="43"/>
        <v>5951.4</v>
      </c>
      <c r="K330" s="256" t="s">
        <v>11086</v>
      </c>
      <c r="L330" s="592" t="s">
        <v>11675</v>
      </c>
      <c r="M330" s="832">
        <v>41961.0</v>
      </c>
      <c r="N330" s="592" t="s">
        <v>6067</v>
      </c>
      <c r="O330" s="832">
        <v>41960.0</v>
      </c>
      <c r="P330" s="388" t="s">
        <v>11033</v>
      </c>
      <c r="Q330" s="1137" t="s">
        <v>13515</v>
      </c>
      <c r="R330" s="793"/>
      <c r="S330" s="466">
        <v>5714.0</v>
      </c>
      <c r="T330" s="388" t="s">
        <v>8689</v>
      </c>
      <c r="U330" s="1143">
        <v>41976.0</v>
      </c>
      <c r="V330" s="1302">
        <v>41957.0</v>
      </c>
      <c r="W330" s="1303">
        <v>9403.0</v>
      </c>
      <c r="X330" s="1300" t="s">
        <v>13516</v>
      </c>
      <c r="Y330" s="1300" t="s">
        <v>13517</v>
      </c>
      <c r="Z330" s="91"/>
    </row>
    <row r="331" ht="15.75" customHeight="1">
      <c r="A331" s="1293">
        <v>41956.0</v>
      </c>
      <c r="B331" s="599" t="s">
        <v>10926</v>
      </c>
      <c r="C331" s="1004" t="s">
        <v>13513</v>
      </c>
      <c r="D331" s="388" t="s">
        <v>13514</v>
      </c>
      <c r="E331" s="340" t="s">
        <v>7196</v>
      </c>
      <c r="F331" s="1137">
        <v>1.0</v>
      </c>
      <c r="G331" s="325">
        <v>128.065</v>
      </c>
      <c r="H331" s="466">
        <f t="shared" si="42"/>
        <v>128.065</v>
      </c>
      <c r="I331" s="466">
        <v>3841.95</v>
      </c>
      <c r="J331" s="773">
        <f t="shared" si="43"/>
        <v>3841.95</v>
      </c>
      <c r="K331" s="256" t="s">
        <v>11086</v>
      </c>
      <c r="L331" s="592" t="s">
        <v>11675</v>
      </c>
      <c r="M331" s="832">
        <v>41961.0</v>
      </c>
      <c r="N331" s="592" t="s">
        <v>6067</v>
      </c>
      <c r="O331" s="832">
        <v>41960.0</v>
      </c>
      <c r="P331" s="388" t="s">
        <v>11033</v>
      </c>
      <c r="Q331" s="1137" t="s">
        <v>13515</v>
      </c>
      <c r="R331" s="793"/>
      <c r="S331" s="466">
        <v>3689.0</v>
      </c>
      <c r="T331" s="388" t="s">
        <v>8689</v>
      </c>
      <c r="U331" s="1143">
        <v>41976.0</v>
      </c>
      <c r="V331" s="1143"/>
      <c r="W331" s="1159"/>
      <c r="X331" s="388"/>
      <c r="Y331" s="388"/>
      <c r="Z331" s="91"/>
    </row>
    <row r="332" ht="15.75" customHeight="1">
      <c r="A332" s="1293">
        <v>41956.0</v>
      </c>
      <c r="B332" s="599" t="s">
        <v>11771</v>
      </c>
      <c r="C332" s="388"/>
      <c r="D332" s="388" t="s">
        <v>13518</v>
      </c>
      <c r="E332" s="340" t="s">
        <v>13519</v>
      </c>
      <c r="F332" s="1137">
        <v>2.0</v>
      </c>
      <c r="G332" s="325">
        <v>185.0</v>
      </c>
      <c r="H332" s="466">
        <f t="shared" ref="H332:H339" si="44">G332*F332</f>
        <v>370</v>
      </c>
      <c r="I332" s="793"/>
      <c r="J332" s="793"/>
      <c r="K332" s="256" t="s">
        <v>10949</v>
      </c>
      <c r="L332" s="592" t="s">
        <v>11774</v>
      </c>
      <c r="M332" s="832">
        <v>41991.0</v>
      </c>
      <c r="N332" s="592" t="s">
        <v>6067</v>
      </c>
      <c r="O332" s="832">
        <v>41989.0</v>
      </c>
      <c r="P332" s="388" t="s">
        <v>90</v>
      </c>
      <c r="Q332" s="773" t="s">
        <v>13520</v>
      </c>
      <c r="R332" s="466">
        <v>342.3</v>
      </c>
      <c r="S332" s="793"/>
      <c r="T332" s="388" t="s">
        <v>6081</v>
      </c>
      <c r="U332" s="1143">
        <v>42013.0</v>
      </c>
      <c r="V332" s="1133">
        <v>41989.0</v>
      </c>
      <c r="W332" s="1149">
        <v>10637.0</v>
      </c>
      <c r="X332" s="320" t="s">
        <v>13521</v>
      </c>
      <c r="Y332" s="388"/>
      <c r="Z332" s="91"/>
    </row>
    <row r="333" ht="15.75" customHeight="1">
      <c r="A333" s="1293">
        <v>41960.0</v>
      </c>
      <c r="B333" s="599" t="s">
        <v>10926</v>
      </c>
      <c r="C333" s="1004" t="s">
        <v>13522</v>
      </c>
      <c r="D333" s="388" t="s">
        <v>13523</v>
      </c>
      <c r="E333" s="340" t="s">
        <v>6596</v>
      </c>
      <c r="F333" s="1137">
        <v>5.0</v>
      </c>
      <c r="G333" s="325">
        <v>118.3</v>
      </c>
      <c r="H333" s="466">
        <f t="shared" si="44"/>
        <v>591.5</v>
      </c>
      <c r="I333" s="466">
        <v>3549.0</v>
      </c>
      <c r="J333" s="466">
        <f t="shared" ref="J333:J339" si="45">F333*I333</f>
        <v>17745</v>
      </c>
      <c r="K333" s="256" t="s">
        <v>11086</v>
      </c>
      <c r="L333" s="592" t="s">
        <v>13236</v>
      </c>
      <c r="M333" s="832">
        <v>41968.0</v>
      </c>
      <c r="N333" s="592" t="s">
        <v>6067</v>
      </c>
      <c r="O333" s="832">
        <v>41967.0</v>
      </c>
      <c r="P333" s="388" t="s">
        <v>11033</v>
      </c>
      <c r="Q333" s="1137" t="s">
        <v>13524</v>
      </c>
      <c r="R333" s="793"/>
      <c r="S333" s="466">
        <v>17010.0</v>
      </c>
      <c r="T333" s="388" t="s">
        <v>8689</v>
      </c>
      <c r="U333" s="1143">
        <v>41976.0</v>
      </c>
      <c r="V333" s="1302">
        <v>41961.0</v>
      </c>
      <c r="W333" s="1303">
        <v>75215.0</v>
      </c>
      <c r="X333" s="1300" t="s">
        <v>13525</v>
      </c>
      <c r="Y333" s="1300" t="s">
        <v>13526</v>
      </c>
      <c r="Z333" s="91"/>
    </row>
    <row r="334" ht="15.75" customHeight="1">
      <c r="A334" s="1293">
        <v>41960.0</v>
      </c>
      <c r="B334" s="599" t="s">
        <v>10926</v>
      </c>
      <c r="C334" s="1004" t="s">
        <v>13522</v>
      </c>
      <c r="D334" s="388" t="s">
        <v>13523</v>
      </c>
      <c r="E334" s="340" t="s">
        <v>6451</v>
      </c>
      <c r="F334" s="1137">
        <v>5.0</v>
      </c>
      <c r="G334" s="325">
        <v>124.25</v>
      </c>
      <c r="H334" s="466">
        <f t="shared" si="44"/>
        <v>621.25</v>
      </c>
      <c r="I334" s="466">
        <v>3727.5</v>
      </c>
      <c r="J334" s="466">
        <f t="shared" si="45"/>
        <v>18637.5</v>
      </c>
      <c r="K334" s="256" t="s">
        <v>11086</v>
      </c>
      <c r="L334" s="592" t="s">
        <v>13236</v>
      </c>
      <c r="M334" s="832">
        <v>41968.0</v>
      </c>
      <c r="N334" s="592" t="s">
        <v>6067</v>
      </c>
      <c r="O334" s="832">
        <v>41967.0</v>
      </c>
      <c r="P334" s="388" t="s">
        <v>11033</v>
      </c>
      <c r="Q334" s="1137" t="s">
        <v>13524</v>
      </c>
      <c r="R334" s="793"/>
      <c r="S334" s="466">
        <v>18443.25</v>
      </c>
      <c r="T334" s="388" t="s">
        <v>8689</v>
      </c>
      <c r="U334" s="1143">
        <v>41976.0</v>
      </c>
      <c r="V334" s="1302"/>
      <c r="W334" s="1303"/>
      <c r="X334" s="1300"/>
      <c r="Y334" s="1300"/>
      <c r="Z334" s="91"/>
    </row>
    <row r="335" ht="15.75" customHeight="1">
      <c r="A335" s="1293">
        <v>41960.0</v>
      </c>
      <c r="B335" s="599" t="s">
        <v>10926</v>
      </c>
      <c r="C335" s="1004" t="s">
        <v>13522</v>
      </c>
      <c r="D335" s="388" t="s">
        <v>13523</v>
      </c>
      <c r="E335" s="340" t="s">
        <v>6190</v>
      </c>
      <c r="F335" s="1137">
        <v>4.0</v>
      </c>
      <c r="G335" s="325">
        <v>141.3</v>
      </c>
      <c r="H335" s="466">
        <f t="shared" si="44"/>
        <v>565.2</v>
      </c>
      <c r="I335" s="466">
        <v>4238.85</v>
      </c>
      <c r="J335" s="466">
        <f t="shared" si="45"/>
        <v>16955.4</v>
      </c>
      <c r="K335" s="256" t="s">
        <v>11086</v>
      </c>
      <c r="L335" s="592" t="s">
        <v>13236</v>
      </c>
      <c r="M335" s="832">
        <v>41968.0</v>
      </c>
      <c r="N335" s="592" t="s">
        <v>6067</v>
      </c>
      <c r="O335" s="832">
        <v>41967.0</v>
      </c>
      <c r="P335" s="388" t="s">
        <v>11033</v>
      </c>
      <c r="Q335" s="1137" t="s">
        <v>13524</v>
      </c>
      <c r="R335" s="793"/>
      <c r="S335" s="466">
        <v>16279.2</v>
      </c>
      <c r="T335" s="388" t="s">
        <v>8689</v>
      </c>
      <c r="U335" s="1143">
        <v>41976.0</v>
      </c>
      <c r="V335" s="1302"/>
      <c r="W335" s="1303"/>
      <c r="X335" s="1300"/>
      <c r="Y335" s="1300"/>
      <c r="Z335" s="91"/>
    </row>
    <row r="336" ht="15.75" customHeight="1">
      <c r="A336" s="1293">
        <v>41960.0</v>
      </c>
      <c r="B336" s="599" t="s">
        <v>10926</v>
      </c>
      <c r="C336" s="1004" t="s">
        <v>13522</v>
      </c>
      <c r="D336" s="388" t="s">
        <v>13523</v>
      </c>
      <c r="E336" s="340" t="s">
        <v>7014</v>
      </c>
      <c r="F336" s="1137">
        <v>2.0</v>
      </c>
      <c r="G336" s="325">
        <v>54.11</v>
      </c>
      <c r="H336" s="466">
        <f t="shared" si="44"/>
        <v>108.22</v>
      </c>
      <c r="I336" s="466">
        <v>1623.3</v>
      </c>
      <c r="J336" s="466">
        <f t="shared" si="45"/>
        <v>3246.6</v>
      </c>
      <c r="K336" s="256" t="s">
        <v>11086</v>
      </c>
      <c r="L336" s="592" t="s">
        <v>13236</v>
      </c>
      <c r="M336" s="832">
        <v>41968.0</v>
      </c>
      <c r="N336" s="592" t="s">
        <v>6067</v>
      </c>
      <c r="O336" s="832">
        <v>41967.0</v>
      </c>
      <c r="P336" s="388" t="s">
        <v>11033</v>
      </c>
      <c r="Q336" s="1137" t="s">
        <v>13524</v>
      </c>
      <c r="R336" s="793"/>
      <c r="S336" s="466">
        <v>3116.4</v>
      </c>
      <c r="T336" s="388" t="s">
        <v>8689</v>
      </c>
      <c r="U336" s="1143">
        <v>41976.0</v>
      </c>
      <c r="V336" s="1302"/>
      <c r="W336" s="1303"/>
      <c r="X336" s="1300"/>
      <c r="Y336" s="1300"/>
      <c r="Z336" s="91"/>
    </row>
    <row r="337" ht="15.75" customHeight="1">
      <c r="A337" s="1293">
        <v>41960.0</v>
      </c>
      <c r="B337" s="599" t="s">
        <v>10926</v>
      </c>
      <c r="C337" s="1004" t="s">
        <v>13522</v>
      </c>
      <c r="D337" s="388" t="s">
        <v>13523</v>
      </c>
      <c r="E337" s="340" t="s">
        <v>3676</v>
      </c>
      <c r="F337" s="1137">
        <v>10.0</v>
      </c>
      <c r="G337" s="325">
        <v>45.08</v>
      </c>
      <c r="H337" s="466">
        <f t="shared" si="44"/>
        <v>450.8</v>
      </c>
      <c r="I337" s="466">
        <v>1352.4</v>
      </c>
      <c r="J337" s="466">
        <f t="shared" si="45"/>
        <v>13524</v>
      </c>
      <c r="K337" s="256" t="s">
        <v>11086</v>
      </c>
      <c r="L337" s="592" t="s">
        <v>13236</v>
      </c>
      <c r="M337" s="832">
        <v>41968.0</v>
      </c>
      <c r="N337" s="592" t="s">
        <v>6067</v>
      </c>
      <c r="O337" s="832">
        <v>41967.0</v>
      </c>
      <c r="P337" s="388" t="s">
        <v>11033</v>
      </c>
      <c r="Q337" s="1137" t="s">
        <v>13524</v>
      </c>
      <c r="R337" s="793"/>
      <c r="S337" s="466">
        <v>12988.5</v>
      </c>
      <c r="T337" s="388" t="s">
        <v>8689</v>
      </c>
      <c r="U337" s="1143">
        <v>41976.0</v>
      </c>
      <c r="V337" s="1302"/>
      <c r="W337" s="1303"/>
      <c r="X337" s="1300"/>
      <c r="Y337" s="1300"/>
      <c r="Z337" s="91"/>
    </row>
    <row r="338" ht="15.75" customHeight="1">
      <c r="A338" s="1293">
        <v>41960.0</v>
      </c>
      <c r="B338" s="599" t="s">
        <v>10926</v>
      </c>
      <c r="C338" s="1004" t="s">
        <v>13522</v>
      </c>
      <c r="D338" s="388" t="s">
        <v>13523</v>
      </c>
      <c r="E338" s="340" t="s">
        <v>7196</v>
      </c>
      <c r="F338" s="1137">
        <v>2.0</v>
      </c>
      <c r="G338" s="325">
        <v>128.07</v>
      </c>
      <c r="H338" s="466">
        <f t="shared" si="44"/>
        <v>256.14</v>
      </c>
      <c r="I338" s="466">
        <v>3841.95</v>
      </c>
      <c r="J338" s="466">
        <f t="shared" si="45"/>
        <v>7683.9</v>
      </c>
      <c r="K338" s="256" t="s">
        <v>11086</v>
      </c>
      <c r="L338" s="592" t="s">
        <v>13236</v>
      </c>
      <c r="M338" s="832">
        <v>41968.0</v>
      </c>
      <c r="N338" s="592" t="s">
        <v>6067</v>
      </c>
      <c r="O338" s="832">
        <v>41967.0</v>
      </c>
      <c r="P338" s="388" t="s">
        <v>11033</v>
      </c>
      <c r="Q338" s="1137" t="s">
        <v>13524</v>
      </c>
      <c r="R338" s="793"/>
      <c r="S338" s="466">
        <v>7377.3</v>
      </c>
      <c r="T338" s="388" t="s">
        <v>8689</v>
      </c>
      <c r="U338" s="1143">
        <v>41976.0</v>
      </c>
      <c r="V338" s="1143"/>
      <c r="W338" s="1159"/>
      <c r="X338" s="388"/>
      <c r="Y338" s="388"/>
      <c r="Z338" s="91"/>
    </row>
    <row r="339" ht="15.75" customHeight="1">
      <c r="A339" s="1293">
        <v>41960.0</v>
      </c>
      <c r="B339" s="599" t="s">
        <v>10926</v>
      </c>
      <c r="C339" s="1004" t="s">
        <v>13522</v>
      </c>
      <c r="D339" s="388" t="s">
        <v>13527</v>
      </c>
      <c r="E339" s="340" t="s">
        <v>3671</v>
      </c>
      <c r="F339" s="1137">
        <v>5.0</v>
      </c>
      <c r="G339" s="325">
        <v>138.43</v>
      </c>
      <c r="H339" s="466">
        <f t="shared" si="44"/>
        <v>692.15</v>
      </c>
      <c r="I339" s="466">
        <v>4152.75</v>
      </c>
      <c r="J339" s="466">
        <f t="shared" si="45"/>
        <v>20763.75</v>
      </c>
      <c r="K339" s="256" t="s">
        <v>11086</v>
      </c>
      <c r="L339" s="592" t="s">
        <v>11675</v>
      </c>
      <c r="M339" s="832">
        <v>41989.0</v>
      </c>
      <c r="N339" s="592" t="s">
        <v>6067</v>
      </c>
      <c r="O339" s="832">
        <v>41988.0</v>
      </c>
      <c r="P339" s="388" t="s">
        <v>11033</v>
      </c>
      <c r="Q339" s="1137" t="s">
        <v>13528</v>
      </c>
      <c r="R339" s="793"/>
      <c r="S339" s="466">
        <v>19913.25</v>
      </c>
      <c r="T339" s="388" t="s">
        <v>8689</v>
      </c>
      <c r="U339" s="1143">
        <v>42010.0</v>
      </c>
      <c r="V339" s="1143">
        <v>41985.0</v>
      </c>
      <c r="W339" s="1159">
        <v>19913.0</v>
      </c>
      <c r="X339" s="388" t="s">
        <v>13529</v>
      </c>
      <c r="Y339" s="388" t="s">
        <v>13499</v>
      </c>
      <c r="Z339" s="91"/>
    </row>
    <row r="340" ht="15.75" customHeight="1">
      <c r="A340" s="1293">
        <v>41961.0</v>
      </c>
      <c r="B340" s="599" t="s">
        <v>11771</v>
      </c>
      <c r="C340" s="388"/>
      <c r="D340" s="388" t="s">
        <v>13530</v>
      </c>
      <c r="E340" s="340" t="s">
        <v>13531</v>
      </c>
      <c r="F340" s="1137">
        <v>1.0</v>
      </c>
      <c r="G340" s="325">
        <v>280.0</v>
      </c>
      <c r="H340" s="466">
        <v>280.0</v>
      </c>
      <c r="I340" s="793"/>
      <c r="J340" s="793"/>
      <c r="K340" s="256" t="s">
        <v>10949</v>
      </c>
      <c r="L340" s="592" t="s">
        <v>11774</v>
      </c>
      <c r="M340" s="832">
        <v>41995.0</v>
      </c>
      <c r="N340" s="592" t="s">
        <v>6067</v>
      </c>
      <c r="O340" s="832">
        <v>41992.0</v>
      </c>
      <c r="P340" s="388" t="s">
        <v>90</v>
      </c>
      <c r="Q340" s="773" t="s">
        <v>13532</v>
      </c>
      <c r="R340" s="466">
        <v>259.35</v>
      </c>
      <c r="S340" s="793"/>
      <c r="T340" s="388" t="s">
        <v>6081</v>
      </c>
      <c r="U340" s="1143">
        <v>42013.0</v>
      </c>
      <c r="V340" s="1133">
        <v>41992.0</v>
      </c>
      <c r="W340" s="1149">
        <v>19512.0</v>
      </c>
      <c r="X340" s="320" t="s">
        <v>13533</v>
      </c>
      <c r="Y340" s="388"/>
      <c r="Z340" s="91"/>
    </row>
    <row r="341" ht="15.75" customHeight="1">
      <c r="A341" s="1293">
        <v>41961.0</v>
      </c>
      <c r="B341" s="599" t="s">
        <v>11771</v>
      </c>
      <c r="C341" s="388"/>
      <c r="D341" s="388" t="s">
        <v>13530</v>
      </c>
      <c r="E341" s="340" t="s">
        <v>13534</v>
      </c>
      <c r="F341" s="1137">
        <v>1.0</v>
      </c>
      <c r="G341" s="325">
        <v>23.0</v>
      </c>
      <c r="H341" s="466">
        <v>23.0</v>
      </c>
      <c r="I341" s="793"/>
      <c r="J341" s="793"/>
      <c r="K341" s="256" t="s">
        <v>10949</v>
      </c>
      <c r="L341" s="592" t="s">
        <v>11774</v>
      </c>
      <c r="M341" s="832">
        <v>41995.0</v>
      </c>
      <c r="N341" s="592" t="s">
        <v>6067</v>
      </c>
      <c r="O341" s="832">
        <v>41992.0</v>
      </c>
      <c r="P341" s="388" t="s">
        <v>90</v>
      </c>
      <c r="Q341" s="773" t="s">
        <v>13532</v>
      </c>
      <c r="R341" s="466">
        <v>21.0</v>
      </c>
      <c r="S341" s="793"/>
      <c r="T341" s="388" t="s">
        <v>6081</v>
      </c>
      <c r="U341" s="1143">
        <v>42013.0</v>
      </c>
      <c r="V341" s="773" t="s">
        <v>8836</v>
      </c>
      <c r="W341" s="773" t="s">
        <v>8836</v>
      </c>
      <c r="X341" s="320" t="s">
        <v>13533</v>
      </c>
      <c r="Y341" s="388"/>
      <c r="Z341" s="91"/>
    </row>
    <row r="342" ht="15.75" customHeight="1">
      <c r="A342" s="1293">
        <v>41961.0</v>
      </c>
      <c r="B342" s="599" t="s">
        <v>11771</v>
      </c>
      <c r="C342" s="388"/>
      <c r="D342" s="388" t="s">
        <v>13530</v>
      </c>
      <c r="E342" s="340" t="s">
        <v>13535</v>
      </c>
      <c r="F342" s="1137">
        <v>1.0</v>
      </c>
      <c r="G342" s="325">
        <v>376.0</v>
      </c>
      <c r="H342" s="466">
        <v>376.0</v>
      </c>
      <c r="I342" s="793"/>
      <c r="J342" s="793"/>
      <c r="K342" s="256" t="s">
        <v>10949</v>
      </c>
      <c r="L342" s="592" t="s">
        <v>11774</v>
      </c>
      <c r="M342" s="832">
        <v>41995.0</v>
      </c>
      <c r="N342" s="592" t="s">
        <v>6067</v>
      </c>
      <c r="O342" s="832">
        <v>41992.0</v>
      </c>
      <c r="P342" s="388" t="s">
        <v>90</v>
      </c>
      <c r="Q342" s="773" t="s">
        <v>13532</v>
      </c>
      <c r="R342" s="466">
        <v>347.55</v>
      </c>
      <c r="S342" s="793"/>
      <c r="T342" s="388" t="s">
        <v>6081</v>
      </c>
      <c r="U342" s="1143">
        <v>42013.0</v>
      </c>
      <c r="V342" s="773" t="s">
        <v>8836</v>
      </c>
      <c r="W342" s="773" t="s">
        <v>8836</v>
      </c>
      <c r="X342" s="320" t="s">
        <v>13533</v>
      </c>
      <c r="Y342" s="388"/>
      <c r="Z342" s="91"/>
    </row>
    <row r="343" ht="15.75" customHeight="1">
      <c r="A343" s="1293">
        <v>41961.0</v>
      </c>
      <c r="B343" s="599" t="s">
        <v>8749</v>
      </c>
      <c r="C343" s="1004" t="s">
        <v>13536</v>
      </c>
      <c r="D343" s="388" t="s">
        <v>13537</v>
      </c>
      <c r="E343" s="340" t="s">
        <v>13538</v>
      </c>
      <c r="F343" s="1137">
        <v>2.0</v>
      </c>
      <c r="G343" s="325">
        <v>109.2</v>
      </c>
      <c r="H343" s="466">
        <f t="shared" ref="H343:H344" si="46">G343*F343</f>
        <v>218.4</v>
      </c>
      <c r="I343" s="793"/>
      <c r="J343" s="793"/>
      <c r="K343" s="256" t="s">
        <v>11086</v>
      </c>
      <c r="L343" s="592" t="s">
        <v>90</v>
      </c>
      <c r="M343" s="832">
        <v>41967.0</v>
      </c>
      <c r="N343" s="592" t="s">
        <v>90</v>
      </c>
      <c r="O343" s="388"/>
      <c r="P343" s="388" t="s">
        <v>90</v>
      </c>
      <c r="Q343" s="773" t="s">
        <v>13539</v>
      </c>
      <c r="R343" s="466">
        <v>184.8</v>
      </c>
      <c r="S343" s="793"/>
      <c r="T343" s="388" t="s">
        <v>6081</v>
      </c>
      <c r="U343" s="1143">
        <v>41976.0</v>
      </c>
      <c r="V343" s="1133">
        <v>41967.0</v>
      </c>
      <c r="W343" s="1149">
        <v>5655.0</v>
      </c>
      <c r="X343" s="388" t="s">
        <v>13540</v>
      </c>
      <c r="Y343" s="388" t="s">
        <v>13541</v>
      </c>
      <c r="Z343" s="91"/>
    </row>
    <row r="344" ht="15.75" customHeight="1">
      <c r="A344" s="1293">
        <v>41962.0</v>
      </c>
      <c r="B344" s="599" t="s">
        <v>11987</v>
      </c>
      <c r="C344" s="388"/>
      <c r="D344" s="388" t="s">
        <v>13542</v>
      </c>
      <c r="E344" s="340" t="s">
        <v>13543</v>
      </c>
      <c r="F344" s="1137">
        <v>20.0</v>
      </c>
      <c r="G344" s="325">
        <v>34.0</v>
      </c>
      <c r="H344" s="466">
        <f t="shared" si="46"/>
        <v>680</v>
      </c>
      <c r="I344" s="793"/>
      <c r="J344" s="793"/>
      <c r="K344" s="256" t="s">
        <v>11972</v>
      </c>
      <c r="L344" s="592" t="s">
        <v>13544</v>
      </c>
      <c r="M344" s="832">
        <v>41970.0</v>
      </c>
      <c r="N344" s="592" t="s">
        <v>6067</v>
      </c>
      <c r="O344" s="832">
        <v>41965.0</v>
      </c>
      <c r="P344" s="388" t="s">
        <v>10977</v>
      </c>
      <c r="Q344" s="1137" t="s">
        <v>13545</v>
      </c>
      <c r="R344" s="793"/>
      <c r="S344" s="325">
        <v>19093.0</v>
      </c>
      <c r="T344" s="388" t="s">
        <v>13049</v>
      </c>
      <c r="U344" s="1143">
        <v>41963.0</v>
      </c>
      <c r="V344" s="1302">
        <v>41964.0</v>
      </c>
      <c r="W344" s="1303">
        <v>19093.0</v>
      </c>
      <c r="X344" s="1300" t="s">
        <v>13505</v>
      </c>
      <c r="Y344" s="388"/>
      <c r="Z344" s="91"/>
    </row>
    <row r="345" ht="15.75" customHeight="1">
      <c r="A345" s="1293">
        <v>41962.0</v>
      </c>
      <c r="B345" s="599" t="s">
        <v>11987</v>
      </c>
      <c r="C345" s="388"/>
      <c r="D345" s="388" t="s">
        <v>13542</v>
      </c>
      <c r="E345" s="340" t="s">
        <v>13506</v>
      </c>
      <c r="F345" s="1137">
        <v>1.0</v>
      </c>
      <c r="G345" s="325">
        <v>25.0</v>
      </c>
      <c r="H345" s="466">
        <v>25.0</v>
      </c>
      <c r="I345" s="793"/>
      <c r="J345" s="793"/>
      <c r="K345" s="256" t="s">
        <v>11972</v>
      </c>
      <c r="L345" s="592" t="s">
        <v>13546</v>
      </c>
      <c r="M345" s="832">
        <v>41970.0</v>
      </c>
      <c r="N345" s="592" t="s">
        <v>6067</v>
      </c>
      <c r="O345" s="832">
        <v>41965.0</v>
      </c>
      <c r="P345" s="388" t="s">
        <v>10977</v>
      </c>
      <c r="Q345" s="1137" t="s">
        <v>13545</v>
      </c>
      <c r="R345" s="793"/>
      <c r="S345" s="325">
        <v>0.0</v>
      </c>
      <c r="T345" s="388"/>
      <c r="U345" s="1143">
        <v>41963.0</v>
      </c>
      <c r="V345" s="1143"/>
      <c r="W345" s="1159"/>
      <c r="X345" s="388"/>
      <c r="Y345" s="388"/>
      <c r="Z345" s="91"/>
    </row>
    <row r="346" ht="15.75" customHeight="1">
      <c r="A346" s="1311">
        <v>41963.0</v>
      </c>
      <c r="B346" s="599" t="s">
        <v>10926</v>
      </c>
      <c r="C346" s="265" t="s">
        <v>13547</v>
      </c>
      <c r="D346" s="320" t="s">
        <v>13548</v>
      </c>
      <c r="E346" s="340" t="s">
        <v>6596</v>
      </c>
      <c r="F346" s="773">
        <v>5.0</v>
      </c>
      <c r="G346" s="466">
        <v>118.3</v>
      </c>
      <c r="H346" s="466">
        <f t="shared" ref="H346:H350" si="47">G346*F346</f>
        <v>591.5</v>
      </c>
      <c r="I346" s="466">
        <v>3549.0</v>
      </c>
      <c r="J346" s="466">
        <f t="shared" ref="J346:J348" si="48">F346*I346</f>
        <v>17745</v>
      </c>
      <c r="K346" s="256" t="s">
        <v>11086</v>
      </c>
      <c r="L346" s="256" t="s">
        <v>13236</v>
      </c>
      <c r="M346" s="832">
        <v>41968.0</v>
      </c>
      <c r="N346" s="256" t="s">
        <v>6067</v>
      </c>
      <c r="O346" s="832">
        <v>41967.0</v>
      </c>
      <c r="P346" s="320" t="s">
        <v>11033</v>
      </c>
      <c r="Q346" s="773" t="s">
        <v>13549</v>
      </c>
      <c r="R346" s="793"/>
      <c r="S346" s="466">
        <v>17010.0</v>
      </c>
      <c r="T346" s="320" t="s">
        <v>8689</v>
      </c>
      <c r="U346" s="1133">
        <v>41976.0</v>
      </c>
      <c r="V346" s="1295">
        <v>41963.0</v>
      </c>
      <c r="W346" s="1296">
        <v>19088.0</v>
      </c>
      <c r="X346" s="1297" t="s">
        <v>13550</v>
      </c>
      <c r="Y346" s="1297" t="s">
        <v>13526</v>
      </c>
      <c r="Z346" s="91"/>
    </row>
    <row r="347" ht="15.75" customHeight="1">
      <c r="A347" s="1311">
        <v>41963.0</v>
      </c>
      <c r="B347" s="599" t="s">
        <v>10926</v>
      </c>
      <c r="C347" s="265" t="s">
        <v>13547</v>
      </c>
      <c r="D347" s="320" t="s">
        <v>13548</v>
      </c>
      <c r="E347" s="340" t="s">
        <v>11336</v>
      </c>
      <c r="F347" s="773">
        <v>1.0</v>
      </c>
      <c r="G347" s="466">
        <v>72.17</v>
      </c>
      <c r="H347" s="466">
        <f t="shared" si="47"/>
        <v>72.17</v>
      </c>
      <c r="I347" s="466">
        <f>2062*1.05</f>
        <v>2165.1</v>
      </c>
      <c r="J347" s="466">
        <f t="shared" si="48"/>
        <v>2165.1</v>
      </c>
      <c r="K347" s="256" t="s">
        <v>11086</v>
      </c>
      <c r="L347" s="256" t="s">
        <v>13236</v>
      </c>
      <c r="M347" s="832">
        <v>41968.0</v>
      </c>
      <c r="N347" s="256" t="s">
        <v>6067</v>
      </c>
      <c r="O347" s="832">
        <v>41967.0</v>
      </c>
      <c r="P347" s="320" t="s">
        <v>11033</v>
      </c>
      <c r="Q347" s="773" t="s">
        <v>13549</v>
      </c>
      <c r="R347" s="793"/>
      <c r="S347" s="466">
        <v>2078.0</v>
      </c>
      <c r="T347" s="320" t="s">
        <v>8689</v>
      </c>
      <c r="U347" s="1133">
        <v>41976.0</v>
      </c>
      <c r="V347" s="1133"/>
      <c r="W347" s="1149"/>
      <c r="X347" s="320"/>
      <c r="Y347" s="320"/>
      <c r="Z347" s="91"/>
    </row>
    <row r="348" ht="15.75" customHeight="1">
      <c r="A348" s="1293">
        <v>41963.0</v>
      </c>
      <c r="B348" s="599" t="s">
        <v>10926</v>
      </c>
      <c r="C348" s="1004" t="s">
        <v>13551</v>
      </c>
      <c r="D348" s="388" t="s">
        <v>13552</v>
      </c>
      <c r="E348" s="340" t="s">
        <v>11572</v>
      </c>
      <c r="F348" s="1137">
        <v>10.0</v>
      </c>
      <c r="G348" s="325">
        <v>181.65</v>
      </c>
      <c r="H348" s="466">
        <f t="shared" si="47"/>
        <v>1816.5</v>
      </c>
      <c r="I348" s="466">
        <v>5449.5</v>
      </c>
      <c r="J348" s="466">
        <f t="shared" si="48"/>
        <v>54495</v>
      </c>
      <c r="K348" s="256" t="s">
        <v>11086</v>
      </c>
      <c r="L348" s="592" t="s">
        <v>13236</v>
      </c>
      <c r="M348" s="832">
        <v>41982.0</v>
      </c>
      <c r="N348" s="592" t="s">
        <v>6067</v>
      </c>
      <c r="O348" s="832">
        <v>41981.0</v>
      </c>
      <c r="P348" s="388" t="s">
        <v>11033</v>
      </c>
      <c r="Q348" s="1137" t="s">
        <v>13553</v>
      </c>
      <c r="R348" s="793"/>
      <c r="S348" s="466">
        <v>52164.0</v>
      </c>
      <c r="T348" s="388" t="s">
        <v>8689</v>
      </c>
      <c r="U348" s="1143">
        <v>42010.0</v>
      </c>
      <c r="V348" s="1143">
        <v>41978.0</v>
      </c>
      <c r="W348" s="1159">
        <v>52164.0</v>
      </c>
      <c r="X348" s="388" t="s">
        <v>13554</v>
      </c>
      <c r="Y348" s="388" t="s">
        <v>13555</v>
      </c>
      <c r="Z348" s="91"/>
    </row>
    <row r="349" ht="15.75" customHeight="1">
      <c r="A349" s="1293">
        <v>41964.0</v>
      </c>
      <c r="B349" s="599" t="s">
        <v>11771</v>
      </c>
      <c r="C349" s="388"/>
      <c r="D349" s="388" t="s">
        <v>13556</v>
      </c>
      <c r="E349" s="340" t="s">
        <v>13557</v>
      </c>
      <c r="F349" s="1137">
        <v>16.0</v>
      </c>
      <c r="G349" s="325">
        <v>462.0</v>
      </c>
      <c r="H349" s="466">
        <f t="shared" si="47"/>
        <v>7392</v>
      </c>
      <c r="I349" s="793"/>
      <c r="J349" s="793"/>
      <c r="K349" s="256" t="s">
        <v>10949</v>
      </c>
      <c r="L349" s="592" t="s">
        <v>11774</v>
      </c>
      <c r="M349" s="832">
        <v>41991.0</v>
      </c>
      <c r="N349" s="592" t="s">
        <v>6067</v>
      </c>
      <c r="O349" s="832">
        <v>41990.0</v>
      </c>
      <c r="P349" s="388" t="s">
        <v>90</v>
      </c>
      <c r="Q349" s="773" t="s">
        <v>13558</v>
      </c>
      <c r="R349" s="466">
        <v>6703.2</v>
      </c>
      <c r="S349" s="793"/>
      <c r="T349" s="388" t="s">
        <v>6081</v>
      </c>
      <c r="U349" s="1143">
        <v>42012.0</v>
      </c>
      <c r="V349" s="1133">
        <v>41990.0</v>
      </c>
      <c r="W349" s="1149">
        <v>208302.0</v>
      </c>
      <c r="X349" s="320" t="s">
        <v>13521</v>
      </c>
      <c r="Y349" s="388"/>
      <c r="Z349" s="91"/>
    </row>
    <row r="350" ht="15.75" customHeight="1">
      <c r="A350" s="1293">
        <v>41964.0</v>
      </c>
      <c r="B350" s="599" t="s">
        <v>11771</v>
      </c>
      <c r="C350" s="388"/>
      <c r="D350" s="388" t="s">
        <v>13556</v>
      </c>
      <c r="E350" s="340" t="s">
        <v>13559</v>
      </c>
      <c r="F350" s="1137">
        <v>14.0</v>
      </c>
      <c r="G350" s="325">
        <v>46.0</v>
      </c>
      <c r="H350" s="466">
        <f t="shared" si="47"/>
        <v>644</v>
      </c>
      <c r="I350" s="793"/>
      <c r="J350" s="793"/>
      <c r="K350" s="256" t="s">
        <v>10949</v>
      </c>
      <c r="L350" s="592" t="s">
        <v>11774</v>
      </c>
      <c r="M350" s="832">
        <v>41991.0</v>
      </c>
      <c r="N350" s="592" t="s">
        <v>6067</v>
      </c>
      <c r="O350" s="832">
        <v>41983.0</v>
      </c>
      <c r="P350" s="388" t="s">
        <v>13560</v>
      </c>
      <c r="Q350" s="1137" t="s">
        <v>13558</v>
      </c>
      <c r="R350" s="793"/>
      <c r="S350" s="466">
        <v>17640.0</v>
      </c>
      <c r="T350" s="265" t="s">
        <v>2510</v>
      </c>
      <c r="U350" s="1143">
        <v>42047.0</v>
      </c>
      <c r="V350" s="1143">
        <v>41976.0</v>
      </c>
      <c r="W350" s="1159">
        <v>17640.0</v>
      </c>
      <c r="X350" s="320" t="s">
        <v>13521</v>
      </c>
      <c r="Y350" s="388"/>
      <c r="Z350" s="91"/>
    </row>
    <row r="351" ht="15.75" customHeight="1">
      <c r="A351" s="1293">
        <v>41964.0</v>
      </c>
      <c r="B351" s="599" t="s">
        <v>11214</v>
      </c>
      <c r="C351" s="1004">
        <v>3.100044992E9</v>
      </c>
      <c r="D351" s="388" t="s">
        <v>13561</v>
      </c>
      <c r="E351" s="340" t="s">
        <v>13562</v>
      </c>
      <c r="F351" s="1137">
        <v>2.0</v>
      </c>
      <c r="G351" s="325">
        <v>100.8</v>
      </c>
      <c r="H351" s="466">
        <f t="shared" ref="H351:H353" si="49">F351*G351</f>
        <v>201.6</v>
      </c>
      <c r="I351" s="793"/>
      <c r="J351" s="793"/>
      <c r="K351" s="256" t="s">
        <v>10949</v>
      </c>
      <c r="L351" s="592" t="s">
        <v>90</v>
      </c>
      <c r="M351" s="832">
        <v>41977.0</v>
      </c>
      <c r="N351" s="592" t="s">
        <v>90</v>
      </c>
      <c r="O351" s="388"/>
      <c r="P351" s="388" t="s">
        <v>90</v>
      </c>
      <c r="Q351" s="773" t="s">
        <v>13563</v>
      </c>
      <c r="R351" s="466">
        <v>160.34</v>
      </c>
      <c r="S351" s="793"/>
      <c r="T351" s="388" t="s">
        <v>6081</v>
      </c>
      <c r="U351" s="1143">
        <v>42013.0</v>
      </c>
      <c r="V351" s="1295">
        <v>41977.0</v>
      </c>
      <c r="W351" s="1296">
        <v>7925.0</v>
      </c>
      <c r="X351" s="1300" t="s">
        <v>13564</v>
      </c>
      <c r="Y351" s="1300" t="s">
        <v>13565</v>
      </c>
      <c r="Z351" s="91"/>
    </row>
    <row r="352" ht="15.75" customHeight="1">
      <c r="A352" s="1293">
        <v>41964.0</v>
      </c>
      <c r="B352" s="599" t="s">
        <v>11214</v>
      </c>
      <c r="C352" s="1004">
        <v>3.100044992E9</v>
      </c>
      <c r="D352" s="388" t="s">
        <v>13561</v>
      </c>
      <c r="E352" s="340" t="s">
        <v>13566</v>
      </c>
      <c r="F352" s="1137">
        <v>2.0</v>
      </c>
      <c r="G352" s="325">
        <v>54.6</v>
      </c>
      <c r="H352" s="466">
        <f t="shared" si="49"/>
        <v>109.2</v>
      </c>
      <c r="I352" s="793"/>
      <c r="J352" s="793"/>
      <c r="K352" s="256" t="s">
        <v>10949</v>
      </c>
      <c r="L352" s="592" t="s">
        <v>90</v>
      </c>
      <c r="M352" s="832">
        <v>41977.0</v>
      </c>
      <c r="N352" s="592" t="s">
        <v>90</v>
      </c>
      <c r="O352" s="388"/>
      <c r="P352" s="388" t="s">
        <v>90</v>
      </c>
      <c r="Q352" s="773" t="s">
        <v>13563</v>
      </c>
      <c r="R352" s="466">
        <v>96.6</v>
      </c>
      <c r="S352" s="793"/>
      <c r="T352" s="388" t="s">
        <v>6081</v>
      </c>
      <c r="U352" s="1143">
        <v>42013.0</v>
      </c>
      <c r="V352" s="1133"/>
      <c r="W352" s="1149"/>
      <c r="X352" s="388"/>
      <c r="Y352" s="388"/>
      <c r="Z352" s="91"/>
    </row>
    <row r="353" ht="15.75" customHeight="1">
      <c r="A353" s="1293">
        <v>41968.0</v>
      </c>
      <c r="B353" s="599" t="s">
        <v>10926</v>
      </c>
      <c r="C353" s="1004" t="s">
        <v>13567</v>
      </c>
      <c r="D353" s="388" t="s">
        <v>13568</v>
      </c>
      <c r="E353" s="340" t="s">
        <v>11422</v>
      </c>
      <c r="F353" s="1137">
        <v>1.0</v>
      </c>
      <c r="G353" s="325">
        <v>219.205</v>
      </c>
      <c r="H353" s="466">
        <f t="shared" si="49"/>
        <v>219.205</v>
      </c>
      <c r="I353" s="466">
        <v>6576.15</v>
      </c>
      <c r="J353" s="1149">
        <f>F353*I353</f>
        <v>6576.15</v>
      </c>
      <c r="K353" s="256" t="s">
        <v>11086</v>
      </c>
      <c r="L353" s="592" t="s">
        <v>11675</v>
      </c>
      <c r="M353" s="832">
        <v>41970.0</v>
      </c>
      <c r="N353" s="592" t="s">
        <v>9220</v>
      </c>
      <c r="O353" s="832">
        <v>41969.0</v>
      </c>
      <c r="P353" s="388" t="s">
        <v>11033</v>
      </c>
      <c r="Q353" s="1137" t="s">
        <v>13569</v>
      </c>
      <c r="R353" s="793"/>
      <c r="S353" s="466">
        <v>6313.0</v>
      </c>
      <c r="T353" s="388" t="s">
        <v>8689</v>
      </c>
      <c r="U353" s="1143">
        <v>42010.0</v>
      </c>
      <c r="V353" s="1143">
        <v>41969.0</v>
      </c>
      <c r="W353" s="1159">
        <v>6313.0</v>
      </c>
      <c r="X353" s="388" t="s">
        <v>13570</v>
      </c>
      <c r="Y353" s="388" t="s">
        <v>13571</v>
      </c>
      <c r="Z353" s="91"/>
    </row>
    <row r="354" ht="15.75" customHeight="1">
      <c r="A354" s="1293">
        <v>41970.0</v>
      </c>
      <c r="B354" s="599" t="s">
        <v>11771</v>
      </c>
      <c r="C354" s="388"/>
      <c r="D354" s="388" t="s">
        <v>13572</v>
      </c>
      <c r="E354" s="340" t="s">
        <v>13573</v>
      </c>
      <c r="F354" s="1137">
        <v>1.0</v>
      </c>
      <c r="G354" s="325">
        <v>241.0</v>
      </c>
      <c r="H354" s="466">
        <f t="shared" ref="H354:H370" si="50">G354*F354</f>
        <v>241</v>
      </c>
      <c r="I354" s="793"/>
      <c r="J354" s="793"/>
      <c r="K354" s="256" t="s">
        <v>10949</v>
      </c>
      <c r="L354" s="592" t="s">
        <v>11774</v>
      </c>
      <c r="M354" s="832">
        <v>41991.0</v>
      </c>
      <c r="N354" s="592" t="s">
        <v>6067</v>
      </c>
      <c r="O354" s="832">
        <v>41988.0</v>
      </c>
      <c r="P354" s="388" t="s">
        <v>90</v>
      </c>
      <c r="Q354" s="1137" t="s">
        <v>13574</v>
      </c>
      <c r="R354" s="466">
        <v>210.0</v>
      </c>
      <c r="S354" s="793"/>
      <c r="T354" s="388" t="s">
        <v>6081</v>
      </c>
      <c r="U354" s="1143">
        <v>42013.0</v>
      </c>
      <c r="V354" s="1133">
        <v>41988.0</v>
      </c>
      <c r="W354" s="1149">
        <v>6526.0</v>
      </c>
      <c r="X354" s="320" t="s">
        <v>13521</v>
      </c>
      <c r="Y354" s="388"/>
      <c r="Z354" s="91"/>
    </row>
    <row r="355" ht="15.75" customHeight="1">
      <c r="A355" s="1293">
        <v>41970.0</v>
      </c>
      <c r="B355" s="599" t="s">
        <v>10926</v>
      </c>
      <c r="C355" s="1004" t="s">
        <v>13575</v>
      </c>
      <c r="D355" s="388" t="s">
        <v>13576</v>
      </c>
      <c r="E355" s="340" t="s">
        <v>11680</v>
      </c>
      <c r="F355" s="1137">
        <v>1.0</v>
      </c>
      <c r="G355" s="325">
        <v>295.51</v>
      </c>
      <c r="H355" s="466">
        <f t="shared" si="50"/>
        <v>295.51</v>
      </c>
      <c r="I355" s="466">
        <v>8865.15</v>
      </c>
      <c r="J355" s="1149">
        <f t="shared" ref="J355:J357" si="51">F355*I355</f>
        <v>8865.15</v>
      </c>
      <c r="K355" s="256" t="s">
        <v>11086</v>
      </c>
      <c r="L355" s="592" t="s">
        <v>11675</v>
      </c>
      <c r="M355" s="832">
        <v>41975.0</v>
      </c>
      <c r="N355" s="592" t="s">
        <v>6067</v>
      </c>
      <c r="O355" s="832">
        <v>41974.0</v>
      </c>
      <c r="P355" s="388" t="s">
        <v>11033</v>
      </c>
      <c r="Q355" s="1137" t="s">
        <v>13577</v>
      </c>
      <c r="R355" s="793"/>
      <c r="S355" s="466">
        <v>8511.3</v>
      </c>
      <c r="T355" s="388" t="s">
        <v>8689</v>
      </c>
      <c r="U355" s="1143">
        <v>42010.0</v>
      </c>
      <c r="V355" s="1302">
        <v>41974.0</v>
      </c>
      <c r="W355" s="1303">
        <v>22383.0</v>
      </c>
      <c r="X355" s="1300" t="s">
        <v>13578</v>
      </c>
      <c r="Y355" s="1300" t="s">
        <v>13579</v>
      </c>
      <c r="Z355" s="91"/>
    </row>
    <row r="356" ht="15.75" customHeight="1">
      <c r="A356" s="1293">
        <v>41970.0</v>
      </c>
      <c r="B356" s="599" t="s">
        <v>10926</v>
      </c>
      <c r="C356" s="1004" t="s">
        <v>13575</v>
      </c>
      <c r="D356" s="388" t="s">
        <v>13576</v>
      </c>
      <c r="E356" s="340" t="s">
        <v>3676</v>
      </c>
      <c r="F356" s="1137">
        <v>5.0</v>
      </c>
      <c r="G356" s="325">
        <v>45.08</v>
      </c>
      <c r="H356" s="466">
        <f t="shared" si="50"/>
        <v>225.4</v>
      </c>
      <c r="I356" s="466">
        <v>1352.4</v>
      </c>
      <c r="J356" s="1149">
        <f t="shared" si="51"/>
        <v>6762</v>
      </c>
      <c r="K356" s="256" t="s">
        <v>11086</v>
      </c>
      <c r="L356" s="592" t="s">
        <v>11675</v>
      </c>
      <c r="M356" s="832">
        <v>41975.0</v>
      </c>
      <c r="N356" s="592" t="s">
        <v>6067</v>
      </c>
      <c r="O356" s="832">
        <v>41974.0</v>
      </c>
      <c r="P356" s="388" t="s">
        <v>11033</v>
      </c>
      <c r="Q356" s="1137" t="s">
        <v>13577</v>
      </c>
      <c r="R356" s="793"/>
      <c r="S356" s="466">
        <v>6494.0</v>
      </c>
      <c r="T356" s="388" t="s">
        <v>8689</v>
      </c>
      <c r="U356" s="1143">
        <v>42010.0</v>
      </c>
      <c r="V356" s="1302"/>
      <c r="W356" s="1303"/>
      <c r="X356" s="1300"/>
      <c r="Y356" s="1300"/>
      <c r="Z356" s="91"/>
    </row>
    <row r="357" ht="15.75" customHeight="1">
      <c r="A357" s="1293">
        <v>41970.0</v>
      </c>
      <c r="B357" s="599" t="s">
        <v>10926</v>
      </c>
      <c r="C357" s="1004" t="s">
        <v>13575</v>
      </c>
      <c r="D357" s="388" t="s">
        <v>13576</v>
      </c>
      <c r="E357" s="340" t="s">
        <v>7196</v>
      </c>
      <c r="F357" s="1137">
        <v>2.0</v>
      </c>
      <c r="G357" s="325">
        <v>128.07</v>
      </c>
      <c r="H357" s="466">
        <f t="shared" si="50"/>
        <v>256.14</v>
      </c>
      <c r="I357" s="466">
        <v>3841.95</v>
      </c>
      <c r="J357" s="1149">
        <f t="shared" si="51"/>
        <v>7683.9</v>
      </c>
      <c r="K357" s="256" t="s">
        <v>11086</v>
      </c>
      <c r="L357" s="592" t="s">
        <v>11675</v>
      </c>
      <c r="M357" s="832">
        <v>41975.0</v>
      </c>
      <c r="N357" s="592" t="s">
        <v>6067</v>
      </c>
      <c r="O357" s="832">
        <v>41974.0</v>
      </c>
      <c r="P357" s="388" t="s">
        <v>11033</v>
      </c>
      <c r="Q357" s="1137" t="s">
        <v>13577</v>
      </c>
      <c r="R357" s="793"/>
      <c r="S357" s="466">
        <v>7377.0</v>
      </c>
      <c r="T357" s="388" t="s">
        <v>8689</v>
      </c>
      <c r="U357" s="1143">
        <v>42010.0</v>
      </c>
      <c r="V357" s="1143"/>
      <c r="W357" s="1159"/>
      <c r="X357" s="388"/>
      <c r="Y357" s="388"/>
      <c r="Z357" s="91"/>
    </row>
    <row r="358" ht="15.75" customHeight="1">
      <c r="A358" s="1293">
        <v>41975.0</v>
      </c>
      <c r="B358" s="599" t="s">
        <v>11771</v>
      </c>
      <c r="C358" s="388"/>
      <c r="D358" s="320" t="s">
        <v>13580</v>
      </c>
      <c r="E358" s="340" t="s">
        <v>13581</v>
      </c>
      <c r="F358" s="1137">
        <v>14.0</v>
      </c>
      <c r="G358" s="325">
        <v>369.0</v>
      </c>
      <c r="H358" s="466">
        <f t="shared" si="50"/>
        <v>5166</v>
      </c>
      <c r="I358" s="793"/>
      <c r="J358" s="793"/>
      <c r="K358" s="256" t="s">
        <v>10949</v>
      </c>
      <c r="L358" s="592" t="s">
        <v>11774</v>
      </c>
      <c r="M358" s="832">
        <v>41995.0</v>
      </c>
      <c r="N358" s="592" t="s">
        <v>6067</v>
      </c>
      <c r="O358" s="832">
        <v>41990.0</v>
      </c>
      <c r="P358" s="388" t="s">
        <v>90</v>
      </c>
      <c r="Q358" s="773" t="s">
        <v>13582</v>
      </c>
      <c r="R358" s="466">
        <v>4777.5</v>
      </c>
      <c r="S358" s="793"/>
      <c r="T358" s="388" t="s">
        <v>6081</v>
      </c>
      <c r="U358" s="1143">
        <v>42013.0</v>
      </c>
      <c r="V358" s="1133">
        <v>41990.0</v>
      </c>
      <c r="W358" s="1149">
        <v>148461.0</v>
      </c>
      <c r="X358" s="320" t="s">
        <v>13533</v>
      </c>
      <c r="Y358" s="388"/>
      <c r="Z358" s="91"/>
    </row>
    <row r="359" ht="15.75" customHeight="1">
      <c r="A359" s="1293">
        <v>41976.0</v>
      </c>
      <c r="B359" s="599" t="s">
        <v>10926</v>
      </c>
      <c r="C359" s="1004" t="s">
        <v>13583</v>
      </c>
      <c r="D359" s="388" t="s">
        <v>13584</v>
      </c>
      <c r="E359" s="340" t="s">
        <v>13585</v>
      </c>
      <c r="F359" s="1137">
        <v>1.0</v>
      </c>
      <c r="G359" s="325">
        <v>26.81</v>
      </c>
      <c r="H359" s="466">
        <f t="shared" si="50"/>
        <v>26.81</v>
      </c>
      <c r="I359" s="466">
        <v>804.3</v>
      </c>
      <c r="J359" s="1149">
        <f t="shared" ref="J359:J370" si="52">F359*I359</f>
        <v>804.3</v>
      </c>
      <c r="K359" s="256" t="s">
        <v>11086</v>
      </c>
      <c r="L359" s="592" t="s">
        <v>10976</v>
      </c>
      <c r="M359" s="832">
        <v>41983.0</v>
      </c>
      <c r="N359" s="592" t="s">
        <v>10976</v>
      </c>
      <c r="O359" s="832">
        <v>41983.0</v>
      </c>
      <c r="P359" s="388" t="s">
        <v>11033</v>
      </c>
      <c r="Q359" s="1137" t="s">
        <v>13586</v>
      </c>
      <c r="R359" s="793"/>
      <c r="S359" s="466">
        <v>772.0</v>
      </c>
      <c r="T359" s="388" t="s">
        <v>8689</v>
      </c>
      <c r="U359" s="1143">
        <v>42010.0</v>
      </c>
      <c r="V359" s="1302">
        <v>41982.0</v>
      </c>
      <c r="W359" s="1303">
        <v>20651.0</v>
      </c>
      <c r="X359" s="1300" t="s">
        <v>13587</v>
      </c>
      <c r="Y359" s="388" t="s">
        <v>13496</v>
      </c>
      <c r="Z359" s="91"/>
    </row>
    <row r="360" ht="15.75" customHeight="1">
      <c r="A360" s="1293">
        <v>41976.0</v>
      </c>
      <c r="B360" s="599" t="s">
        <v>10926</v>
      </c>
      <c r="C360" s="1004" t="s">
        <v>13583</v>
      </c>
      <c r="D360" s="388" t="s">
        <v>13584</v>
      </c>
      <c r="E360" s="340" t="s">
        <v>11356</v>
      </c>
      <c r="F360" s="1137">
        <v>3.0</v>
      </c>
      <c r="G360" s="325">
        <v>147.28</v>
      </c>
      <c r="H360" s="466">
        <f t="shared" si="50"/>
        <v>441.84</v>
      </c>
      <c r="I360" s="466">
        <v>4418.4</v>
      </c>
      <c r="J360" s="1149">
        <f t="shared" si="52"/>
        <v>13255.2</v>
      </c>
      <c r="K360" s="256" t="s">
        <v>11086</v>
      </c>
      <c r="L360" s="592" t="s">
        <v>10976</v>
      </c>
      <c r="M360" s="832">
        <v>41983.0</v>
      </c>
      <c r="N360" s="592" t="s">
        <v>10976</v>
      </c>
      <c r="O360" s="832">
        <v>41983.0</v>
      </c>
      <c r="P360" s="388" t="s">
        <v>11033</v>
      </c>
      <c r="Q360" s="1137" t="s">
        <v>13586</v>
      </c>
      <c r="R360" s="793"/>
      <c r="S360" s="466">
        <v>12726.0</v>
      </c>
      <c r="T360" s="388" t="s">
        <v>8689</v>
      </c>
      <c r="U360" s="1143">
        <v>42010.0</v>
      </c>
      <c r="V360" s="1302"/>
      <c r="W360" s="1303"/>
      <c r="X360" s="1300"/>
      <c r="Y360" s="388" t="s">
        <v>13496</v>
      </c>
      <c r="Z360" s="91"/>
    </row>
    <row r="361" ht="15.75" customHeight="1">
      <c r="A361" s="1293">
        <v>41976.0</v>
      </c>
      <c r="B361" s="599" t="s">
        <v>10926</v>
      </c>
      <c r="C361" s="1004" t="s">
        <v>13583</v>
      </c>
      <c r="D361" s="388" t="s">
        <v>13584</v>
      </c>
      <c r="E361" s="340" t="s">
        <v>11336</v>
      </c>
      <c r="F361" s="1137">
        <v>1.0</v>
      </c>
      <c r="G361" s="325">
        <v>72.17</v>
      </c>
      <c r="H361" s="466">
        <f t="shared" si="50"/>
        <v>72.17</v>
      </c>
      <c r="I361" s="466">
        <v>2165.1</v>
      </c>
      <c r="J361" s="1149">
        <f t="shared" si="52"/>
        <v>2165.1</v>
      </c>
      <c r="K361" s="256" t="s">
        <v>11086</v>
      </c>
      <c r="L361" s="592" t="s">
        <v>10976</v>
      </c>
      <c r="M361" s="832">
        <v>41983.0</v>
      </c>
      <c r="N361" s="592" t="s">
        <v>10976</v>
      </c>
      <c r="O361" s="832">
        <v>41983.0</v>
      </c>
      <c r="P361" s="388" t="s">
        <v>11033</v>
      </c>
      <c r="Q361" s="1137" t="s">
        <v>13586</v>
      </c>
      <c r="R361" s="793"/>
      <c r="S361" s="466">
        <v>2077.95</v>
      </c>
      <c r="T361" s="388" t="s">
        <v>8689</v>
      </c>
      <c r="U361" s="1143">
        <v>42010.0</v>
      </c>
      <c r="V361" s="1302"/>
      <c r="W361" s="1303"/>
      <c r="X361" s="1300"/>
      <c r="Y361" s="388" t="s">
        <v>13496</v>
      </c>
      <c r="Z361" s="91"/>
    </row>
    <row r="362" ht="15.75" customHeight="1">
      <c r="A362" s="1293">
        <v>41976.0</v>
      </c>
      <c r="B362" s="599" t="s">
        <v>10926</v>
      </c>
      <c r="C362" s="1004" t="s">
        <v>13583</v>
      </c>
      <c r="D362" s="388" t="s">
        <v>13584</v>
      </c>
      <c r="E362" s="340" t="s">
        <v>13141</v>
      </c>
      <c r="F362" s="1137">
        <v>1.0</v>
      </c>
      <c r="G362" s="325">
        <v>131.11</v>
      </c>
      <c r="H362" s="466">
        <f t="shared" si="50"/>
        <v>131.11</v>
      </c>
      <c r="I362" s="466">
        <v>3933.3</v>
      </c>
      <c r="J362" s="1149">
        <f t="shared" si="52"/>
        <v>3933.3</v>
      </c>
      <c r="K362" s="256" t="s">
        <v>11086</v>
      </c>
      <c r="L362" s="592" t="s">
        <v>10976</v>
      </c>
      <c r="M362" s="832">
        <v>41983.0</v>
      </c>
      <c r="N362" s="592" t="s">
        <v>10976</v>
      </c>
      <c r="O362" s="832">
        <v>41983.0</v>
      </c>
      <c r="P362" s="388" t="s">
        <v>11033</v>
      </c>
      <c r="Q362" s="1137" t="s">
        <v>13586</v>
      </c>
      <c r="R362" s="793"/>
      <c r="S362" s="466">
        <v>3777.0</v>
      </c>
      <c r="T362" s="388" t="s">
        <v>8689</v>
      </c>
      <c r="U362" s="1143">
        <v>42010.0</v>
      </c>
      <c r="V362" s="1302"/>
      <c r="W362" s="1303"/>
      <c r="X362" s="1300"/>
      <c r="Y362" s="388" t="s">
        <v>13496</v>
      </c>
      <c r="Z362" s="91"/>
    </row>
    <row r="363" ht="15.75" customHeight="1">
      <c r="A363" s="1293">
        <v>41976.0</v>
      </c>
      <c r="B363" s="599" t="s">
        <v>10926</v>
      </c>
      <c r="C363" s="1004" t="s">
        <v>13583</v>
      </c>
      <c r="D363" s="388" t="s">
        <v>13584</v>
      </c>
      <c r="E363" s="340" t="s">
        <v>3676</v>
      </c>
      <c r="F363" s="1137">
        <v>1.0</v>
      </c>
      <c r="G363" s="325">
        <v>45.08</v>
      </c>
      <c r="H363" s="466">
        <f t="shared" si="50"/>
        <v>45.08</v>
      </c>
      <c r="I363" s="466">
        <v>1352.4</v>
      </c>
      <c r="J363" s="1149">
        <f t="shared" si="52"/>
        <v>1352.4</v>
      </c>
      <c r="K363" s="256" t="s">
        <v>11086</v>
      </c>
      <c r="L363" s="592" t="s">
        <v>10976</v>
      </c>
      <c r="M363" s="832">
        <v>41983.0</v>
      </c>
      <c r="N363" s="592" t="s">
        <v>10976</v>
      </c>
      <c r="O363" s="832">
        <v>41983.0</v>
      </c>
      <c r="P363" s="388" t="s">
        <v>11033</v>
      </c>
      <c r="Q363" s="1137" t="s">
        <v>13586</v>
      </c>
      <c r="R363" s="793"/>
      <c r="S363" s="466">
        <v>1299.0</v>
      </c>
      <c r="T363" s="388" t="s">
        <v>8689</v>
      </c>
      <c r="U363" s="1143">
        <v>42010.0</v>
      </c>
      <c r="V363" s="1143"/>
      <c r="W363" s="1159"/>
      <c r="X363" s="388"/>
      <c r="Y363" s="388" t="s">
        <v>13496</v>
      </c>
      <c r="Z363" s="91"/>
    </row>
    <row r="364" ht="15.75" customHeight="1">
      <c r="A364" s="1293">
        <v>41976.0</v>
      </c>
      <c r="B364" s="599" t="s">
        <v>10926</v>
      </c>
      <c r="C364" s="1004" t="s">
        <v>13583</v>
      </c>
      <c r="D364" s="320" t="s">
        <v>13588</v>
      </c>
      <c r="E364" s="340" t="s">
        <v>6190</v>
      </c>
      <c r="F364" s="1137">
        <v>1.0</v>
      </c>
      <c r="G364" s="325">
        <v>141.3</v>
      </c>
      <c r="H364" s="466">
        <f t="shared" si="50"/>
        <v>141.3</v>
      </c>
      <c r="I364" s="466">
        <v>4238.85</v>
      </c>
      <c r="J364" s="1149">
        <f t="shared" si="52"/>
        <v>4238.85</v>
      </c>
      <c r="K364" s="256" t="s">
        <v>11086</v>
      </c>
      <c r="L364" s="592" t="s">
        <v>10976</v>
      </c>
      <c r="M364" s="832">
        <v>41996.0</v>
      </c>
      <c r="N364" s="592" t="s">
        <v>10976</v>
      </c>
      <c r="O364" s="832">
        <v>41992.0</v>
      </c>
      <c r="P364" s="388" t="s">
        <v>11033</v>
      </c>
      <c r="Q364" s="1137" t="s">
        <v>13589</v>
      </c>
      <c r="R364" s="793"/>
      <c r="S364" s="466">
        <v>4070.0</v>
      </c>
      <c r="T364" s="388" t="s">
        <v>8689</v>
      </c>
      <c r="U364" s="1143">
        <v>42010.0</v>
      </c>
      <c r="V364" s="1143">
        <v>41990.0</v>
      </c>
      <c r="W364" s="1159">
        <v>4070.0</v>
      </c>
      <c r="X364" s="388" t="s">
        <v>13590</v>
      </c>
      <c r="Y364" s="388" t="s">
        <v>13591</v>
      </c>
      <c r="Z364" s="91"/>
    </row>
    <row r="365" ht="15.75" customHeight="1">
      <c r="A365" s="1293">
        <v>41976.0</v>
      </c>
      <c r="B365" s="599" t="s">
        <v>10926</v>
      </c>
      <c r="C365" s="1004" t="s">
        <v>13592</v>
      </c>
      <c r="D365" s="388" t="s">
        <v>13593</v>
      </c>
      <c r="E365" s="340" t="s">
        <v>7014</v>
      </c>
      <c r="F365" s="1137">
        <v>1.0</v>
      </c>
      <c r="G365" s="325">
        <v>54.11</v>
      </c>
      <c r="H365" s="466">
        <f t="shared" si="50"/>
        <v>54.11</v>
      </c>
      <c r="I365" s="466">
        <v>1623.0</v>
      </c>
      <c r="J365" s="1149">
        <f t="shared" si="52"/>
        <v>1623</v>
      </c>
      <c r="K365" s="256" t="s">
        <v>11086</v>
      </c>
      <c r="L365" s="592" t="s">
        <v>10976</v>
      </c>
      <c r="M365" s="832">
        <v>41983.0</v>
      </c>
      <c r="N365" s="592" t="s">
        <v>10976</v>
      </c>
      <c r="O365" s="832">
        <v>41981.0</v>
      </c>
      <c r="P365" s="388" t="s">
        <v>11033</v>
      </c>
      <c r="Q365" s="1137" t="s">
        <v>13594</v>
      </c>
      <c r="R365" s="793"/>
      <c r="S365" s="466">
        <v>1558.2</v>
      </c>
      <c r="T365" s="388" t="s">
        <v>8689</v>
      </c>
      <c r="U365" s="1143">
        <v>42010.0</v>
      </c>
      <c r="V365" s="1302">
        <v>41978.0</v>
      </c>
      <c r="W365" s="1303">
        <v>45054.0</v>
      </c>
      <c r="X365" s="1300" t="s">
        <v>13595</v>
      </c>
      <c r="Y365" s="1300" t="s">
        <v>13496</v>
      </c>
      <c r="Z365" s="91"/>
    </row>
    <row r="366" ht="15.75" customHeight="1">
      <c r="A366" s="1293">
        <v>41976.0</v>
      </c>
      <c r="B366" s="599" t="s">
        <v>10926</v>
      </c>
      <c r="C366" s="1004" t="s">
        <v>13592</v>
      </c>
      <c r="D366" s="388" t="s">
        <v>13593</v>
      </c>
      <c r="E366" s="340" t="s">
        <v>3676</v>
      </c>
      <c r="F366" s="1137">
        <v>5.0</v>
      </c>
      <c r="G366" s="325">
        <v>45.08</v>
      </c>
      <c r="H366" s="466">
        <f t="shared" si="50"/>
        <v>225.4</v>
      </c>
      <c r="I366" s="466">
        <v>1352.4</v>
      </c>
      <c r="J366" s="1149">
        <f t="shared" si="52"/>
        <v>6762</v>
      </c>
      <c r="K366" s="256" t="s">
        <v>11086</v>
      </c>
      <c r="L366" s="592" t="s">
        <v>10976</v>
      </c>
      <c r="M366" s="832">
        <v>41983.0</v>
      </c>
      <c r="N366" s="592" t="s">
        <v>10976</v>
      </c>
      <c r="O366" s="832">
        <v>41981.0</v>
      </c>
      <c r="P366" s="388" t="s">
        <v>11033</v>
      </c>
      <c r="Q366" s="1137" t="s">
        <v>13594</v>
      </c>
      <c r="R366" s="793"/>
      <c r="S366" s="466">
        <v>6494.25</v>
      </c>
      <c r="T366" s="388" t="s">
        <v>8689</v>
      </c>
      <c r="U366" s="1143">
        <v>42010.0</v>
      </c>
      <c r="V366" s="1302"/>
      <c r="W366" s="1303"/>
      <c r="X366" s="1300"/>
      <c r="Y366" s="1300"/>
      <c r="Z366" s="91"/>
    </row>
    <row r="367" ht="15.75" customHeight="1">
      <c r="A367" s="1293">
        <v>41976.0</v>
      </c>
      <c r="B367" s="599" t="s">
        <v>10926</v>
      </c>
      <c r="C367" s="1004" t="s">
        <v>13592</v>
      </c>
      <c r="D367" s="388" t="s">
        <v>13593</v>
      </c>
      <c r="E367" s="340" t="s">
        <v>11319</v>
      </c>
      <c r="F367" s="1137">
        <v>4.0</v>
      </c>
      <c r="G367" s="325">
        <v>117.25</v>
      </c>
      <c r="H367" s="466">
        <f t="shared" si="50"/>
        <v>469</v>
      </c>
      <c r="I367" s="466">
        <v>3517.5</v>
      </c>
      <c r="J367" s="1149">
        <f t="shared" si="52"/>
        <v>14070</v>
      </c>
      <c r="K367" s="256" t="s">
        <v>11086</v>
      </c>
      <c r="L367" s="592" t="s">
        <v>10976</v>
      </c>
      <c r="M367" s="832">
        <v>41983.0</v>
      </c>
      <c r="N367" s="592" t="s">
        <v>10976</v>
      </c>
      <c r="O367" s="832">
        <v>41981.0</v>
      </c>
      <c r="P367" s="388" t="s">
        <v>11033</v>
      </c>
      <c r="Q367" s="1137" t="s">
        <v>13594</v>
      </c>
      <c r="R367" s="793"/>
      <c r="S367" s="466">
        <v>13507.2</v>
      </c>
      <c r="T367" s="388" t="s">
        <v>8689</v>
      </c>
      <c r="U367" s="1143">
        <v>42010.0</v>
      </c>
      <c r="V367" s="1302"/>
      <c r="W367" s="1303"/>
      <c r="X367" s="1300"/>
      <c r="Y367" s="1300"/>
      <c r="Z367" s="91"/>
    </row>
    <row r="368" ht="15.75" customHeight="1">
      <c r="A368" s="1293">
        <v>41976.0</v>
      </c>
      <c r="B368" s="599" t="s">
        <v>10926</v>
      </c>
      <c r="C368" s="1004" t="s">
        <v>13592</v>
      </c>
      <c r="D368" s="388" t="s">
        <v>13593</v>
      </c>
      <c r="E368" s="340" t="s">
        <v>11420</v>
      </c>
      <c r="F368" s="1137">
        <v>2.0</v>
      </c>
      <c r="G368" s="325">
        <v>51.63</v>
      </c>
      <c r="H368" s="466">
        <f t="shared" si="50"/>
        <v>103.26</v>
      </c>
      <c r="I368" s="466">
        <v>1548.75</v>
      </c>
      <c r="J368" s="1149">
        <f t="shared" si="52"/>
        <v>3097.5</v>
      </c>
      <c r="K368" s="256" t="s">
        <v>11086</v>
      </c>
      <c r="L368" s="592" t="s">
        <v>10976</v>
      </c>
      <c r="M368" s="832">
        <v>41983.0</v>
      </c>
      <c r="N368" s="592" t="s">
        <v>10976</v>
      </c>
      <c r="O368" s="832">
        <v>41981.0</v>
      </c>
      <c r="P368" s="388" t="s">
        <v>11033</v>
      </c>
      <c r="Q368" s="1137" t="s">
        <v>13594</v>
      </c>
      <c r="R368" s="793"/>
      <c r="S368" s="466">
        <v>2973.6</v>
      </c>
      <c r="T368" s="388" t="s">
        <v>8689</v>
      </c>
      <c r="U368" s="1143">
        <v>42010.0</v>
      </c>
      <c r="V368" s="1302"/>
      <c r="W368" s="1303"/>
      <c r="X368" s="1300"/>
      <c r="Y368" s="1300"/>
      <c r="Z368" s="91"/>
    </row>
    <row r="369" ht="15.75" customHeight="1">
      <c r="A369" s="1293">
        <v>41976.0</v>
      </c>
      <c r="B369" s="599" t="s">
        <v>10926</v>
      </c>
      <c r="C369" s="1004" t="s">
        <v>13592</v>
      </c>
      <c r="D369" s="388" t="s">
        <v>13593</v>
      </c>
      <c r="E369" s="340" t="s">
        <v>11421</v>
      </c>
      <c r="F369" s="1137">
        <v>2.0</v>
      </c>
      <c r="G369" s="325">
        <v>137.1</v>
      </c>
      <c r="H369" s="466">
        <f t="shared" si="50"/>
        <v>274.2</v>
      </c>
      <c r="I369" s="466">
        <v>4112.85</v>
      </c>
      <c r="J369" s="1149">
        <f t="shared" si="52"/>
        <v>8225.7</v>
      </c>
      <c r="K369" s="256" t="s">
        <v>11086</v>
      </c>
      <c r="L369" s="592" t="s">
        <v>10976</v>
      </c>
      <c r="M369" s="832">
        <v>41983.0</v>
      </c>
      <c r="N369" s="592" t="s">
        <v>10976</v>
      </c>
      <c r="O369" s="832">
        <v>41981.0</v>
      </c>
      <c r="P369" s="388" t="s">
        <v>11033</v>
      </c>
      <c r="Q369" s="1137" t="s">
        <v>13594</v>
      </c>
      <c r="R369" s="793"/>
      <c r="S369" s="466">
        <v>7896.0</v>
      </c>
      <c r="T369" s="388" t="s">
        <v>8689</v>
      </c>
      <c r="U369" s="1143">
        <v>42010.0</v>
      </c>
      <c r="V369" s="1302"/>
      <c r="W369" s="1303"/>
      <c r="X369" s="1300"/>
      <c r="Y369" s="1300"/>
      <c r="Z369" s="91"/>
    </row>
    <row r="370" ht="15.75" customHeight="1">
      <c r="A370" s="1293">
        <v>41976.0</v>
      </c>
      <c r="B370" s="599" t="s">
        <v>10926</v>
      </c>
      <c r="C370" s="1004" t="s">
        <v>13592</v>
      </c>
      <c r="D370" s="388" t="s">
        <v>13593</v>
      </c>
      <c r="E370" s="340" t="s">
        <v>11422</v>
      </c>
      <c r="F370" s="1137">
        <v>2.0</v>
      </c>
      <c r="G370" s="325">
        <v>219.21</v>
      </c>
      <c r="H370" s="466">
        <f t="shared" si="50"/>
        <v>438.42</v>
      </c>
      <c r="I370" s="466">
        <v>6576.15</v>
      </c>
      <c r="J370" s="1149">
        <f t="shared" si="52"/>
        <v>13152.3</v>
      </c>
      <c r="K370" s="256" t="s">
        <v>11086</v>
      </c>
      <c r="L370" s="592" t="s">
        <v>10976</v>
      </c>
      <c r="M370" s="832">
        <v>41983.0</v>
      </c>
      <c r="N370" s="592" t="s">
        <v>10976</v>
      </c>
      <c r="O370" s="832">
        <v>41981.0</v>
      </c>
      <c r="P370" s="388" t="s">
        <v>11033</v>
      </c>
      <c r="Q370" s="1137" t="s">
        <v>13594</v>
      </c>
      <c r="R370" s="793"/>
      <c r="S370" s="466">
        <v>12625.2</v>
      </c>
      <c r="T370" s="388" t="s">
        <v>8689</v>
      </c>
      <c r="U370" s="1143">
        <v>42010.0</v>
      </c>
      <c r="V370" s="1143"/>
      <c r="W370" s="1159"/>
      <c r="X370" s="388"/>
      <c r="Y370" s="388"/>
      <c r="Z370" s="91"/>
    </row>
    <row r="371" ht="15.75" customHeight="1">
      <c r="A371" s="1293">
        <v>41977.0</v>
      </c>
      <c r="B371" s="599" t="s">
        <v>1204</v>
      </c>
      <c r="C371" s="1004" t="s">
        <v>13596</v>
      </c>
      <c r="D371" s="388" t="s">
        <v>13597</v>
      </c>
      <c r="E371" s="340" t="s">
        <v>10425</v>
      </c>
      <c r="F371" s="1137">
        <v>18.0</v>
      </c>
      <c r="G371" s="1262">
        <v>177.0</v>
      </c>
      <c r="H371" s="466">
        <f t="shared" ref="H371:H379" si="53">F371*G371</f>
        <v>3186</v>
      </c>
      <c r="I371" s="793"/>
      <c r="J371" s="793"/>
      <c r="K371" s="256" t="s">
        <v>11972</v>
      </c>
      <c r="L371" s="592" t="s">
        <v>13598</v>
      </c>
      <c r="M371" s="832">
        <v>42003.0</v>
      </c>
      <c r="N371" s="592" t="s">
        <v>10976</v>
      </c>
      <c r="O371" s="832">
        <v>41988.0</v>
      </c>
      <c r="P371" s="388" t="s">
        <v>90</v>
      </c>
      <c r="Q371" s="773" t="s">
        <v>13599</v>
      </c>
      <c r="R371" s="466">
        <v>2759.4</v>
      </c>
      <c r="S371" s="793"/>
      <c r="T371" s="388" t="s">
        <v>6081</v>
      </c>
      <c r="U371" s="1143">
        <v>42013.0</v>
      </c>
      <c r="V371" s="1133">
        <v>41988.0</v>
      </c>
      <c r="W371" s="1149">
        <v>85748.0</v>
      </c>
      <c r="X371" s="320" t="s">
        <v>13600</v>
      </c>
      <c r="Y371" s="388"/>
      <c r="Z371" s="91"/>
    </row>
    <row r="372" ht="15.75" customHeight="1">
      <c r="A372" s="1293">
        <v>41977.0</v>
      </c>
      <c r="B372" s="599" t="s">
        <v>1204</v>
      </c>
      <c r="C372" s="1004" t="s">
        <v>13596</v>
      </c>
      <c r="D372" s="388" t="s">
        <v>13597</v>
      </c>
      <c r="E372" s="340" t="s">
        <v>12138</v>
      </c>
      <c r="F372" s="1137">
        <v>5.0</v>
      </c>
      <c r="G372" s="1262">
        <v>553.0</v>
      </c>
      <c r="H372" s="466">
        <f t="shared" si="53"/>
        <v>2765</v>
      </c>
      <c r="I372" s="793"/>
      <c r="J372" s="793"/>
      <c r="K372" s="256" t="s">
        <v>11972</v>
      </c>
      <c r="L372" s="592" t="s">
        <v>13598</v>
      </c>
      <c r="M372" s="832">
        <v>42003.0</v>
      </c>
      <c r="N372" s="592" t="s">
        <v>10976</v>
      </c>
      <c r="O372" s="832">
        <v>41998.0</v>
      </c>
      <c r="P372" s="388" t="s">
        <v>13601</v>
      </c>
      <c r="Q372" s="1137" t="s">
        <v>13602</v>
      </c>
      <c r="R372" s="793"/>
      <c r="S372" s="466">
        <v>73500.0</v>
      </c>
      <c r="T372" s="388" t="s">
        <v>12762</v>
      </c>
      <c r="U372" s="1143">
        <v>42040.0</v>
      </c>
      <c r="V372" s="1133">
        <v>41998.0</v>
      </c>
      <c r="W372" s="1149">
        <v>73500.0</v>
      </c>
      <c r="X372" s="320" t="s">
        <v>13600</v>
      </c>
      <c r="Y372" s="388"/>
      <c r="Z372" s="91"/>
    </row>
    <row r="373" ht="15.75" customHeight="1">
      <c r="A373" s="1293">
        <v>41977.0</v>
      </c>
      <c r="B373" s="599" t="s">
        <v>1204</v>
      </c>
      <c r="C373" s="1004" t="s">
        <v>13596</v>
      </c>
      <c r="D373" s="388" t="s">
        <v>13597</v>
      </c>
      <c r="E373" s="340" t="s">
        <v>9431</v>
      </c>
      <c r="F373" s="1137">
        <v>5.0</v>
      </c>
      <c r="G373" s="1262">
        <v>40.0</v>
      </c>
      <c r="H373" s="466">
        <f t="shared" si="53"/>
        <v>200</v>
      </c>
      <c r="I373" s="793"/>
      <c r="J373" s="793"/>
      <c r="K373" s="256" t="s">
        <v>11972</v>
      </c>
      <c r="L373" s="592" t="s">
        <v>13598</v>
      </c>
      <c r="M373" s="832">
        <v>42003.0</v>
      </c>
      <c r="N373" s="592" t="s">
        <v>10976</v>
      </c>
      <c r="O373" s="832">
        <v>41995.0</v>
      </c>
      <c r="P373" s="388" t="s">
        <v>11991</v>
      </c>
      <c r="Q373" s="1137" t="s">
        <v>13603</v>
      </c>
      <c r="R373" s="793"/>
      <c r="S373" s="466">
        <v>4488.75</v>
      </c>
      <c r="T373" s="388" t="s">
        <v>11993</v>
      </c>
      <c r="U373" s="1143">
        <v>41988.0</v>
      </c>
      <c r="V373" s="1143">
        <v>41992.0</v>
      </c>
      <c r="W373" s="1159">
        <v>4489.0</v>
      </c>
      <c r="X373" s="320" t="s">
        <v>13600</v>
      </c>
      <c r="Y373" s="388"/>
      <c r="Z373" s="91"/>
    </row>
    <row r="374" ht="15.75" customHeight="1">
      <c r="A374" s="1293">
        <v>41977.0</v>
      </c>
      <c r="B374" s="599" t="s">
        <v>1204</v>
      </c>
      <c r="C374" s="1004" t="s">
        <v>13596</v>
      </c>
      <c r="D374" s="388" t="s">
        <v>13597</v>
      </c>
      <c r="E374" s="340" t="s">
        <v>9434</v>
      </c>
      <c r="F374" s="1137">
        <v>5.0</v>
      </c>
      <c r="G374" s="1262">
        <v>50.0</v>
      </c>
      <c r="H374" s="466">
        <f t="shared" si="53"/>
        <v>250</v>
      </c>
      <c r="I374" s="793"/>
      <c r="J374" s="793"/>
      <c r="K374" s="256" t="s">
        <v>11972</v>
      </c>
      <c r="L374" s="592" t="s">
        <v>13598</v>
      </c>
      <c r="M374" s="832">
        <v>42003.0</v>
      </c>
      <c r="N374" s="592" t="s">
        <v>10976</v>
      </c>
      <c r="O374" s="832">
        <v>41995.0</v>
      </c>
      <c r="P374" s="388" t="s">
        <v>11991</v>
      </c>
      <c r="Q374" s="1137" t="s">
        <v>13603</v>
      </c>
      <c r="R374" s="793"/>
      <c r="S374" s="466">
        <v>6294.75</v>
      </c>
      <c r="T374" s="388" t="s">
        <v>11993</v>
      </c>
      <c r="U374" s="1143">
        <v>41988.0</v>
      </c>
      <c r="V374" s="1143">
        <v>41992.0</v>
      </c>
      <c r="W374" s="1159">
        <v>6295.0</v>
      </c>
      <c r="X374" s="320" t="s">
        <v>13600</v>
      </c>
      <c r="Y374" s="388"/>
      <c r="Z374" s="91"/>
    </row>
    <row r="375" ht="15.75" customHeight="1">
      <c r="A375" s="1293">
        <v>41977.0</v>
      </c>
      <c r="B375" s="599" t="s">
        <v>1204</v>
      </c>
      <c r="C375" s="1004" t="s">
        <v>13596</v>
      </c>
      <c r="D375" s="388" t="s">
        <v>13597</v>
      </c>
      <c r="E375" s="340" t="s">
        <v>10435</v>
      </c>
      <c r="F375" s="1137">
        <v>5.0</v>
      </c>
      <c r="G375" s="1262">
        <v>30.0</v>
      </c>
      <c r="H375" s="466">
        <f t="shared" si="53"/>
        <v>150</v>
      </c>
      <c r="I375" s="793"/>
      <c r="J375" s="793"/>
      <c r="K375" s="256" t="s">
        <v>11972</v>
      </c>
      <c r="L375" s="592" t="s">
        <v>13598</v>
      </c>
      <c r="M375" s="832">
        <v>42003.0</v>
      </c>
      <c r="N375" s="388"/>
      <c r="O375" s="388"/>
      <c r="P375" s="388"/>
      <c r="Q375" s="388"/>
      <c r="R375" s="793"/>
      <c r="S375" s="466">
        <v>1500.0</v>
      </c>
      <c r="T375" s="388" t="s">
        <v>12150</v>
      </c>
      <c r="U375" s="1143">
        <v>42010.0</v>
      </c>
      <c r="V375" s="388"/>
      <c r="W375" s="1137" t="s">
        <v>5701</v>
      </c>
      <c r="X375" s="320" t="s">
        <v>13600</v>
      </c>
      <c r="Y375" s="388"/>
      <c r="Z375" s="91"/>
    </row>
    <row r="376" ht="15.75" customHeight="1">
      <c r="A376" s="1293">
        <v>41977.0</v>
      </c>
      <c r="B376" s="599" t="s">
        <v>1204</v>
      </c>
      <c r="C376" s="1004" t="s">
        <v>13596</v>
      </c>
      <c r="D376" s="388" t="s">
        <v>13597</v>
      </c>
      <c r="E376" s="340" t="s">
        <v>13604</v>
      </c>
      <c r="F376" s="1137">
        <v>1.0</v>
      </c>
      <c r="G376" s="1262">
        <v>630.0</v>
      </c>
      <c r="H376" s="466">
        <f t="shared" si="53"/>
        <v>630</v>
      </c>
      <c r="I376" s="793"/>
      <c r="J376" s="793"/>
      <c r="K376" s="256" t="s">
        <v>11972</v>
      </c>
      <c r="L376" s="592" t="s">
        <v>13598</v>
      </c>
      <c r="M376" s="832">
        <v>42003.0</v>
      </c>
      <c r="N376" s="388"/>
      <c r="O376" s="388"/>
      <c r="P376" s="388"/>
      <c r="Q376" s="388"/>
      <c r="R376" s="793"/>
      <c r="S376" s="466">
        <v>0.0</v>
      </c>
      <c r="T376" s="388" t="s">
        <v>6317</v>
      </c>
      <c r="U376" s="1143">
        <v>42010.0</v>
      </c>
      <c r="V376" s="388"/>
      <c r="W376" s="1137" t="s">
        <v>5701</v>
      </c>
      <c r="X376" s="320" t="s">
        <v>13600</v>
      </c>
      <c r="Y376" s="388"/>
      <c r="Z376" s="91"/>
    </row>
    <row r="377" ht="15.75" customHeight="1">
      <c r="A377" s="1293">
        <v>41978.0</v>
      </c>
      <c r="B377" s="599" t="s">
        <v>631</v>
      </c>
      <c r="C377" s="1004" t="s">
        <v>13605</v>
      </c>
      <c r="D377" s="388" t="s">
        <v>13606</v>
      </c>
      <c r="E377" s="340" t="s">
        <v>13607</v>
      </c>
      <c r="F377" s="1137">
        <v>6.0</v>
      </c>
      <c r="G377" s="466">
        <f>97*1.05</f>
        <v>101.85</v>
      </c>
      <c r="H377" s="466">
        <f t="shared" si="53"/>
        <v>611.1</v>
      </c>
      <c r="I377" s="793"/>
      <c r="J377" s="466">
        <v>19366.0</v>
      </c>
      <c r="K377" s="256" t="s">
        <v>11898</v>
      </c>
      <c r="L377" s="592" t="s">
        <v>12665</v>
      </c>
      <c r="M377" s="832">
        <v>41988.0</v>
      </c>
      <c r="N377" s="592" t="s">
        <v>90</v>
      </c>
      <c r="O377" s="388"/>
      <c r="P377" s="388" t="s">
        <v>90</v>
      </c>
      <c r="Q377" s="1137" t="s">
        <v>13608</v>
      </c>
      <c r="R377" s="466">
        <v>567.0</v>
      </c>
      <c r="S377" s="793"/>
      <c r="T377" s="388" t="s">
        <v>6081</v>
      </c>
      <c r="U377" s="1143">
        <v>42013.0</v>
      </c>
      <c r="V377" s="1133">
        <v>41988.0</v>
      </c>
      <c r="W377" s="1149">
        <v>17620.0</v>
      </c>
      <c r="X377" s="388" t="s">
        <v>13609</v>
      </c>
      <c r="Y377" s="388" t="s">
        <v>13610</v>
      </c>
      <c r="Z377" s="91"/>
    </row>
    <row r="378" ht="15.75" customHeight="1">
      <c r="A378" s="1293">
        <v>41982.0</v>
      </c>
      <c r="B378" s="599" t="s">
        <v>13611</v>
      </c>
      <c r="C378" s="388"/>
      <c r="D378" s="388" t="s">
        <v>13612</v>
      </c>
      <c r="E378" s="340" t="s">
        <v>13613</v>
      </c>
      <c r="F378" s="1137">
        <v>1.0</v>
      </c>
      <c r="G378" s="325">
        <v>310.63</v>
      </c>
      <c r="H378" s="466">
        <f t="shared" si="53"/>
        <v>310.63</v>
      </c>
      <c r="I378" s="466">
        <v>9319.0</v>
      </c>
      <c r="J378" s="466">
        <v>9319.0</v>
      </c>
      <c r="K378" s="256" t="s">
        <v>11898</v>
      </c>
      <c r="L378" s="592" t="s">
        <v>11898</v>
      </c>
      <c r="M378" s="832">
        <v>41988.0</v>
      </c>
      <c r="N378" s="592" t="s">
        <v>10976</v>
      </c>
      <c r="O378" s="832">
        <v>41988.0</v>
      </c>
      <c r="P378" s="388" t="s">
        <v>3840</v>
      </c>
      <c r="Q378" s="1137" t="s">
        <v>13614</v>
      </c>
      <c r="R378" s="793"/>
      <c r="S378" s="466">
        <v>7455.0</v>
      </c>
      <c r="T378" s="388" t="s">
        <v>12762</v>
      </c>
      <c r="U378" s="1143">
        <v>42040.0</v>
      </c>
      <c r="V378" s="1302">
        <v>41985.0</v>
      </c>
      <c r="W378" s="1303">
        <v>32708.0</v>
      </c>
      <c r="X378" s="1300" t="s">
        <v>13615</v>
      </c>
      <c r="Y378" s="1300" t="s">
        <v>13616</v>
      </c>
      <c r="Z378" s="91"/>
    </row>
    <row r="379" ht="15.75" customHeight="1">
      <c r="A379" s="1293">
        <v>41982.0</v>
      </c>
      <c r="B379" s="599" t="s">
        <v>13611</v>
      </c>
      <c r="C379" s="388"/>
      <c r="D379" s="388" t="s">
        <v>13612</v>
      </c>
      <c r="E379" s="340" t="s">
        <v>13617</v>
      </c>
      <c r="F379" s="1137">
        <v>1.0</v>
      </c>
      <c r="G379" s="325">
        <v>1001.86</v>
      </c>
      <c r="H379" s="466">
        <f t="shared" si="53"/>
        <v>1001.86</v>
      </c>
      <c r="I379" s="466">
        <v>30056.0</v>
      </c>
      <c r="J379" s="466">
        <v>30056.0</v>
      </c>
      <c r="K379" s="256" t="s">
        <v>11898</v>
      </c>
      <c r="L379" s="592" t="s">
        <v>11898</v>
      </c>
      <c r="M379" s="832">
        <v>41988.0</v>
      </c>
      <c r="N379" s="592" t="s">
        <v>10976</v>
      </c>
      <c r="O379" s="832">
        <v>41988.0</v>
      </c>
      <c r="P379" s="388" t="s">
        <v>3840</v>
      </c>
      <c r="Q379" s="1137" t="s">
        <v>13614</v>
      </c>
      <c r="R379" s="793"/>
      <c r="S379" s="466">
        <v>24045.0</v>
      </c>
      <c r="T379" s="388" t="s">
        <v>12762</v>
      </c>
      <c r="U379" s="1143">
        <v>42040.0</v>
      </c>
      <c r="V379" s="1302"/>
      <c r="W379" s="1303"/>
      <c r="X379" s="1300"/>
      <c r="Y379" s="1300"/>
      <c r="Z379" s="91"/>
    </row>
    <row r="380" ht="15.75" customHeight="1">
      <c r="A380" s="1293">
        <v>41982.0</v>
      </c>
      <c r="B380" s="599" t="s">
        <v>13611</v>
      </c>
      <c r="C380" s="388"/>
      <c r="D380" s="388" t="s">
        <v>13612</v>
      </c>
      <c r="E380" s="340" t="s">
        <v>13618</v>
      </c>
      <c r="F380" s="1137">
        <v>1.0</v>
      </c>
      <c r="G380" s="325">
        <v>50.27</v>
      </c>
      <c r="H380" s="466">
        <v>50.27</v>
      </c>
      <c r="I380" s="466">
        <v>1508.0</v>
      </c>
      <c r="J380" s="466">
        <v>1508.0</v>
      </c>
      <c r="K380" s="256" t="s">
        <v>11898</v>
      </c>
      <c r="L380" s="592" t="s">
        <v>11898</v>
      </c>
      <c r="M380" s="832">
        <v>41988.0</v>
      </c>
      <c r="N380" s="592" t="s">
        <v>10976</v>
      </c>
      <c r="O380" s="832">
        <v>41988.0</v>
      </c>
      <c r="P380" s="388" t="s">
        <v>3840</v>
      </c>
      <c r="Q380" s="1137" t="s">
        <v>13619</v>
      </c>
      <c r="R380" s="793"/>
      <c r="S380" s="466">
        <v>1208.0</v>
      </c>
      <c r="T380" s="388"/>
      <c r="U380" s="1143">
        <v>42040.0</v>
      </c>
      <c r="V380" s="1143"/>
      <c r="W380" s="1159"/>
      <c r="X380" s="388"/>
      <c r="Y380" s="388"/>
      <c r="Z380" s="91"/>
    </row>
    <row r="381" ht="15.75" customHeight="1">
      <c r="A381" s="1293">
        <v>41983.0</v>
      </c>
      <c r="B381" s="599" t="s">
        <v>11771</v>
      </c>
      <c r="C381" s="388"/>
      <c r="D381" s="388" t="s">
        <v>13620</v>
      </c>
      <c r="E381" s="340" t="s">
        <v>13621</v>
      </c>
      <c r="F381" s="1137">
        <v>24.0</v>
      </c>
      <c r="G381" s="466">
        <v>139.0</v>
      </c>
      <c r="H381" s="466">
        <f>F381*G381</f>
        <v>3336</v>
      </c>
      <c r="I381" s="793"/>
      <c r="J381" s="793"/>
      <c r="K381" s="256" t="s">
        <v>10949</v>
      </c>
      <c r="L381" s="592" t="s">
        <v>11774</v>
      </c>
      <c r="M381" s="832">
        <v>42002.0</v>
      </c>
      <c r="N381" s="592" t="s">
        <v>6067</v>
      </c>
      <c r="O381" s="832">
        <v>41999.0</v>
      </c>
      <c r="P381" s="388" t="s">
        <v>90</v>
      </c>
      <c r="Q381" s="773" t="s">
        <v>13622</v>
      </c>
      <c r="R381" s="466">
        <v>2948.4</v>
      </c>
      <c r="S381" s="793"/>
      <c r="T381" s="388" t="s">
        <v>6081</v>
      </c>
      <c r="U381" s="1143">
        <v>42013.0</v>
      </c>
      <c r="V381" s="1133">
        <v>41999.0</v>
      </c>
      <c r="W381" s="1149">
        <v>94560.0</v>
      </c>
      <c r="X381" s="265" t="s">
        <v>13623</v>
      </c>
      <c r="Y381" s="388"/>
      <c r="Z381" s="91"/>
    </row>
    <row r="382" ht="15.75" customHeight="1">
      <c r="A382" s="1293">
        <v>41983.0</v>
      </c>
      <c r="B382" s="599" t="s">
        <v>11771</v>
      </c>
      <c r="C382" s="388"/>
      <c r="D382" s="388" t="s">
        <v>13620</v>
      </c>
      <c r="E382" s="340" t="s">
        <v>13624</v>
      </c>
      <c r="F382" s="1137">
        <v>24.0</v>
      </c>
      <c r="G382" s="466">
        <v>3.0</v>
      </c>
      <c r="H382" s="466">
        <f t="shared" ref="H382:H384" si="54">G382*F382</f>
        <v>72</v>
      </c>
      <c r="I382" s="793"/>
      <c r="J382" s="793"/>
      <c r="K382" s="256" t="s">
        <v>10949</v>
      </c>
      <c r="L382" s="592" t="s">
        <v>11774</v>
      </c>
      <c r="M382" s="832">
        <v>42002.0</v>
      </c>
      <c r="N382" s="592" t="s">
        <v>6067</v>
      </c>
      <c r="O382" s="832">
        <v>41999.0</v>
      </c>
      <c r="P382" s="388" t="s">
        <v>90</v>
      </c>
      <c r="Q382" s="773" t="s">
        <v>13622</v>
      </c>
      <c r="R382" s="466">
        <v>75.6</v>
      </c>
      <c r="S382" s="793"/>
      <c r="T382" s="388" t="s">
        <v>6081</v>
      </c>
      <c r="U382" s="1143">
        <v>42013.0</v>
      </c>
      <c r="V382" s="388"/>
      <c r="W382" s="1146"/>
      <c r="X382" s="265" t="s">
        <v>13623</v>
      </c>
      <c r="Y382" s="388"/>
      <c r="Z382" s="91"/>
    </row>
    <row r="383" ht="15.75" customHeight="1">
      <c r="A383" s="1293">
        <v>41983.0</v>
      </c>
      <c r="B383" s="599" t="s">
        <v>10926</v>
      </c>
      <c r="C383" s="1004" t="s">
        <v>13625</v>
      </c>
      <c r="D383" s="388" t="s">
        <v>13626</v>
      </c>
      <c r="E383" s="340" t="s">
        <v>11263</v>
      </c>
      <c r="F383" s="1137">
        <v>8.0</v>
      </c>
      <c r="G383" s="325">
        <v>100.49</v>
      </c>
      <c r="H383" s="466">
        <f t="shared" si="54"/>
        <v>803.92</v>
      </c>
      <c r="I383" s="466">
        <f>2871*1.05</f>
        <v>3014.55</v>
      </c>
      <c r="J383" s="1149">
        <f>F383*I383</f>
        <v>24116.4</v>
      </c>
      <c r="K383" s="256" t="s">
        <v>11086</v>
      </c>
      <c r="L383" s="592" t="s">
        <v>10976</v>
      </c>
      <c r="M383" s="832">
        <v>41996.0</v>
      </c>
      <c r="N383" s="592" t="s">
        <v>10976</v>
      </c>
      <c r="O383" s="832">
        <v>41991.0</v>
      </c>
      <c r="P383" s="388" t="s">
        <v>11033</v>
      </c>
      <c r="Q383" s="1137" t="s">
        <v>13627</v>
      </c>
      <c r="R383" s="793"/>
      <c r="S383" s="466">
        <v>23150.0</v>
      </c>
      <c r="T383" s="388" t="s">
        <v>8689</v>
      </c>
      <c r="U383" s="1143">
        <v>42010.0</v>
      </c>
      <c r="V383" s="1143">
        <v>41990.0</v>
      </c>
      <c r="W383" s="1159">
        <v>23150.0</v>
      </c>
      <c r="X383" s="388" t="s">
        <v>13628</v>
      </c>
      <c r="Y383" s="388" t="s">
        <v>13591</v>
      </c>
      <c r="Z383" s="91"/>
    </row>
    <row r="384" ht="15.75" customHeight="1">
      <c r="A384" s="1293">
        <v>41983.0</v>
      </c>
      <c r="B384" s="599" t="s">
        <v>10926</v>
      </c>
      <c r="C384" s="1004" t="s">
        <v>13629</v>
      </c>
      <c r="D384" s="388" t="s">
        <v>13630</v>
      </c>
      <c r="E384" s="340" t="s">
        <v>13631</v>
      </c>
      <c r="F384" s="1137">
        <v>10.0</v>
      </c>
      <c r="G384" s="325">
        <v>76.655</v>
      </c>
      <c r="H384" s="466">
        <f t="shared" si="54"/>
        <v>766.55</v>
      </c>
      <c r="I384" s="793"/>
      <c r="J384" s="793"/>
      <c r="K384" s="256" t="s">
        <v>11086</v>
      </c>
      <c r="L384" s="592" t="s">
        <v>12665</v>
      </c>
      <c r="M384" s="832">
        <v>41991.0</v>
      </c>
      <c r="N384" s="592" t="s">
        <v>90</v>
      </c>
      <c r="O384" s="388"/>
      <c r="P384" s="388" t="s">
        <v>90</v>
      </c>
      <c r="Q384" s="773" t="s">
        <v>13632</v>
      </c>
      <c r="R384" s="466">
        <v>682.5</v>
      </c>
      <c r="S384" s="793"/>
      <c r="T384" s="388" t="s">
        <v>6081</v>
      </c>
      <c r="U384" s="1143">
        <v>42013.0</v>
      </c>
      <c r="V384" s="1133">
        <v>41991.0</v>
      </c>
      <c r="W384" s="1149">
        <v>21209.0</v>
      </c>
      <c r="X384" s="388" t="s">
        <v>13633</v>
      </c>
      <c r="Y384" s="388" t="s">
        <v>13634</v>
      </c>
      <c r="Z384" s="91"/>
    </row>
    <row r="385" ht="15.75" customHeight="1">
      <c r="A385" s="1293">
        <v>41984.0</v>
      </c>
      <c r="B385" s="599" t="s">
        <v>11214</v>
      </c>
      <c r="C385" s="1004">
        <v>3.100045181E9</v>
      </c>
      <c r="D385" s="388" t="s">
        <v>13635</v>
      </c>
      <c r="E385" s="340" t="s">
        <v>11216</v>
      </c>
      <c r="F385" s="1137">
        <v>4.0</v>
      </c>
      <c r="G385" s="325">
        <v>111.0</v>
      </c>
      <c r="H385" s="466">
        <f t="shared" ref="H385:H397" si="55">F385*G385</f>
        <v>444</v>
      </c>
      <c r="I385" s="793"/>
      <c r="J385" s="793"/>
      <c r="K385" s="256" t="s">
        <v>10949</v>
      </c>
      <c r="L385" s="592" t="s">
        <v>90</v>
      </c>
      <c r="M385" s="832">
        <v>41991.0</v>
      </c>
      <c r="N385" s="592" t="s">
        <v>90</v>
      </c>
      <c r="O385" s="388"/>
      <c r="P385" s="388" t="s">
        <v>90</v>
      </c>
      <c r="Q385" s="773" t="s">
        <v>13636</v>
      </c>
      <c r="R385" s="466">
        <v>369.6</v>
      </c>
      <c r="S385" s="793"/>
      <c r="T385" s="388" t="s">
        <v>6081</v>
      </c>
      <c r="U385" s="1143">
        <v>42013.0</v>
      </c>
      <c r="V385" s="1133">
        <v>41991.0</v>
      </c>
      <c r="W385" s="1149">
        <v>11485.0</v>
      </c>
      <c r="X385" s="1300" t="s">
        <v>13637</v>
      </c>
      <c r="Y385" s="388"/>
      <c r="Z385" s="91"/>
    </row>
    <row r="386" ht="15.75" customHeight="1">
      <c r="A386" s="1293">
        <v>41984.0</v>
      </c>
      <c r="B386" s="599" t="s">
        <v>11214</v>
      </c>
      <c r="C386" s="1004">
        <v>3.100045181E9</v>
      </c>
      <c r="D386" s="388" t="s">
        <v>13635</v>
      </c>
      <c r="E386" s="340" t="s">
        <v>13638</v>
      </c>
      <c r="F386" s="1137">
        <v>4.0</v>
      </c>
      <c r="G386" s="325">
        <v>22.0</v>
      </c>
      <c r="H386" s="466">
        <f t="shared" si="55"/>
        <v>88</v>
      </c>
      <c r="I386" s="793"/>
      <c r="J386" s="793"/>
      <c r="K386" s="256" t="s">
        <v>10949</v>
      </c>
      <c r="L386" s="592" t="s">
        <v>11898</v>
      </c>
      <c r="M386" s="832">
        <v>41991.0</v>
      </c>
      <c r="N386" s="592" t="s">
        <v>10976</v>
      </c>
      <c r="O386" s="832">
        <v>41989.0</v>
      </c>
      <c r="P386" s="388" t="s">
        <v>105</v>
      </c>
      <c r="Q386" s="773" t="s">
        <v>13639</v>
      </c>
      <c r="R386" s="793"/>
      <c r="S386" s="466">
        <v>1974.0</v>
      </c>
      <c r="T386" s="388" t="s">
        <v>12352</v>
      </c>
      <c r="U386" s="1143">
        <v>42047.0</v>
      </c>
      <c r="V386" s="1133">
        <v>41988.0</v>
      </c>
      <c r="W386" s="1149">
        <v>1974.0</v>
      </c>
      <c r="X386" s="388"/>
      <c r="Y386" s="388" t="s">
        <v>13640</v>
      </c>
      <c r="Z386" s="91"/>
    </row>
    <row r="387" ht="15.75" customHeight="1">
      <c r="A387" s="1293">
        <v>41985.0</v>
      </c>
      <c r="B387" s="599" t="s">
        <v>10926</v>
      </c>
      <c r="C387" s="1004" t="s">
        <v>13641</v>
      </c>
      <c r="D387" s="388" t="s">
        <v>13642</v>
      </c>
      <c r="E387" s="340" t="s">
        <v>13643</v>
      </c>
      <c r="F387" s="1137">
        <v>1.0</v>
      </c>
      <c r="G387" s="325">
        <v>166.95</v>
      </c>
      <c r="H387" s="466">
        <f t="shared" si="55"/>
        <v>166.95</v>
      </c>
      <c r="I387" s="793"/>
      <c r="J387" s="793"/>
      <c r="K387" s="256" t="s">
        <v>11086</v>
      </c>
      <c r="L387" s="592" t="s">
        <v>90</v>
      </c>
      <c r="M387" s="832">
        <v>41995.0</v>
      </c>
      <c r="N387" s="592" t="s">
        <v>90</v>
      </c>
      <c r="O387" s="388"/>
      <c r="P387" s="388" t="s">
        <v>90</v>
      </c>
      <c r="Q387" s="773" t="s">
        <v>13644</v>
      </c>
      <c r="R387" s="466">
        <v>150.15</v>
      </c>
      <c r="S387" s="793"/>
      <c r="T387" s="388" t="s">
        <v>6081</v>
      </c>
      <c r="U387" s="1143">
        <v>42013.0</v>
      </c>
      <c r="V387" s="1133">
        <v>41995.0</v>
      </c>
      <c r="W387" s="1149">
        <v>4695.0</v>
      </c>
      <c r="X387" s="388" t="s">
        <v>13645</v>
      </c>
      <c r="Y387" s="388" t="s">
        <v>13646</v>
      </c>
      <c r="Z387" s="91"/>
    </row>
    <row r="388" ht="15.75" customHeight="1">
      <c r="A388" s="1293">
        <v>41985.0</v>
      </c>
      <c r="B388" s="599" t="s">
        <v>11771</v>
      </c>
      <c r="C388" s="388"/>
      <c r="D388" s="388" t="s">
        <v>13647</v>
      </c>
      <c r="E388" s="340" t="s">
        <v>13648</v>
      </c>
      <c r="F388" s="1137">
        <v>2.0</v>
      </c>
      <c r="G388" s="466">
        <v>487.0</v>
      </c>
      <c r="H388" s="466">
        <f t="shared" si="55"/>
        <v>974</v>
      </c>
      <c r="I388" s="793"/>
      <c r="J388" s="793"/>
      <c r="K388" s="256" t="s">
        <v>10949</v>
      </c>
      <c r="L388" s="592" t="s">
        <v>11774</v>
      </c>
      <c r="M388" s="832">
        <v>41995.0</v>
      </c>
      <c r="N388" s="592" t="s">
        <v>6067</v>
      </c>
      <c r="O388" s="832">
        <v>41992.0</v>
      </c>
      <c r="P388" s="388" t="s">
        <v>90</v>
      </c>
      <c r="Q388" s="773" t="s">
        <v>13649</v>
      </c>
      <c r="R388" s="466">
        <v>900.9</v>
      </c>
      <c r="S388" s="793"/>
      <c r="T388" s="388" t="s">
        <v>6081</v>
      </c>
      <c r="U388" s="1143">
        <v>42013.0</v>
      </c>
      <c r="V388" s="1133">
        <v>41992.0</v>
      </c>
      <c r="W388" s="1149">
        <v>27995.0</v>
      </c>
      <c r="X388" s="265" t="s">
        <v>13533</v>
      </c>
      <c r="Y388" s="388"/>
      <c r="Z388" s="91"/>
    </row>
    <row r="389" ht="15.75" customHeight="1">
      <c r="A389" s="1293">
        <v>41989.0</v>
      </c>
      <c r="B389" s="599" t="s">
        <v>11214</v>
      </c>
      <c r="C389" s="1004">
        <v>3.100045231E9</v>
      </c>
      <c r="D389" s="388" t="s">
        <v>13650</v>
      </c>
      <c r="E389" s="340" t="s">
        <v>11216</v>
      </c>
      <c r="F389" s="1137">
        <v>2.0</v>
      </c>
      <c r="G389" s="325">
        <v>111.0</v>
      </c>
      <c r="H389" s="466">
        <f t="shared" si="55"/>
        <v>222</v>
      </c>
      <c r="I389" s="793"/>
      <c r="J389" s="793"/>
      <c r="K389" s="256" t="s">
        <v>10949</v>
      </c>
      <c r="L389" s="592" t="s">
        <v>90</v>
      </c>
      <c r="M389" s="832">
        <v>41995.0</v>
      </c>
      <c r="N389" s="592" t="s">
        <v>90</v>
      </c>
      <c r="O389" s="388"/>
      <c r="P389" s="388" t="s">
        <v>90</v>
      </c>
      <c r="Q389" s="773" t="s">
        <v>13651</v>
      </c>
      <c r="R389" s="466">
        <v>184.8</v>
      </c>
      <c r="S389" s="793"/>
      <c r="T389" s="388" t="s">
        <v>6081</v>
      </c>
      <c r="U389" s="1143">
        <v>42013.0</v>
      </c>
      <c r="V389" s="1133">
        <v>41995.0</v>
      </c>
      <c r="W389" s="1149">
        <v>5779.0</v>
      </c>
      <c r="X389" s="320" t="s">
        <v>13652</v>
      </c>
      <c r="Y389" s="388" t="s">
        <v>13653</v>
      </c>
      <c r="Z389" s="91"/>
    </row>
    <row r="390" ht="15.75" customHeight="1">
      <c r="A390" s="1293">
        <v>41989.0</v>
      </c>
      <c r="B390" s="599" t="s">
        <v>11214</v>
      </c>
      <c r="C390" s="1004">
        <v>3.100045231E9</v>
      </c>
      <c r="D390" s="388" t="s">
        <v>13650</v>
      </c>
      <c r="E390" s="340" t="s">
        <v>13638</v>
      </c>
      <c r="F390" s="1137">
        <v>2.0</v>
      </c>
      <c r="G390" s="325">
        <v>22.0</v>
      </c>
      <c r="H390" s="466">
        <f t="shared" si="55"/>
        <v>44</v>
      </c>
      <c r="I390" s="793"/>
      <c r="J390" s="793"/>
      <c r="K390" s="256" t="s">
        <v>10949</v>
      </c>
      <c r="L390" s="592" t="s">
        <v>13654</v>
      </c>
      <c r="M390" s="832">
        <v>41995.0</v>
      </c>
      <c r="N390" s="592" t="s">
        <v>10976</v>
      </c>
      <c r="O390" s="832">
        <v>41992.0</v>
      </c>
      <c r="P390" s="388" t="s">
        <v>105</v>
      </c>
      <c r="Q390" s="773" t="s">
        <v>13655</v>
      </c>
      <c r="R390" s="793"/>
      <c r="S390" s="466">
        <v>1013.0</v>
      </c>
      <c r="T390" s="388" t="s">
        <v>12352</v>
      </c>
      <c r="U390" s="1143">
        <v>42047.0</v>
      </c>
      <c r="V390" s="1133">
        <v>41990.0</v>
      </c>
      <c r="W390" s="1149">
        <v>1013.0</v>
      </c>
      <c r="X390" s="320" t="s">
        <v>13652</v>
      </c>
      <c r="Y390" s="388" t="s">
        <v>13653</v>
      </c>
      <c r="Z390" s="91"/>
    </row>
    <row r="391" ht="15.75" customHeight="1">
      <c r="A391" s="1293">
        <v>41990.0</v>
      </c>
      <c r="B391" s="599" t="s">
        <v>10926</v>
      </c>
      <c r="C391" s="1004" t="s">
        <v>13656</v>
      </c>
      <c r="D391" s="388" t="s">
        <v>13657</v>
      </c>
      <c r="E391" s="340" t="s">
        <v>6596</v>
      </c>
      <c r="F391" s="1137">
        <v>15.0</v>
      </c>
      <c r="G391" s="325">
        <v>118.3</v>
      </c>
      <c r="H391" s="466">
        <f t="shared" si="55"/>
        <v>1774.5</v>
      </c>
      <c r="I391" s="466">
        <v>3549.0</v>
      </c>
      <c r="J391" s="1149">
        <f t="shared" ref="J391:J396" si="56">F391*I391</f>
        <v>53235</v>
      </c>
      <c r="K391" s="256" t="s">
        <v>11086</v>
      </c>
      <c r="L391" s="592" t="s">
        <v>10976</v>
      </c>
      <c r="M391" s="832">
        <v>41996.0</v>
      </c>
      <c r="N391" s="592" t="s">
        <v>10976</v>
      </c>
      <c r="O391" s="832">
        <v>41992.0</v>
      </c>
      <c r="P391" s="388" t="s">
        <v>11033</v>
      </c>
      <c r="Q391" s="1137" t="s">
        <v>13658</v>
      </c>
      <c r="R391" s="793"/>
      <c r="S391" s="466">
        <v>51030.0</v>
      </c>
      <c r="T391" s="388" t="s">
        <v>8689</v>
      </c>
      <c r="U391" s="1143">
        <v>42010.0</v>
      </c>
      <c r="V391" s="1302">
        <v>41991.0</v>
      </c>
      <c r="W391" s="1303">
        <v>118465.0</v>
      </c>
      <c r="X391" s="388" t="s">
        <v>13659</v>
      </c>
      <c r="Y391" s="388" t="s">
        <v>13591</v>
      </c>
      <c r="Z391" s="91"/>
    </row>
    <row r="392" ht="15.75" customHeight="1">
      <c r="A392" s="1293">
        <v>41990.0</v>
      </c>
      <c r="B392" s="599" t="s">
        <v>10926</v>
      </c>
      <c r="C392" s="1004" t="s">
        <v>13656</v>
      </c>
      <c r="D392" s="388" t="s">
        <v>13657</v>
      </c>
      <c r="E392" s="340" t="s">
        <v>6451</v>
      </c>
      <c r="F392" s="1137">
        <v>10.0</v>
      </c>
      <c r="G392" s="325">
        <v>124.25</v>
      </c>
      <c r="H392" s="466">
        <f t="shared" si="55"/>
        <v>1242.5</v>
      </c>
      <c r="I392" s="466">
        <v>3727.5</v>
      </c>
      <c r="J392" s="1149">
        <f t="shared" si="56"/>
        <v>37275</v>
      </c>
      <c r="K392" s="256" t="s">
        <v>11086</v>
      </c>
      <c r="L392" s="592" t="s">
        <v>10976</v>
      </c>
      <c r="M392" s="832">
        <v>41996.0</v>
      </c>
      <c r="N392" s="592" t="s">
        <v>10976</v>
      </c>
      <c r="O392" s="832">
        <v>41992.0</v>
      </c>
      <c r="P392" s="388" t="s">
        <v>11033</v>
      </c>
      <c r="Q392" s="1137" t="s">
        <v>13658</v>
      </c>
      <c r="R392" s="793"/>
      <c r="S392" s="466">
        <v>36886.5</v>
      </c>
      <c r="T392" s="388" t="s">
        <v>8689</v>
      </c>
      <c r="U392" s="1143">
        <v>42010.0</v>
      </c>
      <c r="V392" s="1302"/>
      <c r="W392" s="1303"/>
      <c r="X392" s="388" t="s">
        <v>13659</v>
      </c>
      <c r="Y392" s="388" t="s">
        <v>13591</v>
      </c>
      <c r="Z392" s="91"/>
    </row>
    <row r="393" ht="15.75" customHeight="1">
      <c r="A393" s="1293">
        <v>41990.0</v>
      </c>
      <c r="B393" s="599" t="s">
        <v>10926</v>
      </c>
      <c r="C393" s="1004" t="s">
        <v>13656</v>
      </c>
      <c r="D393" s="388" t="s">
        <v>13657</v>
      </c>
      <c r="E393" s="340" t="s">
        <v>3676</v>
      </c>
      <c r="F393" s="1137">
        <v>15.0</v>
      </c>
      <c r="G393" s="325">
        <v>45.08</v>
      </c>
      <c r="H393" s="466">
        <f t="shared" si="55"/>
        <v>676.2</v>
      </c>
      <c r="I393" s="466">
        <v>1352.4</v>
      </c>
      <c r="J393" s="1149">
        <f t="shared" si="56"/>
        <v>20286</v>
      </c>
      <c r="K393" s="256" t="s">
        <v>11086</v>
      </c>
      <c r="L393" s="592" t="s">
        <v>10976</v>
      </c>
      <c r="M393" s="832">
        <v>41996.0</v>
      </c>
      <c r="N393" s="592" t="s">
        <v>10976</v>
      </c>
      <c r="O393" s="832">
        <v>41992.0</v>
      </c>
      <c r="P393" s="388" t="s">
        <v>11033</v>
      </c>
      <c r="Q393" s="1137" t="s">
        <v>13658</v>
      </c>
      <c r="R393" s="793"/>
      <c r="S393" s="466">
        <v>19482.75</v>
      </c>
      <c r="T393" s="388" t="s">
        <v>8689</v>
      </c>
      <c r="U393" s="1143">
        <v>42010.0</v>
      </c>
      <c r="V393" s="1302"/>
      <c r="W393" s="1303"/>
      <c r="X393" s="388" t="s">
        <v>13659</v>
      </c>
      <c r="Y393" s="388" t="s">
        <v>13591</v>
      </c>
      <c r="Z393" s="91"/>
    </row>
    <row r="394" ht="15.75" customHeight="1">
      <c r="A394" s="1293">
        <v>41990.0</v>
      </c>
      <c r="B394" s="599" t="s">
        <v>10926</v>
      </c>
      <c r="C394" s="1004" t="s">
        <v>13656</v>
      </c>
      <c r="D394" s="388" t="s">
        <v>13657</v>
      </c>
      <c r="E394" s="340" t="s">
        <v>7196</v>
      </c>
      <c r="F394" s="1137">
        <v>3.0</v>
      </c>
      <c r="G394" s="325">
        <v>128.065</v>
      </c>
      <c r="H394" s="466">
        <f t="shared" si="55"/>
        <v>384.195</v>
      </c>
      <c r="I394" s="466">
        <v>3841.95</v>
      </c>
      <c r="J394" s="1149">
        <f t="shared" si="56"/>
        <v>11525.85</v>
      </c>
      <c r="K394" s="256" t="s">
        <v>11086</v>
      </c>
      <c r="L394" s="592" t="s">
        <v>10976</v>
      </c>
      <c r="M394" s="832">
        <v>41996.0</v>
      </c>
      <c r="N394" s="592" t="s">
        <v>10976</v>
      </c>
      <c r="O394" s="832">
        <v>41992.0</v>
      </c>
      <c r="P394" s="388" t="s">
        <v>11033</v>
      </c>
      <c r="Q394" s="1137" t="s">
        <v>13658</v>
      </c>
      <c r="R394" s="793"/>
      <c r="S394" s="466">
        <v>11065.95</v>
      </c>
      <c r="T394" s="388" t="s">
        <v>8689</v>
      </c>
      <c r="U394" s="1143">
        <v>42010.0</v>
      </c>
      <c r="V394" s="1143"/>
      <c r="W394" s="1159"/>
      <c r="X394" s="388" t="s">
        <v>13659</v>
      </c>
      <c r="Y394" s="388" t="s">
        <v>13591</v>
      </c>
      <c r="Z394" s="91"/>
    </row>
    <row r="395" ht="15.75" customHeight="1">
      <c r="A395" s="1293">
        <v>41991.0</v>
      </c>
      <c r="B395" s="599" t="s">
        <v>10926</v>
      </c>
      <c r="C395" s="1004" t="s">
        <v>13660</v>
      </c>
      <c r="D395" s="388" t="s">
        <v>13661</v>
      </c>
      <c r="E395" s="340" t="s">
        <v>6451</v>
      </c>
      <c r="F395" s="1137">
        <v>2.0</v>
      </c>
      <c r="G395" s="1137">
        <v>124.25</v>
      </c>
      <c r="H395" s="466">
        <f t="shared" si="55"/>
        <v>248.5</v>
      </c>
      <c r="I395" s="466">
        <v>3727.5</v>
      </c>
      <c r="J395" s="1149">
        <f t="shared" si="56"/>
        <v>7455</v>
      </c>
      <c r="K395" s="256" t="s">
        <v>11086</v>
      </c>
      <c r="L395" s="592" t="s">
        <v>10976</v>
      </c>
      <c r="M395" s="832">
        <v>41996.0</v>
      </c>
      <c r="N395" s="592" t="s">
        <v>10976</v>
      </c>
      <c r="O395" s="832">
        <v>41992.0</v>
      </c>
      <c r="P395" s="388" t="s">
        <v>11033</v>
      </c>
      <c r="Q395" s="1137" t="s">
        <v>13662</v>
      </c>
      <c r="R395" s="793"/>
      <c r="S395" s="466">
        <v>7377.3</v>
      </c>
      <c r="T395" s="388" t="s">
        <v>8689</v>
      </c>
      <c r="U395" s="1143">
        <v>42010.0</v>
      </c>
      <c r="V395" s="1302">
        <v>41991.0</v>
      </c>
      <c r="W395" s="1303">
        <v>11619.0</v>
      </c>
      <c r="X395" s="388" t="s">
        <v>13663</v>
      </c>
      <c r="Y395" s="388" t="s">
        <v>13591</v>
      </c>
      <c r="Z395" s="91"/>
    </row>
    <row r="396" ht="15.75" customHeight="1">
      <c r="A396" s="1293">
        <v>41991.0</v>
      </c>
      <c r="B396" s="599" t="s">
        <v>10926</v>
      </c>
      <c r="C396" s="1004" t="s">
        <v>13660</v>
      </c>
      <c r="D396" s="388" t="s">
        <v>13661</v>
      </c>
      <c r="E396" s="340" t="s">
        <v>11356</v>
      </c>
      <c r="F396" s="1137">
        <v>1.0</v>
      </c>
      <c r="G396" s="1137">
        <v>147.28</v>
      </c>
      <c r="H396" s="466">
        <f t="shared" si="55"/>
        <v>147.28</v>
      </c>
      <c r="I396" s="466">
        <v>4418.4</v>
      </c>
      <c r="J396" s="1149">
        <f t="shared" si="56"/>
        <v>4418.4</v>
      </c>
      <c r="K396" s="256" t="s">
        <v>11086</v>
      </c>
      <c r="L396" s="592" t="s">
        <v>10976</v>
      </c>
      <c r="M396" s="832">
        <v>41996.0</v>
      </c>
      <c r="N396" s="592" t="s">
        <v>10976</v>
      </c>
      <c r="O396" s="832">
        <v>41992.0</v>
      </c>
      <c r="P396" s="388" t="s">
        <v>11033</v>
      </c>
      <c r="Q396" s="1137" t="s">
        <v>13662</v>
      </c>
      <c r="R396" s="793"/>
      <c r="S396" s="466">
        <v>4242.0</v>
      </c>
      <c r="T396" s="388" t="s">
        <v>8689</v>
      </c>
      <c r="U396" s="1143">
        <v>42010.0</v>
      </c>
      <c r="V396" s="1143"/>
      <c r="W396" s="1159"/>
      <c r="X396" s="388" t="s">
        <v>13663</v>
      </c>
      <c r="Y396" s="388" t="s">
        <v>13591</v>
      </c>
      <c r="Z396" s="91"/>
    </row>
    <row r="397" ht="15.75" customHeight="1">
      <c r="A397" s="1293">
        <v>41991.0</v>
      </c>
      <c r="B397" s="599" t="s">
        <v>8749</v>
      </c>
      <c r="C397" s="388" t="s">
        <v>13664</v>
      </c>
      <c r="D397" s="388" t="s">
        <v>13665</v>
      </c>
      <c r="E397" s="340" t="s">
        <v>13666</v>
      </c>
      <c r="F397" s="1137">
        <v>1.0</v>
      </c>
      <c r="G397" s="325">
        <v>32.13</v>
      </c>
      <c r="H397" s="466">
        <f t="shared" si="55"/>
        <v>32.13</v>
      </c>
      <c r="I397" s="793"/>
      <c r="J397" s="388"/>
      <c r="K397" s="256" t="s">
        <v>11086</v>
      </c>
      <c r="L397" s="592" t="s">
        <v>90</v>
      </c>
      <c r="M397" s="832">
        <v>41998.0</v>
      </c>
      <c r="N397" s="592" t="s">
        <v>90</v>
      </c>
      <c r="O397" s="388"/>
      <c r="P397" s="388" t="s">
        <v>90</v>
      </c>
      <c r="Q397" s="773" t="s">
        <v>13667</v>
      </c>
      <c r="R397" s="466">
        <v>27.3</v>
      </c>
      <c r="S397" s="793"/>
      <c r="T397" s="388" t="s">
        <v>6081</v>
      </c>
      <c r="U397" s="1143">
        <v>42013.0</v>
      </c>
      <c r="V397" s="1133">
        <v>41998.0</v>
      </c>
      <c r="W397" s="773">
        <v>854.0</v>
      </c>
      <c r="X397" s="388" t="s">
        <v>13668</v>
      </c>
      <c r="Y397" s="388"/>
      <c r="Z397" s="91"/>
    </row>
    <row r="398" ht="15.75" customHeight="1">
      <c r="A398" s="1293">
        <v>41995.0</v>
      </c>
      <c r="B398" s="599" t="s">
        <v>11771</v>
      </c>
      <c r="C398" s="388"/>
      <c r="D398" s="388" t="s">
        <v>13669</v>
      </c>
      <c r="E398" s="340" t="s">
        <v>13670</v>
      </c>
      <c r="F398" s="1137">
        <v>1.0</v>
      </c>
      <c r="G398" s="466">
        <v>1070.0</v>
      </c>
      <c r="H398" s="466">
        <v>1070.0</v>
      </c>
      <c r="I398" s="793"/>
      <c r="J398" s="793"/>
      <c r="K398" s="256" t="s">
        <v>10949</v>
      </c>
      <c r="L398" s="592" t="s">
        <v>11774</v>
      </c>
      <c r="M398" s="832">
        <v>42002.0</v>
      </c>
      <c r="N398" s="592" t="s">
        <v>6067</v>
      </c>
      <c r="O398" s="832">
        <v>41999.0</v>
      </c>
      <c r="P398" s="388" t="s">
        <v>90</v>
      </c>
      <c r="Q398" s="773" t="s">
        <v>13671</v>
      </c>
      <c r="R398" s="466">
        <v>924.0</v>
      </c>
      <c r="S398" s="793"/>
      <c r="T398" s="388" t="s">
        <v>6081</v>
      </c>
      <c r="U398" s="1143">
        <v>42013.0</v>
      </c>
      <c r="V398" s="1133">
        <v>41999.0</v>
      </c>
      <c r="W398" s="1149">
        <v>28893.0</v>
      </c>
      <c r="X398" s="265" t="s">
        <v>13623</v>
      </c>
      <c r="Y398" s="388"/>
      <c r="Z398" s="91"/>
    </row>
    <row r="399" ht="15.75" customHeight="1">
      <c r="A399" s="1293">
        <v>41995.0</v>
      </c>
      <c r="B399" s="599" t="s">
        <v>12084</v>
      </c>
      <c r="C399" s="388" t="s">
        <v>13672</v>
      </c>
      <c r="D399" s="388" t="s">
        <v>13673</v>
      </c>
      <c r="E399" s="599" t="s">
        <v>4780</v>
      </c>
      <c r="F399" s="1137">
        <v>10.0</v>
      </c>
      <c r="G399" s="1137">
        <v>91.0</v>
      </c>
      <c r="H399" s="466">
        <f t="shared" ref="H399:H400" si="57">G399*F399</f>
        <v>910</v>
      </c>
      <c r="I399" s="388"/>
      <c r="J399" s="388"/>
      <c r="K399" s="256" t="s">
        <v>3874</v>
      </c>
      <c r="L399" s="592" t="s">
        <v>13391</v>
      </c>
      <c r="M399" s="832">
        <v>42002.0</v>
      </c>
      <c r="N399" s="592" t="s">
        <v>6067</v>
      </c>
      <c r="O399" s="832">
        <v>41999.0</v>
      </c>
      <c r="P399" s="388" t="s">
        <v>90</v>
      </c>
      <c r="Q399" s="388" t="s">
        <v>13674</v>
      </c>
      <c r="R399" s="773">
        <v>829.5</v>
      </c>
      <c r="S399" s="793"/>
      <c r="T399" s="388" t="s">
        <v>6081</v>
      </c>
      <c r="U399" s="1143">
        <v>42013.0</v>
      </c>
      <c r="V399" s="1133">
        <v>41999.0</v>
      </c>
      <c r="W399" s="1149">
        <v>55292.0</v>
      </c>
      <c r="X399" s="265" t="s">
        <v>13675</v>
      </c>
      <c r="Y399" s="388"/>
      <c r="Z399" s="91"/>
    </row>
    <row r="400" ht="15.75" customHeight="1">
      <c r="A400" s="1293">
        <v>41995.0</v>
      </c>
      <c r="B400" s="599" t="s">
        <v>12084</v>
      </c>
      <c r="C400" s="388" t="s">
        <v>13672</v>
      </c>
      <c r="D400" s="388" t="s">
        <v>13673</v>
      </c>
      <c r="E400" s="599" t="s">
        <v>13676</v>
      </c>
      <c r="F400" s="1137">
        <v>3.0</v>
      </c>
      <c r="G400" s="1137">
        <v>348.0</v>
      </c>
      <c r="H400" s="466">
        <f t="shared" si="57"/>
        <v>1044</v>
      </c>
      <c r="I400" s="388"/>
      <c r="J400" s="388"/>
      <c r="K400" s="256" t="s">
        <v>3874</v>
      </c>
      <c r="L400" s="592" t="s">
        <v>13391</v>
      </c>
      <c r="M400" s="832">
        <v>42002.0</v>
      </c>
      <c r="N400" s="592" t="s">
        <v>6067</v>
      </c>
      <c r="O400" s="832">
        <v>41999.0</v>
      </c>
      <c r="P400" s="388" t="s">
        <v>90</v>
      </c>
      <c r="Q400" s="388" t="s">
        <v>13674</v>
      </c>
      <c r="R400" s="773">
        <v>938.7</v>
      </c>
      <c r="S400" s="793"/>
      <c r="T400" s="388" t="s">
        <v>6081</v>
      </c>
      <c r="U400" s="1143">
        <v>42013.0</v>
      </c>
      <c r="V400" s="388"/>
      <c r="W400" s="388"/>
      <c r="X400" s="265" t="s">
        <v>13675</v>
      </c>
      <c r="Y400" s="388"/>
      <c r="Z400" s="91"/>
    </row>
    <row r="401" ht="15.75" customHeight="1">
      <c r="A401" s="1317"/>
      <c r="B401" s="629"/>
      <c r="C401" s="66"/>
      <c r="D401" s="66"/>
      <c r="E401" s="629"/>
      <c r="F401" s="66"/>
      <c r="G401" s="1318"/>
      <c r="H401" s="1318"/>
      <c r="I401" s="1318"/>
      <c r="J401" s="66"/>
      <c r="K401" s="66"/>
      <c r="L401" s="66"/>
      <c r="M401" s="66"/>
      <c r="N401" s="66"/>
      <c r="O401" s="66"/>
      <c r="P401" s="66"/>
      <c r="Q401" s="66"/>
      <c r="R401" s="1318"/>
      <c r="S401" s="1318"/>
      <c r="T401" s="66"/>
      <c r="U401" s="66"/>
      <c r="V401" s="66"/>
      <c r="W401" s="66"/>
      <c r="X401" s="66"/>
      <c r="Y401" s="66"/>
      <c r="Z401" s="91"/>
    </row>
    <row r="402" ht="15.75" customHeight="1">
      <c r="A402" s="1317"/>
      <c r="B402" s="629"/>
      <c r="C402" s="66"/>
      <c r="D402" s="66"/>
      <c r="E402" s="629"/>
      <c r="F402" s="66"/>
      <c r="G402" s="1318"/>
      <c r="H402" s="1318"/>
      <c r="I402" s="1318"/>
      <c r="J402" s="1318"/>
      <c r="K402" s="66"/>
      <c r="L402" s="66"/>
      <c r="M402" s="66"/>
      <c r="N402" s="66"/>
      <c r="O402" s="66"/>
      <c r="P402" s="66"/>
      <c r="Q402" s="66"/>
      <c r="R402" s="1318"/>
      <c r="S402" s="1318"/>
      <c r="T402" s="66"/>
      <c r="U402" s="66"/>
      <c r="V402" s="66"/>
      <c r="W402" s="66"/>
      <c r="X402" s="66"/>
      <c r="Y402" s="66"/>
      <c r="Z402" s="91"/>
    </row>
    <row r="403" ht="15.75" customHeight="1">
      <c r="A403" s="1317"/>
      <c r="B403" s="629"/>
      <c r="C403" s="66"/>
      <c r="D403" s="66"/>
      <c r="E403" s="629"/>
      <c r="F403" s="66"/>
      <c r="G403" s="1318"/>
      <c r="H403" s="1318"/>
      <c r="I403" s="1318"/>
      <c r="J403" s="1318"/>
      <c r="K403" s="66"/>
      <c r="L403" s="66"/>
      <c r="M403" s="66"/>
      <c r="N403" s="66"/>
      <c r="O403" s="66"/>
      <c r="P403" s="66"/>
      <c r="Q403" s="66"/>
      <c r="R403" s="1318"/>
      <c r="S403" s="1318"/>
      <c r="T403" s="66"/>
      <c r="U403" s="66"/>
      <c r="V403" s="66"/>
      <c r="W403" s="66"/>
      <c r="X403" s="66"/>
      <c r="Y403" s="66"/>
      <c r="Z403" s="91"/>
    </row>
    <row r="404" ht="15.75" customHeight="1">
      <c r="A404" s="1317"/>
      <c r="B404" s="629"/>
      <c r="C404" s="66"/>
      <c r="D404" s="66"/>
      <c r="E404" s="629"/>
      <c r="F404" s="66"/>
      <c r="G404" s="1318"/>
      <c r="H404" s="1318"/>
      <c r="I404" s="1318"/>
      <c r="J404" s="1318"/>
      <c r="K404" s="66"/>
      <c r="L404" s="66"/>
      <c r="M404" s="66"/>
      <c r="N404" s="66"/>
      <c r="O404" s="66"/>
      <c r="P404" s="66"/>
      <c r="Q404" s="66"/>
      <c r="R404" s="1318"/>
      <c r="S404" s="1318"/>
      <c r="T404" s="66"/>
      <c r="U404" s="66"/>
      <c r="V404" s="66"/>
      <c r="W404" s="66"/>
      <c r="X404" s="66"/>
      <c r="Y404" s="66"/>
      <c r="Z404" s="91"/>
    </row>
    <row r="405" ht="15.75" customHeight="1">
      <c r="A405" s="1317"/>
      <c r="B405" s="629"/>
      <c r="C405" s="66"/>
      <c r="D405" s="66"/>
      <c r="E405" s="629"/>
      <c r="F405" s="66"/>
      <c r="G405" s="1318"/>
      <c r="H405" s="1318"/>
      <c r="I405" s="1318"/>
      <c r="J405" s="1318"/>
      <c r="K405" s="66"/>
      <c r="L405" s="66"/>
      <c r="M405" s="66"/>
      <c r="N405" s="66"/>
      <c r="O405" s="66"/>
      <c r="P405" s="66"/>
      <c r="Q405" s="66"/>
      <c r="R405" s="1318"/>
      <c r="S405" s="1318"/>
      <c r="T405" s="66"/>
      <c r="U405" s="66"/>
      <c r="V405" s="66"/>
      <c r="W405" s="66"/>
      <c r="X405" s="66"/>
      <c r="Y405" s="66"/>
      <c r="Z405" s="91"/>
    </row>
    <row r="406" ht="15.75" customHeight="1">
      <c r="A406" s="1317"/>
      <c r="B406" s="629"/>
      <c r="C406" s="66"/>
      <c r="D406" s="66"/>
      <c r="E406" s="629"/>
      <c r="F406" s="66"/>
      <c r="G406" s="1318"/>
      <c r="H406" s="1318"/>
      <c r="I406" s="1318"/>
      <c r="J406" s="1318"/>
      <c r="K406" s="66"/>
      <c r="L406" s="66"/>
      <c r="M406" s="66"/>
      <c r="N406" s="66"/>
      <c r="O406" s="66"/>
      <c r="P406" s="66"/>
      <c r="Q406" s="66"/>
      <c r="R406" s="1318"/>
      <c r="S406" s="1318"/>
      <c r="T406" s="66"/>
      <c r="U406" s="66"/>
      <c r="V406" s="66"/>
      <c r="W406" s="66"/>
      <c r="X406" s="66"/>
      <c r="Y406" s="66"/>
      <c r="Z406" s="91"/>
    </row>
    <row r="407" ht="15.75" customHeight="1">
      <c r="A407" s="1317"/>
      <c r="B407" s="629"/>
      <c r="C407" s="66"/>
      <c r="D407" s="66"/>
      <c r="E407" s="629"/>
      <c r="F407" s="66"/>
      <c r="G407" s="1318"/>
      <c r="H407" s="1318"/>
      <c r="I407" s="1318"/>
      <c r="J407" s="1318"/>
      <c r="K407" s="66"/>
      <c r="L407" s="66"/>
      <c r="M407" s="66"/>
      <c r="N407" s="66"/>
      <c r="O407" s="66"/>
      <c r="P407" s="66"/>
      <c r="Q407" s="66"/>
      <c r="R407" s="1318"/>
      <c r="S407" s="1318"/>
      <c r="T407" s="66"/>
      <c r="U407" s="66"/>
      <c r="V407" s="66"/>
      <c r="W407" s="66"/>
      <c r="X407" s="66"/>
      <c r="Y407" s="66"/>
      <c r="Z407" s="91"/>
    </row>
    <row r="408" ht="15.75" customHeight="1">
      <c r="A408" s="1317"/>
      <c r="B408" s="629"/>
      <c r="C408" s="66"/>
      <c r="D408" s="66"/>
      <c r="E408" s="629"/>
      <c r="F408" s="66"/>
      <c r="G408" s="1318"/>
      <c r="H408" s="1318"/>
      <c r="I408" s="1318"/>
      <c r="J408" s="1318"/>
      <c r="K408" s="66"/>
      <c r="L408" s="66"/>
      <c r="M408" s="66"/>
      <c r="N408" s="66"/>
      <c r="O408" s="66"/>
      <c r="P408" s="66"/>
      <c r="Q408" s="66"/>
      <c r="R408" s="1318"/>
      <c r="S408" s="1318"/>
      <c r="T408" s="66"/>
      <c r="U408" s="66"/>
      <c r="V408" s="66"/>
      <c r="W408" s="66"/>
      <c r="X408" s="66"/>
      <c r="Y408" s="66"/>
      <c r="Z408" s="91"/>
    </row>
    <row r="409" ht="15.75" customHeight="1">
      <c r="A409" s="91"/>
      <c r="B409" s="223"/>
      <c r="C409" s="91"/>
      <c r="D409" s="91"/>
      <c r="E409" s="223"/>
      <c r="F409" s="91"/>
      <c r="G409" s="242"/>
      <c r="H409" s="1319">
        <f>SUM(H2:H408)</f>
        <v>572983.47</v>
      </c>
      <c r="I409" s="242"/>
      <c r="J409" s="242"/>
      <c r="K409" s="91"/>
      <c r="L409" s="91"/>
      <c r="M409" s="91"/>
      <c r="N409" s="91"/>
      <c r="O409" s="91"/>
      <c r="P409" s="91"/>
      <c r="Q409" s="91"/>
      <c r="R409" s="1320">
        <f t="shared" ref="R409:S409" si="58">SUM(R4:R388)</f>
        <v>335173.93</v>
      </c>
      <c r="S409" s="1320">
        <f t="shared" si="58"/>
        <v>5065681.29</v>
      </c>
      <c r="T409" s="91"/>
      <c r="U409" s="1321"/>
      <c r="V409" s="1321"/>
      <c r="W409" s="91"/>
      <c r="X409" s="91"/>
      <c r="Y409" s="1321"/>
      <c r="Z409" s="91"/>
    </row>
    <row r="410" ht="15.75" customHeight="1">
      <c r="A410" s="91"/>
      <c r="B410" s="223"/>
      <c r="C410" s="91"/>
      <c r="D410" s="91"/>
      <c r="E410" s="223"/>
      <c r="F410" s="91"/>
      <c r="G410" s="242"/>
      <c r="H410" s="242"/>
      <c r="I410" s="242"/>
      <c r="J410" s="242"/>
      <c r="K410" s="91"/>
      <c r="L410" s="91"/>
      <c r="M410" s="91"/>
      <c r="N410" s="91"/>
      <c r="O410" s="91"/>
      <c r="P410" s="91"/>
      <c r="Q410" s="91"/>
      <c r="R410" s="242"/>
      <c r="S410" s="242"/>
      <c r="T410" s="91"/>
      <c r="U410" s="1321"/>
      <c r="V410" s="1321"/>
      <c r="W410" s="91"/>
      <c r="X410" s="91"/>
      <c r="Y410" s="1321"/>
      <c r="Z410" s="91"/>
    </row>
    <row r="411" ht="15.75" customHeight="1">
      <c r="A411" s="91"/>
      <c r="B411" s="223"/>
      <c r="C411" s="91"/>
      <c r="D411" s="91"/>
      <c r="E411" s="223"/>
      <c r="F411" s="91"/>
      <c r="G411" s="242"/>
      <c r="H411" s="242"/>
      <c r="I411" s="242"/>
      <c r="J411" s="242"/>
      <c r="K411" s="91"/>
      <c r="L411" s="91"/>
      <c r="M411" s="91"/>
      <c r="N411" s="91"/>
      <c r="O411" s="91"/>
      <c r="P411" s="91"/>
      <c r="Q411" s="91"/>
      <c r="R411" s="242"/>
      <c r="S411" s="242"/>
      <c r="T411" s="91"/>
      <c r="U411" s="1321"/>
      <c r="V411" s="1321"/>
      <c r="W411" s="91"/>
      <c r="X411" s="91"/>
      <c r="Y411" s="1321"/>
      <c r="Z411" s="91"/>
    </row>
    <row r="412" ht="15.75" customHeight="1">
      <c r="A412" s="91"/>
      <c r="B412" s="223"/>
      <c r="C412" s="91"/>
      <c r="D412" s="91"/>
      <c r="E412" s="223"/>
      <c r="F412" s="91"/>
      <c r="G412" s="242"/>
      <c r="H412" s="242"/>
      <c r="I412" s="242"/>
      <c r="J412" s="242"/>
      <c r="K412" s="91"/>
      <c r="L412" s="91"/>
      <c r="M412" s="91"/>
      <c r="N412" s="91"/>
      <c r="O412" s="91"/>
      <c r="P412" s="91"/>
      <c r="Q412" s="91"/>
      <c r="R412" s="242"/>
      <c r="S412" s="242"/>
      <c r="T412" s="91"/>
      <c r="U412" s="1321"/>
      <c r="V412" s="1321"/>
      <c r="W412" s="91"/>
      <c r="X412" s="91"/>
      <c r="Y412" s="1321"/>
      <c r="Z412" s="91"/>
    </row>
    <row r="413" ht="15.75" customHeight="1">
      <c r="A413" s="91"/>
      <c r="B413" s="223"/>
      <c r="C413" s="91"/>
      <c r="D413" s="91"/>
      <c r="E413" s="223"/>
      <c r="F413" s="91"/>
      <c r="G413" s="242"/>
      <c r="H413" s="242"/>
      <c r="I413" s="242"/>
      <c r="J413" s="242"/>
      <c r="K413" s="91"/>
      <c r="L413" s="91"/>
      <c r="M413" s="91"/>
      <c r="N413" s="91"/>
      <c r="O413" s="91"/>
      <c r="P413" s="91"/>
      <c r="Q413" s="91"/>
      <c r="R413" s="242"/>
      <c r="S413" s="242"/>
      <c r="T413" s="91"/>
      <c r="U413" s="1321"/>
      <c r="V413" s="1321"/>
      <c r="W413" s="91"/>
      <c r="X413" s="91"/>
      <c r="Y413" s="1321"/>
      <c r="Z413" s="91"/>
    </row>
    <row r="414" ht="15.75" customHeight="1">
      <c r="A414" s="91"/>
      <c r="B414" s="223"/>
      <c r="C414" s="91"/>
      <c r="D414" s="91"/>
      <c r="E414" s="223"/>
      <c r="F414" s="91"/>
      <c r="G414" s="242"/>
      <c r="H414" s="242"/>
      <c r="I414" s="242"/>
      <c r="J414" s="242"/>
      <c r="K414" s="91"/>
      <c r="L414" s="91"/>
      <c r="M414" s="91"/>
      <c r="N414" s="91"/>
      <c r="O414" s="91"/>
      <c r="P414" s="91"/>
      <c r="Q414" s="91"/>
      <c r="R414" s="242"/>
      <c r="S414" s="242"/>
      <c r="T414" s="91"/>
      <c r="U414" s="1321"/>
      <c r="V414" s="1321"/>
      <c r="W414" s="91"/>
      <c r="X414" s="91"/>
      <c r="Y414" s="1321"/>
      <c r="Z414" s="91"/>
    </row>
    <row r="415" ht="15.75" customHeight="1">
      <c r="A415" s="91"/>
      <c r="B415" s="223"/>
      <c r="C415" s="91"/>
      <c r="D415" s="91"/>
      <c r="E415" s="223"/>
      <c r="F415" s="91"/>
      <c r="G415" s="242"/>
      <c r="H415" s="242"/>
      <c r="I415" s="242"/>
      <c r="J415" s="242"/>
      <c r="K415" s="91"/>
      <c r="L415" s="91"/>
      <c r="M415" s="91"/>
      <c r="N415" s="91"/>
      <c r="O415" s="91"/>
      <c r="P415" s="91"/>
      <c r="Q415" s="91"/>
      <c r="R415" s="242"/>
      <c r="S415" s="242"/>
      <c r="T415" s="91"/>
      <c r="U415" s="1321"/>
      <c r="V415" s="1321"/>
      <c r="W415" s="91"/>
      <c r="X415" s="91"/>
      <c r="Y415" s="1321"/>
      <c r="Z415" s="91"/>
    </row>
    <row r="416" ht="15.75" customHeight="1">
      <c r="A416" s="91"/>
      <c r="B416" s="223"/>
      <c r="C416" s="91"/>
      <c r="D416" s="91"/>
      <c r="E416" s="223"/>
      <c r="F416" s="91"/>
      <c r="G416" s="242"/>
      <c r="H416" s="242"/>
      <c r="I416" s="242"/>
      <c r="J416" s="242"/>
      <c r="K416" s="91"/>
      <c r="L416" s="91"/>
      <c r="M416" s="91"/>
      <c r="N416" s="91"/>
      <c r="O416" s="91"/>
      <c r="P416" s="91"/>
      <c r="Q416" s="91"/>
      <c r="R416" s="242"/>
      <c r="S416" s="242"/>
      <c r="T416" s="91"/>
      <c r="U416" s="1321"/>
      <c r="V416" s="1321"/>
      <c r="W416" s="91"/>
      <c r="X416" s="91"/>
      <c r="Y416" s="1321"/>
      <c r="Z416" s="91"/>
    </row>
    <row r="417" ht="15.75" customHeight="1">
      <c r="A417" s="91"/>
      <c r="B417" s="223"/>
      <c r="C417" s="91"/>
      <c r="D417" s="91"/>
      <c r="E417" s="223"/>
      <c r="F417" s="91"/>
      <c r="G417" s="242"/>
      <c r="H417" s="242"/>
      <c r="I417" s="242"/>
      <c r="J417" s="242"/>
      <c r="K417" s="91"/>
      <c r="L417" s="91"/>
      <c r="M417" s="91"/>
      <c r="N417" s="91"/>
      <c r="O417" s="91"/>
      <c r="P417" s="91"/>
      <c r="Q417" s="91"/>
      <c r="R417" s="242"/>
      <c r="S417" s="242"/>
      <c r="T417" s="91"/>
      <c r="U417" s="1321"/>
      <c r="V417" s="1321"/>
      <c r="W417" s="91"/>
      <c r="X417" s="91"/>
      <c r="Y417" s="1321"/>
      <c r="Z417" s="91"/>
    </row>
    <row r="418" ht="15.75" customHeight="1">
      <c r="A418" s="91"/>
      <c r="B418" s="223"/>
      <c r="C418" s="91"/>
      <c r="D418" s="91"/>
      <c r="E418" s="223"/>
      <c r="F418" s="91"/>
      <c r="G418" s="242"/>
      <c r="H418" s="242"/>
      <c r="I418" s="242"/>
      <c r="J418" s="242"/>
      <c r="K418" s="91"/>
      <c r="L418" s="91"/>
      <c r="M418" s="91"/>
      <c r="N418" s="91"/>
      <c r="O418" s="91"/>
      <c r="P418" s="91"/>
      <c r="Q418" s="91"/>
      <c r="R418" s="242"/>
      <c r="S418" s="242"/>
      <c r="T418" s="91"/>
      <c r="U418" s="1321"/>
      <c r="V418" s="1321"/>
      <c r="W418" s="91"/>
      <c r="X418" s="91"/>
      <c r="Y418" s="1321"/>
      <c r="Z418" s="91"/>
    </row>
    <row r="419" ht="15.75" customHeight="1">
      <c r="A419" s="91"/>
      <c r="B419" s="223"/>
      <c r="C419" s="91"/>
      <c r="D419" s="91"/>
      <c r="E419" s="223"/>
      <c r="F419" s="91"/>
      <c r="G419" s="242"/>
      <c r="H419" s="242"/>
      <c r="I419" s="242"/>
      <c r="J419" s="242"/>
      <c r="K419" s="91"/>
      <c r="L419" s="91"/>
      <c r="M419" s="91"/>
      <c r="N419" s="91"/>
      <c r="O419" s="91"/>
      <c r="P419" s="91"/>
      <c r="Q419" s="91"/>
      <c r="R419" s="242"/>
      <c r="S419" s="242"/>
      <c r="T419" s="91"/>
      <c r="U419" s="1321"/>
      <c r="V419" s="1321"/>
      <c r="W419" s="91"/>
      <c r="X419" s="91"/>
      <c r="Y419" s="1321"/>
      <c r="Z419" s="91"/>
    </row>
    <row r="420" ht="15.75" customHeight="1">
      <c r="A420" s="91"/>
      <c r="B420" s="223"/>
      <c r="C420" s="91"/>
      <c r="D420" s="91"/>
      <c r="E420" s="223"/>
      <c r="F420" s="91"/>
      <c r="G420" s="242"/>
      <c r="H420" s="242"/>
      <c r="I420" s="242"/>
      <c r="J420" s="242"/>
      <c r="K420" s="91"/>
      <c r="L420" s="91"/>
      <c r="M420" s="91"/>
      <c r="N420" s="91"/>
      <c r="O420" s="91"/>
      <c r="P420" s="91"/>
      <c r="Q420" s="91"/>
      <c r="R420" s="242"/>
      <c r="S420" s="242"/>
      <c r="T420" s="91"/>
      <c r="U420" s="1321"/>
      <c r="V420" s="1321"/>
      <c r="W420" s="91"/>
      <c r="X420" s="91"/>
      <c r="Y420" s="1321"/>
      <c r="Z420" s="91"/>
    </row>
    <row r="421" ht="15.75" customHeight="1">
      <c r="A421" s="91"/>
      <c r="B421" s="223"/>
      <c r="C421" s="91"/>
      <c r="D421" s="91"/>
      <c r="E421" s="223"/>
      <c r="F421" s="91"/>
      <c r="G421" s="242"/>
      <c r="H421" s="242"/>
      <c r="I421" s="242"/>
      <c r="J421" s="242"/>
      <c r="K421" s="91"/>
      <c r="L421" s="91"/>
      <c r="M421" s="91"/>
      <c r="N421" s="91"/>
      <c r="O421" s="91"/>
      <c r="P421" s="91"/>
      <c r="Q421" s="91"/>
      <c r="R421" s="242"/>
      <c r="S421" s="242"/>
      <c r="T421" s="91"/>
      <c r="U421" s="1321"/>
      <c r="V421" s="1321"/>
      <c r="W421" s="91"/>
      <c r="X421" s="91"/>
      <c r="Y421" s="1321"/>
      <c r="Z421" s="91"/>
    </row>
    <row r="422" ht="15.75" customHeight="1">
      <c r="A422" s="91"/>
      <c r="B422" s="223"/>
      <c r="C422" s="91"/>
      <c r="D422" s="91"/>
      <c r="E422" s="223"/>
      <c r="F422" s="91"/>
      <c r="G422" s="242"/>
      <c r="H422" s="242"/>
      <c r="I422" s="242"/>
      <c r="J422" s="242"/>
      <c r="K422" s="91"/>
      <c r="L422" s="91"/>
      <c r="M422" s="91"/>
      <c r="N422" s="91"/>
      <c r="O422" s="91"/>
      <c r="P422" s="91"/>
      <c r="Q422" s="91"/>
      <c r="R422" s="242"/>
      <c r="S422" s="242"/>
      <c r="T422" s="91"/>
      <c r="U422" s="1321"/>
      <c r="V422" s="1321"/>
      <c r="W422" s="91"/>
      <c r="X422" s="91"/>
      <c r="Y422" s="1321"/>
      <c r="Z422" s="91"/>
    </row>
    <row r="423" ht="15.75" customHeight="1">
      <c r="A423" s="91"/>
      <c r="B423" s="223"/>
      <c r="C423" s="91"/>
      <c r="D423" s="91"/>
      <c r="E423" s="223"/>
      <c r="F423" s="91"/>
      <c r="G423" s="242"/>
      <c r="H423" s="242"/>
      <c r="I423" s="242"/>
      <c r="J423" s="242"/>
      <c r="K423" s="91"/>
      <c r="L423" s="91"/>
      <c r="M423" s="91"/>
      <c r="N423" s="91"/>
      <c r="O423" s="91"/>
      <c r="P423" s="91"/>
      <c r="Q423" s="91"/>
      <c r="R423" s="242"/>
      <c r="S423" s="242"/>
      <c r="T423" s="91"/>
      <c r="U423" s="1321"/>
      <c r="V423" s="1321"/>
      <c r="W423" s="91"/>
      <c r="X423" s="91"/>
      <c r="Y423" s="1321"/>
      <c r="Z423" s="91"/>
    </row>
    <row r="424" ht="15.75" customHeight="1">
      <c r="A424" s="91"/>
      <c r="B424" s="223"/>
      <c r="C424" s="91"/>
      <c r="D424" s="91"/>
      <c r="E424" s="223"/>
      <c r="F424" s="91"/>
      <c r="G424" s="242"/>
      <c r="H424" s="242"/>
      <c r="I424" s="242"/>
      <c r="J424" s="242"/>
      <c r="K424" s="91"/>
      <c r="L424" s="91"/>
      <c r="M424" s="91"/>
      <c r="N424" s="91"/>
      <c r="O424" s="91"/>
      <c r="P424" s="91"/>
      <c r="Q424" s="91"/>
      <c r="R424" s="242"/>
      <c r="S424" s="242"/>
      <c r="T424" s="91"/>
      <c r="U424" s="1321"/>
      <c r="V424" s="1321"/>
      <c r="W424" s="91"/>
      <c r="X424" s="91"/>
      <c r="Y424" s="1321"/>
      <c r="Z424" s="91"/>
    </row>
    <row r="425" ht="15.75" customHeight="1">
      <c r="A425" s="91"/>
      <c r="B425" s="223"/>
      <c r="C425" s="91"/>
      <c r="D425" s="91"/>
      <c r="E425" s="223"/>
      <c r="F425" s="91"/>
      <c r="G425" s="242"/>
      <c r="H425" s="242"/>
      <c r="I425" s="242"/>
      <c r="J425" s="242"/>
      <c r="K425" s="91"/>
      <c r="L425" s="91"/>
      <c r="M425" s="91"/>
      <c r="N425" s="91"/>
      <c r="O425" s="91"/>
      <c r="P425" s="91"/>
      <c r="Q425" s="91"/>
      <c r="R425" s="242"/>
      <c r="S425" s="242"/>
      <c r="T425" s="91"/>
      <c r="U425" s="1321"/>
      <c r="V425" s="1321"/>
      <c r="W425" s="91"/>
      <c r="X425" s="91"/>
      <c r="Y425" s="1321"/>
      <c r="Z425" s="91"/>
    </row>
    <row r="426" ht="15.75" customHeight="1">
      <c r="A426" s="91"/>
      <c r="B426" s="223"/>
      <c r="C426" s="91"/>
      <c r="D426" s="91"/>
      <c r="E426" s="223"/>
      <c r="F426" s="91"/>
      <c r="G426" s="242"/>
      <c r="H426" s="242"/>
      <c r="I426" s="242"/>
      <c r="J426" s="242"/>
      <c r="K426" s="91"/>
      <c r="L426" s="91"/>
      <c r="M426" s="91"/>
      <c r="N426" s="91"/>
      <c r="O426" s="91"/>
      <c r="P426" s="91"/>
      <c r="Q426" s="91"/>
      <c r="R426" s="242"/>
      <c r="S426" s="242"/>
      <c r="T426" s="91"/>
      <c r="U426" s="1321"/>
      <c r="V426" s="1321"/>
      <c r="W426" s="91"/>
      <c r="X426" s="91"/>
      <c r="Y426" s="1321"/>
      <c r="Z426" s="91"/>
    </row>
    <row r="427" ht="15.75" customHeight="1">
      <c r="A427" s="91"/>
      <c r="B427" s="223"/>
      <c r="C427" s="91"/>
      <c r="D427" s="91"/>
      <c r="E427" s="223"/>
      <c r="F427" s="91"/>
      <c r="G427" s="242"/>
      <c r="H427" s="242"/>
      <c r="I427" s="242"/>
      <c r="J427" s="242"/>
      <c r="K427" s="91"/>
      <c r="L427" s="91"/>
      <c r="M427" s="91"/>
      <c r="N427" s="91"/>
      <c r="O427" s="91"/>
      <c r="P427" s="91"/>
      <c r="Q427" s="91"/>
      <c r="R427" s="242"/>
      <c r="S427" s="242"/>
      <c r="T427" s="91"/>
      <c r="U427" s="1321"/>
      <c r="V427" s="1321"/>
      <c r="W427" s="91"/>
      <c r="X427" s="91"/>
      <c r="Y427" s="1321"/>
      <c r="Z427" s="91"/>
    </row>
    <row r="428" ht="15.75" customHeight="1">
      <c r="A428" s="91"/>
      <c r="B428" s="223"/>
      <c r="C428" s="91"/>
      <c r="D428" s="91"/>
      <c r="E428" s="223"/>
      <c r="F428" s="91"/>
      <c r="G428" s="242"/>
      <c r="H428" s="242"/>
      <c r="I428" s="242"/>
      <c r="J428" s="242"/>
      <c r="K428" s="91"/>
      <c r="L428" s="91"/>
      <c r="M428" s="91"/>
      <c r="N428" s="91"/>
      <c r="O428" s="91"/>
      <c r="P428" s="91"/>
      <c r="Q428" s="91"/>
      <c r="R428" s="242"/>
      <c r="S428" s="242"/>
      <c r="T428" s="91"/>
      <c r="U428" s="1321"/>
      <c r="V428" s="1321"/>
      <c r="W428" s="91"/>
      <c r="X428" s="91"/>
      <c r="Y428" s="1321"/>
      <c r="Z428" s="91"/>
    </row>
    <row r="429" ht="15.75" customHeight="1">
      <c r="A429" s="91"/>
      <c r="B429" s="223"/>
      <c r="C429" s="91"/>
      <c r="D429" s="91"/>
      <c r="E429" s="223"/>
      <c r="F429" s="91"/>
      <c r="G429" s="242"/>
      <c r="H429" s="242"/>
      <c r="I429" s="242"/>
      <c r="J429" s="242"/>
      <c r="K429" s="91"/>
      <c r="L429" s="91"/>
      <c r="M429" s="91"/>
      <c r="N429" s="91"/>
      <c r="O429" s="91"/>
      <c r="P429" s="91"/>
      <c r="Q429" s="91"/>
      <c r="R429" s="242"/>
      <c r="S429" s="242"/>
      <c r="T429" s="91"/>
      <c r="U429" s="1321"/>
      <c r="V429" s="1321"/>
      <c r="W429" s="91"/>
      <c r="X429" s="91"/>
      <c r="Y429" s="1321"/>
      <c r="Z429" s="91"/>
    </row>
    <row r="430" ht="15.75" customHeight="1">
      <c r="A430" s="91"/>
      <c r="B430" s="223"/>
      <c r="C430" s="91"/>
      <c r="D430" s="91"/>
      <c r="E430" s="223"/>
      <c r="F430" s="91"/>
      <c r="G430" s="242"/>
      <c r="H430" s="242"/>
      <c r="I430" s="242"/>
      <c r="J430" s="242"/>
      <c r="K430" s="91"/>
      <c r="L430" s="91"/>
      <c r="M430" s="91"/>
      <c r="N430" s="91"/>
      <c r="O430" s="91"/>
      <c r="P430" s="91"/>
      <c r="Q430" s="91"/>
      <c r="R430" s="242"/>
      <c r="S430" s="242"/>
      <c r="T430" s="91"/>
      <c r="U430" s="1321"/>
      <c r="V430" s="1321"/>
      <c r="W430" s="91"/>
      <c r="X430" s="91"/>
      <c r="Y430" s="1321"/>
      <c r="Z430" s="91"/>
    </row>
    <row r="431" ht="15.75" customHeight="1">
      <c r="A431" s="91"/>
      <c r="B431" s="223"/>
      <c r="C431" s="91"/>
      <c r="D431" s="91"/>
      <c r="E431" s="223"/>
      <c r="F431" s="91"/>
      <c r="G431" s="242"/>
      <c r="H431" s="242"/>
      <c r="I431" s="242"/>
      <c r="J431" s="242"/>
      <c r="K431" s="91"/>
      <c r="L431" s="91"/>
      <c r="M431" s="91"/>
      <c r="N431" s="91"/>
      <c r="O431" s="91"/>
      <c r="P431" s="91"/>
      <c r="Q431" s="91"/>
      <c r="R431" s="242"/>
      <c r="S431" s="242"/>
      <c r="T431" s="91"/>
      <c r="U431" s="1321"/>
      <c r="V431" s="1321"/>
      <c r="W431" s="91"/>
      <c r="X431" s="91"/>
      <c r="Y431" s="1321"/>
      <c r="Z431" s="91"/>
    </row>
    <row r="432" ht="15.75" customHeight="1">
      <c r="A432" s="91"/>
      <c r="B432" s="223"/>
      <c r="C432" s="91"/>
      <c r="D432" s="91"/>
      <c r="E432" s="223"/>
      <c r="F432" s="91"/>
      <c r="G432" s="242"/>
      <c r="H432" s="242"/>
      <c r="I432" s="242"/>
      <c r="J432" s="242"/>
      <c r="K432" s="91"/>
      <c r="L432" s="91"/>
      <c r="M432" s="91"/>
      <c r="N432" s="91"/>
      <c r="O432" s="91"/>
      <c r="P432" s="91"/>
      <c r="Q432" s="91"/>
      <c r="R432" s="242"/>
      <c r="S432" s="242"/>
      <c r="T432" s="91"/>
      <c r="U432" s="1321"/>
      <c r="V432" s="1321"/>
      <c r="W432" s="91"/>
      <c r="X432" s="91"/>
      <c r="Y432" s="1321"/>
      <c r="Z432" s="91"/>
    </row>
    <row r="433" ht="15.75" customHeight="1">
      <c r="A433" s="91"/>
      <c r="B433" s="223"/>
      <c r="C433" s="91"/>
      <c r="D433" s="91"/>
      <c r="E433" s="223"/>
      <c r="F433" s="91"/>
      <c r="G433" s="242"/>
      <c r="H433" s="242"/>
      <c r="I433" s="242"/>
      <c r="J433" s="242"/>
      <c r="K433" s="91"/>
      <c r="L433" s="91"/>
      <c r="M433" s="91"/>
      <c r="N433" s="91"/>
      <c r="O433" s="91"/>
      <c r="P433" s="91"/>
      <c r="Q433" s="91"/>
      <c r="R433" s="242"/>
      <c r="S433" s="242"/>
      <c r="T433" s="91"/>
      <c r="U433" s="1321"/>
      <c r="V433" s="1321"/>
      <c r="W433" s="91"/>
      <c r="X433" s="91"/>
      <c r="Y433" s="1321"/>
      <c r="Z433" s="91"/>
    </row>
    <row r="434" ht="15.75" customHeight="1">
      <c r="A434" s="91"/>
      <c r="B434" s="223"/>
      <c r="C434" s="91"/>
      <c r="D434" s="91"/>
      <c r="E434" s="223"/>
      <c r="F434" s="91"/>
      <c r="G434" s="242"/>
      <c r="H434" s="242"/>
      <c r="I434" s="242"/>
      <c r="J434" s="242"/>
      <c r="K434" s="91"/>
      <c r="L434" s="91"/>
      <c r="M434" s="91"/>
      <c r="N434" s="91"/>
      <c r="O434" s="91"/>
      <c r="P434" s="91"/>
      <c r="Q434" s="91"/>
      <c r="R434" s="242"/>
      <c r="S434" s="242"/>
      <c r="T434" s="91"/>
      <c r="U434" s="1321"/>
      <c r="V434" s="1321"/>
      <c r="W434" s="91"/>
      <c r="X434" s="91"/>
      <c r="Y434" s="1321"/>
      <c r="Z434" s="91"/>
    </row>
    <row r="435" ht="15.75" customHeight="1">
      <c r="A435" s="91"/>
      <c r="B435" s="223"/>
      <c r="C435" s="91"/>
      <c r="D435" s="91"/>
      <c r="E435" s="223"/>
      <c r="F435" s="91"/>
      <c r="G435" s="242"/>
      <c r="H435" s="242"/>
      <c r="I435" s="242"/>
      <c r="J435" s="242"/>
      <c r="K435" s="91"/>
      <c r="L435" s="91"/>
      <c r="M435" s="91"/>
      <c r="N435" s="91"/>
      <c r="O435" s="91"/>
      <c r="P435" s="91"/>
      <c r="Q435" s="91"/>
      <c r="R435" s="242"/>
      <c r="S435" s="242"/>
      <c r="T435" s="91"/>
      <c r="U435" s="1321"/>
      <c r="V435" s="1321"/>
      <c r="W435" s="91"/>
      <c r="X435" s="91"/>
      <c r="Y435" s="1321"/>
      <c r="Z435" s="91"/>
    </row>
    <row r="436" ht="15.75" customHeight="1">
      <c r="A436" s="91"/>
      <c r="B436" s="223"/>
      <c r="C436" s="91"/>
      <c r="D436" s="91"/>
      <c r="E436" s="223"/>
      <c r="F436" s="91"/>
      <c r="G436" s="242"/>
      <c r="H436" s="242"/>
      <c r="I436" s="242"/>
      <c r="J436" s="242"/>
      <c r="K436" s="91"/>
      <c r="L436" s="91"/>
      <c r="M436" s="91"/>
      <c r="N436" s="91"/>
      <c r="O436" s="91"/>
      <c r="P436" s="91"/>
      <c r="Q436" s="91"/>
      <c r="R436" s="242"/>
      <c r="S436" s="242"/>
      <c r="T436" s="91"/>
      <c r="U436" s="1321"/>
      <c r="V436" s="1321"/>
      <c r="W436" s="91"/>
      <c r="X436" s="91"/>
      <c r="Y436" s="1321"/>
      <c r="Z436" s="91"/>
    </row>
    <row r="437" ht="15.75" customHeight="1">
      <c r="A437" s="91"/>
      <c r="B437" s="223"/>
      <c r="C437" s="91"/>
      <c r="D437" s="91"/>
      <c r="E437" s="223"/>
      <c r="F437" s="91"/>
      <c r="G437" s="242"/>
      <c r="H437" s="242"/>
      <c r="I437" s="242"/>
      <c r="J437" s="242"/>
      <c r="K437" s="91"/>
      <c r="L437" s="91"/>
      <c r="M437" s="91"/>
      <c r="N437" s="91"/>
      <c r="O437" s="91"/>
      <c r="P437" s="91"/>
      <c r="Q437" s="91"/>
      <c r="R437" s="242"/>
      <c r="S437" s="242"/>
      <c r="T437" s="91"/>
      <c r="U437" s="1321"/>
      <c r="V437" s="1321"/>
      <c r="W437" s="91"/>
      <c r="X437" s="91"/>
      <c r="Y437" s="1321"/>
      <c r="Z437" s="91"/>
    </row>
    <row r="438" ht="15.75" customHeight="1">
      <c r="A438" s="91"/>
      <c r="B438" s="223"/>
      <c r="C438" s="91"/>
      <c r="D438" s="91"/>
      <c r="E438" s="223"/>
      <c r="F438" s="91"/>
      <c r="G438" s="242"/>
      <c r="H438" s="242"/>
      <c r="I438" s="242"/>
      <c r="J438" s="242"/>
      <c r="K438" s="91"/>
      <c r="L438" s="91"/>
      <c r="M438" s="91"/>
      <c r="N438" s="91"/>
      <c r="O438" s="91"/>
      <c r="P438" s="91"/>
      <c r="Q438" s="91"/>
      <c r="R438" s="242"/>
      <c r="S438" s="242"/>
      <c r="T438" s="91"/>
      <c r="U438" s="1321"/>
      <c r="V438" s="1321"/>
      <c r="W438" s="91"/>
      <c r="X438" s="91"/>
      <c r="Y438" s="1321"/>
      <c r="Z438" s="91"/>
    </row>
    <row r="439" ht="15.75" customHeight="1">
      <c r="A439" s="91"/>
      <c r="B439" s="223"/>
      <c r="C439" s="91"/>
      <c r="D439" s="91"/>
      <c r="E439" s="223"/>
      <c r="F439" s="91"/>
      <c r="G439" s="242"/>
      <c r="H439" s="242"/>
      <c r="I439" s="242"/>
      <c r="J439" s="242"/>
      <c r="K439" s="91"/>
      <c r="L439" s="91"/>
      <c r="M439" s="91"/>
      <c r="N439" s="91"/>
      <c r="O439" s="91"/>
      <c r="P439" s="91"/>
      <c r="Q439" s="91"/>
      <c r="R439" s="242"/>
      <c r="S439" s="242"/>
      <c r="T439" s="91"/>
      <c r="U439" s="1321"/>
      <c r="V439" s="1321"/>
      <c r="W439" s="91"/>
      <c r="X439" s="91"/>
      <c r="Y439" s="1321"/>
      <c r="Z439" s="91"/>
    </row>
    <row r="440" ht="15.75" customHeight="1">
      <c r="A440" s="91"/>
      <c r="B440" s="223"/>
      <c r="C440" s="91"/>
      <c r="D440" s="91"/>
      <c r="E440" s="223"/>
      <c r="F440" s="91"/>
      <c r="G440" s="242"/>
      <c r="H440" s="242"/>
      <c r="I440" s="242"/>
      <c r="J440" s="242"/>
      <c r="K440" s="91"/>
      <c r="L440" s="91"/>
      <c r="M440" s="91"/>
      <c r="N440" s="91"/>
      <c r="O440" s="91"/>
      <c r="P440" s="91"/>
      <c r="Q440" s="91"/>
      <c r="R440" s="242"/>
      <c r="S440" s="242"/>
      <c r="T440" s="91"/>
      <c r="U440" s="1321"/>
      <c r="V440" s="1321"/>
      <c r="W440" s="91"/>
      <c r="X440" s="91"/>
      <c r="Y440" s="1321"/>
      <c r="Z440" s="91"/>
    </row>
    <row r="441" ht="15.75" customHeight="1">
      <c r="A441" s="91"/>
      <c r="B441" s="223"/>
      <c r="C441" s="91"/>
      <c r="D441" s="91"/>
      <c r="E441" s="223"/>
      <c r="F441" s="91"/>
      <c r="G441" s="242"/>
      <c r="H441" s="242"/>
      <c r="I441" s="242"/>
      <c r="J441" s="242"/>
      <c r="K441" s="91"/>
      <c r="L441" s="91"/>
      <c r="M441" s="91"/>
      <c r="N441" s="91"/>
      <c r="O441" s="91"/>
      <c r="P441" s="91"/>
      <c r="Q441" s="91"/>
      <c r="R441" s="242"/>
      <c r="S441" s="242"/>
      <c r="T441" s="91"/>
      <c r="U441" s="1321"/>
      <c r="V441" s="1321"/>
      <c r="W441" s="91"/>
      <c r="X441" s="91"/>
      <c r="Y441" s="1321"/>
      <c r="Z441" s="91"/>
    </row>
    <row r="442" ht="15.75" customHeight="1">
      <c r="A442" s="91"/>
      <c r="B442" s="223"/>
      <c r="C442" s="91"/>
      <c r="D442" s="91"/>
      <c r="E442" s="223"/>
      <c r="F442" s="91"/>
      <c r="G442" s="242"/>
      <c r="H442" s="242"/>
      <c r="I442" s="242"/>
      <c r="J442" s="242"/>
      <c r="K442" s="91"/>
      <c r="L442" s="91"/>
      <c r="M442" s="91"/>
      <c r="N442" s="91"/>
      <c r="O442" s="91"/>
      <c r="P442" s="91"/>
      <c r="Q442" s="91"/>
      <c r="R442" s="242"/>
      <c r="S442" s="242"/>
      <c r="T442" s="91"/>
      <c r="U442" s="1321"/>
      <c r="V442" s="1321"/>
      <c r="W442" s="91"/>
      <c r="X442" s="91"/>
      <c r="Y442" s="1321"/>
      <c r="Z442" s="91"/>
    </row>
    <row r="443" ht="15.75" customHeight="1">
      <c r="A443" s="91"/>
      <c r="B443" s="223"/>
      <c r="C443" s="91"/>
      <c r="D443" s="91"/>
      <c r="E443" s="223"/>
      <c r="F443" s="91"/>
      <c r="G443" s="242"/>
      <c r="H443" s="242"/>
      <c r="I443" s="242"/>
      <c r="J443" s="242"/>
      <c r="K443" s="91"/>
      <c r="L443" s="91"/>
      <c r="M443" s="91"/>
      <c r="N443" s="91"/>
      <c r="O443" s="91"/>
      <c r="P443" s="91"/>
      <c r="Q443" s="91"/>
      <c r="R443" s="242"/>
      <c r="S443" s="242"/>
      <c r="T443" s="91"/>
      <c r="U443" s="1321"/>
      <c r="V443" s="1321"/>
      <c r="W443" s="91"/>
      <c r="X443" s="91"/>
      <c r="Y443" s="1321"/>
      <c r="Z443" s="91"/>
    </row>
    <row r="444" ht="15.75" customHeight="1">
      <c r="A444" s="91"/>
      <c r="B444" s="223"/>
      <c r="C444" s="91"/>
      <c r="D444" s="91"/>
      <c r="E444" s="223"/>
      <c r="F444" s="91"/>
      <c r="G444" s="242"/>
      <c r="H444" s="242"/>
      <c r="I444" s="242"/>
      <c r="J444" s="242"/>
      <c r="K444" s="91"/>
      <c r="L444" s="91"/>
      <c r="M444" s="91"/>
      <c r="N444" s="91"/>
      <c r="O444" s="91"/>
      <c r="P444" s="91"/>
      <c r="Q444" s="91"/>
      <c r="R444" s="242"/>
      <c r="S444" s="242"/>
      <c r="T444" s="91"/>
      <c r="U444" s="1321"/>
      <c r="V444" s="1321"/>
      <c r="W444" s="91"/>
      <c r="X444" s="91"/>
      <c r="Y444" s="1321"/>
      <c r="Z444" s="91"/>
    </row>
    <row r="445" ht="15.75" customHeight="1">
      <c r="A445" s="91"/>
      <c r="B445" s="223"/>
      <c r="C445" s="91"/>
      <c r="D445" s="91"/>
      <c r="E445" s="223"/>
      <c r="F445" s="91"/>
      <c r="G445" s="242"/>
      <c r="H445" s="242"/>
      <c r="I445" s="242"/>
      <c r="J445" s="242"/>
      <c r="K445" s="91"/>
      <c r="L445" s="91"/>
      <c r="M445" s="91"/>
      <c r="N445" s="91"/>
      <c r="O445" s="91"/>
      <c r="P445" s="91"/>
      <c r="Q445" s="91"/>
      <c r="R445" s="242"/>
      <c r="S445" s="242"/>
      <c r="T445" s="91"/>
      <c r="U445" s="1321"/>
      <c r="V445" s="1321"/>
      <c r="W445" s="91"/>
      <c r="X445" s="91"/>
      <c r="Y445" s="1321"/>
      <c r="Z445" s="91"/>
    </row>
    <row r="446" ht="15.75" customHeight="1">
      <c r="A446" s="91"/>
      <c r="B446" s="223"/>
      <c r="C446" s="91"/>
      <c r="D446" s="91"/>
      <c r="E446" s="223"/>
      <c r="F446" s="91"/>
      <c r="G446" s="242"/>
      <c r="H446" s="242"/>
      <c r="I446" s="242"/>
      <c r="J446" s="242"/>
      <c r="K446" s="91"/>
      <c r="L446" s="91"/>
      <c r="M446" s="91"/>
      <c r="N446" s="91"/>
      <c r="O446" s="91"/>
      <c r="P446" s="91"/>
      <c r="Q446" s="91"/>
      <c r="R446" s="242"/>
      <c r="S446" s="242"/>
      <c r="T446" s="91"/>
      <c r="U446" s="1321"/>
      <c r="V446" s="1321"/>
      <c r="W446" s="91"/>
      <c r="X446" s="91"/>
      <c r="Y446" s="1321"/>
      <c r="Z446" s="91"/>
    </row>
    <row r="447" ht="15.75" customHeight="1">
      <c r="A447" s="91"/>
      <c r="B447" s="223"/>
      <c r="C447" s="91"/>
      <c r="D447" s="91"/>
      <c r="E447" s="223"/>
      <c r="F447" s="91"/>
      <c r="G447" s="242"/>
      <c r="H447" s="242"/>
      <c r="I447" s="242"/>
      <c r="J447" s="242"/>
      <c r="K447" s="91"/>
      <c r="L447" s="91"/>
      <c r="M447" s="91"/>
      <c r="N447" s="91"/>
      <c r="O447" s="91"/>
      <c r="P447" s="91"/>
      <c r="Q447" s="91"/>
      <c r="R447" s="242"/>
      <c r="S447" s="242"/>
      <c r="T447" s="91"/>
      <c r="U447" s="1321"/>
      <c r="V447" s="1321"/>
      <c r="W447" s="91"/>
      <c r="X447" s="91"/>
      <c r="Y447" s="1321"/>
      <c r="Z447" s="91"/>
    </row>
    <row r="448" ht="15.75" customHeight="1">
      <c r="A448" s="91"/>
      <c r="B448" s="223"/>
      <c r="C448" s="91"/>
      <c r="D448" s="91"/>
      <c r="E448" s="223"/>
      <c r="F448" s="91"/>
      <c r="G448" s="242"/>
      <c r="H448" s="242"/>
      <c r="I448" s="242"/>
      <c r="J448" s="242"/>
      <c r="K448" s="91"/>
      <c r="L448" s="91"/>
      <c r="M448" s="91"/>
      <c r="N448" s="91"/>
      <c r="O448" s="91"/>
      <c r="P448" s="91"/>
      <c r="Q448" s="91"/>
      <c r="R448" s="242"/>
      <c r="S448" s="242"/>
      <c r="T448" s="91"/>
      <c r="U448" s="1321"/>
      <c r="V448" s="1321"/>
      <c r="W448" s="91"/>
      <c r="X448" s="91"/>
      <c r="Y448" s="1321"/>
      <c r="Z448" s="91"/>
    </row>
    <row r="449" ht="15.75" customHeight="1">
      <c r="A449" s="91"/>
      <c r="B449" s="223"/>
      <c r="C449" s="91"/>
      <c r="D449" s="91"/>
      <c r="E449" s="223"/>
      <c r="F449" s="91"/>
      <c r="G449" s="242"/>
      <c r="H449" s="242"/>
      <c r="I449" s="242"/>
      <c r="J449" s="242"/>
      <c r="K449" s="91"/>
      <c r="L449" s="91"/>
      <c r="M449" s="91"/>
      <c r="N449" s="91"/>
      <c r="O449" s="91"/>
      <c r="P449" s="91"/>
      <c r="Q449" s="91"/>
      <c r="R449" s="242"/>
      <c r="S449" s="242"/>
      <c r="T449" s="91"/>
      <c r="U449" s="1321"/>
      <c r="V449" s="1321"/>
      <c r="W449" s="91"/>
      <c r="X449" s="91"/>
      <c r="Y449" s="1321"/>
      <c r="Z449" s="91"/>
    </row>
    <row r="450" ht="15.75" customHeight="1">
      <c r="A450" s="91"/>
      <c r="B450" s="223"/>
      <c r="C450" s="91"/>
      <c r="D450" s="91"/>
      <c r="E450" s="223"/>
      <c r="F450" s="91"/>
      <c r="G450" s="242"/>
      <c r="H450" s="242"/>
      <c r="I450" s="242"/>
      <c r="J450" s="242"/>
      <c r="K450" s="91"/>
      <c r="L450" s="91"/>
      <c r="M450" s="91"/>
      <c r="N450" s="91"/>
      <c r="O450" s="91"/>
      <c r="P450" s="91"/>
      <c r="Q450" s="91"/>
      <c r="R450" s="242"/>
      <c r="S450" s="242"/>
      <c r="T450" s="91"/>
      <c r="U450" s="1321"/>
      <c r="V450" s="1321"/>
      <c r="W450" s="91"/>
      <c r="X450" s="91"/>
      <c r="Y450" s="1321"/>
      <c r="Z450" s="91"/>
    </row>
    <row r="451" ht="15.75" customHeight="1">
      <c r="A451" s="91"/>
      <c r="B451" s="223"/>
      <c r="C451" s="91"/>
      <c r="D451" s="91"/>
      <c r="E451" s="223"/>
      <c r="F451" s="91"/>
      <c r="G451" s="242"/>
      <c r="H451" s="242"/>
      <c r="I451" s="242"/>
      <c r="J451" s="242"/>
      <c r="K451" s="91"/>
      <c r="L451" s="91"/>
      <c r="M451" s="91"/>
      <c r="N451" s="91"/>
      <c r="O451" s="91"/>
      <c r="P451" s="91"/>
      <c r="Q451" s="91"/>
      <c r="R451" s="242"/>
      <c r="S451" s="242"/>
      <c r="T451" s="91"/>
      <c r="U451" s="1321"/>
      <c r="V451" s="1321"/>
      <c r="W451" s="91"/>
      <c r="X451" s="91"/>
      <c r="Y451" s="1321"/>
      <c r="Z451" s="91"/>
    </row>
    <row r="452" ht="15.75" customHeight="1">
      <c r="A452" s="91"/>
      <c r="B452" s="223"/>
      <c r="C452" s="91"/>
      <c r="D452" s="91"/>
      <c r="E452" s="223"/>
      <c r="F452" s="91"/>
      <c r="G452" s="242"/>
      <c r="H452" s="242"/>
      <c r="I452" s="242"/>
      <c r="J452" s="242"/>
      <c r="K452" s="91"/>
      <c r="L452" s="91"/>
      <c r="M452" s="91"/>
      <c r="N452" s="91"/>
      <c r="O452" s="91"/>
      <c r="P452" s="91"/>
      <c r="Q452" s="91"/>
      <c r="R452" s="242"/>
      <c r="S452" s="242"/>
      <c r="T452" s="91"/>
      <c r="U452" s="1321"/>
      <c r="V452" s="1321"/>
      <c r="W452" s="91"/>
      <c r="X452" s="91"/>
      <c r="Y452" s="1321"/>
      <c r="Z452" s="91"/>
    </row>
    <row r="453" ht="15.75" customHeight="1">
      <c r="A453" s="91"/>
      <c r="B453" s="223"/>
      <c r="C453" s="91"/>
      <c r="D453" s="91"/>
      <c r="E453" s="223"/>
      <c r="F453" s="91"/>
      <c r="G453" s="242"/>
      <c r="H453" s="242"/>
      <c r="I453" s="242"/>
      <c r="J453" s="242"/>
      <c r="K453" s="91"/>
      <c r="L453" s="91"/>
      <c r="M453" s="91"/>
      <c r="N453" s="91"/>
      <c r="O453" s="91"/>
      <c r="P453" s="91"/>
      <c r="Q453" s="91"/>
      <c r="R453" s="242"/>
      <c r="S453" s="242"/>
      <c r="T453" s="91"/>
      <c r="U453" s="1321"/>
      <c r="V453" s="1321"/>
      <c r="W453" s="91"/>
      <c r="X453" s="91"/>
      <c r="Y453" s="1321"/>
      <c r="Z453" s="91"/>
    </row>
    <row r="454" ht="15.75" customHeight="1">
      <c r="A454" s="91"/>
      <c r="B454" s="223"/>
      <c r="C454" s="91"/>
      <c r="D454" s="91"/>
      <c r="E454" s="223"/>
      <c r="F454" s="91"/>
      <c r="G454" s="242"/>
      <c r="H454" s="242"/>
      <c r="I454" s="242"/>
      <c r="J454" s="242"/>
      <c r="K454" s="91"/>
      <c r="L454" s="91"/>
      <c r="M454" s="91"/>
      <c r="N454" s="91"/>
      <c r="O454" s="91"/>
      <c r="P454" s="91"/>
      <c r="Q454" s="91"/>
      <c r="R454" s="242"/>
      <c r="S454" s="242"/>
      <c r="T454" s="91"/>
      <c r="U454" s="1321"/>
      <c r="V454" s="1321"/>
      <c r="W454" s="91"/>
      <c r="X454" s="91"/>
      <c r="Y454" s="1321"/>
      <c r="Z454" s="91"/>
    </row>
    <row r="455" ht="15.75" customHeight="1">
      <c r="A455" s="91"/>
      <c r="B455" s="223"/>
      <c r="C455" s="91"/>
      <c r="D455" s="91"/>
      <c r="E455" s="223"/>
      <c r="F455" s="91"/>
      <c r="G455" s="242"/>
      <c r="H455" s="242"/>
      <c r="I455" s="242"/>
      <c r="J455" s="242"/>
      <c r="K455" s="91"/>
      <c r="L455" s="91"/>
      <c r="M455" s="91"/>
      <c r="N455" s="91"/>
      <c r="O455" s="91"/>
      <c r="P455" s="91"/>
      <c r="Q455" s="91"/>
      <c r="R455" s="242"/>
      <c r="S455" s="242"/>
      <c r="T455" s="91"/>
      <c r="U455" s="1321"/>
      <c r="V455" s="1321"/>
      <c r="W455" s="91"/>
      <c r="X455" s="91"/>
      <c r="Y455" s="1321"/>
      <c r="Z455" s="91"/>
    </row>
    <row r="456" ht="15.75" customHeight="1">
      <c r="A456" s="91"/>
      <c r="B456" s="223"/>
      <c r="C456" s="91"/>
      <c r="D456" s="91"/>
      <c r="E456" s="223"/>
      <c r="F456" s="91"/>
      <c r="G456" s="242"/>
      <c r="H456" s="242"/>
      <c r="I456" s="242"/>
      <c r="J456" s="242"/>
      <c r="K456" s="91"/>
      <c r="L456" s="91"/>
      <c r="M456" s="91"/>
      <c r="N456" s="91"/>
      <c r="O456" s="91"/>
      <c r="P456" s="91"/>
      <c r="Q456" s="91"/>
      <c r="R456" s="242"/>
      <c r="S456" s="242"/>
      <c r="T456" s="91"/>
      <c r="U456" s="1321"/>
      <c r="V456" s="1321"/>
      <c r="W456" s="91"/>
      <c r="X456" s="91"/>
      <c r="Y456" s="1321"/>
      <c r="Z456" s="91"/>
    </row>
    <row r="457" ht="15.75" customHeight="1">
      <c r="A457" s="91"/>
      <c r="B457" s="223"/>
      <c r="C457" s="91"/>
      <c r="D457" s="91"/>
      <c r="E457" s="223"/>
      <c r="F457" s="91"/>
      <c r="G457" s="242"/>
      <c r="H457" s="242"/>
      <c r="I457" s="242"/>
      <c r="J457" s="242"/>
      <c r="K457" s="91"/>
      <c r="L457" s="91"/>
      <c r="M457" s="91"/>
      <c r="N457" s="91"/>
      <c r="O457" s="91"/>
      <c r="P457" s="91"/>
      <c r="Q457" s="91"/>
      <c r="R457" s="242"/>
      <c r="S457" s="242"/>
      <c r="T457" s="91"/>
      <c r="U457" s="1321"/>
      <c r="V457" s="1321"/>
      <c r="W457" s="91"/>
      <c r="X457" s="91"/>
      <c r="Y457" s="1321"/>
      <c r="Z457" s="91"/>
    </row>
    <row r="458" ht="15.75" customHeight="1">
      <c r="A458" s="91"/>
      <c r="B458" s="223"/>
      <c r="C458" s="91"/>
      <c r="D458" s="91"/>
      <c r="E458" s="223"/>
      <c r="F458" s="91"/>
      <c r="G458" s="242"/>
      <c r="H458" s="242"/>
      <c r="I458" s="242"/>
      <c r="J458" s="242"/>
      <c r="K458" s="91"/>
      <c r="L458" s="91"/>
      <c r="M458" s="91"/>
      <c r="N458" s="91"/>
      <c r="O458" s="91"/>
      <c r="P458" s="91"/>
      <c r="Q458" s="91"/>
      <c r="R458" s="242"/>
      <c r="S458" s="242"/>
      <c r="T458" s="91"/>
      <c r="U458" s="1321"/>
      <c r="V458" s="1321"/>
      <c r="W458" s="91"/>
      <c r="X458" s="91"/>
      <c r="Y458" s="1321"/>
      <c r="Z458" s="91"/>
    </row>
    <row r="459" ht="15.75" customHeight="1">
      <c r="A459" s="91"/>
      <c r="B459" s="223"/>
      <c r="C459" s="91"/>
      <c r="D459" s="91"/>
      <c r="E459" s="223"/>
      <c r="F459" s="91"/>
      <c r="G459" s="242"/>
      <c r="H459" s="242"/>
      <c r="I459" s="242"/>
      <c r="J459" s="242"/>
      <c r="K459" s="91"/>
      <c r="L459" s="91"/>
      <c r="M459" s="91"/>
      <c r="N459" s="91"/>
      <c r="O459" s="91"/>
      <c r="P459" s="91"/>
      <c r="Q459" s="91"/>
      <c r="R459" s="242"/>
      <c r="S459" s="242"/>
      <c r="T459" s="91"/>
      <c r="U459" s="1321"/>
      <c r="V459" s="1321"/>
      <c r="W459" s="91"/>
      <c r="X459" s="91"/>
      <c r="Y459" s="1321"/>
      <c r="Z459" s="91"/>
    </row>
    <row r="460" ht="15.75" customHeight="1">
      <c r="A460" s="91"/>
      <c r="B460" s="223"/>
      <c r="C460" s="91"/>
      <c r="D460" s="91"/>
      <c r="E460" s="223"/>
      <c r="F460" s="91"/>
      <c r="G460" s="242"/>
      <c r="H460" s="242"/>
      <c r="I460" s="242"/>
      <c r="J460" s="242"/>
      <c r="K460" s="91"/>
      <c r="L460" s="91"/>
      <c r="M460" s="91"/>
      <c r="N460" s="91"/>
      <c r="O460" s="91"/>
      <c r="P460" s="91"/>
      <c r="Q460" s="91"/>
      <c r="R460" s="242"/>
      <c r="S460" s="242"/>
      <c r="T460" s="91"/>
      <c r="U460" s="1321"/>
      <c r="V460" s="1321"/>
      <c r="W460" s="91"/>
      <c r="X460" s="91"/>
      <c r="Y460" s="1321"/>
      <c r="Z460" s="91"/>
    </row>
    <row r="461" ht="15.75" customHeight="1">
      <c r="A461" s="91"/>
      <c r="B461" s="223"/>
      <c r="C461" s="91"/>
      <c r="D461" s="91"/>
      <c r="E461" s="223"/>
      <c r="F461" s="91"/>
      <c r="G461" s="242"/>
      <c r="H461" s="242"/>
      <c r="I461" s="242"/>
      <c r="J461" s="242"/>
      <c r="K461" s="91"/>
      <c r="L461" s="91"/>
      <c r="M461" s="91"/>
      <c r="N461" s="91"/>
      <c r="O461" s="91"/>
      <c r="P461" s="91"/>
      <c r="Q461" s="91"/>
      <c r="R461" s="242"/>
      <c r="S461" s="242"/>
      <c r="T461" s="91"/>
      <c r="U461" s="1321"/>
      <c r="V461" s="1321"/>
      <c r="W461" s="91"/>
      <c r="X461" s="91"/>
      <c r="Y461" s="1321"/>
      <c r="Z461" s="91"/>
    </row>
    <row r="462" ht="15.75" customHeight="1">
      <c r="A462" s="91"/>
      <c r="B462" s="223"/>
      <c r="C462" s="91"/>
      <c r="D462" s="91"/>
      <c r="E462" s="223"/>
      <c r="F462" s="91"/>
      <c r="G462" s="242"/>
      <c r="H462" s="242"/>
      <c r="I462" s="242"/>
      <c r="J462" s="242"/>
      <c r="K462" s="91"/>
      <c r="L462" s="91"/>
      <c r="M462" s="91"/>
      <c r="N462" s="91"/>
      <c r="O462" s="91"/>
      <c r="P462" s="91"/>
      <c r="Q462" s="91"/>
      <c r="R462" s="242"/>
      <c r="S462" s="242"/>
      <c r="T462" s="91"/>
      <c r="U462" s="1321"/>
      <c r="V462" s="1321"/>
      <c r="W462" s="91"/>
      <c r="X462" s="91"/>
      <c r="Y462" s="1321"/>
      <c r="Z462" s="91"/>
    </row>
    <row r="463" ht="15.75" customHeight="1">
      <c r="A463" s="91"/>
      <c r="B463" s="223"/>
      <c r="C463" s="91"/>
      <c r="D463" s="91"/>
      <c r="E463" s="223"/>
      <c r="F463" s="91"/>
      <c r="G463" s="242"/>
      <c r="H463" s="242"/>
      <c r="I463" s="242"/>
      <c r="J463" s="242"/>
      <c r="K463" s="91"/>
      <c r="L463" s="91"/>
      <c r="M463" s="91"/>
      <c r="N463" s="91"/>
      <c r="O463" s="91"/>
      <c r="P463" s="91"/>
      <c r="Q463" s="91"/>
      <c r="R463" s="242"/>
      <c r="S463" s="242"/>
      <c r="T463" s="91"/>
      <c r="U463" s="1321"/>
      <c r="V463" s="1321"/>
      <c r="W463" s="91"/>
      <c r="X463" s="91"/>
      <c r="Y463" s="1321"/>
      <c r="Z463" s="91"/>
    </row>
    <row r="464" ht="15.75" customHeight="1">
      <c r="A464" s="91"/>
      <c r="B464" s="223"/>
      <c r="C464" s="91"/>
      <c r="D464" s="91"/>
      <c r="E464" s="223"/>
      <c r="F464" s="91"/>
      <c r="G464" s="242"/>
      <c r="H464" s="242"/>
      <c r="I464" s="242"/>
      <c r="J464" s="242"/>
      <c r="K464" s="91"/>
      <c r="L464" s="91"/>
      <c r="M464" s="91"/>
      <c r="N464" s="91"/>
      <c r="O464" s="91"/>
      <c r="P464" s="91"/>
      <c r="Q464" s="91"/>
      <c r="R464" s="242"/>
      <c r="S464" s="242"/>
      <c r="T464" s="91"/>
      <c r="U464" s="1321"/>
      <c r="V464" s="1321"/>
      <c r="W464" s="91"/>
      <c r="X464" s="91"/>
      <c r="Y464" s="1321"/>
      <c r="Z464" s="91"/>
    </row>
    <row r="465" ht="15.75" customHeight="1">
      <c r="A465" s="91"/>
      <c r="B465" s="223"/>
      <c r="C465" s="91"/>
      <c r="D465" s="91"/>
      <c r="E465" s="223"/>
      <c r="F465" s="91"/>
      <c r="G465" s="242"/>
      <c r="H465" s="242"/>
      <c r="I465" s="242"/>
      <c r="J465" s="242"/>
      <c r="K465" s="91"/>
      <c r="L465" s="91"/>
      <c r="M465" s="91"/>
      <c r="N465" s="91"/>
      <c r="O465" s="91"/>
      <c r="P465" s="91"/>
      <c r="Q465" s="91"/>
      <c r="R465" s="242"/>
      <c r="S465" s="242"/>
      <c r="T465" s="91"/>
      <c r="U465" s="1321"/>
      <c r="V465" s="1321"/>
      <c r="W465" s="91"/>
      <c r="X465" s="91"/>
      <c r="Y465" s="1321"/>
      <c r="Z465" s="91"/>
    </row>
    <row r="466" ht="15.75" customHeight="1">
      <c r="A466" s="91"/>
      <c r="B466" s="223"/>
      <c r="C466" s="91"/>
      <c r="D466" s="91"/>
      <c r="E466" s="223"/>
      <c r="F466" s="91"/>
      <c r="G466" s="242"/>
      <c r="H466" s="242"/>
      <c r="I466" s="242"/>
      <c r="J466" s="242"/>
      <c r="K466" s="91"/>
      <c r="L466" s="91"/>
      <c r="M466" s="91"/>
      <c r="N466" s="91"/>
      <c r="O466" s="91"/>
      <c r="P466" s="91"/>
      <c r="Q466" s="91"/>
      <c r="R466" s="242"/>
      <c r="S466" s="242"/>
      <c r="T466" s="91"/>
      <c r="U466" s="1321"/>
      <c r="V466" s="1321"/>
      <c r="W466" s="91"/>
      <c r="X466" s="91"/>
      <c r="Y466" s="1321"/>
      <c r="Z466" s="91"/>
    </row>
    <row r="467" ht="15.75" customHeight="1">
      <c r="A467" s="91"/>
      <c r="B467" s="223"/>
      <c r="C467" s="91"/>
      <c r="D467" s="91"/>
      <c r="E467" s="223"/>
      <c r="F467" s="91"/>
      <c r="G467" s="242"/>
      <c r="H467" s="242"/>
      <c r="I467" s="242"/>
      <c r="J467" s="242"/>
      <c r="K467" s="91"/>
      <c r="L467" s="91"/>
      <c r="M467" s="91"/>
      <c r="N467" s="91"/>
      <c r="O467" s="91"/>
      <c r="P467" s="91"/>
      <c r="Q467" s="91"/>
      <c r="R467" s="242"/>
      <c r="S467" s="242"/>
      <c r="T467" s="91"/>
      <c r="U467" s="1321"/>
      <c r="V467" s="1321"/>
      <c r="W467" s="91"/>
      <c r="X467" s="91"/>
      <c r="Y467" s="1321"/>
      <c r="Z467" s="91"/>
    </row>
    <row r="468" ht="15.75" customHeight="1">
      <c r="A468" s="91"/>
      <c r="B468" s="223"/>
      <c r="C468" s="91"/>
      <c r="D468" s="91"/>
      <c r="E468" s="223"/>
      <c r="F468" s="91"/>
      <c r="G468" s="242"/>
      <c r="H468" s="242"/>
      <c r="I468" s="242"/>
      <c r="J468" s="242"/>
      <c r="K468" s="91"/>
      <c r="L468" s="91"/>
      <c r="M468" s="91"/>
      <c r="N468" s="91"/>
      <c r="O468" s="91"/>
      <c r="P468" s="91"/>
      <c r="Q468" s="91"/>
      <c r="R468" s="242"/>
      <c r="S468" s="242"/>
      <c r="T468" s="91"/>
      <c r="U468" s="1321"/>
      <c r="V468" s="1321"/>
      <c r="W468" s="91"/>
      <c r="X468" s="91"/>
      <c r="Y468" s="1321"/>
      <c r="Z468" s="91"/>
    </row>
    <row r="469" ht="15.75" customHeight="1">
      <c r="A469" s="91"/>
      <c r="B469" s="223"/>
      <c r="C469" s="91"/>
      <c r="D469" s="91"/>
      <c r="E469" s="223"/>
      <c r="F469" s="91"/>
      <c r="G469" s="242"/>
      <c r="H469" s="242"/>
      <c r="I469" s="242"/>
      <c r="J469" s="242"/>
      <c r="K469" s="91"/>
      <c r="L469" s="91"/>
      <c r="M469" s="91"/>
      <c r="N469" s="91"/>
      <c r="O469" s="91"/>
      <c r="P469" s="91"/>
      <c r="Q469" s="91"/>
      <c r="R469" s="242"/>
      <c r="S469" s="242"/>
      <c r="T469" s="91"/>
      <c r="U469" s="1321"/>
      <c r="V469" s="1321"/>
      <c r="W469" s="91"/>
      <c r="X469" s="91"/>
      <c r="Y469" s="1321"/>
      <c r="Z469" s="91"/>
    </row>
    <row r="470" ht="15.75" customHeight="1">
      <c r="A470" s="91"/>
      <c r="B470" s="223"/>
      <c r="C470" s="91"/>
      <c r="D470" s="91"/>
      <c r="E470" s="223"/>
      <c r="F470" s="91"/>
      <c r="G470" s="242"/>
      <c r="H470" s="242"/>
      <c r="I470" s="242"/>
      <c r="J470" s="242"/>
      <c r="K470" s="91"/>
      <c r="L470" s="91"/>
      <c r="M470" s="91"/>
      <c r="N470" s="91"/>
      <c r="O470" s="91"/>
      <c r="P470" s="91"/>
      <c r="Q470" s="91"/>
      <c r="R470" s="242"/>
      <c r="S470" s="242"/>
      <c r="T470" s="91"/>
      <c r="U470" s="1321"/>
      <c r="V470" s="1321"/>
      <c r="W470" s="91"/>
      <c r="X470" s="91"/>
      <c r="Y470" s="1321"/>
      <c r="Z470" s="91"/>
    </row>
    <row r="471" ht="15.75" customHeight="1">
      <c r="A471" s="91"/>
      <c r="B471" s="223"/>
      <c r="C471" s="91"/>
      <c r="D471" s="91"/>
      <c r="E471" s="223"/>
      <c r="F471" s="91"/>
      <c r="G471" s="242"/>
      <c r="H471" s="242"/>
      <c r="I471" s="242"/>
      <c r="J471" s="242"/>
      <c r="K471" s="91"/>
      <c r="L471" s="91"/>
      <c r="M471" s="91"/>
      <c r="N471" s="91"/>
      <c r="O471" s="91"/>
      <c r="P471" s="91"/>
      <c r="Q471" s="91"/>
      <c r="R471" s="242"/>
      <c r="S471" s="242"/>
      <c r="T471" s="91"/>
      <c r="U471" s="1321"/>
      <c r="V471" s="1321"/>
      <c r="W471" s="91"/>
      <c r="X471" s="91"/>
      <c r="Y471" s="1321"/>
      <c r="Z471" s="91"/>
    </row>
    <row r="472" ht="15.75" customHeight="1">
      <c r="A472" s="91"/>
      <c r="B472" s="223"/>
      <c r="C472" s="91"/>
      <c r="D472" s="91"/>
      <c r="E472" s="223"/>
      <c r="F472" s="91"/>
      <c r="G472" s="242"/>
      <c r="H472" s="242"/>
      <c r="I472" s="242"/>
      <c r="J472" s="242"/>
      <c r="K472" s="91"/>
      <c r="L472" s="91"/>
      <c r="M472" s="91"/>
      <c r="N472" s="91"/>
      <c r="O472" s="91"/>
      <c r="P472" s="91"/>
      <c r="Q472" s="91"/>
      <c r="R472" s="242"/>
      <c r="S472" s="242"/>
      <c r="T472" s="91"/>
      <c r="U472" s="1321"/>
      <c r="V472" s="1321"/>
      <c r="W472" s="91"/>
      <c r="X472" s="91"/>
      <c r="Y472" s="1321"/>
      <c r="Z472" s="91"/>
    </row>
    <row r="473" ht="15.75" customHeight="1">
      <c r="A473" s="91"/>
      <c r="B473" s="223"/>
      <c r="C473" s="91"/>
      <c r="D473" s="91"/>
      <c r="E473" s="223"/>
      <c r="F473" s="91"/>
      <c r="G473" s="242"/>
      <c r="H473" s="242"/>
      <c r="I473" s="242"/>
      <c r="J473" s="242"/>
      <c r="K473" s="91"/>
      <c r="L473" s="91"/>
      <c r="M473" s="91"/>
      <c r="N473" s="91"/>
      <c r="O473" s="91"/>
      <c r="P473" s="91"/>
      <c r="Q473" s="91"/>
      <c r="R473" s="242"/>
      <c r="S473" s="242"/>
      <c r="T473" s="91"/>
      <c r="U473" s="1321"/>
      <c r="V473" s="1321"/>
      <c r="W473" s="91"/>
      <c r="X473" s="91"/>
      <c r="Y473" s="1321"/>
      <c r="Z473" s="91"/>
    </row>
    <row r="474" ht="15.75" customHeight="1">
      <c r="A474" s="91"/>
      <c r="B474" s="223"/>
      <c r="C474" s="91"/>
      <c r="D474" s="91"/>
      <c r="E474" s="223"/>
      <c r="F474" s="91"/>
      <c r="G474" s="242"/>
      <c r="H474" s="242"/>
      <c r="I474" s="242"/>
      <c r="J474" s="242"/>
      <c r="K474" s="91"/>
      <c r="L474" s="91"/>
      <c r="M474" s="91"/>
      <c r="N474" s="91"/>
      <c r="O474" s="91"/>
      <c r="P474" s="91"/>
      <c r="Q474" s="91"/>
      <c r="R474" s="242"/>
      <c r="S474" s="242"/>
      <c r="T474" s="91"/>
      <c r="U474" s="1321"/>
      <c r="V474" s="1321"/>
      <c r="W474" s="91"/>
      <c r="X474" s="91"/>
      <c r="Y474" s="1321"/>
      <c r="Z474" s="91"/>
    </row>
    <row r="475" ht="15.75" customHeight="1">
      <c r="A475" s="91"/>
      <c r="B475" s="223"/>
      <c r="C475" s="91"/>
      <c r="D475" s="91"/>
      <c r="E475" s="223"/>
      <c r="F475" s="91"/>
      <c r="G475" s="242"/>
      <c r="H475" s="242"/>
      <c r="I475" s="242"/>
      <c r="J475" s="242"/>
      <c r="K475" s="91"/>
      <c r="L475" s="91"/>
      <c r="M475" s="91"/>
      <c r="N475" s="91"/>
      <c r="O475" s="91"/>
      <c r="P475" s="91"/>
      <c r="Q475" s="91"/>
      <c r="R475" s="242"/>
      <c r="S475" s="242"/>
      <c r="T475" s="91"/>
      <c r="U475" s="1321"/>
      <c r="V475" s="1321"/>
      <c r="W475" s="91"/>
      <c r="X475" s="91"/>
      <c r="Y475" s="1321"/>
      <c r="Z475" s="91"/>
    </row>
    <row r="476" ht="15.75" customHeight="1">
      <c r="A476" s="91"/>
      <c r="B476" s="223"/>
      <c r="C476" s="91"/>
      <c r="D476" s="91"/>
      <c r="E476" s="223"/>
      <c r="F476" s="91"/>
      <c r="G476" s="242"/>
      <c r="H476" s="242"/>
      <c r="I476" s="242"/>
      <c r="J476" s="242"/>
      <c r="K476" s="91"/>
      <c r="L476" s="91"/>
      <c r="M476" s="91"/>
      <c r="N476" s="91"/>
      <c r="O476" s="91"/>
      <c r="P476" s="91"/>
      <c r="Q476" s="91"/>
      <c r="R476" s="242"/>
      <c r="S476" s="242"/>
      <c r="T476" s="91"/>
      <c r="U476" s="1321"/>
      <c r="V476" s="1321"/>
      <c r="W476" s="91"/>
      <c r="X476" s="91"/>
      <c r="Y476" s="1321"/>
      <c r="Z476" s="91"/>
    </row>
    <row r="477" ht="15.75" customHeight="1">
      <c r="A477" s="91"/>
      <c r="B477" s="223"/>
      <c r="C477" s="91"/>
      <c r="D477" s="91"/>
      <c r="E477" s="223"/>
      <c r="F477" s="91"/>
      <c r="G477" s="242"/>
      <c r="H477" s="242"/>
      <c r="I477" s="242"/>
      <c r="J477" s="242"/>
      <c r="K477" s="91"/>
      <c r="L477" s="91"/>
      <c r="M477" s="91"/>
      <c r="N477" s="91"/>
      <c r="O477" s="91"/>
      <c r="P477" s="91"/>
      <c r="Q477" s="91"/>
      <c r="R477" s="242"/>
      <c r="S477" s="242"/>
      <c r="T477" s="91"/>
      <c r="U477" s="1321"/>
      <c r="V477" s="1321"/>
      <c r="W477" s="91"/>
      <c r="X477" s="91"/>
      <c r="Y477" s="1321"/>
      <c r="Z477" s="91"/>
    </row>
    <row r="478" ht="15.75" customHeight="1">
      <c r="A478" s="91"/>
      <c r="B478" s="223"/>
      <c r="C478" s="91"/>
      <c r="D478" s="91"/>
      <c r="E478" s="223"/>
      <c r="F478" s="91"/>
      <c r="G478" s="242"/>
      <c r="H478" s="242"/>
      <c r="I478" s="242"/>
      <c r="J478" s="242"/>
      <c r="K478" s="91"/>
      <c r="L478" s="91"/>
      <c r="M478" s="91"/>
      <c r="N478" s="91"/>
      <c r="O478" s="91"/>
      <c r="P478" s="91"/>
      <c r="Q478" s="91"/>
      <c r="R478" s="242"/>
      <c r="S478" s="242"/>
      <c r="T478" s="91"/>
      <c r="U478" s="1321"/>
      <c r="V478" s="1321"/>
      <c r="W478" s="91"/>
      <c r="X478" s="91"/>
      <c r="Y478" s="1321"/>
      <c r="Z478" s="91"/>
    </row>
    <row r="479" ht="15.75" customHeight="1">
      <c r="A479" s="91"/>
      <c r="B479" s="223"/>
      <c r="C479" s="91"/>
      <c r="D479" s="91"/>
      <c r="E479" s="223"/>
      <c r="F479" s="91"/>
      <c r="G479" s="242"/>
      <c r="H479" s="242"/>
      <c r="I479" s="242"/>
      <c r="J479" s="242"/>
      <c r="K479" s="91"/>
      <c r="L479" s="91"/>
      <c r="M479" s="91"/>
      <c r="N479" s="91"/>
      <c r="O479" s="91"/>
      <c r="P479" s="91"/>
      <c r="Q479" s="91"/>
      <c r="R479" s="242"/>
      <c r="S479" s="242"/>
      <c r="T479" s="91"/>
      <c r="U479" s="1321"/>
      <c r="V479" s="1321"/>
      <c r="W479" s="91"/>
      <c r="X479" s="91"/>
      <c r="Y479" s="1321"/>
      <c r="Z479" s="91"/>
    </row>
    <row r="480" ht="15.75" customHeight="1">
      <c r="A480" s="91"/>
      <c r="B480" s="223"/>
      <c r="C480" s="91"/>
      <c r="D480" s="91"/>
      <c r="E480" s="223"/>
      <c r="F480" s="91"/>
      <c r="G480" s="242"/>
      <c r="H480" s="242"/>
      <c r="I480" s="242"/>
      <c r="J480" s="242"/>
      <c r="K480" s="91"/>
      <c r="L480" s="91"/>
      <c r="M480" s="91"/>
      <c r="N480" s="91"/>
      <c r="O480" s="91"/>
      <c r="P480" s="91"/>
      <c r="Q480" s="91"/>
      <c r="R480" s="242"/>
      <c r="S480" s="242"/>
      <c r="T480" s="91"/>
      <c r="U480" s="1321"/>
      <c r="V480" s="1321"/>
      <c r="W480" s="91"/>
      <c r="X480" s="91"/>
      <c r="Y480" s="1321"/>
      <c r="Z480" s="91"/>
    </row>
    <row r="481" ht="15.75" customHeight="1">
      <c r="A481" s="91"/>
      <c r="B481" s="223"/>
      <c r="C481" s="91"/>
      <c r="D481" s="91"/>
      <c r="E481" s="223"/>
      <c r="F481" s="91"/>
      <c r="G481" s="242"/>
      <c r="H481" s="242"/>
      <c r="I481" s="242"/>
      <c r="J481" s="242"/>
      <c r="K481" s="91"/>
      <c r="L481" s="91"/>
      <c r="M481" s="91"/>
      <c r="N481" s="91"/>
      <c r="O481" s="91"/>
      <c r="P481" s="91"/>
      <c r="Q481" s="91"/>
      <c r="R481" s="242"/>
      <c r="S481" s="242"/>
      <c r="T481" s="91"/>
      <c r="U481" s="1321"/>
      <c r="V481" s="1321"/>
      <c r="W481" s="91"/>
      <c r="X481" s="91"/>
      <c r="Y481" s="1321"/>
      <c r="Z481" s="91"/>
    </row>
    <row r="482" ht="15.75" customHeight="1">
      <c r="A482" s="91"/>
      <c r="B482" s="223"/>
      <c r="C482" s="91"/>
      <c r="D482" s="91"/>
      <c r="E482" s="223"/>
      <c r="F482" s="91"/>
      <c r="G482" s="242"/>
      <c r="H482" s="242"/>
      <c r="I482" s="242"/>
      <c r="J482" s="242"/>
      <c r="K482" s="91"/>
      <c r="L482" s="91"/>
      <c r="M482" s="91"/>
      <c r="N482" s="91"/>
      <c r="O482" s="91"/>
      <c r="P482" s="91"/>
      <c r="Q482" s="91"/>
      <c r="R482" s="242"/>
      <c r="S482" s="242"/>
      <c r="T482" s="91"/>
      <c r="U482" s="1321"/>
      <c r="V482" s="1321"/>
      <c r="W482" s="91"/>
      <c r="X482" s="91"/>
      <c r="Y482" s="1321"/>
      <c r="Z482" s="91"/>
    </row>
    <row r="483" ht="15.75" customHeight="1">
      <c r="A483" s="91"/>
      <c r="B483" s="223"/>
      <c r="C483" s="91"/>
      <c r="D483" s="91"/>
      <c r="E483" s="223"/>
      <c r="F483" s="91"/>
      <c r="G483" s="242"/>
      <c r="H483" s="242"/>
      <c r="I483" s="242"/>
      <c r="J483" s="242"/>
      <c r="K483" s="91"/>
      <c r="L483" s="91"/>
      <c r="M483" s="91"/>
      <c r="N483" s="91"/>
      <c r="O483" s="91"/>
      <c r="P483" s="91"/>
      <c r="Q483" s="91"/>
      <c r="R483" s="242"/>
      <c r="S483" s="242"/>
      <c r="T483" s="91"/>
      <c r="U483" s="1321"/>
      <c r="V483" s="1321"/>
      <c r="W483" s="91"/>
      <c r="X483" s="91"/>
      <c r="Y483" s="1321"/>
      <c r="Z483" s="91"/>
    </row>
    <row r="484" ht="15.75" customHeight="1">
      <c r="A484" s="91"/>
      <c r="B484" s="223"/>
      <c r="C484" s="91"/>
      <c r="D484" s="91"/>
      <c r="E484" s="223"/>
      <c r="F484" s="91"/>
      <c r="G484" s="242"/>
      <c r="H484" s="242"/>
      <c r="I484" s="242"/>
      <c r="J484" s="242"/>
      <c r="K484" s="91"/>
      <c r="L484" s="91"/>
      <c r="M484" s="91"/>
      <c r="N484" s="91"/>
      <c r="O484" s="91"/>
      <c r="P484" s="91"/>
      <c r="Q484" s="91"/>
      <c r="R484" s="242"/>
      <c r="S484" s="242"/>
      <c r="T484" s="91"/>
      <c r="U484" s="1321"/>
      <c r="V484" s="1321"/>
      <c r="W484" s="91"/>
      <c r="X484" s="91"/>
      <c r="Y484" s="1321"/>
      <c r="Z484" s="91"/>
    </row>
    <row r="485" ht="15.75" customHeight="1">
      <c r="A485" s="91"/>
      <c r="B485" s="223"/>
      <c r="C485" s="91"/>
      <c r="D485" s="91"/>
      <c r="E485" s="223"/>
      <c r="F485" s="91"/>
      <c r="G485" s="242"/>
      <c r="H485" s="242"/>
      <c r="I485" s="242"/>
      <c r="J485" s="242"/>
      <c r="K485" s="91"/>
      <c r="L485" s="91"/>
      <c r="M485" s="91"/>
      <c r="N485" s="91"/>
      <c r="O485" s="91"/>
      <c r="P485" s="91"/>
      <c r="Q485" s="91"/>
      <c r="R485" s="242"/>
      <c r="S485" s="242"/>
      <c r="T485" s="91"/>
      <c r="U485" s="1321"/>
      <c r="V485" s="1321"/>
      <c r="W485" s="91"/>
      <c r="X485" s="91"/>
      <c r="Y485" s="1321"/>
      <c r="Z485" s="91"/>
    </row>
    <row r="486" ht="15.75" customHeight="1">
      <c r="A486" s="91"/>
      <c r="B486" s="223"/>
      <c r="C486" s="91"/>
      <c r="D486" s="91"/>
      <c r="E486" s="223"/>
      <c r="F486" s="91"/>
      <c r="G486" s="242"/>
      <c r="H486" s="242"/>
      <c r="I486" s="242"/>
      <c r="J486" s="242"/>
      <c r="K486" s="91"/>
      <c r="L486" s="91"/>
      <c r="M486" s="91"/>
      <c r="N486" s="91"/>
      <c r="O486" s="91"/>
      <c r="P486" s="91"/>
      <c r="Q486" s="91"/>
      <c r="R486" s="242"/>
      <c r="S486" s="242"/>
      <c r="T486" s="91"/>
      <c r="U486" s="1321"/>
      <c r="V486" s="1321"/>
      <c r="W486" s="91"/>
      <c r="X486" s="91"/>
      <c r="Y486" s="1321"/>
      <c r="Z486" s="91"/>
    </row>
    <row r="487" ht="15.75" customHeight="1">
      <c r="A487" s="91"/>
      <c r="B487" s="223"/>
      <c r="C487" s="91"/>
      <c r="D487" s="91"/>
      <c r="E487" s="223"/>
      <c r="F487" s="91"/>
      <c r="G487" s="242"/>
      <c r="H487" s="242"/>
      <c r="I487" s="242"/>
      <c r="J487" s="242"/>
      <c r="K487" s="91"/>
      <c r="L487" s="91"/>
      <c r="M487" s="91"/>
      <c r="N487" s="91"/>
      <c r="O487" s="91"/>
      <c r="P487" s="91"/>
      <c r="Q487" s="91"/>
      <c r="R487" s="242"/>
      <c r="S487" s="242"/>
      <c r="T487" s="91"/>
      <c r="U487" s="1321"/>
      <c r="V487" s="1321"/>
      <c r="W487" s="91"/>
      <c r="X487" s="91"/>
      <c r="Y487" s="1321"/>
      <c r="Z487" s="91"/>
    </row>
    <row r="488" ht="15.75" customHeight="1">
      <c r="A488" s="91"/>
      <c r="B488" s="223"/>
      <c r="C488" s="91"/>
      <c r="D488" s="91"/>
      <c r="E488" s="223"/>
      <c r="F488" s="91"/>
      <c r="G488" s="242"/>
      <c r="H488" s="242"/>
      <c r="I488" s="242"/>
      <c r="J488" s="242"/>
      <c r="K488" s="91"/>
      <c r="L488" s="91"/>
      <c r="M488" s="91"/>
      <c r="N488" s="91"/>
      <c r="O488" s="91"/>
      <c r="P488" s="91"/>
      <c r="Q488" s="91"/>
      <c r="R488" s="242"/>
      <c r="S488" s="242"/>
      <c r="T488" s="91"/>
      <c r="U488" s="1321"/>
      <c r="V488" s="1321"/>
      <c r="W488" s="91"/>
      <c r="X488" s="91"/>
      <c r="Y488" s="1321"/>
      <c r="Z488" s="91"/>
    </row>
    <row r="489" ht="15.75" customHeight="1">
      <c r="A489" s="91"/>
      <c r="B489" s="223"/>
      <c r="C489" s="91"/>
      <c r="D489" s="91"/>
      <c r="E489" s="223"/>
      <c r="F489" s="91"/>
      <c r="G489" s="242"/>
      <c r="H489" s="242"/>
      <c r="I489" s="242"/>
      <c r="J489" s="242"/>
      <c r="K489" s="91"/>
      <c r="L489" s="91"/>
      <c r="M489" s="91"/>
      <c r="N489" s="91"/>
      <c r="O489" s="91"/>
      <c r="P489" s="91"/>
      <c r="Q489" s="91"/>
      <c r="R489" s="242"/>
      <c r="S489" s="242"/>
      <c r="T489" s="91"/>
      <c r="U489" s="1321"/>
      <c r="V489" s="1321"/>
      <c r="W489" s="91"/>
      <c r="X489" s="91"/>
      <c r="Y489" s="1321"/>
      <c r="Z489" s="91"/>
    </row>
    <row r="490" ht="15.75" customHeight="1">
      <c r="A490" s="91"/>
      <c r="B490" s="223"/>
      <c r="C490" s="91"/>
      <c r="D490" s="91"/>
      <c r="E490" s="223"/>
      <c r="F490" s="91"/>
      <c r="G490" s="242"/>
      <c r="H490" s="242"/>
      <c r="I490" s="242"/>
      <c r="J490" s="242"/>
      <c r="K490" s="91"/>
      <c r="L490" s="91"/>
      <c r="M490" s="91"/>
      <c r="N490" s="91"/>
      <c r="O490" s="91"/>
      <c r="P490" s="91"/>
      <c r="Q490" s="91"/>
      <c r="R490" s="242"/>
      <c r="S490" s="242"/>
      <c r="T490" s="91"/>
      <c r="U490" s="1321"/>
      <c r="V490" s="1321"/>
      <c r="W490" s="91"/>
      <c r="X490" s="91"/>
      <c r="Y490" s="1321"/>
      <c r="Z490" s="91"/>
    </row>
    <row r="491" ht="15.75" customHeight="1">
      <c r="A491" s="91"/>
      <c r="B491" s="223"/>
      <c r="C491" s="91"/>
      <c r="D491" s="91"/>
      <c r="E491" s="223"/>
      <c r="F491" s="91"/>
      <c r="G491" s="242"/>
      <c r="H491" s="242"/>
      <c r="I491" s="242"/>
      <c r="J491" s="242"/>
      <c r="K491" s="91"/>
      <c r="L491" s="91"/>
      <c r="M491" s="91"/>
      <c r="N491" s="91"/>
      <c r="O491" s="91"/>
      <c r="P491" s="91"/>
      <c r="Q491" s="91"/>
      <c r="R491" s="242"/>
      <c r="S491" s="242"/>
      <c r="T491" s="91"/>
      <c r="U491" s="1321"/>
      <c r="V491" s="1321"/>
      <c r="W491" s="91"/>
      <c r="X491" s="91"/>
      <c r="Y491" s="1321"/>
      <c r="Z491" s="91"/>
    </row>
    <row r="492" ht="15.75" customHeight="1">
      <c r="A492" s="91"/>
      <c r="B492" s="223"/>
      <c r="C492" s="91"/>
      <c r="D492" s="91"/>
      <c r="E492" s="223"/>
      <c r="F492" s="91"/>
      <c r="G492" s="242"/>
      <c r="H492" s="242"/>
      <c r="I492" s="242"/>
      <c r="J492" s="242"/>
      <c r="K492" s="91"/>
      <c r="L492" s="91"/>
      <c r="M492" s="91"/>
      <c r="N492" s="91"/>
      <c r="O492" s="91"/>
      <c r="P492" s="91"/>
      <c r="Q492" s="91"/>
      <c r="R492" s="242"/>
      <c r="S492" s="242"/>
      <c r="T492" s="91"/>
      <c r="U492" s="1321"/>
      <c r="V492" s="1321"/>
      <c r="W492" s="91"/>
      <c r="X492" s="91"/>
      <c r="Y492" s="1321"/>
      <c r="Z492" s="91"/>
    </row>
    <row r="493" ht="15.75" customHeight="1">
      <c r="A493" s="91"/>
      <c r="B493" s="223"/>
      <c r="C493" s="91"/>
      <c r="D493" s="91"/>
      <c r="E493" s="223"/>
      <c r="F493" s="91"/>
      <c r="G493" s="242"/>
      <c r="H493" s="242"/>
      <c r="I493" s="242"/>
      <c r="J493" s="242"/>
      <c r="K493" s="91"/>
      <c r="L493" s="91"/>
      <c r="M493" s="91"/>
      <c r="N493" s="91"/>
      <c r="O493" s="91"/>
      <c r="P493" s="91"/>
      <c r="Q493" s="91"/>
      <c r="R493" s="242"/>
      <c r="S493" s="242"/>
      <c r="T493" s="91"/>
      <c r="U493" s="1321"/>
      <c r="V493" s="1321"/>
      <c r="W493" s="91"/>
      <c r="X493" s="91"/>
      <c r="Y493" s="1321"/>
      <c r="Z493" s="91"/>
    </row>
    <row r="494" ht="15.75" customHeight="1">
      <c r="A494" s="91"/>
      <c r="B494" s="223"/>
      <c r="C494" s="91"/>
      <c r="D494" s="91"/>
      <c r="E494" s="223"/>
      <c r="F494" s="91"/>
      <c r="G494" s="242"/>
      <c r="H494" s="242"/>
      <c r="I494" s="242"/>
      <c r="J494" s="242"/>
      <c r="K494" s="91"/>
      <c r="L494" s="91"/>
      <c r="M494" s="91"/>
      <c r="N494" s="91"/>
      <c r="O494" s="91"/>
      <c r="P494" s="91"/>
      <c r="Q494" s="91"/>
      <c r="R494" s="242"/>
      <c r="S494" s="242"/>
      <c r="T494" s="91"/>
      <c r="U494" s="1321"/>
      <c r="V494" s="1321"/>
      <c r="W494" s="91"/>
      <c r="X494" s="91"/>
      <c r="Y494" s="1321"/>
      <c r="Z494" s="91"/>
    </row>
    <row r="495" ht="15.75" customHeight="1">
      <c r="A495" s="91"/>
      <c r="B495" s="223"/>
      <c r="C495" s="91"/>
      <c r="D495" s="91"/>
      <c r="E495" s="223"/>
      <c r="F495" s="91"/>
      <c r="G495" s="242"/>
      <c r="H495" s="242"/>
      <c r="I495" s="242"/>
      <c r="J495" s="242"/>
      <c r="K495" s="91"/>
      <c r="L495" s="91"/>
      <c r="M495" s="91"/>
      <c r="N495" s="91"/>
      <c r="O495" s="91"/>
      <c r="P495" s="91"/>
      <c r="Q495" s="91"/>
      <c r="R495" s="242"/>
      <c r="S495" s="242"/>
      <c r="T495" s="91"/>
      <c r="U495" s="1321"/>
      <c r="V495" s="1321"/>
      <c r="W495" s="91"/>
      <c r="X495" s="91"/>
      <c r="Y495" s="1321"/>
      <c r="Z495" s="91"/>
    </row>
    <row r="496" ht="15.75" customHeight="1">
      <c r="A496" s="91"/>
      <c r="B496" s="223"/>
      <c r="C496" s="91"/>
      <c r="D496" s="91"/>
      <c r="E496" s="223"/>
      <c r="F496" s="91"/>
      <c r="G496" s="242"/>
      <c r="H496" s="242"/>
      <c r="I496" s="242"/>
      <c r="J496" s="242"/>
      <c r="K496" s="91"/>
      <c r="L496" s="91"/>
      <c r="M496" s="91"/>
      <c r="N496" s="91"/>
      <c r="O496" s="91"/>
      <c r="P496" s="91"/>
      <c r="Q496" s="91"/>
      <c r="R496" s="242"/>
      <c r="S496" s="242"/>
      <c r="T496" s="91"/>
      <c r="U496" s="1321"/>
      <c r="V496" s="1321"/>
      <c r="W496" s="91"/>
      <c r="X496" s="91"/>
      <c r="Y496" s="1321"/>
      <c r="Z496" s="91"/>
    </row>
    <row r="497" ht="15.75" customHeight="1">
      <c r="A497" s="91"/>
      <c r="B497" s="223"/>
      <c r="C497" s="91"/>
      <c r="D497" s="91"/>
      <c r="E497" s="223"/>
      <c r="F497" s="91"/>
      <c r="G497" s="242"/>
      <c r="H497" s="242"/>
      <c r="I497" s="242"/>
      <c r="J497" s="242"/>
      <c r="K497" s="91"/>
      <c r="L497" s="91"/>
      <c r="M497" s="91"/>
      <c r="N497" s="91"/>
      <c r="O497" s="91"/>
      <c r="P497" s="91"/>
      <c r="Q497" s="91"/>
      <c r="R497" s="242"/>
      <c r="S497" s="242"/>
      <c r="T497" s="91"/>
      <c r="U497" s="1321"/>
      <c r="V497" s="1321"/>
      <c r="W497" s="91"/>
      <c r="X497" s="91"/>
      <c r="Y497" s="1321"/>
      <c r="Z497" s="91"/>
    </row>
    <row r="498" ht="15.75" customHeight="1">
      <c r="A498" s="91"/>
      <c r="B498" s="223"/>
      <c r="C498" s="91"/>
      <c r="D498" s="91"/>
      <c r="E498" s="223"/>
      <c r="F498" s="91"/>
      <c r="G498" s="242"/>
      <c r="H498" s="242"/>
      <c r="I498" s="242"/>
      <c r="J498" s="242"/>
      <c r="K498" s="91"/>
      <c r="L498" s="91"/>
      <c r="M498" s="91"/>
      <c r="N498" s="91"/>
      <c r="O498" s="91"/>
      <c r="P498" s="91"/>
      <c r="Q498" s="91"/>
      <c r="R498" s="242"/>
      <c r="S498" s="242"/>
      <c r="T498" s="91"/>
      <c r="U498" s="1321"/>
      <c r="V498" s="1321"/>
      <c r="W498" s="91"/>
      <c r="X498" s="91"/>
      <c r="Y498" s="1321"/>
      <c r="Z498" s="91"/>
    </row>
    <row r="499" ht="15.75" customHeight="1">
      <c r="A499" s="91"/>
      <c r="B499" s="223"/>
      <c r="C499" s="91"/>
      <c r="D499" s="91"/>
      <c r="E499" s="223"/>
      <c r="F499" s="91"/>
      <c r="G499" s="242"/>
      <c r="H499" s="242"/>
      <c r="I499" s="242"/>
      <c r="J499" s="242"/>
      <c r="K499" s="91"/>
      <c r="L499" s="91"/>
      <c r="M499" s="91"/>
      <c r="N499" s="91"/>
      <c r="O499" s="91"/>
      <c r="P499" s="91"/>
      <c r="Q499" s="91"/>
      <c r="R499" s="242"/>
      <c r="S499" s="242"/>
      <c r="T499" s="91"/>
      <c r="U499" s="1321"/>
      <c r="V499" s="1321"/>
      <c r="W499" s="91"/>
      <c r="X499" s="91"/>
      <c r="Y499" s="1321"/>
      <c r="Z499" s="91"/>
    </row>
    <row r="500" ht="15.75" customHeight="1">
      <c r="A500" s="91"/>
      <c r="B500" s="223"/>
      <c r="C500" s="91"/>
      <c r="D500" s="91"/>
      <c r="E500" s="223"/>
      <c r="F500" s="91"/>
      <c r="G500" s="242"/>
      <c r="H500" s="242"/>
      <c r="I500" s="242"/>
      <c r="J500" s="242"/>
      <c r="K500" s="91"/>
      <c r="L500" s="91"/>
      <c r="M500" s="91"/>
      <c r="N500" s="91"/>
      <c r="O500" s="91"/>
      <c r="P500" s="91"/>
      <c r="Q500" s="91"/>
      <c r="R500" s="242"/>
      <c r="S500" s="242"/>
      <c r="T500" s="91"/>
      <c r="U500" s="1321"/>
      <c r="V500" s="1321"/>
      <c r="W500" s="91"/>
      <c r="X500" s="91"/>
      <c r="Y500" s="1321"/>
      <c r="Z500" s="91"/>
    </row>
    <row r="501" ht="15.75" customHeight="1">
      <c r="A501" s="91"/>
      <c r="B501" s="223"/>
      <c r="C501" s="91"/>
      <c r="D501" s="91"/>
      <c r="E501" s="223"/>
      <c r="F501" s="91"/>
      <c r="G501" s="242"/>
      <c r="H501" s="242"/>
      <c r="I501" s="242"/>
      <c r="J501" s="242"/>
      <c r="K501" s="91"/>
      <c r="L501" s="91"/>
      <c r="M501" s="91"/>
      <c r="N501" s="91"/>
      <c r="O501" s="91"/>
      <c r="P501" s="91"/>
      <c r="Q501" s="91"/>
      <c r="R501" s="242"/>
      <c r="S501" s="242"/>
      <c r="T501" s="91"/>
      <c r="U501" s="1321"/>
      <c r="V501" s="1321"/>
      <c r="W501" s="91"/>
      <c r="X501" s="91"/>
      <c r="Y501" s="1321"/>
      <c r="Z501" s="91"/>
    </row>
    <row r="502" ht="15.75" customHeight="1">
      <c r="A502" s="91"/>
      <c r="B502" s="223"/>
      <c r="C502" s="91"/>
      <c r="D502" s="91"/>
      <c r="E502" s="223"/>
      <c r="F502" s="91"/>
      <c r="G502" s="242"/>
      <c r="H502" s="242"/>
      <c r="I502" s="242"/>
      <c r="J502" s="242"/>
      <c r="K502" s="91"/>
      <c r="L502" s="91"/>
      <c r="M502" s="91"/>
      <c r="N502" s="91"/>
      <c r="O502" s="91"/>
      <c r="P502" s="91"/>
      <c r="Q502" s="91"/>
      <c r="R502" s="242"/>
      <c r="S502" s="242"/>
      <c r="T502" s="91"/>
      <c r="U502" s="1321"/>
      <c r="V502" s="1321"/>
      <c r="W502" s="91"/>
      <c r="X502" s="91"/>
      <c r="Y502" s="1321"/>
      <c r="Z502" s="91"/>
    </row>
    <row r="503" ht="15.75" customHeight="1">
      <c r="A503" s="91"/>
      <c r="B503" s="223"/>
      <c r="C503" s="91"/>
      <c r="D503" s="91"/>
      <c r="E503" s="223"/>
      <c r="F503" s="91"/>
      <c r="G503" s="242"/>
      <c r="H503" s="242"/>
      <c r="I503" s="242"/>
      <c r="J503" s="242"/>
      <c r="K503" s="91"/>
      <c r="L503" s="91"/>
      <c r="M503" s="91"/>
      <c r="N503" s="91"/>
      <c r="O503" s="91"/>
      <c r="P503" s="91"/>
      <c r="Q503" s="91"/>
      <c r="R503" s="242"/>
      <c r="S503" s="242"/>
      <c r="T503" s="91"/>
      <c r="U503" s="1321"/>
      <c r="V503" s="1321"/>
      <c r="W503" s="91"/>
      <c r="X503" s="91"/>
      <c r="Y503" s="1321"/>
      <c r="Z503" s="91"/>
    </row>
    <row r="504" ht="15.75" customHeight="1">
      <c r="A504" s="91"/>
      <c r="B504" s="223"/>
      <c r="C504" s="91"/>
      <c r="D504" s="91"/>
      <c r="E504" s="223"/>
      <c r="F504" s="91"/>
      <c r="G504" s="242"/>
      <c r="H504" s="242"/>
      <c r="I504" s="242"/>
      <c r="J504" s="242"/>
      <c r="K504" s="91"/>
      <c r="L504" s="91"/>
      <c r="M504" s="91"/>
      <c r="N504" s="91"/>
      <c r="O504" s="91"/>
      <c r="P504" s="91"/>
      <c r="Q504" s="91"/>
      <c r="R504" s="242"/>
      <c r="S504" s="242"/>
      <c r="T504" s="91"/>
      <c r="U504" s="1321"/>
      <c r="V504" s="1321"/>
      <c r="W504" s="91"/>
      <c r="X504" s="91"/>
      <c r="Y504" s="1321"/>
      <c r="Z504" s="91"/>
    </row>
    <row r="505" ht="15.75" customHeight="1">
      <c r="A505" s="91"/>
      <c r="B505" s="223"/>
      <c r="C505" s="91"/>
      <c r="D505" s="91"/>
      <c r="E505" s="223"/>
      <c r="F505" s="91"/>
      <c r="G505" s="242"/>
      <c r="H505" s="242"/>
      <c r="I505" s="242"/>
      <c r="J505" s="242"/>
      <c r="K505" s="91"/>
      <c r="L505" s="91"/>
      <c r="M505" s="91"/>
      <c r="N505" s="91"/>
      <c r="O505" s="91"/>
      <c r="P505" s="91"/>
      <c r="Q505" s="91"/>
      <c r="R505" s="242"/>
      <c r="S505" s="242"/>
      <c r="T505" s="91"/>
      <c r="U505" s="1321"/>
      <c r="V505" s="1321"/>
      <c r="W505" s="91"/>
      <c r="X505" s="91"/>
      <c r="Y505" s="1321"/>
      <c r="Z505" s="91"/>
    </row>
    <row r="506" ht="15.75" customHeight="1">
      <c r="A506" s="91"/>
      <c r="B506" s="223"/>
      <c r="C506" s="91"/>
      <c r="D506" s="91"/>
      <c r="E506" s="223"/>
      <c r="F506" s="91"/>
      <c r="G506" s="242"/>
      <c r="H506" s="242"/>
      <c r="I506" s="242"/>
      <c r="J506" s="242"/>
      <c r="K506" s="91"/>
      <c r="L506" s="91"/>
      <c r="M506" s="91"/>
      <c r="N506" s="91"/>
      <c r="O506" s="91"/>
      <c r="P506" s="91"/>
      <c r="Q506" s="91"/>
      <c r="R506" s="242"/>
      <c r="S506" s="242"/>
      <c r="T506" s="91"/>
      <c r="U506" s="1321"/>
      <c r="V506" s="1321"/>
      <c r="W506" s="91"/>
      <c r="X506" s="91"/>
      <c r="Y506" s="1321"/>
      <c r="Z506" s="91"/>
    </row>
    <row r="507" ht="15.75" customHeight="1">
      <c r="A507" s="91"/>
      <c r="B507" s="223"/>
      <c r="C507" s="91"/>
      <c r="D507" s="91"/>
      <c r="E507" s="223"/>
      <c r="F507" s="91"/>
      <c r="G507" s="242"/>
      <c r="H507" s="242"/>
      <c r="I507" s="242"/>
      <c r="J507" s="242"/>
      <c r="K507" s="91"/>
      <c r="L507" s="91"/>
      <c r="M507" s="91"/>
      <c r="N507" s="91"/>
      <c r="O507" s="91"/>
      <c r="P507" s="91"/>
      <c r="Q507" s="91"/>
      <c r="R507" s="242"/>
      <c r="S507" s="242"/>
      <c r="T507" s="91"/>
      <c r="U507" s="1321"/>
      <c r="V507" s="1321"/>
      <c r="W507" s="91"/>
      <c r="X507" s="91"/>
      <c r="Y507" s="1321"/>
      <c r="Z507" s="91"/>
    </row>
    <row r="508" ht="15.75" customHeight="1">
      <c r="A508" s="91"/>
      <c r="B508" s="223"/>
      <c r="C508" s="91"/>
      <c r="D508" s="91"/>
      <c r="E508" s="223"/>
      <c r="F508" s="91"/>
      <c r="G508" s="242"/>
      <c r="H508" s="242"/>
      <c r="I508" s="242"/>
      <c r="J508" s="242"/>
      <c r="K508" s="91"/>
      <c r="L508" s="91"/>
      <c r="M508" s="91"/>
      <c r="N508" s="91"/>
      <c r="O508" s="91"/>
      <c r="P508" s="91"/>
      <c r="Q508" s="91"/>
      <c r="R508" s="242"/>
      <c r="S508" s="242"/>
      <c r="T508" s="91"/>
      <c r="U508" s="1321"/>
      <c r="V508" s="1321"/>
      <c r="W508" s="91"/>
      <c r="X508" s="91"/>
      <c r="Y508" s="1321"/>
      <c r="Z508" s="91"/>
    </row>
    <row r="509" ht="15.75" customHeight="1">
      <c r="A509" s="91"/>
      <c r="B509" s="223"/>
      <c r="C509" s="91"/>
      <c r="D509" s="91"/>
      <c r="E509" s="223"/>
      <c r="F509" s="91"/>
      <c r="G509" s="242"/>
      <c r="H509" s="242"/>
      <c r="I509" s="242"/>
      <c r="J509" s="242"/>
      <c r="K509" s="91"/>
      <c r="L509" s="91"/>
      <c r="M509" s="91"/>
      <c r="N509" s="91"/>
      <c r="O509" s="91"/>
      <c r="P509" s="91"/>
      <c r="Q509" s="91"/>
      <c r="R509" s="242"/>
      <c r="S509" s="242"/>
      <c r="T509" s="91"/>
      <c r="U509" s="1321"/>
      <c r="V509" s="1321"/>
      <c r="W509" s="91"/>
      <c r="X509" s="91"/>
      <c r="Y509" s="1321"/>
      <c r="Z509" s="91"/>
    </row>
    <row r="510" ht="15.75" customHeight="1">
      <c r="A510" s="91"/>
      <c r="B510" s="223"/>
      <c r="C510" s="91"/>
      <c r="D510" s="91"/>
      <c r="E510" s="223"/>
      <c r="F510" s="91"/>
      <c r="G510" s="242"/>
      <c r="H510" s="242"/>
      <c r="I510" s="242"/>
      <c r="J510" s="242"/>
      <c r="K510" s="91"/>
      <c r="L510" s="91"/>
      <c r="M510" s="91"/>
      <c r="N510" s="91"/>
      <c r="O510" s="91"/>
      <c r="P510" s="91"/>
      <c r="Q510" s="91"/>
      <c r="R510" s="242"/>
      <c r="S510" s="242"/>
      <c r="T510" s="91"/>
      <c r="U510" s="1321"/>
      <c r="V510" s="1321"/>
      <c r="W510" s="91"/>
      <c r="X510" s="91"/>
      <c r="Y510" s="1321"/>
      <c r="Z510" s="91"/>
    </row>
    <row r="511" ht="15.75" customHeight="1">
      <c r="A511" s="91"/>
      <c r="B511" s="223"/>
      <c r="C511" s="91"/>
      <c r="D511" s="91"/>
      <c r="E511" s="223"/>
      <c r="F511" s="91"/>
      <c r="G511" s="242"/>
      <c r="H511" s="242"/>
      <c r="I511" s="242"/>
      <c r="J511" s="242"/>
      <c r="K511" s="91"/>
      <c r="L511" s="91"/>
      <c r="M511" s="91"/>
      <c r="N511" s="91"/>
      <c r="O511" s="91"/>
      <c r="P511" s="91"/>
      <c r="Q511" s="91"/>
      <c r="R511" s="242"/>
      <c r="S511" s="242"/>
      <c r="T511" s="91"/>
      <c r="U511" s="1321"/>
      <c r="V511" s="1321"/>
      <c r="W511" s="91"/>
      <c r="X511" s="91"/>
      <c r="Y511" s="1321"/>
      <c r="Z511" s="91"/>
    </row>
    <row r="512" ht="15.75" customHeight="1">
      <c r="A512" s="91"/>
      <c r="B512" s="223"/>
      <c r="C512" s="91"/>
      <c r="D512" s="91"/>
      <c r="E512" s="223"/>
      <c r="F512" s="91"/>
      <c r="G512" s="242"/>
      <c r="H512" s="242"/>
      <c r="I512" s="242"/>
      <c r="J512" s="242"/>
      <c r="K512" s="91"/>
      <c r="L512" s="91"/>
      <c r="M512" s="91"/>
      <c r="N512" s="91"/>
      <c r="O512" s="91"/>
      <c r="P512" s="91"/>
      <c r="Q512" s="91"/>
      <c r="R512" s="242"/>
      <c r="S512" s="242"/>
      <c r="T512" s="91"/>
      <c r="U512" s="1321"/>
      <c r="V512" s="1321"/>
      <c r="W512" s="91"/>
      <c r="X512" s="91"/>
      <c r="Y512" s="1321"/>
      <c r="Z512" s="91"/>
    </row>
    <row r="513" ht="15.75" customHeight="1">
      <c r="A513" s="91"/>
      <c r="B513" s="223"/>
      <c r="C513" s="91"/>
      <c r="D513" s="91"/>
      <c r="E513" s="223"/>
      <c r="F513" s="91"/>
      <c r="G513" s="242"/>
      <c r="H513" s="242"/>
      <c r="I513" s="242"/>
      <c r="J513" s="242"/>
      <c r="K513" s="91"/>
      <c r="L513" s="91"/>
      <c r="M513" s="91"/>
      <c r="N513" s="91"/>
      <c r="O513" s="91"/>
      <c r="P513" s="91"/>
      <c r="Q513" s="91"/>
      <c r="R513" s="242"/>
      <c r="S513" s="242"/>
      <c r="T513" s="91"/>
      <c r="U513" s="1321"/>
      <c r="V513" s="1321"/>
      <c r="W513" s="91"/>
      <c r="X513" s="91"/>
      <c r="Y513" s="1321"/>
      <c r="Z513" s="91"/>
    </row>
    <row r="514" ht="15.75" customHeight="1">
      <c r="A514" s="91"/>
      <c r="B514" s="223"/>
      <c r="C514" s="91"/>
      <c r="D514" s="91"/>
      <c r="E514" s="223"/>
      <c r="F514" s="91"/>
      <c r="G514" s="242"/>
      <c r="H514" s="242"/>
      <c r="I514" s="242"/>
      <c r="J514" s="242"/>
      <c r="K514" s="91"/>
      <c r="L514" s="91"/>
      <c r="M514" s="91"/>
      <c r="N514" s="91"/>
      <c r="O514" s="91"/>
      <c r="P514" s="91"/>
      <c r="Q514" s="91"/>
      <c r="R514" s="242"/>
      <c r="S514" s="242"/>
      <c r="T514" s="91"/>
      <c r="U514" s="1321"/>
      <c r="V514" s="1321"/>
      <c r="W514" s="91"/>
      <c r="X514" s="91"/>
      <c r="Y514" s="1321"/>
      <c r="Z514" s="91"/>
    </row>
    <row r="515" ht="15.75" customHeight="1">
      <c r="A515" s="91"/>
      <c r="B515" s="223"/>
      <c r="C515" s="91"/>
      <c r="D515" s="91"/>
      <c r="E515" s="223"/>
      <c r="F515" s="91"/>
      <c r="G515" s="242"/>
      <c r="H515" s="242"/>
      <c r="I515" s="242"/>
      <c r="J515" s="242"/>
      <c r="K515" s="91"/>
      <c r="L515" s="91"/>
      <c r="M515" s="91"/>
      <c r="N515" s="91"/>
      <c r="O515" s="91"/>
      <c r="P515" s="91"/>
      <c r="Q515" s="91"/>
      <c r="R515" s="242"/>
      <c r="S515" s="242"/>
      <c r="T515" s="91"/>
      <c r="U515" s="1321"/>
      <c r="V515" s="1321"/>
      <c r="W515" s="91"/>
      <c r="X515" s="91"/>
      <c r="Y515" s="1321"/>
      <c r="Z515" s="91"/>
    </row>
    <row r="516" ht="15.75" customHeight="1">
      <c r="A516" s="91"/>
      <c r="B516" s="223"/>
      <c r="C516" s="91"/>
      <c r="D516" s="91"/>
      <c r="E516" s="223"/>
      <c r="F516" s="91"/>
      <c r="G516" s="242"/>
      <c r="H516" s="242"/>
      <c r="I516" s="242"/>
      <c r="J516" s="242"/>
      <c r="K516" s="91"/>
      <c r="L516" s="91"/>
      <c r="M516" s="91"/>
      <c r="N516" s="91"/>
      <c r="O516" s="91"/>
      <c r="P516" s="91"/>
      <c r="Q516" s="91"/>
      <c r="R516" s="242"/>
      <c r="S516" s="242"/>
      <c r="T516" s="91"/>
      <c r="U516" s="1321"/>
      <c r="V516" s="1321"/>
      <c r="W516" s="91"/>
      <c r="X516" s="91"/>
      <c r="Y516" s="1321"/>
      <c r="Z516" s="91"/>
    </row>
    <row r="517" ht="15.75" customHeight="1">
      <c r="A517" s="91"/>
      <c r="B517" s="223"/>
      <c r="C517" s="91"/>
      <c r="D517" s="91"/>
      <c r="E517" s="223"/>
      <c r="F517" s="91"/>
      <c r="G517" s="242"/>
      <c r="H517" s="242"/>
      <c r="I517" s="242"/>
      <c r="J517" s="242"/>
      <c r="K517" s="91"/>
      <c r="L517" s="91"/>
      <c r="M517" s="91"/>
      <c r="N517" s="91"/>
      <c r="O517" s="91"/>
      <c r="P517" s="91"/>
      <c r="Q517" s="91"/>
      <c r="R517" s="242"/>
      <c r="S517" s="242"/>
      <c r="T517" s="91"/>
      <c r="U517" s="1321"/>
      <c r="V517" s="1321"/>
      <c r="W517" s="91"/>
      <c r="X517" s="91"/>
      <c r="Y517" s="1321"/>
      <c r="Z517" s="91"/>
    </row>
    <row r="518" ht="15.75" customHeight="1">
      <c r="A518" s="91"/>
      <c r="B518" s="223"/>
      <c r="C518" s="91"/>
      <c r="D518" s="91"/>
      <c r="E518" s="223"/>
      <c r="F518" s="91"/>
      <c r="G518" s="242"/>
      <c r="H518" s="242"/>
      <c r="I518" s="242"/>
      <c r="J518" s="242"/>
      <c r="K518" s="91"/>
      <c r="L518" s="91"/>
      <c r="M518" s="91"/>
      <c r="N518" s="91"/>
      <c r="O518" s="91"/>
      <c r="P518" s="91"/>
      <c r="Q518" s="91"/>
      <c r="R518" s="242"/>
      <c r="S518" s="242"/>
      <c r="T518" s="91"/>
      <c r="U518" s="1321"/>
      <c r="V518" s="1321"/>
      <c r="W518" s="91"/>
      <c r="X518" s="91"/>
      <c r="Y518" s="1321"/>
      <c r="Z518" s="91"/>
    </row>
    <row r="519" ht="15.75" customHeight="1">
      <c r="A519" s="91"/>
      <c r="B519" s="223"/>
      <c r="C519" s="91"/>
      <c r="D519" s="91"/>
      <c r="E519" s="223"/>
      <c r="F519" s="91"/>
      <c r="G519" s="242"/>
      <c r="H519" s="242"/>
      <c r="I519" s="242"/>
      <c r="J519" s="242"/>
      <c r="K519" s="91"/>
      <c r="L519" s="91"/>
      <c r="M519" s="91"/>
      <c r="N519" s="91"/>
      <c r="O519" s="91"/>
      <c r="P519" s="91"/>
      <c r="Q519" s="91"/>
      <c r="R519" s="242"/>
      <c r="S519" s="242"/>
      <c r="T519" s="91"/>
      <c r="U519" s="1321"/>
      <c r="V519" s="1321"/>
      <c r="W519" s="91"/>
      <c r="X519" s="91"/>
      <c r="Y519" s="1321"/>
      <c r="Z519" s="91"/>
    </row>
    <row r="520" ht="15.75" customHeight="1">
      <c r="A520" s="91"/>
      <c r="B520" s="223"/>
      <c r="C520" s="91"/>
      <c r="D520" s="91"/>
      <c r="E520" s="223"/>
      <c r="F520" s="91"/>
      <c r="G520" s="242"/>
      <c r="H520" s="242"/>
      <c r="I520" s="242"/>
      <c r="J520" s="242"/>
      <c r="K520" s="91"/>
      <c r="L520" s="91"/>
      <c r="M520" s="91"/>
      <c r="N520" s="91"/>
      <c r="O520" s="91"/>
      <c r="P520" s="91"/>
      <c r="Q520" s="91"/>
      <c r="R520" s="242"/>
      <c r="S520" s="242"/>
      <c r="T520" s="91"/>
      <c r="U520" s="1321"/>
      <c r="V520" s="1321"/>
      <c r="W520" s="91"/>
      <c r="X520" s="91"/>
      <c r="Y520" s="1321"/>
      <c r="Z520" s="91"/>
    </row>
    <row r="521" ht="15.75" customHeight="1">
      <c r="A521" s="91"/>
      <c r="B521" s="223"/>
      <c r="C521" s="91"/>
      <c r="D521" s="91"/>
      <c r="E521" s="223"/>
      <c r="F521" s="91"/>
      <c r="G521" s="242"/>
      <c r="H521" s="242"/>
      <c r="I521" s="242"/>
      <c r="J521" s="242"/>
      <c r="K521" s="91"/>
      <c r="L521" s="91"/>
      <c r="M521" s="91"/>
      <c r="N521" s="91"/>
      <c r="O521" s="91"/>
      <c r="P521" s="91"/>
      <c r="Q521" s="91"/>
      <c r="R521" s="242"/>
      <c r="S521" s="242"/>
      <c r="T521" s="91"/>
      <c r="U521" s="1321"/>
      <c r="V521" s="1321"/>
      <c r="W521" s="91"/>
      <c r="X521" s="91"/>
      <c r="Y521" s="1321"/>
      <c r="Z521" s="91"/>
    </row>
    <row r="522" ht="15.75" customHeight="1">
      <c r="A522" s="91"/>
      <c r="B522" s="223"/>
      <c r="C522" s="91"/>
      <c r="D522" s="91"/>
      <c r="E522" s="223"/>
      <c r="F522" s="91"/>
      <c r="G522" s="242"/>
      <c r="H522" s="242"/>
      <c r="I522" s="242"/>
      <c r="J522" s="242"/>
      <c r="K522" s="91"/>
      <c r="L522" s="91"/>
      <c r="M522" s="91"/>
      <c r="N522" s="91"/>
      <c r="O522" s="91"/>
      <c r="P522" s="91"/>
      <c r="Q522" s="91"/>
      <c r="R522" s="242"/>
      <c r="S522" s="242"/>
      <c r="T522" s="91"/>
      <c r="U522" s="1321"/>
      <c r="V522" s="1321"/>
      <c r="W522" s="91"/>
      <c r="X522" s="91"/>
      <c r="Y522" s="1321"/>
      <c r="Z522" s="91"/>
    </row>
    <row r="523" ht="15.75" customHeight="1">
      <c r="A523" s="91"/>
      <c r="B523" s="223"/>
      <c r="C523" s="91"/>
      <c r="D523" s="91"/>
      <c r="E523" s="223"/>
      <c r="F523" s="91"/>
      <c r="G523" s="242"/>
      <c r="H523" s="242"/>
      <c r="I523" s="242"/>
      <c r="J523" s="242"/>
      <c r="K523" s="91"/>
      <c r="L523" s="91"/>
      <c r="M523" s="91"/>
      <c r="N523" s="91"/>
      <c r="O523" s="91"/>
      <c r="P523" s="91"/>
      <c r="Q523" s="91"/>
      <c r="R523" s="242"/>
      <c r="S523" s="242"/>
      <c r="T523" s="91"/>
      <c r="U523" s="1321"/>
      <c r="V523" s="1321"/>
      <c r="W523" s="91"/>
      <c r="X523" s="91"/>
      <c r="Y523" s="1321"/>
      <c r="Z523" s="91"/>
    </row>
    <row r="524" ht="15.75" customHeight="1">
      <c r="A524" s="91"/>
      <c r="B524" s="223"/>
      <c r="C524" s="91"/>
      <c r="D524" s="91"/>
      <c r="E524" s="223"/>
      <c r="F524" s="91"/>
      <c r="G524" s="242"/>
      <c r="H524" s="242"/>
      <c r="I524" s="242"/>
      <c r="J524" s="242"/>
      <c r="K524" s="91"/>
      <c r="L524" s="91"/>
      <c r="M524" s="91"/>
      <c r="N524" s="91"/>
      <c r="O524" s="91"/>
      <c r="P524" s="91"/>
      <c r="Q524" s="91"/>
      <c r="R524" s="242"/>
      <c r="S524" s="242"/>
      <c r="T524" s="91"/>
      <c r="U524" s="1321"/>
      <c r="V524" s="1321"/>
      <c r="W524" s="91"/>
      <c r="X524" s="91"/>
      <c r="Y524" s="1321"/>
      <c r="Z524" s="91"/>
    </row>
    <row r="525" ht="15.75" customHeight="1">
      <c r="A525" s="91"/>
      <c r="B525" s="223"/>
      <c r="C525" s="91"/>
      <c r="D525" s="91"/>
      <c r="E525" s="223"/>
      <c r="F525" s="91"/>
      <c r="G525" s="242"/>
      <c r="H525" s="242"/>
      <c r="I525" s="242"/>
      <c r="J525" s="242"/>
      <c r="K525" s="91"/>
      <c r="L525" s="91"/>
      <c r="M525" s="91"/>
      <c r="N525" s="91"/>
      <c r="O525" s="91"/>
      <c r="P525" s="91"/>
      <c r="Q525" s="91"/>
      <c r="R525" s="242"/>
      <c r="S525" s="242"/>
      <c r="T525" s="91"/>
      <c r="U525" s="1321"/>
      <c r="V525" s="1321"/>
      <c r="W525" s="91"/>
      <c r="X525" s="91"/>
      <c r="Y525" s="1321"/>
      <c r="Z525" s="91"/>
    </row>
    <row r="526" ht="15.75" customHeight="1">
      <c r="A526" s="91"/>
      <c r="B526" s="223"/>
      <c r="C526" s="91"/>
      <c r="D526" s="91"/>
      <c r="E526" s="223"/>
      <c r="F526" s="91"/>
      <c r="G526" s="242"/>
      <c r="H526" s="242"/>
      <c r="I526" s="242"/>
      <c r="J526" s="242"/>
      <c r="K526" s="91"/>
      <c r="L526" s="91"/>
      <c r="M526" s="91"/>
      <c r="N526" s="91"/>
      <c r="O526" s="91"/>
      <c r="P526" s="91"/>
      <c r="Q526" s="91"/>
      <c r="R526" s="242"/>
      <c r="S526" s="242"/>
      <c r="T526" s="91"/>
      <c r="U526" s="1321"/>
      <c r="V526" s="1321"/>
      <c r="W526" s="91"/>
      <c r="X526" s="91"/>
      <c r="Y526" s="1321"/>
      <c r="Z526" s="91"/>
    </row>
    <row r="527" ht="15.75" customHeight="1">
      <c r="A527" s="91"/>
      <c r="B527" s="223"/>
      <c r="C527" s="91"/>
      <c r="D527" s="91"/>
      <c r="E527" s="223"/>
      <c r="F527" s="91"/>
      <c r="G527" s="242"/>
      <c r="H527" s="242"/>
      <c r="I527" s="242"/>
      <c r="J527" s="242"/>
      <c r="K527" s="91"/>
      <c r="L527" s="91"/>
      <c r="M527" s="91"/>
      <c r="N527" s="91"/>
      <c r="O527" s="91"/>
      <c r="P527" s="91"/>
      <c r="Q527" s="91"/>
      <c r="R527" s="242"/>
      <c r="S527" s="242"/>
      <c r="T527" s="91"/>
      <c r="U527" s="1321"/>
      <c r="V527" s="1321"/>
      <c r="W527" s="91"/>
      <c r="X527" s="91"/>
      <c r="Y527" s="1321"/>
      <c r="Z527" s="91"/>
    </row>
    <row r="528" ht="15.75" customHeight="1">
      <c r="A528" s="91"/>
      <c r="B528" s="223"/>
      <c r="C528" s="91"/>
      <c r="D528" s="91"/>
      <c r="E528" s="223"/>
      <c r="F528" s="91"/>
      <c r="G528" s="242"/>
      <c r="H528" s="242"/>
      <c r="I528" s="242"/>
      <c r="J528" s="242"/>
      <c r="K528" s="91"/>
      <c r="L528" s="91"/>
      <c r="M528" s="91"/>
      <c r="N528" s="91"/>
      <c r="O528" s="91"/>
      <c r="P528" s="91"/>
      <c r="Q528" s="91"/>
      <c r="R528" s="242"/>
      <c r="S528" s="242"/>
      <c r="T528" s="91"/>
      <c r="U528" s="1321"/>
      <c r="V528" s="1321"/>
      <c r="W528" s="91"/>
      <c r="X528" s="91"/>
      <c r="Y528" s="1321"/>
      <c r="Z528" s="91"/>
    </row>
    <row r="529" ht="15.75" customHeight="1">
      <c r="A529" s="91"/>
      <c r="B529" s="223"/>
      <c r="C529" s="91"/>
      <c r="D529" s="91"/>
      <c r="E529" s="223"/>
      <c r="F529" s="91"/>
      <c r="G529" s="242"/>
      <c r="H529" s="242"/>
      <c r="I529" s="242"/>
      <c r="J529" s="242"/>
      <c r="K529" s="91"/>
      <c r="L529" s="91"/>
      <c r="M529" s="91"/>
      <c r="N529" s="91"/>
      <c r="O529" s="91"/>
      <c r="P529" s="91"/>
      <c r="Q529" s="91"/>
      <c r="R529" s="242"/>
      <c r="S529" s="242"/>
      <c r="T529" s="91"/>
      <c r="U529" s="1321"/>
      <c r="V529" s="1321"/>
      <c r="W529" s="91"/>
      <c r="X529" s="91"/>
      <c r="Y529" s="1321"/>
      <c r="Z529" s="91"/>
    </row>
    <row r="530" ht="15.75" customHeight="1">
      <c r="A530" s="91"/>
      <c r="B530" s="223"/>
      <c r="C530" s="91"/>
      <c r="D530" s="91"/>
      <c r="E530" s="223"/>
      <c r="F530" s="91"/>
      <c r="G530" s="242"/>
      <c r="H530" s="242"/>
      <c r="I530" s="242"/>
      <c r="J530" s="242"/>
      <c r="K530" s="91"/>
      <c r="L530" s="91"/>
      <c r="M530" s="91"/>
      <c r="N530" s="91"/>
      <c r="O530" s="91"/>
      <c r="P530" s="91"/>
      <c r="Q530" s="91"/>
      <c r="R530" s="242"/>
      <c r="S530" s="242"/>
      <c r="T530" s="91"/>
      <c r="U530" s="1321"/>
      <c r="V530" s="1321"/>
      <c r="W530" s="91"/>
      <c r="X530" s="91"/>
      <c r="Y530" s="1321"/>
      <c r="Z530" s="91"/>
    </row>
    <row r="531" ht="15.75" customHeight="1">
      <c r="A531" s="91"/>
      <c r="B531" s="223"/>
      <c r="C531" s="91"/>
      <c r="D531" s="91"/>
      <c r="E531" s="223"/>
      <c r="F531" s="91"/>
      <c r="G531" s="242"/>
      <c r="H531" s="242"/>
      <c r="I531" s="242"/>
      <c r="J531" s="242"/>
      <c r="K531" s="91"/>
      <c r="L531" s="91"/>
      <c r="M531" s="91"/>
      <c r="N531" s="91"/>
      <c r="O531" s="91"/>
      <c r="P531" s="91"/>
      <c r="Q531" s="91"/>
      <c r="R531" s="242"/>
      <c r="S531" s="242"/>
      <c r="T531" s="91"/>
      <c r="U531" s="1321"/>
      <c r="V531" s="1321"/>
      <c r="W531" s="91"/>
      <c r="X531" s="91"/>
      <c r="Y531" s="1321"/>
      <c r="Z531" s="91"/>
    </row>
    <row r="532" ht="15.75" customHeight="1">
      <c r="A532" s="91"/>
      <c r="B532" s="223"/>
      <c r="C532" s="91"/>
      <c r="D532" s="91"/>
      <c r="E532" s="223"/>
      <c r="F532" s="91"/>
      <c r="G532" s="242"/>
      <c r="H532" s="242"/>
      <c r="I532" s="242"/>
      <c r="J532" s="242"/>
      <c r="K532" s="91"/>
      <c r="L532" s="91"/>
      <c r="M532" s="91"/>
      <c r="N532" s="91"/>
      <c r="O532" s="91"/>
      <c r="P532" s="91"/>
      <c r="Q532" s="91"/>
      <c r="R532" s="242"/>
      <c r="S532" s="242"/>
      <c r="T532" s="91"/>
      <c r="U532" s="1321"/>
      <c r="V532" s="1321"/>
      <c r="W532" s="91"/>
      <c r="X532" s="91"/>
      <c r="Y532" s="1321"/>
      <c r="Z532" s="91"/>
    </row>
    <row r="533" ht="15.75" customHeight="1">
      <c r="A533" s="91"/>
      <c r="B533" s="223"/>
      <c r="C533" s="91"/>
      <c r="D533" s="91"/>
      <c r="E533" s="223"/>
      <c r="F533" s="91"/>
      <c r="G533" s="242"/>
      <c r="H533" s="242"/>
      <c r="I533" s="242"/>
      <c r="J533" s="242"/>
      <c r="K533" s="91"/>
      <c r="L533" s="91"/>
      <c r="M533" s="91"/>
      <c r="N533" s="91"/>
      <c r="O533" s="91"/>
      <c r="P533" s="91"/>
      <c r="Q533" s="91"/>
      <c r="R533" s="242"/>
      <c r="S533" s="242"/>
      <c r="T533" s="91"/>
      <c r="U533" s="1321"/>
      <c r="V533" s="1321"/>
      <c r="W533" s="91"/>
      <c r="X533" s="91"/>
      <c r="Y533" s="1321"/>
      <c r="Z533" s="91"/>
    </row>
    <row r="534" ht="15.75" customHeight="1">
      <c r="A534" s="91"/>
      <c r="B534" s="223"/>
      <c r="C534" s="91"/>
      <c r="D534" s="91"/>
      <c r="E534" s="223"/>
      <c r="F534" s="91"/>
      <c r="G534" s="242"/>
      <c r="H534" s="242"/>
      <c r="I534" s="242"/>
      <c r="J534" s="242"/>
      <c r="K534" s="91"/>
      <c r="L534" s="91"/>
      <c r="M534" s="91"/>
      <c r="N534" s="91"/>
      <c r="O534" s="91"/>
      <c r="P534" s="91"/>
      <c r="Q534" s="91"/>
      <c r="R534" s="242"/>
      <c r="S534" s="242"/>
      <c r="T534" s="91"/>
      <c r="U534" s="1321"/>
      <c r="V534" s="1321"/>
      <c r="W534" s="91"/>
      <c r="X534" s="91"/>
      <c r="Y534" s="1321"/>
      <c r="Z534" s="91"/>
    </row>
    <row r="535" ht="15.75" customHeight="1">
      <c r="A535" s="91"/>
      <c r="B535" s="223"/>
      <c r="C535" s="91"/>
      <c r="D535" s="91"/>
      <c r="E535" s="223"/>
      <c r="F535" s="91"/>
      <c r="G535" s="242"/>
      <c r="H535" s="242"/>
      <c r="I535" s="242"/>
      <c r="J535" s="242"/>
      <c r="K535" s="91"/>
      <c r="L535" s="91"/>
      <c r="M535" s="91"/>
      <c r="N535" s="91"/>
      <c r="O535" s="91"/>
      <c r="P535" s="91"/>
      <c r="Q535" s="91"/>
      <c r="R535" s="242"/>
      <c r="S535" s="242"/>
      <c r="T535" s="91"/>
      <c r="U535" s="1321"/>
      <c r="V535" s="1321"/>
      <c r="W535" s="91"/>
      <c r="X535" s="91"/>
      <c r="Y535" s="1321"/>
      <c r="Z535" s="91"/>
    </row>
    <row r="536" ht="15.75" customHeight="1">
      <c r="A536" s="91"/>
      <c r="B536" s="223"/>
      <c r="C536" s="91"/>
      <c r="D536" s="91"/>
      <c r="E536" s="223"/>
      <c r="F536" s="91"/>
      <c r="G536" s="242"/>
      <c r="H536" s="242"/>
      <c r="I536" s="242"/>
      <c r="J536" s="242"/>
      <c r="K536" s="91"/>
      <c r="L536" s="91"/>
      <c r="M536" s="91"/>
      <c r="N536" s="91"/>
      <c r="O536" s="91"/>
      <c r="P536" s="91"/>
      <c r="Q536" s="91"/>
      <c r="R536" s="242"/>
      <c r="S536" s="242"/>
      <c r="T536" s="91"/>
      <c r="U536" s="1321"/>
      <c r="V536" s="1321"/>
      <c r="W536" s="91"/>
      <c r="X536" s="91"/>
      <c r="Y536" s="1321"/>
      <c r="Z536" s="91"/>
    </row>
    <row r="537" ht="15.75" customHeight="1">
      <c r="A537" s="91"/>
      <c r="B537" s="223"/>
      <c r="C537" s="91"/>
      <c r="D537" s="91"/>
      <c r="E537" s="223"/>
      <c r="F537" s="91"/>
      <c r="G537" s="242"/>
      <c r="H537" s="242"/>
      <c r="I537" s="242"/>
      <c r="J537" s="242"/>
      <c r="K537" s="91"/>
      <c r="L537" s="91"/>
      <c r="M537" s="91"/>
      <c r="N537" s="91"/>
      <c r="O537" s="91"/>
      <c r="P537" s="91"/>
      <c r="Q537" s="91"/>
      <c r="R537" s="242"/>
      <c r="S537" s="242"/>
      <c r="T537" s="91"/>
      <c r="U537" s="1321"/>
      <c r="V537" s="1321"/>
      <c r="W537" s="91"/>
      <c r="X537" s="91"/>
      <c r="Y537" s="1321"/>
      <c r="Z537" s="91"/>
    </row>
    <row r="538" ht="15.75" customHeight="1">
      <c r="A538" s="91"/>
      <c r="B538" s="223"/>
      <c r="C538" s="91"/>
      <c r="D538" s="91"/>
      <c r="E538" s="223"/>
      <c r="F538" s="91"/>
      <c r="G538" s="242"/>
      <c r="H538" s="242"/>
      <c r="I538" s="242"/>
      <c r="J538" s="242"/>
      <c r="K538" s="91"/>
      <c r="L538" s="91"/>
      <c r="M538" s="91"/>
      <c r="N538" s="91"/>
      <c r="O538" s="91"/>
      <c r="P538" s="91"/>
      <c r="Q538" s="91"/>
      <c r="R538" s="242"/>
      <c r="S538" s="242"/>
      <c r="T538" s="91"/>
      <c r="U538" s="1321"/>
      <c r="V538" s="1321"/>
      <c r="W538" s="91"/>
      <c r="X538" s="91"/>
      <c r="Y538" s="1321"/>
      <c r="Z538" s="91"/>
    </row>
    <row r="539" ht="15.75" customHeight="1">
      <c r="A539" s="91"/>
      <c r="B539" s="223"/>
      <c r="C539" s="91"/>
      <c r="D539" s="91"/>
      <c r="E539" s="223"/>
      <c r="F539" s="91"/>
      <c r="G539" s="242"/>
      <c r="H539" s="242"/>
      <c r="I539" s="242"/>
      <c r="J539" s="242"/>
      <c r="K539" s="91"/>
      <c r="L539" s="91"/>
      <c r="M539" s="91"/>
      <c r="N539" s="91"/>
      <c r="O539" s="91"/>
      <c r="P539" s="91"/>
      <c r="Q539" s="91"/>
      <c r="R539" s="242"/>
      <c r="S539" s="242"/>
      <c r="T539" s="91"/>
      <c r="U539" s="1321"/>
      <c r="V539" s="1321"/>
      <c r="W539" s="91"/>
      <c r="X539" s="91"/>
      <c r="Y539" s="1321"/>
      <c r="Z539" s="91"/>
    </row>
    <row r="540" ht="15.75" customHeight="1">
      <c r="A540" s="91"/>
      <c r="B540" s="223"/>
      <c r="C540" s="91"/>
      <c r="D540" s="91"/>
      <c r="E540" s="223"/>
      <c r="F540" s="91"/>
      <c r="G540" s="242"/>
      <c r="H540" s="242"/>
      <c r="I540" s="242"/>
      <c r="J540" s="242"/>
      <c r="K540" s="91"/>
      <c r="L540" s="91"/>
      <c r="M540" s="91"/>
      <c r="N540" s="91"/>
      <c r="O540" s="91"/>
      <c r="P540" s="91"/>
      <c r="Q540" s="91"/>
      <c r="R540" s="242"/>
      <c r="S540" s="242"/>
      <c r="T540" s="91"/>
      <c r="U540" s="1321"/>
      <c r="V540" s="1321"/>
      <c r="W540" s="91"/>
      <c r="X540" s="91"/>
      <c r="Y540" s="1321"/>
      <c r="Z540" s="91"/>
    </row>
    <row r="541" ht="15.75" customHeight="1">
      <c r="A541" s="91"/>
      <c r="B541" s="223"/>
      <c r="C541" s="91"/>
      <c r="D541" s="91"/>
      <c r="E541" s="223"/>
      <c r="F541" s="91"/>
      <c r="G541" s="242"/>
      <c r="H541" s="242"/>
      <c r="I541" s="242"/>
      <c r="J541" s="242"/>
      <c r="K541" s="91"/>
      <c r="L541" s="91"/>
      <c r="M541" s="91"/>
      <c r="N541" s="91"/>
      <c r="O541" s="91"/>
      <c r="P541" s="91"/>
      <c r="Q541" s="91"/>
      <c r="R541" s="242"/>
      <c r="S541" s="242"/>
      <c r="T541" s="91"/>
      <c r="U541" s="1321"/>
      <c r="V541" s="1321"/>
      <c r="W541" s="91"/>
      <c r="X541" s="91"/>
      <c r="Y541" s="1321"/>
      <c r="Z541" s="91"/>
    </row>
    <row r="542" ht="15.75" customHeight="1">
      <c r="A542" s="91"/>
      <c r="B542" s="223"/>
      <c r="C542" s="91"/>
      <c r="D542" s="91"/>
      <c r="E542" s="223"/>
      <c r="F542" s="91"/>
      <c r="G542" s="242"/>
      <c r="H542" s="242"/>
      <c r="I542" s="242"/>
      <c r="J542" s="242"/>
      <c r="K542" s="91"/>
      <c r="L542" s="91"/>
      <c r="M542" s="91"/>
      <c r="N542" s="91"/>
      <c r="O542" s="91"/>
      <c r="P542" s="91"/>
      <c r="Q542" s="91"/>
      <c r="R542" s="242"/>
      <c r="S542" s="242"/>
      <c r="T542" s="91"/>
      <c r="U542" s="1321"/>
      <c r="V542" s="1321"/>
      <c r="W542" s="91"/>
      <c r="X542" s="91"/>
      <c r="Y542" s="1321"/>
      <c r="Z542" s="91"/>
    </row>
    <row r="543" ht="15.75" customHeight="1">
      <c r="A543" s="91"/>
      <c r="B543" s="223"/>
      <c r="C543" s="91"/>
      <c r="D543" s="91"/>
      <c r="E543" s="223"/>
      <c r="F543" s="91"/>
      <c r="G543" s="242"/>
      <c r="H543" s="242"/>
      <c r="I543" s="242"/>
      <c r="J543" s="242"/>
      <c r="K543" s="91"/>
      <c r="L543" s="91"/>
      <c r="M543" s="91"/>
      <c r="N543" s="91"/>
      <c r="O543" s="91"/>
      <c r="P543" s="91"/>
      <c r="Q543" s="91"/>
      <c r="R543" s="242"/>
      <c r="S543" s="242"/>
      <c r="T543" s="91"/>
      <c r="U543" s="1321"/>
      <c r="V543" s="1321"/>
      <c r="W543" s="91"/>
      <c r="X543" s="91"/>
      <c r="Y543" s="1321"/>
      <c r="Z543" s="91"/>
    </row>
    <row r="544" ht="15.75" customHeight="1">
      <c r="A544" s="91"/>
      <c r="B544" s="223"/>
      <c r="C544" s="91"/>
      <c r="D544" s="91"/>
      <c r="E544" s="223"/>
      <c r="F544" s="91"/>
      <c r="G544" s="242"/>
      <c r="H544" s="242"/>
      <c r="I544" s="242"/>
      <c r="J544" s="242"/>
      <c r="K544" s="91"/>
      <c r="L544" s="91"/>
      <c r="M544" s="91"/>
      <c r="N544" s="91"/>
      <c r="O544" s="91"/>
      <c r="P544" s="91"/>
      <c r="Q544" s="91"/>
      <c r="R544" s="242"/>
      <c r="S544" s="242"/>
      <c r="T544" s="91"/>
      <c r="U544" s="1321"/>
      <c r="V544" s="1321"/>
      <c r="W544" s="91"/>
      <c r="X544" s="91"/>
      <c r="Y544" s="1321"/>
      <c r="Z544" s="91"/>
    </row>
    <row r="545" ht="15.75" customHeight="1">
      <c r="A545" s="91"/>
      <c r="B545" s="223"/>
      <c r="C545" s="91"/>
      <c r="D545" s="91"/>
      <c r="E545" s="223"/>
      <c r="F545" s="91"/>
      <c r="G545" s="242"/>
      <c r="H545" s="242"/>
      <c r="I545" s="242"/>
      <c r="J545" s="242"/>
      <c r="K545" s="91"/>
      <c r="L545" s="91"/>
      <c r="M545" s="91"/>
      <c r="N545" s="91"/>
      <c r="O545" s="91"/>
      <c r="P545" s="91"/>
      <c r="Q545" s="91"/>
      <c r="R545" s="242"/>
      <c r="S545" s="242"/>
      <c r="T545" s="91"/>
      <c r="U545" s="1321"/>
      <c r="V545" s="1321"/>
      <c r="W545" s="91"/>
      <c r="X545" s="91"/>
      <c r="Y545" s="1321"/>
      <c r="Z545" s="91"/>
    </row>
    <row r="546" ht="15.75" customHeight="1">
      <c r="A546" s="91"/>
      <c r="B546" s="223"/>
      <c r="C546" s="91"/>
      <c r="D546" s="91"/>
      <c r="E546" s="223"/>
      <c r="F546" s="91"/>
      <c r="G546" s="242"/>
      <c r="H546" s="242"/>
      <c r="I546" s="242"/>
      <c r="J546" s="242"/>
      <c r="K546" s="91"/>
      <c r="L546" s="91"/>
      <c r="M546" s="91"/>
      <c r="N546" s="91"/>
      <c r="O546" s="91"/>
      <c r="P546" s="91"/>
      <c r="Q546" s="91"/>
      <c r="R546" s="242"/>
      <c r="S546" s="242"/>
      <c r="T546" s="91"/>
      <c r="U546" s="1321"/>
      <c r="V546" s="1321"/>
      <c r="W546" s="91"/>
      <c r="X546" s="91"/>
      <c r="Y546" s="1321"/>
      <c r="Z546" s="91"/>
    </row>
    <row r="547" ht="15.75" customHeight="1">
      <c r="A547" s="91"/>
      <c r="B547" s="223"/>
      <c r="C547" s="91"/>
      <c r="D547" s="91"/>
      <c r="E547" s="223"/>
      <c r="F547" s="91"/>
      <c r="G547" s="242"/>
      <c r="H547" s="242"/>
      <c r="I547" s="242"/>
      <c r="J547" s="242"/>
      <c r="K547" s="91"/>
      <c r="L547" s="91"/>
      <c r="M547" s="91"/>
      <c r="N547" s="91"/>
      <c r="O547" s="91"/>
      <c r="P547" s="91"/>
      <c r="Q547" s="91"/>
      <c r="R547" s="242"/>
      <c r="S547" s="242"/>
      <c r="T547" s="91"/>
      <c r="U547" s="1321"/>
      <c r="V547" s="1321"/>
      <c r="W547" s="91"/>
      <c r="X547" s="91"/>
      <c r="Y547" s="1321"/>
      <c r="Z547" s="91"/>
    </row>
    <row r="548" ht="15.75" customHeight="1">
      <c r="A548" s="91"/>
      <c r="B548" s="223"/>
      <c r="C548" s="91"/>
      <c r="D548" s="91"/>
      <c r="E548" s="223"/>
      <c r="F548" s="91"/>
      <c r="G548" s="242"/>
      <c r="H548" s="242"/>
      <c r="I548" s="242"/>
      <c r="J548" s="242"/>
      <c r="K548" s="91"/>
      <c r="L548" s="91"/>
      <c r="M548" s="91"/>
      <c r="N548" s="91"/>
      <c r="O548" s="91"/>
      <c r="P548" s="91"/>
      <c r="Q548" s="91"/>
      <c r="R548" s="242"/>
      <c r="S548" s="242"/>
      <c r="T548" s="91"/>
      <c r="U548" s="1321"/>
      <c r="V548" s="1321"/>
      <c r="W548" s="91"/>
      <c r="X548" s="91"/>
      <c r="Y548" s="1321"/>
      <c r="Z548" s="91"/>
    </row>
    <row r="549" ht="15.75" customHeight="1">
      <c r="A549" s="91"/>
      <c r="B549" s="223"/>
      <c r="C549" s="91"/>
      <c r="D549" s="91"/>
      <c r="E549" s="223"/>
      <c r="F549" s="91"/>
      <c r="G549" s="242"/>
      <c r="H549" s="242"/>
      <c r="I549" s="242"/>
      <c r="J549" s="242"/>
      <c r="K549" s="91"/>
      <c r="L549" s="91"/>
      <c r="M549" s="91"/>
      <c r="N549" s="91"/>
      <c r="O549" s="91"/>
      <c r="P549" s="91"/>
      <c r="Q549" s="91"/>
      <c r="R549" s="242"/>
      <c r="S549" s="242"/>
      <c r="T549" s="91"/>
      <c r="U549" s="1321"/>
      <c r="V549" s="1321"/>
      <c r="W549" s="91"/>
      <c r="X549" s="91"/>
      <c r="Y549" s="1321"/>
      <c r="Z549" s="91"/>
    </row>
    <row r="550" ht="15.75" customHeight="1">
      <c r="A550" s="91"/>
      <c r="B550" s="223"/>
      <c r="C550" s="91"/>
      <c r="D550" s="91"/>
      <c r="E550" s="223"/>
      <c r="F550" s="91"/>
      <c r="G550" s="242"/>
      <c r="H550" s="242"/>
      <c r="I550" s="242"/>
      <c r="J550" s="242"/>
      <c r="K550" s="91"/>
      <c r="L550" s="91"/>
      <c r="M550" s="91"/>
      <c r="N550" s="91"/>
      <c r="O550" s="91"/>
      <c r="P550" s="91"/>
      <c r="Q550" s="91"/>
      <c r="R550" s="242"/>
      <c r="S550" s="242"/>
      <c r="T550" s="91"/>
      <c r="U550" s="1321"/>
      <c r="V550" s="1321"/>
      <c r="W550" s="91"/>
      <c r="X550" s="91"/>
      <c r="Y550" s="1321"/>
      <c r="Z550" s="91"/>
    </row>
    <row r="551" ht="15.75" customHeight="1">
      <c r="A551" s="91"/>
      <c r="B551" s="223"/>
      <c r="C551" s="91"/>
      <c r="D551" s="91"/>
      <c r="E551" s="223"/>
      <c r="F551" s="91"/>
      <c r="G551" s="242"/>
      <c r="H551" s="242"/>
      <c r="I551" s="242"/>
      <c r="J551" s="242"/>
      <c r="K551" s="91"/>
      <c r="L551" s="91"/>
      <c r="M551" s="91"/>
      <c r="N551" s="91"/>
      <c r="O551" s="91"/>
      <c r="P551" s="91"/>
      <c r="Q551" s="91"/>
      <c r="R551" s="242"/>
      <c r="S551" s="242"/>
      <c r="T551" s="91"/>
      <c r="U551" s="1321"/>
      <c r="V551" s="1321"/>
      <c r="W551" s="91"/>
      <c r="X551" s="91"/>
      <c r="Y551" s="1321"/>
      <c r="Z551" s="91"/>
    </row>
    <row r="552" ht="15.75" customHeight="1">
      <c r="A552" s="91"/>
      <c r="B552" s="223"/>
      <c r="C552" s="91"/>
      <c r="D552" s="91"/>
      <c r="E552" s="223"/>
      <c r="F552" s="91"/>
      <c r="G552" s="242"/>
      <c r="H552" s="242"/>
      <c r="I552" s="242"/>
      <c r="J552" s="242"/>
      <c r="K552" s="91"/>
      <c r="L552" s="91"/>
      <c r="M552" s="91"/>
      <c r="N552" s="91"/>
      <c r="O552" s="91"/>
      <c r="P552" s="91"/>
      <c r="Q552" s="91"/>
      <c r="R552" s="242"/>
      <c r="S552" s="242"/>
      <c r="T552" s="91"/>
      <c r="U552" s="1321"/>
      <c r="V552" s="1321"/>
      <c r="W552" s="91"/>
      <c r="X552" s="91"/>
      <c r="Y552" s="1321"/>
      <c r="Z552" s="91"/>
    </row>
    <row r="553" ht="15.75" customHeight="1">
      <c r="A553" s="91"/>
      <c r="B553" s="223"/>
      <c r="C553" s="91"/>
      <c r="D553" s="91"/>
      <c r="E553" s="223"/>
      <c r="F553" s="91"/>
      <c r="G553" s="242"/>
      <c r="H553" s="242"/>
      <c r="I553" s="242"/>
      <c r="J553" s="242"/>
      <c r="K553" s="91"/>
      <c r="L553" s="91"/>
      <c r="M553" s="91"/>
      <c r="N553" s="91"/>
      <c r="O553" s="91"/>
      <c r="P553" s="91"/>
      <c r="Q553" s="91"/>
      <c r="R553" s="242"/>
      <c r="S553" s="242"/>
      <c r="T553" s="91"/>
      <c r="U553" s="1321"/>
      <c r="V553" s="1321"/>
      <c r="W553" s="91"/>
      <c r="X553" s="91"/>
      <c r="Y553" s="1321"/>
      <c r="Z553" s="91"/>
    </row>
    <row r="554" ht="15.75" customHeight="1">
      <c r="A554" s="91"/>
      <c r="B554" s="223"/>
      <c r="C554" s="91"/>
      <c r="D554" s="91"/>
      <c r="E554" s="223"/>
      <c r="F554" s="91"/>
      <c r="G554" s="242"/>
      <c r="H554" s="242"/>
      <c r="I554" s="242"/>
      <c r="J554" s="242"/>
      <c r="K554" s="91"/>
      <c r="L554" s="91"/>
      <c r="M554" s="91"/>
      <c r="N554" s="91"/>
      <c r="O554" s="91"/>
      <c r="P554" s="91"/>
      <c r="Q554" s="91"/>
      <c r="R554" s="242"/>
      <c r="S554" s="242"/>
      <c r="T554" s="91"/>
      <c r="U554" s="1321"/>
      <c r="V554" s="1321"/>
      <c r="W554" s="91"/>
      <c r="X554" s="91"/>
      <c r="Y554" s="1321"/>
      <c r="Z554" s="91"/>
    </row>
    <row r="555" ht="15.75" customHeight="1">
      <c r="A555" s="91"/>
      <c r="B555" s="223"/>
      <c r="C555" s="91"/>
      <c r="D555" s="91"/>
      <c r="E555" s="223"/>
      <c r="F555" s="91"/>
      <c r="G555" s="242"/>
      <c r="H555" s="242"/>
      <c r="I555" s="242"/>
      <c r="J555" s="242"/>
      <c r="K555" s="91"/>
      <c r="L555" s="91"/>
      <c r="M555" s="91"/>
      <c r="N555" s="91"/>
      <c r="O555" s="91"/>
      <c r="P555" s="91"/>
      <c r="Q555" s="91"/>
      <c r="R555" s="242"/>
      <c r="S555" s="242"/>
      <c r="T555" s="91"/>
      <c r="U555" s="1321"/>
      <c r="V555" s="1321"/>
      <c r="W555" s="91"/>
      <c r="X555" s="91"/>
      <c r="Y555" s="1321"/>
      <c r="Z555" s="91"/>
    </row>
    <row r="556" ht="15.75" customHeight="1">
      <c r="A556" s="91"/>
      <c r="B556" s="223"/>
      <c r="C556" s="91"/>
      <c r="D556" s="91"/>
      <c r="E556" s="223"/>
      <c r="F556" s="91"/>
      <c r="G556" s="242"/>
      <c r="H556" s="242"/>
      <c r="I556" s="242"/>
      <c r="J556" s="242"/>
      <c r="K556" s="91"/>
      <c r="L556" s="91"/>
      <c r="M556" s="91"/>
      <c r="N556" s="91"/>
      <c r="O556" s="91"/>
      <c r="P556" s="91"/>
      <c r="Q556" s="91"/>
      <c r="R556" s="242"/>
      <c r="S556" s="242"/>
      <c r="T556" s="91"/>
      <c r="U556" s="1321"/>
      <c r="V556" s="1321"/>
      <c r="W556" s="91"/>
      <c r="X556" s="91"/>
      <c r="Y556" s="1321"/>
      <c r="Z556" s="91"/>
    </row>
    <row r="557" ht="15.75" customHeight="1">
      <c r="A557" s="91"/>
      <c r="B557" s="223"/>
      <c r="C557" s="91"/>
      <c r="D557" s="91"/>
      <c r="E557" s="223"/>
      <c r="F557" s="91"/>
      <c r="G557" s="242"/>
      <c r="H557" s="242"/>
      <c r="I557" s="242"/>
      <c r="J557" s="242"/>
      <c r="K557" s="91"/>
      <c r="L557" s="91"/>
      <c r="M557" s="91"/>
      <c r="N557" s="91"/>
      <c r="O557" s="91"/>
      <c r="P557" s="91"/>
      <c r="Q557" s="91"/>
      <c r="R557" s="242"/>
      <c r="S557" s="242"/>
      <c r="T557" s="91"/>
      <c r="U557" s="1321"/>
      <c r="V557" s="1321"/>
      <c r="W557" s="91"/>
      <c r="X557" s="91"/>
      <c r="Y557" s="1321"/>
      <c r="Z557" s="91"/>
    </row>
    <row r="558" ht="15.75" customHeight="1">
      <c r="A558" s="91"/>
      <c r="B558" s="223"/>
      <c r="C558" s="91"/>
      <c r="D558" s="91"/>
      <c r="E558" s="223"/>
      <c r="F558" s="91"/>
      <c r="G558" s="242"/>
      <c r="H558" s="242"/>
      <c r="I558" s="242"/>
      <c r="J558" s="242"/>
      <c r="K558" s="91"/>
      <c r="L558" s="91"/>
      <c r="M558" s="91"/>
      <c r="N558" s="91"/>
      <c r="O558" s="91"/>
      <c r="P558" s="91"/>
      <c r="Q558" s="91"/>
      <c r="R558" s="242"/>
      <c r="S558" s="242"/>
      <c r="T558" s="91"/>
      <c r="U558" s="1321"/>
      <c r="V558" s="1321"/>
      <c r="W558" s="91"/>
      <c r="X558" s="91"/>
      <c r="Y558" s="1321"/>
      <c r="Z558" s="91"/>
    </row>
    <row r="559" ht="15.75" customHeight="1">
      <c r="A559" s="91"/>
      <c r="B559" s="223"/>
      <c r="C559" s="91"/>
      <c r="D559" s="91"/>
      <c r="E559" s="223"/>
      <c r="F559" s="91"/>
      <c r="G559" s="242"/>
      <c r="H559" s="242"/>
      <c r="I559" s="242"/>
      <c r="J559" s="242"/>
      <c r="K559" s="91"/>
      <c r="L559" s="91"/>
      <c r="M559" s="91"/>
      <c r="N559" s="91"/>
      <c r="O559" s="91"/>
      <c r="P559" s="91"/>
      <c r="Q559" s="91"/>
      <c r="R559" s="242"/>
      <c r="S559" s="242"/>
      <c r="T559" s="91"/>
      <c r="U559" s="1321"/>
      <c r="V559" s="1321"/>
      <c r="W559" s="91"/>
      <c r="X559" s="91"/>
      <c r="Y559" s="1321"/>
      <c r="Z559" s="91"/>
    </row>
    <row r="560" ht="15.75" customHeight="1">
      <c r="A560" s="91"/>
      <c r="B560" s="223"/>
      <c r="C560" s="91"/>
      <c r="D560" s="91"/>
      <c r="E560" s="223"/>
      <c r="F560" s="91"/>
      <c r="G560" s="242"/>
      <c r="H560" s="242"/>
      <c r="I560" s="242"/>
      <c r="J560" s="242"/>
      <c r="K560" s="91"/>
      <c r="L560" s="91"/>
      <c r="M560" s="91"/>
      <c r="N560" s="91"/>
      <c r="O560" s="91"/>
      <c r="P560" s="91"/>
      <c r="Q560" s="91"/>
      <c r="R560" s="242"/>
      <c r="S560" s="242"/>
      <c r="T560" s="91"/>
      <c r="U560" s="1321"/>
      <c r="V560" s="1321"/>
      <c r="W560" s="91"/>
      <c r="X560" s="91"/>
      <c r="Y560" s="1321"/>
      <c r="Z560" s="91"/>
    </row>
    <row r="561" ht="15.75" customHeight="1">
      <c r="A561" s="91"/>
      <c r="B561" s="223"/>
      <c r="C561" s="91"/>
      <c r="D561" s="91"/>
      <c r="E561" s="223"/>
      <c r="F561" s="91"/>
      <c r="G561" s="242"/>
      <c r="H561" s="242"/>
      <c r="I561" s="242"/>
      <c r="J561" s="242"/>
      <c r="K561" s="91"/>
      <c r="L561" s="91"/>
      <c r="M561" s="91"/>
      <c r="N561" s="91"/>
      <c r="O561" s="91"/>
      <c r="P561" s="91"/>
      <c r="Q561" s="91"/>
      <c r="R561" s="242"/>
      <c r="S561" s="242"/>
      <c r="T561" s="91"/>
      <c r="U561" s="1321"/>
      <c r="V561" s="1321"/>
      <c r="W561" s="91"/>
      <c r="X561" s="91"/>
      <c r="Y561" s="1321"/>
      <c r="Z561" s="91"/>
    </row>
    <row r="562" ht="15.75" customHeight="1">
      <c r="A562" s="91"/>
      <c r="B562" s="223"/>
      <c r="C562" s="91"/>
      <c r="D562" s="91"/>
      <c r="E562" s="223"/>
      <c r="F562" s="91"/>
      <c r="G562" s="242"/>
      <c r="H562" s="242"/>
      <c r="I562" s="242"/>
      <c r="J562" s="242"/>
      <c r="K562" s="91"/>
      <c r="L562" s="91"/>
      <c r="M562" s="91"/>
      <c r="N562" s="91"/>
      <c r="O562" s="91"/>
      <c r="P562" s="91"/>
      <c r="Q562" s="91"/>
      <c r="R562" s="242"/>
      <c r="S562" s="242"/>
      <c r="T562" s="91"/>
      <c r="U562" s="1321"/>
      <c r="V562" s="1321"/>
      <c r="W562" s="91"/>
      <c r="X562" s="91"/>
      <c r="Y562" s="1321"/>
      <c r="Z562" s="91"/>
    </row>
    <row r="563" ht="15.75" customHeight="1">
      <c r="A563" s="91"/>
      <c r="B563" s="223"/>
      <c r="C563" s="91"/>
      <c r="D563" s="91"/>
      <c r="E563" s="223"/>
      <c r="F563" s="91"/>
      <c r="G563" s="242"/>
      <c r="H563" s="242"/>
      <c r="I563" s="242"/>
      <c r="J563" s="242"/>
      <c r="K563" s="91"/>
      <c r="L563" s="91"/>
      <c r="M563" s="91"/>
      <c r="N563" s="91"/>
      <c r="O563" s="91"/>
      <c r="P563" s="91"/>
      <c r="Q563" s="91"/>
      <c r="R563" s="242"/>
      <c r="S563" s="242"/>
      <c r="T563" s="91"/>
      <c r="U563" s="1321"/>
      <c r="V563" s="1321"/>
      <c r="W563" s="91"/>
      <c r="X563" s="91"/>
      <c r="Y563" s="1321"/>
      <c r="Z563" s="91"/>
    </row>
    <row r="564" ht="15.75" customHeight="1">
      <c r="A564" s="91"/>
      <c r="B564" s="223"/>
      <c r="C564" s="91"/>
      <c r="D564" s="91"/>
      <c r="E564" s="223"/>
      <c r="F564" s="91"/>
      <c r="G564" s="242"/>
      <c r="H564" s="242"/>
      <c r="I564" s="242"/>
      <c r="J564" s="242"/>
      <c r="K564" s="91"/>
      <c r="L564" s="91"/>
      <c r="M564" s="91"/>
      <c r="N564" s="91"/>
      <c r="O564" s="91"/>
      <c r="P564" s="91"/>
      <c r="Q564" s="91"/>
      <c r="R564" s="242"/>
      <c r="S564" s="242"/>
      <c r="T564" s="91"/>
      <c r="U564" s="1321"/>
      <c r="V564" s="1321"/>
      <c r="W564" s="91"/>
      <c r="X564" s="91"/>
      <c r="Y564" s="1321"/>
      <c r="Z564" s="91"/>
    </row>
    <row r="565" ht="15.75" customHeight="1">
      <c r="A565" s="91"/>
      <c r="B565" s="223"/>
      <c r="C565" s="91"/>
      <c r="D565" s="91"/>
      <c r="E565" s="223"/>
      <c r="F565" s="91"/>
      <c r="G565" s="242"/>
      <c r="H565" s="242"/>
      <c r="I565" s="242"/>
      <c r="J565" s="242"/>
      <c r="K565" s="91"/>
      <c r="L565" s="91"/>
      <c r="M565" s="91"/>
      <c r="N565" s="91"/>
      <c r="O565" s="91"/>
      <c r="P565" s="91"/>
      <c r="Q565" s="91"/>
      <c r="R565" s="242"/>
      <c r="S565" s="242"/>
      <c r="T565" s="91"/>
      <c r="U565" s="1321"/>
      <c r="V565" s="1321"/>
      <c r="W565" s="91"/>
      <c r="X565" s="91"/>
      <c r="Y565" s="1321"/>
      <c r="Z565" s="91"/>
    </row>
    <row r="566" ht="15.75" customHeight="1">
      <c r="A566" s="91"/>
      <c r="B566" s="223"/>
      <c r="C566" s="91"/>
      <c r="D566" s="91"/>
      <c r="E566" s="223"/>
      <c r="F566" s="91"/>
      <c r="G566" s="242"/>
      <c r="H566" s="242"/>
      <c r="I566" s="242"/>
      <c r="J566" s="242"/>
      <c r="K566" s="91"/>
      <c r="L566" s="91"/>
      <c r="M566" s="91"/>
      <c r="N566" s="91"/>
      <c r="O566" s="91"/>
      <c r="P566" s="91"/>
      <c r="Q566" s="91"/>
      <c r="R566" s="242"/>
      <c r="S566" s="242"/>
      <c r="T566" s="91"/>
      <c r="U566" s="1321"/>
      <c r="V566" s="1321"/>
      <c r="W566" s="91"/>
      <c r="X566" s="91"/>
      <c r="Y566" s="1321"/>
      <c r="Z566" s="91"/>
    </row>
    <row r="567" ht="15.75" customHeight="1">
      <c r="A567" s="91"/>
      <c r="B567" s="223"/>
      <c r="C567" s="91"/>
      <c r="D567" s="91"/>
      <c r="E567" s="223"/>
      <c r="F567" s="91"/>
      <c r="G567" s="242"/>
      <c r="H567" s="242"/>
      <c r="I567" s="242"/>
      <c r="J567" s="242"/>
      <c r="K567" s="91"/>
      <c r="L567" s="91"/>
      <c r="M567" s="91"/>
      <c r="N567" s="91"/>
      <c r="O567" s="91"/>
      <c r="P567" s="91"/>
      <c r="Q567" s="91"/>
      <c r="R567" s="242"/>
      <c r="S567" s="242"/>
      <c r="T567" s="91"/>
      <c r="U567" s="1321"/>
      <c r="V567" s="1321"/>
      <c r="W567" s="91"/>
      <c r="X567" s="91"/>
      <c r="Y567" s="1321"/>
      <c r="Z567" s="91"/>
    </row>
    <row r="568" ht="15.75" customHeight="1">
      <c r="A568" s="91"/>
      <c r="B568" s="223"/>
      <c r="C568" s="91"/>
      <c r="D568" s="91"/>
      <c r="E568" s="223"/>
      <c r="F568" s="91"/>
      <c r="G568" s="242"/>
      <c r="H568" s="242"/>
      <c r="I568" s="242"/>
      <c r="J568" s="242"/>
      <c r="K568" s="91"/>
      <c r="L568" s="91"/>
      <c r="M568" s="91"/>
      <c r="N568" s="91"/>
      <c r="O568" s="91"/>
      <c r="P568" s="91"/>
      <c r="Q568" s="91"/>
      <c r="R568" s="242"/>
      <c r="S568" s="242"/>
      <c r="T568" s="91"/>
      <c r="U568" s="1321"/>
      <c r="V568" s="1321"/>
      <c r="W568" s="91"/>
      <c r="X568" s="91"/>
      <c r="Y568" s="1321"/>
      <c r="Z568" s="91"/>
    </row>
    <row r="569" ht="15.75" customHeight="1">
      <c r="A569" s="91"/>
      <c r="B569" s="223"/>
      <c r="C569" s="91"/>
      <c r="D569" s="91"/>
      <c r="E569" s="223"/>
      <c r="F569" s="91"/>
      <c r="G569" s="242"/>
      <c r="H569" s="242"/>
      <c r="I569" s="242"/>
      <c r="J569" s="242"/>
      <c r="K569" s="91"/>
      <c r="L569" s="91"/>
      <c r="M569" s="91"/>
      <c r="N569" s="91"/>
      <c r="O569" s="91"/>
      <c r="P569" s="91"/>
      <c r="Q569" s="91"/>
      <c r="R569" s="242"/>
      <c r="S569" s="242"/>
      <c r="T569" s="91"/>
      <c r="U569" s="1321"/>
      <c r="V569" s="1321"/>
      <c r="W569" s="91"/>
      <c r="X569" s="91"/>
      <c r="Y569" s="1321"/>
      <c r="Z569" s="91"/>
    </row>
    <row r="570" ht="15.75" customHeight="1">
      <c r="A570" s="91"/>
      <c r="B570" s="223"/>
      <c r="C570" s="91"/>
      <c r="D570" s="91"/>
      <c r="E570" s="223"/>
      <c r="F570" s="91"/>
      <c r="G570" s="242"/>
      <c r="H570" s="242"/>
      <c r="I570" s="242"/>
      <c r="J570" s="242"/>
      <c r="K570" s="91"/>
      <c r="L570" s="91"/>
      <c r="M570" s="91"/>
      <c r="N570" s="91"/>
      <c r="O570" s="91"/>
      <c r="P570" s="91"/>
      <c r="Q570" s="91"/>
      <c r="R570" s="242"/>
      <c r="S570" s="242"/>
      <c r="T570" s="91"/>
      <c r="U570" s="1321"/>
      <c r="V570" s="1321"/>
      <c r="W570" s="91"/>
      <c r="X570" s="91"/>
      <c r="Y570" s="1321"/>
      <c r="Z570" s="91"/>
    </row>
    <row r="571" ht="15.75" customHeight="1">
      <c r="A571" s="91"/>
      <c r="B571" s="223"/>
      <c r="C571" s="91"/>
      <c r="D571" s="91"/>
      <c r="E571" s="223"/>
      <c r="F571" s="91"/>
      <c r="G571" s="242"/>
      <c r="H571" s="242"/>
      <c r="I571" s="242"/>
      <c r="J571" s="242"/>
      <c r="K571" s="91"/>
      <c r="L571" s="91"/>
      <c r="M571" s="91"/>
      <c r="N571" s="91"/>
      <c r="O571" s="91"/>
      <c r="P571" s="91"/>
      <c r="Q571" s="91"/>
      <c r="R571" s="242"/>
      <c r="S571" s="242"/>
      <c r="T571" s="91"/>
      <c r="U571" s="1321"/>
      <c r="V571" s="1321"/>
      <c r="W571" s="91"/>
      <c r="X571" s="91"/>
      <c r="Y571" s="1321"/>
      <c r="Z571" s="91"/>
    </row>
    <row r="572" ht="15.75" customHeight="1">
      <c r="A572" s="91"/>
      <c r="B572" s="223"/>
      <c r="C572" s="91"/>
      <c r="D572" s="91"/>
      <c r="E572" s="223"/>
      <c r="F572" s="91"/>
      <c r="G572" s="242"/>
      <c r="H572" s="242"/>
      <c r="I572" s="242"/>
      <c r="J572" s="242"/>
      <c r="K572" s="91"/>
      <c r="L572" s="91"/>
      <c r="M572" s="91"/>
      <c r="N572" s="91"/>
      <c r="O572" s="91"/>
      <c r="P572" s="91"/>
      <c r="Q572" s="91"/>
      <c r="R572" s="242"/>
      <c r="S572" s="242"/>
      <c r="T572" s="91"/>
      <c r="U572" s="1321"/>
      <c r="V572" s="1321"/>
      <c r="W572" s="91"/>
      <c r="X572" s="91"/>
      <c r="Y572" s="1321"/>
      <c r="Z572" s="91"/>
    </row>
    <row r="573" ht="15.75" customHeight="1">
      <c r="A573" s="91"/>
      <c r="B573" s="223"/>
      <c r="C573" s="91"/>
      <c r="D573" s="91"/>
      <c r="E573" s="223"/>
      <c r="F573" s="91"/>
      <c r="G573" s="242"/>
      <c r="H573" s="242"/>
      <c r="I573" s="242"/>
      <c r="J573" s="242"/>
      <c r="K573" s="91"/>
      <c r="L573" s="91"/>
      <c r="M573" s="91"/>
      <c r="N573" s="91"/>
      <c r="O573" s="91"/>
      <c r="P573" s="91"/>
      <c r="Q573" s="91"/>
      <c r="R573" s="242"/>
      <c r="S573" s="242"/>
      <c r="T573" s="91"/>
      <c r="U573" s="1321"/>
      <c r="V573" s="1321"/>
      <c r="W573" s="91"/>
      <c r="X573" s="91"/>
      <c r="Y573" s="1321"/>
      <c r="Z573" s="91"/>
    </row>
    <row r="574" ht="15.75" customHeight="1">
      <c r="A574" s="91"/>
      <c r="B574" s="223"/>
      <c r="C574" s="91"/>
      <c r="D574" s="91"/>
      <c r="E574" s="223"/>
      <c r="F574" s="91"/>
      <c r="G574" s="242"/>
      <c r="H574" s="242"/>
      <c r="I574" s="242"/>
      <c r="J574" s="242"/>
      <c r="K574" s="91"/>
      <c r="L574" s="91"/>
      <c r="M574" s="91"/>
      <c r="N574" s="91"/>
      <c r="O574" s="91"/>
      <c r="P574" s="91"/>
      <c r="Q574" s="91"/>
      <c r="R574" s="242"/>
      <c r="S574" s="242"/>
      <c r="T574" s="91"/>
      <c r="U574" s="1321"/>
      <c r="V574" s="1321"/>
      <c r="W574" s="91"/>
      <c r="X574" s="91"/>
      <c r="Y574" s="1321"/>
      <c r="Z574" s="91"/>
    </row>
    <row r="575" ht="15.75" customHeight="1">
      <c r="A575" s="91"/>
      <c r="B575" s="223"/>
      <c r="C575" s="91"/>
      <c r="D575" s="91"/>
      <c r="E575" s="223"/>
      <c r="F575" s="91"/>
      <c r="G575" s="242"/>
      <c r="H575" s="242"/>
      <c r="I575" s="242"/>
      <c r="J575" s="242"/>
      <c r="K575" s="91"/>
      <c r="L575" s="91"/>
      <c r="M575" s="91"/>
      <c r="N575" s="91"/>
      <c r="O575" s="91"/>
      <c r="P575" s="91"/>
      <c r="Q575" s="91"/>
      <c r="R575" s="242"/>
      <c r="S575" s="242"/>
      <c r="T575" s="91"/>
      <c r="U575" s="1321"/>
      <c r="V575" s="1321"/>
      <c r="W575" s="91"/>
      <c r="X575" s="91"/>
      <c r="Y575" s="1321"/>
      <c r="Z575" s="91"/>
    </row>
    <row r="576" ht="15.75" customHeight="1">
      <c r="A576" s="91"/>
      <c r="B576" s="223"/>
      <c r="C576" s="91"/>
      <c r="D576" s="91"/>
      <c r="E576" s="223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ht="15.75" customHeight="1">
      <c r="A577" s="91"/>
      <c r="B577" s="223"/>
      <c r="C577" s="91"/>
      <c r="D577" s="91"/>
      <c r="E577" s="223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ht="15.75" customHeight="1">
      <c r="A578" s="91"/>
      <c r="B578" s="223"/>
      <c r="C578" s="91"/>
      <c r="D578" s="91"/>
      <c r="E578" s="223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ht="15.75" customHeight="1">
      <c r="A579" s="91"/>
      <c r="B579" s="223"/>
      <c r="C579" s="91"/>
      <c r="D579" s="91"/>
      <c r="E579" s="223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ht="15.75" customHeight="1">
      <c r="A580" s="91"/>
      <c r="B580" s="223"/>
      <c r="C580" s="91"/>
      <c r="D580" s="91"/>
      <c r="E580" s="223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ht="15.75" customHeight="1">
      <c r="A581" s="91"/>
      <c r="B581" s="223"/>
      <c r="C581" s="91"/>
      <c r="D581" s="91"/>
      <c r="E581" s="223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ht="15.75" customHeight="1">
      <c r="A582" s="91"/>
      <c r="B582" s="223"/>
      <c r="C582" s="91"/>
      <c r="D582" s="91"/>
      <c r="E582" s="223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ht="15.75" customHeight="1">
      <c r="A583" s="91"/>
      <c r="B583" s="223"/>
      <c r="C583" s="91"/>
      <c r="D583" s="91"/>
      <c r="E583" s="223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ht="15.75" customHeight="1">
      <c r="A584" s="91"/>
      <c r="B584" s="223"/>
      <c r="C584" s="91"/>
      <c r="D584" s="91"/>
      <c r="E584" s="223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ht="15.75" customHeight="1">
      <c r="A585" s="91"/>
      <c r="B585" s="223"/>
      <c r="C585" s="91"/>
      <c r="D585" s="91"/>
      <c r="E585" s="223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ht="15.75" customHeight="1">
      <c r="A586" s="91"/>
      <c r="B586" s="223"/>
      <c r="C586" s="91"/>
      <c r="D586" s="91"/>
      <c r="E586" s="223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ht="15.75" customHeight="1">
      <c r="A587" s="91"/>
      <c r="B587" s="223"/>
      <c r="C587" s="91"/>
      <c r="D587" s="91"/>
      <c r="E587" s="223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ht="15.75" customHeight="1">
      <c r="A588" s="91"/>
      <c r="B588" s="223"/>
      <c r="C588" s="91"/>
      <c r="D588" s="91"/>
      <c r="E588" s="223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ht="15.75" customHeight="1">
      <c r="A589" s="91"/>
      <c r="B589" s="223"/>
      <c r="C589" s="91"/>
      <c r="D589" s="91"/>
      <c r="E589" s="223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ht="15.75" customHeight="1">
      <c r="A590" s="91"/>
      <c r="B590" s="223"/>
      <c r="C590" s="91"/>
      <c r="D590" s="91"/>
      <c r="E590" s="223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ht="15.75" customHeight="1">
      <c r="A591" s="91"/>
      <c r="B591" s="223"/>
      <c r="C591" s="91"/>
      <c r="D591" s="91"/>
      <c r="E591" s="223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ht="15.75" customHeight="1">
      <c r="A592" s="91"/>
      <c r="B592" s="223"/>
      <c r="C592" s="91"/>
      <c r="D592" s="91"/>
      <c r="E592" s="223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ht="15.75" customHeight="1">
      <c r="A593" s="91"/>
      <c r="B593" s="223"/>
      <c r="C593" s="91"/>
      <c r="D593" s="91"/>
      <c r="E593" s="223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ht="15.75" customHeight="1">
      <c r="A594" s="91"/>
      <c r="B594" s="223"/>
      <c r="C594" s="91"/>
      <c r="D594" s="91"/>
      <c r="E594" s="223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ht="15.75" customHeight="1">
      <c r="A595" s="91"/>
      <c r="B595" s="223"/>
      <c r="C595" s="91"/>
      <c r="D595" s="91"/>
      <c r="E595" s="223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ht="15.75" customHeight="1">
      <c r="A596" s="91"/>
      <c r="B596" s="223"/>
      <c r="C596" s="91"/>
      <c r="D596" s="91"/>
      <c r="E596" s="223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ht="15.75" customHeight="1">
      <c r="A597" s="91"/>
      <c r="B597" s="223"/>
      <c r="C597" s="91"/>
      <c r="D597" s="91"/>
      <c r="E597" s="223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ht="15.75" customHeight="1">
      <c r="A598" s="91"/>
      <c r="B598" s="223"/>
      <c r="C598" s="91"/>
      <c r="D598" s="91"/>
      <c r="E598" s="223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ht="15.75" customHeight="1">
      <c r="A599" s="91"/>
      <c r="B599" s="223"/>
      <c r="C599" s="91"/>
      <c r="D599" s="91"/>
      <c r="E599" s="223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ht="15.75" customHeight="1">
      <c r="A600" s="91"/>
      <c r="B600" s="223"/>
      <c r="C600" s="91"/>
      <c r="D600" s="91"/>
      <c r="E600" s="223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ht="15.75" customHeight="1">
      <c r="A601" s="91"/>
      <c r="B601" s="223"/>
      <c r="C601" s="91"/>
      <c r="D601" s="91"/>
      <c r="E601" s="223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ht="15.75" customHeight="1">
      <c r="A602" s="91"/>
      <c r="B602" s="223"/>
      <c r="C602" s="91"/>
      <c r="D602" s="91"/>
      <c r="E602" s="223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ht="15.75" customHeight="1">
      <c r="A603" s="91"/>
      <c r="B603" s="223"/>
      <c r="C603" s="91"/>
      <c r="D603" s="91"/>
      <c r="E603" s="223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ht="15.75" customHeight="1">
      <c r="A604" s="91"/>
      <c r="B604" s="223"/>
      <c r="C604" s="91"/>
      <c r="D604" s="91"/>
      <c r="E604" s="223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ht="15.75" customHeight="1">
      <c r="A605" s="91"/>
      <c r="B605" s="223"/>
      <c r="C605" s="91"/>
      <c r="D605" s="91"/>
      <c r="E605" s="223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ht="15.75" customHeight="1">
      <c r="A606" s="91"/>
      <c r="B606" s="223"/>
      <c r="C606" s="91"/>
      <c r="D606" s="91"/>
      <c r="E606" s="223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ht="15.75" customHeight="1">
      <c r="A607" s="91"/>
      <c r="B607" s="223"/>
      <c r="C607" s="91"/>
      <c r="D607" s="91"/>
      <c r="E607" s="223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ht="15.75" customHeight="1">
      <c r="A608" s="91"/>
      <c r="B608" s="223"/>
      <c r="C608" s="91"/>
      <c r="D608" s="91"/>
      <c r="E608" s="223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ht="15.75" customHeight="1">
      <c r="A609" s="91"/>
      <c r="B609" s="223"/>
      <c r="C609" s="91"/>
      <c r="D609" s="91"/>
      <c r="E609" s="223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Y$400"/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57"/>
    <col customWidth="1" min="5" max="5" width="26.43"/>
    <col customWidth="1" min="6" max="26" width="12.57"/>
  </cols>
  <sheetData>
    <row r="1" ht="15.75" customHeight="1">
      <c r="A1" s="1322" t="s">
        <v>13677</v>
      </c>
      <c r="B1" s="1123" t="s">
        <v>13678</v>
      </c>
      <c r="C1" s="1229" t="s">
        <v>2</v>
      </c>
      <c r="D1" s="1123" t="s">
        <v>3</v>
      </c>
      <c r="E1" s="1123" t="s">
        <v>4</v>
      </c>
      <c r="F1" s="1123" t="s">
        <v>5</v>
      </c>
      <c r="G1" s="1123" t="s">
        <v>13679</v>
      </c>
      <c r="H1" s="1123" t="s">
        <v>13680</v>
      </c>
      <c r="I1" s="1123" t="s">
        <v>8</v>
      </c>
      <c r="J1" s="1123" t="s">
        <v>13681</v>
      </c>
      <c r="K1" s="1230" t="s">
        <v>13682</v>
      </c>
      <c r="L1" s="1323" t="s">
        <v>12631</v>
      </c>
      <c r="M1" s="1323" t="s">
        <v>8652</v>
      </c>
      <c r="N1" s="1323" t="s">
        <v>12</v>
      </c>
      <c r="O1" s="1323" t="s">
        <v>13683</v>
      </c>
      <c r="P1" s="1130" t="s">
        <v>13684</v>
      </c>
      <c r="Q1" s="1130" t="s">
        <v>13685</v>
      </c>
      <c r="R1" s="1130" t="s">
        <v>13686</v>
      </c>
      <c r="S1" s="1324" t="s">
        <v>13687</v>
      </c>
      <c r="T1" s="1130" t="s">
        <v>13688</v>
      </c>
      <c r="U1" s="1130" t="s">
        <v>13689</v>
      </c>
      <c r="V1" s="1130" t="s">
        <v>13690</v>
      </c>
      <c r="W1" s="91"/>
      <c r="X1" s="91"/>
      <c r="Y1" s="91"/>
      <c r="Z1" s="91"/>
    </row>
    <row r="2" ht="15.75" customHeight="1">
      <c r="A2" s="1325">
        <v>41171.0</v>
      </c>
      <c r="B2" s="20" t="s">
        <v>673</v>
      </c>
      <c r="C2" s="70" t="s">
        <v>13691</v>
      </c>
      <c r="D2" s="521" t="s">
        <v>13692</v>
      </c>
      <c r="E2" s="20" t="s">
        <v>8941</v>
      </c>
      <c r="F2" s="1326">
        <v>12.0</v>
      </c>
      <c r="G2" s="693">
        <v>103.0</v>
      </c>
      <c r="H2" s="1326">
        <f t="shared" ref="H2:H5" si="1">F2*G2</f>
        <v>1236</v>
      </c>
      <c r="I2" s="130" t="s">
        <v>8675</v>
      </c>
      <c r="J2" s="130" t="s">
        <v>13693</v>
      </c>
      <c r="K2" s="735">
        <v>41387.0</v>
      </c>
      <c r="L2" s="130" t="s">
        <v>90</v>
      </c>
      <c r="M2" s="521"/>
      <c r="N2" s="521" t="s">
        <v>90</v>
      </c>
      <c r="O2" s="521"/>
      <c r="P2" s="521"/>
      <c r="Q2" s="70" t="s">
        <v>13694</v>
      </c>
      <c r="R2" s="1327" t="s">
        <v>13695</v>
      </c>
      <c r="S2" s="159"/>
      <c r="T2" s="1328">
        <v>41386.0</v>
      </c>
      <c r="U2" s="1329">
        <v>345645.0</v>
      </c>
      <c r="V2" s="1330" t="s">
        <v>13696</v>
      </c>
      <c r="W2" s="91"/>
      <c r="X2" s="91"/>
      <c r="Y2" s="91"/>
      <c r="Z2" s="91"/>
    </row>
    <row r="3" ht="15.75" customHeight="1">
      <c r="A3" s="1325">
        <v>41171.0</v>
      </c>
      <c r="B3" s="20" t="s">
        <v>673</v>
      </c>
      <c r="C3" s="70" t="s">
        <v>13691</v>
      </c>
      <c r="D3" s="521" t="s">
        <v>13692</v>
      </c>
      <c r="E3" s="20" t="s">
        <v>8591</v>
      </c>
      <c r="F3" s="1326">
        <v>7.0</v>
      </c>
      <c r="G3" s="693">
        <v>377.0</v>
      </c>
      <c r="H3" s="1326">
        <f t="shared" si="1"/>
        <v>2639</v>
      </c>
      <c r="I3" s="130" t="s">
        <v>8675</v>
      </c>
      <c r="J3" s="130" t="s">
        <v>13693</v>
      </c>
      <c r="K3" s="735">
        <v>41387.0</v>
      </c>
      <c r="L3" s="130" t="s">
        <v>90</v>
      </c>
      <c r="M3" s="521"/>
      <c r="N3" s="521" t="s">
        <v>90</v>
      </c>
      <c r="O3" s="521"/>
      <c r="P3" s="1331" t="s">
        <v>13697</v>
      </c>
      <c r="Q3" s="70" t="s">
        <v>13694</v>
      </c>
      <c r="R3" s="1332"/>
      <c r="S3" s="159"/>
      <c r="T3" s="1333"/>
      <c r="U3" s="1333"/>
      <c r="V3" s="1333"/>
      <c r="W3" s="91"/>
      <c r="X3" s="91"/>
      <c r="Y3" s="91"/>
      <c r="Z3" s="91"/>
    </row>
    <row r="4" ht="15.75" customHeight="1">
      <c r="A4" s="1325">
        <v>41171.0</v>
      </c>
      <c r="B4" s="20" t="s">
        <v>673</v>
      </c>
      <c r="C4" s="70" t="s">
        <v>13691</v>
      </c>
      <c r="D4" s="521" t="s">
        <v>13692</v>
      </c>
      <c r="E4" s="20" t="s">
        <v>8936</v>
      </c>
      <c r="F4" s="1326">
        <v>6.0</v>
      </c>
      <c r="G4" s="693">
        <v>966.0</v>
      </c>
      <c r="H4" s="1326">
        <f t="shared" si="1"/>
        <v>5796</v>
      </c>
      <c r="I4" s="130" t="s">
        <v>8675</v>
      </c>
      <c r="J4" s="130" t="s">
        <v>13693</v>
      </c>
      <c r="K4" s="735">
        <v>41387.0</v>
      </c>
      <c r="L4" s="130" t="s">
        <v>90</v>
      </c>
      <c r="M4" s="521"/>
      <c r="N4" s="521" t="s">
        <v>90</v>
      </c>
      <c r="O4" s="521"/>
      <c r="P4" s="1331" t="s">
        <v>13697</v>
      </c>
      <c r="Q4" s="70" t="s">
        <v>13694</v>
      </c>
      <c r="R4" s="1332"/>
      <c r="S4" s="159"/>
      <c r="T4" s="1333"/>
      <c r="U4" s="1333"/>
      <c r="V4" s="1333"/>
      <c r="W4" s="91"/>
      <c r="X4" s="91"/>
      <c r="Y4" s="91"/>
      <c r="Z4" s="91"/>
    </row>
    <row r="5" ht="15.75" customHeight="1">
      <c r="A5" s="1325">
        <v>41171.0</v>
      </c>
      <c r="B5" s="20" t="s">
        <v>673</v>
      </c>
      <c r="C5" s="70" t="s">
        <v>13691</v>
      </c>
      <c r="D5" s="521" t="s">
        <v>13692</v>
      </c>
      <c r="E5" s="20" t="s">
        <v>13698</v>
      </c>
      <c r="F5" s="1326">
        <v>8.0</v>
      </c>
      <c r="G5" s="693">
        <v>354.0</v>
      </c>
      <c r="H5" s="1326">
        <f t="shared" si="1"/>
        <v>2832</v>
      </c>
      <c r="I5" s="130" t="s">
        <v>8675</v>
      </c>
      <c r="J5" s="130" t="s">
        <v>13693</v>
      </c>
      <c r="K5" s="735">
        <v>41387.0</v>
      </c>
      <c r="L5" s="130" t="s">
        <v>90</v>
      </c>
      <c r="M5" s="521"/>
      <c r="N5" s="521" t="s">
        <v>90</v>
      </c>
      <c r="O5" s="521"/>
      <c r="P5" s="1331" t="s">
        <v>13697</v>
      </c>
      <c r="Q5" s="70" t="s">
        <v>13694</v>
      </c>
      <c r="R5" s="1334"/>
      <c r="S5" s="159"/>
      <c r="T5" s="1335"/>
      <c r="U5" s="1335"/>
      <c r="V5" s="1335"/>
      <c r="W5" s="91"/>
      <c r="X5" s="91"/>
      <c r="Y5" s="91"/>
      <c r="Z5" s="91"/>
    </row>
    <row r="6" ht="15.75" customHeight="1">
      <c r="A6" s="1325">
        <v>41234.0</v>
      </c>
      <c r="B6" s="20" t="s">
        <v>1204</v>
      </c>
      <c r="C6" s="70" t="s">
        <v>13699</v>
      </c>
      <c r="D6" s="20" t="s">
        <v>13700</v>
      </c>
      <c r="E6" s="20" t="s">
        <v>12654</v>
      </c>
      <c r="F6" s="693">
        <v>100.0</v>
      </c>
      <c r="G6" s="693">
        <v>37.5</v>
      </c>
      <c r="H6" s="693">
        <f t="shared" ref="H6:H27" si="2">G6*F6</f>
        <v>3750</v>
      </c>
      <c r="I6" s="431" t="s">
        <v>87</v>
      </c>
      <c r="J6" s="431" t="s">
        <v>13701</v>
      </c>
      <c r="K6" s="735">
        <v>41346.0</v>
      </c>
      <c r="L6" s="431" t="s">
        <v>12655</v>
      </c>
      <c r="M6" s="521"/>
      <c r="N6" s="20" t="s">
        <v>12656</v>
      </c>
      <c r="O6" s="521"/>
      <c r="P6" s="20" t="s">
        <v>13702</v>
      </c>
      <c r="Q6" s="70" t="s">
        <v>2510</v>
      </c>
      <c r="R6" s="1336"/>
      <c r="S6" s="728">
        <v>105000.0</v>
      </c>
      <c r="T6" s="562">
        <v>41341.0</v>
      </c>
      <c r="U6" s="728">
        <v>105000.0</v>
      </c>
      <c r="V6" s="453" t="s">
        <v>13703</v>
      </c>
      <c r="W6" s="91"/>
      <c r="X6" s="91"/>
      <c r="Y6" s="91"/>
      <c r="Z6" s="91"/>
    </row>
    <row r="7" ht="15.75" customHeight="1">
      <c r="A7" s="1325">
        <v>41262.0</v>
      </c>
      <c r="B7" s="20" t="s">
        <v>7411</v>
      </c>
      <c r="C7" s="70" t="s">
        <v>13704</v>
      </c>
      <c r="D7" s="20" t="s">
        <v>13705</v>
      </c>
      <c r="E7" s="20" t="s">
        <v>13706</v>
      </c>
      <c r="F7" s="693">
        <v>10.0</v>
      </c>
      <c r="G7" s="693">
        <v>240.0</v>
      </c>
      <c r="H7" s="693">
        <f t="shared" si="2"/>
        <v>2400</v>
      </c>
      <c r="I7" s="521"/>
      <c r="J7" s="431" t="s">
        <v>13707</v>
      </c>
      <c r="K7" s="1337">
        <v>41276.0</v>
      </c>
      <c r="L7" s="431" t="s">
        <v>12646</v>
      </c>
      <c r="M7" s="521"/>
      <c r="N7" s="521" t="s">
        <v>90</v>
      </c>
      <c r="O7" s="521"/>
      <c r="P7" s="20" t="s">
        <v>13708</v>
      </c>
      <c r="Q7" s="70" t="s">
        <v>13694</v>
      </c>
      <c r="R7" s="1338" t="s">
        <v>13709</v>
      </c>
      <c r="S7" s="159"/>
      <c r="T7" s="562">
        <v>41636.0</v>
      </c>
      <c r="U7" s="728">
        <v>59367.0</v>
      </c>
      <c r="V7" s="453" t="s">
        <v>13710</v>
      </c>
      <c r="W7" s="91"/>
      <c r="X7" s="91"/>
      <c r="Y7" s="91"/>
      <c r="Z7" s="91"/>
    </row>
    <row r="8" ht="15.75" customHeight="1">
      <c r="A8" s="1339">
        <v>41288.0</v>
      </c>
      <c r="B8" s="521" t="s">
        <v>1204</v>
      </c>
      <c r="C8" s="649" t="s">
        <v>13711</v>
      </c>
      <c r="D8" s="521" t="s">
        <v>13712</v>
      </c>
      <c r="E8" s="20" t="s">
        <v>13713</v>
      </c>
      <c r="F8" s="1326">
        <v>100.0</v>
      </c>
      <c r="G8" s="1326">
        <v>12.9</v>
      </c>
      <c r="H8" s="693">
        <f t="shared" si="2"/>
        <v>1290</v>
      </c>
      <c r="I8" s="521"/>
      <c r="J8" s="431" t="s">
        <v>13701</v>
      </c>
      <c r="K8" s="735">
        <v>41346.0</v>
      </c>
      <c r="L8" s="431" t="s">
        <v>12646</v>
      </c>
      <c r="M8" s="521"/>
      <c r="N8" s="20" t="s">
        <v>12656</v>
      </c>
      <c r="O8" s="521"/>
      <c r="P8" s="20" t="s">
        <v>13702</v>
      </c>
      <c r="Q8" s="70" t="s">
        <v>2510</v>
      </c>
      <c r="R8" s="1336"/>
      <c r="S8" s="1340">
        <v>33600.0</v>
      </c>
      <c r="T8" s="562">
        <v>41341.0</v>
      </c>
      <c r="U8" s="1340">
        <v>33600.0</v>
      </c>
      <c r="V8" s="453" t="s">
        <v>13703</v>
      </c>
      <c r="W8" s="91"/>
      <c r="X8" s="91"/>
      <c r="Y8" s="91"/>
      <c r="Z8" s="91"/>
    </row>
    <row r="9" ht="15.75" customHeight="1">
      <c r="A9" s="1339">
        <v>41290.0</v>
      </c>
      <c r="B9" s="20" t="s">
        <v>13714</v>
      </c>
      <c r="C9" s="649" t="s">
        <v>13715</v>
      </c>
      <c r="D9" s="521"/>
      <c r="E9" s="20" t="s">
        <v>13716</v>
      </c>
      <c r="F9" s="1326">
        <v>2.0</v>
      </c>
      <c r="G9" s="1326">
        <v>186.0</v>
      </c>
      <c r="H9" s="693">
        <f t="shared" si="2"/>
        <v>372</v>
      </c>
      <c r="I9" s="130" t="s">
        <v>13717</v>
      </c>
      <c r="J9" s="521"/>
      <c r="K9" s="1213">
        <v>41291.0</v>
      </c>
      <c r="L9" s="130" t="s">
        <v>90</v>
      </c>
      <c r="M9" s="521"/>
      <c r="N9" s="521" t="s">
        <v>90</v>
      </c>
      <c r="O9" s="521"/>
      <c r="P9" s="20" t="s">
        <v>13708</v>
      </c>
      <c r="Q9" s="70" t="s">
        <v>13694</v>
      </c>
      <c r="R9" s="1327" t="s">
        <v>13718</v>
      </c>
      <c r="S9" s="159"/>
      <c r="T9" s="1328">
        <v>41291.0</v>
      </c>
      <c r="U9" s="1329">
        <v>13866.0</v>
      </c>
      <c r="V9" s="1330" t="s">
        <v>13719</v>
      </c>
      <c r="W9" s="91"/>
      <c r="X9" s="91"/>
      <c r="Y9" s="91"/>
      <c r="Z9" s="91"/>
    </row>
    <row r="10" ht="15.75" customHeight="1">
      <c r="A10" s="1339">
        <v>41290.0</v>
      </c>
      <c r="B10" s="20" t="s">
        <v>13714</v>
      </c>
      <c r="C10" s="649" t="s">
        <v>13715</v>
      </c>
      <c r="D10" s="521" t="s">
        <v>13720</v>
      </c>
      <c r="E10" s="20" t="s">
        <v>13721</v>
      </c>
      <c r="F10" s="1326">
        <v>2.0</v>
      </c>
      <c r="G10" s="1326">
        <v>86.0</v>
      </c>
      <c r="H10" s="693">
        <f t="shared" si="2"/>
        <v>172</v>
      </c>
      <c r="I10" s="130" t="s">
        <v>13722</v>
      </c>
      <c r="J10" s="521"/>
      <c r="K10" s="1213">
        <v>41291.0</v>
      </c>
      <c r="L10" s="130" t="s">
        <v>90</v>
      </c>
      <c r="M10" s="521"/>
      <c r="N10" s="521" t="s">
        <v>90</v>
      </c>
      <c r="O10" s="521"/>
      <c r="P10" s="20" t="s">
        <v>13708</v>
      </c>
      <c r="Q10" s="70" t="s">
        <v>13694</v>
      </c>
      <c r="R10" s="1334"/>
      <c r="S10" s="159"/>
      <c r="T10" s="1335"/>
      <c r="U10" s="1335"/>
      <c r="V10" s="1335"/>
      <c r="W10" s="1218"/>
      <c r="X10" s="91"/>
      <c r="Y10" s="91"/>
      <c r="Z10" s="91"/>
    </row>
    <row r="11" ht="15.75" customHeight="1">
      <c r="A11" s="1339">
        <v>41292.0</v>
      </c>
      <c r="B11" s="521" t="s">
        <v>11239</v>
      </c>
      <c r="C11" s="649">
        <v>1.3000002E7</v>
      </c>
      <c r="D11" s="521" t="s">
        <v>13723</v>
      </c>
      <c r="E11" s="20" t="s">
        <v>6590</v>
      </c>
      <c r="F11" s="1326">
        <v>2.0</v>
      </c>
      <c r="G11" s="1326">
        <v>321.0</v>
      </c>
      <c r="H11" s="693">
        <f t="shared" si="2"/>
        <v>642</v>
      </c>
      <c r="I11" s="521"/>
      <c r="J11" s="130" t="s">
        <v>13724</v>
      </c>
      <c r="K11" s="735">
        <v>41306.0</v>
      </c>
      <c r="L11" s="130" t="s">
        <v>90</v>
      </c>
      <c r="M11" s="521"/>
      <c r="N11" s="521" t="s">
        <v>90</v>
      </c>
      <c r="O11" s="521"/>
      <c r="P11" s="20" t="s">
        <v>13708</v>
      </c>
      <c r="Q11" s="70" t="s">
        <v>13694</v>
      </c>
      <c r="R11" s="1327" t="s">
        <v>13725</v>
      </c>
      <c r="S11" s="159"/>
      <c r="T11" s="1341">
        <v>41298.0</v>
      </c>
      <c r="U11" s="1342">
        <v>37513.0</v>
      </c>
      <c r="V11" s="1343" t="s">
        <v>13726</v>
      </c>
      <c r="W11" s="91"/>
      <c r="X11" s="91"/>
      <c r="Y11" s="91"/>
      <c r="Z11" s="91"/>
    </row>
    <row r="12" ht="15.75" customHeight="1">
      <c r="A12" s="1339">
        <v>41292.0</v>
      </c>
      <c r="B12" s="521" t="s">
        <v>11239</v>
      </c>
      <c r="C12" s="649">
        <v>1.3000002E7</v>
      </c>
      <c r="D12" s="521" t="s">
        <v>13723</v>
      </c>
      <c r="E12" s="20" t="s">
        <v>11216</v>
      </c>
      <c r="F12" s="1326">
        <v>8.0</v>
      </c>
      <c r="G12" s="1326">
        <v>111.0</v>
      </c>
      <c r="H12" s="693">
        <f t="shared" si="2"/>
        <v>888</v>
      </c>
      <c r="I12" s="521"/>
      <c r="J12" s="130" t="s">
        <v>13724</v>
      </c>
      <c r="K12" s="521"/>
      <c r="L12" s="130" t="s">
        <v>90</v>
      </c>
      <c r="M12" s="521"/>
      <c r="N12" s="521" t="s">
        <v>90</v>
      </c>
      <c r="O12" s="521"/>
      <c r="P12" s="20" t="s">
        <v>13708</v>
      </c>
      <c r="Q12" s="70" t="s">
        <v>13694</v>
      </c>
      <c r="R12" s="1334"/>
      <c r="S12" s="159"/>
      <c r="T12" s="1341">
        <v>41298.0</v>
      </c>
      <c r="U12" s="1335"/>
      <c r="V12" s="1335"/>
      <c r="W12" s="91"/>
      <c r="X12" s="91"/>
      <c r="Y12" s="91"/>
      <c r="Z12" s="91"/>
    </row>
    <row r="13" ht="15.75" customHeight="1">
      <c r="A13" s="1339">
        <v>41292.0</v>
      </c>
      <c r="B13" s="521" t="s">
        <v>11239</v>
      </c>
      <c r="C13" s="521"/>
      <c r="D13" s="521" t="s">
        <v>13727</v>
      </c>
      <c r="E13" s="20" t="s">
        <v>9131</v>
      </c>
      <c r="F13" s="1326">
        <v>1.0</v>
      </c>
      <c r="G13" s="1326">
        <v>2521.0</v>
      </c>
      <c r="H13" s="693">
        <f t="shared" si="2"/>
        <v>2521</v>
      </c>
      <c r="I13" s="521"/>
      <c r="J13" s="130" t="s">
        <v>13728</v>
      </c>
      <c r="K13" s="735">
        <v>41334.0</v>
      </c>
      <c r="L13" s="431" t="s">
        <v>12646</v>
      </c>
      <c r="M13" s="521"/>
      <c r="N13" s="521" t="s">
        <v>90</v>
      </c>
      <c r="O13" s="521"/>
      <c r="P13" s="20" t="s">
        <v>13729</v>
      </c>
      <c r="Q13" s="70" t="s">
        <v>13694</v>
      </c>
      <c r="R13" s="1336" t="s">
        <v>13730</v>
      </c>
      <c r="S13" s="159"/>
      <c r="T13" s="66"/>
      <c r="U13" s="721" t="s">
        <v>13731</v>
      </c>
      <c r="V13" s="66" t="s">
        <v>6443</v>
      </c>
      <c r="W13" s="91"/>
      <c r="X13" s="91"/>
      <c r="Y13" s="91"/>
      <c r="Z13" s="91"/>
    </row>
    <row r="14" ht="15.75" customHeight="1">
      <c r="A14" s="1339">
        <v>41299.0</v>
      </c>
      <c r="B14" s="521" t="s">
        <v>11996</v>
      </c>
      <c r="C14" s="521"/>
      <c r="D14" s="521" t="s">
        <v>13732</v>
      </c>
      <c r="E14" s="20" t="s">
        <v>13733</v>
      </c>
      <c r="F14" s="1326">
        <v>80.0</v>
      </c>
      <c r="G14" s="1326">
        <v>19.0</v>
      </c>
      <c r="H14" s="693">
        <f t="shared" si="2"/>
        <v>1520</v>
      </c>
      <c r="I14" s="431" t="s">
        <v>11999</v>
      </c>
      <c r="J14" s="130" t="s">
        <v>13734</v>
      </c>
      <c r="K14" s="735">
        <v>41306.0</v>
      </c>
      <c r="L14" s="431" t="s">
        <v>12646</v>
      </c>
      <c r="M14" s="521"/>
      <c r="N14" s="521" t="s">
        <v>12656</v>
      </c>
      <c r="O14" s="521"/>
      <c r="P14" s="20" t="s">
        <v>13708</v>
      </c>
      <c r="Q14" s="20" t="s">
        <v>2510</v>
      </c>
      <c r="R14" s="1336"/>
      <c r="S14" s="1340">
        <v>39480.0</v>
      </c>
      <c r="T14" s="1341">
        <v>41306.0</v>
      </c>
      <c r="U14" s="1340">
        <v>39480.0</v>
      </c>
      <c r="V14" s="503" t="s">
        <v>13735</v>
      </c>
      <c r="W14" s="91"/>
      <c r="X14" s="91"/>
      <c r="Y14" s="91"/>
      <c r="Z14" s="91"/>
    </row>
    <row r="15" ht="15.75" customHeight="1">
      <c r="A15" s="1339">
        <v>41326.0</v>
      </c>
      <c r="B15" s="521" t="s">
        <v>1204</v>
      </c>
      <c r="C15" s="649" t="s">
        <v>13736</v>
      </c>
      <c r="D15" s="521" t="s">
        <v>13737</v>
      </c>
      <c r="E15" s="20" t="s">
        <v>13738</v>
      </c>
      <c r="F15" s="1326">
        <v>2.0</v>
      </c>
      <c r="G15" s="1326">
        <v>30.0</v>
      </c>
      <c r="H15" s="693">
        <f t="shared" si="2"/>
        <v>60</v>
      </c>
      <c r="I15" s="431" t="s">
        <v>87</v>
      </c>
      <c r="J15" s="431" t="s">
        <v>13701</v>
      </c>
      <c r="K15" s="735">
        <v>41346.0</v>
      </c>
      <c r="L15" s="431" t="s">
        <v>12646</v>
      </c>
      <c r="M15" s="521"/>
      <c r="N15" s="521" t="s">
        <v>13739</v>
      </c>
      <c r="O15" s="521"/>
      <c r="P15" s="521" t="s">
        <v>13740</v>
      </c>
      <c r="Q15" s="521"/>
      <c r="R15" s="1336"/>
      <c r="S15" s="1340">
        <v>1323.0</v>
      </c>
      <c r="T15" s="1341">
        <v>41331.0</v>
      </c>
      <c r="U15" s="1340">
        <v>1323.0</v>
      </c>
      <c r="V15" s="453" t="s">
        <v>13703</v>
      </c>
      <c r="W15" s="91"/>
      <c r="X15" s="91"/>
      <c r="Y15" s="91"/>
      <c r="Z15" s="91"/>
    </row>
    <row r="16" ht="15.75" customHeight="1">
      <c r="A16" s="1339">
        <v>41337.0</v>
      </c>
      <c r="B16" s="521" t="s">
        <v>11239</v>
      </c>
      <c r="C16" s="649" t="s">
        <v>13741</v>
      </c>
      <c r="D16" s="521" t="s">
        <v>13742</v>
      </c>
      <c r="E16" s="20" t="s">
        <v>13743</v>
      </c>
      <c r="F16" s="1326">
        <v>2.0</v>
      </c>
      <c r="G16" s="1326">
        <v>277.0</v>
      </c>
      <c r="H16" s="693">
        <f t="shared" si="2"/>
        <v>554</v>
      </c>
      <c r="I16" s="521"/>
      <c r="J16" s="130" t="s">
        <v>13744</v>
      </c>
      <c r="K16" s="735">
        <v>41347.0</v>
      </c>
      <c r="L16" s="431" t="s">
        <v>12646</v>
      </c>
      <c r="M16" s="521"/>
      <c r="N16" s="521" t="s">
        <v>90</v>
      </c>
      <c r="O16" s="1326">
        <v>2.0130300085004E13</v>
      </c>
      <c r="P16" s="20" t="s">
        <v>13729</v>
      </c>
      <c r="Q16" s="70" t="s">
        <v>13694</v>
      </c>
      <c r="R16" s="1336" t="s">
        <v>13745</v>
      </c>
      <c r="S16" s="159"/>
      <c r="T16" s="1341">
        <v>41345.0</v>
      </c>
      <c r="U16" s="1340">
        <v>14991.0</v>
      </c>
      <c r="V16" s="1330" t="s">
        <v>13746</v>
      </c>
      <c r="W16" s="91"/>
      <c r="X16" s="91"/>
      <c r="Y16" s="91"/>
      <c r="Z16" s="91"/>
    </row>
    <row r="17" ht="15.75" customHeight="1">
      <c r="A17" s="1339">
        <v>41341.0</v>
      </c>
      <c r="B17" s="521" t="s">
        <v>11239</v>
      </c>
      <c r="C17" s="649" t="s">
        <v>13747</v>
      </c>
      <c r="D17" s="521" t="s">
        <v>13748</v>
      </c>
      <c r="E17" s="20" t="s">
        <v>13749</v>
      </c>
      <c r="F17" s="1326">
        <v>10.0</v>
      </c>
      <c r="G17" s="1326">
        <v>33.0</v>
      </c>
      <c r="H17" s="693">
        <f t="shared" si="2"/>
        <v>330</v>
      </c>
      <c r="I17" s="521"/>
      <c r="J17" s="130" t="s">
        <v>13750</v>
      </c>
      <c r="K17" s="735">
        <v>41347.0</v>
      </c>
      <c r="L17" s="431" t="s">
        <v>12646</v>
      </c>
      <c r="M17" s="521"/>
      <c r="N17" s="649" t="s">
        <v>303</v>
      </c>
      <c r="O17" s="521"/>
      <c r="P17" s="20" t="s">
        <v>13729</v>
      </c>
      <c r="Q17" s="20" t="s">
        <v>13751</v>
      </c>
      <c r="R17" s="1344">
        <v>5775.0</v>
      </c>
      <c r="S17" s="1345">
        <v>5775.0</v>
      </c>
      <c r="T17" s="1346">
        <v>41345.0</v>
      </c>
      <c r="U17" s="1345">
        <v>5775.0</v>
      </c>
      <c r="V17" s="1335"/>
      <c r="W17" s="91"/>
      <c r="X17" s="91"/>
      <c r="Y17" s="91"/>
      <c r="Z17" s="91"/>
    </row>
    <row r="18" ht="15.75" customHeight="1">
      <c r="A18" s="1339">
        <v>41344.0</v>
      </c>
      <c r="B18" s="20" t="s">
        <v>673</v>
      </c>
      <c r="C18" s="521"/>
      <c r="D18" s="521" t="s">
        <v>13752</v>
      </c>
      <c r="E18" s="20" t="s">
        <v>12784</v>
      </c>
      <c r="F18" s="1326">
        <v>1.0</v>
      </c>
      <c r="G18" s="1326">
        <v>670.0</v>
      </c>
      <c r="H18" s="693">
        <f t="shared" si="2"/>
        <v>670</v>
      </c>
      <c r="I18" s="431" t="s">
        <v>8675</v>
      </c>
      <c r="J18" s="130" t="s">
        <v>13753</v>
      </c>
      <c r="K18" s="735">
        <v>41359.0</v>
      </c>
      <c r="L18" s="431" t="s">
        <v>12646</v>
      </c>
      <c r="M18" s="521"/>
      <c r="N18" s="20" t="s">
        <v>2078</v>
      </c>
      <c r="O18" s="521"/>
      <c r="P18" s="20" t="s">
        <v>13754</v>
      </c>
      <c r="Q18" s="20" t="s">
        <v>13755</v>
      </c>
      <c r="R18" s="1347">
        <v>19478.0</v>
      </c>
      <c r="S18" s="1348">
        <v>19478.0</v>
      </c>
      <c r="T18" s="1349">
        <v>41353.0</v>
      </c>
      <c r="U18" s="1350">
        <v>19478.0</v>
      </c>
      <c r="V18" s="1343" t="s">
        <v>13756</v>
      </c>
      <c r="W18" s="91"/>
      <c r="X18" s="91"/>
      <c r="Y18" s="91"/>
      <c r="Z18" s="91"/>
    </row>
    <row r="19" ht="15.75" customHeight="1">
      <c r="A19" s="1339">
        <v>41344.0</v>
      </c>
      <c r="B19" s="20" t="s">
        <v>673</v>
      </c>
      <c r="C19" s="521"/>
      <c r="D19" s="521" t="s">
        <v>13752</v>
      </c>
      <c r="E19" s="20" t="s">
        <v>13757</v>
      </c>
      <c r="F19" s="1326">
        <v>1.0</v>
      </c>
      <c r="G19" s="1326">
        <v>22.0</v>
      </c>
      <c r="H19" s="693">
        <f t="shared" si="2"/>
        <v>22</v>
      </c>
      <c r="I19" s="431" t="s">
        <v>8675</v>
      </c>
      <c r="J19" s="130" t="s">
        <v>13753</v>
      </c>
      <c r="K19" s="735">
        <v>41359.0</v>
      </c>
      <c r="L19" s="431" t="s">
        <v>12646</v>
      </c>
      <c r="M19" s="521"/>
      <c r="N19" s="20" t="s">
        <v>2078</v>
      </c>
      <c r="O19" s="521"/>
      <c r="P19" s="20" t="s">
        <v>13754</v>
      </c>
      <c r="Q19" s="20" t="s">
        <v>13758</v>
      </c>
      <c r="R19" s="1334"/>
      <c r="S19" s="1334"/>
      <c r="T19" s="1334"/>
      <c r="U19" s="1334"/>
      <c r="V19" s="1335"/>
      <c r="W19" s="91"/>
      <c r="X19" s="91"/>
      <c r="Y19" s="91"/>
      <c r="Z19" s="91"/>
    </row>
    <row r="20" ht="15.75" customHeight="1">
      <c r="A20" s="1325">
        <v>41358.0</v>
      </c>
      <c r="B20" s="20" t="s">
        <v>1204</v>
      </c>
      <c r="C20" s="70" t="s">
        <v>13759</v>
      </c>
      <c r="D20" s="20" t="s">
        <v>13760</v>
      </c>
      <c r="E20" s="20" t="s">
        <v>12654</v>
      </c>
      <c r="F20" s="693">
        <v>100.0</v>
      </c>
      <c r="G20" s="693">
        <v>37.5</v>
      </c>
      <c r="H20" s="693">
        <f t="shared" si="2"/>
        <v>3750</v>
      </c>
      <c r="I20" s="431" t="s">
        <v>87</v>
      </c>
      <c r="J20" s="1351" t="s">
        <v>13761</v>
      </c>
      <c r="K20" s="735">
        <v>41412.0</v>
      </c>
      <c r="L20" s="431" t="s">
        <v>12655</v>
      </c>
      <c r="M20" s="735">
        <v>41410.0</v>
      </c>
      <c r="N20" s="20" t="s">
        <v>12656</v>
      </c>
      <c r="O20" s="521"/>
      <c r="P20" s="20" t="s">
        <v>13762</v>
      </c>
      <c r="Q20" s="70" t="s">
        <v>2510</v>
      </c>
      <c r="R20" s="1336"/>
      <c r="S20" s="695">
        <v>105000.0</v>
      </c>
      <c r="T20" s="1352">
        <v>41411.0</v>
      </c>
      <c r="U20" s="1353">
        <v>210000.0</v>
      </c>
      <c r="V20" s="453" t="s">
        <v>13763</v>
      </c>
      <c r="W20" s="91"/>
      <c r="X20" s="91"/>
      <c r="Y20" s="91"/>
      <c r="Z20" s="91"/>
    </row>
    <row r="21" ht="15.75" customHeight="1">
      <c r="A21" s="1325">
        <v>41358.0</v>
      </c>
      <c r="B21" s="20" t="s">
        <v>1204</v>
      </c>
      <c r="C21" s="70" t="s">
        <v>13759</v>
      </c>
      <c r="D21" s="20" t="s">
        <v>13764</v>
      </c>
      <c r="E21" s="20" t="s">
        <v>12654</v>
      </c>
      <c r="F21" s="693">
        <v>100.0</v>
      </c>
      <c r="G21" s="693">
        <v>37.5</v>
      </c>
      <c r="H21" s="693">
        <f t="shared" si="2"/>
        <v>3750</v>
      </c>
      <c r="I21" s="431" t="s">
        <v>87</v>
      </c>
      <c r="J21" s="1351" t="s">
        <v>13765</v>
      </c>
      <c r="K21" s="735">
        <v>41412.0</v>
      </c>
      <c r="L21" s="431" t="s">
        <v>12655</v>
      </c>
      <c r="M21" s="735">
        <v>41410.0</v>
      </c>
      <c r="N21" s="20" t="s">
        <v>12656</v>
      </c>
      <c r="O21" s="521"/>
      <c r="P21" s="20" t="s">
        <v>13766</v>
      </c>
      <c r="Q21" s="70" t="s">
        <v>2510</v>
      </c>
      <c r="R21" s="1336"/>
      <c r="S21" s="695">
        <v>105000.0</v>
      </c>
      <c r="T21" s="1334"/>
      <c r="U21" s="1334"/>
      <c r="V21" s="453" t="s">
        <v>13763</v>
      </c>
      <c r="W21" s="91"/>
      <c r="X21" s="91"/>
      <c r="Y21" s="91"/>
      <c r="Z21" s="91"/>
    </row>
    <row r="22" ht="15.75" customHeight="1">
      <c r="A22" s="1339">
        <v>41365.0</v>
      </c>
      <c r="B22" s="20" t="s">
        <v>13714</v>
      </c>
      <c r="C22" s="649" t="s">
        <v>13767</v>
      </c>
      <c r="D22" s="521"/>
      <c r="E22" s="20" t="s">
        <v>13716</v>
      </c>
      <c r="F22" s="1326">
        <v>6.0</v>
      </c>
      <c r="G22" s="1326">
        <v>186.0</v>
      </c>
      <c r="H22" s="693">
        <f t="shared" si="2"/>
        <v>1116</v>
      </c>
      <c r="I22" s="431" t="s">
        <v>13722</v>
      </c>
      <c r="J22" s="130" t="s">
        <v>233</v>
      </c>
      <c r="K22" s="735">
        <v>41365.0</v>
      </c>
      <c r="L22" s="130" t="s">
        <v>90</v>
      </c>
      <c r="M22" s="521"/>
      <c r="N22" s="521" t="s">
        <v>90</v>
      </c>
      <c r="O22" s="1326">
        <v>2.013030008595E13</v>
      </c>
      <c r="P22" s="20" t="s">
        <v>13729</v>
      </c>
      <c r="Q22" s="70" t="s">
        <v>13694</v>
      </c>
      <c r="R22" s="1327" t="s">
        <v>13768</v>
      </c>
      <c r="S22" s="159"/>
      <c r="T22" s="1328">
        <v>41365.0</v>
      </c>
      <c r="U22" s="1329">
        <v>42812.0</v>
      </c>
      <c r="V22" s="1321" t="s">
        <v>13769</v>
      </c>
      <c r="W22" s="91"/>
      <c r="X22" s="91"/>
      <c r="Y22" s="91"/>
      <c r="Z22" s="91"/>
    </row>
    <row r="23" ht="15.75" customHeight="1">
      <c r="A23" s="1339">
        <v>41365.0</v>
      </c>
      <c r="B23" s="20" t="s">
        <v>13714</v>
      </c>
      <c r="C23" s="649" t="s">
        <v>13767</v>
      </c>
      <c r="D23" s="521" t="s">
        <v>13720</v>
      </c>
      <c r="E23" s="20" t="s">
        <v>13721</v>
      </c>
      <c r="F23" s="1326">
        <v>6.0</v>
      </c>
      <c r="G23" s="1326">
        <v>86.0</v>
      </c>
      <c r="H23" s="693">
        <f t="shared" si="2"/>
        <v>516</v>
      </c>
      <c r="I23" s="431" t="s">
        <v>13722</v>
      </c>
      <c r="J23" s="130" t="s">
        <v>233</v>
      </c>
      <c r="K23" s="735">
        <v>41365.0</v>
      </c>
      <c r="L23" s="130" t="s">
        <v>90</v>
      </c>
      <c r="M23" s="521"/>
      <c r="N23" s="521" t="s">
        <v>90</v>
      </c>
      <c r="O23" s="1326">
        <v>2.013030008595E13</v>
      </c>
      <c r="P23" s="20" t="s">
        <v>13729</v>
      </c>
      <c r="Q23" s="70" t="s">
        <v>13694</v>
      </c>
      <c r="R23" s="1334"/>
      <c r="S23" s="159"/>
      <c r="T23" s="1335"/>
      <c r="U23" s="1335"/>
      <c r="V23" s="1335"/>
      <c r="W23" s="91"/>
      <c r="X23" s="91"/>
      <c r="Y23" s="91"/>
      <c r="Z23" s="91"/>
    </row>
    <row r="24" ht="15.75" customHeight="1">
      <c r="A24" s="1339">
        <v>41372.0</v>
      </c>
      <c r="B24" s="521" t="s">
        <v>11239</v>
      </c>
      <c r="C24" s="649">
        <v>1.3000077E7</v>
      </c>
      <c r="D24" s="521" t="s">
        <v>13770</v>
      </c>
      <c r="E24" s="20" t="s">
        <v>13771</v>
      </c>
      <c r="F24" s="1326">
        <v>1.0</v>
      </c>
      <c r="G24" s="1326">
        <v>438.0</v>
      </c>
      <c r="H24" s="693">
        <f t="shared" si="2"/>
        <v>438</v>
      </c>
      <c r="I24" s="521"/>
      <c r="J24" s="130" t="s">
        <v>13724</v>
      </c>
      <c r="K24" s="735">
        <v>41379.0</v>
      </c>
      <c r="L24" s="431" t="s">
        <v>12646</v>
      </c>
      <c r="M24" s="521"/>
      <c r="N24" s="521" t="s">
        <v>90</v>
      </c>
      <c r="O24" s="521"/>
      <c r="P24" s="521"/>
      <c r="Q24" s="70" t="s">
        <v>13694</v>
      </c>
      <c r="R24" s="1336" t="s">
        <v>13772</v>
      </c>
      <c r="S24" s="159"/>
      <c r="T24" s="562">
        <v>41376.0</v>
      </c>
      <c r="U24" s="728">
        <v>12113.0</v>
      </c>
      <c r="V24" s="453" t="s">
        <v>13773</v>
      </c>
      <c r="W24" s="91"/>
      <c r="X24" s="91"/>
      <c r="Y24" s="91"/>
      <c r="Z24" s="91"/>
    </row>
    <row r="25" ht="15.75" customHeight="1">
      <c r="A25" s="1339">
        <v>41372.0</v>
      </c>
      <c r="B25" s="521" t="s">
        <v>13774</v>
      </c>
      <c r="C25" s="649" t="s">
        <v>13775</v>
      </c>
      <c r="D25" s="521" t="s">
        <v>13776</v>
      </c>
      <c r="E25" s="20" t="s">
        <v>13777</v>
      </c>
      <c r="F25" s="1326">
        <v>2.0</v>
      </c>
      <c r="G25" s="1326">
        <v>199.5</v>
      </c>
      <c r="H25" s="693">
        <f t="shared" si="2"/>
        <v>399</v>
      </c>
      <c r="I25" s="431" t="s">
        <v>11999</v>
      </c>
      <c r="J25" s="130" t="s">
        <v>233</v>
      </c>
      <c r="K25" s="735">
        <v>41379.0</v>
      </c>
      <c r="L25" s="130" t="s">
        <v>90</v>
      </c>
      <c r="M25" s="521"/>
      <c r="N25" s="521" t="s">
        <v>90</v>
      </c>
      <c r="O25" s="521"/>
      <c r="P25" s="521"/>
      <c r="Q25" s="70" t="s">
        <v>13694</v>
      </c>
      <c r="R25" s="1327" t="s">
        <v>13778</v>
      </c>
      <c r="S25" s="159"/>
      <c r="T25" s="1328">
        <v>41379.0</v>
      </c>
      <c r="U25" s="1329">
        <v>24258.0</v>
      </c>
      <c r="V25" s="1321" t="s">
        <v>13779</v>
      </c>
      <c r="W25" s="91"/>
      <c r="X25" s="91"/>
      <c r="Y25" s="91"/>
      <c r="Z25" s="91"/>
    </row>
    <row r="26" ht="15.75" customHeight="1">
      <c r="A26" s="1339">
        <v>41372.0</v>
      </c>
      <c r="B26" s="521" t="s">
        <v>13774</v>
      </c>
      <c r="C26" s="649" t="s">
        <v>13775</v>
      </c>
      <c r="D26" s="521" t="s">
        <v>13776</v>
      </c>
      <c r="E26" s="20" t="s">
        <v>12723</v>
      </c>
      <c r="F26" s="1326">
        <v>1.0</v>
      </c>
      <c r="G26" s="1326">
        <v>365.4</v>
      </c>
      <c r="H26" s="693">
        <f t="shared" si="2"/>
        <v>365.4</v>
      </c>
      <c r="I26" s="431" t="s">
        <v>11999</v>
      </c>
      <c r="J26" s="130" t="s">
        <v>233</v>
      </c>
      <c r="K26" s="735">
        <v>41379.0</v>
      </c>
      <c r="L26" s="130" t="s">
        <v>90</v>
      </c>
      <c r="M26" s="521"/>
      <c r="N26" s="521" t="s">
        <v>90</v>
      </c>
      <c r="O26" s="521"/>
      <c r="P26" s="521"/>
      <c r="Q26" s="70" t="s">
        <v>13694</v>
      </c>
      <c r="R26" s="1332"/>
      <c r="S26" s="159"/>
      <c r="T26" s="1333"/>
      <c r="U26" s="1333"/>
      <c r="V26" s="1333"/>
      <c r="W26" s="91"/>
      <c r="X26" s="91"/>
      <c r="Y26" s="91"/>
      <c r="Z26" s="91"/>
    </row>
    <row r="27" ht="15.75" customHeight="1">
      <c r="A27" s="1339">
        <v>41372.0</v>
      </c>
      <c r="B27" s="521" t="s">
        <v>13774</v>
      </c>
      <c r="C27" s="649" t="s">
        <v>13775</v>
      </c>
      <c r="D27" s="521" t="s">
        <v>13776</v>
      </c>
      <c r="E27" s="20" t="s">
        <v>13780</v>
      </c>
      <c r="F27" s="1326">
        <v>4.0</v>
      </c>
      <c r="G27" s="1326">
        <v>29.4</v>
      </c>
      <c r="H27" s="693">
        <f t="shared" si="2"/>
        <v>117.6</v>
      </c>
      <c r="I27" s="431" t="s">
        <v>11999</v>
      </c>
      <c r="J27" s="130" t="s">
        <v>233</v>
      </c>
      <c r="K27" s="735">
        <v>41379.0</v>
      </c>
      <c r="L27" s="130" t="s">
        <v>90</v>
      </c>
      <c r="M27" s="521"/>
      <c r="N27" s="521" t="s">
        <v>90</v>
      </c>
      <c r="O27" s="521"/>
      <c r="P27" s="521"/>
      <c r="Q27" s="70" t="s">
        <v>13694</v>
      </c>
      <c r="R27" s="1334"/>
      <c r="S27" s="159"/>
      <c r="T27" s="1335"/>
      <c r="U27" s="1335"/>
      <c r="V27" s="1335"/>
      <c r="W27" s="91"/>
      <c r="X27" s="91"/>
      <c r="Y27" s="91"/>
      <c r="Z27" s="91"/>
    </row>
    <row r="28" ht="15.75" customHeight="1">
      <c r="A28" s="1339">
        <v>41387.0</v>
      </c>
      <c r="B28" s="521" t="s">
        <v>13774</v>
      </c>
      <c r="C28" s="649" t="s">
        <v>13781</v>
      </c>
      <c r="D28" s="521" t="s">
        <v>13782</v>
      </c>
      <c r="E28" s="20" t="s">
        <v>13783</v>
      </c>
      <c r="F28" s="1326">
        <v>8.0</v>
      </c>
      <c r="G28" s="1326">
        <v>73.5</v>
      </c>
      <c r="H28" s="693">
        <f t="shared" ref="H28:H34" si="3">F28*G28</f>
        <v>588</v>
      </c>
      <c r="I28" s="431" t="s">
        <v>11999</v>
      </c>
      <c r="J28" s="130" t="s">
        <v>233</v>
      </c>
      <c r="K28" s="735">
        <v>41390.0</v>
      </c>
      <c r="L28" s="130" t="s">
        <v>90</v>
      </c>
      <c r="M28" s="431" t="s">
        <v>6317</v>
      </c>
      <c r="N28" s="521" t="s">
        <v>90</v>
      </c>
      <c r="O28" s="521"/>
      <c r="P28" s="521" t="s">
        <v>13784</v>
      </c>
      <c r="Q28" s="70" t="s">
        <v>13694</v>
      </c>
      <c r="R28" s="1336" t="s">
        <v>13785</v>
      </c>
      <c r="S28" s="159"/>
      <c r="T28" s="562">
        <v>41390.0</v>
      </c>
      <c r="U28" s="728">
        <v>16047.0</v>
      </c>
      <c r="V28" s="66" t="s">
        <v>13786</v>
      </c>
      <c r="W28" s="91"/>
      <c r="X28" s="91"/>
      <c r="Y28" s="91"/>
      <c r="Z28" s="91"/>
    </row>
    <row r="29" ht="15.75" customHeight="1">
      <c r="A29" s="1339" t="s">
        <v>13787</v>
      </c>
      <c r="B29" s="521" t="s">
        <v>13788</v>
      </c>
      <c r="C29" s="649" t="s">
        <v>13789</v>
      </c>
      <c r="D29" s="521" t="s">
        <v>13790</v>
      </c>
      <c r="E29" s="20" t="s">
        <v>13791</v>
      </c>
      <c r="F29" s="1326">
        <v>2.0</v>
      </c>
      <c r="G29" s="1326">
        <v>69.0</v>
      </c>
      <c r="H29" s="693">
        <f t="shared" si="3"/>
        <v>138</v>
      </c>
      <c r="I29" s="431" t="s">
        <v>11999</v>
      </c>
      <c r="J29" s="431" t="s">
        <v>13792</v>
      </c>
      <c r="K29" s="735">
        <v>41400.0</v>
      </c>
      <c r="L29" s="521"/>
      <c r="M29" s="735">
        <v>41393.0</v>
      </c>
      <c r="N29" s="521" t="s">
        <v>90</v>
      </c>
      <c r="O29" s="521"/>
      <c r="P29" s="521" t="s">
        <v>13784</v>
      </c>
      <c r="Q29" s="70" t="s">
        <v>13694</v>
      </c>
      <c r="R29" s="1336" t="s">
        <v>13785</v>
      </c>
      <c r="S29" s="159"/>
      <c r="T29" s="562">
        <v>41393.0</v>
      </c>
      <c r="U29" s="1329">
        <v>13038.0</v>
      </c>
      <c r="V29" s="1343" t="s">
        <v>13793</v>
      </c>
      <c r="W29" s="91"/>
      <c r="X29" s="91"/>
      <c r="Y29" s="91"/>
      <c r="Z29" s="91"/>
    </row>
    <row r="30" ht="15.75" customHeight="1">
      <c r="A30" s="1339" t="s">
        <v>13787</v>
      </c>
      <c r="B30" s="521" t="s">
        <v>13788</v>
      </c>
      <c r="C30" s="649" t="s">
        <v>13789</v>
      </c>
      <c r="D30" s="521" t="s">
        <v>13790</v>
      </c>
      <c r="E30" s="20" t="s">
        <v>13794</v>
      </c>
      <c r="F30" s="1326">
        <v>1.0</v>
      </c>
      <c r="G30" s="1326">
        <v>320.0</v>
      </c>
      <c r="H30" s="693">
        <f t="shared" si="3"/>
        <v>320</v>
      </c>
      <c r="I30" s="431" t="s">
        <v>11999</v>
      </c>
      <c r="J30" s="431" t="s">
        <v>13792</v>
      </c>
      <c r="K30" s="735">
        <v>41400.0</v>
      </c>
      <c r="L30" s="521"/>
      <c r="M30" s="735">
        <v>41393.0</v>
      </c>
      <c r="N30" s="521" t="s">
        <v>90</v>
      </c>
      <c r="O30" s="521"/>
      <c r="P30" s="521" t="s">
        <v>13784</v>
      </c>
      <c r="Q30" s="70" t="s">
        <v>13694</v>
      </c>
      <c r="R30" s="1336" t="s">
        <v>13785</v>
      </c>
      <c r="S30" s="159"/>
      <c r="T30" s="562">
        <v>41393.0</v>
      </c>
      <c r="U30" s="1335"/>
      <c r="V30" s="1335"/>
      <c r="W30" s="91"/>
      <c r="X30" s="91"/>
      <c r="Y30" s="91"/>
      <c r="Z30" s="91"/>
    </row>
    <row r="31" ht="15.75" customHeight="1">
      <c r="A31" s="1339">
        <v>41388.0</v>
      </c>
      <c r="B31" s="521" t="s">
        <v>13774</v>
      </c>
      <c r="C31" s="649" t="s">
        <v>13795</v>
      </c>
      <c r="D31" s="521" t="s">
        <v>13796</v>
      </c>
      <c r="E31" s="20" t="s">
        <v>13797</v>
      </c>
      <c r="F31" s="1326">
        <v>10.0</v>
      </c>
      <c r="G31" s="1326">
        <v>199.5</v>
      </c>
      <c r="H31" s="693">
        <f t="shared" si="3"/>
        <v>1995</v>
      </c>
      <c r="I31" s="431" t="s">
        <v>11999</v>
      </c>
      <c r="J31" s="431" t="s">
        <v>12665</v>
      </c>
      <c r="K31" s="735">
        <v>41404.0</v>
      </c>
      <c r="L31" s="130" t="s">
        <v>233</v>
      </c>
      <c r="M31" s="521"/>
      <c r="N31" s="521" t="s">
        <v>90</v>
      </c>
      <c r="O31" s="521"/>
      <c r="P31" s="521" t="s">
        <v>13784</v>
      </c>
      <c r="Q31" s="70" t="s">
        <v>13694</v>
      </c>
      <c r="R31" s="1336" t="s">
        <v>13785</v>
      </c>
      <c r="S31" s="159"/>
      <c r="T31" s="1328">
        <v>41404.0</v>
      </c>
      <c r="U31" s="1329">
        <v>63446.0</v>
      </c>
      <c r="V31" s="1321" t="s">
        <v>13798</v>
      </c>
      <c r="W31" s="91"/>
      <c r="X31" s="91"/>
      <c r="Y31" s="91"/>
      <c r="Z31" s="91"/>
    </row>
    <row r="32" ht="15.75" customHeight="1">
      <c r="A32" s="1339">
        <v>41388.0</v>
      </c>
      <c r="B32" s="521" t="s">
        <v>13774</v>
      </c>
      <c r="C32" s="649" t="s">
        <v>13795</v>
      </c>
      <c r="D32" s="521" t="s">
        <v>13796</v>
      </c>
      <c r="E32" s="20" t="s">
        <v>3618</v>
      </c>
      <c r="F32" s="1326">
        <v>5.0</v>
      </c>
      <c r="G32" s="1326">
        <v>108.7</v>
      </c>
      <c r="H32" s="693">
        <f t="shared" si="3"/>
        <v>543.5</v>
      </c>
      <c r="I32" s="431" t="s">
        <v>11999</v>
      </c>
      <c r="J32" s="431" t="s">
        <v>12665</v>
      </c>
      <c r="K32" s="735">
        <v>41404.0</v>
      </c>
      <c r="L32" s="130" t="s">
        <v>233</v>
      </c>
      <c r="M32" s="521"/>
      <c r="N32" s="521" t="s">
        <v>90</v>
      </c>
      <c r="O32" s="521"/>
      <c r="P32" s="1326">
        <v>2.013052E7</v>
      </c>
      <c r="Q32" s="70" t="s">
        <v>13694</v>
      </c>
      <c r="R32" s="1336" t="s">
        <v>13799</v>
      </c>
      <c r="S32" s="159"/>
      <c r="T32" s="1335"/>
      <c r="U32" s="1335"/>
      <c r="V32" s="1333"/>
      <c r="W32" s="91"/>
      <c r="X32" s="91"/>
      <c r="Y32" s="91"/>
      <c r="Z32" s="91"/>
    </row>
    <row r="33" ht="15.75" customHeight="1">
      <c r="A33" s="1339">
        <v>41388.0</v>
      </c>
      <c r="B33" s="521" t="s">
        <v>13774</v>
      </c>
      <c r="C33" s="649" t="s">
        <v>13795</v>
      </c>
      <c r="D33" s="521" t="s">
        <v>13796</v>
      </c>
      <c r="E33" s="20" t="s">
        <v>13800</v>
      </c>
      <c r="F33" s="1326">
        <v>10.0</v>
      </c>
      <c r="G33" s="1326">
        <v>248.3</v>
      </c>
      <c r="H33" s="693">
        <f t="shared" si="3"/>
        <v>2483</v>
      </c>
      <c r="I33" s="431" t="s">
        <v>11999</v>
      </c>
      <c r="J33" s="431" t="s">
        <v>13801</v>
      </c>
      <c r="K33" s="735">
        <v>41411.0</v>
      </c>
      <c r="L33" s="130" t="s">
        <v>12646</v>
      </c>
      <c r="M33" s="735">
        <v>41411.0</v>
      </c>
      <c r="N33" s="521" t="s">
        <v>12709</v>
      </c>
      <c r="O33" s="521"/>
      <c r="P33" s="521" t="s">
        <v>13802</v>
      </c>
      <c r="Q33" s="521" t="s">
        <v>13803</v>
      </c>
      <c r="R33" s="1336"/>
      <c r="S33" s="1345">
        <v>66376.0</v>
      </c>
      <c r="T33" s="1354">
        <v>41410.0</v>
      </c>
      <c r="U33" s="695">
        <v>66377.0</v>
      </c>
      <c r="V33" s="1333"/>
      <c r="W33" s="91"/>
      <c r="X33" s="91"/>
      <c r="Y33" s="91"/>
      <c r="Z33" s="91"/>
    </row>
    <row r="34" ht="15.75" customHeight="1">
      <c r="A34" s="1339">
        <v>41388.0</v>
      </c>
      <c r="B34" s="521" t="s">
        <v>13774</v>
      </c>
      <c r="C34" s="649" t="s">
        <v>13795</v>
      </c>
      <c r="D34" s="521" t="s">
        <v>13796</v>
      </c>
      <c r="E34" s="20" t="s">
        <v>13804</v>
      </c>
      <c r="F34" s="1326">
        <v>10.0</v>
      </c>
      <c r="G34" s="1326">
        <v>0.0</v>
      </c>
      <c r="H34" s="693">
        <f t="shared" si="3"/>
        <v>0</v>
      </c>
      <c r="I34" s="431" t="s">
        <v>11999</v>
      </c>
      <c r="J34" s="431" t="s">
        <v>13801</v>
      </c>
      <c r="K34" s="735">
        <v>41411.0</v>
      </c>
      <c r="L34" s="130" t="s">
        <v>12646</v>
      </c>
      <c r="M34" s="735">
        <v>41396.0</v>
      </c>
      <c r="N34" s="521" t="s">
        <v>303</v>
      </c>
      <c r="O34" s="521"/>
      <c r="P34" s="1326">
        <v>2.013052E7</v>
      </c>
      <c r="Q34" s="20" t="s">
        <v>13751</v>
      </c>
      <c r="R34" s="1336"/>
      <c r="S34" s="1345">
        <v>4726.0</v>
      </c>
      <c r="T34" s="1346">
        <v>41396.0</v>
      </c>
      <c r="U34" s="695">
        <v>4725.0</v>
      </c>
      <c r="V34" s="1335"/>
      <c r="W34" s="91"/>
      <c r="X34" s="91"/>
      <c r="Y34" s="91"/>
      <c r="Z34" s="91"/>
    </row>
    <row r="35" ht="15.75" customHeight="1">
      <c r="A35" s="1339">
        <v>41388.0</v>
      </c>
      <c r="B35" s="521" t="s">
        <v>11239</v>
      </c>
      <c r="C35" s="649">
        <v>1.3000105E7</v>
      </c>
      <c r="D35" s="521" t="s">
        <v>13805</v>
      </c>
      <c r="E35" s="20" t="s">
        <v>4431</v>
      </c>
      <c r="F35" s="1326">
        <v>10.0</v>
      </c>
      <c r="G35" s="1326">
        <v>161.0</v>
      </c>
      <c r="H35" s="693">
        <f t="shared" ref="H35:H38" si="4">G35*F35</f>
        <v>1610</v>
      </c>
      <c r="I35" s="431" t="s">
        <v>8675</v>
      </c>
      <c r="J35" s="130" t="s">
        <v>13724</v>
      </c>
      <c r="K35" s="735">
        <v>41410.0</v>
      </c>
      <c r="L35" s="130" t="s">
        <v>12646</v>
      </c>
      <c r="M35" s="735">
        <v>41401.0</v>
      </c>
      <c r="N35" s="521" t="s">
        <v>90</v>
      </c>
      <c r="O35" s="521"/>
      <c r="P35" s="521" t="s">
        <v>13784</v>
      </c>
      <c r="Q35" s="70" t="s">
        <v>13694</v>
      </c>
      <c r="R35" s="1336" t="s">
        <v>13785</v>
      </c>
      <c r="S35" s="1355"/>
      <c r="T35" s="1346">
        <v>41401.0</v>
      </c>
      <c r="U35" s="695">
        <v>38410.0</v>
      </c>
      <c r="V35" s="503" t="s">
        <v>13806</v>
      </c>
      <c r="W35" s="91"/>
      <c r="X35" s="91"/>
      <c r="Y35" s="91"/>
      <c r="Z35" s="91"/>
    </row>
    <row r="36" ht="15.75" customHeight="1">
      <c r="A36" s="1339">
        <v>41390.0</v>
      </c>
      <c r="B36" s="521" t="s">
        <v>11239</v>
      </c>
      <c r="C36" s="649">
        <v>1.3000108E7</v>
      </c>
      <c r="D36" s="521" t="s">
        <v>13807</v>
      </c>
      <c r="E36" s="20" t="s">
        <v>13808</v>
      </c>
      <c r="F36" s="1326">
        <v>6.0</v>
      </c>
      <c r="G36" s="1326">
        <v>22.0</v>
      </c>
      <c r="H36" s="693">
        <f t="shared" si="4"/>
        <v>132</v>
      </c>
      <c r="I36" s="431" t="s">
        <v>8675</v>
      </c>
      <c r="J36" s="130" t="s">
        <v>13724</v>
      </c>
      <c r="K36" s="735">
        <v>41414.0</v>
      </c>
      <c r="L36" s="130" t="s">
        <v>12646</v>
      </c>
      <c r="M36" s="735">
        <v>41396.0</v>
      </c>
      <c r="N36" s="521" t="s">
        <v>303</v>
      </c>
      <c r="O36" s="521"/>
      <c r="P36" s="1326">
        <v>2.013052E7</v>
      </c>
      <c r="Q36" s="20" t="s">
        <v>13751</v>
      </c>
      <c r="R36" s="1327"/>
      <c r="S36" s="1350">
        <v>3801.0</v>
      </c>
      <c r="T36" s="1349">
        <v>41396.0</v>
      </c>
      <c r="U36" s="1353">
        <v>3801.0</v>
      </c>
      <c r="V36" s="1343" t="s">
        <v>13809</v>
      </c>
      <c r="W36" s="91"/>
      <c r="X36" s="91"/>
      <c r="Y36" s="91"/>
      <c r="Z36" s="91"/>
    </row>
    <row r="37" ht="15.75" customHeight="1">
      <c r="A37" s="1339">
        <v>41390.0</v>
      </c>
      <c r="B37" s="521" t="s">
        <v>11239</v>
      </c>
      <c r="C37" s="649">
        <v>1.3000108E7</v>
      </c>
      <c r="D37" s="521" t="s">
        <v>13807</v>
      </c>
      <c r="E37" s="20" t="s">
        <v>13810</v>
      </c>
      <c r="F37" s="1326">
        <v>2.0</v>
      </c>
      <c r="G37" s="1326">
        <v>22.0</v>
      </c>
      <c r="H37" s="693">
        <f t="shared" si="4"/>
        <v>44</v>
      </c>
      <c r="I37" s="431" t="s">
        <v>8675</v>
      </c>
      <c r="J37" s="130" t="s">
        <v>13724</v>
      </c>
      <c r="K37" s="735">
        <v>41414.0</v>
      </c>
      <c r="L37" s="130" t="s">
        <v>12646</v>
      </c>
      <c r="M37" s="735">
        <v>41396.0</v>
      </c>
      <c r="N37" s="521" t="s">
        <v>303</v>
      </c>
      <c r="O37" s="521"/>
      <c r="P37" s="1326">
        <v>2.013052E7</v>
      </c>
      <c r="Q37" s="20" t="s">
        <v>13751</v>
      </c>
      <c r="R37" s="1334"/>
      <c r="S37" s="1334"/>
      <c r="T37" s="1334"/>
      <c r="U37" s="1334"/>
      <c r="V37" s="1333"/>
      <c r="W37" s="91"/>
      <c r="X37" s="91"/>
      <c r="Y37" s="91"/>
      <c r="Z37" s="91"/>
    </row>
    <row r="38" ht="15.75" customHeight="1">
      <c r="A38" s="1339">
        <v>41390.0</v>
      </c>
      <c r="B38" s="521" t="s">
        <v>11239</v>
      </c>
      <c r="C38" s="649">
        <v>1.3000108E7</v>
      </c>
      <c r="D38" s="521" t="s">
        <v>13807</v>
      </c>
      <c r="E38" s="20" t="s">
        <v>13743</v>
      </c>
      <c r="F38" s="1326">
        <v>1.0</v>
      </c>
      <c r="G38" s="1326">
        <v>277.0</v>
      </c>
      <c r="H38" s="693">
        <f t="shared" si="4"/>
        <v>277</v>
      </c>
      <c r="I38" s="431" t="s">
        <v>8675</v>
      </c>
      <c r="J38" s="130" t="s">
        <v>13724</v>
      </c>
      <c r="K38" s="735">
        <v>41414.0</v>
      </c>
      <c r="L38" s="130" t="s">
        <v>12646</v>
      </c>
      <c r="M38" s="735">
        <v>41397.0</v>
      </c>
      <c r="N38" s="521" t="s">
        <v>90</v>
      </c>
      <c r="O38" s="521"/>
      <c r="P38" s="1326">
        <v>2.0130508E7</v>
      </c>
      <c r="Q38" s="70" t="s">
        <v>13694</v>
      </c>
      <c r="R38" s="1336" t="s">
        <v>13785</v>
      </c>
      <c r="S38" s="1355"/>
      <c r="T38" s="1349">
        <v>41397.0</v>
      </c>
      <c r="U38" s="1353">
        <v>23917.0</v>
      </c>
      <c r="V38" s="1333"/>
      <c r="W38" s="91"/>
      <c r="X38" s="91"/>
      <c r="Y38" s="91"/>
      <c r="Z38" s="91"/>
    </row>
    <row r="39" ht="15.75" customHeight="1">
      <c r="A39" s="1339">
        <v>41390.0</v>
      </c>
      <c r="B39" s="521" t="s">
        <v>11239</v>
      </c>
      <c r="C39" s="649">
        <v>1.3000108E7</v>
      </c>
      <c r="D39" s="521" t="s">
        <v>13807</v>
      </c>
      <c r="E39" s="20" t="s">
        <v>11216</v>
      </c>
      <c r="F39" s="1326">
        <v>6.0</v>
      </c>
      <c r="G39" s="1326">
        <v>99.0</v>
      </c>
      <c r="H39" s="693">
        <v>594.0</v>
      </c>
      <c r="I39" s="431" t="s">
        <v>8675</v>
      </c>
      <c r="J39" s="130" t="s">
        <v>13724</v>
      </c>
      <c r="K39" s="735">
        <v>41414.0</v>
      </c>
      <c r="L39" s="130" t="s">
        <v>12646</v>
      </c>
      <c r="M39" s="735">
        <v>41397.0</v>
      </c>
      <c r="N39" s="521" t="s">
        <v>90</v>
      </c>
      <c r="O39" s="521"/>
      <c r="P39" s="1326">
        <v>2.0130508E7</v>
      </c>
      <c r="Q39" s="70" t="s">
        <v>13694</v>
      </c>
      <c r="R39" s="1336" t="s">
        <v>13785</v>
      </c>
      <c r="S39" s="1355"/>
      <c r="T39" s="1334"/>
      <c r="U39" s="1334"/>
      <c r="V39" s="1335"/>
      <c r="W39" s="91"/>
      <c r="X39" s="91"/>
      <c r="Y39" s="91"/>
      <c r="Z39" s="91"/>
    </row>
    <row r="40" ht="15.75" customHeight="1">
      <c r="A40" s="1339">
        <v>41393.0</v>
      </c>
      <c r="B40" s="521" t="s">
        <v>11239</v>
      </c>
      <c r="C40" s="649">
        <v>1.3000117E7</v>
      </c>
      <c r="D40" s="521" t="s">
        <v>13811</v>
      </c>
      <c r="E40" s="20" t="s">
        <v>13812</v>
      </c>
      <c r="F40" s="1326">
        <v>16.0</v>
      </c>
      <c r="G40" s="1326">
        <v>86.0</v>
      </c>
      <c r="H40" s="693">
        <f t="shared" ref="H40:H56" si="5">G40*F40</f>
        <v>1376</v>
      </c>
      <c r="I40" s="431" t="s">
        <v>8675</v>
      </c>
      <c r="J40" s="130" t="s">
        <v>13724</v>
      </c>
      <c r="K40" s="735">
        <v>41410.0</v>
      </c>
      <c r="L40" s="130" t="s">
        <v>12646</v>
      </c>
      <c r="M40" s="735">
        <v>41397.0</v>
      </c>
      <c r="N40" s="521" t="s">
        <v>90</v>
      </c>
      <c r="O40" s="521"/>
      <c r="P40" s="1326">
        <v>2.0130508E7</v>
      </c>
      <c r="Q40" s="70" t="s">
        <v>13694</v>
      </c>
      <c r="R40" s="1336" t="s">
        <v>13785</v>
      </c>
      <c r="S40" s="159"/>
      <c r="T40" s="1341">
        <v>41397.0</v>
      </c>
      <c r="U40" s="695">
        <v>37993.0</v>
      </c>
      <c r="V40" s="1343" t="s">
        <v>13806</v>
      </c>
      <c r="W40" s="91"/>
      <c r="X40" s="91"/>
      <c r="Y40" s="91"/>
      <c r="Z40" s="91"/>
    </row>
    <row r="41" ht="15.75" customHeight="1">
      <c r="A41" s="1339">
        <v>41393.0</v>
      </c>
      <c r="B41" s="521" t="s">
        <v>11239</v>
      </c>
      <c r="C41" s="649">
        <v>1.3000117E7</v>
      </c>
      <c r="D41" s="521" t="s">
        <v>13811</v>
      </c>
      <c r="E41" s="20" t="s">
        <v>13813</v>
      </c>
      <c r="F41" s="1326">
        <v>16.0</v>
      </c>
      <c r="G41" s="1326">
        <v>27.0</v>
      </c>
      <c r="H41" s="693">
        <f t="shared" si="5"/>
        <v>432</v>
      </c>
      <c r="I41" s="431" t="s">
        <v>8675</v>
      </c>
      <c r="J41" s="130" t="s">
        <v>13724</v>
      </c>
      <c r="K41" s="735">
        <v>41410.0</v>
      </c>
      <c r="L41" s="130" t="s">
        <v>12646</v>
      </c>
      <c r="M41" s="735">
        <v>41396.0</v>
      </c>
      <c r="N41" s="521" t="s">
        <v>303</v>
      </c>
      <c r="O41" s="521"/>
      <c r="P41" s="1326">
        <v>2.013052E7</v>
      </c>
      <c r="Q41" s="20" t="s">
        <v>13751</v>
      </c>
      <c r="R41" s="1336"/>
      <c r="S41" s="1345">
        <v>9240.0</v>
      </c>
      <c r="T41" s="1346">
        <v>41396.0</v>
      </c>
      <c r="U41" s="695">
        <v>9240.0</v>
      </c>
      <c r="V41" s="1335"/>
      <c r="W41" s="91"/>
      <c r="X41" s="91"/>
      <c r="Y41" s="91"/>
      <c r="Z41" s="91"/>
    </row>
    <row r="42" ht="15.75" customHeight="1">
      <c r="A42" s="1339">
        <v>41394.0</v>
      </c>
      <c r="B42" s="521" t="s">
        <v>11239</v>
      </c>
      <c r="C42" s="649">
        <v>1.3000125E7</v>
      </c>
      <c r="D42" s="521" t="s">
        <v>13814</v>
      </c>
      <c r="E42" s="20" t="s">
        <v>13812</v>
      </c>
      <c r="F42" s="1326">
        <v>36.0</v>
      </c>
      <c r="G42" s="1326">
        <v>86.0</v>
      </c>
      <c r="H42" s="693">
        <f t="shared" si="5"/>
        <v>3096</v>
      </c>
      <c r="I42" s="431" t="s">
        <v>8675</v>
      </c>
      <c r="J42" s="130" t="s">
        <v>13815</v>
      </c>
      <c r="K42" s="735">
        <v>41424.0</v>
      </c>
      <c r="L42" s="130" t="s">
        <v>233</v>
      </c>
      <c r="M42" s="521"/>
      <c r="N42" s="521" t="s">
        <v>90</v>
      </c>
      <c r="O42" s="521"/>
      <c r="P42" s="1346">
        <v>41428.0</v>
      </c>
      <c r="Q42" s="70" t="s">
        <v>13694</v>
      </c>
      <c r="R42" s="1336" t="s">
        <v>13816</v>
      </c>
      <c r="S42" s="1355"/>
      <c r="T42" s="1354">
        <v>41424.0</v>
      </c>
      <c r="U42" s="695">
        <v>86076.0</v>
      </c>
      <c r="V42" s="1343" t="s">
        <v>13817</v>
      </c>
      <c r="W42" s="91"/>
      <c r="X42" s="91"/>
      <c r="Y42" s="91"/>
      <c r="Z42" s="91"/>
    </row>
    <row r="43" ht="15.75" customHeight="1">
      <c r="A43" s="1339">
        <v>41394.0</v>
      </c>
      <c r="B43" s="521" t="s">
        <v>11239</v>
      </c>
      <c r="C43" s="649">
        <v>1.3000125E7</v>
      </c>
      <c r="D43" s="521" t="s">
        <v>13814</v>
      </c>
      <c r="E43" s="20" t="s">
        <v>13813</v>
      </c>
      <c r="F43" s="1326">
        <v>36.0</v>
      </c>
      <c r="G43" s="1326">
        <v>27.0</v>
      </c>
      <c r="H43" s="693">
        <f t="shared" si="5"/>
        <v>972</v>
      </c>
      <c r="I43" s="431" t="s">
        <v>8675</v>
      </c>
      <c r="J43" s="130" t="s">
        <v>13815</v>
      </c>
      <c r="K43" s="735">
        <v>41424.0</v>
      </c>
      <c r="L43" s="130" t="s">
        <v>12646</v>
      </c>
      <c r="M43" s="735">
        <v>41422.0</v>
      </c>
      <c r="N43" s="521" t="s">
        <v>303</v>
      </c>
      <c r="O43" s="521"/>
      <c r="P43" s="1346">
        <v>41428.0</v>
      </c>
      <c r="Q43" s="20" t="s">
        <v>13751</v>
      </c>
      <c r="R43" s="1336"/>
      <c r="S43" s="1345">
        <v>20790.0</v>
      </c>
      <c r="T43" s="1354">
        <v>41421.0</v>
      </c>
      <c r="U43" s="695">
        <v>20790.0</v>
      </c>
      <c r="V43" s="1333"/>
      <c r="W43" s="91"/>
      <c r="X43" s="91"/>
      <c r="Y43" s="91"/>
      <c r="Z43" s="91"/>
    </row>
    <row r="44" ht="15.75" customHeight="1">
      <c r="A44" s="1339">
        <v>41401.0</v>
      </c>
      <c r="B44" s="521" t="s">
        <v>11239</v>
      </c>
      <c r="C44" s="649">
        <v>1.3000133E7</v>
      </c>
      <c r="D44" s="521" t="s">
        <v>13818</v>
      </c>
      <c r="E44" s="20" t="s">
        <v>13812</v>
      </c>
      <c r="F44" s="1326">
        <v>2.0</v>
      </c>
      <c r="G44" s="1326">
        <v>86.0</v>
      </c>
      <c r="H44" s="693">
        <f t="shared" si="5"/>
        <v>172</v>
      </c>
      <c r="I44" s="431" t="s">
        <v>8675</v>
      </c>
      <c r="J44" s="130" t="s">
        <v>13815</v>
      </c>
      <c r="K44" s="735">
        <v>41424.0</v>
      </c>
      <c r="L44" s="130" t="s">
        <v>233</v>
      </c>
      <c r="M44" s="521"/>
      <c r="N44" s="521" t="s">
        <v>90</v>
      </c>
      <c r="O44" s="521"/>
      <c r="P44" s="1346">
        <v>41428.0</v>
      </c>
      <c r="Q44" s="70" t="s">
        <v>13694</v>
      </c>
      <c r="R44" s="1336" t="s">
        <v>13816</v>
      </c>
      <c r="S44" s="1355"/>
      <c r="T44" s="1354">
        <v>41424.0</v>
      </c>
      <c r="U44" s="695">
        <v>4782.0</v>
      </c>
      <c r="V44" s="1333"/>
      <c r="W44" s="91"/>
      <c r="X44" s="91"/>
      <c r="Y44" s="91"/>
      <c r="Z44" s="91"/>
    </row>
    <row r="45" ht="15.75" customHeight="1">
      <c r="A45" s="1339">
        <v>41401.0</v>
      </c>
      <c r="B45" s="521" t="s">
        <v>11239</v>
      </c>
      <c r="C45" s="649">
        <v>1.3000133E7</v>
      </c>
      <c r="D45" s="521" t="s">
        <v>13818</v>
      </c>
      <c r="E45" s="20" t="s">
        <v>13813</v>
      </c>
      <c r="F45" s="1326">
        <v>2.0</v>
      </c>
      <c r="G45" s="1326">
        <v>27.0</v>
      </c>
      <c r="H45" s="693">
        <f t="shared" si="5"/>
        <v>54</v>
      </c>
      <c r="I45" s="431" t="s">
        <v>8675</v>
      </c>
      <c r="J45" s="130" t="s">
        <v>13815</v>
      </c>
      <c r="K45" s="735">
        <v>41424.0</v>
      </c>
      <c r="L45" s="130" t="s">
        <v>12646</v>
      </c>
      <c r="M45" s="735">
        <v>41422.0</v>
      </c>
      <c r="N45" s="521" t="s">
        <v>303</v>
      </c>
      <c r="O45" s="521"/>
      <c r="P45" s="1346">
        <v>41428.0</v>
      </c>
      <c r="Q45" s="20" t="s">
        <v>13751</v>
      </c>
      <c r="R45" s="1336"/>
      <c r="S45" s="1345">
        <v>1155.0</v>
      </c>
      <c r="T45" s="1346">
        <v>41421.0</v>
      </c>
      <c r="U45" s="695">
        <v>1155.0</v>
      </c>
      <c r="V45" s="1335"/>
      <c r="W45" s="91"/>
      <c r="X45" s="91"/>
      <c r="Y45" s="91"/>
      <c r="Z45" s="91"/>
    </row>
    <row r="46" ht="15.75" customHeight="1">
      <c r="A46" s="1339">
        <v>41401.0</v>
      </c>
      <c r="B46" s="521" t="s">
        <v>13774</v>
      </c>
      <c r="C46" s="649">
        <v>1.30507001E8</v>
      </c>
      <c r="D46" s="521" t="s">
        <v>13819</v>
      </c>
      <c r="E46" s="20" t="s">
        <v>13820</v>
      </c>
      <c r="F46" s="1326">
        <v>18.0</v>
      </c>
      <c r="G46" s="1326">
        <v>73.5</v>
      </c>
      <c r="H46" s="693">
        <f t="shared" si="5"/>
        <v>1323</v>
      </c>
      <c r="I46" s="431" t="s">
        <v>11999</v>
      </c>
      <c r="J46" s="431" t="s">
        <v>12665</v>
      </c>
      <c r="K46" s="735">
        <v>41404.0</v>
      </c>
      <c r="L46" s="130" t="s">
        <v>233</v>
      </c>
      <c r="M46" s="521"/>
      <c r="N46" s="521" t="s">
        <v>90</v>
      </c>
      <c r="O46" s="521"/>
      <c r="P46" s="1346">
        <v>41414.0</v>
      </c>
      <c r="Q46" s="70" t="s">
        <v>13694</v>
      </c>
      <c r="R46" s="1336" t="s">
        <v>13799</v>
      </c>
      <c r="S46" s="159"/>
      <c r="T46" s="562">
        <v>41404.0</v>
      </c>
      <c r="U46" s="728">
        <v>35828.0</v>
      </c>
      <c r="V46" s="66" t="s">
        <v>13798</v>
      </c>
      <c r="W46" s="91"/>
      <c r="X46" s="91"/>
      <c r="Y46" s="91"/>
      <c r="Z46" s="91"/>
    </row>
    <row r="47" ht="15.75" customHeight="1">
      <c r="A47" s="1339">
        <v>41401.0</v>
      </c>
      <c r="B47" s="521" t="s">
        <v>13821</v>
      </c>
      <c r="C47" s="649" t="s">
        <v>13822</v>
      </c>
      <c r="D47" s="521" t="s">
        <v>13823</v>
      </c>
      <c r="E47" s="20" t="s">
        <v>4431</v>
      </c>
      <c r="F47" s="1326">
        <v>1.0</v>
      </c>
      <c r="G47" s="1326">
        <v>141.2</v>
      </c>
      <c r="H47" s="693">
        <f t="shared" si="5"/>
        <v>141.2</v>
      </c>
      <c r="I47" s="431" t="s">
        <v>87</v>
      </c>
      <c r="J47" s="431" t="s">
        <v>13824</v>
      </c>
      <c r="K47" s="735">
        <v>41411.0</v>
      </c>
      <c r="L47" s="130" t="s">
        <v>12646</v>
      </c>
      <c r="M47" s="521"/>
      <c r="N47" s="521" t="s">
        <v>90</v>
      </c>
      <c r="O47" s="521"/>
      <c r="P47" s="1346">
        <v>41414.0</v>
      </c>
      <c r="Q47" s="70" t="s">
        <v>13694</v>
      </c>
      <c r="R47" s="1336" t="s">
        <v>13799</v>
      </c>
      <c r="S47" s="159"/>
      <c r="T47" s="1341">
        <v>41410.0</v>
      </c>
      <c r="U47" s="728">
        <v>3824.0</v>
      </c>
      <c r="V47" s="503" t="s">
        <v>13825</v>
      </c>
      <c r="W47" s="91"/>
      <c r="X47" s="91"/>
      <c r="Y47" s="91"/>
      <c r="Z47" s="91"/>
    </row>
    <row r="48" ht="15.75" customHeight="1">
      <c r="A48" s="1339">
        <v>41409.0</v>
      </c>
      <c r="B48" s="521" t="s">
        <v>13774</v>
      </c>
      <c r="C48" s="649">
        <v>1.30515003E8</v>
      </c>
      <c r="D48" s="521" t="s">
        <v>13826</v>
      </c>
      <c r="E48" s="20" t="s">
        <v>12780</v>
      </c>
      <c r="F48" s="1326">
        <v>3.0</v>
      </c>
      <c r="G48" s="1326">
        <v>1013.25</v>
      </c>
      <c r="H48" s="693">
        <f t="shared" si="5"/>
        <v>3039.75</v>
      </c>
      <c r="I48" s="431" t="s">
        <v>11999</v>
      </c>
      <c r="J48" s="130" t="s">
        <v>12665</v>
      </c>
      <c r="K48" s="735">
        <v>41417.0</v>
      </c>
      <c r="L48" s="130" t="s">
        <v>233</v>
      </c>
      <c r="M48" s="521"/>
      <c r="N48" s="521" t="s">
        <v>90</v>
      </c>
      <c r="O48" s="521"/>
      <c r="P48" s="1346">
        <v>41428.0</v>
      </c>
      <c r="Q48" s="70" t="s">
        <v>13694</v>
      </c>
      <c r="R48" s="1336" t="s">
        <v>13816</v>
      </c>
      <c r="S48" s="159"/>
      <c r="T48" s="1356">
        <v>41417.0</v>
      </c>
      <c r="U48" s="1329">
        <v>111768.0</v>
      </c>
      <c r="V48" s="1321" t="s">
        <v>13827</v>
      </c>
      <c r="W48" s="91"/>
      <c r="X48" s="91"/>
      <c r="Y48" s="91"/>
      <c r="Z48" s="91"/>
    </row>
    <row r="49" ht="15.75" customHeight="1">
      <c r="A49" s="1339">
        <v>41409.0</v>
      </c>
      <c r="B49" s="521" t="s">
        <v>13774</v>
      </c>
      <c r="C49" s="649">
        <v>1.30515003E8</v>
      </c>
      <c r="D49" s="521" t="s">
        <v>13826</v>
      </c>
      <c r="E49" s="20" t="s">
        <v>13828</v>
      </c>
      <c r="F49" s="1326">
        <v>1.0</v>
      </c>
      <c r="G49" s="1326">
        <v>992.25</v>
      </c>
      <c r="H49" s="693">
        <f t="shared" si="5"/>
        <v>992.25</v>
      </c>
      <c r="I49" s="431" t="s">
        <v>11999</v>
      </c>
      <c r="J49" s="130" t="s">
        <v>12665</v>
      </c>
      <c r="K49" s="735">
        <v>41417.0</v>
      </c>
      <c r="L49" s="130" t="s">
        <v>233</v>
      </c>
      <c r="M49" s="521"/>
      <c r="N49" s="521" t="s">
        <v>90</v>
      </c>
      <c r="O49" s="521"/>
      <c r="P49" s="1346">
        <v>41414.0</v>
      </c>
      <c r="Q49" s="70" t="s">
        <v>13694</v>
      </c>
      <c r="R49" s="1336" t="s">
        <v>13799</v>
      </c>
      <c r="S49" s="159"/>
      <c r="T49" s="1335"/>
      <c r="U49" s="1335"/>
      <c r="V49" s="1335"/>
      <c r="W49" s="91"/>
      <c r="X49" s="91"/>
      <c r="Y49" s="91"/>
      <c r="Z49" s="91"/>
    </row>
    <row r="50" ht="15.75" customHeight="1">
      <c r="A50" s="1325">
        <v>41415.0</v>
      </c>
      <c r="B50" s="20" t="s">
        <v>13774</v>
      </c>
      <c r="C50" s="70">
        <v>1.30520003E8</v>
      </c>
      <c r="D50" s="20" t="s">
        <v>13829</v>
      </c>
      <c r="E50" s="20" t="s">
        <v>13830</v>
      </c>
      <c r="F50" s="693">
        <v>1.0</v>
      </c>
      <c r="G50" s="693">
        <v>441.0</v>
      </c>
      <c r="H50" s="693">
        <f t="shared" si="5"/>
        <v>441</v>
      </c>
      <c r="I50" s="431" t="s">
        <v>11999</v>
      </c>
      <c r="J50" s="431" t="s">
        <v>12665</v>
      </c>
      <c r="K50" s="735">
        <v>41424.0</v>
      </c>
      <c r="L50" s="431" t="s">
        <v>233</v>
      </c>
      <c r="M50" s="521"/>
      <c r="N50" s="20" t="s">
        <v>90</v>
      </c>
      <c r="O50" s="521"/>
      <c r="P50" s="1346">
        <v>41428.0</v>
      </c>
      <c r="Q50" s="70" t="s">
        <v>13694</v>
      </c>
      <c r="R50" s="1336" t="s">
        <v>13816</v>
      </c>
      <c r="S50" s="159"/>
      <c r="T50" s="562">
        <v>41424.0</v>
      </c>
      <c r="U50" s="728">
        <v>12057.0</v>
      </c>
      <c r="V50" s="503" t="s">
        <v>13831</v>
      </c>
      <c r="W50" s="91"/>
      <c r="X50" s="91"/>
      <c r="Y50" s="91"/>
      <c r="Z50" s="91"/>
    </row>
    <row r="51" ht="15.75" customHeight="1">
      <c r="A51" s="1339">
        <v>41416.0</v>
      </c>
      <c r="B51" s="521" t="s">
        <v>1204</v>
      </c>
      <c r="C51" s="649" t="s">
        <v>13832</v>
      </c>
      <c r="D51" s="521" t="s">
        <v>13833</v>
      </c>
      <c r="E51" s="20" t="s">
        <v>12654</v>
      </c>
      <c r="F51" s="1326">
        <v>100.0</v>
      </c>
      <c r="G51" s="1326">
        <v>37.0</v>
      </c>
      <c r="H51" s="693">
        <f t="shared" si="5"/>
        <v>3700</v>
      </c>
      <c r="I51" s="431" t="s">
        <v>87</v>
      </c>
      <c r="J51" s="431" t="s">
        <v>13701</v>
      </c>
      <c r="K51" s="735">
        <v>41491.0</v>
      </c>
      <c r="L51" s="130" t="s">
        <v>12646</v>
      </c>
      <c r="M51" s="735">
        <v>41484.0</v>
      </c>
      <c r="N51" s="521" t="s">
        <v>12656</v>
      </c>
      <c r="O51" s="1326">
        <v>1020522.0</v>
      </c>
      <c r="P51" s="1341">
        <v>41479.0</v>
      </c>
      <c r="Q51" s="70" t="s">
        <v>2510</v>
      </c>
      <c r="R51" s="1336"/>
      <c r="S51" s="1326">
        <v>105000.0</v>
      </c>
      <c r="T51" s="1354">
        <v>41459.0</v>
      </c>
      <c r="U51" s="695">
        <v>105000.0</v>
      </c>
      <c r="V51" s="70" t="s">
        <v>13834</v>
      </c>
      <c r="W51" s="91"/>
      <c r="X51" s="91"/>
      <c r="Y51" s="91"/>
      <c r="Z51" s="91"/>
    </row>
    <row r="52" ht="15.75" customHeight="1">
      <c r="A52" s="1339">
        <v>41416.0</v>
      </c>
      <c r="B52" s="521" t="s">
        <v>1204</v>
      </c>
      <c r="C52" s="649" t="s">
        <v>13832</v>
      </c>
      <c r="D52" s="521" t="s">
        <v>13835</v>
      </c>
      <c r="E52" s="20" t="s">
        <v>12654</v>
      </c>
      <c r="F52" s="1326">
        <v>100.0</v>
      </c>
      <c r="G52" s="1326">
        <v>37.0</v>
      </c>
      <c r="H52" s="693">
        <f t="shared" si="5"/>
        <v>3700</v>
      </c>
      <c r="I52" s="431" t="s">
        <v>87</v>
      </c>
      <c r="J52" s="431" t="s">
        <v>13701</v>
      </c>
      <c r="K52" s="735">
        <v>41551.0</v>
      </c>
      <c r="L52" s="130" t="s">
        <v>12646</v>
      </c>
      <c r="M52" s="1213">
        <v>41550.0</v>
      </c>
      <c r="N52" s="521" t="s">
        <v>12656</v>
      </c>
      <c r="O52" s="521"/>
      <c r="P52" s="1354">
        <v>41549.0</v>
      </c>
      <c r="Q52" s="70" t="s">
        <v>2510</v>
      </c>
      <c r="R52" s="1336"/>
      <c r="S52" s="728">
        <v>105000.0</v>
      </c>
      <c r="T52" s="1341">
        <v>41549.0</v>
      </c>
      <c r="U52" s="728">
        <v>105000.0</v>
      </c>
      <c r="V52" s="66" t="s">
        <v>13836</v>
      </c>
      <c r="W52" s="91"/>
      <c r="X52" s="91"/>
      <c r="Y52" s="91"/>
      <c r="Z52" s="91"/>
    </row>
    <row r="53" ht="15.75" customHeight="1">
      <c r="A53" s="1339">
        <v>41411.0</v>
      </c>
      <c r="B53" s="521" t="s">
        <v>13774</v>
      </c>
      <c r="C53" s="649">
        <v>1.30527001E8</v>
      </c>
      <c r="D53" s="521" t="s">
        <v>13837</v>
      </c>
      <c r="E53" s="20" t="s">
        <v>13838</v>
      </c>
      <c r="F53" s="1326">
        <v>1.0</v>
      </c>
      <c r="G53" s="1326">
        <v>1047.9</v>
      </c>
      <c r="H53" s="693">
        <f t="shared" si="5"/>
        <v>1047.9</v>
      </c>
      <c r="I53" s="431" t="s">
        <v>11999</v>
      </c>
      <c r="J53" s="130" t="s">
        <v>233</v>
      </c>
      <c r="K53" s="735">
        <v>41431.0</v>
      </c>
      <c r="L53" s="130" t="s">
        <v>233</v>
      </c>
      <c r="M53" s="521"/>
      <c r="N53" s="521" t="s">
        <v>233</v>
      </c>
      <c r="O53" s="521"/>
      <c r="P53" s="1346">
        <v>41428.0</v>
      </c>
      <c r="Q53" s="70" t="s">
        <v>13694</v>
      </c>
      <c r="R53" s="1336" t="s">
        <v>13816</v>
      </c>
      <c r="S53" s="159"/>
      <c r="T53" s="562">
        <v>41431.0</v>
      </c>
      <c r="U53" s="728">
        <v>29754.0</v>
      </c>
      <c r="V53" s="503" t="s">
        <v>13831</v>
      </c>
      <c r="W53" s="91"/>
      <c r="X53" s="91"/>
      <c r="Y53" s="91"/>
      <c r="Z53" s="91"/>
    </row>
    <row r="54" ht="15.75" customHeight="1">
      <c r="A54" s="1339">
        <v>41365.0</v>
      </c>
      <c r="B54" s="521" t="s">
        <v>13839</v>
      </c>
      <c r="C54" s="521"/>
      <c r="D54" s="521" t="s">
        <v>13840</v>
      </c>
      <c r="E54" s="20" t="s">
        <v>13841</v>
      </c>
      <c r="F54" s="1326">
        <v>2.0</v>
      </c>
      <c r="G54" s="1326">
        <v>125.0</v>
      </c>
      <c r="H54" s="693">
        <f t="shared" si="5"/>
        <v>250</v>
      </c>
      <c r="I54" s="431" t="s">
        <v>171</v>
      </c>
      <c r="J54" s="130" t="s">
        <v>13842</v>
      </c>
      <c r="K54" s="735">
        <v>41375.0</v>
      </c>
      <c r="L54" s="431" t="s">
        <v>12646</v>
      </c>
      <c r="M54" s="521"/>
      <c r="N54" s="521" t="s">
        <v>13843</v>
      </c>
      <c r="O54" s="521"/>
      <c r="P54" s="521" t="s">
        <v>13844</v>
      </c>
      <c r="Q54" s="20" t="s">
        <v>13845</v>
      </c>
      <c r="R54" s="1336"/>
      <c r="S54" s="1345">
        <v>6615.0</v>
      </c>
      <c r="T54" s="1346">
        <v>41372.0</v>
      </c>
      <c r="U54" s="1345">
        <v>6615.0</v>
      </c>
      <c r="V54" s="1343" t="s">
        <v>13846</v>
      </c>
      <c r="W54" s="91"/>
      <c r="X54" s="91"/>
      <c r="Y54" s="91"/>
      <c r="Z54" s="91"/>
    </row>
    <row r="55" ht="15.75" customHeight="1">
      <c r="A55" s="1339">
        <v>41365.0</v>
      </c>
      <c r="B55" s="521" t="s">
        <v>13839</v>
      </c>
      <c r="C55" s="521"/>
      <c r="D55" s="521" t="s">
        <v>13840</v>
      </c>
      <c r="E55" s="20" t="s">
        <v>13847</v>
      </c>
      <c r="F55" s="1326">
        <v>1.0</v>
      </c>
      <c r="G55" s="1326">
        <v>125.0</v>
      </c>
      <c r="H55" s="693">
        <f t="shared" si="5"/>
        <v>125</v>
      </c>
      <c r="I55" s="431" t="s">
        <v>171</v>
      </c>
      <c r="J55" s="130" t="s">
        <v>13842</v>
      </c>
      <c r="K55" s="735">
        <v>41375.0</v>
      </c>
      <c r="L55" s="431" t="s">
        <v>12646</v>
      </c>
      <c r="M55" s="521"/>
      <c r="N55" s="521" t="s">
        <v>13848</v>
      </c>
      <c r="O55" s="521"/>
      <c r="P55" s="521" t="s">
        <v>13844</v>
      </c>
      <c r="Q55" s="20" t="s">
        <v>13849</v>
      </c>
      <c r="R55" s="1336" t="s">
        <v>13850</v>
      </c>
      <c r="S55" s="159"/>
      <c r="T55" s="1341">
        <v>41370.0</v>
      </c>
      <c r="U55" s="521"/>
      <c r="V55" s="1335"/>
      <c r="W55" s="91"/>
      <c r="X55" s="91"/>
      <c r="Y55" s="91"/>
      <c r="Z55" s="91"/>
    </row>
    <row r="56" ht="15.75" customHeight="1">
      <c r="A56" s="1339">
        <v>41424.0</v>
      </c>
      <c r="B56" s="521" t="s">
        <v>13839</v>
      </c>
      <c r="C56" s="521"/>
      <c r="D56" s="521" t="s">
        <v>13851</v>
      </c>
      <c r="E56" s="503" t="s">
        <v>13852</v>
      </c>
      <c r="F56" s="1326">
        <v>1.0</v>
      </c>
      <c r="G56" s="1326">
        <v>1122.0</v>
      </c>
      <c r="H56" s="693">
        <f t="shared" si="5"/>
        <v>1122</v>
      </c>
      <c r="I56" s="431" t="s">
        <v>171</v>
      </c>
      <c r="J56" s="130" t="s">
        <v>13842</v>
      </c>
      <c r="K56" s="1213">
        <v>41443.0</v>
      </c>
      <c r="L56" s="431" t="s">
        <v>12646</v>
      </c>
      <c r="M56" s="1213">
        <v>41440.0</v>
      </c>
      <c r="N56" s="521" t="s">
        <v>13853</v>
      </c>
      <c r="O56" s="521"/>
      <c r="P56" s="1346">
        <v>41438.0</v>
      </c>
      <c r="Q56" s="521" t="s">
        <v>13854</v>
      </c>
      <c r="R56" s="1336"/>
      <c r="S56" s="1340">
        <v>29900.0</v>
      </c>
      <c r="T56" s="1341">
        <v>41439.0</v>
      </c>
      <c r="U56" s="1340">
        <v>29900.0</v>
      </c>
      <c r="V56" s="503" t="s">
        <v>13855</v>
      </c>
      <c r="W56" s="91"/>
      <c r="X56" s="91"/>
      <c r="Y56" s="91"/>
      <c r="Z56" s="91"/>
    </row>
    <row r="57" ht="15.75" customHeight="1">
      <c r="A57" s="1357" t="s">
        <v>13856</v>
      </c>
      <c r="B57" s="1218"/>
      <c r="C57" s="1218"/>
      <c r="D57" s="66"/>
      <c r="E57" s="1358"/>
      <c r="F57" s="1358"/>
      <c r="G57" s="1358"/>
      <c r="H57" s="1358"/>
      <c r="I57" s="1358"/>
      <c r="J57" s="1358"/>
      <c r="K57" s="1358"/>
      <c r="L57" s="1358"/>
      <c r="M57" s="1358"/>
      <c r="N57" s="1358"/>
      <c r="O57" s="1358"/>
      <c r="P57" s="1358"/>
      <c r="Q57" s="1358"/>
      <c r="R57" s="1359"/>
      <c r="S57" s="1360"/>
      <c r="T57" s="1358"/>
      <c r="U57" s="1358"/>
      <c r="V57" s="1358"/>
      <c r="W57" s="91"/>
      <c r="X57" s="91"/>
      <c r="Y57" s="91"/>
      <c r="Z57" s="91"/>
    </row>
    <row r="58" ht="15.75" customHeight="1">
      <c r="A58" s="1361">
        <v>41428.0</v>
      </c>
      <c r="B58" s="1362" t="s">
        <v>13714</v>
      </c>
      <c r="C58" s="1362" t="s">
        <v>13857</v>
      </c>
      <c r="D58" s="1362" t="s">
        <v>13858</v>
      </c>
      <c r="E58" s="1362" t="s">
        <v>12342</v>
      </c>
      <c r="F58" s="136">
        <v>52.0</v>
      </c>
      <c r="G58" s="136">
        <v>88.2</v>
      </c>
      <c r="H58" s="721">
        <f t="shared" ref="H58:H82" si="6">G58*F58</f>
        <v>4586.4</v>
      </c>
      <c r="I58" s="348" t="s">
        <v>13722</v>
      </c>
      <c r="J58" s="348" t="s">
        <v>12665</v>
      </c>
      <c r="K58" s="213">
        <v>41467.0</v>
      </c>
      <c r="L58" s="137" t="s">
        <v>233</v>
      </c>
      <c r="M58" s="66"/>
      <c r="N58" s="66" t="s">
        <v>233</v>
      </c>
      <c r="O58" s="136">
        <v>2.0130600092935E13</v>
      </c>
      <c r="P58" s="1341">
        <v>41465.0</v>
      </c>
      <c r="Q58" s="66" t="s">
        <v>13859</v>
      </c>
      <c r="R58" s="1363" t="s">
        <v>13860</v>
      </c>
      <c r="S58" s="159"/>
      <c r="T58" s="562">
        <v>41455.0</v>
      </c>
      <c r="U58" s="728">
        <v>119534.0</v>
      </c>
      <c r="V58" s="1321" t="s">
        <v>13861</v>
      </c>
      <c r="W58" s="91"/>
      <c r="X58" s="91"/>
      <c r="Y58" s="91"/>
      <c r="Z58" s="91"/>
    </row>
    <row r="59" ht="15.75" customHeight="1">
      <c r="A59" s="1361">
        <v>41428.0</v>
      </c>
      <c r="B59" s="1362" t="s">
        <v>13714</v>
      </c>
      <c r="C59" s="1362" t="s">
        <v>13857</v>
      </c>
      <c r="D59" s="1362" t="s">
        <v>13858</v>
      </c>
      <c r="E59" s="1362" t="s">
        <v>13862</v>
      </c>
      <c r="F59" s="136">
        <v>52.0</v>
      </c>
      <c r="G59" s="136">
        <v>10.5</v>
      </c>
      <c r="H59" s="721">
        <f t="shared" si="6"/>
        <v>546</v>
      </c>
      <c r="I59" s="348" t="s">
        <v>13722</v>
      </c>
      <c r="J59" s="348" t="s">
        <v>13863</v>
      </c>
      <c r="K59" s="213">
        <v>41465.0</v>
      </c>
      <c r="L59" s="348" t="s">
        <v>12646</v>
      </c>
      <c r="M59" s="1364">
        <v>41463.0</v>
      </c>
      <c r="N59" s="66" t="s">
        <v>303</v>
      </c>
      <c r="O59" s="66"/>
      <c r="P59" s="1341">
        <v>41479.0</v>
      </c>
      <c r="Q59" s="20" t="s">
        <v>13751</v>
      </c>
      <c r="R59" s="1363"/>
      <c r="S59" s="136">
        <v>9828.0</v>
      </c>
      <c r="T59" s="1341">
        <v>41459.0</v>
      </c>
      <c r="U59" s="1340">
        <v>9828.0</v>
      </c>
      <c r="V59" s="1335"/>
      <c r="W59" s="91"/>
      <c r="X59" s="91"/>
      <c r="Y59" s="91"/>
      <c r="Z59" s="91"/>
    </row>
    <row r="60" ht="15.75" customHeight="1">
      <c r="A60" s="1361">
        <v>41428.0</v>
      </c>
      <c r="B60" s="1362" t="s">
        <v>13714</v>
      </c>
      <c r="C60" s="1362" t="s">
        <v>13857</v>
      </c>
      <c r="D60" s="1362" t="s">
        <v>13864</v>
      </c>
      <c r="E60" s="1362" t="s">
        <v>12342</v>
      </c>
      <c r="F60" s="136">
        <v>48.0</v>
      </c>
      <c r="G60" s="136">
        <v>88.2</v>
      </c>
      <c r="H60" s="721">
        <f t="shared" si="6"/>
        <v>4233.6</v>
      </c>
      <c r="I60" s="348" t="s">
        <v>13722</v>
      </c>
      <c r="J60" s="348" t="s">
        <v>12665</v>
      </c>
      <c r="K60" s="213">
        <v>41480.0</v>
      </c>
      <c r="L60" s="137" t="s">
        <v>233</v>
      </c>
      <c r="M60" s="66"/>
      <c r="N60" s="66" t="s">
        <v>233</v>
      </c>
      <c r="O60" s="136">
        <v>2.0130600092935E13</v>
      </c>
      <c r="P60" s="1341">
        <v>41479.0</v>
      </c>
      <c r="Q60" s="66" t="s">
        <v>13859</v>
      </c>
      <c r="R60" s="1363" t="s">
        <v>13865</v>
      </c>
      <c r="S60" s="159"/>
      <c r="T60" s="562">
        <v>41480.0</v>
      </c>
      <c r="U60" s="728">
        <v>109898.0</v>
      </c>
      <c r="V60" s="1321" t="s">
        <v>13866</v>
      </c>
      <c r="W60" s="91"/>
      <c r="X60" s="91"/>
      <c r="Y60" s="91"/>
      <c r="Z60" s="91"/>
    </row>
    <row r="61" ht="15.75" customHeight="1">
      <c r="A61" s="1361">
        <v>41428.0</v>
      </c>
      <c r="B61" s="1362" t="s">
        <v>13714</v>
      </c>
      <c r="C61" s="1362" t="s">
        <v>13857</v>
      </c>
      <c r="D61" s="1362" t="s">
        <v>13864</v>
      </c>
      <c r="E61" s="1362" t="s">
        <v>13862</v>
      </c>
      <c r="F61" s="136">
        <v>58.0</v>
      </c>
      <c r="G61" s="136">
        <v>10.5</v>
      </c>
      <c r="H61" s="721">
        <f t="shared" si="6"/>
        <v>609</v>
      </c>
      <c r="I61" s="348" t="s">
        <v>13722</v>
      </c>
      <c r="J61" s="348" t="s">
        <v>13863</v>
      </c>
      <c r="K61" s="213">
        <v>41479.0</v>
      </c>
      <c r="L61" s="348" t="s">
        <v>12646</v>
      </c>
      <c r="M61" s="213">
        <v>41473.0</v>
      </c>
      <c r="N61" s="66" t="s">
        <v>303</v>
      </c>
      <c r="O61" s="66"/>
      <c r="P61" s="1341">
        <v>41479.0</v>
      </c>
      <c r="Q61" s="20" t="s">
        <v>13751</v>
      </c>
      <c r="R61" s="1363"/>
      <c r="S61" s="136">
        <v>10962.0</v>
      </c>
      <c r="T61" s="1341">
        <v>41470.0</v>
      </c>
      <c r="U61" s="1340">
        <v>10962.0</v>
      </c>
      <c r="V61" s="1335"/>
      <c r="W61" s="91"/>
      <c r="X61" s="91"/>
      <c r="Y61" s="91"/>
      <c r="Z61" s="91"/>
    </row>
    <row r="62" ht="15.75" customHeight="1">
      <c r="A62" s="1361">
        <v>41429.0</v>
      </c>
      <c r="B62" s="66" t="s">
        <v>13774</v>
      </c>
      <c r="C62" s="1365">
        <v>1.30607005E8</v>
      </c>
      <c r="D62" s="66" t="s">
        <v>13867</v>
      </c>
      <c r="E62" s="503" t="s">
        <v>13868</v>
      </c>
      <c r="F62" s="136">
        <v>1.0</v>
      </c>
      <c r="G62" s="136">
        <v>60.9</v>
      </c>
      <c r="H62" s="721">
        <f t="shared" si="6"/>
        <v>60.9</v>
      </c>
      <c r="I62" s="348" t="s">
        <v>11999</v>
      </c>
      <c r="J62" s="137" t="s">
        <v>12665</v>
      </c>
      <c r="K62" s="213">
        <v>41442.0</v>
      </c>
      <c r="L62" s="137" t="s">
        <v>233</v>
      </c>
      <c r="M62" s="66"/>
      <c r="N62" s="66" t="s">
        <v>90</v>
      </c>
      <c r="O62" s="136">
        <v>2.0130500090915E13</v>
      </c>
      <c r="P62" s="1341">
        <v>41439.0</v>
      </c>
      <c r="Q62" s="66" t="s">
        <v>13859</v>
      </c>
      <c r="R62" s="1363" t="s">
        <v>13869</v>
      </c>
      <c r="S62" s="159"/>
      <c r="T62" s="562">
        <v>41442.0</v>
      </c>
      <c r="U62" s="728">
        <v>1623.0</v>
      </c>
      <c r="V62" s="66" t="s">
        <v>13870</v>
      </c>
      <c r="W62" s="91"/>
      <c r="X62" s="91"/>
      <c r="Y62" s="91"/>
      <c r="Z62" s="91"/>
    </row>
    <row r="63" ht="15.75" customHeight="1">
      <c r="A63" s="1361">
        <v>41430.0</v>
      </c>
      <c r="B63" s="66" t="s">
        <v>673</v>
      </c>
      <c r="C63" s="66"/>
      <c r="D63" s="66" t="s">
        <v>13871</v>
      </c>
      <c r="E63" s="503" t="s">
        <v>8941</v>
      </c>
      <c r="F63" s="136">
        <v>8.0</v>
      </c>
      <c r="G63" s="136">
        <v>103.0</v>
      </c>
      <c r="H63" s="721">
        <f t="shared" si="6"/>
        <v>824</v>
      </c>
      <c r="I63" s="348" t="s">
        <v>8675</v>
      </c>
      <c r="J63" s="137" t="s">
        <v>13693</v>
      </c>
      <c r="K63" s="213">
        <v>41451.0</v>
      </c>
      <c r="L63" s="137" t="s">
        <v>90</v>
      </c>
      <c r="M63" s="66"/>
      <c r="N63" s="66" t="s">
        <v>90</v>
      </c>
      <c r="O63" s="1366">
        <v>2.013060009303E13</v>
      </c>
      <c r="P63" s="1367">
        <v>41450.0</v>
      </c>
      <c r="Q63" s="1366" t="s">
        <v>13859</v>
      </c>
      <c r="R63" s="1368" t="s">
        <v>13872</v>
      </c>
      <c r="S63" s="159"/>
      <c r="T63" s="1328">
        <v>41451.0</v>
      </c>
      <c r="U63" s="1329">
        <v>316366.0</v>
      </c>
      <c r="V63" s="1330" t="s">
        <v>13873</v>
      </c>
      <c r="W63" s="91"/>
      <c r="X63" s="91"/>
      <c r="Y63" s="91"/>
      <c r="Z63" s="91"/>
    </row>
    <row r="64" ht="15.75" customHeight="1">
      <c r="A64" s="1361">
        <v>41430.0</v>
      </c>
      <c r="B64" s="66" t="s">
        <v>673</v>
      </c>
      <c r="C64" s="66"/>
      <c r="D64" s="66" t="s">
        <v>13871</v>
      </c>
      <c r="E64" s="503" t="s">
        <v>8591</v>
      </c>
      <c r="F64" s="136">
        <v>8.0</v>
      </c>
      <c r="G64" s="136">
        <v>377.0</v>
      </c>
      <c r="H64" s="721">
        <f t="shared" si="6"/>
        <v>3016</v>
      </c>
      <c r="I64" s="348" t="s">
        <v>8675</v>
      </c>
      <c r="J64" s="137" t="s">
        <v>13693</v>
      </c>
      <c r="K64" s="213">
        <v>41451.0</v>
      </c>
      <c r="L64" s="137" t="s">
        <v>90</v>
      </c>
      <c r="M64" s="66"/>
      <c r="N64" s="66" t="s">
        <v>90</v>
      </c>
      <c r="O64" s="1333"/>
      <c r="P64" s="1333"/>
      <c r="Q64" s="1333"/>
      <c r="R64" s="1333"/>
      <c r="S64" s="159"/>
      <c r="T64" s="1333"/>
      <c r="U64" s="1333"/>
      <c r="V64" s="1333"/>
      <c r="W64" s="91"/>
      <c r="X64" s="91"/>
      <c r="Y64" s="91"/>
      <c r="Z64" s="91"/>
    </row>
    <row r="65" ht="15.75" customHeight="1">
      <c r="A65" s="1361">
        <v>41430.0</v>
      </c>
      <c r="B65" s="66" t="s">
        <v>673</v>
      </c>
      <c r="C65" s="66"/>
      <c r="D65" s="66" t="s">
        <v>13871</v>
      </c>
      <c r="E65" s="503" t="s">
        <v>8936</v>
      </c>
      <c r="F65" s="136">
        <v>8.0</v>
      </c>
      <c r="G65" s="136">
        <v>966.0</v>
      </c>
      <c r="H65" s="721">
        <f t="shared" si="6"/>
        <v>7728</v>
      </c>
      <c r="I65" s="348" t="s">
        <v>8675</v>
      </c>
      <c r="J65" s="137" t="s">
        <v>13693</v>
      </c>
      <c r="K65" s="213">
        <v>41451.0</v>
      </c>
      <c r="L65" s="137" t="s">
        <v>90</v>
      </c>
      <c r="M65" s="66"/>
      <c r="N65" s="66" t="s">
        <v>90</v>
      </c>
      <c r="O65" s="1335"/>
      <c r="P65" s="1335"/>
      <c r="Q65" s="1335"/>
      <c r="R65" s="1335"/>
      <c r="S65" s="159"/>
      <c r="T65" s="1335"/>
      <c r="U65" s="1335"/>
      <c r="V65" s="1335"/>
      <c r="W65" s="91"/>
      <c r="X65" s="91"/>
      <c r="Y65" s="91"/>
      <c r="Z65" s="91"/>
    </row>
    <row r="66" ht="15.75" customHeight="1">
      <c r="A66" s="1361">
        <v>41437.0</v>
      </c>
      <c r="B66" s="66" t="s">
        <v>13874</v>
      </c>
      <c r="C66" s="1365">
        <v>1.3000182E7</v>
      </c>
      <c r="D66" s="66" t="s">
        <v>13875</v>
      </c>
      <c r="E66" s="503" t="s">
        <v>12694</v>
      </c>
      <c r="F66" s="136">
        <v>1.0</v>
      </c>
      <c r="G66" s="136">
        <v>454.0</v>
      </c>
      <c r="H66" s="721">
        <f t="shared" si="6"/>
        <v>454</v>
      </c>
      <c r="I66" s="348" t="s">
        <v>8675</v>
      </c>
      <c r="J66" s="137" t="s">
        <v>13876</v>
      </c>
      <c r="K66" s="213">
        <v>41459.0</v>
      </c>
      <c r="L66" s="348" t="s">
        <v>12646</v>
      </c>
      <c r="M66" s="213">
        <v>41453.0</v>
      </c>
      <c r="N66" s="66" t="s">
        <v>12696</v>
      </c>
      <c r="O66" s="66" t="s">
        <v>13877</v>
      </c>
      <c r="P66" s="1341">
        <v>41452.0</v>
      </c>
      <c r="Q66" s="66" t="s">
        <v>12698</v>
      </c>
      <c r="R66" s="1368"/>
      <c r="S66" s="1366">
        <v>27030.0</v>
      </c>
      <c r="T66" s="1352">
        <v>41452.0</v>
      </c>
      <c r="U66" s="1353">
        <v>28618.0</v>
      </c>
      <c r="V66" s="1369" t="s">
        <v>13878</v>
      </c>
      <c r="W66" s="91"/>
      <c r="X66" s="91"/>
      <c r="Y66" s="91"/>
      <c r="Z66" s="91"/>
    </row>
    <row r="67" ht="15.75" customHeight="1">
      <c r="A67" s="1361">
        <v>41437.0</v>
      </c>
      <c r="B67" s="66" t="s">
        <v>13874</v>
      </c>
      <c r="C67" s="1365">
        <v>1.3000182E7</v>
      </c>
      <c r="D67" s="66" t="s">
        <v>13875</v>
      </c>
      <c r="E67" s="503" t="s">
        <v>13879</v>
      </c>
      <c r="F67" s="136">
        <v>1.0</v>
      </c>
      <c r="G67" s="136">
        <v>500.0</v>
      </c>
      <c r="H67" s="721">
        <f t="shared" si="6"/>
        <v>500</v>
      </c>
      <c r="I67" s="348" t="s">
        <v>8675</v>
      </c>
      <c r="J67" s="137" t="s">
        <v>13876</v>
      </c>
      <c r="K67" s="213">
        <v>41459.0</v>
      </c>
      <c r="L67" s="348" t="s">
        <v>12646</v>
      </c>
      <c r="M67" s="213">
        <v>41453.0</v>
      </c>
      <c r="N67" s="66" t="s">
        <v>12696</v>
      </c>
      <c r="O67" s="66" t="s">
        <v>13877</v>
      </c>
      <c r="P67" s="1341">
        <v>41452.0</v>
      </c>
      <c r="Q67" s="66" t="s">
        <v>12698</v>
      </c>
      <c r="R67" s="1333"/>
      <c r="S67" s="1333"/>
      <c r="T67" s="1332"/>
      <c r="U67" s="1332"/>
      <c r="V67" s="1332"/>
      <c r="W67" s="91"/>
      <c r="X67" s="91"/>
      <c r="Y67" s="91"/>
      <c r="Z67" s="91"/>
    </row>
    <row r="68" ht="15.75" customHeight="1">
      <c r="A68" s="1361">
        <v>41437.0</v>
      </c>
      <c r="B68" s="66" t="s">
        <v>13874</v>
      </c>
      <c r="C68" s="1365">
        <v>1.3000182E7</v>
      </c>
      <c r="D68" s="66" t="s">
        <v>13875</v>
      </c>
      <c r="E68" s="503" t="s">
        <v>12700</v>
      </c>
      <c r="F68" s="136">
        <v>2.0</v>
      </c>
      <c r="G68" s="136">
        <v>30.0</v>
      </c>
      <c r="H68" s="721">
        <f t="shared" si="6"/>
        <v>60</v>
      </c>
      <c r="I68" s="348" t="s">
        <v>8675</v>
      </c>
      <c r="J68" s="137" t="s">
        <v>13876</v>
      </c>
      <c r="K68" s="213">
        <v>41459.0</v>
      </c>
      <c r="L68" s="348" t="s">
        <v>12646</v>
      </c>
      <c r="M68" s="213">
        <v>41453.0</v>
      </c>
      <c r="N68" s="66" t="s">
        <v>12696</v>
      </c>
      <c r="O68" s="66" t="s">
        <v>13877</v>
      </c>
      <c r="P68" s="1341">
        <v>41452.0</v>
      </c>
      <c r="Q68" s="66" t="s">
        <v>12698</v>
      </c>
      <c r="R68" s="1335"/>
      <c r="S68" s="1335"/>
      <c r="T68" s="1334"/>
      <c r="U68" s="1334"/>
      <c r="V68" s="1334"/>
      <c r="W68" s="91"/>
      <c r="X68" s="91"/>
      <c r="Y68" s="91"/>
      <c r="Z68" s="91"/>
    </row>
    <row r="69" ht="15.75" customHeight="1">
      <c r="A69" s="1361">
        <v>41439.0</v>
      </c>
      <c r="B69" s="66" t="s">
        <v>13774</v>
      </c>
      <c r="C69" s="1365" t="s">
        <v>13880</v>
      </c>
      <c r="D69" s="66" t="s">
        <v>13881</v>
      </c>
      <c r="E69" s="503" t="s">
        <v>3628</v>
      </c>
      <c r="F69" s="136">
        <v>1.0</v>
      </c>
      <c r="G69" s="136">
        <v>198.5</v>
      </c>
      <c r="H69" s="721">
        <f t="shared" si="6"/>
        <v>198.5</v>
      </c>
      <c r="I69" s="348" t="s">
        <v>11999</v>
      </c>
      <c r="J69" s="137" t="s">
        <v>12665</v>
      </c>
      <c r="K69" s="213">
        <v>41456.0</v>
      </c>
      <c r="L69" s="137" t="s">
        <v>90</v>
      </c>
      <c r="M69" s="66"/>
      <c r="N69" s="66" t="s">
        <v>90</v>
      </c>
      <c r="O69" s="136">
        <v>2.0130600093721E13</v>
      </c>
      <c r="P69" s="1341">
        <v>41450.0</v>
      </c>
      <c r="Q69" s="66" t="s">
        <v>13859</v>
      </c>
      <c r="R69" s="1363" t="s">
        <v>13882</v>
      </c>
      <c r="S69" s="159"/>
      <c r="T69" s="1354">
        <v>41456.0</v>
      </c>
      <c r="U69" s="695">
        <v>5366.0</v>
      </c>
      <c r="V69" s="20" t="s">
        <v>13883</v>
      </c>
      <c r="W69" s="91"/>
      <c r="X69" s="91"/>
      <c r="Y69" s="91"/>
      <c r="Z69" s="91"/>
    </row>
    <row r="70" ht="15.75" customHeight="1">
      <c r="A70" s="1361">
        <v>41443.0</v>
      </c>
      <c r="B70" s="66" t="s">
        <v>13884</v>
      </c>
      <c r="C70" s="1365" t="s">
        <v>13885</v>
      </c>
      <c r="D70" s="66" t="s">
        <v>13886</v>
      </c>
      <c r="E70" s="503" t="s">
        <v>13887</v>
      </c>
      <c r="F70" s="136">
        <v>1.0</v>
      </c>
      <c r="G70" s="136">
        <v>700.0</v>
      </c>
      <c r="H70" s="721">
        <f t="shared" si="6"/>
        <v>700</v>
      </c>
      <c r="I70" s="348" t="s">
        <v>87</v>
      </c>
      <c r="J70" s="137" t="s">
        <v>13888</v>
      </c>
      <c r="K70" s="213">
        <v>41474.0</v>
      </c>
      <c r="L70" s="137" t="s">
        <v>12646</v>
      </c>
      <c r="M70" s="213">
        <v>41473.0</v>
      </c>
      <c r="N70" s="66" t="s">
        <v>12709</v>
      </c>
      <c r="O70" s="136">
        <v>200474.0</v>
      </c>
      <c r="P70" s="1341">
        <v>41472.0</v>
      </c>
      <c r="Q70" s="66" t="s">
        <v>13889</v>
      </c>
      <c r="R70" s="1363"/>
      <c r="S70" s="1340">
        <v>15462.0</v>
      </c>
      <c r="T70" s="1354">
        <v>41471.0</v>
      </c>
      <c r="U70" s="695">
        <v>15463.0</v>
      </c>
      <c r="V70" s="1370" t="s">
        <v>13890</v>
      </c>
      <c r="W70" s="91"/>
      <c r="X70" s="91"/>
      <c r="Y70" s="91"/>
      <c r="Z70" s="91"/>
    </row>
    <row r="71" ht="15.75" customHeight="1">
      <c r="A71" s="1361">
        <v>41443.0</v>
      </c>
      <c r="B71" s="66" t="s">
        <v>13884</v>
      </c>
      <c r="C71" s="1365" t="s">
        <v>13885</v>
      </c>
      <c r="D71" s="66" t="s">
        <v>13891</v>
      </c>
      <c r="E71" s="503" t="s">
        <v>13892</v>
      </c>
      <c r="F71" s="136">
        <v>1.0</v>
      </c>
      <c r="G71" s="136">
        <v>0.0</v>
      </c>
      <c r="H71" s="721">
        <f t="shared" si="6"/>
        <v>0</v>
      </c>
      <c r="I71" s="348" t="s">
        <v>87</v>
      </c>
      <c r="J71" s="137" t="s">
        <v>13888</v>
      </c>
      <c r="K71" s="213">
        <v>41474.0</v>
      </c>
      <c r="L71" s="137" t="s">
        <v>12646</v>
      </c>
      <c r="M71" s="213">
        <v>41473.0</v>
      </c>
      <c r="N71" s="66" t="s">
        <v>13893</v>
      </c>
      <c r="O71" s="66" t="s">
        <v>13894</v>
      </c>
      <c r="P71" s="562">
        <v>41445.0</v>
      </c>
      <c r="Q71" s="66" t="s">
        <v>13895</v>
      </c>
      <c r="R71" s="1363"/>
      <c r="S71" s="1340">
        <v>999.0</v>
      </c>
      <c r="T71" s="1346">
        <v>41445.0</v>
      </c>
      <c r="U71" s="1345">
        <v>999.0</v>
      </c>
      <c r="V71" s="1334"/>
      <c r="W71" s="91"/>
      <c r="X71" s="91"/>
      <c r="Y71" s="91"/>
      <c r="Z71" s="91"/>
    </row>
    <row r="72" ht="15.75" customHeight="1">
      <c r="A72" s="1361">
        <v>41444.0</v>
      </c>
      <c r="B72" s="66" t="s">
        <v>13774</v>
      </c>
      <c r="C72" s="1365" t="s">
        <v>13896</v>
      </c>
      <c r="D72" s="66" t="s">
        <v>13897</v>
      </c>
      <c r="E72" s="503" t="s">
        <v>13898</v>
      </c>
      <c r="F72" s="136">
        <v>6.0</v>
      </c>
      <c r="G72" s="136">
        <v>85.05</v>
      </c>
      <c r="H72" s="721">
        <f t="shared" si="6"/>
        <v>510.3</v>
      </c>
      <c r="I72" s="348" t="s">
        <v>11999</v>
      </c>
      <c r="J72" s="137" t="s">
        <v>12665</v>
      </c>
      <c r="K72" s="213">
        <v>41459.0</v>
      </c>
      <c r="L72" s="137" t="s">
        <v>90</v>
      </c>
      <c r="M72" s="66"/>
      <c r="N72" s="66" t="s">
        <v>90</v>
      </c>
      <c r="O72" s="1366">
        <v>2.0130600093984E13</v>
      </c>
      <c r="P72" s="1367">
        <v>41457.0</v>
      </c>
      <c r="Q72" s="1371" t="s">
        <v>13859</v>
      </c>
      <c r="R72" s="1368" t="s">
        <v>13899</v>
      </c>
      <c r="S72" s="159"/>
      <c r="T72" s="1352">
        <v>41459.0</v>
      </c>
      <c r="U72" s="1353">
        <v>24682.0</v>
      </c>
      <c r="V72" s="1369" t="s">
        <v>13900</v>
      </c>
      <c r="W72" s="91"/>
      <c r="X72" s="91"/>
      <c r="Y72" s="91"/>
      <c r="Z72" s="91"/>
    </row>
    <row r="73" ht="15.75" customHeight="1">
      <c r="A73" s="1361">
        <v>41444.0</v>
      </c>
      <c r="B73" s="66" t="s">
        <v>13774</v>
      </c>
      <c r="C73" s="1365" t="s">
        <v>13896</v>
      </c>
      <c r="D73" s="66" t="s">
        <v>13897</v>
      </c>
      <c r="E73" s="503" t="s">
        <v>13901</v>
      </c>
      <c r="F73" s="136">
        <v>1.0</v>
      </c>
      <c r="G73" s="136">
        <v>402.15</v>
      </c>
      <c r="H73" s="721">
        <f t="shared" si="6"/>
        <v>402.15</v>
      </c>
      <c r="I73" s="348" t="s">
        <v>11999</v>
      </c>
      <c r="J73" s="137" t="s">
        <v>12665</v>
      </c>
      <c r="K73" s="213">
        <v>41459.0</v>
      </c>
      <c r="L73" s="137" t="s">
        <v>90</v>
      </c>
      <c r="M73" s="66"/>
      <c r="N73" s="66" t="s">
        <v>90</v>
      </c>
      <c r="O73" s="1335"/>
      <c r="P73" s="1335"/>
      <c r="Q73" s="1335"/>
      <c r="R73" s="1335"/>
      <c r="S73" s="159"/>
      <c r="T73" s="1334"/>
      <c r="U73" s="1334"/>
      <c r="V73" s="1334"/>
      <c r="W73" s="91"/>
      <c r="X73" s="91"/>
      <c r="Y73" s="91"/>
      <c r="Z73" s="91"/>
    </row>
    <row r="74" ht="15.75" customHeight="1">
      <c r="A74" s="1361">
        <v>41444.0</v>
      </c>
      <c r="B74" s="66" t="s">
        <v>13774</v>
      </c>
      <c r="C74" s="1365" t="s">
        <v>13896</v>
      </c>
      <c r="D74" s="66" t="s">
        <v>13902</v>
      </c>
      <c r="E74" s="503" t="s">
        <v>4752</v>
      </c>
      <c r="F74" s="136">
        <v>14.0</v>
      </c>
      <c r="G74" s="136">
        <v>367.5</v>
      </c>
      <c r="H74" s="721">
        <f t="shared" si="6"/>
        <v>5145</v>
      </c>
      <c r="I74" s="348" t="s">
        <v>11999</v>
      </c>
      <c r="J74" s="137" t="s">
        <v>12665</v>
      </c>
      <c r="K74" s="213">
        <v>41473.0</v>
      </c>
      <c r="L74" s="137" t="s">
        <v>90</v>
      </c>
      <c r="M74" s="66"/>
      <c r="N74" s="66" t="s">
        <v>90</v>
      </c>
      <c r="O74" s="136">
        <v>2.0130600093952E13</v>
      </c>
      <c r="P74" s="1367">
        <v>41473.0</v>
      </c>
      <c r="Q74" s="1371" t="s">
        <v>13859</v>
      </c>
      <c r="R74" s="1363" t="s">
        <v>13903</v>
      </c>
      <c r="S74" s="159"/>
      <c r="T74" s="1352">
        <v>41473.0</v>
      </c>
      <c r="U74" s="1353">
        <v>193975.0</v>
      </c>
      <c r="V74" s="1369" t="s">
        <v>13904</v>
      </c>
      <c r="W74" s="91"/>
      <c r="X74" s="91"/>
      <c r="Y74" s="91"/>
      <c r="Z74" s="91"/>
    </row>
    <row r="75" ht="15.75" customHeight="1">
      <c r="A75" s="1361">
        <v>37803.0</v>
      </c>
      <c r="B75" s="66" t="s">
        <v>13774</v>
      </c>
      <c r="C75" s="1365" t="s">
        <v>13905</v>
      </c>
      <c r="D75" s="66" t="s">
        <v>13906</v>
      </c>
      <c r="E75" s="503" t="s">
        <v>4752</v>
      </c>
      <c r="F75" s="136">
        <v>6.0</v>
      </c>
      <c r="G75" s="136">
        <v>367.5</v>
      </c>
      <c r="H75" s="721">
        <f t="shared" si="6"/>
        <v>2205</v>
      </c>
      <c r="I75" s="348" t="s">
        <v>11999</v>
      </c>
      <c r="J75" s="137" t="s">
        <v>12665</v>
      </c>
      <c r="K75" s="213">
        <v>41473.0</v>
      </c>
      <c r="L75" s="137" t="s">
        <v>90</v>
      </c>
      <c r="M75" s="66"/>
      <c r="N75" s="66" t="s">
        <v>90</v>
      </c>
      <c r="O75" s="136">
        <v>2.0130700094121E13</v>
      </c>
      <c r="P75" s="1335"/>
      <c r="Q75" s="1335"/>
      <c r="R75" s="1363" t="s">
        <v>13907</v>
      </c>
      <c r="S75" s="159"/>
      <c r="T75" s="1334"/>
      <c r="U75" s="1334"/>
      <c r="V75" s="1334"/>
      <c r="W75" s="91"/>
      <c r="X75" s="91"/>
      <c r="Y75" s="91"/>
      <c r="Z75" s="91"/>
    </row>
    <row r="76" ht="15.75" customHeight="1">
      <c r="A76" s="1361">
        <v>41450.0</v>
      </c>
      <c r="B76" s="66" t="s">
        <v>673</v>
      </c>
      <c r="C76" s="66"/>
      <c r="D76" s="66" t="s">
        <v>13908</v>
      </c>
      <c r="E76" s="503" t="s">
        <v>13909</v>
      </c>
      <c r="F76" s="136">
        <v>10.0</v>
      </c>
      <c r="G76" s="136">
        <v>354.0</v>
      </c>
      <c r="H76" s="721">
        <f t="shared" si="6"/>
        <v>3540</v>
      </c>
      <c r="I76" s="348" t="s">
        <v>8675</v>
      </c>
      <c r="J76" s="137" t="s">
        <v>13347</v>
      </c>
      <c r="K76" s="213">
        <v>41474.0</v>
      </c>
      <c r="L76" s="137" t="s">
        <v>90</v>
      </c>
      <c r="M76" s="66"/>
      <c r="N76" s="66" t="s">
        <v>90</v>
      </c>
      <c r="O76" s="1366">
        <v>2.0130700094301E13</v>
      </c>
      <c r="P76" s="1367">
        <v>41473.0</v>
      </c>
      <c r="Q76" s="1321" t="s">
        <v>13859</v>
      </c>
      <c r="R76" s="1368" t="s">
        <v>13910</v>
      </c>
      <c r="S76" s="159"/>
      <c r="T76" s="1352">
        <v>41474.0</v>
      </c>
      <c r="U76" s="1353">
        <v>111158.0</v>
      </c>
      <c r="V76" s="1369" t="s">
        <v>13911</v>
      </c>
      <c r="W76" s="91"/>
      <c r="X76" s="91"/>
      <c r="Y76" s="91"/>
      <c r="Z76" s="91"/>
    </row>
    <row r="77" ht="15.75" customHeight="1">
      <c r="A77" s="1361">
        <v>41450.0</v>
      </c>
      <c r="B77" s="66" t="s">
        <v>673</v>
      </c>
      <c r="C77" s="66"/>
      <c r="D77" s="66" t="s">
        <v>13908</v>
      </c>
      <c r="E77" s="503" t="s">
        <v>8591</v>
      </c>
      <c r="F77" s="136">
        <v>1.0</v>
      </c>
      <c r="G77" s="136">
        <v>377.0</v>
      </c>
      <c r="H77" s="721">
        <f t="shared" si="6"/>
        <v>377</v>
      </c>
      <c r="I77" s="348" t="s">
        <v>8675</v>
      </c>
      <c r="J77" s="137" t="s">
        <v>13347</v>
      </c>
      <c r="K77" s="213">
        <v>41474.0</v>
      </c>
      <c r="L77" s="137" t="s">
        <v>90</v>
      </c>
      <c r="M77" s="66"/>
      <c r="N77" s="66" t="s">
        <v>90</v>
      </c>
      <c r="O77" s="1335"/>
      <c r="P77" s="1335"/>
      <c r="Q77" s="1335"/>
      <c r="R77" s="1335"/>
      <c r="S77" s="159"/>
      <c r="T77" s="1334"/>
      <c r="U77" s="1334"/>
      <c r="V77" s="1334"/>
      <c r="W77" s="91"/>
      <c r="X77" s="91"/>
      <c r="Y77" s="91"/>
      <c r="Z77" s="91"/>
    </row>
    <row r="78" ht="15.75" customHeight="1">
      <c r="A78" s="1361">
        <v>41456.0</v>
      </c>
      <c r="B78" s="66" t="s">
        <v>13714</v>
      </c>
      <c r="C78" s="1365" t="s">
        <v>13912</v>
      </c>
      <c r="D78" s="66" t="s">
        <v>13913</v>
      </c>
      <c r="E78" s="503" t="s">
        <v>12367</v>
      </c>
      <c r="F78" s="136">
        <v>9.0</v>
      </c>
      <c r="G78" s="136">
        <v>185.85</v>
      </c>
      <c r="H78" s="721">
        <f t="shared" si="6"/>
        <v>1672.65</v>
      </c>
      <c r="I78" s="348" t="s">
        <v>13722</v>
      </c>
      <c r="J78" s="137" t="s">
        <v>12665</v>
      </c>
      <c r="K78" s="213">
        <v>41487.0</v>
      </c>
      <c r="L78" s="137" t="s">
        <v>90</v>
      </c>
      <c r="M78" s="66"/>
      <c r="N78" s="66" t="s">
        <v>90</v>
      </c>
      <c r="O78" s="136">
        <v>2.0130700094104E13</v>
      </c>
      <c r="P78" s="1341">
        <v>41479.0</v>
      </c>
      <c r="Q78" s="66" t="s">
        <v>13859</v>
      </c>
      <c r="R78" s="1363" t="s">
        <v>13914</v>
      </c>
      <c r="S78" s="159"/>
      <c r="T78" s="1354">
        <v>41480.0</v>
      </c>
      <c r="U78" s="695">
        <v>44881.0</v>
      </c>
      <c r="V78" s="521" t="s">
        <v>13866</v>
      </c>
      <c r="W78" s="91"/>
      <c r="X78" s="91"/>
      <c r="Y78" s="91"/>
      <c r="Z78" s="91"/>
    </row>
    <row r="79" ht="15.75" customHeight="1">
      <c r="A79" s="1361">
        <v>41460.0</v>
      </c>
      <c r="B79" s="66" t="s">
        <v>13821</v>
      </c>
      <c r="C79" s="66" t="s">
        <v>13915</v>
      </c>
      <c r="D79" s="66" t="s">
        <v>13916</v>
      </c>
      <c r="E79" s="503" t="s">
        <v>13917</v>
      </c>
      <c r="F79" s="136">
        <v>2.0</v>
      </c>
      <c r="G79" s="136">
        <v>1555.0</v>
      </c>
      <c r="H79" s="721">
        <f t="shared" si="6"/>
        <v>3110</v>
      </c>
      <c r="I79" s="431" t="s">
        <v>87</v>
      </c>
      <c r="J79" s="137" t="s">
        <v>13918</v>
      </c>
      <c r="K79" s="66"/>
      <c r="L79" s="137" t="s">
        <v>90</v>
      </c>
      <c r="M79" s="66"/>
      <c r="N79" s="66" t="s">
        <v>90</v>
      </c>
      <c r="O79" s="136">
        <v>2.0130700094474E13</v>
      </c>
      <c r="P79" s="1341">
        <v>41486.0</v>
      </c>
      <c r="Q79" s="66" t="s">
        <v>13859</v>
      </c>
      <c r="R79" s="1363" t="s">
        <v>13919</v>
      </c>
      <c r="S79" s="159"/>
      <c r="T79" s="1354">
        <v>41487.0</v>
      </c>
      <c r="U79" s="695">
        <v>86090.0</v>
      </c>
      <c r="V79" s="70" t="s">
        <v>13920</v>
      </c>
      <c r="W79" s="91"/>
      <c r="X79" s="91"/>
      <c r="Y79" s="91"/>
      <c r="Z79" s="91"/>
    </row>
    <row r="80" ht="15.75" customHeight="1">
      <c r="A80" s="1361">
        <v>41472.0</v>
      </c>
      <c r="B80" s="66" t="s">
        <v>11996</v>
      </c>
      <c r="C80" s="66"/>
      <c r="D80" s="66" t="s">
        <v>13921</v>
      </c>
      <c r="E80" s="503" t="s">
        <v>13733</v>
      </c>
      <c r="F80" s="136">
        <v>50.0</v>
      </c>
      <c r="G80" s="136">
        <v>19.5</v>
      </c>
      <c r="H80" s="721">
        <f t="shared" si="6"/>
        <v>975</v>
      </c>
      <c r="I80" s="348" t="s">
        <v>11999</v>
      </c>
      <c r="J80" s="130" t="s">
        <v>13734</v>
      </c>
      <c r="K80" s="213">
        <v>41478.0</v>
      </c>
      <c r="L80" s="137" t="s">
        <v>12646</v>
      </c>
      <c r="M80" s="213">
        <v>41477.0</v>
      </c>
      <c r="N80" s="521" t="s">
        <v>12656</v>
      </c>
      <c r="O80" s="136">
        <v>1020715.0</v>
      </c>
      <c r="P80" s="1341">
        <v>41479.0</v>
      </c>
      <c r="Q80" s="70" t="s">
        <v>2510</v>
      </c>
      <c r="R80" s="1363"/>
      <c r="S80" s="1340">
        <v>24675.0</v>
      </c>
      <c r="T80" s="1346">
        <v>41474.0</v>
      </c>
      <c r="U80" s="1345">
        <v>24675.0</v>
      </c>
      <c r="V80" s="20" t="s">
        <v>13922</v>
      </c>
      <c r="W80" s="91"/>
      <c r="X80" s="91"/>
      <c r="Y80" s="91"/>
      <c r="Z80" s="91"/>
    </row>
    <row r="81" ht="15.75" customHeight="1">
      <c r="A81" s="1361">
        <v>41472.0</v>
      </c>
      <c r="B81" s="66" t="s">
        <v>13774</v>
      </c>
      <c r="C81" s="1365" t="s">
        <v>13923</v>
      </c>
      <c r="D81" s="66" t="s">
        <v>13924</v>
      </c>
      <c r="E81" s="503" t="s">
        <v>4752</v>
      </c>
      <c r="F81" s="136">
        <v>5.0</v>
      </c>
      <c r="G81" s="136">
        <v>367.5</v>
      </c>
      <c r="H81" s="721">
        <f t="shared" si="6"/>
        <v>1837.5</v>
      </c>
      <c r="I81" s="348" t="s">
        <v>11999</v>
      </c>
      <c r="J81" s="137" t="s">
        <v>12665</v>
      </c>
      <c r="K81" s="213">
        <v>41491.0</v>
      </c>
      <c r="L81" s="137" t="s">
        <v>90</v>
      </c>
      <c r="M81" s="66"/>
      <c r="N81" s="66" t="s">
        <v>90</v>
      </c>
      <c r="O81" s="136">
        <v>2.0130700095246E13</v>
      </c>
      <c r="P81" s="1341">
        <v>41488.0</v>
      </c>
      <c r="Q81" s="66" t="s">
        <v>13859</v>
      </c>
      <c r="R81" s="1363" t="s">
        <v>13925</v>
      </c>
      <c r="S81" s="159"/>
      <c r="T81" s="1354">
        <v>41491.0</v>
      </c>
      <c r="U81" s="695">
        <v>48316.0</v>
      </c>
      <c r="V81" s="521" t="s">
        <v>13926</v>
      </c>
      <c r="W81" s="91"/>
      <c r="X81" s="91"/>
      <c r="Y81" s="91"/>
      <c r="Z81" s="91"/>
    </row>
    <row r="82" ht="15.75" customHeight="1">
      <c r="A82" s="1361">
        <v>41472.0</v>
      </c>
      <c r="B82" s="66" t="s">
        <v>13774</v>
      </c>
      <c r="C82" s="1365" t="s">
        <v>13923</v>
      </c>
      <c r="D82" s="66" t="s">
        <v>13924</v>
      </c>
      <c r="E82" s="503" t="s">
        <v>4752</v>
      </c>
      <c r="F82" s="136">
        <v>35.0</v>
      </c>
      <c r="G82" s="136">
        <v>367.5</v>
      </c>
      <c r="H82" s="721">
        <f t="shared" si="6"/>
        <v>12862.5</v>
      </c>
      <c r="I82" s="348" t="s">
        <v>11999</v>
      </c>
      <c r="J82" s="137" t="s">
        <v>12665</v>
      </c>
      <c r="K82" s="213">
        <v>41509.0</v>
      </c>
      <c r="L82" s="137" t="s">
        <v>90</v>
      </c>
      <c r="M82" s="66"/>
      <c r="N82" s="66" t="s">
        <v>90</v>
      </c>
      <c r="O82" s="136">
        <v>2.0130700095247E13</v>
      </c>
      <c r="P82" s="1341">
        <v>41506.0</v>
      </c>
      <c r="Q82" s="66" t="s">
        <v>13859</v>
      </c>
      <c r="R82" s="1363" t="s">
        <v>13927</v>
      </c>
      <c r="S82" s="159"/>
      <c r="T82" s="1354">
        <v>41509.0</v>
      </c>
      <c r="U82" s="695">
        <v>338495.0</v>
      </c>
      <c r="V82" s="521" t="s">
        <v>13928</v>
      </c>
      <c r="W82" s="91"/>
      <c r="X82" s="91"/>
      <c r="Y82" s="91"/>
      <c r="Z82" s="91"/>
    </row>
    <row r="83" ht="15.75" customHeight="1">
      <c r="A83" s="1361">
        <v>41480.0</v>
      </c>
      <c r="B83" s="66" t="s">
        <v>13774</v>
      </c>
      <c r="C83" s="1365" t="s">
        <v>13929</v>
      </c>
      <c r="D83" s="66" t="s">
        <v>13930</v>
      </c>
      <c r="E83" s="503" t="s">
        <v>13931</v>
      </c>
      <c r="F83" s="136">
        <v>160.0</v>
      </c>
      <c r="G83" s="136">
        <v>114.45</v>
      </c>
      <c r="H83" s="721">
        <f>F83*G83</f>
        <v>18312</v>
      </c>
      <c r="I83" s="348" t="s">
        <v>11999</v>
      </c>
      <c r="J83" s="137" t="s">
        <v>12665</v>
      </c>
      <c r="K83" s="213">
        <v>41494.0</v>
      </c>
      <c r="L83" s="137" t="s">
        <v>90</v>
      </c>
      <c r="M83" s="66"/>
      <c r="N83" s="66" t="s">
        <v>90</v>
      </c>
      <c r="O83" s="136">
        <v>2.0130700095677E13</v>
      </c>
      <c r="P83" s="1341">
        <v>41492.0</v>
      </c>
      <c r="Q83" s="66" t="s">
        <v>13859</v>
      </c>
      <c r="R83" s="1363" t="s">
        <v>13932</v>
      </c>
      <c r="S83" s="159"/>
      <c r="T83" s="1354">
        <v>41494.0</v>
      </c>
      <c r="U83" s="695">
        <v>501984.0</v>
      </c>
      <c r="V83" s="1370" t="s">
        <v>13933</v>
      </c>
      <c r="W83" s="91"/>
      <c r="X83" s="91"/>
      <c r="Y83" s="91"/>
      <c r="Z83" s="91"/>
    </row>
    <row r="84" ht="15.75" customHeight="1">
      <c r="A84" s="1361">
        <v>41480.0</v>
      </c>
      <c r="B84" s="66" t="s">
        <v>13774</v>
      </c>
      <c r="C84" s="1365" t="s">
        <v>13934</v>
      </c>
      <c r="D84" s="66" t="s">
        <v>13935</v>
      </c>
      <c r="E84" s="503" t="s">
        <v>9048</v>
      </c>
      <c r="F84" s="136">
        <v>5.0</v>
      </c>
      <c r="G84" s="136">
        <v>29.4</v>
      </c>
      <c r="H84" s="721">
        <f t="shared" ref="H84:H93" si="7">G84*F84</f>
        <v>147</v>
      </c>
      <c r="I84" s="348" t="s">
        <v>11999</v>
      </c>
      <c r="J84" s="137" t="s">
        <v>12665</v>
      </c>
      <c r="K84" s="213">
        <v>41494.0</v>
      </c>
      <c r="L84" s="137" t="s">
        <v>90</v>
      </c>
      <c r="M84" s="66"/>
      <c r="N84" s="66" t="s">
        <v>90</v>
      </c>
      <c r="O84" s="136">
        <v>2.013070009564E13</v>
      </c>
      <c r="P84" s="1341">
        <v>41492.0</v>
      </c>
      <c r="Q84" s="66" t="s">
        <v>13859</v>
      </c>
      <c r="R84" s="1363" t="s">
        <v>13936</v>
      </c>
      <c r="S84" s="159"/>
      <c r="T84" s="1354">
        <v>41494.0</v>
      </c>
      <c r="U84" s="695">
        <v>4079.0</v>
      </c>
      <c r="V84" s="1334"/>
      <c r="W84" s="91"/>
      <c r="X84" s="91"/>
      <c r="Y84" s="91"/>
      <c r="Z84" s="91"/>
    </row>
    <row r="85" ht="15.75" customHeight="1">
      <c r="A85" s="1361">
        <v>41490.0</v>
      </c>
      <c r="B85" s="20" t="s">
        <v>13714</v>
      </c>
      <c r="C85" s="649" t="s">
        <v>13715</v>
      </c>
      <c r="D85" s="521" t="s">
        <v>13937</v>
      </c>
      <c r="E85" s="20" t="s">
        <v>13716</v>
      </c>
      <c r="F85" s="1326">
        <v>6.0</v>
      </c>
      <c r="G85" s="1326">
        <v>186.0</v>
      </c>
      <c r="H85" s="721">
        <f t="shared" si="7"/>
        <v>1116</v>
      </c>
      <c r="I85" s="348" t="s">
        <v>13722</v>
      </c>
      <c r="J85" s="137" t="s">
        <v>12665</v>
      </c>
      <c r="K85" s="213">
        <v>41494.0</v>
      </c>
      <c r="L85" s="137" t="s">
        <v>233</v>
      </c>
      <c r="M85" s="66"/>
      <c r="N85" s="66" t="s">
        <v>90</v>
      </c>
      <c r="O85" s="136">
        <v>2.0130800095954E13</v>
      </c>
      <c r="P85" s="1341">
        <v>41492.0</v>
      </c>
      <c r="Q85" s="66" t="s">
        <v>13859</v>
      </c>
      <c r="R85" s="1368" t="s">
        <v>13938</v>
      </c>
      <c r="S85" s="159"/>
      <c r="T85" s="1354">
        <v>41494.0</v>
      </c>
      <c r="U85" s="695">
        <v>29366.0</v>
      </c>
      <c r="V85" s="1370" t="s">
        <v>13933</v>
      </c>
      <c r="W85" s="91"/>
      <c r="X85" s="91"/>
      <c r="Y85" s="91"/>
      <c r="Z85" s="91"/>
    </row>
    <row r="86" ht="15.75" customHeight="1">
      <c r="A86" s="1361">
        <v>41490.0</v>
      </c>
      <c r="B86" s="20" t="s">
        <v>13714</v>
      </c>
      <c r="C86" s="649" t="s">
        <v>13715</v>
      </c>
      <c r="D86" s="521" t="s">
        <v>13937</v>
      </c>
      <c r="E86" s="20" t="s">
        <v>13721</v>
      </c>
      <c r="F86" s="1326">
        <v>6.0</v>
      </c>
      <c r="G86" s="1326">
        <v>86.0</v>
      </c>
      <c r="H86" s="721">
        <f t="shared" si="7"/>
        <v>516</v>
      </c>
      <c r="I86" s="348" t="s">
        <v>13722</v>
      </c>
      <c r="J86" s="137" t="s">
        <v>12665</v>
      </c>
      <c r="K86" s="213">
        <v>41494.0</v>
      </c>
      <c r="L86" s="137" t="s">
        <v>233</v>
      </c>
      <c r="M86" s="66"/>
      <c r="N86" s="66" t="s">
        <v>90</v>
      </c>
      <c r="O86" s="136">
        <v>2.0130800095954E13</v>
      </c>
      <c r="P86" s="1341">
        <v>41492.0</v>
      </c>
      <c r="Q86" s="66" t="s">
        <v>13859</v>
      </c>
      <c r="R86" s="1335"/>
      <c r="S86" s="159"/>
      <c r="T86" s="1354">
        <v>41494.0</v>
      </c>
      <c r="U86" s="695">
        <v>13553.0</v>
      </c>
      <c r="V86" s="1332"/>
      <c r="W86" s="91"/>
      <c r="X86" s="91"/>
      <c r="Y86" s="91"/>
      <c r="Z86" s="91"/>
    </row>
    <row r="87" ht="15.75" customHeight="1">
      <c r="A87" s="1361">
        <v>41492.0</v>
      </c>
      <c r="B87" s="20" t="s">
        <v>13714</v>
      </c>
      <c r="C87" s="649" t="s">
        <v>13939</v>
      </c>
      <c r="D87" s="521"/>
      <c r="E87" s="20" t="s">
        <v>13716</v>
      </c>
      <c r="F87" s="1326">
        <v>2.0</v>
      </c>
      <c r="G87" s="1326">
        <v>186.0</v>
      </c>
      <c r="H87" s="721">
        <f t="shared" si="7"/>
        <v>372</v>
      </c>
      <c r="I87" s="348" t="s">
        <v>13722</v>
      </c>
      <c r="J87" s="137" t="s">
        <v>12665</v>
      </c>
      <c r="K87" s="213">
        <v>41494.0</v>
      </c>
      <c r="L87" s="137" t="s">
        <v>233</v>
      </c>
      <c r="M87" s="66"/>
      <c r="N87" s="66" t="s">
        <v>90</v>
      </c>
      <c r="O87" s="721">
        <v>2.0130800096093E13</v>
      </c>
      <c r="P87" s="1341">
        <v>41492.0</v>
      </c>
      <c r="Q87" s="66" t="s">
        <v>13859</v>
      </c>
      <c r="R87" s="1368" t="s">
        <v>13718</v>
      </c>
      <c r="S87" s="159"/>
      <c r="T87" s="1354">
        <v>41494.0</v>
      </c>
      <c r="U87" s="695">
        <v>9789.0</v>
      </c>
      <c r="V87" s="1332"/>
      <c r="W87" s="91"/>
      <c r="X87" s="91"/>
      <c r="Y87" s="91"/>
      <c r="Z87" s="91"/>
    </row>
    <row r="88" ht="15.75" customHeight="1">
      <c r="A88" s="1361">
        <v>41492.0</v>
      </c>
      <c r="B88" s="20" t="s">
        <v>13714</v>
      </c>
      <c r="C88" s="649" t="s">
        <v>13939</v>
      </c>
      <c r="D88" s="521"/>
      <c r="E88" s="20" t="s">
        <v>13721</v>
      </c>
      <c r="F88" s="1326">
        <v>2.0</v>
      </c>
      <c r="G88" s="1326">
        <v>86.0</v>
      </c>
      <c r="H88" s="721">
        <f t="shared" si="7"/>
        <v>172</v>
      </c>
      <c r="I88" s="348" t="s">
        <v>13722</v>
      </c>
      <c r="J88" s="137" t="s">
        <v>12665</v>
      </c>
      <c r="K88" s="213">
        <v>41494.0</v>
      </c>
      <c r="L88" s="137" t="s">
        <v>233</v>
      </c>
      <c r="M88" s="66"/>
      <c r="N88" s="66" t="s">
        <v>90</v>
      </c>
      <c r="O88" s="721">
        <v>2.0130800096093E13</v>
      </c>
      <c r="P88" s="1341">
        <v>41492.0</v>
      </c>
      <c r="Q88" s="66" t="s">
        <v>13859</v>
      </c>
      <c r="R88" s="1335"/>
      <c r="S88" s="159"/>
      <c r="T88" s="1354">
        <v>41494.0</v>
      </c>
      <c r="U88" s="695">
        <v>4518.0</v>
      </c>
      <c r="V88" s="1334"/>
      <c r="W88" s="91"/>
      <c r="X88" s="91"/>
      <c r="Y88" s="91"/>
      <c r="Z88" s="91"/>
    </row>
    <row r="89" ht="15.75" customHeight="1">
      <c r="A89" s="1361">
        <v>41506.0</v>
      </c>
      <c r="B89" s="66" t="s">
        <v>13774</v>
      </c>
      <c r="C89" s="1365" t="s">
        <v>13940</v>
      </c>
      <c r="D89" s="66" t="s">
        <v>13941</v>
      </c>
      <c r="E89" s="503" t="s">
        <v>11075</v>
      </c>
      <c r="F89" s="136">
        <v>1.0</v>
      </c>
      <c r="G89" s="136">
        <v>73.5</v>
      </c>
      <c r="H89" s="721">
        <f t="shared" si="7"/>
        <v>73.5</v>
      </c>
      <c r="I89" s="348" t="s">
        <v>11999</v>
      </c>
      <c r="J89" s="137" t="s">
        <v>12665</v>
      </c>
      <c r="K89" s="213">
        <v>41512.0</v>
      </c>
      <c r="L89" s="137" t="s">
        <v>90</v>
      </c>
      <c r="M89" s="66"/>
      <c r="N89" s="66" t="s">
        <v>90</v>
      </c>
      <c r="O89" s="721">
        <v>2.0130800096695E13</v>
      </c>
      <c r="P89" s="1341">
        <v>41554.0</v>
      </c>
      <c r="Q89" s="66" t="s">
        <v>13859</v>
      </c>
      <c r="R89" s="1363" t="s">
        <v>13942</v>
      </c>
      <c r="S89" s="159"/>
      <c r="T89" s="1354">
        <v>41512.0</v>
      </c>
      <c r="U89" s="695">
        <v>2010.0</v>
      </c>
      <c r="V89" s="521" t="s">
        <v>13928</v>
      </c>
      <c r="W89" s="91"/>
      <c r="X89" s="91"/>
      <c r="Y89" s="91"/>
      <c r="Z89" s="91"/>
    </row>
    <row r="90" ht="15.75" customHeight="1">
      <c r="A90" s="1361">
        <v>41516.0</v>
      </c>
      <c r="B90" s="66" t="s">
        <v>13774</v>
      </c>
      <c r="C90" s="1365" t="s">
        <v>13943</v>
      </c>
      <c r="D90" s="66" t="s">
        <v>13944</v>
      </c>
      <c r="E90" s="503" t="s">
        <v>13945</v>
      </c>
      <c r="F90" s="136">
        <v>6.0</v>
      </c>
      <c r="G90" s="136">
        <v>47.25</v>
      </c>
      <c r="H90" s="721">
        <f t="shared" si="7"/>
        <v>283.5</v>
      </c>
      <c r="I90" s="348" t="s">
        <v>11999</v>
      </c>
      <c r="J90" s="137" t="s">
        <v>12665</v>
      </c>
      <c r="K90" s="213">
        <v>41526.0</v>
      </c>
      <c r="L90" s="137" t="s">
        <v>90</v>
      </c>
      <c r="M90" s="66"/>
      <c r="N90" s="66" t="s">
        <v>90</v>
      </c>
      <c r="O90" s="721">
        <v>2.0130800096776E13</v>
      </c>
      <c r="P90" s="1341">
        <v>41554.0</v>
      </c>
      <c r="Q90" s="66" t="s">
        <v>13859</v>
      </c>
      <c r="R90" s="1363" t="s">
        <v>13946</v>
      </c>
      <c r="S90" s="159"/>
      <c r="T90" s="562">
        <v>41526.0</v>
      </c>
      <c r="U90" s="728">
        <v>7354.0</v>
      </c>
      <c r="V90" s="66" t="s">
        <v>13947</v>
      </c>
      <c r="W90" s="91"/>
      <c r="X90" s="91"/>
      <c r="Y90" s="91"/>
      <c r="Z90" s="91"/>
    </row>
    <row r="91" ht="15.75" customHeight="1">
      <c r="A91" s="1339">
        <v>41519.0</v>
      </c>
      <c r="B91" s="521" t="s">
        <v>13774</v>
      </c>
      <c r="C91" s="649" t="s">
        <v>13948</v>
      </c>
      <c r="D91" s="521" t="s">
        <v>13949</v>
      </c>
      <c r="E91" s="20" t="s">
        <v>13232</v>
      </c>
      <c r="F91" s="1326">
        <v>2.0</v>
      </c>
      <c r="G91" s="1326">
        <f>245*1.05</f>
        <v>257.25</v>
      </c>
      <c r="H91" s="693">
        <f t="shared" si="7"/>
        <v>514.5</v>
      </c>
      <c r="I91" s="431" t="s">
        <v>11999</v>
      </c>
      <c r="J91" s="130" t="s">
        <v>12665</v>
      </c>
      <c r="K91" s="735">
        <v>41571.0</v>
      </c>
      <c r="L91" s="130" t="s">
        <v>90</v>
      </c>
      <c r="M91" s="521"/>
      <c r="N91" s="521" t="s">
        <v>90</v>
      </c>
      <c r="O91" s="693">
        <v>2.0130900098516E13</v>
      </c>
      <c r="P91" s="1346">
        <v>41554.0</v>
      </c>
      <c r="Q91" s="521" t="s">
        <v>13859</v>
      </c>
      <c r="R91" s="1327" t="s">
        <v>13950</v>
      </c>
      <c r="S91" s="1355"/>
      <c r="T91" s="1354">
        <v>41571.0</v>
      </c>
      <c r="U91" s="695">
        <v>13544.0</v>
      </c>
      <c r="V91" s="521" t="s">
        <v>13951</v>
      </c>
      <c r="W91" s="952"/>
      <c r="X91" s="91"/>
      <c r="Y91" s="91"/>
      <c r="Z91" s="91"/>
    </row>
    <row r="92" ht="15.75" customHeight="1">
      <c r="A92" s="1339">
        <v>41519.0</v>
      </c>
      <c r="B92" s="521" t="s">
        <v>13774</v>
      </c>
      <c r="C92" s="649" t="s">
        <v>13948</v>
      </c>
      <c r="D92" s="521" t="s">
        <v>13949</v>
      </c>
      <c r="E92" s="20" t="s">
        <v>13229</v>
      </c>
      <c r="F92" s="1326">
        <v>4.0</v>
      </c>
      <c r="G92" s="1326">
        <f>51*1.05</f>
        <v>53.55</v>
      </c>
      <c r="H92" s="693">
        <f t="shared" si="7"/>
        <v>214.2</v>
      </c>
      <c r="I92" s="431" t="s">
        <v>11999</v>
      </c>
      <c r="J92" s="130" t="s">
        <v>12665</v>
      </c>
      <c r="K92" s="735">
        <v>41543.0</v>
      </c>
      <c r="L92" s="130" t="s">
        <v>90</v>
      </c>
      <c r="M92" s="521"/>
      <c r="N92" s="521" t="s">
        <v>90</v>
      </c>
      <c r="O92" s="693">
        <v>2.0130900098516E13</v>
      </c>
      <c r="P92" s="1346">
        <v>41554.0</v>
      </c>
      <c r="Q92" s="521" t="s">
        <v>13859</v>
      </c>
      <c r="R92" s="1332"/>
      <c r="S92" s="1355"/>
      <c r="T92" s="1354">
        <v>41543.0</v>
      </c>
      <c r="U92" s="1353">
        <v>11219.0</v>
      </c>
      <c r="V92" s="521" t="s">
        <v>13952</v>
      </c>
      <c r="W92" s="952"/>
      <c r="X92" s="91"/>
      <c r="Y92" s="91"/>
      <c r="Z92" s="91"/>
    </row>
    <row r="93" ht="15.75" customHeight="1">
      <c r="A93" s="1339">
        <v>41519.0</v>
      </c>
      <c r="B93" s="521" t="s">
        <v>13774</v>
      </c>
      <c r="C93" s="649" t="s">
        <v>13948</v>
      </c>
      <c r="D93" s="521" t="s">
        <v>13949</v>
      </c>
      <c r="E93" s="20" t="s">
        <v>13233</v>
      </c>
      <c r="F93" s="1326">
        <v>2.0</v>
      </c>
      <c r="G93" s="1326">
        <f>98*1.05</f>
        <v>102.9</v>
      </c>
      <c r="H93" s="693">
        <f t="shared" si="7"/>
        <v>205.8</v>
      </c>
      <c r="I93" s="431" t="s">
        <v>11999</v>
      </c>
      <c r="J93" s="130" t="s">
        <v>12665</v>
      </c>
      <c r="K93" s="735">
        <v>41543.0</v>
      </c>
      <c r="L93" s="130" t="s">
        <v>90</v>
      </c>
      <c r="M93" s="521"/>
      <c r="N93" s="521" t="s">
        <v>90</v>
      </c>
      <c r="O93" s="693">
        <v>2.0130900098516E13</v>
      </c>
      <c r="P93" s="1346">
        <v>41554.0</v>
      </c>
      <c r="Q93" s="521" t="s">
        <v>13859</v>
      </c>
      <c r="R93" s="1334"/>
      <c r="S93" s="1355"/>
      <c r="T93" s="1354">
        <v>41543.0</v>
      </c>
      <c r="U93" s="1334"/>
      <c r="V93" s="521" t="s">
        <v>13947</v>
      </c>
      <c r="W93" s="952"/>
      <c r="X93" s="91"/>
      <c r="Y93" s="91"/>
      <c r="Z93" s="91"/>
    </row>
    <row r="94" ht="15.75" customHeight="1">
      <c r="A94" s="1361">
        <v>41528.0</v>
      </c>
      <c r="B94" s="66" t="s">
        <v>1204</v>
      </c>
      <c r="C94" s="1365" t="s">
        <v>13953</v>
      </c>
      <c r="D94" s="503" t="s">
        <v>13954</v>
      </c>
      <c r="E94" s="503" t="s">
        <v>12648</v>
      </c>
      <c r="F94" s="136">
        <v>1.0</v>
      </c>
      <c r="G94" s="136">
        <v>177.0</v>
      </c>
      <c r="H94" s="721">
        <v>177.0</v>
      </c>
      <c r="I94" s="348" t="s">
        <v>87</v>
      </c>
      <c r="J94" s="1372" t="s">
        <v>13955</v>
      </c>
      <c r="K94" s="213">
        <v>41551.0</v>
      </c>
      <c r="L94" s="137" t="s">
        <v>12646</v>
      </c>
      <c r="M94" s="137" t="s">
        <v>13956</v>
      </c>
      <c r="N94" s="66" t="s">
        <v>90</v>
      </c>
      <c r="O94" s="503" t="s">
        <v>13957</v>
      </c>
      <c r="P94" s="1341">
        <v>41554.0</v>
      </c>
      <c r="Q94" s="66" t="s">
        <v>13859</v>
      </c>
      <c r="R94" s="1363" t="s">
        <v>13958</v>
      </c>
      <c r="S94" s="159"/>
      <c r="T94" s="1341">
        <v>41551.0</v>
      </c>
      <c r="U94" s="1340">
        <v>4804.0</v>
      </c>
      <c r="V94" s="1321" t="s">
        <v>13836</v>
      </c>
      <c r="W94" s="91"/>
      <c r="X94" s="91"/>
      <c r="Y94" s="91"/>
      <c r="Z94" s="91"/>
    </row>
    <row r="95" ht="15.75" customHeight="1">
      <c r="A95" s="1361">
        <v>41528.0</v>
      </c>
      <c r="B95" s="66" t="s">
        <v>1204</v>
      </c>
      <c r="C95" s="1365" t="s">
        <v>13953</v>
      </c>
      <c r="D95" s="503" t="s">
        <v>13954</v>
      </c>
      <c r="E95" s="503" t="s">
        <v>12645</v>
      </c>
      <c r="F95" s="136">
        <v>1.0</v>
      </c>
      <c r="G95" s="136">
        <v>553.0</v>
      </c>
      <c r="H95" s="721">
        <v>553.0</v>
      </c>
      <c r="I95" s="348" t="s">
        <v>87</v>
      </c>
      <c r="J95" s="1332"/>
      <c r="K95" s="213">
        <v>41551.0</v>
      </c>
      <c r="L95" s="137" t="s">
        <v>12646</v>
      </c>
      <c r="M95" s="1364">
        <v>41550.0</v>
      </c>
      <c r="N95" s="66" t="s">
        <v>3840</v>
      </c>
      <c r="O95" s="66"/>
      <c r="P95" s="1341">
        <v>41541.0</v>
      </c>
      <c r="Q95" s="66" t="s">
        <v>12993</v>
      </c>
      <c r="R95" s="1363"/>
      <c r="S95" s="1340">
        <v>14700.0</v>
      </c>
      <c r="T95" s="1341">
        <v>41549.0</v>
      </c>
      <c r="U95" s="1340">
        <v>14700.0</v>
      </c>
      <c r="V95" s="1333"/>
      <c r="W95" s="91"/>
      <c r="X95" s="91"/>
      <c r="Y95" s="91"/>
      <c r="Z95" s="91"/>
    </row>
    <row r="96" ht="15.75" customHeight="1">
      <c r="A96" s="1361">
        <v>41528.0</v>
      </c>
      <c r="B96" s="66" t="s">
        <v>1204</v>
      </c>
      <c r="C96" s="1365" t="s">
        <v>13953</v>
      </c>
      <c r="D96" s="503" t="s">
        <v>13954</v>
      </c>
      <c r="E96" s="503" t="s">
        <v>12650</v>
      </c>
      <c r="F96" s="136">
        <v>1.0</v>
      </c>
      <c r="G96" s="136">
        <v>43.0</v>
      </c>
      <c r="H96" s="721">
        <v>43.0</v>
      </c>
      <c r="I96" s="348" t="s">
        <v>87</v>
      </c>
      <c r="J96" s="1332"/>
      <c r="K96" s="213">
        <v>41551.0</v>
      </c>
      <c r="L96" s="137" t="s">
        <v>12646</v>
      </c>
      <c r="M96" s="1364">
        <v>41541.0</v>
      </c>
      <c r="N96" s="66" t="s">
        <v>13959</v>
      </c>
      <c r="O96" s="66"/>
      <c r="P96" s="1341">
        <v>41535.0</v>
      </c>
      <c r="Q96" s="66" t="s">
        <v>13960</v>
      </c>
      <c r="R96" s="1363"/>
      <c r="S96" s="1342">
        <v>2625.0</v>
      </c>
      <c r="T96" s="1367">
        <v>41542.0</v>
      </c>
      <c r="U96" s="1342">
        <v>2625.0</v>
      </c>
      <c r="V96" s="1333"/>
      <c r="W96" s="91"/>
      <c r="X96" s="91"/>
      <c r="Y96" s="91"/>
      <c r="Z96" s="91"/>
    </row>
    <row r="97" ht="15.75" customHeight="1">
      <c r="A97" s="1361">
        <v>41528.0</v>
      </c>
      <c r="B97" s="66" t="s">
        <v>1204</v>
      </c>
      <c r="C97" s="1365" t="s">
        <v>13953</v>
      </c>
      <c r="D97" s="503" t="s">
        <v>13954</v>
      </c>
      <c r="E97" s="503" t="s">
        <v>12652</v>
      </c>
      <c r="F97" s="136">
        <v>1.0</v>
      </c>
      <c r="G97" s="136">
        <v>40.0</v>
      </c>
      <c r="H97" s="721">
        <v>40.0</v>
      </c>
      <c r="I97" s="348" t="s">
        <v>87</v>
      </c>
      <c r="J97" s="1334"/>
      <c r="K97" s="213">
        <v>41551.0</v>
      </c>
      <c r="L97" s="137" t="s">
        <v>12646</v>
      </c>
      <c r="M97" s="1364">
        <v>41541.0</v>
      </c>
      <c r="N97" s="66" t="s">
        <v>13959</v>
      </c>
      <c r="O97" s="66"/>
      <c r="P97" s="1341">
        <v>41535.0</v>
      </c>
      <c r="Q97" s="66" t="s">
        <v>13960</v>
      </c>
      <c r="R97" s="1363"/>
      <c r="S97" s="1335"/>
      <c r="T97" s="1335"/>
      <c r="U97" s="1335"/>
      <c r="V97" s="1335"/>
      <c r="W97" s="91"/>
      <c r="X97" s="91"/>
      <c r="Y97" s="91"/>
      <c r="Z97" s="91"/>
    </row>
    <row r="98" ht="15.75" customHeight="1">
      <c r="A98" s="1361">
        <v>41536.0</v>
      </c>
      <c r="B98" s="66" t="s">
        <v>12692</v>
      </c>
      <c r="C98" s="1365" t="s">
        <v>13961</v>
      </c>
      <c r="D98" s="66" t="s">
        <v>13962</v>
      </c>
      <c r="E98" s="503" t="s">
        <v>13812</v>
      </c>
      <c r="F98" s="136">
        <v>32.0</v>
      </c>
      <c r="G98" s="136">
        <v>86.0</v>
      </c>
      <c r="H98" s="721">
        <f t="shared" ref="H98:H141" si="8">G98*F98</f>
        <v>2752</v>
      </c>
      <c r="I98" s="348" t="s">
        <v>8675</v>
      </c>
      <c r="J98" s="137" t="s">
        <v>12695</v>
      </c>
      <c r="K98" s="213">
        <v>41547.0</v>
      </c>
      <c r="L98" s="137" t="s">
        <v>90</v>
      </c>
      <c r="M98" s="66"/>
      <c r="N98" s="66" t="s">
        <v>90</v>
      </c>
      <c r="O98" s="721">
        <v>2.0130900099908E13</v>
      </c>
      <c r="P98" s="1341">
        <v>41554.0</v>
      </c>
      <c r="Q98" s="66" t="s">
        <v>13859</v>
      </c>
      <c r="R98" s="1363" t="s">
        <v>13963</v>
      </c>
      <c r="S98" s="159"/>
      <c r="T98" s="562">
        <v>41547.0</v>
      </c>
      <c r="U98" s="728">
        <v>76140.0</v>
      </c>
      <c r="V98" s="1343" t="s">
        <v>13964</v>
      </c>
      <c r="W98" s="91"/>
      <c r="X98" s="91"/>
      <c r="Y98" s="91"/>
      <c r="Z98" s="91"/>
    </row>
    <row r="99" ht="15.75" customHeight="1">
      <c r="A99" s="1361">
        <v>41536.0</v>
      </c>
      <c r="B99" s="66" t="s">
        <v>12692</v>
      </c>
      <c r="C99" s="1365" t="s">
        <v>13961</v>
      </c>
      <c r="D99" s="66" t="s">
        <v>13962</v>
      </c>
      <c r="E99" s="503" t="s">
        <v>12851</v>
      </c>
      <c r="F99" s="136">
        <v>32.0</v>
      </c>
      <c r="G99" s="136">
        <v>27.0</v>
      </c>
      <c r="H99" s="721">
        <f t="shared" si="8"/>
        <v>864</v>
      </c>
      <c r="I99" s="348" t="s">
        <v>8675</v>
      </c>
      <c r="J99" s="137" t="s">
        <v>12695</v>
      </c>
      <c r="K99" s="213">
        <v>41547.0</v>
      </c>
      <c r="L99" s="137" t="s">
        <v>12646</v>
      </c>
      <c r="M99" s="213">
        <v>41542.0</v>
      </c>
      <c r="N99" s="66" t="s">
        <v>303</v>
      </c>
      <c r="O99" s="741" t="s">
        <v>13965</v>
      </c>
      <c r="P99" s="1341">
        <v>41554.0</v>
      </c>
      <c r="Q99" s="20" t="s">
        <v>13751</v>
      </c>
      <c r="R99" s="1363"/>
      <c r="S99" s="1340">
        <v>18480.0</v>
      </c>
      <c r="T99" s="1341">
        <v>41541.0</v>
      </c>
      <c r="U99" s="1340">
        <v>18480.0</v>
      </c>
      <c r="V99" s="1335"/>
      <c r="W99" s="91"/>
      <c r="X99" s="91"/>
      <c r="Y99" s="91"/>
      <c r="Z99" s="91"/>
    </row>
    <row r="100" ht="15.75" customHeight="1">
      <c r="A100" s="1361">
        <v>41536.0</v>
      </c>
      <c r="B100" s="66" t="s">
        <v>12692</v>
      </c>
      <c r="C100" s="1365" t="s">
        <v>13966</v>
      </c>
      <c r="D100" s="66" t="s">
        <v>13967</v>
      </c>
      <c r="E100" s="503" t="s">
        <v>13812</v>
      </c>
      <c r="F100" s="136">
        <v>20.0</v>
      </c>
      <c r="G100" s="136">
        <v>86.0</v>
      </c>
      <c r="H100" s="721">
        <f t="shared" si="8"/>
        <v>1720</v>
      </c>
      <c r="I100" s="348" t="s">
        <v>8675</v>
      </c>
      <c r="J100" s="137" t="s">
        <v>12695</v>
      </c>
      <c r="K100" s="213">
        <v>41576.0</v>
      </c>
      <c r="L100" s="137" t="s">
        <v>90</v>
      </c>
      <c r="M100" s="1364">
        <v>41575.0</v>
      </c>
      <c r="N100" s="66" t="s">
        <v>90</v>
      </c>
      <c r="O100" s="721">
        <v>2.0130900099909E13</v>
      </c>
      <c r="P100" s="1341">
        <v>41569.0</v>
      </c>
      <c r="Q100" s="66" t="s">
        <v>13859</v>
      </c>
      <c r="R100" s="1363" t="s">
        <v>13968</v>
      </c>
      <c r="S100" s="159"/>
      <c r="T100" s="562">
        <v>41575.0</v>
      </c>
      <c r="U100" s="728">
        <v>47002.0</v>
      </c>
      <c r="V100" s="1343" t="s">
        <v>13969</v>
      </c>
      <c r="W100" s="91"/>
      <c r="X100" s="91"/>
      <c r="Y100" s="91"/>
      <c r="Z100" s="91"/>
    </row>
    <row r="101" ht="15.75" customHeight="1">
      <c r="A101" s="1361">
        <v>41536.0</v>
      </c>
      <c r="B101" s="66" t="s">
        <v>12692</v>
      </c>
      <c r="C101" s="1365" t="s">
        <v>13966</v>
      </c>
      <c r="D101" s="66" t="s">
        <v>13967</v>
      </c>
      <c r="E101" s="503" t="s">
        <v>12851</v>
      </c>
      <c r="F101" s="136">
        <v>20.0</v>
      </c>
      <c r="G101" s="136">
        <v>27.0</v>
      </c>
      <c r="H101" s="721">
        <f t="shared" si="8"/>
        <v>540</v>
      </c>
      <c r="I101" s="348" t="s">
        <v>8675</v>
      </c>
      <c r="J101" s="137" t="s">
        <v>12695</v>
      </c>
      <c r="K101" s="213">
        <v>41576.0</v>
      </c>
      <c r="L101" s="137" t="s">
        <v>12646</v>
      </c>
      <c r="M101" s="213">
        <v>41570.0</v>
      </c>
      <c r="N101" s="66" t="s">
        <v>303</v>
      </c>
      <c r="O101" s="741" t="s">
        <v>13970</v>
      </c>
      <c r="P101" s="1341">
        <v>41585.0</v>
      </c>
      <c r="Q101" s="20" t="s">
        <v>13751</v>
      </c>
      <c r="R101" s="1363"/>
      <c r="S101" s="159"/>
      <c r="T101" s="562">
        <v>41569.0</v>
      </c>
      <c r="U101" s="728">
        <v>11550.0</v>
      </c>
      <c r="V101" s="1335"/>
      <c r="W101" s="91"/>
      <c r="X101" s="91"/>
      <c r="Y101" s="91"/>
      <c r="Z101" s="91"/>
    </row>
    <row r="102" ht="15.75" customHeight="1">
      <c r="A102" s="1361">
        <v>41541.0</v>
      </c>
      <c r="B102" s="66" t="s">
        <v>13971</v>
      </c>
      <c r="C102" s="1365" t="s">
        <v>13972</v>
      </c>
      <c r="D102" s="66" t="s">
        <v>13973</v>
      </c>
      <c r="E102" s="503" t="s">
        <v>12282</v>
      </c>
      <c r="F102" s="136">
        <v>50.0</v>
      </c>
      <c r="G102" s="136">
        <v>766.5</v>
      </c>
      <c r="H102" s="721">
        <f t="shared" si="8"/>
        <v>38325</v>
      </c>
      <c r="I102" s="348" t="s">
        <v>8675</v>
      </c>
      <c r="J102" s="137" t="s">
        <v>12639</v>
      </c>
      <c r="K102" s="1364">
        <v>41575.0</v>
      </c>
      <c r="L102" s="137" t="s">
        <v>90</v>
      </c>
      <c r="M102" s="66"/>
      <c r="N102" s="66" t="s">
        <v>90</v>
      </c>
      <c r="O102" s="721">
        <v>2.0131000100726E13</v>
      </c>
      <c r="P102" s="1341">
        <v>41569.0</v>
      </c>
      <c r="Q102" s="66" t="s">
        <v>13859</v>
      </c>
      <c r="R102" s="1363" t="s">
        <v>13974</v>
      </c>
      <c r="S102" s="159"/>
      <c r="T102" s="562">
        <v>41575.0</v>
      </c>
      <c r="U102" s="728">
        <v>1008070.0</v>
      </c>
      <c r="V102" s="66" t="s">
        <v>13975</v>
      </c>
      <c r="W102" s="91"/>
      <c r="X102" s="91"/>
      <c r="Y102" s="91"/>
      <c r="Z102" s="91"/>
    </row>
    <row r="103" ht="15.75" customHeight="1">
      <c r="A103" s="1361">
        <v>41541.0</v>
      </c>
      <c r="B103" s="66" t="s">
        <v>13971</v>
      </c>
      <c r="C103" s="1365" t="s">
        <v>13972</v>
      </c>
      <c r="D103" s="66" t="s">
        <v>13973</v>
      </c>
      <c r="E103" s="503" t="s">
        <v>13976</v>
      </c>
      <c r="F103" s="136">
        <v>50.0</v>
      </c>
      <c r="G103" s="136">
        <v>973.35</v>
      </c>
      <c r="H103" s="721">
        <f t="shared" si="8"/>
        <v>48667.5</v>
      </c>
      <c r="I103" s="348" t="s">
        <v>8675</v>
      </c>
      <c r="J103" s="137" t="s">
        <v>12639</v>
      </c>
      <c r="K103" s="213">
        <v>41589.0</v>
      </c>
      <c r="L103" s="137" t="s">
        <v>90</v>
      </c>
      <c r="M103" s="66"/>
      <c r="N103" s="66" t="s">
        <v>90</v>
      </c>
      <c r="O103" s="721">
        <v>2.0131000100725E13</v>
      </c>
      <c r="P103" s="1341">
        <v>41582.0</v>
      </c>
      <c r="Q103" s="66" t="s">
        <v>13859</v>
      </c>
      <c r="R103" s="1373" t="s">
        <v>13977</v>
      </c>
      <c r="S103" s="159"/>
      <c r="T103" s="562">
        <v>41589.0</v>
      </c>
      <c r="U103" s="728">
        <v>1278708.0</v>
      </c>
      <c r="V103" s="66" t="s">
        <v>13978</v>
      </c>
      <c r="W103" s="91"/>
      <c r="X103" s="91"/>
      <c r="Y103" s="91"/>
      <c r="Z103" s="91"/>
    </row>
    <row r="104" ht="15.75" customHeight="1">
      <c r="A104" s="1361">
        <v>41541.0</v>
      </c>
      <c r="B104" s="66" t="s">
        <v>13971</v>
      </c>
      <c r="C104" s="1365" t="s">
        <v>13972</v>
      </c>
      <c r="D104" s="66" t="s">
        <v>13973</v>
      </c>
      <c r="E104" s="503" t="s">
        <v>4750</v>
      </c>
      <c r="F104" s="136">
        <v>50.0</v>
      </c>
      <c r="G104" s="136">
        <v>103.95</v>
      </c>
      <c r="H104" s="721">
        <f t="shared" si="8"/>
        <v>5197.5</v>
      </c>
      <c r="I104" s="348" t="s">
        <v>8675</v>
      </c>
      <c r="J104" s="137" t="s">
        <v>12639</v>
      </c>
      <c r="K104" s="213">
        <v>41575.0</v>
      </c>
      <c r="L104" s="137" t="s">
        <v>90</v>
      </c>
      <c r="M104" s="66"/>
      <c r="N104" s="66" t="s">
        <v>90</v>
      </c>
      <c r="O104" s="721">
        <v>2.0131000100724E13</v>
      </c>
      <c r="P104" s="1341">
        <v>41569.0</v>
      </c>
      <c r="Q104" s="66" t="s">
        <v>13859</v>
      </c>
      <c r="R104" s="1373" t="s">
        <v>13979</v>
      </c>
      <c r="S104" s="159"/>
      <c r="T104" s="562">
        <v>41575.0</v>
      </c>
      <c r="U104" s="728">
        <v>138513.0</v>
      </c>
      <c r="V104" s="66" t="s">
        <v>13975</v>
      </c>
      <c r="W104" s="91"/>
      <c r="X104" s="91"/>
      <c r="Y104" s="91"/>
      <c r="Z104" s="91"/>
    </row>
    <row r="105" ht="15.75" customHeight="1">
      <c r="A105" s="1339">
        <v>41542.0</v>
      </c>
      <c r="B105" s="521" t="s">
        <v>13774</v>
      </c>
      <c r="C105" s="649" t="s">
        <v>13980</v>
      </c>
      <c r="D105" s="521" t="s">
        <v>13981</v>
      </c>
      <c r="E105" s="20" t="s">
        <v>4752</v>
      </c>
      <c r="F105" s="1326">
        <v>2.0</v>
      </c>
      <c r="G105" s="1326">
        <v>367.5</v>
      </c>
      <c r="H105" s="693">
        <f t="shared" si="8"/>
        <v>735</v>
      </c>
      <c r="I105" s="431" t="s">
        <v>11999</v>
      </c>
      <c r="J105" s="130" t="s">
        <v>12665</v>
      </c>
      <c r="K105" s="735">
        <v>41550.0</v>
      </c>
      <c r="L105" s="130" t="s">
        <v>90</v>
      </c>
      <c r="M105" s="521"/>
      <c r="N105" s="521" t="s">
        <v>90</v>
      </c>
      <c r="O105" s="693">
        <v>2.0130900100334E13</v>
      </c>
      <c r="P105" s="1346">
        <v>41554.0</v>
      </c>
      <c r="Q105" s="521" t="s">
        <v>13859</v>
      </c>
      <c r="R105" s="1338" t="s">
        <v>13982</v>
      </c>
      <c r="S105" s="1355"/>
      <c r="T105" s="20" t="s">
        <v>0</v>
      </c>
      <c r="U105" s="695">
        <v>19094.0</v>
      </c>
      <c r="V105" s="521" t="s">
        <v>13983</v>
      </c>
      <c r="W105" s="952"/>
      <c r="X105" s="91"/>
      <c r="Y105" s="91"/>
      <c r="Z105" s="91"/>
    </row>
    <row r="106" ht="15.75" customHeight="1">
      <c r="A106" s="1339">
        <v>41550.0</v>
      </c>
      <c r="B106" s="521" t="s">
        <v>11996</v>
      </c>
      <c r="C106" s="521"/>
      <c r="D106" s="521" t="s">
        <v>13984</v>
      </c>
      <c r="E106" s="20" t="s">
        <v>13985</v>
      </c>
      <c r="F106" s="1326">
        <v>31.0</v>
      </c>
      <c r="G106" s="1326">
        <v>21.5</v>
      </c>
      <c r="H106" s="693">
        <f t="shared" si="8"/>
        <v>666.5</v>
      </c>
      <c r="I106" s="431" t="s">
        <v>11999</v>
      </c>
      <c r="J106" s="130" t="s">
        <v>13986</v>
      </c>
      <c r="K106" s="735">
        <v>41555.0</v>
      </c>
      <c r="L106" s="130" t="s">
        <v>12646</v>
      </c>
      <c r="M106" s="735">
        <v>41554.0</v>
      </c>
      <c r="N106" s="521" t="s">
        <v>12656</v>
      </c>
      <c r="O106" s="693">
        <v>1021003.0</v>
      </c>
      <c r="P106" s="1346">
        <v>41551.0</v>
      </c>
      <c r="Q106" s="70" t="s">
        <v>2510</v>
      </c>
      <c r="R106" s="521"/>
      <c r="S106" s="1350">
        <v>15561.0</v>
      </c>
      <c r="T106" s="1349">
        <v>41554.0</v>
      </c>
      <c r="U106" s="1350">
        <v>15561.0</v>
      </c>
      <c r="V106" s="1369" t="s">
        <v>13987</v>
      </c>
      <c r="W106" s="952"/>
      <c r="X106" s="91"/>
      <c r="Y106" s="91"/>
      <c r="Z106" s="91"/>
    </row>
    <row r="107" ht="15.75" customHeight="1">
      <c r="A107" s="1339">
        <v>41550.0</v>
      </c>
      <c r="B107" s="521" t="s">
        <v>11996</v>
      </c>
      <c r="C107" s="521"/>
      <c r="D107" s="521" t="s">
        <v>13984</v>
      </c>
      <c r="E107" s="20" t="s">
        <v>13988</v>
      </c>
      <c r="F107" s="1326">
        <v>1.0</v>
      </c>
      <c r="G107" s="1326">
        <v>12.0</v>
      </c>
      <c r="H107" s="693">
        <f t="shared" si="8"/>
        <v>12</v>
      </c>
      <c r="I107" s="431" t="s">
        <v>11999</v>
      </c>
      <c r="J107" s="130" t="s">
        <v>13986</v>
      </c>
      <c r="K107" s="735">
        <v>41555.0</v>
      </c>
      <c r="L107" s="130" t="s">
        <v>12646</v>
      </c>
      <c r="M107" s="735">
        <v>41554.0</v>
      </c>
      <c r="N107" s="521" t="s">
        <v>12656</v>
      </c>
      <c r="O107" s="693">
        <v>1021003.0</v>
      </c>
      <c r="P107" s="1346">
        <v>41551.0</v>
      </c>
      <c r="Q107" s="70" t="s">
        <v>2510</v>
      </c>
      <c r="R107" s="521"/>
      <c r="S107" s="1334"/>
      <c r="T107" s="1334"/>
      <c r="U107" s="1334"/>
      <c r="V107" s="1334"/>
      <c r="W107" s="952"/>
      <c r="X107" s="91"/>
      <c r="Y107" s="91"/>
      <c r="Z107" s="91"/>
    </row>
    <row r="108" ht="15.75" customHeight="1">
      <c r="A108" s="1339">
        <v>41563.0</v>
      </c>
      <c r="B108" s="521" t="s">
        <v>13774</v>
      </c>
      <c r="C108" s="649" t="s">
        <v>13989</v>
      </c>
      <c r="D108" s="521" t="s">
        <v>13990</v>
      </c>
      <c r="E108" s="20" t="s">
        <v>11075</v>
      </c>
      <c r="F108" s="1326">
        <v>5.0</v>
      </c>
      <c r="G108" s="1326">
        <f>70*1.05</f>
        <v>73.5</v>
      </c>
      <c r="H108" s="693">
        <f t="shared" si="8"/>
        <v>367.5</v>
      </c>
      <c r="I108" s="431" t="s">
        <v>11999</v>
      </c>
      <c r="J108" s="130" t="s">
        <v>12665</v>
      </c>
      <c r="K108" s="735">
        <v>41585.0</v>
      </c>
      <c r="L108" s="130" t="s">
        <v>90</v>
      </c>
      <c r="M108" s="521"/>
      <c r="N108" s="521" t="s">
        <v>90</v>
      </c>
      <c r="O108" s="1326">
        <v>2.0131000101314E13</v>
      </c>
      <c r="P108" s="1346">
        <v>41596.0</v>
      </c>
      <c r="Q108" s="1370" t="s">
        <v>13859</v>
      </c>
      <c r="R108" s="1369" t="s">
        <v>13991</v>
      </c>
      <c r="S108" s="1355"/>
      <c r="T108" s="1352">
        <v>41585.0</v>
      </c>
      <c r="U108" s="1353">
        <v>113227.0</v>
      </c>
      <c r="V108" s="1370" t="s">
        <v>13992</v>
      </c>
      <c r="W108" s="952"/>
      <c r="X108" s="91"/>
      <c r="Y108" s="91"/>
      <c r="Z108" s="91"/>
    </row>
    <row r="109" ht="15.75" customHeight="1">
      <c r="A109" s="1339">
        <v>41563.0</v>
      </c>
      <c r="B109" s="521" t="s">
        <v>13774</v>
      </c>
      <c r="C109" s="649" t="s">
        <v>13993</v>
      </c>
      <c r="D109" s="521" t="s">
        <v>13994</v>
      </c>
      <c r="E109" s="20" t="s">
        <v>12933</v>
      </c>
      <c r="F109" s="1326">
        <v>3.0</v>
      </c>
      <c r="G109" s="1326">
        <f>160*1.05</f>
        <v>168</v>
      </c>
      <c r="H109" s="693">
        <f t="shared" si="8"/>
        <v>504</v>
      </c>
      <c r="I109" s="431" t="s">
        <v>11999</v>
      </c>
      <c r="J109" s="130" t="s">
        <v>12665</v>
      </c>
      <c r="K109" s="735">
        <v>41585.0</v>
      </c>
      <c r="L109" s="130" t="s">
        <v>90</v>
      </c>
      <c r="M109" s="521"/>
      <c r="N109" s="521" t="s">
        <v>90</v>
      </c>
      <c r="O109" s="1326">
        <v>2.0131000101314E13</v>
      </c>
      <c r="P109" s="1346">
        <v>41596.0</v>
      </c>
      <c r="Q109" s="1332"/>
      <c r="R109" s="1332"/>
      <c r="S109" s="1355"/>
      <c r="T109" s="1332"/>
      <c r="U109" s="1332"/>
      <c r="V109" s="1332"/>
      <c r="W109" s="952"/>
      <c r="X109" s="91"/>
      <c r="Y109" s="91"/>
      <c r="Z109" s="91"/>
    </row>
    <row r="110" ht="15.75" customHeight="1">
      <c r="A110" s="1339">
        <v>41563.0</v>
      </c>
      <c r="B110" s="521" t="s">
        <v>13774</v>
      </c>
      <c r="C110" s="649" t="s">
        <v>13995</v>
      </c>
      <c r="D110" s="521" t="s">
        <v>13996</v>
      </c>
      <c r="E110" s="20" t="s">
        <v>13997</v>
      </c>
      <c r="F110" s="1326">
        <v>10.0</v>
      </c>
      <c r="G110" s="1326">
        <f>289*1.05</f>
        <v>303.45</v>
      </c>
      <c r="H110" s="693">
        <f t="shared" si="8"/>
        <v>3034.5</v>
      </c>
      <c r="I110" s="431" t="s">
        <v>11999</v>
      </c>
      <c r="J110" s="130" t="s">
        <v>12665</v>
      </c>
      <c r="K110" s="735">
        <v>41585.0</v>
      </c>
      <c r="L110" s="130" t="s">
        <v>90</v>
      </c>
      <c r="M110" s="521"/>
      <c r="N110" s="521" t="s">
        <v>90</v>
      </c>
      <c r="O110" s="1326">
        <v>2.0131000101314E13</v>
      </c>
      <c r="P110" s="1346">
        <v>41596.0</v>
      </c>
      <c r="Q110" s="1332"/>
      <c r="R110" s="1332"/>
      <c r="S110" s="1355"/>
      <c r="T110" s="1332"/>
      <c r="U110" s="1332"/>
      <c r="V110" s="1332"/>
      <c r="W110" s="952"/>
      <c r="X110" s="91"/>
      <c r="Y110" s="91"/>
      <c r="Z110" s="91"/>
    </row>
    <row r="111" ht="15.75" customHeight="1">
      <c r="A111" s="1339">
        <v>41563.0</v>
      </c>
      <c r="B111" s="521" t="s">
        <v>13774</v>
      </c>
      <c r="C111" s="649" t="s">
        <v>13998</v>
      </c>
      <c r="D111" s="521" t="s">
        <v>13999</v>
      </c>
      <c r="E111" s="20" t="s">
        <v>14000</v>
      </c>
      <c r="F111" s="1326">
        <v>1.0</v>
      </c>
      <c r="G111" s="1326">
        <f>340*1.05</f>
        <v>357</v>
      </c>
      <c r="H111" s="693">
        <f t="shared" si="8"/>
        <v>357</v>
      </c>
      <c r="I111" s="431" t="s">
        <v>11999</v>
      </c>
      <c r="J111" s="130" t="s">
        <v>12665</v>
      </c>
      <c r="K111" s="735">
        <v>41585.0</v>
      </c>
      <c r="L111" s="130" t="s">
        <v>90</v>
      </c>
      <c r="M111" s="521"/>
      <c r="N111" s="521" t="s">
        <v>90</v>
      </c>
      <c r="O111" s="1326">
        <v>2.0131000101314E13</v>
      </c>
      <c r="P111" s="1346">
        <v>41596.0</v>
      </c>
      <c r="Q111" s="1334"/>
      <c r="R111" s="1334"/>
      <c r="S111" s="1355"/>
      <c r="T111" s="1334"/>
      <c r="U111" s="1334"/>
      <c r="V111" s="1334"/>
      <c r="W111" s="952"/>
      <c r="X111" s="91"/>
      <c r="Y111" s="91"/>
      <c r="Z111" s="91"/>
    </row>
    <row r="112" ht="15.75" customHeight="1">
      <c r="A112" s="1339">
        <v>41565.0</v>
      </c>
      <c r="B112" s="521" t="s">
        <v>13774</v>
      </c>
      <c r="C112" s="649" t="s">
        <v>14001</v>
      </c>
      <c r="D112" s="521" t="s">
        <v>14002</v>
      </c>
      <c r="E112" s="20" t="s">
        <v>14003</v>
      </c>
      <c r="F112" s="1326">
        <v>5.0</v>
      </c>
      <c r="G112" s="1326">
        <f>205*1.05</f>
        <v>215.25</v>
      </c>
      <c r="H112" s="693">
        <f t="shared" si="8"/>
        <v>1076.25</v>
      </c>
      <c r="I112" s="431" t="s">
        <v>11999</v>
      </c>
      <c r="J112" s="130" t="s">
        <v>12665</v>
      </c>
      <c r="K112" s="735">
        <v>41585.0</v>
      </c>
      <c r="L112" s="130" t="s">
        <v>90</v>
      </c>
      <c r="M112" s="521"/>
      <c r="N112" s="521" t="s">
        <v>90</v>
      </c>
      <c r="O112" s="1326">
        <v>2.0131000101478E13</v>
      </c>
      <c r="P112" s="1346">
        <v>41596.0</v>
      </c>
      <c r="Q112" s="1370" t="s">
        <v>13859</v>
      </c>
      <c r="R112" s="1374" t="s">
        <v>14004</v>
      </c>
      <c r="S112" s="1355"/>
      <c r="T112" s="1352">
        <v>41585.0</v>
      </c>
      <c r="U112" s="1353">
        <v>36623.0</v>
      </c>
      <c r="V112" s="1370" t="s">
        <v>13992</v>
      </c>
      <c r="W112" s="952"/>
      <c r="X112" s="91"/>
      <c r="Y112" s="91"/>
      <c r="Z112" s="91"/>
    </row>
    <row r="113" ht="15.75" customHeight="1">
      <c r="A113" s="1339">
        <v>41565.0</v>
      </c>
      <c r="B113" s="521" t="s">
        <v>13774</v>
      </c>
      <c r="C113" s="649" t="s">
        <v>14005</v>
      </c>
      <c r="D113" s="521" t="s">
        <v>14006</v>
      </c>
      <c r="E113" s="20" t="s">
        <v>14007</v>
      </c>
      <c r="F113" s="1326">
        <v>3.0</v>
      </c>
      <c r="G113" s="1326">
        <f>116*1.05</f>
        <v>121.8</v>
      </c>
      <c r="H113" s="693">
        <f t="shared" si="8"/>
        <v>365.4</v>
      </c>
      <c r="I113" s="431" t="s">
        <v>11999</v>
      </c>
      <c r="J113" s="130" t="s">
        <v>12665</v>
      </c>
      <c r="K113" s="735">
        <v>41585.0</v>
      </c>
      <c r="L113" s="130" t="s">
        <v>90</v>
      </c>
      <c r="M113" s="521"/>
      <c r="N113" s="521" t="s">
        <v>90</v>
      </c>
      <c r="O113" s="1326">
        <v>2.0131000101478E13</v>
      </c>
      <c r="P113" s="1346">
        <v>41596.0</v>
      </c>
      <c r="Q113" s="1332"/>
      <c r="R113" s="1332"/>
      <c r="S113" s="1355"/>
      <c r="T113" s="1332"/>
      <c r="U113" s="1332"/>
      <c r="V113" s="1332"/>
      <c r="W113" s="952"/>
      <c r="X113" s="91"/>
      <c r="Y113" s="91"/>
      <c r="Z113" s="91"/>
    </row>
    <row r="114" ht="15.75" customHeight="1">
      <c r="A114" s="1339">
        <v>41565.0</v>
      </c>
      <c r="B114" s="521" t="s">
        <v>13774</v>
      </c>
      <c r="C114" s="649" t="s">
        <v>14008</v>
      </c>
      <c r="D114" s="521" t="s">
        <v>14009</v>
      </c>
      <c r="E114" s="20" t="s">
        <v>14010</v>
      </c>
      <c r="F114" s="1326">
        <v>4.0</v>
      </c>
      <c r="G114" s="1326">
        <f>5*1.05</f>
        <v>5.25</v>
      </c>
      <c r="H114" s="693">
        <f t="shared" si="8"/>
        <v>21</v>
      </c>
      <c r="I114" s="431" t="s">
        <v>11999</v>
      </c>
      <c r="J114" s="130" t="s">
        <v>12665</v>
      </c>
      <c r="K114" s="735">
        <v>41585.0</v>
      </c>
      <c r="L114" s="130" t="s">
        <v>90</v>
      </c>
      <c r="M114" s="521"/>
      <c r="N114" s="521" t="s">
        <v>90</v>
      </c>
      <c r="O114" s="1326">
        <v>2.0131000101478E13</v>
      </c>
      <c r="P114" s="1346">
        <v>41596.0</v>
      </c>
      <c r="Q114" s="1334"/>
      <c r="R114" s="1334"/>
      <c r="S114" s="1355"/>
      <c r="T114" s="1334"/>
      <c r="U114" s="1334"/>
      <c r="V114" s="1334"/>
      <c r="W114" s="952"/>
      <c r="X114" s="91"/>
      <c r="Y114" s="91"/>
      <c r="Z114" s="91"/>
    </row>
    <row r="115" ht="15.75" customHeight="1">
      <c r="A115" s="1361">
        <v>41565.0</v>
      </c>
      <c r="B115" s="66" t="s">
        <v>1204</v>
      </c>
      <c r="C115" s="66"/>
      <c r="D115" s="66" t="s">
        <v>14011</v>
      </c>
      <c r="E115" s="503" t="s">
        <v>12648</v>
      </c>
      <c r="F115" s="136">
        <v>3.0</v>
      </c>
      <c r="G115" s="136">
        <v>177.0</v>
      </c>
      <c r="H115" s="721">
        <f t="shared" si="8"/>
        <v>531</v>
      </c>
      <c r="I115" s="348" t="s">
        <v>87</v>
      </c>
      <c r="J115" s="137" t="s">
        <v>14012</v>
      </c>
      <c r="K115" s="213">
        <v>41582.0</v>
      </c>
      <c r="L115" s="137" t="s">
        <v>90</v>
      </c>
      <c r="M115" s="213">
        <v>41571.0</v>
      </c>
      <c r="N115" s="66" t="s">
        <v>90</v>
      </c>
      <c r="O115" s="136">
        <v>2.0131000101436E13</v>
      </c>
      <c r="P115" s="1341">
        <v>41569.0</v>
      </c>
      <c r="Q115" s="66" t="s">
        <v>13859</v>
      </c>
      <c r="R115" s="1373" t="s">
        <v>14013</v>
      </c>
      <c r="S115" s="159"/>
      <c r="T115" s="562">
        <v>41571.0</v>
      </c>
      <c r="U115" s="728">
        <v>13482.0</v>
      </c>
      <c r="V115" s="503" t="s">
        <v>14014</v>
      </c>
      <c r="W115" s="91"/>
      <c r="X115" s="91"/>
      <c r="Y115" s="91"/>
      <c r="Z115" s="91"/>
    </row>
    <row r="116" ht="15.75" customHeight="1">
      <c r="A116" s="1339">
        <v>41565.0</v>
      </c>
      <c r="B116" s="521" t="s">
        <v>13714</v>
      </c>
      <c r="C116" s="649" t="s">
        <v>14015</v>
      </c>
      <c r="D116" s="521" t="s">
        <v>13737</v>
      </c>
      <c r="E116" s="1351" t="s">
        <v>12342</v>
      </c>
      <c r="F116" s="1326">
        <v>50.0</v>
      </c>
      <c r="G116" s="1326">
        <v>88.2</v>
      </c>
      <c r="H116" s="693">
        <f t="shared" si="8"/>
        <v>4410</v>
      </c>
      <c r="I116" s="431" t="s">
        <v>171</v>
      </c>
      <c r="J116" s="130" t="s">
        <v>12665</v>
      </c>
      <c r="K116" s="735">
        <v>41596.0</v>
      </c>
      <c r="L116" s="130" t="s">
        <v>90</v>
      </c>
      <c r="M116" s="521"/>
      <c r="N116" s="521" t="s">
        <v>90</v>
      </c>
      <c r="O116" s="1326">
        <v>2.0131000101433E13</v>
      </c>
      <c r="P116" s="1346">
        <v>41596.0</v>
      </c>
      <c r="Q116" s="521" t="s">
        <v>13859</v>
      </c>
      <c r="R116" s="20" t="s">
        <v>14016</v>
      </c>
      <c r="S116" s="1355"/>
      <c r="T116" s="1354">
        <v>41596.0</v>
      </c>
      <c r="U116" s="695">
        <v>112465.0</v>
      </c>
      <c r="V116" s="1370" t="s">
        <v>14017</v>
      </c>
      <c r="W116" s="952"/>
      <c r="X116" s="91"/>
      <c r="Y116" s="91"/>
      <c r="Z116" s="91"/>
    </row>
    <row r="117" ht="15.75" customHeight="1">
      <c r="A117" s="1339">
        <v>41565.0</v>
      </c>
      <c r="B117" s="521" t="s">
        <v>13714</v>
      </c>
      <c r="C117" s="649" t="s">
        <v>14015</v>
      </c>
      <c r="D117" s="521" t="s">
        <v>13737</v>
      </c>
      <c r="E117" s="1351" t="s">
        <v>13862</v>
      </c>
      <c r="F117" s="1326">
        <v>40.0</v>
      </c>
      <c r="G117" s="1326">
        <v>10.5</v>
      </c>
      <c r="H117" s="693">
        <f t="shared" si="8"/>
        <v>420</v>
      </c>
      <c r="I117" s="431" t="s">
        <v>171</v>
      </c>
      <c r="J117" s="431" t="s">
        <v>13801</v>
      </c>
      <c r="K117" s="735">
        <v>41596.0</v>
      </c>
      <c r="L117" s="130" t="s">
        <v>12646</v>
      </c>
      <c r="M117" s="735">
        <v>41592.0</v>
      </c>
      <c r="N117" s="521" t="s">
        <v>105</v>
      </c>
      <c r="O117" s="521"/>
      <c r="P117" s="1346">
        <v>41596.0</v>
      </c>
      <c r="Q117" s="521" t="s">
        <v>14018</v>
      </c>
      <c r="R117" s="521"/>
      <c r="S117" s="695">
        <v>7560.0</v>
      </c>
      <c r="T117" s="1346">
        <v>41592.0</v>
      </c>
      <c r="U117" s="1345">
        <v>7560.0</v>
      </c>
      <c r="V117" s="1334"/>
      <c r="W117" s="952"/>
      <c r="X117" s="91"/>
      <c r="Y117" s="91"/>
      <c r="Z117" s="91"/>
    </row>
    <row r="118" ht="15.75" customHeight="1">
      <c r="A118" s="1339">
        <v>41572.0</v>
      </c>
      <c r="B118" s="521" t="s">
        <v>13774</v>
      </c>
      <c r="C118" s="649" t="s">
        <v>14019</v>
      </c>
      <c r="D118" s="521" t="s">
        <v>14020</v>
      </c>
      <c r="E118" s="20" t="s">
        <v>14021</v>
      </c>
      <c r="F118" s="1326">
        <v>2.0</v>
      </c>
      <c r="G118" s="1326">
        <f>998*1.05</f>
        <v>1047.9</v>
      </c>
      <c r="H118" s="693">
        <f t="shared" si="8"/>
        <v>2095.8</v>
      </c>
      <c r="I118" s="431" t="s">
        <v>11999</v>
      </c>
      <c r="J118" s="130" t="s">
        <v>12665</v>
      </c>
      <c r="K118" s="735">
        <v>41614.0</v>
      </c>
      <c r="L118" s="130" t="s">
        <v>90</v>
      </c>
      <c r="M118" s="521"/>
      <c r="N118" s="521" t="s">
        <v>90</v>
      </c>
      <c r="O118" s="1326">
        <v>2.0131000101962E13</v>
      </c>
      <c r="P118" s="1346">
        <v>41613.0</v>
      </c>
      <c r="Q118" s="521" t="s">
        <v>13859</v>
      </c>
      <c r="R118" s="20" t="s">
        <v>14022</v>
      </c>
      <c r="S118" s="1355"/>
      <c r="T118" s="1354">
        <v>41614.0</v>
      </c>
      <c r="U118" s="695">
        <v>58870.0</v>
      </c>
      <c r="V118" s="521" t="s">
        <v>14023</v>
      </c>
      <c r="W118" s="952"/>
      <c r="X118" s="91"/>
      <c r="Y118" s="91"/>
      <c r="Z118" s="91"/>
    </row>
    <row r="119" ht="15.75" customHeight="1">
      <c r="A119" s="1361">
        <v>41572.0</v>
      </c>
      <c r="B119" s="521" t="s">
        <v>6246</v>
      </c>
      <c r="C119" s="1365" t="s">
        <v>14024</v>
      </c>
      <c r="D119" s="66" t="s">
        <v>14025</v>
      </c>
      <c r="E119" s="503" t="s">
        <v>14026</v>
      </c>
      <c r="F119" s="136">
        <v>3.0</v>
      </c>
      <c r="G119" s="136">
        <v>176.0</v>
      </c>
      <c r="H119" s="721">
        <f t="shared" si="8"/>
        <v>528</v>
      </c>
      <c r="I119" s="348" t="s">
        <v>87</v>
      </c>
      <c r="J119" s="1375" t="s">
        <v>14027</v>
      </c>
      <c r="K119" s="1376">
        <v>41590.0</v>
      </c>
      <c r="L119" s="137" t="s">
        <v>90</v>
      </c>
      <c r="M119" s="66"/>
      <c r="N119" s="66" t="s">
        <v>90</v>
      </c>
      <c r="O119" s="1366">
        <v>2.0131000101885E13</v>
      </c>
      <c r="P119" s="1341">
        <v>41596.0</v>
      </c>
      <c r="Q119" s="1321" t="s">
        <v>13859</v>
      </c>
      <c r="R119" s="1377" t="s">
        <v>14028</v>
      </c>
      <c r="S119" s="1355"/>
      <c r="T119" s="1352">
        <v>41589.0</v>
      </c>
      <c r="U119" s="1353">
        <v>22431.0</v>
      </c>
      <c r="V119" s="1369" t="s">
        <v>14029</v>
      </c>
      <c r="W119" s="91"/>
      <c r="X119" s="91"/>
      <c r="Y119" s="91"/>
      <c r="Z119" s="91"/>
    </row>
    <row r="120" ht="15.75" customHeight="1">
      <c r="A120" s="1361">
        <v>41572.0</v>
      </c>
      <c r="B120" s="521" t="s">
        <v>6246</v>
      </c>
      <c r="C120" s="1365" t="s">
        <v>14024</v>
      </c>
      <c r="D120" s="66" t="s">
        <v>14025</v>
      </c>
      <c r="E120" s="503" t="s">
        <v>14030</v>
      </c>
      <c r="F120" s="136">
        <v>2.0</v>
      </c>
      <c r="G120" s="136">
        <v>27.0</v>
      </c>
      <c r="H120" s="721">
        <f t="shared" si="8"/>
        <v>54</v>
      </c>
      <c r="I120" s="348" t="s">
        <v>87</v>
      </c>
      <c r="J120" s="1333"/>
      <c r="K120" s="1333"/>
      <c r="L120" s="137" t="s">
        <v>90</v>
      </c>
      <c r="M120" s="66"/>
      <c r="N120" s="66" t="s">
        <v>90</v>
      </c>
      <c r="O120" s="1333"/>
      <c r="P120" s="1341">
        <v>41596.0</v>
      </c>
      <c r="Q120" s="1333"/>
      <c r="R120" s="1333"/>
      <c r="S120" s="1355"/>
      <c r="T120" s="1332"/>
      <c r="U120" s="1332"/>
      <c r="V120" s="1332"/>
      <c r="W120" s="952"/>
      <c r="X120" s="91"/>
      <c r="Y120" s="91"/>
      <c r="Z120" s="91"/>
    </row>
    <row r="121" ht="15.75" customHeight="1">
      <c r="A121" s="1361">
        <v>41572.0</v>
      </c>
      <c r="B121" s="521" t="s">
        <v>6246</v>
      </c>
      <c r="C121" s="1365" t="s">
        <v>14024</v>
      </c>
      <c r="D121" s="66" t="s">
        <v>14025</v>
      </c>
      <c r="E121" s="503" t="s">
        <v>14031</v>
      </c>
      <c r="F121" s="136">
        <v>2.0</v>
      </c>
      <c r="G121" s="136">
        <v>50.0</v>
      </c>
      <c r="H121" s="721">
        <f t="shared" si="8"/>
        <v>100</v>
      </c>
      <c r="I121" s="348" t="s">
        <v>87</v>
      </c>
      <c r="J121" s="1333"/>
      <c r="K121" s="1333"/>
      <c r="L121" s="137" t="s">
        <v>90</v>
      </c>
      <c r="M121" s="66"/>
      <c r="N121" s="66" t="s">
        <v>90</v>
      </c>
      <c r="O121" s="1333"/>
      <c r="P121" s="1341">
        <v>41596.0</v>
      </c>
      <c r="Q121" s="1333"/>
      <c r="R121" s="1333"/>
      <c r="S121" s="1355"/>
      <c r="T121" s="1332"/>
      <c r="U121" s="1332"/>
      <c r="V121" s="1332"/>
      <c r="W121" s="91"/>
      <c r="X121" s="91"/>
      <c r="Y121" s="91"/>
      <c r="Z121" s="91"/>
    </row>
    <row r="122" ht="15.75" customHeight="1">
      <c r="A122" s="1361">
        <v>41572.0</v>
      </c>
      <c r="B122" s="521" t="s">
        <v>6246</v>
      </c>
      <c r="C122" s="1365" t="s">
        <v>14024</v>
      </c>
      <c r="D122" s="66" t="s">
        <v>14025</v>
      </c>
      <c r="E122" s="503" t="s">
        <v>4141</v>
      </c>
      <c r="F122" s="136">
        <v>2.0</v>
      </c>
      <c r="G122" s="136">
        <v>56.0</v>
      </c>
      <c r="H122" s="721">
        <f t="shared" si="8"/>
        <v>112</v>
      </c>
      <c r="I122" s="348" t="s">
        <v>87</v>
      </c>
      <c r="J122" s="1335"/>
      <c r="K122" s="1335"/>
      <c r="L122" s="137" t="s">
        <v>90</v>
      </c>
      <c r="M122" s="66"/>
      <c r="N122" s="66" t="s">
        <v>90</v>
      </c>
      <c r="O122" s="1335"/>
      <c r="P122" s="1341">
        <v>41596.0</v>
      </c>
      <c r="Q122" s="1335"/>
      <c r="R122" s="1335"/>
      <c r="S122" s="1355"/>
      <c r="T122" s="1334"/>
      <c r="U122" s="1334"/>
      <c r="V122" s="1334"/>
      <c r="W122" s="91"/>
      <c r="X122" s="91"/>
      <c r="Y122" s="91"/>
      <c r="Z122" s="91"/>
    </row>
    <row r="123" ht="15.75" customHeight="1">
      <c r="A123" s="1339">
        <v>41576.0</v>
      </c>
      <c r="B123" s="521" t="s">
        <v>13774</v>
      </c>
      <c r="C123" s="649" t="s">
        <v>14032</v>
      </c>
      <c r="D123" s="521" t="s">
        <v>14033</v>
      </c>
      <c r="E123" s="20" t="s">
        <v>9048</v>
      </c>
      <c r="F123" s="1326">
        <v>9.0</v>
      </c>
      <c r="G123" s="1326">
        <v>31.5</v>
      </c>
      <c r="H123" s="693">
        <f t="shared" si="8"/>
        <v>283.5</v>
      </c>
      <c r="I123" s="431" t="s">
        <v>11999</v>
      </c>
      <c r="J123" s="130" t="s">
        <v>12665</v>
      </c>
      <c r="K123" s="735">
        <v>41582.0</v>
      </c>
      <c r="L123" s="130" t="s">
        <v>90</v>
      </c>
      <c r="M123" s="521"/>
      <c r="N123" s="521" t="s">
        <v>90</v>
      </c>
      <c r="O123" s="1326">
        <v>2.013100010194E13</v>
      </c>
      <c r="P123" s="1346">
        <v>41619.0</v>
      </c>
      <c r="Q123" s="521" t="s">
        <v>13859</v>
      </c>
      <c r="R123" s="1338" t="s">
        <v>14034</v>
      </c>
      <c r="S123" s="1355"/>
      <c r="T123" s="1354">
        <v>41582.0</v>
      </c>
      <c r="U123" s="695">
        <v>7208.0</v>
      </c>
      <c r="V123" s="521" t="s">
        <v>13992</v>
      </c>
      <c r="W123" s="952"/>
      <c r="X123" s="91"/>
      <c r="Y123" s="91"/>
      <c r="Z123" s="91"/>
    </row>
    <row r="124" ht="15.75" customHeight="1">
      <c r="A124" s="1339">
        <v>41576.0</v>
      </c>
      <c r="B124" s="521" t="s">
        <v>13774</v>
      </c>
      <c r="C124" s="649" t="s">
        <v>14035</v>
      </c>
      <c r="D124" s="521" t="s">
        <v>14036</v>
      </c>
      <c r="E124" s="20" t="s">
        <v>4752</v>
      </c>
      <c r="F124" s="1326">
        <v>2.0</v>
      </c>
      <c r="G124" s="1326">
        <f>360*1.05</f>
        <v>378</v>
      </c>
      <c r="H124" s="693">
        <f t="shared" si="8"/>
        <v>756</v>
      </c>
      <c r="I124" s="431" t="s">
        <v>11999</v>
      </c>
      <c r="J124" s="130" t="s">
        <v>12665</v>
      </c>
      <c r="K124" s="735">
        <v>41592.0</v>
      </c>
      <c r="L124" s="130" t="s">
        <v>90</v>
      </c>
      <c r="M124" s="521"/>
      <c r="N124" s="521" t="s">
        <v>90</v>
      </c>
      <c r="O124" s="1326">
        <v>2.0131000101892E13</v>
      </c>
      <c r="P124" s="1346">
        <v>41619.0</v>
      </c>
      <c r="Q124" s="521" t="s">
        <v>13859</v>
      </c>
      <c r="R124" s="20" t="s">
        <v>14037</v>
      </c>
      <c r="S124" s="1355"/>
      <c r="T124" s="1354">
        <v>41592.0</v>
      </c>
      <c r="U124" s="695">
        <v>18980.0</v>
      </c>
      <c r="V124" s="521" t="s">
        <v>14038</v>
      </c>
      <c r="W124" s="952"/>
      <c r="X124" s="91"/>
      <c r="Y124" s="91"/>
      <c r="Z124" s="91"/>
    </row>
    <row r="125" ht="15.75" customHeight="1">
      <c r="A125" s="1339">
        <v>41579.0</v>
      </c>
      <c r="B125" s="521" t="s">
        <v>13774</v>
      </c>
      <c r="C125" s="649" t="s">
        <v>14039</v>
      </c>
      <c r="D125" s="521" t="s">
        <v>14040</v>
      </c>
      <c r="E125" s="20" t="s">
        <v>14041</v>
      </c>
      <c r="F125" s="1326">
        <v>16.0</v>
      </c>
      <c r="G125" s="1326">
        <f>186*1.05</f>
        <v>195.3</v>
      </c>
      <c r="H125" s="693">
        <f t="shared" si="8"/>
        <v>3124.8</v>
      </c>
      <c r="I125" s="431" t="s">
        <v>11999</v>
      </c>
      <c r="J125" s="130" t="s">
        <v>12665</v>
      </c>
      <c r="K125" s="735">
        <v>41592.0</v>
      </c>
      <c r="L125" s="130" t="s">
        <v>90</v>
      </c>
      <c r="M125" s="521"/>
      <c r="N125" s="521" t="s">
        <v>90</v>
      </c>
      <c r="O125" s="1326">
        <v>2.0131100102162E13</v>
      </c>
      <c r="P125" s="1346">
        <v>41596.0</v>
      </c>
      <c r="Q125" s="521" t="s">
        <v>13859</v>
      </c>
      <c r="R125" s="20" t="s">
        <v>14042</v>
      </c>
      <c r="S125" s="1355"/>
      <c r="T125" s="1354">
        <v>41599.0</v>
      </c>
      <c r="U125" s="695">
        <v>84309.0</v>
      </c>
      <c r="V125" s="521" t="s">
        <v>14043</v>
      </c>
      <c r="W125" s="952"/>
      <c r="X125" s="91"/>
      <c r="Y125" s="91"/>
      <c r="Z125" s="91"/>
    </row>
    <row r="126" ht="15.75" customHeight="1">
      <c r="A126" s="1339">
        <v>41584.0</v>
      </c>
      <c r="B126" s="521" t="s">
        <v>13714</v>
      </c>
      <c r="C126" s="649" t="s">
        <v>14044</v>
      </c>
      <c r="D126" s="521"/>
      <c r="E126" s="20" t="s">
        <v>14045</v>
      </c>
      <c r="F126" s="1326">
        <v>1.0</v>
      </c>
      <c r="G126" s="1326">
        <v>33.6</v>
      </c>
      <c r="H126" s="693">
        <f t="shared" si="8"/>
        <v>33.6</v>
      </c>
      <c r="I126" s="431" t="s">
        <v>171</v>
      </c>
      <c r="J126" s="130" t="s">
        <v>12665</v>
      </c>
      <c r="K126" s="735">
        <v>41586.0</v>
      </c>
      <c r="L126" s="130" t="s">
        <v>90</v>
      </c>
      <c r="M126" s="521"/>
      <c r="N126" s="521" t="s">
        <v>90</v>
      </c>
      <c r="O126" s="1348">
        <v>2.0131100102338E13</v>
      </c>
      <c r="P126" s="1346">
        <v>41596.0</v>
      </c>
      <c r="Q126" s="1370" t="s">
        <v>13859</v>
      </c>
      <c r="R126" s="1369" t="s">
        <v>14046</v>
      </c>
      <c r="S126" s="1355"/>
      <c r="T126" s="1352">
        <v>41586.0</v>
      </c>
      <c r="U126" s="1353">
        <v>6900.0</v>
      </c>
      <c r="V126" s="1370" t="s">
        <v>13992</v>
      </c>
      <c r="W126" s="952"/>
      <c r="X126" s="91"/>
      <c r="Y126" s="91"/>
      <c r="Z126" s="91"/>
    </row>
    <row r="127" ht="15.75" customHeight="1">
      <c r="A127" s="1339">
        <v>41584.0</v>
      </c>
      <c r="B127" s="521" t="s">
        <v>13714</v>
      </c>
      <c r="C127" s="649" t="s">
        <v>14044</v>
      </c>
      <c r="D127" s="521"/>
      <c r="E127" s="20" t="s">
        <v>14047</v>
      </c>
      <c r="F127" s="1326">
        <v>1.0</v>
      </c>
      <c r="G127" s="1326">
        <v>241.5</v>
      </c>
      <c r="H127" s="693">
        <f t="shared" si="8"/>
        <v>241.5</v>
      </c>
      <c r="I127" s="431" t="s">
        <v>171</v>
      </c>
      <c r="J127" s="130" t="s">
        <v>12665</v>
      </c>
      <c r="K127" s="735">
        <v>41586.0</v>
      </c>
      <c r="L127" s="130" t="s">
        <v>90</v>
      </c>
      <c r="M127" s="521"/>
      <c r="N127" s="521" t="s">
        <v>90</v>
      </c>
      <c r="O127" s="1334"/>
      <c r="P127" s="1346">
        <v>41596.0</v>
      </c>
      <c r="Q127" s="1334"/>
      <c r="R127" s="1334"/>
      <c r="S127" s="1355"/>
      <c r="T127" s="1334"/>
      <c r="U127" s="1334"/>
      <c r="V127" s="1334"/>
      <c r="W127" s="952"/>
      <c r="X127" s="91"/>
      <c r="Y127" s="91"/>
      <c r="Z127" s="91"/>
    </row>
    <row r="128" ht="15.75" customHeight="1">
      <c r="A128" s="1339">
        <v>41586.0</v>
      </c>
      <c r="B128" s="521" t="s">
        <v>6246</v>
      </c>
      <c r="C128" s="649" t="s">
        <v>14048</v>
      </c>
      <c r="D128" s="521" t="s">
        <v>14049</v>
      </c>
      <c r="E128" s="20" t="s">
        <v>7305</v>
      </c>
      <c r="F128" s="1326">
        <v>1.0</v>
      </c>
      <c r="G128" s="1326">
        <v>33.33</v>
      </c>
      <c r="H128" s="693">
        <f t="shared" si="8"/>
        <v>33.33</v>
      </c>
      <c r="I128" s="431" t="s">
        <v>87</v>
      </c>
      <c r="J128" s="1370" t="s">
        <v>14027</v>
      </c>
      <c r="K128" s="735">
        <v>41603.0</v>
      </c>
      <c r="L128" s="130" t="s">
        <v>90</v>
      </c>
      <c r="M128" s="521"/>
      <c r="N128" s="521" t="s">
        <v>90</v>
      </c>
      <c r="O128" s="1348">
        <v>2.0131100102625E13</v>
      </c>
      <c r="P128" s="1349">
        <v>41619.0</v>
      </c>
      <c r="Q128" s="1370" t="s">
        <v>14050</v>
      </c>
      <c r="R128" s="1370" t="s">
        <v>14051</v>
      </c>
      <c r="S128" s="1355"/>
      <c r="T128" s="1352">
        <v>41603.0</v>
      </c>
      <c r="U128" s="1353">
        <v>24301.0</v>
      </c>
      <c r="V128" s="1369" t="s">
        <v>14052</v>
      </c>
      <c r="W128" s="952"/>
      <c r="X128" s="91"/>
      <c r="Y128" s="91"/>
      <c r="Z128" s="91"/>
    </row>
    <row r="129" ht="15.75" customHeight="1">
      <c r="A129" s="1339">
        <v>41586.0</v>
      </c>
      <c r="B129" s="521" t="s">
        <v>6246</v>
      </c>
      <c r="C129" s="649" t="s">
        <v>14048</v>
      </c>
      <c r="D129" s="521" t="s">
        <v>14049</v>
      </c>
      <c r="E129" s="20" t="s">
        <v>12720</v>
      </c>
      <c r="F129" s="1326">
        <v>1.0</v>
      </c>
      <c r="G129" s="1326">
        <v>346.67</v>
      </c>
      <c r="H129" s="693">
        <f t="shared" si="8"/>
        <v>346.67</v>
      </c>
      <c r="I129" s="431" t="s">
        <v>87</v>
      </c>
      <c r="J129" s="1332"/>
      <c r="K129" s="735">
        <v>41603.0</v>
      </c>
      <c r="L129" s="130" t="s">
        <v>90</v>
      </c>
      <c r="M129" s="521"/>
      <c r="N129" s="521" t="s">
        <v>90</v>
      </c>
      <c r="O129" s="1332"/>
      <c r="P129" s="1332"/>
      <c r="Q129" s="1332"/>
      <c r="R129" s="1332"/>
      <c r="S129" s="1355"/>
      <c r="T129" s="1332"/>
      <c r="U129" s="1332"/>
      <c r="V129" s="1332"/>
      <c r="W129" s="952"/>
      <c r="X129" s="91"/>
      <c r="Y129" s="91"/>
      <c r="Z129" s="91"/>
    </row>
    <row r="130" ht="15.75" customHeight="1">
      <c r="A130" s="1339">
        <v>41586.0</v>
      </c>
      <c r="B130" s="521" t="s">
        <v>6246</v>
      </c>
      <c r="C130" s="649" t="s">
        <v>14048</v>
      </c>
      <c r="D130" s="521" t="s">
        <v>14049</v>
      </c>
      <c r="E130" s="20" t="s">
        <v>5104</v>
      </c>
      <c r="F130" s="1326">
        <v>2.0</v>
      </c>
      <c r="G130" s="1326">
        <v>488.0</v>
      </c>
      <c r="H130" s="693">
        <f t="shared" si="8"/>
        <v>976</v>
      </c>
      <c r="I130" s="431" t="s">
        <v>87</v>
      </c>
      <c r="J130" s="1334"/>
      <c r="K130" s="735">
        <v>41603.0</v>
      </c>
      <c r="L130" s="130" t="s">
        <v>90</v>
      </c>
      <c r="M130" s="521"/>
      <c r="N130" s="521" t="s">
        <v>90</v>
      </c>
      <c r="O130" s="1334"/>
      <c r="P130" s="1334"/>
      <c r="Q130" s="1334"/>
      <c r="R130" s="1334"/>
      <c r="S130" s="1355"/>
      <c r="T130" s="1334"/>
      <c r="U130" s="1334"/>
      <c r="V130" s="1334"/>
      <c r="W130" s="952"/>
      <c r="X130" s="91"/>
      <c r="Y130" s="91"/>
      <c r="Z130" s="91"/>
    </row>
    <row r="131" ht="15.75" customHeight="1">
      <c r="A131" s="1339">
        <v>41590.0</v>
      </c>
      <c r="B131" s="521" t="s">
        <v>13774</v>
      </c>
      <c r="C131" s="649" t="s">
        <v>14053</v>
      </c>
      <c r="D131" s="521" t="s">
        <v>14054</v>
      </c>
      <c r="E131" s="20" t="s">
        <v>14055</v>
      </c>
      <c r="F131" s="1326">
        <v>14.0</v>
      </c>
      <c r="G131" s="1326">
        <f>372*1.05</f>
        <v>390.6</v>
      </c>
      <c r="H131" s="693">
        <f t="shared" si="8"/>
        <v>5468.4</v>
      </c>
      <c r="I131" s="431" t="s">
        <v>11999</v>
      </c>
      <c r="J131" s="130" t="s">
        <v>12665</v>
      </c>
      <c r="K131" s="735">
        <v>41628.0</v>
      </c>
      <c r="L131" s="130" t="s">
        <v>90</v>
      </c>
      <c r="M131" s="521"/>
      <c r="N131" s="521" t="s">
        <v>90</v>
      </c>
      <c r="O131" s="1326">
        <v>2.0131100102709E13</v>
      </c>
      <c r="P131" s="1346">
        <v>41621.0</v>
      </c>
      <c r="Q131" s="521" t="s">
        <v>13859</v>
      </c>
      <c r="R131" s="521" t="s">
        <v>14056</v>
      </c>
      <c r="S131" s="1355"/>
      <c r="T131" s="1354">
        <v>41628.0</v>
      </c>
      <c r="U131" s="695">
        <v>145519.0</v>
      </c>
      <c r="V131" s="20" t="s">
        <v>14057</v>
      </c>
      <c r="W131" s="952"/>
      <c r="X131" s="91"/>
      <c r="Y131" s="91"/>
      <c r="Z131" s="91"/>
    </row>
    <row r="132" ht="15.75" customHeight="1">
      <c r="A132" s="1339">
        <v>41590.0</v>
      </c>
      <c r="B132" s="521" t="s">
        <v>13774</v>
      </c>
      <c r="C132" s="649" t="s">
        <v>14058</v>
      </c>
      <c r="D132" s="521" t="s">
        <v>14059</v>
      </c>
      <c r="E132" s="20" t="s">
        <v>14021</v>
      </c>
      <c r="F132" s="1326">
        <v>2.0</v>
      </c>
      <c r="G132" s="1326">
        <f>998*1.05</f>
        <v>1047.9</v>
      </c>
      <c r="H132" s="693">
        <f t="shared" si="8"/>
        <v>2095.8</v>
      </c>
      <c r="I132" s="431" t="s">
        <v>11999</v>
      </c>
      <c r="J132" s="130" t="s">
        <v>12665</v>
      </c>
      <c r="K132" s="735">
        <v>41614.0</v>
      </c>
      <c r="L132" s="130" t="s">
        <v>90</v>
      </c>
      <c r="M132" s="521"/>
      <c r="N132" s="521" t="s">
        <v>90</v>
      </c>
      <c r="O132" s="1326">
        <v>2.0131100102708E13</v>
      </c>
      <c r="P132" s="1346">
        <v>41613.0</v>
      </c>
      <c r="Q132" s="521" t="s">
        <v>13859</v>
      </c>
      <c r="R132" s="521" t="s">
        <v>14022</v>
      </c>
      <c r="S132" s="1355"/>
      <c r="T132" s="1354">
        <v>41614.0</v>
      </c>
      <c r="U132" s="695">
        <v>58870.0</v>
      </c>
      <c r="V132" s="521" t="s">
        <v>14023</v>
      </c>
      <c r="W132" s="952"/>
      <c r="X132" s="91"/>
      <c r="Y132" s="91"/>
      <c r="Z132" s="91"/>
    </row>
    <row r="133" ht="15.75" customHeight="1">
      <c r="A133" s="1339">
        <v>41592.0</v>
      </c>
      <c r="B133" s="521" t="s">
        <v>1204</v>
      </c>
      <c r="C133" s="649" t="s">
        <v>14060</v>
      </c>
      <c r="D133" s="521" t="s">
        <v>14061</v>
      </c>
      <c r="E133" s="20" t="s">
        <v>14062</v>
      </c>
      <c r="F133" s="1326">
        <v>50.0</v>
      </c>
      <c r="G133" s="1326">
        <v>12.9</v>
      </c>
      <c r="H133" s="693">
        <f t="shared" si="8"/>
        <v>645</v>
      </c>
      <c r="I133" s="431" t="s">
        <v>87</v>
      </c>
      <c r="J133" s="20" t="s">
        <v>12094</v>
      </c>
      <c r="K133" s="735">
        <v>41599.0</v>
      </c>
      <c r="L133" s="130" t="s">
        <v>12646</v>
      </c>
      <c r="M133" s="735">
        <v>41598.0</v>
      </c>
      <c r="N133" s="521" t="s">
        <v>12656</v>
      </c>
      <c r="O133" s="521"/>
      <c r="P133" s="1346">
        <v>41625.0</v>
      </c>
      <c r="Q133" s="70" t="s">
        <v>2510</v>
      </c>
      <c r="R133" s="521"/>
      <c r="S133" s="1350">
        <v>28350.0</v>
      </c>
      <c r="T133" s="1354">
        <v>41597.0</v>
      </c>
      <c r="U133" s="695">
        <v>15750.0</v>
      </c>
      <c r="V133" s="20" t="s">
        <v>14063</v>
      </c>
      <c r="W133" s="952"/>
      <c r="X133" s="91"/>
      <c r="Y133" s="91"/>
      <c r="Z133" s="91"/>
    </row>
    <row r="134" ht="15.75" customHeight="1">
      <c r="A134" s="1339">
        <v>41592.0</v>
      </c>
      <c r="B134" s="521" t="s">
        <v>1204</v>
      </c>
      <c r="C134" s="649" t="s">
        <v>14060</v>
      </c>
      <c r="D134" s="521" t="s">
        <v>14064</v>
      </c>
      <c r="E134" s="20" t="s">
        <v>14062</v>
      </c>
      <c r="F134" s="1326">
        <v>40.0</v>
      </c>
      <c r="G134" s="1326">
        <v>12.9</v>
      </c>
      <c r="H134" s="693">
        <f t="shared" si="8"/>
        <v>516</v>
      </c>
      <c r="I134" s="431" t="s">
        <v>87</v>
      </c>
      <c r="J134" s="20" t="s">
        <v>12094</v>
      </c>
      <c r="K134" s="735">
        <v>41627.0</v>
      </c>
      <c r="L134" s="130" t="s">
        <v>12646</v>
      </c>
      <c r="M134" s="735">
        <v>41618.0</v>
      </c>
      <c r="N134" s="521" t="s">
        <v>12656</v>
      </c>
      <c r="O134" s="521"/>
      <c r="P134" s="1346">
        <v>41625.0</v>
      </c>
      <c r="Q134" s="70" t="s">
        <v>2510</v>
      </c>
      <c r="R134" s="521"/>
      <c r="S134" s="1334"/>
      <c r="T134" s="1346">
        <v>41617.0</v>
      </c>
      <c r="U134" s="1345">
        <v>12600.0</v>
      </c>
      <c r="V134" s="20" t="s">
        <v>14065</v>
      </c>
      <c r="W134" s="952"/>
      <c r="X134" s="91"/>
      <c r="Y134" s="91"/>
      <c r="Z134" s="91"/>
    </row>
    <row r="135" ht="15.75" customHeight="1">
      <c r="A135" s="1339">
        <v>41593.0</v>
      </c>
      <c r="B135" s="521" t="s">
        <v>13774</v>
      </c>
      <c r="C135" s="649" t="s">
        <v>14066</v>
      </c>
      <c r="D135" s="521" t="s">
        <v>14067</v>
      </c>
      <c r="E135" s="20" t="s">
        <v>14068</v>
      </c>
      <c r="F135" s="1326">
        <v>3.0</v>
      </c>
      <c r="G135" s="1326">
        <f>263*1.05</f>
        <v>276.15</v>
      </c>
      <c r="H135" s="693">
        <f t="shared" si="8"/>
        <v>828.45</v>
      </c>
      <c r="I135" s="431" t="s">
        <v>11999</v>
      </c>
      <c r="J135" s="130" t="s">
        <v>12665</v>
      </c>
      <c r="K135" s="735">
        <v>41599.0</v>
      </c>
      <c r="L135" s="130" t="s">
        <v>90</v>
      </c>
      <c r="M135" s="521"/>
      <c r="N135" s="521" t="s">
        <v>90</v>
      </c>
      <c r="O135" s="1326">
        <v>2.0131100102833E13</v>
      </c>
      <c r="P135" s="1346">
        <v>41619.0</v>
      </c>
      <c r="Q135" s="521" t="s">
        <v>13859</v>
      </c>
      <c r="R135" s="521" t="s">
        <v>14069</v>
      </c>
      <c r="S135" s="1355"/>
      <c r="T135" s="1354">
        <v>41599.0</v>
      </c>
      <c r="U135" s="695">
        <v>21759.0</v>
      </c>
      <c r="V135" s="20" t="s">
        <v>14043</v>
      </c>
      <c r="W135" s="952"/>
      <c r="X135" s="91"/>
      <c r="Y135" s="91"/>
      <c r="Z135" s="91"/>
    </row>
    <row r="136" ht="15.75" customHeight="1">
      <c r="A136" s="1339">
        <v>41592.0</v>
      </c>
      <c r="B136" s="521" t="s">
        <v>673</v>
      </c>
      <c r="C136" s="521"/>
      <c r="D136" s="521" t="s">
        <v>14070</v>
      </c>
      <c r="E136" s="20" t="s">
        <v>8591</v>
      </c>
      <c r="F136" s="1326">
        <v>1.0</v>
      </c>
      <c r="G136" s="1326">
        <v>377.0</v>
      </c>
      <c r="H136" s="693">
        <f t="shared" si="8"/>
        <v>377</v>
      </c>
      <c r="I136" s="431" t="s">
        <v>8675</v>
      </c>
      <c r="J136" s="130" t="s">
        <v>13347</v>
      </c>
      <c r="K136" s="735">
        <v>41599.0</v>
      </c>
      <c r="L136" s="130" t="s">
        <v>90</v>
      </c>
      <c r="M136" s="521"/>
      <c r="N136" s="521" t="s">
        <v>90</v>
      </c>
      <c r="O136" s="1326">
        <v>2.0131100102789E13</v>
      </c>
      <c r="P136" s="1346">
        <v>41619.0</v>
      </c>
      <c r="Q136" s="521" t="s">
        <v>13859</v>
      </c>
      <c r="R136" s="521" t="s">
        <v>14071</v>
      </c>
      <c r="S136" s="1355"/>
      <c r="T136" s="1354">
        <v>41599.0</v>
      </c>
      <c r="U136" s="695">
        <v>10539.0</v>
      </c>
      <c r="V136" s="20" t="s">
        <v>14072</v>
      </c>
      <c r="W136" s="952"/>
      <c r="X136" s="91"/>
      <c r="Y136" s="91"/>
      <c r="Z136" s="91"/>
    </row>
    <row r="137" ht="15.75" customHeight="1">
      <c r="A137" s="1339">
        <v>41605.0</v>
      </c>
      <c r="B137" s="521" t="s">
        <v>13971</v>
      </c>
      <c r="C137" s="649" t="s">
        <v>12637</v>
      </c>
      <c r="D137" s="521" t="s">
        <v>12638</v>
      </c>
      <c r="E137" s="20" t="s">
        <v>4750</v>
      </c>
      <c r="F137" s="1326">
        <v>50.0</v>
      </c>
      <c r="G137" s="1326">
        <v>100.8</v>
      </c>
      <c r="H137" s="693">
        <f t="shared" si="8"/>
        <v>5040</v>
      </c>
      <c r="I137" s="431" t="s">
        <v>8675</v>
      </c>
      <c r="J137" s="130" t="s">
        <v>12639</v>
      </c>
      <c r="K137" s="735">
        <v>41620.0</v>
      </c>
      <c r="L137" s="130" t="s">
        <v>90</v>
      </c>
      <c r="M137" s="521"/>
      <c r="N137" s="521" t="s">
        <v>90</v>
      </c>
      <c r="O137" s="693">
        <v>2.0131100103404E13</v>
      </c>
      <c r="P137" s="1346">
        <v>41619.0</v>
      </c>
      <c r="Q137" s="521" t="s">
        <v>13859</v>
      </c>
      <c r="R137" s="1338" t="s">
        <v>14073</v>
      </c>
      <c r="S137" s="1355"/>
      <c r="T137" s="1354">
        <v>41620.0</v>
      </c>
      <c r="U137" s="695">
        <v>130316.0</v>
      </c>
      <c r="V137" s="20" t="s">
        <v>14074</v>
      </c>
      <c r="W137" s="952"/>
      <c r="X137" s="91"/>
      <c r="Y137" s="91"/>
      <c r="Z137" s="91"/>
    </row>
    <row r="138" ht="15.75" customHeight="1">
      <c r="A138" s="1339">
        <v>41605.0</v>
      </c>
      <c r="B138" s="521" t="s">
        <v>13971</v>
      </c>
      <c r="C138" s="649" t="s">
        <v>12637</v>
      </c>
      <c r="D138" s="521" t="s">
        <v>14075</v>
      </c>
      <c r="E138" s="20" t="s">
        <v>12282</v>
      </c>
      <c r="F138" s="1326">
        <v>50.0</v>
      </c>
      <c r="G138" s="1326">
        <v>766.5</v>
      </c>
      <c r="H138" s="693">
        <f t="shared" si="8"/>
        <v>38325</v>
      </c>
      <c r="I138" s="431" t="s">
        <v>8675</v>
      </c>
      <c r="J138" s="431" t="s">
        <v>14076</v>
      </c>
      <c r="K138" s="735">
        <v>41634.0</v>
      </c>
      <c r="L138" s="130" t="s">
        <v>90</v>
      </c>
      <c r="M138" s="521"/>
      <c r="N138" s="521" t="s">
        <v>90</v>
      </c>
      <c r="O138" s="693">
        <v>2.0131100103404E13</v>
      </c>
      <c r="P138" s="1346">
        <v>41632.0</v>
      </c>
      <c r="Q138" s="521" t="s">
        <v>13859</v>
      </c>
      <c r="R138" s="1336" t="s">
        <v>14077</v>
      </c>
      <c r="S138" s="1355"/>
      <c r="T138" s="1354">
        <v>41634.0</v>
      </c>
      <c r="U138" s="695">
        <v>922912.0</v>
      </c>
      <c r="V138" s="20" t="s">
        <v>14078</v>
      </c>
      <c r="W138" s="952"/>
      <c r="X138" s="91"/>
      <c r="Y138" s="91"/>
      <c r="Z138" s="91"/>
    </row>
    <row r="139" ht="15.75" customHeight="1">
      <c r="A139" s="1361">
        <v>41612.0</v>
      </c>
      <c r="B139" s="66" t="s">
        <v>13774</v>
      </c>
      <c r="C139" s="1365" t="s">
        <v>14079</v>
      </c>
      <c r="D139" s="66" t="s">
        <v>14080</v>
      </c>
      <c r="E139" s="20" t="s">
        <v>11075</v>
      </c>
      <c r="F139" s="136">
        <v>4.0</v>
      </c>
      <c r="G139" s="721">
        <f>70*1.05</f>
        <v>73.5</v>
      </c>
      <c r="H139" s="721">
        <f t="shared" si="8"/>
        <v>294</v>
      </c>
      <c r="I139" s="348" t="s">
        <v>11999</v>
      </c>
      <c r="J139" s="137" t="s">
        <v>12665</v>
      </c>
      <c r="K139" s="213">
        <v>41620.0</v>
      </c>
      <c r="L139" s="137" t="s">
        <v>90</v>
      </c>
      <c r="M139" s="66"/>
      <c r="N139" s="66" t="s">
        <v>90</v>
      </c>
      <c r="O139" s="136">
        <v>2.0131200105538E13</v>
      </c>
      <c r="P139" s="1341">
        <v>41619.0</v>
      </c>
      <c r="Q139" s="66" t="s">
        <v>13859</v>
      </c>
      <c r="R139" s="66" t="s">
        <v>14081</v>
      </c>
      <c r="S139" s="159"/>
      <c r="T139" s="562">
        <v>41620.0</v>
      </c>
      <c r="U139" s="728">
        <v>7943.0</v>
      </c>
      <c r="V139" s="503" t="s">
        <v>14074</v>
      </c>
      <c r="W139" s="91"/>
      <c r="X139" s="91"/>
      <c r="Y139" s="91"/>
      <c r="Z139" s="91"/>
    </row>
    <row r="140" ht="15.75" customHeight="1">
      <c r="A140" s="1339">
        <v>41613.0</v>
      </c>
      <c r="B140" s="521" t="s">
        <v>1204</v>
      </c>
      <c r="C140" s="649" t="s">
        <v>14082</v>
      </c>
      <c r="D140" s="521" t="s">
        <v>14083</v>
      </c>
      <c r="E140" s="20" t="s">
        <v>14084</v>
      </c>
      <c r="F140" s="1326">
        <v>3.0</v>
      </c>
      <c r="G140" s="1378">
        <v>123.2</v>
      </c>
      <c r="H140" s="693">
        <f t="shared" si="8"/>
        <v>369.6</v>
      </c>
      <c r="I140" s="431" t="s">
        <v>87</v>
      </c>
      <c r="J140" s="130" t="s">
        <v>12094</v>
      </c>
      <c r="K140" s="735">
        <v>41627.0</v>
      </c>
      <c r="L140" s="130" t="s">
        <v>90</v>
      </c>
      <c r="M140" s="735">
        <v>41624.0</v>
      </c>
      <c r="N140" s="521" t="s">
        <v>90</v>
      </c>
      <c r="O140" s="1326">
        <v>2.0131200105567E13</v>
      </c>
      <c r="P140" s="1346">
        <v>41621.0</v>
      </c>
      <c r="Q140" s="521" t="s">
        <v>13859</v>
      </c>
      <c r="R140" s="521" t="s">
        <v>14085</v>
      </c>
      <c r="S140" s="1355"/>
      <c r="T140" s="1346">
        <v>41624.0</v>
      </c>
      <c r="U140" s="1345">
        <v>10891.0</v>
      </c>
      <c r="V140" s="20" t="s">
        <v>14065</v>
      </c>
      <c r="W140" s="952"/>
      <c r="X140" s="91"/>
      <c r="Y140" s="91"/>
      <c r="Z140" s="91"/>
    </row>
    <row r="141" ht="15.75" customHeight="1">
      <c r="A141" s="1339">
        <v>41618.0</v>
      </c>
      <c r="B141" s="521" t="s">
        <v>1204</v>
      </c>
      <c r="C141" s="649" t="s">
        <v>12653</v>
      </c>
      <c r="D141" s="521" t="s">
        <v>14086</v>
      </c>
      <c r="E141" s="20" t="s">
        <v>12654</v>
      </c>
      <c r="F141" s="1326">
        <v>136.0</v>
      </c>
      <c r="G141" s="693">
        <v>37.5</v>
      </c>
      <c r="H141" s="693">
        <f t="shared" si="8"/>
        <v>5100</v>
      </c>
      <c r="I141" s="431" t="s">
        <v>87</v>
      </c>
      <c r="J141" s="130" t="s">
        <v>12094</v>
      </c>
      <c r="K141" s="735">
        <v>41627.0</v>
      </c>
      <c r="L141" s="130" t="s">
        <v>12655</v>
      </c>
      <c r="M141" s="735">
        <v>41625.0</v>
      </c>
      <c r="N141" s="521" t="s">
        <v>12656</v>
      </c>
      <c r="O141" s="521"/>
      <c r="P141" s="1354">
        <v>41656.0</v>
      </c>
      <c r="Q141" s="70" t="s">
        <v>2510</v>
      </c>
      <c r="R141" s="521"/>
      <c r="S141" s="1345">
        <v>142800.0</v>
      </c>
      <c r="T141" s="1346">
        <v>41624.0</v>
      </c>
      <c r="U141" s="1345">
        <v>142800.0</v>
      </c>
      <c r="V141" s="20" t="s">
        <v>14065</v>
      </c>
      <c r="W141" s="952"/>
      <c r="X141" s="91"/>
      <c r="Y141" s="91"/>
      <c r="Z141" s="91"/>
    </row>
    <row r="142" ht="15.75" customHeight="1">
      <c r="A142" s="1317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159"/>
      <c r="T142" s="66"/>
      <c r="U142" s="66"/>
      <c r="V142" s="66"/>
      <c r="W142" s="91"/>
      <c r="X142" s="91"/>
      <c r="Y142" s="91"/>
      <c r="Z142" s="91"/>
    </row>
    <row r="143" ht="15.75" customHeight="1">
      <c r="A143" s="1317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159"/>
      <c r="T143" s="66"/>
      <c r="U143" s="66"/>
      <c r="V143" s="66"/>
      <c r="W143" s="91"/>
      <c r="X143" s="91"/>
      <c r="Y143" s="91"/>
      <c r="Z143" s="91"/>
    </row>
    <row r="144" ht="15.75" customHeight="1">
      <c r="A144" s="1317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159"/>
      <c r="T144" s="66"/>
      <c r="U144" s="66"/>
      <c r="V144" s="66"/>
      <c r="W144" s="91"/>
      <c r="X144" s="91"/>
      <c r="Y144" s="91"/>
      <c r="Z144" s="91"/>
    </row>
    <row r="145" ht="15.75" customHeight="1">
      <c r="A145" s="91"/>
      <c r="B145" s="91"/>
      <c r="C145" s="91"/>
      <c r="D145" s="91"/>
      <c r="E145" s="91"/>
      <c r="F145" s="91"/>
      <c r="G145" s="1379"/>
      <c r="H145" s="1380">
        <f>SUM(H2:H144)</f>
        <v>326058.2</v>
      </c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1381">
        <f>SUM(S2:S144)</f>
        <v>1086291</v>
      </c>
      <c r="T145" s="91"/>
      <c r="U145" s="91"/>
      <c r="V145" s="91"/>
      <c r="W145" s="91"/>
      <c r="X145" s="91"/>
      <c r="Y145" s="91"/>
      <c r="Z145" s="91"/>
    </row>
    <row r="146" ht="15.7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1379"/>
      <c r="T146" s="91"/>
      <c r="U146" s="91"/>
      <c r="V146" s="91"/>
      <c r="W146" s="91"/>
      <c r="X146" s="91"/>
      <c r="Y146" s="91"/>
      <c r="Z146" s="91"/>
    </row>
    <row r="147" ht="15.7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1379"/>
      <c r="T147" s="91"/>
      <c r="U147" s="91"/>
      <c r="V147" s="91"/>
      <c r="W147" s="91"/>
      <c r="X147" s="91"/>
      <c r="Y147" s="91"/>
      <c r="Z147" s="91"/>
    </row>
    <row r="148" ht="15.7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1379"/>
      <c r="T148" s="91"/>
      <c r="U148" s="91"/>
      <c r="V148" s="91"/>
      <c r="W148" s="91"/>
      <c r="X148" s="91"/>
      <c r="Y148" s="91"/>
      <c r="Z148" s="91"/>
    </row>
    <row r="149" ht="15.7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1379"/>
      <c r="T149" s="91"/>
      <c r="U149" s="91"/>
      <c r="V149" s="91"/>
      <c r="W149" s="91"/>
      <c r="X149" s="91"/>
      <c r="Y149" s="91"/>
      <c r="Z149" s="91"/>
    </row>
    <row r="150" ht="15.7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1379"/>
      <c r="T150" s="91"/>
      <c r="U150" s="91"/>
      <c r="V150" s="91"/>
      <c r="W150" s="91"/>
      <c r="X150" s="91"/>
      <c r="Y150" s="91"/>
      <c r="Z150" s="91"/>
    </row>
    <row r="151" ht="15.7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1379"/>
      <c r="T151" s="91"/>
      <c r="U151" s="91"/>
      <c r="V151" s="91"/>
      <c r="W151" s="91"/>
      <c r="X151" s="91"/>
      <c r="Y151" s="91"/>
      <c r="Z151" s="91"/>
    </row>
    <row r="152" ht="15.7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1379"/>
      <c r="T152" s="91"/>
      <c r="U152" s="91"/>
      <c r="V152" s="91"/>
      <c r="W152" s="91"/>
      <c r="X152" s="91"/>
      <c r="Y152" s="91"/>
      <c r="Z152" s="91"/>
    </row>
    <row r="153" ht="15.7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1379"/>
      <c r="T153" s="91"/>
      <c r="U153" s="91"/>
      <c r="V153" s="91"/>
      <c r="W153" s="91"/>
      <c r="X153" s="91"/>
      <c r="Y153" s="91"/>
      <c r="Z153" s="91"/>
    </row>
    <row r="154" ht="15.7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1379"/>
      <c r="T154" s="91"/>
      <c r="U154" s="91"/>
      <c r="V154" s="91"/>
      <c r="W154" s="91"/>
      <c r="X154" s="91"/>
      <c r="Y154" s="91"/>
      <c r="Z154" s="91"/>
    </row>
    <row r="155" ht="15.7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1379"/>
      <c r="T155" s="91"/>
      <c r="U155" s="91"/>
      <c r="V155" s="91"/>
      <c r="W155" s="91"/>
      <c r="X155" s="91"/>
      <c r="Y155" s="91"/>
      <c r="Z155" s="91"/>
    </row>
    <row r="156" ht="15.7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1379"/>
      <c r="T156" s="91"/>
      <c r="U156" s="91"/>
      <c r="V156" s="91"/>
      <c r="W156" s="91"/>
      <c r="X156" s="91"/>
      <c r="Y156" s="91"/>
      <c r="Z156" s="91"/>
    </row>
    <row r="157" ht="15.7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1379"/>
      <c r="T157" s="91"/>
      <c r="U157" s="91"/>
      <c r="V157" s="91"/>
      <c r="W157" s="91"/>
      <c r="X157" s="91"/>
      <c r="Y157" s="91"/>
      <c r="Z157" s="91"/>
    </row>
    <row r="158" ht="15.7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1379"/>
      <c r="T158" s="91"/>
      <c r="U158" s="91"/>
      <c r="V158" s="91"/>
      <c r="W158" s="91"/>
      <c r="X158" s="91"/>
      <c r="Y158" s="91"/>
      <c r="Z158" s="91"/>
    </row>
    <row r="159" ht="15.7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1379"/>
      <c r="T159" s="91"/>
      <c r="U159" s="91"/>
      <c r="V159" s="91"/>
      <c r="W159" s="91"/>
      <c r="X159" s="91"/>
      <c r="Y159" s="91"/>
      <c r="Z159" s="91"/>
    </row>
    <row r="160" ht="15.7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1379"/>
      <c r="T160" s="91"/>
      <c r="U160" s="91"/>
      <c r="V160" s="91"/>
      <c r="W160" s="91"/>
      <c r="X160" s="91"/>
      <c r="Y160" s="91"/>
      <c r="Z160" s="91"/>
    </row>
    <row r="161" ht="15.7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1379"/>
      <c r="T161" s="91"/>
      <c r="U161" s="91"/>
      <c r="V161" s="91"/>
      <c r="W161" s="91"/>
      <c r="X161" s="91"/>
      <c r="Y161" s="91"/>
      <c r="Z161" s="91"/>
    </row>
    <row r="162" ht="15.7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1379"/>
      <c r="T162" s="91"/>
      <c r="U162" s="91"/>
      <c r="V162" s="91"/>
      <c r="W162" s="91"/>
      <c r="X162" s="91"/>
      <c r="Y162" s="91"/>
      <c r="Z162" s="91"/>
    </row>
    <row r="163" ht="15.7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1379"/>
      <c r="T163" s="91"/>
      <c r="U163" s="91"/>
      <c r="V163" s="91"/>
      <c r="W163" s="91"/>
      <c r="X163" s="91"/>
      <c r="Y163" s="91"/>
      <c r="Z163" s="91"/>
    </row>
    <row r="164" ht="15.7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1379"/>
      <c r="T164" s="91"/>
      <c r="U164" s="91"/>
      <c r="V164" s="91"/>
      <c r="W164" s="91"/>
      <c r="X164" s="91"/>
      <c r="Y164" s="91"/>
      <c r="Z164" s="91"/>
    </row>
    <row r="165" ht="15.7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1379"/>
      <c r="T165" s="91"/>
      <c r="U165" s="91"/>
      <c r="V165" s="91"/>
      <c r="W165" s="91"/>
      <c r="X165" s="91"/>
      <c r="Y165" s="91"/>
      <c r="Z165" s="91"/>
    </row>
    <row r="166" ht="15.7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1379"/>
      <c r="T166" s="91"/>
      <c r="U166" s="91"/>
      <c r="V166" s="91"/>
      <c r="W166" s="91"/>
      <c r="X166" s="91"/>
      <c r="Y166" s="91"/>
      <c r="Z166" s="91"/>
    </row>
    <row r="167" ht="15.7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1379"/>
      <c r="T167" s="91"/>
      <c r="U167" s="91"/>
      <c r="V167" s="91"/>
      <c r="W167" s="91"/>
      <c r="X167" s="91"/>
      <c r="Y167" s="91"/>
      <c r="Z167" s="91"/>
    </row>
    <row r="168" ht="15.7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1379"/>
      <c r="T168" s="91"/>
      <c r="U168" s="91"/>
      <c r="V168" s="91"/>
      <c r="W168" s="91"/>
      <c r="X168" s="91"/>
      <c r="Y168" s="91"/>
      <c r="Z168" s="91"/>
    </row>
    <row r="169" ht="15.7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1379"/>
      <c r="T169" s="91"/>
      <c r="U169" s="91"/>
      <c r="V169" s="91"/>
      <c r="W169" s="91"/>
      <c r="X169" s="91"/>
      <c r="Y169" s="91"/>
      <c r="Z169" s="91"/>
    </row>
    <row r="170" ht="15.7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1379"/>
      <c r="T170" s="91"/>
      <c r="U170" s="91"/>
      <c r="V170" s="91"/>
      <c r="W170" s="91"/>
      <c r="X170" s="91"/>
      <c r="Y170" s="91"/>
      <c r="Z170" s="91"/>
    </row>
    <row r="171" ht="15.7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1379"/>
      <c r="T171" s="91"/>
      <c r="U171" s="91"/>
      <c r="V171" s="91"/>
      <c r="W171" s="91"/>
      <c r="X171" s="91"/>
      <c r="Y171" s="91"/>
      <c r="Z171" s="91"/>
    </row>
    <row r="172" ht="15.7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1379"/>
      <c r="T172" s="91"/>
      <c r="U172" s="91"/>
      <c r="V172" s="91"/>
      <c r="W172" s="91"/>
      <c r="X172" s="91"/>
      <c r="Y172" s="91"/>
      <c r="Z172" s="91"/>
    </row>
    <row r="173" ht="15.7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1379"/>
      <c r="T173" s="91"/>
      <c r="U173" s="91"/>
      <c r="V173" s="91"/>
      <c r="W173" s="91"/>
      <c r="X173" s="91"/>
      <c r="Y173" s="91"/>
      <c r="Z173" s="91"/>
    </row>
    <row r="174" ht="15.7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1379"/>
      <c r="T174" s="91"/>
      <c r="U174" s="91"/>
      <c r="V174" s="91"/>
      <c r="W174" s="91"/>
      <c r="X174" s="91"/>
      <c r="Y174" s="91"/>
      <c r="Z174" s="91"/>
    </row>
    <row r="175" ht="15.7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1379"/>
      <c r="T175" s="91"/>
      <c r="U175" s="91"/>
      <c r="V175" s="91"/>
      <c r="W175" s="91"/>
      <c r="X175" s="91"/>
      <c r="Y175" s="91"/>
      <c r="Z175" s="91"/>
    </row>
    <row r="176" ht="15.7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1379"/>
      <c r="T176" s="91"/>
      <c r="U176" s="91"/>
      <c r="V176" s="91"/>
      <c r="W176" s="91"/>
      <c r="X176" s="91"/>
      <c r="Y176" s="91"/>
      <c r="Z176" s="91"/>
    </row>
    <row r="177" ht="15.7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1379"/>
      <c r="T177" s="91"/>
      <c r="U177" s="91"/>
      <c r="V177" s="91"/>
      <c r="W177" s="91"/>
      <c r="X177" s="91"/>
      <c r="Y177" s="91"/>
      <c r="Z177" s="91"/>
    </row>
    <row r="178" ht="15.7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1379"/>
      <c r="T178" s="91"/>
      <c r="U178" s="91"/>
      <c r="V178" s="91"/>
      <c r="W178" s="91"/>
      <c r="X178" s="91"/>
      <c r="Y178" s="91"/>
      <c r="Z178" s="91"/>
    </row>
    <row r="179" ht="15.7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1379"/>
      <c r="T179" s="91"/>
      <c r="U179" s="91"/>
      <c r="V179" s="91"/>
      <c r="W179" s="91"/>
      <c r="X179" s="91"/>
      <c r="Y179" s="91"/>
      <c r="Z179" s="91"/>
    </row>
    <row r="180" ht="15.7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1379"/>
      <c r="T180" s="91"/>
      <c r="U180" s="91"/>
      <c r="V180" s="91"/>
      <c r="W180" s="91"/>
      <c r="X180" s="91"/>
      <c r="Y180" s="91"/>
      <c r="Z180" s="91"/>
    </row>
    <row r="181" ht="15.7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1379"/>
      <c r="T181" s="91"/>
      <c r="U181" s="91"/>
      <c r="V181" s="91"/>
      <c r="W181" s="91"/>
      <c r="X181" s="91"/>
      <c r="Y181" s="91"/>
      <c r="Z181" s="91"/>
    </row>
    <row r="182" ht="15.7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1379"/>
      <c r="T182" s="91"/>
      <c r="U182" s="91"/>
      <c r="V182" s="91"/>
      <c r="W182" s="91"/>
      <c r="X182" s="91"/>
      <c r="Y182" s="91"/>
      <c r="Z182" s="91"/>
    </row>
    <row r="183" ht="15.7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1379"/>
      <c r="T183" s="91"/>
      <c r="U183" s="91"/>
      <c r="V183" s="91"/>
      <c r="W183" s="91"/>
      <c r="X183" s="91"/>
      <c r="Y183" s="91"/>
      <c r="Z183" s="91"/>
    </row>
    <row r="184" ht="15.7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1379"/>
      <c r="T184" s="91"/>
      <c r="U184" s="91"/>
      <c r="V184" s="91"/>
      <c r="W184" s="91"/>
      <c r="X184" s="91"/>
      <c r="Y184" s="91"/>
      <c r="Z184" s="91"/>
    </row>
    <row r="185" ht="15.7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1379"/>
      <c r="T185" s="91"/>
      <c r="U185" s="91"/>
      <c r="V185" s="91"/>
      <c r="W185" s="91"/>
      <c r="X185" s="91"/>
      <c r="Y185" s="91"/>
      <c r="Z185" s="91"/>
    </row>
    <row r="186" ht="15.7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1379"/>
      <c r="T186" s="91"/>
      <c r="U186" s="91"/>
      <c r="V186" s="91"/>
      <c r="W186" s="91"/>
      <c r="X186" s="91"/>
      <c r="Y186" s="91"/>
      <c r="Z186" s="91"/>
    </row>
    <row r="187" ht="15.7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1379"/>
      <c r="T187" s="91"/>
      <c r="U187" s="91"/>
      <c r="V187" s="91"/>
      <c r="W187" s="91"/>
      <c r="X187" s="91"/>
      <c r="Y187" s="91"/>
      <c r="Z187" s="91"/>
    </row>
    <row r="188" ht="15.7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1379"/>
      <c r="T188" s="91"/>
      <c r="U188" s="91"/>
      <c r="V188" s="91"/>
      <c r="W188" s="91"/>
      <c r="X188" s="91"/>
      <c r="Y188" s="91"/>
      <c r="Z188" s="91"/>
    </row>
    <row r="189" ht="15.7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1379"/>
      <c r="T189" s="91"/>
      <c r="U189" s="91"/>
      <c r="V189" s="91"/>
      <c r="W189" s="91"/>
      <c r="X189" s="91"/>
      <c r="Y189" s="91"/>
      <c r="Z189" s="91"/>
    </row>
    <row r="190" ht="15.7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1379"/>
      <c r="T190" s="91"/>
      <c r="U190" s="91"/>
      <c r="V190" s="91"/>
      <c r="W190" s="91"/>
      <c r="X190" s="91"/>
      <c r="Y190" s="91"/>
      <c r="Z190" s="91"/>
    </row>
    <row r="191" ht="15.7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1379"/>
      <c r="T191" s="91"/>
      <c r="U191" s="91"/>
      <c r="V191" s="91"/>
      <c r="W191" s="91"/>
      <c r="X191" s="91"/>
      <c r="Y191" s="91"/>
      <c r="Z191" s="91"/>
    </row>
    <row r="192" ht="15.7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1379"/>
      <c r="T192" s="91"/>
      <c r="U192" s="91"/>
      <c r="V192" s="91"/>
      <c r="W192" s="91"/>
      <c r="X192" s="91"/>
      <c r="Y192" s="91"/>
      <c r="Z192" s="91"/>
    </row>
    <row r="193" ht="15.7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1379"/>
      <c r="T193" s="91"/>
      <c r="U193" s="91"/>
      <c r="V193" s="91"/>
      <c r="W193" s="91"/>
      <c r="X193" s="91"/>
      <c r="Y193" s="91"/>
      <c r="Z193" s="91"/>
    </row>
    <row r="194" ht="15.7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1379"/>
      <c r="T194" s="91"/>
      <c r="U194" s="91"/>
      <c r="V194" s="91"/>
      <c r="W194" s="91"/>
      <c r="X194" s="91"/>
      <c r="Y194" s="91"/>
      <c r="Z194" s="91"/>
    </row>
    <row r="195" ht="15.7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1379"/>
      <c r="T195" s="91"/>
      <c r="U195" s="91"/>
      <c r="V195" s="91"/>
      <c r="W195" s="91"/>
      <c r="X195" s="91"/>
      <c r="Y195" s="91"/>
      <c r="Z195" s="91"/>
    </row>
    <row r="196" ht="15.7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1379"/>
      <c r="T196" s="91"/>
      <c r="U196" s="91"/>
      <c r="V196" s="91"/>
      <c r="W196" s="91"/>
      <c r="X196" s="91"/>
      <c r="Y196" s="91"/>
      <c r="Z196" s="91"/>
    </row>
    <row r="197" ht="15.7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1379"/>
      <c r="T197" s="91"/>
      <c r="U197" s="91"/>
      <c r="V197" s="91"/>
      <c r="W197" s="91"/>
      <c r="X197" s="91"/>
      <c r="Y197" s="91"/>
      <c r="Z197" s="91"/>
    </row>
    <row r="198" ht="15.7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1379"/>
      <c r="T198" s="91"/>
      <c r="U198" s="91"/>
      <c r="V198" s="91"/>
      <c r="W198" s="91"/>
      <c r="X198" s="91"/>
      <c r="Y198" s="91"/>
      <c r="Z198" s="91"/>
    </row>
    <row r="199" ht="15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1379"/>
      <c r="T199" s="91"/>
      <c r="U199" s="91"/>
      <c r="V199" s="91"/>
      <c r="W199" s="91"/>
      <c r="X199" s="91"/>
      <c r="Y199" s="91"/>
      <c r="Z199" s="91"/>
    </row>
    <row r="200" ht="15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1379"/>
      <c r="T200" s="91"/>
      <c r="U200" s="91"/>
      <c r="V200" s="91"/>
      <c r="W200" s="91"/>
      <c r="X200" s="91"/>
      <c r="Y200" s="91"/>
      <c r="Z200" s="91"/>
    </row>
    <row r="201" ht="15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1379"/>
      <c r="T201" s="91"/>
      <c r="U201" s="91"/>
      <c r="V201" s="91"/>
      <c r="W201" s="91"/>
      <c r="X201" s="91"/>
      <c r="Y201" s="91"/>
      <c r="Z201" s="91"/>
    </row>
    <row r="202" ht="15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1379"/>
      <c r="T202" s="91"/>
      <c r="U202" s="91"/>
      <c r="V202" s="91"/>
      <c r="W202" s="91"/>
      <c r="X202" s="91"/>
      <c r="Y202" s="91"/>
      <c r="Z202" s="91"/>
    </row>
    <row r="203" ht="15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1379"/>
      <c r="T203" s="91"/>
      <c r="U203" s="91"/>
      <c r="V203" s="91"/>
      <c r="W203" s="91"/>
      <c r="X203" s="91"/>
      <c r="Y203" s="91"/>
      <c r="Z203" s="91"/>
    </row>
    <row r="204" ht="15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1379"/>
      <c r="T204" s="91"/>
      <c r="U204" s="91"/>
      <c r="V204" s="91"/>
      <c r="W204" s="91"/>
      <c r="X204" s="91"/>
      <c r="Y204" s="91"/>
      <c r="Z204" s="91"/>
    </row>
    <row r="205" ht="15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1379"/>
      <c r="T205" s="91"/>
      <c r="U205" s="91"/>
      <c r="V205" s="91"/>
      <c r="W205" s="91"/>
      <c r="X205" s="91"/>
      <c r="Y205" s="91"/>
      <c r="Z205" s="91"/>
    </row>
    <row r="206" ht="15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1379"/>
      <c r="T206" s="91"/>
      <c r="U206" s="91"/>
      <c r="V206" s="91"/>
      <c r="W206" s="91"/>
      <c r="X206" s="91"/>
      <c r="Y206" s="91"/>
      <c r="Z206" s="91"/>
    </row>
    <row r="207" ht="15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1379"/>
      <c r="T207" s="91"/>
      <c r="U207" s="91"/>
      <c r="V207" s="91"/>
      <c r="W207" s="91"/>
      <c r="X207" s="91"/>
      <c r="Y207" s="91"/>
      <c r="Z207" s="91"/>
    </row>
    <row r="208" ht="15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1379"/>
      <c r="T208" s="91"/>
      <c r="U208" s="91"/>
      <c r="V208" s="91"/>
      <c r="W208" s="91"/>
      <c r="X208" s="91"/>
      <c r="Y208" s="91"/>
      <c r="Z208" s="91"/>
    </row>
    <row r="209" ht="15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1379"/>
      <c r="T209" s="91"/>
      <c r="U209" s="91"/>
      <c r="V209" s="91"/>
      <c r="W209" s="91"/>
      <c r="X209" s="91"/>
      <c r="Y209" s="91"/>
      <c r="Z209" s="91"/>
    </row>
    <row r="210" ht="15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1379"/>
      <c r="T210" s="91"/>
      <c r="U210" s="91"/>
      <c r="V210" s="91"/>
      <c r="W210" s="91"/>
      <c r="X210" s="91"/>
      <c r="Y210" s="91"/>
      <c r="Z210" s="91"/>
    </row>
    <row r="211" ht="15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1379"/>
      <c r="T211" s="91"/>
      <c r="U211" s="91"/>
      <c r="V211" s="91"/>
      <c r="W211" s="91"/>
      <c r="X211" s="91"/>
      <c r="Y211" s="91"/>
      <c r="Z211" s="91"/>
    </row>
    <row r="212" ht="15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1379"/>
      <c r="T212" s="91"/>
      <c r="U212" s="91"/>
      <c r="V212" s="91"/>
      <c r="W212" s="91"/>
      <c r="X212" s="91"/>
      <c r="Y212" s="91"/>
      <c r="Z212" s="91"/>
    </row>
    <row r="213" ht="15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1379"/>
      <c r="T213" s="91"/>
      <c r="U213" s="91"/>
      <c r="V213" s="91"/>
      <c r="W213" s="91"/>
      <c r="X213" s="91"/>
      <c r="Y213" s="91"/>
      <c r="Z213" s="91"/>
    </row>
    <row r="214" ht="15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1379"/>
      <c r="T214" s="91"/>
      <c r="U214" s="91"/>
      <c r="V214" s="91"/>
      <c r="W214" s="91"/>
      <c r="X214" s="91"/>
      <c r="Y214" s="91"/>
      <c r="Z214" s="91"/>
    </row>
    <row r="215" ht="15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1379"/>
      <c r="T215" s="91"/>
      <c r="U215" s="91"/>
      <c r="V215" s="91"/>
      <c r="W215" s="91"/>
      <c r="X215" s="91"/>
      <c r="Y215" s="91"/>
      <c r="Z215" s="91"/>
    </row>
    <row r="216" ht="15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1379"/>
      <c r="T216" s="91"/>
      <c r="U216" s="91"/>
      <c r="V216" s="91"/>
      <c r="W216" s="91"/>
      <c r="X216" s="91"/>
      <c r="Y216" s="91"/>
      <c r="Z216" s="91"/>
    </row>
    <row r="217" ht="15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1379"/>
      <c r="T217" s="91"/>
      <c r="U217" s="91"/>
      <c r="V217" s="91"/>
      <c r="W217" s="91"/>
      <c r="X217" s="91"/>
      <c r="Y217" s="91"/>
      <c r="Z217" s="91"/>
    </row>
    <row r="218" ht="15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1379"/>
      <c r="T218" s="91"/>
      <c r="U218" s="91"/>
      <c r="V218" s="91"/>
      <c r="W218" s="91"/>
      <c r="X218" s="91"/>
      <c r="Y218" s="91"/>
      <c r="Z218" s="91"/>
    </row>
    <row r="219" ht="15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1379"/>
      <c r="T219" s="91"/>
      <c r="U219" s="91"/>
      <c r="V219" s="91"/>
      <c r="W219" s="91"/>
      <c r="X219" s="91"/>
      <c r="Y219" s="91"/>
      <c r="Z219" s="91"/>
    </row>
    <row r="220" ht="15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1379"/>
      <c r="T220" s="91"/>
      <c r="U220" s="91"/>
      <c r="V220" s="91"/>
      <c r="W220" s="91"/>
      <c r="X220" s="91"/>
      <c r="Y220" s="91"/>
      <c r="Z220" s="91"/>
    </row>
    <row r="221" ht="15.7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1379"/>
      <c r="T221" s="91"/>
      <c r="U221" s="91"/>
      <c r="V221" s="91"/>
      <c r="W221" s="91"/>
      <c r="X221" s="91"/>
      <c r="Y221" s="91"/>
      <c r="Z221" s="91"/>
    </row>
    <row r="222" ht="15.7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1379"/>
      <c r="T222" s="91"/>
      <c r="U222" s="91"/>
      <c r="V222" s="91"/>
      <c r="W222" s="91"/>
      <c r="X222" s="91"/>
      <c r="Y222" s="91"/>
      <c r="Z222" s="91"/>
    </row>
    <row r="223" ht="15.7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1379"/>
      <c r="T223" s="91"/>
      <c r="U223" s="91"/>
      <c r="V223" s="91"/>
      <c r="W223" s="91"/>
      <c r="X223" s="91"/>
      <c r="Y223" s="91"/>
      <c r="Z223" s="91"/>
    </row>
    <row r="224" ht="15.7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1379"/>
      <c r="T224" s="91"/>
      <c r="U224" s="91"/>
      <c r="V224" s="91"/>
      <c r="W224" s="91"/>
      <c r="X224" s="91"/>
      <c r="Y224" s="91"/>
      <c r="Z224" s="91"/>
    </row>
    <row r="225" ht="15.7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1379"/>
      <c r="T225" s="91"/>
      <c r="U225" s="91"/>
      <c r="V225" s="91"/>
      <c r="W225" s="91"/>
      <c r="X225" s="91"/>
      <c r="Y225" s="91"/>
      <c r="Z225" s="91"/>
    </row>
    <row r="226" ht="15.7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1379"/>
      <c r="T226" s="91"/>
      <c r="U226" s="91"/>
      <c r="V226" s="91"/>
      <c r="W226" s="91"/>
      <c r="X226" s="91"/>
      <c r="Y226" s="91"/>
      <c r="Z226" s="91"/>
    </row>
    <row r="227" ht="15.7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1379"/>
      <c r="T227" s="91"/>
      <c r="U227" s="91"/>
      <c r="V227" s="91"/>
      <c r="W227" s="91"/>
      <c r="X227" s="91"/>
      <c r="Y227" s="91"/>
      <c r="Z227" s="91"/>
    </row>
    <row r="228" ht="15.7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1379"/>
      <c r="T228" s="91"/>
      <c r="U228" s="91"/>
      <c r="V228" s="91"/>
      <c r="W228" s="91"/>
      <c r="X228" s="91"/>
      <c r="Y228" s="91"/>
      <c r="Z228" s="91"/>
    </row>
    <row r="229" ht="15.7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1379"/>
      <c r="T229" s="91"/>
      <c r="U229" s="91"/>
      <c r="V229" s="91"/>
      <c r="W229" s="91"/>
      <c r="X229" s="91"/>
      <c r="Y229" s="91"/>
      <c r="Z229" s="91"/>
    </row>
    <row r="230" ht="15.7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1379"/>
      <c r="T230" s="91"/>
      <c r="U230" s="91"/>
      <c r="V230" s="91"/>
      <c r="W230" s="91"/>
      <c r="X230" s="91"/>
      <c r="Y230" s="91"/>
      <c r="Z230" s="91"/>
    </row>
    <row r="231" ht="15.7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1379"/>
      <c r="T231" s="91"/>
      <c r="U231" s="91"/>
      <c r="V231" s="91"/>
      <c r="W231" s="91"/>
      <c r="X231" s="91"/>
      <c r="Y231" s="91"/>
      <c r="Z231" s="91"/>
    </row>
    <row r="232" ht="15.7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1379"/>
      <c r="T232" s="91"/>
      <c r="U232" s="91"/>
      <c r="V232" s="91"/>
      <c r="W232" s="91"/>
      <c r="X232" s="91"/>
      <c r="Y232" s="91"/>
      <c r="Z232" s="91"/>
    </row>
    <row r="233" ht="15.7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1379"/>
      <c r="T233" s="91"/>
      <c r="U233" s="91"/>
      <c r="V233" s="91"/>
      <c r="W233" s="91"/>
      <c r="X233" s="91"/>
      <c r="Y233" s="91"/>
      <c r="Z233" s="91"/>
    </row>
    <row r="234" ht="15.7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1379"/>
      <c r="T234" s="91"/>
      <c r="U234" s="91"/>
      <c r="V234" s="91"/>
      <c r="W234" s="91"/>
      <c r="X234" s="91"/>
      <c r="Y234" s="91"/>
      <c r="Z234" s="91"/>
    </row>
    <row r="235" ht="15.7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1379"/>
      <c r="T235" s="91"/>
      <c r="U235" s="91"/>
      <c r="V235" s="91"/>
      <c r="W235" s="91"/>
      <c r="X235" s="91"/>
      <c r="Y235" s="91"/>
      <c r="Z235" s="91"/>
    </row>
    <row r="236" ht="15.7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1379"/>
      <c r="T236" s="91"/>
      <c r="U236" s="91"/>
      <c r="V236" s="91"/>
      <c r="W236" s="91"/>
      <c r="X236" s="91"/>
      <c r="Y236" s="91"/>
      <c r="Z236" s="91"/>
    </row>
    <row r="237" ht="15.7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1379"/>
      <c r="T237" s="91"/>
      <c r="U237" s="91"/>
      <c r="V237" s="91"/>
      <c r="W237" s="91"/>
      <c r="X237" s="91"/>
      <c r="Y237" s="91"/>
      <c r="Z237" s="91"/>
    </row>
    <row r="238" ht="15.7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1379"/>
      <c r="T238" s="91"/>
      <c r="U238" s="91"/>
      <c r="V238" s="91"/>
      <c r="W238" s="91"/>
      <c r="X238" s="91"/>
      <c r="Y238" s="91"/>
      <c r="Z238" s="91"/>
    </row>
    <row r="239" ht="15.7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1379"/>
      <c r="T239" s="91"/>
      <c r="U239" s="91"/>
      <c r="V239" s="91"/>
      <c r="W239" s="91"/>
      <c r="X239" s="91"/>
      <c r="Y239" s="91"/>
      <c r="Z239" s="91"/>
    </row>
    <row r="240" ht="15.7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1379"/>
      <c r="T240" s="91"/>
      <c r="U240" s="91"/>
      <c r="V240" s="91"/>
      <c r="W240" s="91"/>
      <c r="X240" s="91"/>
      <c r="Y240" s="91"/>
      <c r="Z240" s="91"/>
    </row>
    <row r="241" ht="15.7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1379"/>
      <c r="T241" s="91"/>
      <c r="U241" s="91"/>
      <c r="V241" s="91"/>
      <c r="W241" s="91"/>
      <c r="X241" s="91"/>
      <c r="Y241" s="91"/>
      <c r="Z241" s="91"/>
    </row>
    <row r="242" ht="15.7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1379"/>
      <c r="T242" s="91"/>
      <c r="U242" s="91"/>
      <c r="V242" s="91"/>
      <c r="W242" s="91"/>
      <c r="X242" s="91"/>
      <c r="Y242" s="91"/>
      <c r="Z242" s="91"/>
    </row>
    <row r="243" ht="15.7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1379"/>
      <c r="T243" s="91"/>
      <c r="U243" s="91"/>
      <c r="V243" s="91"/>
      <c r="W243" s="91"/>
      <c r="X243" s="91"/>
      <c r="Y243" s="91"/>
      <c r="Z243" s="91"/>
    </row>
    <row r="244" ht="15.7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1379"/>
      <c r="T244" s="91"/>
      <c r="U244" s="91"/>
      <c r="V244" s="91"/>
      <c r="W244" s="91"/>
      <c r="X244" s="91"/>
      <c r="Y244" s="91"/>
      <c r="Z244" s="91"/>
    </row>
    <row r="245" ht="15.7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1379"/>
      <c r="T245" s="91"/>
      <c r="U245" s="91"/>
      <c r="V245" s="91"/>
      <c r="W245" s="91"/>
      <c r="X245" s="91"/>
      <c r="Y245" s="91"/>
      <c r="Z245" s="91"/>
    </row>
    <row r="246" ht="15.7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1379"/>
      <c r="T246" s="91"/>
      <c r="U246" s="91"/>
      <c r="V246" s="91"/>
      <c r="W246" s="91"/>
      <c r="X246" s="91"/>
      <c r="Y246" s="91"/>
      <c r="Z246" s="91"/>
    </row>
    <row r="247" ht="15.7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1379"/>
      <c r="T247" s="91"/>
      <c r="U247" s="91"/>
      <c r="V247" s="91"/>
      <c r="W247" s="91"/>
      <c r="X247" s="91"/>
      <c r="Y247" s="91"/>
      <c r="Z247" s="91"/>
    </row>
    <row r="248" ht="15.7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1379"/>
      <c r="T248" s="91"/>
      <c r="U248" s="91"/>
      <c r="V248" s="91"/>
      <c r="W248" s="91"/>
      <c r="X248" s="91"/>
      <c r="Y248" s="91"/>
      <c r="Z248" s="91"/>
    </row>
    <row r="249" ht="15.7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1379"/>
      <c r="T249" s="91"/>
      <c r="U249" s="91"/>
      <c r="V249" s="91"/>
      <c r="W249" s="91"/>
      <c r="X249" s="91"/>
      <c r="Y249" s="91"/>
      <c r="Z249" s="91"/>
    </row>
    <row r="250" ht="15.7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1379"/>
      <c r="T250" s="91"/>
      <c r="U250" s="91"/>
      <c r="V250" s="91"/>
      <c r="W250" s="91"/>
      <c r="X250" s="91"/>
      <c r="Y250" s="91"/>
      <c r="Z250" s="91"/>
    </row>
    <row r="251" ht="15.7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1379"/>
      <c r="T251" s="91"/>
      <c r="U251" s="91"/>
      <c r="V251" s="91"/>
      <c r="W251" s="91"/>
      <c r="X251" s="91"/>
      <c r="Y251" s="91"/>
      <c r="Z251" s="91"/>
    </row>
    <row r="252" ht="15.7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1379"/>
      <c r="T252" s="91"/>
      <c r="U252" s="91"/>
      <c r="V252" s="91"/>
      <c r="W252" s="91"/>
      <c r="X252" s="91"/>
      <c r="Y252" s="91"/>
      <c r="Z252" s="91"/>
    </row>
    <row r="253" ht="15.7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1379"/>
      <c r="T253" s="91"/>
      <c r="U253" s="91"/>
      <c r="V253" s="91"/>
      <c r="W253" s="91"/>
      <c r="X253" s="91"/>
      <c r="Y253" s="91"/>
      <c r="Z253" s="91"/>
    </row>
    <row r="254" ht="15.7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1379"/>
      <c r="T254" s="91"/>
      <c r="U254" s="91"/>
      <c r="V254" s="91"/>
      <c r="W254" s="91"/>
      <c r="X254" s="91"/>
      <c r="Y254" s="91"/>
      <c r="Z254" s="91"/>
    </row>
    <row r="255" ht="15.7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1379"/>
      <c r="T255" s="91"/>
      <c r="U255" s="91"/>
      <c r="V255" s="91"/>
      <c r="W255" s="91"/>
      <c r="X255" s="91"/>
      <c r="Y255" s="91"/>
      <c r="Z255" s="91"/>
    </row>
    <row r="256" ht="15.75" customHeight="1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1379"/>
      <c r="T256" s="91"/>
      <c r="U256" s="91"/>
      <c r="V256" s="91"/>
      <c r="W256" s="91"/>
      <c r="X256" s="91"/>
      <c r="Y256" s="91"/>
      <c r="Z256" s="91"/>
    </row>
    <row r="257" ht="15.75" customHeight="1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1379"/>
      <c r="T257" s="91"/>
      <c r="U257" s="91"/>
      <c r="V257" s="91"/>
      <c r="W257" s="91"/>
      <c r="X257" s="91"/>
      <c r="Y257" s="91"/>
      <c r="Z257" s="91"/>
    </row>
    <row r="258" ht="15.75" customHeight="1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1379"/>
      <c r="T258" s="91"/>
      <c r="U258" s="91"/>
      <c r="V258" s="91"/>
      <c r="W258" s="91"/>
      <c r="X258" s="91"/>
      <c r="Y258" s="91"/>
      <c r="Z258" s="91"/>
    </row>
    <row r="259" ht="15.75" customHeight="1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1379"/>
      <c r="T259" s="91"/>
      <c r="U259" s="91"/>
      <c r="V259" s="91"/>
      <c r="W259" s="91"/>
      <c r="X259" s="91"/>
      <c r="Y259" s="91"/>
      <c r="Z259" s="91"/>
    </row>
    <row r="260" ht="15.75" customHeight="1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1379"/>
      <c r="T260" s="91"/>
      <c r="U260" s="91"/>
      <c r="V260" s="91"/>
      <c r="W260" s="91"/>
      <c r="X260" s="91"/>
      <c r="Y260" s="91"/>
      <c r="Z260" s="91"/>
    </row>
    <row r="261" ht="15.75" customHeight="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1379"/>
      <c r="T261" s="91"/>
      <c r="U261" s="91"/>
      <c r="V261" s="91"/>
      <c r="W261" s="91"/>
      <c r="X261" s="91"/>
      <c r="Y261" s="91"/>
      <c r="Z261" s="91"/>
    </row>
    <row r="262" ht="15.75" customHeight="1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1379"/>
      <c r="T262" s="91"/>
      <c r="U262" s="91"/>
      <c r="V262" s="91"/>
      <c r="W262" s="91"/>
      <c r="X262" s="91"/>
      <c r="Y262" s="91"/>
      <c r="Z262" s="91"/>
    </row>
    <row r="263" ht="15.75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1379"/>
      <c r="T263" s="91"/>
      <c r="U263" s="91"/>
      <c r="V263" s="91"/>
      <c r="W263" s="91"/>
      <c r="X263" s="91"/>
      <c r="Y263" s="91"/>
      <c r="Z263" s="91"/>
    </row>
    <row r="264" ht="15.75" customHeight="1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1379"/>
      <c r="T264" s="91"/>
      <c r="U264" s="91"/>
      <c r="V264" s="91"/>
      <c r="W264" s="91"/>
      <c r="X264" s="91"/>
      <c r="Y264" s="91"/>
      <c r="Z264" s="91"/>
    </row>
    <row r="265" ht="15.75" customHeight="1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1379"/>
      <c r="T265" s="91"/>
      <c r="U265" s="91"/>
      <c r="V265" s="91"/>
      <c r="W265" s="91"/>
      <c r="X265" s="91"/>
      <c r="Y265" s="91"/>
      <c r="Z265" s="91"/>
    </row>
    <row r="266" ht="15.75" customHeight="1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1379"/>
      <c r="T266" s="91"/>
      <c r="U266" s="91"/>
      <c r="V266" s="91"/>
      <c r="W266" s="91"/>
      <c r="X266" s="91"/>
      <c r="Y266" s="91"/>
      <c r="Z266" s="91"/>
    </row>
    <row r="267" ht="15.75" customHeight="1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1379"/>
      <c r="T267" s="91"/>
      <c r="U267" s="91"/>
      <c r="V267" s="91"/>
      <c r="W267" s="91"/>
      <c r="X267" s="91"/>
      <c r="Y267" s="91"/>
      <c r="Z267" s="91"/>
    </row>
    <row r="268" ht="15.75" customHeight="1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1379"/>
      <c r="T268" s="91"/>
      <c r="U268" s="91"/>
      <c r="V268" s="91"/>
      <c r="W268" s="91"/>
      <c r="X268" s="91"/>
      <c r="Y268" s="91"/>
      <c r="Z268" s="91"/>
    </row>
    <row r="269" ht="15.75" customHeight="1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1379"/>
      <c r="T269" s="91"/>
      <c r="U269" s="91"/>
      <c r="V269" s="91"/>
      <c r="W269" s="91"/>
      <c r="X269" s="91"/>
      <c r="Y269" s="91"/>
      <c r="Z269" s="91"/>
    </row>
    <row r="270" ht="15.75" customHeight="1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1379"/>
      <c r="T270" s="91"/>
      <c r="U270" s="91"/>
      <c r="V270" s="91"/>
      <c r="W270" s="91"/>
      <c r="X270" s="91"/>
      <c r="Y270" s="91"/>
      <c r="Z270" s="91"/>
    </row>
    <row r="271" ht="15.75" customHeight="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1379"/>
      <c r="T271" s="91"/>
      <c r="U271" s="91"/>
      <c r="V271" s="91"/>
      <c r="W271" s="91"/>
      <c r="X271" s="91"/>
      <c r="Y271" s="91"/>
      <c r="Z271" s="91"/>
    </row>
    <row r="272" ht="15.75" customHeight="1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1379"/>
      <c r="T272" s="91"/>
      <c r="U272" s="91"/>
      <c r="V272" s="91"/>
      <c r="W272" s="91"/>
      <c r="X272" s="91"/>
      <c r="Y272" s="91"/>
      <c r="Z272" s="91"/>
    </row>
    <row r="273" ht="15.75" customHeight="1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1379"/>
      <c r="T273" s="91"/>
      <c r="U273" s="91"/>
      <c r="V273" s="91"/>
      <c r="W273" s="91"/>
      <c r="X273" s="91"/>
      <c r="Y273" s="91"/>
      <c r="Z273" s="91"/>
    </row>
    <row r="274" ht="15.75" customHeight="1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1379"/>
      <c r="T274" s="91"/>
      <c r="U274" s="91"/>
      <c r="V274" s="91"/>
      <c r="W274" s="91"/>
      <c r="X274" s="91"/>
      <c r="Y274" s="91"/>
      <c r="Z274" s="91"/>
    </row>
    <row r="275" ht="15.75" customHeight="1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1379"/>
      <c r="T275" s="91"/>
      <c r="U275" s="91"/>
      <c r="V275" s="91"/>
      <c r="W275" s="91"/>
      <c r="X275" s="91"/>
      <c r="Y275" s="91"/>
      <c r="Z275" s="91"/>
    </row>
    <row r="276" ht="15.75" customHeight="1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1379"/>
      <c r="T276" s="91"/>
      <c r="U276" s="91"/>
      <c r="V276" s="91"/>
      <c r="W276" s="91"/>
      <c r="X276" s="91"/>
      <c r="Y276" s="91"/>
      <c r="Z276" s="91"/>
    </row>
    <row r="277" ht="15.75" customHeight="1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1379"/>
      <c r="T277" s="91"/>
      <c r="U277" s="91"/>
      <c r="V277" s="91"/>
      <c r="W277" s="91"/>
      <c r="X277" s="91"/>
      <c r="Y277" s="91"/>
      <c r="Z277" s="91"/>
    </row>
    <row r="278" ht="15.75" customHeight="1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1379"/>
      <c r="T278" s="91"/>
      <c r="U278" s="91"/>
      <c r="V278" s="91"/>
      <c r="W278" s="91"/>
      <c r="X278" s="91"/>
      <c r="Y278" s="91"/>
      <c r="Z278" s="91"/>
    </row>
    <row r="279" ht="15.75" customHeight="1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1379"/>
      <c r="T279" s="91"/>
      <c r="U279" s="91"/>
      <c r="V279" s="91"/>
      <c r="W279" s="91"/>
      <c r="X279" s="91"/>
      <c r="Y279" s="91"/>
      <c r="Z279" s="91"/>
    </row>
    <row r="280" ht="15.75" customHeight="1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1379"/>
      <c r="T280" s="91"/>
      <c r="U280" s="91"/>
      <c r="V280" s="91"/>
      <c r="W280" s="91"/>
      <c r="X280" s="91"/>
      <c r="Y280" s="91"/>
      <c r="Z280" s="91"/>
    </row>
    <row r="281" ht="15.75" customHeight="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1379"/>
      <c r="T281" s="91"/>
      <c r="U281" s="91"/>
      <c r="V281" s="91"/>
      <c r="W281" s="91"/>
      <c r="X281" s="91"/>
      <c r="Y281" s="91"/>
      <c r="Z281" s="91"/>
    </row>
    <row r="282" ht="15.75" customHeight="1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1379"/>
      <c r="T282" s="91"/>
      <c r="U282" s="91"/>
      <c r="V282" s="91"/>
      <c r="W282" s="91"/>
      <c r="X282" s="91"/>
      <c r="Y282" s="91"/>
      <c r="Z282" s="91"/>
    </row>
    <row r="283" ht="15.75" customHeight="1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1379"/>
      <c r="T283" s="91"/>
      <c r="U283" s="91"/>
      <c r="V283" s="91"/>
      <c r="W283" s="91"/>
      <c r="X283" s="91"/>
      <c r="Y283" s="91"/>
      <c r="Z283" s="91"/>
    </row>
    <row r="284" ht="15.75" customHeight="1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1379"/>
      <c r="T284" s="91"/>
      <c r="U284" s="91"/>
      <c r="V284" s="91"/>
      <c r="W284" s="91"/>
      <c r="X284" s="91"/>
      <c r="Y284" s="91"/>
      <c r="Z284" s="91"/>
    </row>
    <row r="285" ht="15.75" customHeight="1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1379"/>
      <c r="T285" s="91"/>
      <c r="U285" s="91"/>
      <c r="V285" s="91"/>
      <c r="W285" s="91"/>
      <c r="X285" s="91"/>
      <c r="Y285" s="91"/>
      <c r="Z285" s="91"/>
    </row>
    <row r="286" ht="15.75" customHeight="1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1379"/>
      <c r="T286" s="91"/>
      <c r="U286" s="91"/>
      <c r="V286" s="91"/>
      <c r="W286" s="91"/>
      <c r="X286" s="91"/>
      <c r="Y286" s="91"/>
      <c r="Z286" s="91"/>
    </row>
    <row r="287" ht="15.75" customHeight="1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1379"/>
      <c r="T287" s="91"/>
      <c r="U287" s="91"/>
      <c r="V287" s="91"/>
      <c r="W287" s="91"/>
      <c r="X287" s="91"/>
      <c r="Y287" s="91"/>
      <c r="Z287" s="91"/>
    </row>
    <row r="288" ht="15.75" customHeight="1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1379"/>
      <c r="T288" s="91"/>
      <c r="U288" s="91"/>
      <c r="V288" s="91"/>
      <c r="W288" s="91"/>
      <c r="X288" s="91"/>
      <c r="Y288" s="91"/>
      <c r="Z288" s="91"/>
    </row>
    <row r="289" ht="15.75" customHeight="1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1379"/>
      <c r="T289" s="91"/>
      <c r="U289" s="91"/>
      <c r="V289" s="91"/>
      <c r="W289" s="91"/>
      <c r="X289" s="91"/>
      <c r="Y289" s="91"/>
      <c r="Z289" s="91"/>
    </row>
    <row r="290" ht="15.75" customHeight="1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1379"/>
      <c r="T290" s="91"/>
      <c r="U290" s="91"/>
      <c r="V290" s="91"/>
      <c r="W290" s="91"/>
      <c r="X290" s="91"/>
      <c r="Y290" s="91"/>
      <c r="Z290" s="91"/>
    </row>
    <row r="291" ht="15.75" customHeight="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1379"/>
      <c r="T291" s="91"/>
      <c r="U291" s="91"/>
      <c r="V291" s="91"/>
      <c r="W291" s="91"/>
      <c r="X291" s="91"/>
      <c r="Y291" s="91"/>
      <c r="Z291" s="91"/>
    </row>
    <row r="292" ht="15.75" customHeight="1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1379"/>
      <c r="T292" s="91"/>
      <c r="U292" s="91"/>
      <c r="V292" s="91"/>
      <c r="W292" s="91"/>
      <c r="X292" s="91"/>
      <c r="Y292" s="91"/>
      <c r="Z292" s="91"/>
    </row>
    <row r="293" ht="15.75" customHeight="1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1379"/>
      <c r="T293" s="91"/>
      <c r="U293" s="91"/>
      <c r="V293" s="91"/>
      <c r="W293" s="91"/>
      <c r="X293" s="91"/>
      <c r="Y293" s="91"/>
      <c r="Z293" s="91"/>
    </row>
    <row r="294" ht="15.75" customHeight="1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1379"/>
      <c r="T294" s="91"/>
      <c r="U294" s="91"/>
      <c r="V294" s="91"/>
      <c r="W294" s="91"/>
      <c r="X294" s="91"/>
      <c r="Y294" s="91"/>
      <c r="Z294" s="91"/>
    </row>
    <row r="295" ht="15.75" customHeight="1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1379"/>
      <c r="T295" s="91"/>
      <c r="U295" s="91"/>
      <c r="V295" s="91"/>
      <c r="W295" s="91"/>
      <c r="X295" s="91"/>
      <c r="Y295" s="91"/>
      <c r="Z295" s="91"/>
    </row>
    <row r="296" ht="15.75" customHeight="1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1379"/>
      <c r="T296" s="91"/>
      <c r="U296" s="91"/>
      <c r="V296" s="91"/>
      <c r="W296" s="91"/>
      <c r="X296" s="91"/>
      <c r="Y296" s="91"/>
      <c r="Z296" s="91"/>
    </row>
    <row r="297" ht="15.75" customHeight="1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1379"/>
      <c r="T297" s="91"/>
      <c r="U297" s="91"/>
      <c r="V297" s="91"/>
      <c r="W297" s="91"/>
      <c r="X297" s="91"/>
      <c r="Y297" s="91"/>
      <c r="Z297" s="91"/>
    </row>
    <row r="298" ht="15.75" customHeight="1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1379"/>
      <c r="T298" s="91"/>
      <c r="U298" s="91"/>
      <c r="V298" s="91"/>
      <c r="W298" s="91"/>
      <c r="X298" s="91"/>
      <c r="Y298" s="91"/>
      <c r="Z298" s="91"/>
    </row>
    <row r="299" ht="15.75" customHeight="1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1379"/>
      <c r="T299" s="91"/>
      <c r="U299" s="91"/>
      <c r="V299" s="91"/>
      <c r="W299" s="91"/>
      <c r="X299" s="91"/>
      <c r="Y299" s="91"/>
      <c r="Z299" s="91"/>
    </row>
    <row r="300" ht="15.75" customHeight="1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1379"/>
      <c r="T300" s="91"/>
      <c r="U300" s="91"/>
      <c r="V300" s="91"/>
      <c r="W300" s="91"/>
      <c r="X300" s="91"/>
      <c r="Y300" s="91"/>
      <c r="Z300" s="91"/>
    </row>
    <row r="301" ht="15.75" customHeight="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1379"/>
      <c r="T301" s="91"/>
      <c r="U301" s="91"/>
      <c r="V301" s="91"/>
      <c r="W301" s="91"/>
      <c r="X301" s="91"/>
      <c r="Y301" s="91"/>
      <c r="Z301" s="91"/>
    </row>
    <row r="302" ht="15.75" customHeight="1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1379"/>
      <c r="T302" s="91"/>
      <c r="U302" s="91"/>
      <c r="V302" s="91"/>
      <c r="W302" s="91"/>
      <c r="X302" s="91"/>
      <c r="Y302" s="91"/>
      <c r="Z302" s="91"/>
    </row>
    <row r="303" ht="15.75" customHeight="1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1379"/>
      <c r="T303" s="91"/>
      <c r="U303" s="91"/>
      <c r="V303" s="91"/>
      <c r="W303" s="91"/>
      <c r="X303" s="91"/>
      <c r="Y303" s="91"/>
      <c r="Z303" s="91"/>
    </row>
    <row r="304" ht="15.75" customHeight="1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1379"/>
      <c r="T304" s="91"/>
      <c r="U304" s="91"/>
      <c r="V304" s="91"/>
      <c r="W304" s="91"/>
      <c r="X304" s="91"/>
      <c r="Y304" s="91"/>
      <c r="Z304" s="91"/>
    </row>
    <row r="305" ht="15.75" customHeight="1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1379"/>
      <c r="T305" s="91"/>
      <c r="U305" s="91"/>
      <c r="V305" s="91"/>
      <c r="W305" s="91"/>
      <c r="X305" s="91"/>
      <c r="Y305" s="91"/>
      <c r="Z305" s="91"/>
    </row>
    <row r="306" ht="15.75" customHeight="1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1379"/>
      <c r="T306" s="91"/>
      <c r="U306" s="91"/>
      <c r="V306" s="91"/>
      <c r="W306" s="91"/>
      <c r="X306" s="91"/>
      <c r="Y306" s="91"/>
      <c r="Z306" s="91"/>
    </row>
    <row r="307" ht="15.75" customHeight="1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1379"/>
      <c r="T307" s="91"/>
      <c r="U307" s="91"/>
      <c r="V307" s="91"/>
      <c r="W307" s="91"/>
      <c r="X307" s="91"/>
      <c r="Y307" s="91"/>
      <c r="Z307" s="91"/>
    </row>
    <row r="308" ht="15.75" customHeight="1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1379"/>
      <c r="T308" s="91"/>
      <c r="U308" s="91"/>
      <c r="V308" s="91"/>
      <c r="W308" s="91"/>
      <c r="X308" s="91"/>
      <c r="Y308" s="91"/>
      <c r="Z308" s="91"/>
    </row>
    <row r="309" ht="15.75" customHeight="1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1379"/>
      <c r="T309" s="91"/>
      <c r="U309" s="91"/>
      <c r="V309" s="91"/>
      <c r="W309" s="91"/>
      <c r="X309" s="91"/>
      <c r="Y309" s="91"/>
      <c r="Z309" s="91"/>
    </row>
    <row r="310" ht="15.75" customHeight="1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1379"/>
      <c r="T310" s="91"/>
      <c r="U310" s="91"/>
      <c r="V310" s="91"/>
      <c r="W310" s="91"/>
      <c r="X310" s="91"/>
      <c r="Y310" s="91"/>
      <c r="Z310" s="91"/>
    </row>
    <row r="311" ht="15.75" customHeight="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1379"/>
      <c r="T311" s="91"/>
      <c r="U311" s="91"/>
      <c r="V311" s="91"/>
      <c r="W311" s="91"/>
      <c r="X311" s="91"/>
      <c r="Y311" s="91"/>
      <c r="Z311" s="91"/>
    </row>
    <row r="312" ht="15.75" customHeight="1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1379"/>
      <c r="T312" s="91"/>
      <c r="U312" s="91"/>
      <c r="V312" s="91"/>
      <c r="W312" s="91"/>
      <c r="X312" s="91"/>
      <c r="Y312" s="91"/>
      <c r="Z312" s="91"/>
    </row>
    <row r="313" ht="15.75" customHeight="1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1379"/>
      <c r="T313" s="91"/>
      <c r="U313" s="91"/>
      <c r="V313" s="91"/>
      <c r="W313" s="91"/>
      <c r="X313" s="91"/>
      <c r="Y313" s="91"/>
      <c r="Z313" s="91"/>
    </row>
    <row r="314" ht="15.75" customHeight="1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1379"/>
      <c r="T314" s="91"/>
      <c r="U314" s="91"/>
      <c r="V314" s="91"/>
      <c r="W314" s="91"/>
      <c r="X314" s="91"/>
      <c r="Y314" s="91"/>
      <c r="Z314" s="91"/>
    </row>
    <row r="315" ht="15.75" customHeight="1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ht="15.75" customHeight="1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ht="15.75" customHeight="1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ht="15.75" customHeight="1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ht="15.75" customHeight="1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ht="15.75" customHeight="1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ht="15.75" customHeight="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ht="15.75" customHeight="1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ht="15.75" customHeight="1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ht="15.75" customHeight="1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ht="15.75" customHeight="1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ht="15.75" customHeight="1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ht="15.75" customHeight="1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ht="15.75" customHeight="1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ht="15.75" customHeight="1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ht="15.75" customHeight="1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ht="15.75" customHeight="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ht="15.75" customHeight="1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ht="15.75" customHeight="1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ht="15.75" customHeight="1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ht="15.75" customHeight="1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ht="15.75" customHeight="1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ht="15.75" customHeight="1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ht="15.75" customHeight="1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ht="15.75" customHeight="1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ht="15.75" customHeight="1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ht="15.75" customHeight="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ht="15.75" customHeight="1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ht="15.75" customHeight="1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ht="15.75" customHeight="1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ht="15.75" customHeight="1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9A0C243-7E73-4FE7-8E7C-67ABE88D82FD}" filter="1" showAutoFilter="1">
      <autoFilter ref="$B$1:$B$345"/>
      <extLst>
        <ext uri="GoogleSheetsCustomDataVersion1">
          <go:sheetsCustomData xmlns:go="http://customooxmlschemas.google.com/" filterViewId="133327384"/>
        </ext>
      </extLst>
    </customSheetView>
  </customSheetViews>
  <mergeCells count="130">
    <mergeCell ref="R63:R65"/>
    <mergeCell ref="R66:R68"/>
    <mergeCell ref="S66:S68"/>
    <mergeCell ref="R22:R23"/>
    <mergeCell ref="R25:R27"/>
    <mergeCell ref="R36:R37"/>
    <mergeCell ref="S36:S37"/>
    <mergeCell ref="O63:O65"/>
    <mergeCell ref="P63:P65"/>
    <mergeCell ref="Q63:Q65"/>
    <mergeCell ref="O72:O73"/>
    <mergeCell ref="P72:P73"/>
    <mergeCell ref="Q72:Q73"/>
    <mergeCell ref="R72:R73"/>
    <mergeCell ref="P74:P75"/>
    <mergeCell ref="Q74:Q75"/>
    <mergeCell ref="O76:O77"/>
    <mergeCell ref="R76:R77"/>
    <mergeCell ref="Q108:Q111"/>
    <mergeCell ref="Q112:Q114"/>
    <mergeCell ref="R112:R114"/>
    <mergeCell ref="P76:P77"/>
    <mergeCell ref="Q76:Q77"/>
    <mergeCell ref="R85:R86"/>
    <mergeCell ref="R87:R88"/>
    <mergeCell ref="R91:R93"/>
    <mergeCell ref="S106:S107"/>
    <mergeCell ref="R108:R111"/>
    <mergeCell ref="R2:R5"/>
    <mergeCell ref="T2:T5"/>
    <mergeCell ref="U2:U5"/>
    <mergeCell ref="V2:V5"/>
    <mergeCell ref="T9:T10"/>
    <mergeCell ref="U9:U10"/>
    <mergeCell ref="V9:V10"/>
    <mergeCell ref="R9:R10"/>
    <mergeCell ref="R11:R12"/>
    <mergeCell ref="R18:R19"/>
    <mergeCell ref="S18:S19"/>
    <mergeCell ref="T18:T19"/>
    <mergeCell ref="T20:T21"/>
    <mergeCell ref="T22:T23"/>
    <mergeCell ref="T25:T27"/>
    <mergeCell ref="U11:U12"/>
    <mergeCell ref="V11:V12"/>
    <mergeCell ref="V16:V17"/>
    <mergeCell ref="U18:U19"/>
    <mergeCell ref="V18:V19"/>
    <mergeCell ref="U20:U21"/>
    <mergeCell ref="V22:V23"/>
    <mergeCell ref="U22:U23"/>
    <mergeCell ref="U25:U27"/>
    <mergeCell ref="V25:V27"/>
    <mergeCell ref="U29:U30"/>
    <mergeCell ref="V29:V30"/>
    <mergeCell ref="U31:U32"/>
    <mergeCell ref="U36:U37"/>
    <mergeCell ref="U38:U39"/>
    <mergeCell ref="V60:V61"/>
    <mergeCell ref="V63:V65"/>
    <mergeCell ref="V70:V71"/>
    <mergeCell ref="V31:V34"/>
    <mergeCell ref="V36:V39"/>
    <mergeCell ref="V40:V41"/>
    <mergeCell ref="V42:V45"/>
    <mergeCell ref="V48:V49"/>
    <mergeCell ref="V54:V55"/>
    <mergeCell ref="V58:V59"/>
    <mergeCell ref="T31:T32"/>
    <mergeCell ref="T36:T37"/>
    <mergeCell ref="T38:T39"/>
    <mergeCell ref="T48:T49"/>
    <mergeCell ref="U48:U49"/>
    <mergeCell ref="T63:T65"/>
    <mergeCell ref="U63:U65"/>
    <mergeCell ref="J119:J122"/>
    <mergeCell ref="K119:K122"/>
    <mergeCell ref="Q119:Q122"/>
    <mergeCell ref="R119:R122"/>
    <mergeCell ref="T119:T122"/>
    <mergeCell ref="U119:U122"/>
    <mergeCell ref="V119:V122"/>
    <mergeCell ref="T126:T127"/>
    <mergeCell ref="T128:T130"/>
    <mergeCell ref="U128:U130"/>
    <mergeCell ref="V128:V130"/>
    <mergeCell ref="O119:O122"/>
    <mergeCell ref="Q126:Q127"/>
    <mergeCell ref="R126:R127"/>
    <mergeCell ref="U126:U127"/>
    <mergeCell ref="V126:V127"/>
    <mergeCell ref="J128:J130"/>
    <mergeCell ref="R128:R130"/>
    <mergeCell ref="T76:T77"/>
    <mergeCell ref="U76:U77"/>
    <mergeCell ref="V76:V77"/>
    <mergeCell ref="T66:T68"/>
    <mergeCell ref="U66:U68"/>
    <mergeCell ref="V66:V68"/>
    <mergeCell ref="T72:T73"/>
    <mergeCell ref="U72:U73"/>
    <mergeCell ref="V72:V73"/>
    <mergeCell ref="T74:T75"/>
    <mergeCell ref="U74:U75"/>
    <mergeCell ref="V74:V75"/>
    <mergeCell ref="V83:V84"/>
    <mergeCell ref="V85:V88"/>
    <mergeCell ref="U92:U93"/>
    <mergeCell ref="J94:J97"/>
    <mergeCell ref="V94:V97"/>
    <mergeCell ref="U96:U97"/>
    <mergeCell ref="S96:S97"/>
    <mergeCell ref="T96:T97"/>
    <mergeCell ref="V98:V99"/>
    <mergeCell ref="V100:V101"/>
    <mergeCell ref="T106:T107"/>
    <mergeCell ref="U106:U107"/>
    <mergeCell ref="V106:V107"/>
    <mergeCell ref="T108:T111"/>
    <mergeCell ref="U108:U111"/>
    <mergeCell ref="V108:V111"/>
    <mergeCell ref="T112:T114"/>
    <mergeCell ref="U112:U114"/>
    <mergeCell ref="V112:V114"/>
    <mergeCell ref="V116:V117"/>
    <mergeCell ref="O126:O127"/>
    <mergeCell ref="O128:O130"/>
    <mergeCell ref="P128:P130"/>
    <mergeCell ref="Q128:Q130"/>
    <mergeCell ref="S133:S134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57"/>
    <col customWidth="1" min="5" max="5" width="23.43"/>
    <col customWidth="1" min="6" max="26" width="12.57"/>
  </cols>
  <sheetData>
    <row r="1" ht="15.75" customHeight="1">
      <c r="A1" s="1382" t="s">
        <v>14087</v>
      </c>
      <c r="B1" s="1383" t="s">
        <v>13678</v>
      </c>
      <c r="C1" s="1383" t="s">
        <v>2</v>
      </c>
      <c r="D1" s="1383" t="s">
        <v>3</v>
      </c>
      <c r="E1" s="1383" t="s">
        <v>4</v>
      </c>
      <c r="F1" s="1383" t="s">
        <v>5</v>
      </c>
      <c r="G1" s="1383" t="s">
        <v>13679</v>
      </c>
      <c r="H1" s="1383" t="s">
        <v>13680</v>
      </c>
      <c r="I1" s="1384" t="s">
        <v>13682</v>
      </c>
      <c r="J1" s="1385" t="s">
        <v>14088</v>
      </c>
      <c r="K1" s="1385" t="s">
        <v>12631</v>
      </c>
      <c r="L1" s="1385" t="s">
        <v>12</v>
      </c>
      <c r="M1" s="1385" t="s">
        <v>13683</v>
      </c>
      <c r="N1" s="1386" t="s">
        <v>13684</v>
      </c>
      <c r="O1" s="1385" t="s">
        <v>13685</v>
      </c>
      <c r="P1" s="1385" t="s">
        <v>14089</v>
      </c>
      <c r="Q1" s="1387" t="s">
        <v>13688</v>
      </c>
      <c r="R1" s="1387" t="s">
        <v>13689</v>
      </c>
      <c r="S1" s="1387" t="s">
        <v>13690</v>
      </c>
      <c r="T1" s="91"/>
      <c r="U1" s="91"/>
      <c r="V1" s="91"/>
      <c r="W1" s="91"/>
      <c r="X1" s="91"/>
      <c r="Y1" s="91"/>
      <c r="Z1" s="91"/>
    </row>
    <row r="2" ht="15.75" customHeight="1">
      <c r="A2" s="1388">
        <v>40912.0</v>
      </c>
      <c r="B2" s="1389" t="s">
        <v>1204</v>
      </c>
      <c r="C2" s="66"/>
      <c r="D2" s="1389" t="s">
        <v>14090</v>
      </c>
      <c r="E2" s="1389" t="s">
        <v>14091</v>
      </c>
      <c r="F2" s="1390">
        <v>25.0</v>
      </c>
      <c r="G2" s="1390">
        <v>67.0</v>
      </c>
      <c r="H2" s="1391">
        <f t="shared" ref="H2:H40" si="1">F2*G2</f>
        <v>1675</v>
      </c>
      <c r="I2" s="1392">
        <v>40924.0</v>
      </c>
      <c r="J2" s="66"/>
      <c r="K2" s="66"/>
      <c r="L2" s="1362" t="s">
        <v>14092</v>
      </c>
      <c r="M2" s="1362" t="s">
        <v>14093</v>
      </c>
      <c r="N2" s="1389" t="s">
        <v>13844</v>
      </c>
      <c r="O2" s="1393" t="s">
        <v>14094</v>
      </c>
      <c r="P2" s="1394">
        <v>43000.0</v>
      </c>
      <c r="Q2" s="1395">
        <v>40918.0</v>
      </c>
      <c r="R2" s="1394">
        <v>43000.0</v>
      </c>
      <c r="S2" s="1389" t="s">
        <v>14095</v>
      </c>
      <c r="T2" s="91"/>
      <c r="U2" s="91"/>
      <c r="V2" s="91"/>
      <c r="W2" s="91"/>
      <c r="X2" s="91"/>
      <c r="Y2" s="91"/>
      <c r="Z2" s="91"/>
    </row>
    <row r="3" ht="15.75" customHeight="1">
      <c r="A3" s="1388">
        <v>40912.0</v>
      </c>
      <c r="B3" s="1389" t="s">
        <v>1204</v>
      </c>
      <c r="C3" s="66"/>
      <c r="D3" s="1389" t="s">
        <v>14090</v>
      </c>
      <c r="E3" s="1389" t="s">
        <v>8671</v>
      </c>
      <c r="F3" s="1390">
        <v>1.0</v>
      </c>
      <c r="G3" s="1390">
        <v>193.0</v>
      </c>
      <c r="H3" s="1391">
        <f t="shared" si="1"/>
        <v>193</v>
      </c>
      <c r="I3" s="1392">
        <v>40924.0</v>
      </c>
      <c r="J3" s="66"/>
      <c r="K3" s="66"/>
      <c r="L3" s="1362" t="s">
        <v>934</v>
      </c>
      <c r="M3" s="1362" t="s">
        <v>14093</v>
      </c>
      <c r="N3" s="66"/>
      <c r="O3" s="66"/>
      <c r="P3" s="1396"/>
      <c r="Q3" s="1397"/>
      <c r="R3" s="1398"/>
      <c r="S3" s="1389" t="s">
        <v>14096</v>
      </c>
      <c r="T3" s="91"/>
      <c r="U3" s="91"/>
      <c r="V3" s="91"/>
      <c r="W3" s="91"/>
      <c r="X3" s="91"/>
      <c r="Y3" s="91"/>
      <c r="Z3" s="91"/>
    </row>
    <row r="4" ht="15.75" customHeight="1">
      <c r="A4" s="1388">
        <v>40918.0</v>
      </c>
      <c r="B4" s="1389" t="s">
        <v>10926</v>
      </c>
      <c r="C4" s="1389" t="s">
        <v>14097</v>
      </c>
      <c r="D4" s="1389" t="s">
        <v>14098</v>
      </c>
      <c r="E4" s="1389" t="s">
        <v>11579</v>
      </c>
      <c r="F4" s="1390">
        <v>9.0</v>
      </c>
      <c r="G4" s="1390">
        <v>92.0</v>
      </c>
      <c r="H4" s="1391">
        <f t="shared" si="1"/>
        <v>828</v>
      </c>
      <c r="I4" s="1392">
        <v>40924.0</v>
      </c>
      <c r="J4" s="66"/>
      <c r="K4" s="66"/>
      <c r="L4" s="1362" t="s">
        <v>90</v>
      </c>
      <c r="M4" s="66"/>
      <c r="N4" s="1389" t="s">
        <v>13844</v>
      </c>
      <c r="O4" s="1399" t="s">
        <v>13694</v>
      </c>
      <c r="P4" s="1394">
        <v>24098.0</v>
      </c>
      <c r="Q4" s="1395">
        <v>40919.0</v>
      </c>
      <c r="R4" s="1400">
        <v>24098.0</v>
      </c>
      <c r="S4" s="1389" t="s">
        <v>14099</v>
      </c>
      <c r="T4" s="91"/>
      <c r="U4" s="91"/>
      <c r="V4" s="91"/>
      <c r="W4" s="91"/>
      <c r="X4" s="91"/>
      <c r="Y4" s="91"/>
      <c r="Z4" s="91"/>
    </row>
    <row r="5" ht="15.75" customHeight="1">
      <c r="A5" s="1388">
        <v>40918.0</v>
      </c>
      <c r="B5" s="1389" t="s">
        <v>10926</v>
      </c>
      <c r="C5" s="1389" t="s">
        <v>14097</v>
      </c>
      <c r="D5" s="1389" t="s">
        <v>14098</v>
      </c>
      <c r="E5" s="1389" t="s">
        <v>14100</v>
      </c>
      <c r="F5" s="1390">
        <v>10.0</v>
      </c>
      <c r="G5" s="1390">
        <v>20.0</v>
      </c>
      <c r="H5" s="1391">
        <f t="shared" si="1"/>
        <v>200</v>
      </c>
      <c r="I5" s="1392">
        <v>40924.0</v>
      </c>
      <c r="J5" s="66"/>
      <c r="K5" s="66"/>
      <c r="L5" s="1362" t="s">
        <v>303</v>
      </c>
      <c r="M5" s="66"/>
      <c r="N5" s="1389" t="s">
        <v>13844</v>
      </c>
      <c r="O5" s="1399" t="s">
        <v>13751</v>
      </c>
      <c r="P5" s="1394">
        <v>4725.0</v>
      </c>
      <c r="Q5" s="1395">
        <v>40918.0</v>
      </c>
      <c r="R5" s="1400">
        <v>4725.0</v>
      </c>
      <c r="S5" s="1389" t="s">
        <v>14099</v>
      </c>
      <c r="T5" s="91"/>
      <c r="U5" s="91"/>
      <c r="V5" s="91"/>
      <c r="W5" s="91"/>
      <c r="X5" s="91"/>
      <c r="Y5" s="91"/>
      <c r="Z5" s="91"/>
    </row>
    <row r="6" ht="15.75" customHeight="1">
      <c r="A6" s="1388">
        <v>40933.0</v>
      </c>
      <c r="B6" s="1389" t="s">
        <v>14101</v>
      </c>
      <c r="C6" s="1389" t="s">
        <v>14102</v>
      </c>
      <c r="D6" s="1389" t="s">
        <v>14103</v>
      </c>
      <c r="E6" s="1389" t="s">
        <v>14104</v>
      </c>
      <c r="F6" s="1390">
        <v>1.0</v>
      </c>
      <c r="G6" s="1390">
        <v>848.0</v>
      </c>
      <c r="H6" s="1391">
        <f t="shared" si="1"/>
        <v>848</v>
      </c>
      <c r="I6" s="1401" t="s">
        <v>14105</v>
      </c>
      <c r="J6" s="66"/>
      <c r="K6" s="66"/>
      <c r="L6" s="1362" t="s">
        <v>90</v>
      </c>
      <c r="M6" s="66"/>
      <c r="N6" s="1389" t="s">
        <v>13844</v>
      </c>
      <c r="O6" s="1399" t="s">
        <v>13694</v>
      </c>
      <c r="P6" s="1394">
        <v>20318.0</v>
      </c>
      <c r="Q6" s="1395">
        <v>40939.0</v>
      </c>
      <c r="R6" s="1400">
        <v>20318.0</v>
      </c>
      <c r="S6" s="1389" t="s">
        <v>14106</v>
      </c>
      <c r="T6" s="91"/>
      <c r="U6" s="91"/>
      <c r="V6" s="91"/>
      <c r="W6" s="91"/>
      <c r="X6" s="91"/>
      <c r="Y6" s="91"/>
      <c r="Z6" s="91"/>
    </row>
    <row r="7" ht="15.75" customHeight="1">
      <c r="A7" s="1388">
        <v>40933.0</v>
      </c>
      <c r="B7" s="1389" t="s">
        <v>14101</v>
      </c>
      <c r="C7" s="1389" t="s">
        <v>14102</v>
      </c>
      <c r="D7" s="1389" t="s">
        <v>14103</v>
      </c>
      <c r="E7" s="1389" t="s">
        <v>14107</v>
      </c>
      <c r="F7" s="1390">
        <v>1.0</v>
      </c>
      <c r="G7" s="1390">
        <v>112.0</v>
      </c>
      <c r="H7" s="1391">
        <f t="shared" si="1"/>
        <v>112</v>
      </c>
      <c r="I7" s="1401" t="s">
        <v>14105</v>
      </c>
      <c r="J7" s="66"/>
      <c r="K7" s="66"/>
      <c r="L7" s="1362" t="s">
        <v>2078</v>
      </c>
      <c r="M7" s="66"/>
      <c r="N7" s="1389" t="s">
        <v>13844</v>
      </c>
      <c r="O7" s="1399" t="s">
        <v>14108</v>
      </c>
      <c r="P7" s="1394">
        <v>2672.0</v>
      </c>
      <c r="Q7" s="1395">
        <v>40939.0</v>
      </c>
      <c r="R7" s="1400">
        <v>2672.0</v>
      </c>
      <c r="S7" s="1389" t="s">
        <v>14106</v>
      </c>
      <c r="T7" s="91"/>
      <c r="U7" s="91"/>
      <c r="V7" s="91"/>
      <c r="W7" s="91"/>
      <c r="X7" s="91"/>
      <c r="Y7" s="91"/>
      <c r="Z7" s="91"/>
    </row>
    <row r="8" ht="15.75" customHeight="1">
      <c r="A8" s="1388">
        <v>40947.0</v>
      </c>
      <c r="B8" s="1389" t="s">
        <v>1204</v>
      </c>
      <c r="C8" s="1389" t="s">
        <v>14109</v>
      </c>
      <c r="D8" s="1389" t="s">
        <v>14110</v>
      </c>
      <c r="E8" s="1389" t="s">
        <v>12654</v>
      </c>
      <c r="F8" s="1390">
        <v>200.0</v>
      </c>
      <c r="G8" s="1390">
        <v>37.5</v>
      </c>
      <c r="H8" s="1391">
        <f t="shared" si="1"/>
        <v>7500</v>
      </c>
      <c r="I8" s="1402">
        <v>41019.0</v>
      </c>
      <c r="J8" s="66"/>
      <c r="K8" s="66"/>
      <c r="L8" s="1362" t="s">
        <v>12656</v>
      </c>
      <c r="M8" s="1403" t="s">
        <v>14111</v>
      </c>
      <c r="N8" s="1389" t="s">
        <v>14112</v>
      </c>
      <c r="O8" s="1399" t="s">
        <v>2510</v>
      </c>
      <c r="P8" s="1390">
        <v>210000.0</v>
      </c>
      <c r="Q8" s="1404">
        <v>41018.0</v>
      </c>
      <c r="R8" s="1405">
        <v>210000.0</v>
      </c>
      <c r="S8" s="1389" t="s">
        <v>14113</v>
      </c>
      <c r="T8" s="91"/>
      <c r="U8" s="91"/>
      <c r="V8" s="91"/>
      <c r="W8" s="91"/>
      <c r="X8" s="91"/>
      <c r="Y8" s="91"/>
      <c r="Z8" s="91"/>
    </row>
    <row r="9" ht="15.75" customHeight="1">
      <c r="A9" s="1388">
        <v>40947.0</v>
      </c>
      <c r="B9" s="1389" t="s">
        <v>1204</v>
      </c>
      <c r="C9" s="1389" t="s">
        <v>14114</v>
      </c>
      <c r="D9" s="1389" t="s">
        <v>14115</v>
      </c>
      <c r="E9" s="1389" t="s">
        <v>12654</v>
      </c>
      <c r="F9" s="1390">
        <v>200.0</v>
      </c>
      <c r="G9" s="1390">
        <v>37.0</v>
      </c>
      <c r="H9" s="1391">
        <f t="shared" si="1"/>
        <v>7400</v>
      </c>
      <c r="I9" s="1402">
        <v>41033.0</v>
      </c>
      <c r="J9" s="66"/>
      <c r="K9" s="66"/>
      <c r="L9" s="1362" t="s">
        <v>12656</v>
      </c>
      <c r="M9" s="66"/>
      <c r="N9" s="1389" t="s">
        <v>14116</v>
      </c>
      <c r="O9" s="1399" t="s">
        <v>2510</v>
      </c>
      <c r="P9" s="1406">
        <v>150000.0</v>
      </c>
      <c r="Q9" s="1404">
        <v>41031.0</v>
      </c>
      <c r="R9" s="1405">
        <v>210000.0</v>
      </c>
      <c r="S9" s="1389" t="s">
        <v>14117</v>
      </c>
      <c r="T9" s="91"/>
      <c r="U9" s="91"/>
      <c r="V9" s="91"/>
      <c r="W9" s="91"/>
      <c r="X9" s="91"/>
      <c r="Y9" s="91"/>
      <c r="Z9" s="91"/>
    </row>
    <row r="10" ht="15.75" customHeight="1">
      <c r="A10" s="1388">
        <v>40949.0</v>
      </c>
      <c r="B10" s="1399" t="s">
        <v>14118</v>
      </c>
      <c r="C10" s="1399" t="s">
        <v>14102</v>
      </c>
      <c r="D10" s="1389" t="s">
        <v>14119</v>
      </c>
      <c r="E10" s="1389" t="s">
        <v>14120</v>
      </c>
      <c r="F10" s="1390">
        <v>1.0</v>
      </c>
      <c r="G10" s="1390">
        <v>354.9</v>
      </c>
      <c r="H10" s="1391">
        <f t="shared" si="1"/>
        <v>354.9</v>
      </c>
      <c r="I10" s="1392">
        <v>40970.0</v>
      </c>
      <c r="J10" s="66"/>
      <c r="K10" s="66"/>
      <c r="L10" s="1362" t="s">
        <v>14121</v>
      </c>
      <c r="M10" s="1362" t="s">
        <v>14122</v>
      </c>
      <c r="N10" s="1389" t="s">
        <v>13844</v>
      </c>
      <c r="O10" s="1399" t="s">
        <v>12028</v>
      </c>
      <c r="P10" s="1394">
        <v>8391.0</v>
      </c>
      <c r="Q10" s="1395">
        <v>40970.0</v>
      </c>
      <c r="R10" s="1400">
        <v>8391.0</v>
      </c>
      <c r="S10" s="1389" t="s">
        <v>14099</v>
      </c>
      <c r="T10" s="91"/>
      <c r="U10" s="91"/>
      <c r="V10" s="91"/>
      <c r="W10" s="91"/>
      <c r="X10" s="91"/>
      <c r="Y10" s="91"/>
      <c r="Z10" s="91"/>
    </row>
    <row r="11" ht="15.75" customHeight="1">
      <c r="A11" s="1388">
        <v>40969.0</v>
      </c>
      <c r="B11" s="1362" t="s">
        <v>12692</v>
      </c>
      <c r="C11" s="66"/>
      <c r="D11" s="1362" t="s">
        <v>14123</v>
      </c>
      <c r="E11" s="1407" t="s">
        <v>14124</v>
      </c>
      <c r="F11" s="1390">
        <v>50.0</v>
      </c>
      <c r="G11" s="1390">
        <v>27.0</v>
      </c>
      <c r="H11" s="1390">
        <f t="shared" si="1"/>
        <v>1350</v>
      </c>
      <c r="I11" s="1392">
        <v>40976.0</v>
      </c>
      <c r="J11" s="66"/>
      <c r="K11" s="66"/>
      <c r="L11" s="1362" t="s">
        <v>303</v>
      </c>
      <c r="M11" s="66"/>
      <c r="N11" s="1389" t="s">
        <v>14125</v>
      </c>
      <c r="O11" s="1399" t="s">
        <v>13751</v>
      </c>
      <c r="P11" s="1394">
        <v>28875.0</v>
      </c>
      <c r="Q11" s="1395">
        <v>40973.0</v>
      </c>
      <c r="R11" s="1400">
        <v>28875.0</v>
      </c>
      <c r="S11" s="1389" t="s">
        <v>14126</v>
      </c>
      <c r="T11" s="91"/>
      <c r="U11" s="91"/>
      <c r="V11" s="91"/>
      <c r="W11" s="91"/>
      <c r="X11" s="91"/>
      <c r="Y11" s="91"/>
      <c r="Z11" s="91"/>
    </row>
    <row r="12" ht="15.75" customHeight="1">
      <c r="A12" s="1408">
        <v>40976.0</v>
      </c>
      <c r="B12" s="1389" t="s">
        <v>1204</v>
      </c>
      <c r="C12" s="1362" t="s">
        <v>14127</v>
      </c>
      <c r="D12" s="1362" t="s">
        <v>14128</v>
      </c>
      <c r="E12" s="1389" t="s">
        <v>14129</v>
      </c>
      <c r="F12" s="1390">
        <v>20.0</v>
      </c>
      <c r="G12" s="1390">
        <v>12.7</v>
      </c>
      <c r="H12" s="1390">
        <f t="shared" si="1"/>
        <v>254</v>
      </c>
      <c r="I12" s="1392">
        <v>40980.0</v>
      </c>
      <c r="J12" s="66"/>
      <c r="K12" s="66"/>
      <c r="L12" s="1362" t="s">
        <v>14130</v>
      </c>
      <c r="M12" s="66"/>
      <c r="N12" s="1389" t="s">
        <v>13844</v>
      </c>
      <c r="O12" s="1362" t="s">
        <v>14131</v>
      </c>
      <c r="P12" s="1394">
        <v>6257.0</v>
      </c>
      <c r="Q12" s="1404">
        <v>40977.0</v>
      </c>
      <c r="R12" s="1394">
        <v>6257.0</v>
      </c>
      <c r="S12" s="1409" t="s">
        <v>14132</v>
      </c>
      <c r="T12" s="91"/>
      <c r="U12" s="91"/>
      <c r="V12" s="91"/>
      <c r="W12" s="91"/>
      <c r="X12" s="91"/>
      <c r="Y12" s="91"/>
      <c r="Z12" s="91"/>
    </row>
    <row r="13" ht="15.75" customHeight="1">
      <c r="A13" s="1388">
        <v>40947.0</v>
      </c>
      <c r="B13" s="1389" t="s">
        <v>1204</v>
      </c>
      <c r="C13" s="1389" t="s">
        <v>14114</v>
      </c>
      <c r="D13" s="1389" t="s">
        <v>14133</v>
      </c>
      <c r="E13" s="1389" t="s">
        <v>12654</v>
      </c>
      <c r="F13" s="1390">
        <v>100.0</v>
      </c>
      <c r="G13" s="1390">
        <v>37.0</v>
      </c>
      <c r="H13" s="1391">
        <f t="shared" si="1"/>
        <v>3700</v>
      </c>
      <c r="I13" s="1410">
        <v>41073.0</v>
      </c>
      <c r="J13" s="66"/>
      <c r="K13" s="66"/>
      <c r="L13" s="1362" t="s">
        <v>12656</v>
      </c>
      <c r="M13" s="66"/>
      <c r="N13" s="1389" t="s">
        <v>14134</v>
      </c>
      <c r="O13" s="1399" t="s">
        <v>2510</v>
      </c>
      <c r="P13" s="1394">
        <v>105000.0</v>
      </c>
      <c r="Q13" s="1404">
        <v>41072.0</v>
      </c>
      <c r="R13" s="1405">
        <v>105000.0</v>
      </c>
      <c r="S13" s="1411" t="s">
        <v>14135</v>
      </c>
      <c r="T13" s="91"/>
      <c r="U13" s="91"/>
      <c r="V13" s="91"/>
      <c r="W13" s="91"/>
      <c r="X13" s="91"/>
      <c r="Y13" s="91"/>
      <c r="Z13" s="91"/>
    </row>
    <row r="14" ht="15.75" customHeight="1">
      <c r="A14" s="1408">
        <v>40997.0</v>
      </c>
      <c r="B14" s="1362" t="s">
        <v>12692</v>
      </c>
      <c r="C14" s="1362" t="s">
        <v>14136</v>
      </c>
      <c r="D14" s="1362" t="s">
        <v>14137</v>
      </c>
      <c r="E14" s="1389" t="s">
        <v>13812</v>
      </c>
      <c r="F14" s="1390">
        <v>42.0</v>
      </c>
      <c r="G14" s="1412">
        <v>82.9</v>
      </c>
      <c r="H14" s="1412">
        <f t="shared" si="1"/>
        <v>3481.8</v>
      </c>
      <c r="I14" s="1402">
        <v>41022.0</v>
      </c>
      <c r="J14" s="66"/>
      <c r="K14" s="66"/>
      <c r="L14" s="1362" t="s">
        <v>90</v>
      </c>
      <c r="M14" s="66"/>
      <c r="N14" s="1389" t="s">
        <v>13844</v>
      </c>
      <c r="O14" s="66"/>
      <c r="P14" s="66"/>
      <c r="Q14" s="1404">
        <v>41022.0</v>
      </c>
      <c r="R14" s="1400">
        <v>99176.0</v>
      </c>
      <c r="S14" s="1409" t="s">
        <v>14138</v>
      </c>
      <c r="T14" s="91"/>
      <c r="U14" s="91"/>
      <c r="V14" s="91"/>
      <c r="W14" s="91"/>
      <c r="X14" s="91"/>
      <c r="Y14" s="91"/>
      <c r="Z14" s="91"/>
    </row>
    <row r="15" ht="15.75" customHeight="1">
      <c r="A15" s="1408">
        <v>40997.0</v>
      </c>
      <c r="B15" s="1362" t="s">
        <v>12692</v>
      </c>
      <c r="C15" s="1362" t="s">
        <v>14136</v>
      </c>
      <c r="D15" s="1362" t="s">
        <v>14137</v>
      </c>
      <c r="E15" s="1389" t="s">
        <v>14139</v>
      </c>
      <c r="F15" s="1390">
        <v>42.0</v>
      </c>
      <c r="G15" s="1412">
        <v>59.8</v>
      </c>
      <c r="H15" s="1412">
        <f t="shared" si="1"/>
        <v>2511.6</v>
      </c>
      <c r="I15" s="1402">
        <v>41022.0</v>
      </c>
      <c r="J15" s="66"/>
      <c r="K15" s="66"/>
      <c r="L15" s="1362" t="s">
        <v>90</v>
      </c>
      <c r="M15" s="66"/>
      <c r="N15" s="1389" t="s">
        <v>13844</v>
      </c>
      <c r="O15" s="66"/>
      <c r="P15" s="66"/>
      <c r="Q15" s="1404">
        <v>41022.0</v>
      </c>
      <c r="R15" s="1400">
        <v>67871.0</v>
      </c>
      <c r="S15" s="1409" t="s">
        <v>14138</v>
      </c>
      <c r="T15" s="91"/>
      <c r="U15" s="91"/>
      <c r="V15" s="91"/>
      <c r="W15" s="91"/>
      <c r="X15" s="91"/>
      <c r="Y15" s="91"/>
      <c r="Z15" s="91"/>
    </row>
    <row r="16" ht="15.75" customHeight="1">
      <c r="A16" s="1408">
        <v>40997.0</v>
      </c>
      <c r="B16" s="1362" t="s">
        <v>12692</v>
      </c>
      <c r="C16" s="1362" t="s">
        <v>14136</v>
      </c>
      <c r="D16" s="1362" t="s">
        <v>14137</v>
      </c>
      <c r="E16" s="1389" t="s">
        <v>14140</v>
      </c>
      <c r="F16" s="1390">
        <v>42.0</v>
      </c>
      <c r="G16" s="1412">
        <v>57.5</v>
      </c>
      <c r="H16" s="1413">
        <f t="shared" si="1"/>
        <v>2415</v>
      </c>
      <c r="I16" s="1402">
        <v>41022.0</v>
      </c>
      <c r="J16" s="66"/>
      <c r="K16" s="66"/>
      <c r="L16" s="1362" t="s">
        <v>90</v>
      </c>
      <c r="M16" s="66"/>
      <c r="N16" s="1389" t="s">
        <v>13844</v>
      </c>
      <c r="O16" s="66"/>
      <c r="P16" s="66"/>
      <c r="Q16" s="1404">
        <v>41022.0</v>
      </c>
      <c r="R16" s="1400">
        <v>72495.0</v>
      </c>
      <c r="S16" s="1409" t="s">
        <v>14138</v>
      </c>
      <c r="T16" s="91"/>
      <c r="U16" s="91"/>
      <c r="V16" s="91"/>
      <c r="W16" s="91"/>
      <c r="X16" s="91"/>
      <c r="Y16" s="91"/>
      <c r="Z16" s="91"/>
    </row>
    <row r="17" ht="15.75" customHeight="1">
      <c r="A17" s="1408">
        <v>40997.0</v>
      </c>
      <c r="B17" s="1362" t="s">
        <v>12692</v>
      </c>
      <c r="C17" s="1362" t="s">
        <v>14136</v>
      </c>
      <c r="D17" s="1362" t="s">
        <v>14141</v>
      </c>
      <c r="E17" s="1389" t="s">
        <v>13812</v>
      </c>
      <c r="F17" s="1390">
        <v>258.0</v>
      </c>
      <c r="G17" s="1412">
        <v>82.9</v>
      </c>
      <c r="H17" s="1412">
        <f t="shared" si="1"/>
        <v>21388.2</v>
      </c>
      <c r="I17" s="1402">
        <v>41066.0</v>
      </c>
      <c r="J17" s="66"/>
      <c r="K17" s="66"/>
      <c r="L17" s="1362" t="s">
        <v>90</v>
      </c>
      <c r="M17" s="66"/>
      <c r="N17" s="1389" t="s">
        <v>13844</v>
      </c>
      <c r="O17" s="66"/>
      <c r="P17" s="1414" t="s">
        <v>14142</v>
      </c>
      <c r="Q17" s="1404">
        <v>41066.0</v>
      </c>
      <c r="R17" s="1400">
        <v>611396.0</v>
      </c>
      <c r="S17" s="1411" t="s">
        <v>14143</v>
      </c>
      <c r="T17" s="91"/>
      <c r="U17" s="91"/>
      <c r="V17" s="91"/>
      <c r="W17" s="91"/>
      <c r="X17" s="91"/>
      <c r="Y17" s="91"/>
      <c r="Z17" s="91"/>
    </row>
    <row r="18" ht="15.75" customHeight="1">
      <c r="A18" s="1408">
        <v>40997.0</v>
      </c>
      <c r="B18" s="1362" t="s">
        <v>12692</v>
      </c>
      <c r="C18" s="1362" t="s">
        <v>14136</v>
      </c>
      <c r="D18" s="1362" t="s">
        <v>14141</v>
      </c>
      <c r="E18" s="1389" t="s">
        <v>14139</v>
      </c>
      <c r="F18" s="1390">
        <v>228.0</v>
      </c>
      <c r="G18" s="1412">
        <v>59.8</v>
      </c>
      <c r="H18" s="1412">
        <f t="shared" si="1"/>
        <v>13634.4</v>
      </c>
      <c r="I18" s="1402">
        <v>41066.0</v>
      </c>
      <c r="J18" s="66"/>
      <c r="K18" s="66"/>
      <c r="L18" s="1362" t="s">
        <v>90</v>
      </c>
      <c r="M18" s="66"/>
      <c r="N18" s="66"/>
      <c r="O18" s="66"/>
      <c r="P18" s="66"/>
      <c r="Q18" s="1404">
        <v>41066.0</v>
      </c>
      <c r="R18" s="1400">
        <v>394949.0</v>
      </c>
      <c r="S18" s="1389" t="s">
        <v>14143</v>
      </c>
      <c r="T18" s="91"/>
      <c r="U18" s="91"/>
      <c r="V18" s="91"/>
      <c r="W18" s="91"/>
      <c r="X18" s="91"/>
      <c r="Y18" s="91"/>
      <c r="Z18" s="91"/>
    </row>
    <row r="19" ht="15.75" customHeight="1">
      <c r="A19" s="1408">
        <v>40997.0</v>
      </c>
      <c r="B19" s="1362" t="s">
        <v>12692</v>
      </c>
      <c r="C19" s="1362" t="s">
        <v>14136</v>
      </c>
      <c r="D19" s="1362" t="s">
        <v>14141</v>
      </c>
      <c r="E19" s="1389" t="s">
        <v>14140</v>
      </c>
      <c r="F19" s="1390">
        <v>228.0</v>
      </c>
      <c r="G19" s="1412">
        <v>57.5</v>
      </c>
      <c r="H19" s="1413">
        <f t="shared" si="1"/>
        <v>13110</v>
      </c>
      <c r="I19" s="1402">
        <v>41066.0</v>
      </c>
      <c r="J19" s="66"/>
      <c r="K19" s="66"/>
      <c r="L19" s="1362" t="s">
        <v>90</v>
      </c>
      <c r="M19" s="66"/>
      <c r="N19" s="66"/>
      <c r="O19" s="66"/>
      <c r="P19" s="66"/>
      <c r="Q19" s="1404">
        <v>41066.0</v>
      </c>
      <c r="R19" s="1400">
        <v>369755.0</v>
      </c>
      <c r="S19" s="1389" t="s">
        <v>14143</v>
      </c>
      <c r="T19" s="91"/>
      <c r="U19" s="91"/>
      <c r="V19" s="91"/>
      <c r="W19" s="91"/>
      <c r="X19" s="91"/>
      <c r="Y19" s="91"/>
      <c r="Z19" s="91"/>
    </row>
    <row r="20" ht="15.75" customHeight="1">
      <c r="A20" s="1408">
        <v>41009.0</v>
      </c>
      <c r="B20" s="1362" t="s">
        <v>14144</v>
      </c>
      <c r="C20" s="66"/>
      <c r="D20" s="1362" t="s">
        <v>14145</v>
      </c>
      <c r="E20" s="1389" t="s">
        <v>14146</v>
      </c>
      <c r="F20" s="1390">
        <v>1.0</v>
      </c>
      <c r="G20" s="1390">
        <v>649.0</v>
      </c>
      <c r="H20" s="1390">
        <f t="shared" si="1"/>
        <v>649</v>
      </c>
      <c r="I20" s="1402">
        <v>41037.0</v>
      </c>
      <c r="J20" s="66"/>
      <c r="K20" s="66"/>
      <c r="L20" s="1362" t="s">
        <v>12709</v>
      </c>
      <c r="M20" s="1390">
        <v>175933.0</v>
      </c>
      <c r="N20" s="1389" t="s">
        <v>13844</v>
      </c>
      <c r="O20" s="1362" t="s">
        <v>14147</v>
      </c>
      <c r="P20" s="1390">
        <v>20960.0</v>
      </c>
      <c r="Q20" s="66"/>
      <c r="R20" s="1400">
        <v>18231.0</v>
      </c>
      <c r="S20" s="453" t="s">
        <v>14148</v>
      </c>
      <c r="T20" s="91"/>
      <c r="U20" s="91"/>
      <c r="V20" s="91"/>
      <c r="W20" s="91"/>
      <c r="X20" s="91"/>
      <c r="Y20" s="91"/>
      <c r="Z20" s="91"/>
    </row>
    <row r="21" ht="15.75" customHeight="1">
      <c r="A21" s="1408">
        <v>41009.0</v>
      </c>
      <c r="B21" s="1362" t="s">
        <v>14144</v>
      </c>
      <c r="C21" s="66"/>
      <c r="D21" s="1362" t="s">
        <v>14145</v>
      </c>
      <c r="E21" s="1389" t="s">
        <v>14149</v>
      </c>
      <c r="F21" s="1390">
        <v>1.0</v>
      </c>
      <c r="G21" s="1390">
        <v>97.0</v>
      </c>
      <c r="H21" s="1390">
        <f t="shared" si="1"/>
        <v>97</v>
      </c>
      <c r="I21" s="1402">
        <v>41037.0</v>
      </c>
      <c r="J21" s="66"/>
      <c r="K21" s="66"/>
      <c r="L21" s="1362" t="s">
        <v>12709</v>
      </c>
      <c r="M21" s="1390">
        <v>175933.0</v>
      </c>
      <c r="N21" s="1389" t="s">
        <v>13844</v>
      </c>
      <c r="O21" s="1362" t="s">
        <v>8836</v>
      </c>
      <c r="P21" s="1390">
        <v>0.0</v>
      </c>
      <c r="Q21" s="66"/>
      <c r="R21" s="1400">
        <v>2729.0</v>
      </c>
      <c r="S21" s="453" t="s">
        <v>14148</v>
      </c>
      <c r="T21" s="91"/>
      <c r="U21" s="91"/>
      <c r="V21" s="91"/>
      <c r="W21" s="91"/>
      <c r="X21" s="91"/>
      <c r="Y21" s="91"/>
      <c r="Z21" s="91"/>
    </row>
    <row r="22" ht="15.75" customHeight="1">
      <c r="A22" s="1408">
        <v>41010.0</v>
      </c>
      <c r="B22" s="1362" t="s">
        <v>14150</v>
      </c>
      <c r="C22" s="1362" t="s">
        <v>14151</v>
      </c>
      <c r="D22" s="1362" t="s">
        <v>14152</v>
      </c>
      <c r="E22" s="1362" t="s">
        <v>14153</v>
      </c>
      <c r="F22" s="1390">
        <v>15.0</v>
      </c>
      <c r="G22" s="1390">
        <v>232.5</v>
      </c>
      <c r="H22" s="1390">
        <f t="shared" si="1"/>
        <v>3487.5</v>
      </c>
      <c r="I22" s="1392">
        <v>41044.0</v>
      </c>
      <c r="J22" s="66"/>
      <c r="K22" s="66"/>
      <c r="L22" s="1362" t="s">
        <v>90</v>
      </c>
      <c r="M22" s="66"/>
      <c r="N22" s="1389" t="s">
        <v>13844</v>
      </c>
      <c r="O22" s="1399" t="s">
        <v>13694</v>
      </c>
      <c r="P22" s="66"/>
      <c r="Q22" s="1404">
        <v>41040.0</v>
      </c>
      <c r="R22" s="1400">
        <v>91013.0</v>
      </c>
      <c r="S22" s="1389" t="s">
        <v>14154</v>
      </c>
      <c r="T22" s="91"/>
      <c r="U22" s="91"/>
      <c r="V22" s="91"/>
      <c r="W22" s="91"/>
      <c r="X22" s="91"/>
      <c r="Y22" s="91"/>
      <c r="Z22" s="91"/>
    </row>
    <row r="23" ht="15.75" customHeight="1">
      <c r="A23" s="1408">
        <v>41010.0</v>
      </c>
      <c r="B23" s="1362" t="s">
        <v>14155</v>
      </c>
      <c r="C23" s="66"/>
      <c r="D23" s="1362" t="s">
        <v>14156</v>
      </c>
      <c r="E23" s="1362" t="s">
        <v>14157</v>
      </c>
      <c r="F23" s="1390">
        <v>1.0</v>
      </c>
      <c r="G23" s="1390">
        <v>390.0</v>
      </c>
      <c r="H23" s="1390">
        <f t="shared" si="1"/>
        <v>390</v>
      </c>
      <c r="I23" s="1392">
        <v>41059.0</v>
      </c>
      <c r="J23" s="66"/>
      <c r="K23" s="66"/>
      <c r="L23" s="1362" t="s">
        <v>14158</v>
      </c>
      <c r="M23" s="66"/>
      <c r="N23" s="1389" t="s">
        <v>13844</v>
      </c>
      <c r="O23" s="1362" t="s">
        <v>14159</v>
      </c>
      <c r="P23" s="66"/>
      <c r="Q23" s="1362" t="s">
        <v>14160</v>
      </c>
      <c r="R23" s="1415" t="s">
        <v>14161</v>
      </c>
      <c r="S23" s="1389" t="s">
        <v>14162</v>
      </c>
      <c r="T23" s="91"/>
      <c r="U23" s="91"/>
      <c r="V23" s="91"/>
      <c r="W23" s="91"/>
      <c r="X23" s="91"/>
      <c r="Y23" s="91"/>
      <c r="Z23" s="91"/>
    </row>
    <row r="24" ht="15.75" customHeight="1">
      <c r="A24" s="1408">
        <v>41029.0</v>
      </c>
      <c r="B24" s="1389" t="s">
        <v>1204</v>
      </c>
      <c r="C24" s="1416" t="s">
        <v>14163</v>
      </c>
      <c r="D24" s="1362" t="s">
        <v>14164</v>
      </c>
      <c r="E24" s="1389" t="s">
        <v>12654</v>
      </c>
      <c r="F24" s="1417">
        <v>200.0</v>
      </c>
      <c r="G24" s="1390">
        <v>37.0</v>
      </c>
      <c r="H24" s="1390">
        <f t="shared" si="1"/>
        <v>7400</v>
      </c>
      <c r="I24" s="1418">
        <v>41110.0</v>
      </c>
      <c r="J24" s="1419" t="s">
        <v>934</v>
      </c>
      <c r="K24" s="1420" t="s">
        <v>12655</v>
      </c>
      <c r="L24" s="1362" t="s">
        <v>12656</v>
      </c>
      <c r="M24" s="66"/>
      <c r="N24" s="1389" t="s">
        <v>14165</v>
      </c>
      <c r="O24" s="1399" t="s">
        <v>2510</v>
      </c>
      <c r="P24" s="1390">
        <v>210000.0</v>
      </c>
      <c r="Q24" s="1404">
        <v>41109.0</v>
      </c>
      <c r="R24" s="1400">
        <v>210000.0</v>
      </c>
      <c r="S24" s="1389" t="s">
        <v>14166</v>
      </c>
      <c r="T24" s="91"/>
      <c r="U24" s="91"/>
      <c r="V24" s="91"/>
      <c r="W24" s="91"/>
      <c r="X24" s="91"/>
      <c r="Y24" s="91"/>
      <c r="Z24" s="91"/>
    </row>
    <row r="25" ht="15.75" customHeight="1">
      <c r="A25" s="1408">
        <v>40989.0</v>
      </c>
      <c r="B25" s="1362" t="s">
        <v>11996</v>
      </c>
      <c r="C25" s="1389" t="s">
        <v>14167</v>
      </c>
      <c r="D25" s="1362" t="s">
        <v>14168</v>
      </c>
      <c r="E25" s="1362" t="s">
        <v>13733</v>
      </c>
      <c r="F25" s="1390">
        <v>100.0</v>
      </c>
      <c r="G25" s="1390">
        <v>18.5</v>
      </c>
      <c r="H25" s="1390">
        <f t="shared" si="1"/>
        <v>1850</v>
      </c>
      <c r="I25" s="1421">
        <v>41002.0</v>
      </c>
      <c r="J25" s="66"/>
      <c r="K25" s="66"/>
      <c r="L25" s="1362" t="s">
        <v>12656</v>
      </c>
      <c r="M25" s="66"/>
      <c r="N25" s="66"/>
      <c r="O25" s="1393" t="s">
        <v>2510</v>
      </c>
      <c r="P25" s="1422">
        <v>49350.0</v>
      </c>
      <c r="Q25" s="1404">
        <v>41001.0</v>
      </c>
      <c r="R25" s="1390">
        <v>49350.0</v>
      </c>
      <c r="S25" s="1389" t="s">
        <v>14169</v>
      </c>
      <c r="T25" s="91"/>
      <c r="U25" s="91"/>
      <c r="V25" s="91"/>
      <c r="W25" s="91"/>
      <c r="X25" s="91"/>
      <c r="Y25" s="91"/>
      <c r="Z25" s="91"/>
    </row>
    <row r="26" ht="15.75" customHeight="1">
      <c r="A26" s="1408">
        <v>41030.0</v>
      </c>
      <c r="B26" s="1362" t="s">
        <v>11996</v>
      </c>
      <c r="C26" s="66"/>
      <c r="D26" s="1362" t="s">
        <v>14170</v>
      </c>
      <c r="E26" s="1362" t="s">
        <v>6333</v>
      </c>
      <c r="F26" s="1390">
        <v>2.0</v>
      </c>
      <c r="G26" s="1390">
        <v>28.5</v>
      </c>
      <c r="H26" s="1390">
        <f t="shared" si="1"/>
        <v>57</v>
      </c>
      <c r="I26" s="1421">
        <v>41032.0</v>
      </c>
      <c r="J26" s="66"/>
      <c r="K26" s="66"/>
      <c r="L26" s="1362" t="s">
        <v>12656</v>
      </c>
      <c r="M26" s="66"/>
      <c r="N26" s="66"/>
      <c r="O26" s="1393" t="s">
        <v>2510</v>
      </c>
      <c r="P26" s="1422">
        <v>1428.0</v>
      </c>
      <c r="Q26" s="1390" t="s">
        <v>14171</v>
      </c>
      <c r="R26" s="1390" t="s">
        <v>14172</v>
      </c>
      <c r="S26" s="1389" t="s">
        <v>14173</v>
      </c>
      <c r="T26" s="91"/>
      <c r="U26" s="91"/>
      <c r="V26" s="91"/>
      <c r="W26" s="91"/>
      <c r="X26" s="91"/>
      <c r="Y26" s="91"/>
      <c r="Z26" s="91"/>
    </row>
    <row r="27" ht="15.75" customHeight="1">
      <c r="A27" s="1408">
        <v>41040.0</v>
      </c>
      <c r="B27" s="1362" t="s">
        <v>11996</v>
      </c>
      <c r="C27" s="66"/>
      <c r="D27" s="1362" t="s">
        <v>14174</v>
      </c>
      <c r="E27" s="1362" t="s">
        <v>13733</v>
      </c>
      <c r="F27" s="1390">
        <v>50.0</v>
      </c>
      <c r="G27" s="1390">
        <v>18.5</v>
      </c>
      <c r="H27" s="1390">
        <f t="shared" si="1"/>
        <v>925</v>
      </c>
      <c r="I27" s="1421">
        <v>41051.0</v>
      </c>
      <c r="J27" s="66"/>
      <c r="K27" s="66"/>
      <c r="L27" s="1362" t="s">
        <v>12656</v>
      </c>
      <c r="M27" s="66"/>
      <c r="N27" s="66"/>
      <c r="O27" s="1393" t="s">
        <v>2510</v>
      </c>
      <c r="P27" s="1390">
        <v>24675.0</v>
      </c>
      <c r="Q27" s="1404">
        <v>41046.0</v>
      </c>
      <c r="R27" s="1390">
        <v>24675.0</v>
      </c>
      <c r="S27" s="1423" t="s">
        <v>14175</v>
      </c>
      <c r="T27" s="91"/>
      <c r="U27" s="91"/>
      <c r="V27" s="91"/>
      <c r="W27" s="91"/>
      <c r="X27" s="91"/>
      <c r="Y27" s="91"/>
      <c r="Z27" s="91"/>
    </row>
    <row r="28" ht="15.75" customHeight="1">
      <c r="A28" s="1408">
        <v>41040.0</v>
      </c>
      <c r="B28" s="1362" t="s">
        <v>11996</v>
      </c>
      <c r="C28" s="66"/>
      <c r="D28" s="1362" t="s">
        <v>14176</v>
      </c>
      <c r="E28" s="1351" t="s">
        <v>13733</v>
      </c>
      <c r="F28" s="1424">
        <v>50.0</v>
      </c>
      <c r="G28" s="1424">
        <v>18.5</v>
      </c>
      <c r="H28" s="1390">
        <f t="shared" si="1"/>
        <v>925</v>
      </c>
      <c r="I28" s="1425">
        <v>41079.0</v>
      </c>
      <c r="J28" s="521"/>
      <c r="K28" s="521"/>
      <c r="L28" s="1362" t="s">
        <v>12656</v>
      </c>
      <c r="M28" s="66"/>
      <c r="N28" s="66"/>
      <c r="O28" s="1393" t="s">
        <v>2510</v>
      </c>
      <c r="P28" s="1390">
        <v>24675.0</v>
      </c>
      <c r="Q28" s="1404">
        <v>41078.0</v>
      </c>
      <c r="R28" s="1390">
        <v>24675.0</v>
      </c>
      <c r="S28" s="1389" t="s">
        <v>14177</v>
      </c>
      <c r="T28" s="91"/>
      <c r="U28" s="91"/>
      <c r="V28" s="91"/>
      <c r="W28" s="91"/>
      <c r="X28" s="91"/>
      <c r="Y28" s="91"/>
      <c r="Z28" s="91"/>
    </row>
    <row r="29" ht="15.75" customHeight="1">
      <c r="A29" s="1408">
        <v>41040.0</v>
      </c>
      <c r="B29" s="1362" t="s">
        <v>11996</v>
      </c>
      <c r="C29" s="66"/>
      <c r="D29" s="1362" t="s">
        <v>14178</v>
      </c>
      <c r="E29" s="1351" t="s">
        <v>14179</v>
      </c>
      <c r="F29" s="1424">
        <v>20.0</v>
      </c>
      <c r="G29" s="1424">
        <v>15.2</v>
      </c>
      <c r="H29" s="1390">
        <f t="shared" si="1"/>
        <v>304</v>
      </c>
      <c r="I29" s="1425">
        <v>41082.0</v>
      </c>
      <c r="J29" s="1423" t="s">
        <v>14180</v>
      </c>
      <c r="K29" s="521"/>
      <c r="L29" s="1362" t="s">
        <v>12656</v>
      </c>
      <c r="M29" s="66"/>
      <c r="N29" s="66"/>
      <c r="O29" s="1393" t="s">
        <v>2510</v>
      </c>
      <c r="P29" s="1390">
        <v>7770.0</v>
      </c>
      <c r="Q29" s="1404">
        <v>41079.0</v>
      </c>
      <c r="R29" s="1390">
        <v>7770.0</v>
      </c>
      <c r="S29" s="1389" t="s">
        <v>14181</v>
      </c>
      <c r="T29" s="91"/>
      <c r="U29" s="91"/>
      <c r="V29" s="91"/>
      <c r="W29" s="91"/>
      <c r="X29" s="91"/>
      <c r="Y29" s="91"/>
      <c r="Z29" s="91"/>
    </row>
    <row r="30" ht="15.75" customHeight="1">
      <c r="A30" s="1408">
        <v>41037.0</v>
      </c>
      <c r="B30" s="1362" t="s">
        <v>14182</v>
      </c>
      <c r="C30" s="66"/>
      <c r="D30" s="1362" t="s">
        <v>14183</v>
      </c>
      <c r="E30" s="1362" t="s">
        <v>14184</v>
      </c>
      <c r="F30" s="1390">
        <v>1.0</v>
      </c>
      <c r="G30" s="1424">
        <v>764.0</v>
      </c>
      <c r="H30" s="1417">
        <f t="shared" si="1"/>
        <v>764</v>
      </c>
      <c r="I30" s="1392">
        <v>41061.0</v>
      </c>
      <c r="J30" s="66"/>
      <c r="K30" s="66"/>
      <c r="L30" s="1362" t="s">
        <v>14185</v>
      </c>
      <c r="M30" s="66"/>
      <c r="N30" s="1389" t="s">
        <v>14186</v>
      </c>
      <c r="O30" s="1362" t="s">
        <v>14187</v>
      </c>
      <c r="P30" s="1390">
        <v>20475.0</v>
      </c>
      <c r="Q30" s="1404">
        <v>41059.0</v>
      </c>
      <c r="R30" s="1400">
        <v>20475.0</v>
      </c>
      <c r="S30" s="453" t="s">
        <v>14188</v>
      </c>
      <c r="T30" s="91"/>
      <c r="U30" s="91"/>
      <c r="V30" s="91"/>
      <c r="W30" s="91"/>
      <c r="X30" s="91"/>
      <c r="Y30" s="91"/>
      <c r="Z30" s="91"/>
    </row>
    <row r="31" ht="15.75" customHeight="1">
      <c r="A31" s="1408">
        <v>41044.0</v>
      </c>
      <c r="B31" s="1362" t="s">
        <v>673</v>
      </c>
      <c r="C31" s="66"/>
      <c r="D31" s="1362" t="s">
        <v>14189</v>
      </c>
      <c r="E31" s="1362" t="s">
        <v>14190</v>
      </c>
      <c r="F31" s="1390">
        <v>1.0</v>
      </c>
      <c r="G31" s="1390">
        <v>34.0</v>
      </c>
      <c r="H31" s="1390">
        <f t="shared" si="1"/>
        <v>34</v>
      </c>
      <c r="I31" s="1426" t="s">
        <v>14191</v>
      </c>
      <c r="J31" s="66"/>
      <c r="K31" s="66"/>
      <c r="L31" s="1362" t="s">
        <v>14192</v>
      </c>
      <c r="M31" s="66"/>
      <c r="N31" s="1389" t="s">
        <v>14186</v>
      </c>
      <c r="O31" s="1362" t="s">
        <v>14193</v>
      </c>
      <c r="P31" s="1390">
        <v>767.0</v>
      </c>
      <c r="Q31" s="1404">
        <v>41058.0</v>
      </c>
      <c r="R31" s="1390">
        <v>767.0</v>
      </c>
      <c r="S31" s="1389" t="s">
        <v>14194</v>
      </c>
      <c r="T31" s="91"/>
      <c r="U31" s="91"/>
      <c r="V31" s="91"/>
      <c r="W31" s="91"/>
      <c r="X31" s="91"/>
      <c r="Y31" s="91"/>
      <c r="Z31" s="91"/>
    </row>
    <row r="32" ht="15.75" customHeight="1">
      <c r="A32" s="1408">
        <v>41044.0</v>
      </c>
      <c r="B32" s="1362" t="s">
        <v>673</v>
      </c>
      <c r="C32" s="66"/>
      <c r="D32" s="1362" t="s">
        <v>14189</v>
      </c>
      <c r="E32" s="1362" t="s">
        <v>14195</v>
      </c>
      <c r="F32" s="1390">
        <v>1.0</v>
      </c>
      <c r="G32" s="1390">
        <v>186.0</v>
      </c>
      <c r="H32" s="1390">
        <f t="shared" si="1"/>
        <v>186</v>
      </c>
      <c r="I32" s="1426" t="s">
        <v>14191</v>
      </c>
      <c r="J32" s="66"/>
      <c r="K32" s="66"/>
      <c r="L32" s="1362" t="s">
        <v>14121</v>
      </c>
      <c r="M32" s="66"/>
      <c r="N32" s="1389" t="s">
        <v>14196</v>
      </c>
      <c r="O32" s="1362" t="s">
        <v>14197</v>
      </c>
      <c r="P32" s="1390">
        <v>8462.0</v>
      </c>
      <c r="Q32" s="1404">
        <v>41072.0</v>
      </c>
      <c r="R32" s="1427">
        <v>8463.0</v>
      </c>
      <c r="S32" s="1389" t="s">
        <v>14194</v>
      </c>
      <c r="T32" s="91"/>
      <c r="U32" s="91"/>
      <c r="V32" s="91"/>
      <c r="W32" s="91"/>
      <c r="X32" s="91"/>
      <c r="Y32" s="91"/>
      <c r="Z32" s="91"/>
    </row>
    <row r="33" ht="15.75" customHeight="1">
      <c r="A33" s="1408">
        <v>41044.0</v>
      </c>
      <c r="B33" s="1362" t="s">
        <v>673</v>
      </c>
      <c r="C33" s="66"/>
      <c r="D33" s="1362" t="s">
        <v>14189</v>
      </c>
      <c r="E33" s="1362" t="s">
        <v>14198</v>
      </c>
      <c r="F33" s="1390">
        <v>1.0</v>
      </c>
      <c r="G33" s="1390">
        <v>79.0</v>
      </c>
      <c r="H33" s="1390">
        <f t="shared" si="1"/>
        <v>79</v>
      </c>
      <c r="I33" s="1426" t="s">
        <v>14199</v>
      </c>
      <c r="J33" s="66"/>
      <c r="K33" s="66"/>
      <c r="L33" s="1362" t="s">
        <v>14121</v>
      </c>
      <c r="M33" s="66"/>
      <c r="N33" s="1389" t="s">
        <v>14196</v>
      </c>
      <c r="O33" s="1362" t="s">
        <v>8836</v>
      </c>
      <c r="P33" s="66"/>
      <c r="Q33" s="1404">
        <v>41072.0</v>
      </c>
      <c r="R33" s="1333"/>
      <c r="S33" s="1389" t="s">
        <v>14200</v>
      </c>
      <c r="T33" s="91"/>
      <c r="U33" s="91"/>
      <c r="V33" s="91"/>
      <c r="W33" s="91"/>
      <c r="X33" s="91"/>
      <c r="Y33" s="91"/>
      <c r="Z33" s="91"/>
    </row>
    <row r="34" ht="15.75" customHeight="1">
      <c r="A34" s="1408">
        <v>41044.0</v>
      </c>
      <c r="B34" s="1362" t="s">
        <v>673</v>
      </c>
      <c r="C34" s="66"/>
      <c r="D34" s="1362" t="s">
        <v>14189</v>
      </c>
      <c r="E34" s="1362" t="s">
        <v>14201</v>
      </c>
      <c r="F34" s="1390">
        <v>1.0</v>
      </c>
      <c r="G34" s="1390">
        <v>16.0</v>
      </c>
      <c r="H34" s="1390">
        <f t="shared" si="1"/>
        <v>16</v>
      </c>
      <c r="I34" s="1426" t="s">
        <v>14199</v>
      </c>
      <c r="J34" s="66"/>
      <c r="K34" s="66"/>
      <c r="L34" s="1362" t="s">
        <v>14121</v>
      </c>
      <c r="M34" s="66"/>
      <c r="N34" s="1389" t="s">
        <v>14196</v>
      </c>
      <c r="O34" s="1362" t="s">
        <v>8836</v>
      </c>
      <c r="P34" s="66"/>
      <c r="Q34" s="1404">
        <v>41072.0</v>
      </c>
      <c r="R34" s="1333"/>
      <c r="S34" s="1389" t="s">
        <v>14200</v>
      </c>
      <c r="T34" s="91"/>
      <c r="U34" s="91"/>
      <c r="V34" s="91"/>
      <c r="W34" s="91"/>
      <c r="X34" s="91"/>
      <c r="Y34" s="91"/>
      <c r="Z34" s="91"/>
    </row>
    <row r="35" ht="15.75" customHeight="1">
      <c r="A35" s="1408">
        <v>41044.0</v>
      </c>
      <c r="B35" s="1362" t="s">
        <v>673</v>
      </c>
      <c r="C35" s="66"/>
      <c r="D35" s="1362" t="s">
        <v>14189</v>
      </c>
      <c r="E35" s="1362" t="s">
        <v>14202</v>
      </c>
      <c r="F35" s="1390">
        <v>2.0</v>
      </c>
      <c r="G35" s="1390">
        <v>4.0</v>
      </c>
      <c r="H35" s="1390">
        <f t="shared" si="1"/>
        <v>8</v>
      </c>
      <c r="I35" s="1426" t="s">
        <v>14199</v>
      </c>
      <c r="J35" s="66"/>
      <c r="K35" s="66"/>
      <c r="L35" s="1362" t="s">
        <v>14121</v>
      </c>
      <c r="M35" s="66"/>
      <c r="N35" s="1389" t="s">
        <v>14196</v>
      </c>
      <c r="O35" s="1362" t="s">
        <v>8836</v>
      </c>
      <c r="P35" s="66"/>
      <c r="Q35" s="1404">
        <v>41072.0</v>
      </c>
      <c r="R35" s="1335"/>
      <c r="S35" s="1389" t="s">
        <v>14200</v>
      </c>
      <c r="T35" s="91"/>
      <c r="U35" s="91"/>
      <c r="V35" s="91"/>
      <c r="W35" s="91"/>
      <c r="X35" s="91"/>
      <c r="Y35" s="91"/>
      <c r="Z35" s="91"/>
    </row>
    <row r="36" ht="15.75" customHeight="1">
      <c r="A36" s="1408">
        <v>41044.0</v>
      </c>
      <c r="B36" s="1362" t="s">
        <v>673</v>
      </c>
      <c r="C36" s="66"/>
      <c r="D36" s="1362" t="s">
        <v>14189</v>
      </c>
      <c r="E36" s="1428" t="s">
        <v>14203</v>
      </c>
      <c r="F36" s="1390">
        <v>1.0</v>
      </c>
      <c r="G36" s="1390">
        <v>90.0</v>
      </c>
      <c r="H36" s="1390">
        <f t="shared" si="1"/>
        <v>90</v>
      </c>
      <c r="I36" s="1426" t="s">
        <v>14191</v>
      </c>
      <c r="J36" s="66"/>
      <c r="K36" s="66"/>
      <c r="L36" s="1362" t="s">
        <v>14204</v>
      </c>
      <c r="M36" s="66"/>
      <c r="N36" s="1389" t="s">
        <v>13844</v>
      </c>
      <c r="O36" s="66"/>
      <c r="P36" s="66"/>
      <c r="Q36" s="66"/>
      <c r="R36" s="1362" t="s">
        <v>14205</v>
      </c>
      <c r="S36" s="1389" t="s">
        <v>14206</v>
      </c>
      <c r="T36" s="91"/>
      <c r="U36" s="91"/>
      <c r="V36" s="91"/>
      <c r="W36" s="91"/>
      <c r="X36" s="91"/>
      <c r="Y36" s="91"/>
      <c r="Z36" s="91"/>
    </row>
    <row r="37" ht="15.75" customHeight="1">
      <c r="A37" s="1408">
        <v>41054.0</v>
      </c>
      <c r="B37" s="1362" t="s">
        <v>14207</v>
      </c>
      <c r="C37" s="66"/>
      <c r="D37" s="1429" t="s">
        <v>14208</v>
      </c>
      <c r="E37" s="1362" t="s">
        <v>14209</v>
      </c>
      <c r="F37" s="1390">
        <v>510.0</v>
      </c>
      <c r="G37" s="1390">
        <v>61.0</v>
      </c>
      <c r="H37" s="1390">
        <f t="shared" si="1"/>
        <v>31110</v>
      </c>
      <c r="I37" s="1426" t="s">
        <v>14191</v>
      </c>
      <c r="J37" s="66"/>
      <c r="K37" s="66"/>
      <c r="L37" s="1362" t="s">
        <v>90</v>
      </c>
      <c r="M37" s="66"/>
      <c r="N37" s="1389" t="s">
        <v>14210</v>
      </c>
      <c r="O37" s="1362" t="s">
        <v>14211</v>
      </c>
      <c r="P37" s="1430" t="s">
        <v>14212</v>
      </c>
      <c r="Q37" s="1404">
        <v>41075.0</v>
      </c>
      <c r="R37" s="1394">
        <v>833430.0</v>
      </c>
      <c r="S37" s="1389" t="s">
        <v>14213</v>
      </c>
      <c r="T37" s="91"/>
      <c r="U37" s="91"/>
      <c r="V37" s="91"/>
      <c r="W37" s="91"/>
      <c r="X37" s="91"/>
      <c r="Y37" s="91"/>
      <c r="Z37" s="91"/>
    </row>
    <row r="38" ht="15.75" customHeight="1">
      <c r="A38" s="1408">
        <v>41054.0</v>
      </c>
      <c r="B38" s="1362" t="s">
        <v>14207</v>
      </c>
      <c r="C38" s="66"/>
      <c r="D38" s="1429" t="s">
        <v>14208</v>
      </c>
      <c r="E38" s="1362" t="s">
        <v>14140</v>
      </c>
      <c r="F38" s="1390">
        <v>5.0</v>
      </c>
      <c r="G38" s="1390">
        <v>72.0</v>
      </c>
      <c r="H38" s="1390">
        <f t="shared" si="1"/>
        <v>360</v>
      </c>
      <c r="I38" s="1426" t="s">
        <v>14191</v>
      </c>
      <c r="J38" s="66"/>
      <c r="K38" s="66"/>
      <c r="L38" s="1362" t="s">
        <v>90</v>
      </c>
      <c r="M38" s="66"/>
      <c r="N38" s="1389" t="s">
        <v>14210</v>
      </c>
      <c r="O38" s="1362" t="s">
        <v>14211</v>
      </c>
      <c r="P38" s="66"/>
      <c r="Q38" s="1404">
        <v>41075.0</v>
      </c>
      <c r="R38" s="1394">
        <v>8643.0</v>
      </c>
      <c r="S38" s="1389" t="s">
        <v>14213</v>
      </c>
      <c r="T38" s="91"/>
      <c r="U38" s="91"/>
      <c r="V38" s="91"/>
      <c r="W38" s="91"/>
      <c r="X38" s="91"/>
      <c r="Y38" s="91"/>
      <c r="Z38" s="91"/>
    </row>
    <row r="39" ht="15.75" customHeight="1">
      <c r="A39" s="1408">
        <v>41054.0</v>
      </c>
      <c r="B39" s="1362" t="s">
        <v>14207</v>
      </c>
      <c r="C39" s="66"/>
      <c r="D39" s="1429" t="s">
        <v>14208</v>
      </c>
      <c r="E39" s="1362" t="s">
        <v>14214</v>
      </c>
      <c r="F39" s="1390">
        <v>200.0</v>
      </c>
      <c r="G39" s="1390">
        <v>23.0</v>
      </c>
      <c r="H39" s="1390">
        <f t="shared" si="1"/>
        <v>4600</v>
      </c>
      <c r="I39" s="1426" t="s">
        <v>14191</v>
      </c>
      <c r="J39" s="66"/>
      <c r="K39" s="66"/>
      <c r="L39" s="1362" t="s">
        <v>303</v>
      </c>
      <c r="M39" s="66"/>
      <c r="N39" s="1389" t="s">
        <v>14210</v>
      </c>
      <c r="O39" s="1362" t="s">
        <v>13751</v>
      </c>
      <c r="P39" s="1390">
        <v>63000.0</v>
      </c>
      <c r="Q39" s="1404">
        <v>41071.0</v>
      </c>
      <c r="R39" s="1394">
        <v>63000.0</v>
      </c>
      <c r="S39" s="1389" t="s">
        <v>14213</v>
      </c>
      <c r="T39" s="91"/>
      <c r="U39" s="91"/>
      <c r="V39" s="91"/>
      <c r="W39" s="91"/>
      <c r="X39" s="91"/>
      <c r="Y39" s="91"/>
      <c r="Z39" s="91"/>
    </row>
    <row r="40" ht="15.75" customHeight="1">
      <c r="A40" s="1408">
        <v>41061.0</v>
      </c>
      <c r="B40" s="1362" t="s">
        <v>14182</v>
      </c>
      <c r="C40" s="66"/>
      <c r="D40" s="1362" t="s">
        <v>14215</v>
      </c>
      <c r="E40" s="1362" t="s">
        <v>14216</v>
      </c>
      <c r="F40" s="1390">
        <v>1.0</v>
      </c>
      <c r="G40" s="1390">
        <v>1790.0</v>
      </c>
      <c r="H40" s="1424">
        <f t="shared" si="1"/>
        <v>1790</v>
      </c>
      <c r="I40" s="1401" t="s">
        <v>14217</v>
      </c>
      <c r="J40" s="1419" t="s">
        <v>14218</v>
      </c>
      <c r="K40" s="1420" t="s">
        <v>12646</v>
      </c>
      <c r="L40" s="1362" t="s">
        <v>14219</v>
      </c>
      <c r="M40" s="66"/>
      <c r="N40" s="1389" t="s">
        <v>13844</v>
      </c>
      <c r="O40" s="66"/>
      <c r="P40" s="1390">
        <v>48993.0</v>
      </c>
      <c r="Q40" s="1404">
        <v>41106.0</v>
      </c>
      <c r="R40" s="1406">
        <v>48993.0</v>
      </c>
      <c r="S40" s="453" t="s">
        <v>14220</v>
      </c>
      <c r="T40" s="91"/>
      <c r="U40" s="91"/>
      <c r="V40" s="91"/>
      <c r="W40" s="91"/>
      <c r="X40" s="91"/>
      <c r="Y40" s="91"/>
      <c r="Z40" s="91"/>
    </row>
    <row r="41" ht="15.75" customHeight="1">
      <c r="A41" s="1408">
        <v>41084.0</v>
      </c>
      <c r="B41" s="1362" t="s">
        <v>1204</v>
      </c>
      <c r="C41" s="1362" t="s">
        <v>14221</v>
      </c>
      <c r="D41" s="1362" t="s">
        <v>14222</v>
      </c>
      <c r="E41" s="1362" t="s">
        <v>12654</v>
      </c>
      <c r="F41" s="1390">
        <v>200.0</v>
      </c>
      <c r="G41" s="1390">
        <v>37.0</v>
      </c>
      <c r="H41" s="1390">
        <f t="shared" ref="H41:H42" si="2">G41*F41</f>
        <v>7400</v>
      </c>
      <c r="I41" s="1431" t="s">
        <v>14223</v>
      </c>
      <c r="J41" s="1362" t="s">
        <v>934</v>
      </c>
      <c r="K41" s="1420" t="s">
        <v>12655</v>
      </c>
      <c r="L41" s="1362" t="s">
        <v>12656</v>
      </c>
      <c r="M41" s="66"/>
      <c r="N41" s="1389" t="s">
        <v>14224</v>
      </c>
      <c r="O41" s="1399" t="s">
        <v>2510</v>
      </c>
      <c r="P41" s="1424">
        <v>210000.0</v>
      </c>
      <c r="Q41" s="1362" t="s">
        <v>14225</v>
      </c>
      <c r="R41" s="1432" t="s">
        <v>14226</v>
      </c>
      <c r="S41" s="1389" t="s">
        <v>14227</v>
      </c>
      <c r="T41" s="91"/>
      <c r="U41" s="91"/>
      <c r="V41" s="91"/>
      <c r="W41" s="91"/>
      <c r="X41" s="91"/>
      <c r="Y41" s="91"/>
      <c r="Z41" s="91"/>
    </row>
    <row r="42" ht="15.75" customHeight="1">
      <c r="A42" s="1408">
        <v>41087.0</v>
      </c>
      <c r="B42" s="1362" t="s">
        <v>1204</v>
      </c>
      <c r="C42" s="1362" t="s">
        <v>14228</v>
      </c>
      <c r="D42" s="1362" t="s">
        <v>14229</v>
      </c>
      <c r="E42" s="1362" t="s">
        <v>14230</v>
      </c>
      <c r="F42" s="1390">
        <v>10.0</v>
      </c>
      <c r="G42" s="1390">
        <v>300.0</v>
      </c>
      <c r="H42" s="1390">
        <f t="shared" si="2"/>
        <v>3000</v>
      </c>
      <c r="I42" s="1418">
        <v>41134.0</v>
      </c>
      <c r="J42" s="1362" t="s">
        <v>934</v>
      </c>
      <c r="K42" s="1420" t="s">
        <v>12646</v>
      </c>
      <c r="L42" s="1362" t="s">
        <v>14231</v>
      </c>
      <c r="M42" s="66"/>
      <c r="N42" s="1389" t="s">
        <v>13844</v>
      </c>
      <c r="O42" s="66"/>
      <c r="P42" s="1390">
        <v>88000.0</v>
      </c>
      <c r="Q42" s="1404">
        <v>41102.0</v>
      </c>
      <c r="R42" s="1394">
        <v>88000.0</v>
      </c>
      <c r="S42" s="1409" t="s">
        <v>14232</v>
      </c>
      <c r="T42" s="91"/>
      <c r="U42" s="91"/>
      <c r="V42" s="91"/>
      <c r="W42" s="91"/>
      <c r="X42" s="91"/>
      <c r="Y42" s="91"/>
      <c r="Z42" s="91"/>
    </row>
    <row r="43" ht="15.75" customHeight="1">
      <c r="A43" s="1408">
        <v>41092.0</v>
      </c>
      <c r="B43" s="1362" t="s">
        <v>1204</v>
      </c>
      <c r="C43" s="1362" t="s">
        <v>14233</v>
      </c>
      <c r="D43" s="1362" t="s">
        <v>14234</v>
      </c>
      <c r="E43" s="1362" t="s">
        <v>14230</v>
      </c>
      <c r="F43" s="1390">
        <v>10.0</v>
      </c>
      <c r="G43" s="1390">
        <v>300.0</v>
      </c>
      <c r="H43" s="1390">
        <v>3018.5</v>
      </c>
      <c r="I43" s="1418">
        <v>41134.0</v>
      </c>
      <c r="J43" s="1362" t="s">
        <v>934</v>
      </c>
      <c r="K43" s="1420" t="s">
        <v>12646</v>
      </c>
      <c r="L43" s="1362" t="s">
        <v>14231</v>
      </c>
      <c r="M43" s="66"/>
      <c r="N43" s="1389" t="s">
        <v>13844</v>
      </c>
      <c r="O43" s="66"/>
      <c r="P43" s="1390">
        <v>88000.0</v>
      </c>
      <c r="Q43" s="1404">
        <v>41102.0</v>
      </c>
      <c r="R43" s="1394">
        <v>88000.0</v>
      </c>
      <c r="S43" s="1409" t="s">
        <v>14232</v>
      </c>
      <c r="T43" s="91"/>
      <c r="U43" s="91"/>
      <c r="V43" s="91"/>
      <c r="W43" s="91"/>
      <c r="X43" s="91"/>
      <c r="Y43" s="91"/>
      <c r="Z43" s="91"/>
    </row>
    <row r="44" ht="15.75" customHeight="1">
      <c r="A44" s="1408">
        <v>41099.0</v>
      </c>
      <c r="B44" s="1362" t="s">
        <v>14235</v>
      </c>
      <c r="C44" s="66"/>
      <c r="D44" s="1362" t="s">
        <v>14236</v>
      </c>
      <c r="E44" s="1362" t="s">
        <v>13862</v>
      </c>
      <c r="F44" s="1390">
        <v>40.0</v>
      </c>
      <c r="G44" s="1390">
        <v>10.5</v>
      </c>
      <c r="H44" s="1390">
        <f t="shared" ref="H44:H71" si="3">G44*F44</f>
        <v>420</v>
      </c>
      <c r="I44" s="1392">
        <v>41131.0</v>
      </c>
      <c r="J44" s="1362" t="s">
        <v>14237</v>
      </c>
      <c r="K44" s="1420" t="s">
        <v>12646</v>
      </c>
      <c r="L44" s="1362" t="s">
        <v>303</v>
      </c>
      <c r="M44" s="66"/>
      <c r="N44" s="1389" t="s">
        <v>14238</v>
      </c>
      <c r="O44" s="1362" t="s">
        <v>13751</v>
      </c>
      <c r="P44" s="1390">
        <v>7660.0</v>
      </c>
      <c r="Q44" s="1404">
        <v>41128.0</v>
      </c>
      <c r="R44" s="1394">
        <v>7665.0</v>
      </c>
      <c r="S44" s="453" t="s">
        <v>14239</v>
      </c>
      <c r="T44" s="91"/>
      <c r="U44" s="91"/>
      <c r="V44" s="91"/>
      <c r="W44" s="91"/>
      <c r="X44" s="91"/>
      <c r="Y44" s="91"/>
      <c r="Z44" s="91"/>
    </row>
    <row r="45" ht="15.75" customHeight="1">
      <c r="A45" s="1408">
        <v>41099.0</v>
      </c>
      <c r="B45" s="1362" t="s">
        <v>14235</v>
      </c>
      <c r="C45" s="66"/>
      <c r="D45" s="1362" t="s">
        <v>14240</v>
      </c>
      <c r="E45" s="1362" t="s">
        <v>12342</v>
      </c>
      <c r="F45" s="1390">
        <v>40.0</v>
      </c>
      <c r="G45" s="1390">
        <v>86.0</v>
      </c>
      <c r="H45" s="1390">
        <f t="shared" si="3"/>
        <v>3440</v>
      </c>
      <c r="I45" s="1418">
        <v>41131.0</v>
      </c>
      <c r="J45" s="1362" t="s">
        <v>14241</v>
      </c>
      <c r="K45" s="1420" t="s">
        <v>90</v>
      </c>
      <c r="L45" s="1362" t="s">
        <v>90</v>
      </c>
      <c r="M45" s="66"/>
      <c r="N45" s="1389">
        <v>2.0120913E7</v>
      </c>
      <c r="O45" s="1399" t="s">
        <v>13694</v>
      </c>
      <c r="P45" s="1414" t="s">
        <v>14242</v>
      </c>
      <c r="Q45" s="1404">
        <v>41130.0</v>
      </c>
      <c r="R45" s="1433">
        <v>98690.0</v>
      </c>
      <c r="S45" s="453" t="s">
        <v>14239</v>
      </c>
      <c r="T45" s="91"/>
      <c r="U45" s="91"/>
      <c r="V45" s="91"/>
      <c r="W45" s="91"/>
      <c r="X45" s="91"/>
      <c r="Y45" s="91"/>
      <c r="Z45" s="91"/>
    </row>
    <row r="46" ht="15.75" customHeight="1">
      <c r="A46" s="1408">
        <v>41170.0</v>
      </c>
      <c r="B46" s="1362" t="s">
        <v>12692</v>
      </c>
      <c r="C46" s="1362" t="s">
        <v>14243</v>
      </c>
      <c r="D46" s="1362" t="s">
        <v>14244</v>
      </c>
      <c r="E46" s="1362" t="s">
        <v>9438</v>
      </c>
      <c r="F46" s="1390">
        <v>80.0</v>
      </c>
      <c r="G46" s="1390">
        <v>184.0</v>
      </c>
      <c r="H46" s="1390">
        <f t="shared" si="3"/>
        <v>14720</v>
      </c>
      <c r="I46" s="1402">
        <v>41184.0</v>
      </c>
      <c r="J46" s="1362" t="s">
        <v>14245</v>
      </c>
      <c r="K46" s="1434" t="s">
        <v>90</v>
      </c>
      <c r="L46" s="1362" t="s">
        <v>90</v>
      </c>
      <c r="M46" s="66"/>
      <c r="N46" s="1389">
        <v>2.0120927E7</v>
      </c>
      <c r="O46" s="1399" t="s">
        <v>13694</v>
      </c>
      <c r="P46" s="1435" t="s">
        <v>14246</v>
      </c>
      <c r="Q46" s="1404">
        <v>41180.0</v>
      </c>
      <c r="R46" s="1394">
        <v>382007.0</v>
      </c>
      <c r="S46" s="1389" t="s">
        <v>14247</v>
      </c>
      <c r="T46" s="91"/>
      <c r="U46" s="91"/>
      <c r="V46" s="91"/>
      <c r="W46" s="91"/>
      <c r="X46" s="91"/>
      <c r="Y46" s="91"/>
      <c r="Z46" s="91"/>
    </row>
    <row r="47" ht="15.75" customHeight="1">
      <c r="A47" s="1408">
        <v>41170.0</v>
      </c>
      <c r="B47" s="1362" t="s">
        <v>12692</v>
      </c>
      <c r="C47" s="1362" t="s">
        <v>14243</v>
      </c>
      <c r="D47" s="1362" t="s">
        <v>14244</v>
      </c>
      <c r="E47" s="1362" t="s">
        <v>14248</v>
      </c>
      <c r="F47" s="1390">
        <v>80.0</v>
      </c>
      <c r="G47" s="1390">
        <v>20.5</v>
      </c>
      <c r="H47" s="1390">
        <f t="shared" si="3"/>
        <v>1640</v>
      </c>
      <c r="I47" s="1402">
        <v>41184.0</v>
      </c>
      <c r="J47" s="1362" t="s">
        <v>14245</v>
      </c>
      <c r="K47" s="1420" t="s">
        <v>12646</v>
      </c>
      <c r="L47" s="1362" t="s">
        <v>303</v>
      </c>
      <c r="M47" s="66"/>
      <c r="N47" s="1389">
        <v>2.0120927E7</v>
      </c>
      <c r="O47" s="1362" t="s">
        <v>13751</v>
      </c>
      <c r="P47" s="1390">
        <v>37800.0</v>
      </c>
      <c r="Q47" s="1404">
        <v>41176.0</v>
      </c>
      <c r="R47" s="1394">
        <v>37800.0</v>
      </c>
      <c r="S47" s="1389" t="s">
        <v>14247</v>
      </c>
      <c r="T47" s="91"/>
      <c r="U47" s="91"/>
      <c r="V47" s="91"/>
      <c r="W47" s="91"/>
      <c r="X47" s="91"/>
      <c r="Y47" s="91"/>
      <c r="Z47" s="91"/>
    </row>
    <row r="48" ht="15.75" customHeight="1">
      <c r="A48" s="1408">
        <v>41170.0</v>
      </c>
      <c r="B48" s="1362" t="s">
        <v>7411</v>
      </c>
      <c r="C48" s="1362" t="s">
        <v>14249</v>
      </c>
      <c r="D48" s="1362" t="s">
        <v>14250</v>
      </c>
      <c r="E48" s="1362" t="s">
        <v>13706</v>
      </c>
      <c r="F48" s="1390">
        <v>3.0</v>
      </c>
      <c r="G48" s="1390">
        <v>240.0</v>
      </c>
      <c r="H48" s="1390">
        <f t="shared" si="3"/>
        <v>720</v>
      </c>
      <c r="I48" s="1402">
        <v>41177.0</v>
      </c>
      <c r="J48" s="1362" t="s">
        <v>14251</v>
      </c>
      <c r="K48" s="1420" t="s">
        <v>12646</v>
      </c>
      <c r="L48" s="1362" t="s">
        <v>90</v>
      </c>
      <c r="M48" s="66"/>
      <c r="N48" s="1389">
        <v>2.0120927E7</v>
      </c>
      <c r="O48" s="1399" t="s">
        <v>13694</v>
      </c>
      <c r="P48" s="1435" t="s">
        <v>14252</v>
      </c>
      <c r="Q48" s="1404">
        <v>41173.0</v>
      </c>
      <c r="R48" s="1394">
        <v>18022.0</v>
      </c>
      <c r="S48" s="1389" t="s">
        <v>14253</v>
      </c>
      <c r="T48" s="91"/>
      <c r="U48" s="91"/>
      <c r="V48" s="91"/>
      <c r="W48" s="91"/>
      <c r="X48" s="91"/>
      <c r="Y48" s="91"/>
      <c r="Z48" s="91"/>
    </row>
    <row r="49" ht="15.75" customHeight="1">
      <c r="A49" s="1408">
        <v>41170.0</v>
      </c>
      <c r="B49" s="1362" t="s">
        <v>7411</v>
      </c>
      <c r="C49" s="1362" t="s">
        <v>14249</v>
      </c>
      <c r="D49" s="1362" t="s">
        <v>14250</v>
      </c>
      <c r="E49" s="1351" t="s">
        <v>14254</v>
      </c>
      <c r="F49" s="1390">
        <v>3.0</v>
      </c>
      <c r="G49" s="1390">
        <v>35.0</v>
      </c>
      <c r="H49" s="1390">
        <f t="shared" si="3"/>
        <v>105</v>
      </c>
      <c r="I49" s="1402">
        <v>41177.0</v>
      </c>
      <c r="J49" s="1362" t="s">
        <v>14255</v>
      </c>
      <c r="K49" s="1420" t="s">
        <v>12646</v>
      </c>
      <c r="L49" s="1362" t="s">
        <v>303</v>
      </c>
      <c r="M49" s="66"/>
      <c r="N49" s="1389">
        <v>2.0120927E7</v>
      </c>
      <c r="O49" s="1362" t="s">
        <v>13751</v>
      </c>
      <c r="P49" s="1390">
        <v>1701.0</v>
      </c>
      <c r="Q49" s="1404">
        <v>41176.0</v>
      </c>
      <c r="R49" s="1394">
        <v>1701.0</v>
      </c>
      <c r="S49" s="1389" t="s">
        <v>14253</v>
      </c>
      <c r="T49" s="91"/>
      <c r="U49" s="91"/>
      <c r="V49" s="91"/>
      <c r="W49" s="91"/>
      <c r="X49" s="91"/>
      <c r="Y49" s="91"/>
      <c r="Z49" s="91"/>
    </row>
    <row r="50" ht="15.75" customHeight="1">
      <c r="A50" s="1408">
        <v>41171.0</v>
      </c>
      <c r="B50" s="1362" t="s">
        <v>673</v>
      </c>
      <c r="C50" s="1362" t="s">
        <v>14256</v>
      </c>
      <c r="D50" s="1351" t="s">
        <v>14257</v>
      </c>
      <c r="E50" s="1362" t="s">
        <v>8941</v>
      </c>
      <c r="F50" s="1390">
        <v>8.0</v>
      </c>
      <c r="G50" s="1390">
        <v>103.0</v>
      </c>
      <c r="H50" s="1390">
        <f t="shared" si="3"/>
        <v>824</v>
      </c>
      <c r="I50" s="1410">
        <v>41185.0</v>
      </c>
      <c r="J50" s="1362" t="s">
        <v>14258</v>
      </c>
      <c r="K50" s="1434" t="s">
        <v>90</v>
      </c>
      <c r="L50" s="1362" t="s">
        <v>90</v>
      </c>
      <c r="M50" s="66"/>
      <c r="N50" s="1389" t="s">
        <v>13844</v>
      </c>
      <c r="O50" s="1399" t="s">
        <v>13694</v>
      </c>
      <c r="P50" s="1436" t="s">
        <v>14259</v>
      </c>
      <c r="Q50" s="1437">
        <v>41185.0</v>
      </c>
      <c r="R50" s="1427">
        <v>166699.0</v>
      </c>
      <c r="S50" s="1389" t="s">
        <v>14260</v>
      </c>
      <c r="T50" s="91"/>
      <c r="U50" s="91"/>
      <c r="V50" s="91"/>
      <c r="W50" s="91"/>
      <c r="X50" s="91"/>
      <c r="Y50" s="91"/>
      <c r="Z50" s="91"/>
    </row>
    <row r="51" ht="15.75" customHeight="1">
      <c r="A51" s="1408">
        <v>41171.0</v>
      </c>
      <c r="B51" s="1362" t="s">
        <v>673</v>
      </c>
      <c r="C51" s="1362" t="s">
        <v>14256</v>
      </c>
      <c r="D51" s="1362" t="s">
        <v>14257</v>
      </c>
      <c r="E51" s="1362" t="s">
        <v>8591</v>
      </c>
      <c r="F51" s="1390">
        <v>3.0</v>
      </c>
      <c r="G51" s="1390">
        <v>377.0</v>
      </c>
      <c r="H51" s="1390">
        <f t="shared" si="3"/>
        <v>1131</v>
      </c>
      <c r="I51" s="1410">
        <v>41185.0</v>
      </c>
      <c r="J51" s="1362" t="s">
        <v>14261</v>
      </c>
      <c r="K51" s="1434" t="s">
        <v>90</v>
      </c>
      <c r="L51" s="1362" t="s">
        <v>90</v>
      </c>
      <c r="M51" s="66"/>
      <c r="N51" s="1389" t="s">
        <v>13844</v>
      </c>
      <c r="O51" s="1399" t="s">
        <v>13694</v>
      </c>
      <c r="P51" s="1333"/>
      <c r="Q51" s="1333"/>
      <c r="R51" s="1333"/>
      <c r="S51" s="1389" t="s">
        <v>14260</v>
      </c>
      <c r="T51" s="91"/>
      <c r="U51" s="91"/>
      <c r="V51" s="91"/>
      <c r="W51" s="91"/>
      <c r="X51" s="91"/>
      <c r="Y51" s="91"/>
      <c r="Z51" s="91"/>
    </row>
    <row r="52" ht="15.75" customHeight="1">
      <c r="A52" s="1408">
        <v>41171.0</v>
      </c>
      <c r="B52" s="1362" t="s">
        <v>673</v>
      </c>
      <c r="C52" s="1362" t="s">
        <v>14256</v>
      </c>
      <c r="D52" s="1362" t="s">
        <v>14257</v>
      </c>
      <c r="E52" s="1362" t="s">
        <v>8936</v>
      </c>
      <c r="F52" s="1390">
        <v>4.0</v>
      </c>
      <c r="G52" s="1390">
        <v>966.0</v>
      </c>
      <c r="H52" s="1390">
        <f t="shared" si="3"/>
        <v>3864</v>
      </c>
      <c r="I52" s="1410">
        <v>41185.0</v>
      </c>
      <c r="J52" s="1362" t="s">
        <v>14261</v>
      </c>
      <c r="K52" s="1434" t="s">
        <v>90</v>
      </c>
      <c r="L52" s="1362" t="s">
        <v>90</v>
      </c>
      <c r="M52" s="66"/>
      <c r="N52" s="1389" t="s">
        <v>13844</v>
      </c>
      <c r="O52" s="1399" t="s">
        <v>13694</v>
      </c>
      <c r="P52" s="1333"/>
      <c r="Q52" s="1333"/>
      <c r="R52" s="1333"/>
      <c r="S52" s="1389" t="s">
        <v>14260</v>
      </c>
      <c r="T52" s="91"/>
      <c r="U52" s="91"/>
      <c r="V52" s="91"/>
      <c r="W52" s="91"/>
      <c r="X52" s="91"/>
      <c r="Y52" s="91"/>
      <c r="Z52" s="91"/>
    </row>
    <row r="53" ht="15.75" customHeight="1">
      <c r="A53" s="1408">
        <v>41171.0</v>
      </c>
      <c r="B53" s="1362" t="s">
        <v>673</v>
      </c>
      <c r="C53" s="1362" t="s">
        <v>14256</v>
      </c>
      <c r="D53" s="1362" t="s">
        <v>14257</v>
      </c>
      <c r="E53" s="1362" t="s">
        <v>14262</v>
      </c>
      <c r="F53" s="1390">
        <v>2.0</v>
      </c>
      <c r="G53" s="1390">
        <v>197.0</v>
      </c>
      <c r="H53" s="1390">
        <f t="shared" si="3"/>
        <v>394</v>
      </c>
      <c r="I53" s="1410">
        <v>41185.0</v>
      </c>
      <c r="J53" s="1362" t="s">
        <v>14261</v>
      </c>
      <c r="K53" s="1434" t="s">
        <v>90</v>
      </c>
      <c r="L53" s="1362" t="s">
        <v>90</v>
      </c>
      <c r="M53" s="66"/>
      <c r="N53" s="1389" t="s">
        <v>13844</v>
      </c>
      <c r="O53" s="1399" t="s">
        <v>13694</v>
      </c>
      <c r="P53" s="1335"/>
      <c r="Q53" s="1335"/>
      <c r="R53" s="1335"/>
      <c r="S53" s="1389" t="s">
        <v>14260</v>
      </c>
      <c r="T53" s="91"/>
      <c r="U53" s="91"/>
      <c r="V53" s="91"/>
      <c r="W53" s="91"/>
      <c r="X53" s="91"/>
      <c r="Y53" s="91"/>
      <c r="Z53" s="91"/>
    </row>
    <row r="54" ht="15.75" customHeight="1">
      <c r="A54" s="1408">
        <v>41171.0</v>
      </c>
      <c r="B54" s="1362" t="s">
        <v>673</v>
      </c>
      <c r="C54" s="1362" t="s">
        <v>14263</v>
      </c>
      <c r="D54" s="1362" t="s">
        <v>14264</v>
      </c>
      <c r="E54" s="1362" t="s">
        <v>8941</v>
      </c>
      <c r="F54" s="1390">
        <v>12.0</v>
      </c>
      <c r="G54" s="1390">
        <v>103.0</v>
      </c>
      <c r="H54" s="1390">
        <f t="shared" si="3"/>
        <v>1236</v>
      </c>
      <c r="I54" s="1410">
        <v>41606.0</v>
      </c>
      <c r="J54" s="1438" t="s">
        <v>14265</v>
      </c>
      <c r="K54" s="1434" t="s">
        <v>90</v>
      </c>
      <c r="L54" s="1362" t="s">
        <v>90</v>
      </c>
      <c r="M54" s="66"/>
      <c r="N54" s="1389" t="s">
        <v>14266</v>
      </c>
      <c r="O54" s="1399" t="s">
        <v>13694</v>
      </c>
      <c r="P54" s="1436" t="s">
        <v>14267</v>
      </c>
      <c r="Q54" s="1437">
        <v>41241.0</v>
      </c>
      <c r="R54" s="1427">
        <v>429362.0</v>
      </c>
      <c r="S54" s="1439" t="s">
        <v>14268</v>
      </c>
      <c r="T54" s="91"/>
      <c r="U54" s="91"/>
      <c r="V54" s="91"/>
      <c r="W54" s="91"/>
      <c r="X54" s="91"/>
      <c r="Y54" s="91"/>
      <c r="Z54" s="91"/>
    </row>
    <row r="55" ht="15.75" customHeight="1">
      <c r="A55" s="1408">
        <v>41171.0</v>
      </c>
      <c r="B55" s="1362" t="s">
        <v>673</v>
      </c>
      <c r="C55" s="1362" t="s">
        <v>14263</v>
      </c>
      <c r="D55" s="1362" t="s">
        <v>14264</v>
      </c>
      <c r="E55" s="1362" t="s">
        <v>8591</v>
      </c>
      <c r="F55" s="1390">
        <v>10.0</v>
      </c>
      <c r="G55" s="1390">
        <v>377.0</v>
      </c>
      <c r="H55" s="1390">
        <f t="shared" si="3"/>
        <v>3770</v>
      </c>
      <c r="I55" s="1410">
        <v>41606.0</v>
      </c>
      <c r="J55" s="1438" t="s">
        <v>14265</v>
      </c>
      <c r="K55" s="1434" t="s">
        <v>90</v>
      </c>
      <c r="L55" s="1362" t="s">
        <v>90</v>
      </c>
      <c r="M55" s="66"/>
      <c r="N55" s="1389" t="s">
        <v>14266</v>
      </c>
      <c r="O55" s="1399" t="s">
        <v>13694</v>
      </c>
      <c r="P55" s="1333"/>
      <c r="Q55" s="1333"/>
      <c r="R55" s="1333"/>
      <c r="S55" s="1333"/>
      <c r="T55" s="91"/>
      <c r="U55" s="91"/>
      <c r="V55" s="91"/>
      <c r="W55" s="91"/>
      <c r="X55" s="91"/>
      <c r="Y55" s="91"/>
      <c r="Z55" s="91"/>
    </row>
    <row r="56" ht="15.75" customHeight="1">
      <c r="A56" s="1408">
        <v>41171.0</v>
      </c>
      <c r="B56" s="1362" t="s">
        <v>673</v>
      </c>
      <c r="C56" s="1362" t="s">
        <v>14263</v>
      </c>
      <c r="D56" s="1362" t="s">
        <v>14264</v>
      </c>
      <c r="E56" s="1362" t="s">
        <v>8936</v>
      </c>
      <c r="F56" s="1390">
        <v>6.0</v>
      </c>
      <c r="G56" s="1390">
        <v>966.0</v>
      </c>
      <c r="H56" s="1390">
        <f t="shared" si="3"/>
        <v>5796</v>
      </c>
      <c r="I56" s="1410">
        <v>41606.0</v>
      </c>
      <c r="J56" s="1438" t="s">
        <v>14265</v>
      </c>
      <c r="K56" s="1434" t="s">
        <v>90</v>
      </c>
      <c r="L56" s="1362" t="s">
        <v>90</v>
      </c>
      <c r="M56" s="66"/>
      <c r="N56" s="1389" t="s">
        <v>14266</v>
      </c>
      <c r="O56" s="1399" t="s">
        <v>13694</v>
      </c>
      <c r="P56" s="1333"/>
      <c r="Q56" s="1333"/>
      <c r="R56" s="1333"/>
      <c r="S56" s="1333"/>
      <c r="T56" s="91"/>
      <c r="U56" s="91"/>
      <c r="V56" s="91"/>
      <c r="W56" s="91"/>
      <c r="X56" s="91"/>
      <c r="Y56" s="91"/>
      <c r="Z56" s="91"/>
    </row>
    <row r="57" ht="15.75" customHeight="1">
      <c r="A57" s="1408">
        <v>41171.0</v>
      </c>
      <c r="B57" s="1362" t="s">
        <v>673</v>
      </c>
      <c r="C57" s="1362" t="s">
        <v>14263</v>
      </c>
      <c r="D57" s="1362" t="s">
        <v>14264</v>
      </c>
      <c r="E57" s="1362" t="s">
        <v>14262</v>
      </c>
      <c r="F57" s="1390">
        <v>27.0</v>
      </c>
      <c r="G57" s="1390">
        <v>197.0</v>
      </c>
      <c r="H57" s="1390">
        <f t="shared" si="3"/>
        <v>5319</v>
      </c>
      <c r="I57" s="1410">
        <v>41606.0</v>
      </c>
      <c r="J57" s="1438" t="s">
        <v>14265</v>
      </c>
      <c r="K57" s="1434" t="s">
        <v>90</v>
      </c>
      <c r="L57" s="1362" t="s">
        <v>90</v>
      </c>
      <c r="M57" s="66"/>
      <c r="N57" s="1389" t="s">
        <v>14266</v>
      </c>
      <c r="O57" s="1399" t="s">
        <v>13694</v>
      </c>
      <c r="P57" s="1335"/>
      <c r="Q57" s="1335"/>
      <c r="R57" s="1335"/>
      <c r="S57" s="1335"/>
      <c r="T57" s="91"/>
      <c r="U57" s="91"/>
      <c r="V57" s="91"/>
      <c r="W57" s="91"/>
      <c r="X57" s="91"/>
      <c r="Y57" s="91"/>
      <c r="Z57" s="91"/>
    </row>
    <row r="58" ht="15.75" customHeight="1">
      <c r="A58" s="1408">
        <v>41187.0</v>
      </c>
      <c r="B58" s="1362" t="s">
        <v>1204</v>
      </c>
      <c r="C58" s="1362" t="s">
        <v>14269</v>
      </c>
      <c r="D58" s="1362" t="s">
        <v>14270</v>
      </c>
      <c r="E58" s="1362" t="s">
        <v>14271</v>
      </c>
      <c r="F58" s="1390">
        <v>100.0</v>
      </c>
      <c r="G58" s="1390">
        <v>4.0</v>
      </c>
      <c r="H58" s="1424">
        <f t="shared" si="3"/>
        <v>400</v>
      </c>
      <c r="I58" s="1392">
        <v>41199.0</v>
      </c>
      <c r="J58" s="1362" t="s">
        <v>14272</v>
      </c>
      <c r="K58" s="1440" t="s">
        <v>12646</v>
      </c>
      <c r="L58" s="1362" t="s">
        <v>14273</v>
      </c>
      <c r="M58" s="66"/>
      <c r="N58" s="1389" t="s">
        <v>14274</v>
      </c>
      <c r="O58" s="1362" t="s">
        <v>14275</v>
      </c>
      <c r="P58" s="1441">
        <v>16853.0</v>
      </c>
      <c r="Q58" s="1404">
        <v>41197.0</v>
      </c>
      <c r="R58" s="1427">
        <v>16853.0</v>
      </c>
      <c r="S58" s="1439" t="s">
        <v>14276</v>
      </c>
      <c r="T58" s="91"/>
      <c r="U58" s="91"/>
      <c r="V58" s="91"/>
      <c r="W58" s="91"/>
      <c r="X58" s="91"/>
      <c r="Y58" s="91"/>
      <c r="Z58" s="91"/>
    </row>
    <row r="59" ht="15.75" customHeight="1">
      <c r="A59" s="1408">
        <v>41187.0</v>
      </c>
      <c r="B59" s="1362" t="s">
        <v>1204</v>
      </c>
      <c r="C59" s="1362" t="s">
        <v>14277</v>
      </c>
      <c r="D59" s="1362" t="s">
        <v>14270</v>
      </c>
      <c r="E59" s="1362" t="s">
        <v>14278</v>
      </c>
      <c r="F59" s="1390">
        <v>50.0</v>
      </c>
      <c r="G59" s="1390">
        <v>3.5</v>
      </c>
      <c r="H59" s="1424">
        <f t="shared" si="3"/>
        <v>175</v>
      </c>
      <c r="I59" s="1392">
        <v>41199.0</v>
      </c>
      <c r="J59" s="1362" t="s">
        <v>14279</v>
      </c>
      <c r="K59" s="1440" t="s">
        <v>12646</v>
      </c>
      <c r="L59" s="1362" t="s">
        <v>14273</v>
      </c>
      <c r="M59" s="66"/>
      <c r="N59" s="1389" t="s">
        <v>14274</v>
      </c>
      <c r="O59" s="1362" t="s">
        <v>14275</v>
      </c>
      <c r="P59" s="1333"/>
      <c r="Q59" s="1404">
        <v>41197.0</v>
      </c>
      <c r="R59" s="1333"/>
      <c r="S59" s="1333"/>
      <c r="T59" s="91"/>
      <c r="U59" s="91"/>
      <c r="V59" s="91"/>
      <c r="W59" s="91"/>
      <c r="X59" s="91"/>
      <c r="Y59" s="91"/>
      <c r="Z59" s="91"/>
    </row>
    <row r="60" ht="15.75" customHeight="1">
      <c r="A60" s="1408">
        <v>41187.0</v>
      </c>
      <c r="B60" s="1362" t="s">
        <v>1204</v>
      </c>
      <c r="C60" s="1362" t="s">
        <v>14277</v>
      </c>
      <c r="D60" s="1362" t="s">
        <v>14270</v>
      </c>
      <c r="E60" s="1362" t="s">
        <v>14280</v>
      </c>
      <c r="F60" s="1390">
        <v>50.0</v>
      </c>
      <c r="G60" s="1390">
        <v>0.9</v>
      </c>
      <c r="H60" s="1424">
        <f t="shared" si="3"/>
        <v>45</v>
      </c>
      <c r="I60" s="1392">
        <v>41199.0</v>
      </c>
      <c r="J60" s="1362" t="s">
        <v>14279</v>
      </c>
      <c r="K60" s="1440" t="s">
        <v>12646</v>
      </c>
      <c r="L60" s="1362" t="s">
        <v>14273</v>
      </c>
      <c r="M60" s="66"/>
      <c r="N60" s="1389" t="s">
        <v>14274</v>
      </c>
      <c r="O60" s="1362" t="s">
        <v>14275</v>
      </c>
      <c r="P60" s="1333"/>
      <c r="Q60" s="1404">
        <v>41197.0</v>
      </c>
      <c r="R60" s="1333"/>
      <c r="S60" s="1333"/>
      <c r="T60" s="91"/>
      <c r="U60" s="91"/>
      <c r="V60" s="91"/>
      <c r="W60" s="91"/>
      <c r="X60" s="91"/>
      <c r="Y60" s="91"/>
      <c r="Z60" s="91"/>
    </row>
    <row r="61" ht="15.75" customHeight="1">
      <c r="A61" s="1408">
        <v>41187.0</v>
      </c>
      <c r="B61" s="1362" t="s">
        <v>1204</v>
      </c>
      <c r="C61" s="1362" t="s">
        <v>14277</v>
      </c>
      <c r="D61" s="1362" t="s">
        <v>14270</v>
      </c>
      <c r="E61" s="1362" t="s">
        <v>14281</v>
      </c>
      <c r="F61" s="1390">
        <v>50.0</v>
      </c>
      <c r="G61" s="1390">
        <v>3.5</v>
      </c>
      <c r="H61" s="1424">
        <f t="shared" si="3"/>
        <v>175</v>
      </c>
      <c r="I61" s="1392">
        <v>41199.0</v>
      </c>
      <c r="J61" s="1362" t="s">
        <v>14279</v>
      </c>
      <c r="K61" s="1440" t="s">
        <v>12646</v>
      </c>
      <c r="L61" s="1362" t="s">
        <v>14273</v>
      </c>
      <c r="M61" s="66"/>
      <c r="N61" s="1389" t="s">
        <v>14274</v>
      </c>
      <c r="O61" s="1362" t="s">
        <v>14275</v>
      </c>
      <c r="P61" s="1333"/>
      <c r="Q61" s="1404">
        <v>41197.0</v>
      </c>
      <c r="R61" s="1333"/>
      <c r="S61" s="1333"/>
      <c r="T61" s="91"/>
      <c r="U61" s="91"/>
      <c r="V61" s="91"/>
      <c r="W61" s="91"/>
      <c r="X61" s="91"/>
      <c r="Y61" s="91"/>
      <c r="Z61" s="91"/>
    </row>
    <row r="62" ht="15.75" customHeight="1">
      <c r="A62" s="1408">
        <v>41187.0</v>
      </c>
      <c r="B62" s="1362" t="s">
        <v>1204</v>
      </c>
      <c r="C62" s="1362" t="s">
        <v>14277</v>
      </c>
      <c r="D62" s="1362" t="s">
        <v>14270</v>
      </c>
      <c r="E62" s="1362" t="s">
        <v>14282</v>
      </c>
      <c r="F62" s="1390">
        <v>50.0</v>
      </c>
      <c r="G62" s="1390">
        <v>0.9</v>
      </c>
      <c r="H62" s="1424">
        <f t="shared" si="3"/>
        <v>45</v>
      </c>
      <c r="I62" s="1392">
        <v>41199.0</v>
      </c>
      <c r="J62" s="1362" t="s">
        <v>14279</v>
      </c>
      <c r="K62" s="1440" t="s">
        <v>12646</v>
      </c>
      <c r="L62" s="1362" t="s">
        <v>14273</v>
      </c>
      <c r="M62" s="66"/>
      <c r="N62" s="1389" t="s">
        <v>14274</v>
      </c>
      <c r="O62" s="1362" t="s">
        <v>14275</v>
      </c>
      <c r="P62" s="1335"/>
      <c r="Q62" s="1404">
        <v>41197.0</v>
      </c>
      <c r="R62" s="1335"/>
      <c r="S62" s="1333"/>
      <c r="T62" s="91"/>
      <c r="U62" s="91"/>
      <c r="V62" s="91"/>
      <c r="W62" s="91"/>
      <c r="X62" s="91"/>
      <c r="Y62" s="91"/>
      <c r="Z62" s="91"/>
    </row>
    <row r="63" ht="15.75" customHeight="1">
      <c r="A63" s="1408">
        <v>41187.0</v>
      </c>
      <c r="B63" s="1362" t="s">
        <v>1204</v>
      </c>
      <c r="C63" s="1362" t="s">
        <v>14283</v>
      </c>
      <c r="D63" s="1362" t="s">
        <v>14270</v>
      </c>
      <c r="E63" s="1362" t="s">
        <v>14284</v>
      </c>
      <c r="F63" s="1390">
        <v>100.0</v>
      </c>
      <c r="G63" s="1390">
        <v>1.5</v>
      </c>
      <c r="H63" s="1424">
        <f t="shared" si="3"/>
        <v>150</v>
      </c>
      <c r="I63" s="1392">
        <v>41199.0</v>
      </c>
      <c r="J63" s="1362" t="s">
        <v>14279</v>
      </c>
      <c r="K63" s="1440" t="s">
        <v>12646</v>
      </c>
      <c r="L63" s="1362" t="s">
        <v>14285</v>
      </c>
      <c r="M63" s="66"/>
      <c r="N63" s="1389" t="s">
        <v>14274</v>
      </c>
      <c r="O63" s="66"/>
      <c r="P63" s="1390">
        <v>2154.0</v>
      </c>
      <c r="Q63" s="1404">
        <v>41197.0</v>
      </c>
      <c r="R63" s="1394">
        <v>2154.0</v>
      </c>
      <c r="S63" s="1335"/>
      <c r="T63" s="91"/>
      <c r="U63" s="91"/>
      <c r="V63" s="91"/>
      <c r="W63" s="91"/>
      <c r="X63" s="91"/>
      <c r="Y63" s="91"/>
      <c r="Z63" s="91"/>
    </row>
    <row r="64" ht="15.75" customHeight="1">
      <c r="A64" s="1408">
        <v>41193.0</v>
      </c>
      <c r="B64" s="1438" t="s">
        <v>14235</v>
      </c>
      <c r="C64" s="1362" t="s">
        <v>14286</v>
      </c>
      <c r="D64" s="1362" t="s">
        <v>14287</v>
      </c>
      <c r="E64" s="1362" t="s">
        <v>13862</v>
      </c>
      <c r="F64" s="1390">
        <v>45.0</v>
      </c>
      <c r="G64" s="1390">
        <v>10.5</v>
      </c>
      <c r="H64" s="1390">
        <f t="shared" si="3"/>
        <v>472.5</v>
      </c>
      <c r="I64" s="1392">
        <v>41241.0</v>
      </c>
      <c r="J64" s="1442" t="s">
        <v>14288</v>
      </c>
      <c r="K64" s="1420" t="s">
        <v>12646</v>
      </c>
      <c r="L64" s="1362" t="s">
        <v>303</v>
      </c>
      <c r="M64" s="66"/>
      <c r="N64" s="1389" t="s">
        <v>14289</v>
      </c>
      <c r="O64" s="1399" t="s">
        <v>13751</v>
      </c>
      <c r="P64" s="1390">
        <v>8505.0</v>
      </c>
      <c r="Q64" s="1404">
        <v>41226.0</v>
      </c>
      <c r="R64" s="1394">
        <v>8505.0</v>
      </c>
      <c r="S64" s="1439" t="s">
        <v>14290</v>
      </c>
      <c r="T64" s="91"/>
      <c r="U64" s="91"/>
      <c r="V64" s="91"/>
      <c r="W64" s="91"/>
      <c r="X64" s="91"/>
      <c r="Y64" s="91"/>
      <c r="Z64" s="91"/>
    </row>
    <row r="65" ht="15.75" customHeight="1">
      <c r="A65" s="1408">
        <v>41193.0</v>
      </c>
      <c r="B65" s="1362" t="s">
        <v>14235</v>
      </c>
      <c r="C65" s="1362" t="s">
        <v>14286</v>
      </c>
      <c r="D65" s="1362" t="s">
        <v>14287</v>
      </c>
      <c r="E65" s="1362" t="s">
        <v>12342</v>
      </c>
      <c r="F65" s="1390">
        <v>45.0</v>
      </c>
      <c r="G65" s="1390">
        <v>86.0</v>
      </c>
      <c r="H65" s="1390">
        <f t="shared" si="3"/>
        <v>3870</v>
      </c>
      <c r="I65" s="1392">
        <v>41242.0</v>
      </c>
      <c r="J65" s="1442" t="s">
        <v>14241</v>
      </c>
      <c r="K65" s="1420" t="s">
        <v>90</v>
      </c>
      <c r="L65" s="1362" t="s">
        <v>90</v>
      </c>
      <c r="M65" s="66"/>
      <c r="N65" s="1389" t="s">
        <v>14291</v>
      </c>
      <c r="O65" s="1399" t="s">
        <v>13694</v>
      </c>
      <c r="P65" s="1362" t="s">
        <v>14292</v>
      </c>
      <c r="Q65" s="1404">
        <v>41242.0</v>
      </c>
      <c r="R65" s="1394">
        <v>104247.0</v>
      </c>
      <c r="S65" s="1335"/>
      <c r="T65" s="91"/>
      <c r="U65" s="91"/>
      <c r="V65" s="91"/>
      <c r="W65" s="91"/>
      <c r="X65" s="91"/>
      <c r="Y65" s="91"/>
      <c r="Z65" s="91"/>
    </row>
    <row r="66" ht="15.75" customHeight="1">
      <c r="A66" s="1408">
        <v>41224.0</v>
      </c>
      <c r="B66" s="1362" t="s">
        <v>1204</v>
      </c>
      <c r="C66" s="1362" t="s">
        <v>14293</v>
      </c>
      <c r="D66" s="1362" t="s">
        <v>14294</v>
      </c>
      <c r="E66" s="1362" t="s">
        <v>14295</v>
      </c>
      <c r="F66" s="1390">
        <v>100.0</v>
      </c>
      <c r="G66" s="1390">
        <v>1.5</v>
      </c>
      <c r="H66" s="1390">
        <f t="shared" si="3"/>
        <v>150</v>
      </c>
      <c r="I66" s="1392">
        <v>41621.0</v>
      </c>
      <c r="J66" s="1351" t="s">
        <v>14296</v>
      </c>
      <c r="K66" s="1434" t="s">
        <v>12646</v>
      </c>
      <c r="L66" s="1362" t="s">
        <v>14273</v>
      </c>
      <c r="M66" s="66"/>
      <c r="N66" s="1389" t="s">
        <v>14289</v>
      </c>
      <c r="O66" s="1362" t="s">
        <v>14275</v>
      </c>
      <c r="P66" s="1390">
        <v>1995.0</v>
      </c>
      <c r="Q66" s="1404">
        <v>41229.0</v>
      </c>
      <c r="R66" s="1394">
        <v>1995.0</v>
      </c>
      <c r="S66" s="1439" t="s">
        <v>14297</v>
      </c>
      <c r="T66" s="91"/>
      <c r="U66" s="91"/>
      <c r="V66" s="91"/>
      <c r="W66" s="91"/>
      <c r="X66" s="91"/>
      <c r="Y66" s="91"/>
      <c r="Z66" s="91"/>
    </row>
    <row r="67" ht="15.75" customHeight="1">
      <c r="A67" s="1408">
        <v>41234.0</v>
      </c>
      <c r="B67" s="1362" t="s">
        <v>1204</v>
      </c>
      <c r="C67" s="1362" t="s">
        <v>14298</v>
      </c>
      <c r="D67" s="1362" t="s">
        <v>14299</v>
      </c>
      <c r="E67" s="1362" t="s">
        <v>12654</v>
      </c>
      <c r="F67" s="1390">
        <v>100.0</v>
      </c>
      <c r="G67" s="1390">
        <v>37.5</v>
      </c>
      <c r="H67" s="1390">
        <f t="shared" si="3"/>
        <v>3750</v>
      </c>
      <c r="I67" s="1392">
        <v>41256.0</v>
      </c>
      <c r="J67" s="1362" t="s">
        <v>934</v>
      </c>
      <c r="K67" s="1434" t="s">
        <v>12646</v>
      </c>
      <c r="L67" s="1362" t="s">
        <v>12656</v>
      </c>
      <c r="M67" s="66"/>
      <c r="N67" s="1389" t="s">
        <v>14300</v>
      </c>
      <c r="O67" s="1399" t="s">
        <v>2510</v>
      </c>
      <c r="P67" s="1390">
        <v>105000.0</v>
      </c>
      <c r="Q67" s="1404">
        <v>41254.0</v>
      </c>
      <c r="R67" s="1394">
        <v>105000.0</v>
      </c>
      <c r="S67" s="1335"/>
      <c r="T67" s="91"/>
      <c r="U67" s="91"/>
      <c r="V67" s="91"/>
      <c r="W67" s="91"/>
      <c r="X67" s="91"/>
      <c r="Y67" s="91"/>
      <c r="Z67" s="91"/>
    </row>
    <row r="68" ht="15.75" customHeight="1">
      <c r="A68" s="1408">
        <v>41234.0</v>
      </c>
      <c r="B68" s="1362" t="s">
        <v>1204</v>
      </c>
      <c r="C68" s="1362" t="s">
        <v>13699</v>
      </c>
      <c r="D68" s="1362" t="s">
        <v>13700</v>
      </c>
      <c r="E68" s="1362" t="s">
        <v>12654</v>
      </c>
      <c r="F68" s="1390">
        <v>100.0</v>
      </c>
      <c r="G68" s="1390">
        <v>37.5</v>
      </c>
      <c r="H68" s="1390">
        <f t="shared" si="3"/>
        <v>3750</v>
      </c>
      <c r="I68" s="1397"/>
      <c r="J68" s="66"/>
      <c r="K68" s="1434" t="s">
        <v>12655</v>
      </c>
      <c r="L68" s="1362" t="s">
        <v>12656</v>
      </c>
      <c r="M68" s="66"/>
      <c r="N68" s="66"/>
      <c r="O68" s="1399" t="s">
        <v>2510</v>
      </c>
      <c r="P68" s="66"/>
      <c r="Q68" s="66"/>
      <c r="R68" s="66"/>
      <c r="S68" s="66"/>
      <c r="T68" s="91"/>
      <c r="U68" s="91"/>
      <c r="V68" s="91"/>
      <c r="W68" s="91"/>
      <c r="X68" s="91"/>
      <c r="Y68" s="91"/>
      <c r="Z68" s="91"/>
    </row>
    <row r="69" ht="15.75" customHeight="1">
      <c r="A69" s="1408">
        <v>41243.0</v>
      </c>
      <c r="B69" s="1362" t="s">
        <v>673</v>
      </c>
      <c r="C69" s="1362" t="s">
        <v>14301</v>
      </c>
      <c r="D69" s="1362" t="s">
        <v>14302</v>
      </c>
      <c r="E69" s="1362" t="s">
        <v>12784</v>
      </c>
      <c r="F69" s="1390">
        <v>1.0</v>
      </c>
      <c r="G69" s="1390">
        <v>670.0</v>
      </c>
      <c r="H69" s="1390">
        <f t="shared" si="3"/>
        <v>670</v>
      </c>
      <c r="I69" s="1392">
        <v>41261.0</v>
      </c>
      <c r="J69" s="1362" t="s">
        <v>14258</v>
      </c>
      <c r="K69" s="66"/>
      <c r="L69" s="1362" t="s">
        <v>2078</v>
      </c>
      <c r="M69" s="66"/>
      <c r="N69" s="1389" t="s">
        <v>14303</v>
      </c>
      <c r="O69" s="1399" t="s">
        <v>14108</v>
      </c>
      <c r="P69" s="1441">
        <v>20055.0</v>
      </c>
      <c r="Q69" s="1437">
        <v>41250.0</v>
      </c>
      <c r="R69" s="1427">
        <v>20055.0</v>
      </c>
      <c r="S69" s="1389" t="s">
        <v>14304</v>
      </c>
      <c r="T69" s="91"/>
      <c r="U69" s="91"/>
      <c r="V69" s="91"/>
      <c r="W69" s="91"/>
      <c r="X69" s="91"/>
      <c r="Y69" s="91"/>
      <c r="Z69" s="91"/>
    </row>
    <row r="70" ht="15.75" customHeight="1">
      <c r="A70" s="1408">
        <v>41243.0</v>
      </c>
      <c r="B70" s="1362" t="s">
        <v>673</v>
      </c>
      <c r="C70" s="1362" t="s">
        <v>14301</v>
      </c>
      <c r="D70" s="1362" t="s">
        <v>14305</v>
      </c>
      <c r="E70" s="1362" t="s">
        <v>13757</v>
      </c>
      <c r="F70" s="1390">
        <v>1.0</v>
      </c>
      <c r="G70" s="1390">
        <v>48.0</v>
      </c>
      <c r="H70" s="1390">
        <f t="shared" si="3"/>
        <v>48</v>
      </c>
      <c r="I70" s="1443">
        <v>41323.0</v>
      </c>
      <c r="J70" s="1362" t="s">
        <v>3663</v>
      </c>
      <c r="K70" s="66"/>
      <c r="L70" s="1362" t="s">
        <v>2078</v>
      </c>
      <c r="M70" s="66"/>
      <c r="N70" s="1389" t="s">
        <v>14303</v>
      </c>
      <c r="O70" s="1399" t="s">
        <v>14108</v>
      </c>
      <c r="P70" s="1335"/>
      <c r="Q70" s="1335"/>
      <c r="R70" s="1335"/>
      <c r="S70" s="1389" t="s">
        <v>6443</v>
      </c>
      <c r="T70" s="91"/>
      <c r="U70" s="91"/>
      <c r="V70" s="91"/>
      <c r="W70" s="91"/>
      <c r="X70" s="91"/>
      <c r="Y70" s="91"/>
      <c r="Z70" s="91"/>
    </row>
    <row r="71" ht="15.75" customHeight="1">
      <c r="A71" s="1408">
        <v>41262.0</v>
      </c>
      <c r="B71" s="1362" t="s">
        <v>11996</v>
      </c>
      <c r="C71" s="66"/>
      <c r="D71" s="1362" t="s">
        <v>14306</v>
      </c>
      <c r="E71" s="1351" t="s">
        <v>13733</v>
      </c>
      <c r="F71" s="1424">
        <v>50.0</v>
      </c>
      <c r="G71" s="1424">
        <v>19.5</v>
      </c>
      <c r="H71" s="1390">
        <f t="shared" si="3"/>
        <v>975</v>
      </c>
      <c r="I71" s="1392">
        <v>41268.0</v>
      </c>
      <c r="J71" s="1362" t="s">
        <v>14307</v>
      </c>
      <c r="K71" s="1434" t="s">
        <v>12646</v>
      </c>
      <c r="L71" s="1362" t="s">
        <v>12656</v>
      </c>
      <c r="M71" s="66"/>
      <c r="N71" s="1389" t="s">
        <v>14308</v>
      </c>
      <c r="O71" s="1399" t="s">
        <v>2510</v>
      </c>
      <c r="P71" s="1390">
        <v>24675.0</v>
      </c>
      <c r="Q71" s="1404">
        <v>41264.0</v>
      </c>
      <c r="R71" s="1394">
        <v>24675.0</v>
      </c>
      <c r="S71" s="1389" t="s">
        <v>14309</v>
      </c>
      <c r="T71" s="91"/>
      <c r="U71" s="91"/>
      <c r="V71" s="91"/>
      <c r="W71" s="91"/>
      <c r="X71" s="91"/>
      <c r="Y71" s="91"/>
      <c r="Z71" s="91"/>
    </row>
    <row r="72" ht="15.75" customHeight="1">
      <c r="A72" s="1317"/>
      <c r="B72" s="66"/>
      <c r="C72" s="66"/>
      <c r="D72" s="66"/>
      <c r="E72" s="66"/>
      <c r="F72" s="66"/>
      <c r="G72" s="66"/>
      <c r="H72" s="66"/>
      <c r="I72" s="1397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91"/>
      <c r="U72" s="91"/>
      <c r="V72" s="91"/>
      <c r="W72" s="91"/>
      <c r="X72" s="91"/>
      <c r="Y72" s="91"/>
      <c r="Z72" s="91"/>
    </row>
    <row r="73" ht="15.75" customHeight="1">
      <c r="A73" s="1317"/>
      <c r="B73" s="66"/>
      <c r="C73" s="66"/>
      <c r="D73" s="66"/>
      <c r="E73" s="66"/>
      <c r="F73" s="66"/>
      <c r="G73" s="66"/>
      <c r="H73" s="66"/>
      <c r="I73" s="1397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91"/>
      <c r="U73" s="91"/>
      <c r="V73" s="91"/>
      <c r="W73" s="91"/>
      <c r="X73" s="91"/>
      <c r="Y73" s="91"/>
      <c r="Z73" s="91"/>
    </row>
    <row r="74" ht="15.75" customHeight="1">
      <c r="A74" s="91"/>
      <c r="B74" s="91"/>
      <c r="C74" s="91"/>
      <c r="D74" s="91"/>
      <c r="E74" s="91"/>
      <c r="F74" s="91"/>
      <c r="G74" s="91"/>
      <c r="H74" s="1444">
        <f>SUM(H2:H73)</f>
        <v>207550.4</v>
      </c>
      <c r="I74" s="1445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ht="15.75" customHeight="1">
      <c r="A75" s="91"/>
      <c r="B75" s="91"/>
      <c r="C75" s="91"/>
      <c r="D75" s="91"/>
      <c r="E75" s="91"/>
      <c r="F75" s="91"/>
      <c r="G75" s="91"/>
      <c r="H75" s="1446"/>
      <c r="I75" s="1445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ht="15.75" customHeight="1">
      <c r="A76" s="91"/>
      <c r="B76" s="91"/>
      <c r="C76" s="91"/>
      <c r="D76" s="91"/>
      <c r="E76" s="91"/>
      <c r="F76" s="91"/>
      <c r="G76" s="91"/>
      <c r="H76" s="1446"/>
      <c r="I76" s="1445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ht="15.75" customHeight="1">
      <c r="A77" s="91"/>
      <c r="B77" s="91"/>
      <c r="C77" s="91"/>
      <c r="D77" s="91"/>
      <c r="E77" s="91"/>
      <c r="F77" s="91"/>
      <c r="G77" s="91"/>
      <c r="H77" s="1446"/>
      <c r="I77" s="1445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ht="15.75" customHeight="1">
      <c r="A78" s="91"/>
      <c r="B78" s="91"/>
      <c r="C78" s="91"/>
      <c r="D78" s="91"/>
      <c r="E78" s="91"/>
      <c r="F78" s="91"/>
      <c r="G78" s="91"/>
      <c r="H78" s="1446"/>
      <c r="I78" s="1445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ht="15.75" customHeight="1">
      <c r="A79" s="91"/>
      <c r="B79" s="91"/>
      <c r="C79" s="91"/>
      <c r="D79" s="91"/>
      <c r="E79" s="91"/>
      <c r="F79" s="91"/>
      <c r="G79" s="91"/>
      <c r="H79" s="1446"/>
      <c r="I79" s="1445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ht="15.75" customHeight="1">
      <c r="A80" s="91"/>
      <c r="B80" s="91"/>
      <c r="C80" s="91"/>
      <c r="D80" s="91"/>
      <c r="E80" s="91"/>
      <c r="F80" s="91"/>
      <c r="G80" s="91"/>
      <c r="H80" s="1446"/>
      <c r="I80" s="1445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ht="15.75" customHeight="1">
      <c r="A81" s="91"/>
      <c r="B81" s="91"/>
      <c r="C81" s="91"/>
      <c r="D81" s="91"/>
      <c r="E81" s="91"/>
      <c r="F81" s="91"/>
      <c r="G81" s="91"/>
      <c r="H81" s="1446"/>
      <c r="I81" s="1445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ht="15.75" customHeight="1">
      <c r="A82" s="91"/>
      <c r="B82" s="91"/>
      <c r="C82" s="91"/>
      <c r="D82" s="91"/>
      <c r="E82" s="91"/>
      <c r="F82" s="91"/>
      <c r="G82" s="91"/>
      <c r="H82" s="1446"/>
      <c r="I82" s="1445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ht="15.75" customHeight="1">
      <c r="A83" s="91"/>
      <c r="B83" s="91"/>
      <c r="C83" s="91"/>
      <c r="D83" s="91"/>
      <c r="E83" s="91"/>
      <c r="F83" s="91"/>
      <c r="G83" s="91"/>
      <c r="H83" s="1446"/>
      <c r="I83" s="1445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ht="15.75" customHeight="1">
      <c r="A84" s="91"/>
      <c r="B84" s="91"/>
      <c r="C84" s="91"/>
      <c r="D84" s="91"/>
      <c r="E84" s="91"/>
      <c r="F84" s="91"/>
      <c r="G84" s="91"/>
      <c r="H84" s="1446"/>
      <c r="I84" s="1445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ht="15.75" customHeight="1">
      <c r="A85" s="91"/>
      <c r="B85" s="91"/>
      <c r="C85" s="91"/>
      <c r="D85" s="91"/>
      <c r="E85" s="91"/>
      <c r="F85" s="91"/>
      <c r="G85" s="91"/>
      <c r="H85" s="1446"/>
      <c r="I85" s="1445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ht="15.75" customHeight="1">
      <c r="A86" s="91"/>
      <c r="B86" s="91"/>
      <c r="C86" s="91"/>
      <c r="D86" s="91"/>
      <c r="E86" s="91"/>
      <c r="F86" s="91"/>
      <c r="G86" s="91"/>
      <c r="H86" s="1446"/>
      <c r="I86" s="1445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ht="15.75" customHeight="1">
      <c r="A87" s="91"/>
      <c r="B87" s="91"/>
      <c r="C87" s="91"/>
      <c r="D87" s="91"/>
      <c r="E87" s="91"/>
      <c r="F87" s="91"/>
      <c r="G87" s="91"/>
      <c r="H87" s="1446"/>
      <c r="I87" s="1445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ht="15.75" customHeight="1">
      <c r="A88" s="91"/>
      <c r="B88" s="91"/>
      <c r="C88" s="91"/>
      <c r="D88" s="91"/>
      <c r="E88" s="91"/>
      <c r="F88" s="91"/>
      <c r="G88" s="91"/>
      <c r="H88" s="1446"/>
      <c r="I88" s="1445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ht="15.75" customHeight="1">
      <c r="A89" s="91"/>
      <c r="B89" s="91"/>
      <c r="C89" s="91"/>
      <c r="D89" s="91"/>
      <c r="E89" s="91"/>
      <c r="F89" s="91"/>
      <c r="G89" s="91"/>
      <c r="H89" s="1446"/>
      <c r="I89" s="1445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ht="15.75" customHeight="1">
      <c r="A90" s="91"/>
      <c r="B90" s="91"/>
      <c r="C90" s="91"/>
      <c r="D90" s="91"/>
      <c r="E90" s="91"/>
      <c r="F90" s="91"/>
      <c r="G90" s="91"/>
      <c r="H90" s="1446"/>
      <c r="I90" s="1445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ht="15.75" customHeight="1">
      <c r="A91" s="91"/>
      <c r="B91" s="91"/>
      <c r="C91" s="91"/>
      <c r="D91" s="91"/>
      <c r="E91" s="91"/>
      <c r="F91" s="91"/>
      <c r="G91" s="91"/>
      <c r="H91" s="1446"/>
      <c r="I91" s="1445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ht="15.75" customHeight="1">
      <c r="A92" s="91"/>
      <c r="B92" s="91"/>
      <c r="C92" s="91"/>
      <c r="D92" s="91"/>
      <c r="E92" s="91"/>
      <c r="F92" s="91"/>
      <c r="G92" s="91"/>
      <c r="H92" s="1446"/>
      <c r="I92" s="1445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ht="15.75" customHeight="1">
      <c r="A93" s="91"/>
      <c r="B93" s="91"/>
      <c r="C93" s="91"/>
      <c r="D93" s="91"/>
      <c r="E93" s="91"/>
      <c r="F93" s="91"/>
      <c r="G93" s="91"/>
      <c r="H93" s="1446"/>
      <c r="I93" s="1445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ht="15.75" customHeight="1">
      <c r="A94" s="91"/>
      <c r="B94" s="91"/>
      <c r="C94" s="91"/>
      <c r="D94" s="91"/>
      <c r="E94" s="91"/>
      <c r="F94" s="91"/>
      <c r="G94" s="91"/>
      <c r="H94" s="1446"/>
      <c r="I94" s="1445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ht="15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ht="15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ht="15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ht="15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ht="15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ht="15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ht="15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ht="15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ht="15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ht="15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ht="15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ht="15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ht="15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ht="15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ht="15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ht="15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ht="15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ht="15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ht="15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ht="15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ht="15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ht="15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ht="15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ht="15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ht="15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ht="15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ht="15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ht="15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ht="15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ht="15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ht="15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ht="15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ht="15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ht="15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ht="15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ht="15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ht="15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ht="15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ht="15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ht="15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ht="15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ht="15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ht="15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ht="15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ht="15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ht="15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ht="15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ht="15.7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ht="15.7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ht="15.7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ht="15.7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ht="15.7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ht="15.7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ht="15.7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ht="15.7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ht="15.7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ht="15.7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ht="15.7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ht="15.7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ht="15.7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ht="15.7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ht="15.7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ht="15.7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ht="15.7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ht="15.7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ht="15.7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ht="15.7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ht="15.7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ht="15.7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ht="15.7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ht="15.7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ht="15.7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ht="15.7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ht="15.7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ht="15.7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ht="15.7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ht="15.7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ht="15.7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ht="15.7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ht="15.7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ht="15.7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ht="15.7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ht="15.7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ht="15.7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ht="15.7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ht="15.7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ht="15.7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ht="15.7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ht="15.7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ht="15.7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ht="15.7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ht="15.7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ht="15.7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ht="15.7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ht="15.7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ht="15.7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ht="15.7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ht="15.7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ht="15.7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ht="15.7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ht="15.7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ht="15.7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ht="15.7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ht="15.7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ht="15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ht="15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ht="15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ht="15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ht="15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ht="15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ht="15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ht="15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ht="15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ht="15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ht="15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ht="15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ht="15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ht="15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ht="15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ht="15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ht="15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ht="15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ht="15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ht="15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ht="15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ht="15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ht="15.7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ht="15.7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ht="15.7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ht="15.7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ht="15.7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ht="15.7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ht="15.7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ht="15.7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ht="15.7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ht="15.7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ht="15.7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ht="15.7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ht="15.7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ht="15.7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ht="15.7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ht="15.7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ht="15.7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ht="15.7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ht="15.7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ht="15.7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ht="15.7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ht="15.7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ht="15.7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ht="15.7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ht="15.7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ht="15.7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ht="15.7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ht="15.7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ht="15.7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ht="15.7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ht="15.7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ht="15.7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ht="15.7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ht="15.7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ht="15.7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ht="15.75" customHeight="1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ht="15.75" customHeight="1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ht="15.75" customHeight="1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ht="15.75" customHeight="1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ht="15.75" customHeight="1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ht="15.75" customHeight="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ht="15.75" customHeight="1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ht="15.75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ht="15.75" customHeight="1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ht="15.75" customHeight="1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ht="15.75" customHeight="1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ht="15.75" customHeight="1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ht="15.75" customHeight="1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ht="15.75" customHeight="1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ht="15.75" customHeight="1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ht="15.75" customHeight="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ht="15.75" customHeight="1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ht="15.75" customHeight="1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ht="15.75" customHeight="1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B$1000"/>
  <mergeCells count="16">
    <mergeCell ref="R32:R35"/>
    <mergeCell ref="P50:P53"/>
    <mergeCell ref="Q50:Q53"/>
    <mergeCell ref="R50:R53"/>
    <mergeCell ref="Q54:Q57"/>
    <mergeCell ref="R54:R57"/>
    <mergeCell ref="S54:S57"/>
    <mergeCell ref="Q69:Q70"/>
    <mergeCell ref="R69:R70"/>
    <mergeCell ref="P54:P57"/>
    <mergeCell ref="P58:P62"/>
    <mergeCell ref="R58:R62"/>
    <mergeCell ref="S58:S63"/>
    <mergeCell ref="S64:S65"/>
    <mergeCell ref="S66:S67"/>
    <mergeCell ref="P69:P70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57"/>
    <col customWidth="1" min="2" max="2" width="20.0"/>
    <col customWidth="1" min="3" max="3" width="12.57"/>
    <col customWidth="1" min="4" max="4" width="15.43"/>
    <col customWidth="1" min="5" max="5" width="53.29"/>
    <col customWidth="1" min="6" max="6" width="66.43"/>
    <col customWidth="1" min="7" max="7" width="46.43"/>
    <col customWidth="1" min="8" max="26" width="12.57"/>
  </cols>
  <sheetData>
    <row r="1" ht="24.0" customHeight="1">
      <c r="A1" s="1447" t="s">
        <v>14310</v>
      </c>
      <c r="B1" s="1448"/>
      <c r="C1" s="1448"/>
      <c r="D1" s="1448"/>
      <c r="E1" s="1448"/>
      <c r="F1" s="1448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ht="15.75" customHeight="1">
      <c r="A2" s="1449" t="s">
        <v>279</v>
      </c>
      <c r="B2" s="1450" t="s">
        <v>13678</v>
      </c>
      <c r="C2" s="1450" t="s">
        <v>14311</v>
      </c>
      <c r="D2" s="1451" t="s">
        <v>14312</v>
      </c>
      <c r="E2" s="1450" t="s">
        <v>14313</v>
      </c>
      <c r="F2" s="1450" t="s">
        <v>14314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ht="48.0" customHeight="1">
      <c r="A3" s="1452">
        <v>41813.0</v>
      </c>
      <c r="B3" s="1453" t="s">
        <v>10926</v>
      </c>
      <c r="C3" s="1454" t="s">
        <v>171</v>
      </c>
      <c r="D3" s="1455">
        <v>0.0</v>
      </c>
      <c r="E3" s="1454" t="s">
        <v>14315</v>
      </c>
      <c r="F3" s="1456" t="s">
        <v>14316</v>
      </c>
      <c r="G3" s="1457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ht="15.75" customHeight="1">
      <c r="A4" s="1452">
        <v>41813.0</v>
      </c>
      <c r="B4" s="1453" t="s">
        <v>14317</v>
      </c>
      <c r="C4" s="1454" t="s">
        <v>11898</v>
      </c>
      <c r="D4" s="1455">
        <v>0.0</v>
      </c>
      <c r="E4" s="1454" t="s">
        <v>14318</v>
      </c>
      <c r="F4" s="1454" t="s">
        <v>14319</v>
      </c>
      <c r="G4" s="24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ht="15.75" customHeight="1">
      <c r="A5" s="1452">
        <v>41813.0</v>
      </c>
      <c r="B5" s="1453" t="s">
        <v>13774</v>
      </c>
      <c r="C5" s="1454" t="s">
        <v>11898</v>
      </c>
      <c r="D5" s="1455">
        <v>0.0</v>
      </c>
      <c r="E5" s="1454" t="s">
        <v>14320</v>
      </c>
      <c r="F5" s="1458" t="s">
        <v>14321</v>
      </c>
      <c r="G5" s="24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ht="15.75" customHeight="1">
      <c r="A6" s="1452">
        <v>42047.0</v>
      </c>
      <c r="B6" s="1453" t="s">
        <v>14322</v>
      </c>
      <c r="C6" s="1454" t="s">
        <v>11898</v>
      </c>
      <c r="D6" s="1455">
        <v>0.0</v>
      </c>
      <c r="E6" s="1454" t="s">
        <v>14323</v>
      </c>
      <c r="F6" s="1454" t="s">
        <v>14324</v>
      </c>
      <c r="G6" s="24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ht="15.75" customHeight="1">
      <c r="A7" s="1452">
        <v>41949.0</v>
      </c>
      <c r="B7" s="1453" t="s">
        <v>14325</v>
      </c>
      <c r="C7" s="1454" t="s">
        <v>11898</v>
      </c>
      <c r="D7" s="1455">
        <v>0.0</v>
      </c>
      <c r="E7" s="1454" t="s">
        <v>14326</v>
      </c>
      <c r="F7" s="1456" t="s">
        <v>14327</v>
      </c>
      <c r="G7" s="24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ht="15.75" customHeight="1">
      <c r="A8" s="1452">
        <v>41834.0</v>
      </c>
      <c r="B8" s="1453" t="s">
        <v>14328</v>
      </c>
      <c r="C8" s="1454" t="s">
        <v>11898</v>
      </c>
      <c r="D8" s="1455">
        <v>0.0</v>
      </c>
      <c r="E8" s="1454" t="s">
        <v>14329</v>
      </c>
      <c r="F8" s="1454" t="s">
        <v>14330</v>
      </c>
      <c r="G8" s="24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ht="15.75" customHeight="1">
      <c r="A9" s="1452">
        <v>41834.0</v>
      </c>
      <c r="B9" s="1453" t="s">
        <v>10946</v>
      </c>
      <c r="C9" s="1454" t="s">
        <v>11898</v>
      </c>
      <c r="D9" s="1455">
        <v>0.0</v>
      </c>
      <c r="E9" s="1454" t="s">
        <v>14331</v>
      </c>
      <c r="F9" s="1456" t="s">
        <v>14330</v>
      </c>
      <c r="G9" s="24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ht="15.75" customHeight="1">
      <c r="A10" s="1361">
        <v>41813.0</v>
      </c>
      <c r="B10" s="690" t="s">
        <v>14332</v>
      </c>
      <c r="C10" s="1365" t="s">
        <v>171</v>
      </c>
      <c r="D10" s="1345">
        <v>3000.0</v>
      </c>
      <c r="E10" s="21" t="s">
        <v>14333</v>
      </c>
      <c r="F10" s="453" t="s">
        <v>14334</v>
      </c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ht="15.75" customHeight="1">
      <c r="A11" s="1361">
        <v>41855.0</v>
      </c>
      <c r="B11" s="1459" t="s">
        <v>14335</v>
      </c>
      <c r="C11" s="1460" t="s">
        <v>171</v>
      </c>
      <c r="D11" s="695">
        <v>10000.0</v>
      </c>
      <c r="E11" s="214" t="s">
        <v>14336</v>
      </c>
      <c r="F11" s="453" t="s">
        <v>14337</v>
      </c>
      <c r="G11" s="24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ht="15.75" customHeight="1">
      <c r="A12" s="1361">
        <v>42247.0</v>
      </c>
      <c r="B12" s="690" t="s">
        <v>14338</v>
      </c>
      <c r="C12" s="1365" t="s">
        <v>171</v>
      </c>
      <c r="D12" s="695">
        <v>0.0</v>
      </c>
      <c r="E12" s="1365" t="s">
        <v>14339</v>
      </c>
      <c r="F12" s="1365" t="s">
        <v>14340</v>
      </c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ht="15.75" customHeight="1">
      <c r="A13" s="1361">
        <v>42362.0</v>
      </c>
      <c r="B13" s="690" t="s">
        <v>14341</v>
      </c>
      <c r="C13" s="1365" t="s">
        <v>303</v>
      </c>
      <c r="D13" s="1461">
        <v>50000.0</v>
      </c>
      <c r="E13" s="649" t="s">
        <v>14342</v>
      </c>
      <c r="F13" s="1365" t="s">
        <v>14343</v>
      </c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ht="15.75" customHeight="1">
      <c r="A14" s="1361">
        <v>42416.0</v>
      </c>
      <c r="B14" s="690" t="s">
        <v>9000</v>
      </c>
      <c r="C14" s="1365" t="s">
        <v>43</v>
      </c>
      <c r="D14" s="1461">
        <v>15000.0</v>
      </c>
      <c r="E14" s="214" t="s">
        <v>14344</v>
      </c>
      <c r="F14" s="1365" t="s">
        <v>14345</v>
      </c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ht="15.75" customHeight="1">
      <c r="A15" s="1361">
        <v>42433.0</v>
      </c>
      <c r="B15" s="690" t="s">
        <v>11771</v>
      </c>
      <c r="C15" s="1365" t="s">
        <v>171</v>
      </c>
      <c r="D15" s="695">
        <v>0.0</v>
      </c>
      <c r="E15" s="1365" t="s">
        <v>14346</v>
      </c>
      <c r="F15" s="453" t="s">
        <v>14347</v>
      </c>
      <c r="G15" s="24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ht="15.75" customHeight="1">
      <c r="A16" s="1361">
        <v>42443.0</v>
      </c>
      <c r="B16" s="618" t="s">
        <v>1000</v>
      </c>
      <c r="C16" s="1365" t="s">
        <v>3874</v>
      </c>
      <c r="D16" s="657">
        <v>5000.0</v>
      </c>
      <c r="E16" s="1365" t="s">
        <v>14348</v>
      </c>
      <c r="F16" s="1365" t="s">
        <v>14349</v>
      </c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ht="15.75" customHeight="1">
      <c r="A17" s="1361">
        <v>42541.0</v>
      </c>
      <c r="B17" s="503" t="s">
        <v>14350</v>
      </c>
      <c r="C17" s="66" t="s">
        <v>171</v>
      </c>
      <c r="D17" s="657">
        <v>5000.0</v>
      </c>
      <c r="E17" s="1365" t="s">
        <v>14348</v>
      </c>
      <c r="F17" s="1365" t="s">
        <v>14351</v>
      </c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ht="15.75" customHeight="1">
      <c r="A18" s="1361">
        <v>42556.0</v>
      </c>
      <c r="B18" s="1459" t="s">
        <v>14352</v>
      </c>
      <c r="C18" s="1460" t="s">
        <v>171</v>
      </c>
      <c r="D18" s="695">
        <v>3000.0</v>
      </c>
      <c r="E18" s="649" t="s">
        <v>14353</v>
      </c>
      <c r="F18" s="1365" t="s">
        <v>14354</v>
      </c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ht="15.75" customHeight="1">
      <c r="A19" s="1361">
        <v>42675.0</v>
      </c>
      <c r="B19" s="617" t="s">
        <v>229</v>
      </c>
      <c r="C19" s="66" t="s">
        <v>171</v>
      </c>
      <c r="D19" s="657">
        <v>35000.0</v>
      </c>
      <c r="E19" s="1365" t="s">
        <v>14355</v>
      </c>
      <c r="F19" s="453" t="s">
        <v>14356</v>
      </c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ht="15.75" customHeight="1">
      <c r="A20" s="1361">
        <v>42818.0</v>
      </c>
      <c r="B20" s="618" t="s">
        <v>14357</v>
      </c>
      <c r="C20" s="1365" t="s">
        <v>171</v>
      </c>
      <c r="D20" s="657">
        <v>15000.0</v>
      </c>
      <c r="E20" s="1365" t="s">
        <v>14358</v>
      </c>
      <c r="F20" s="453" t="s">
        <v>14359</v>
      </c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ht="15.75" customHeight="1">
      <c r="A21" s="1361">
        <v>42824.0</v>
      </c>
      <c r="B21" s="453" t="s">
        <v>1204</v>
      </c>
      <c r="C21" s="1365" t="s">
        <v>43</v>
      </c>
      <c r="D21" s="695">
        <v>6000.0</v>
      </c>
      <c r="E21" s="1365" t="s">
        <v>14348</v>
      </c>
      <c r="F21" s="1365" t="s">
        <v>14360</v>
      </c>
      <c r="G21" s="24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ht="15.75" customHeight="1">
      <c r="A22" s="1361">
        <v>42842.0</v>
      </c>
      <c r="B22" s="618" t="s">
        <v>14361</v>
      </c>
      <c r="C22" s="66" t="s">
        <v>171</v>
      </c>
      <c r="D22" s="657">
        <v>4000.0</v>
      </c>
      <c r="E22" s="1365" t="s">
        <v>14348</v>
      </c>
      <c r="F22" s="453" t="s">
        <v>14362</v>
      </c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ht="15.75" customHeight="1">
      <c r="A23" s="1361">
        <v>42873.0</v>
      </c>
      <c r="B23" s="618" t="s">
        <v>378</v>
      </c>
      <c r="C23" s="66" t="s">
        <v>14363</v>
      </c>
      <c r="D23" s="657">
        <v>100000.0</v>
      </c>
      <c r="E23" s="1365" t="s">
        <v>14348</v>
      </c>
      <c r="F23" s="453" t="s">
        <v>14364</v>
      </c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ht="15.75" customHeight="1">
      <c r="A24" s="1361">
        <v>42940.0</v>
      </c>
      <c r="B24" s="1462" t="s">
        <v>14365</v>
      </c>
      <c r="C24" s="1365" t="s">
        <v>43</v>
      </c>
      <c r="D24" s="1461">
        <v>17000.0</v>
      </c>
      <c r="E24" s="1365" t="s">
        <v>14366</v>
      </c>
      <c r="F24" s="453" t="s">
        <v>14367</v>
      </c>
      <c r="G24" s="24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ht="15.75" customHeight="1">
      <c r="A25" s="1361">
        <v>42947.0</v>
      </c>
      <c r="B25" s="618" t="s">
        <v>12409</v>
      </c>
      <c r="C25" s="1365" t="s">
        <v>43</v>
      </c>
      <c r="D25" s="1463">
        <v>26000.0</v>
      </c>
      <c r="E25" s="214" t="s">
        <v>14368</v>
      </c>
      <c r="F25" s="1365" t="s">
        <v>14369</v>
      </c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ht="15.75" customHeight="1">
      <c r="A26" s="1361">
        <v>42975.0</v>
      </c>
      <c r="B26" s="618" t="s">
        <v>14370</v>
      </c>
      <c r="C26" s="1365" t="s">
        <v>171</v>
      </c>
      <c r="D26" s="657">
        <v>10000.0</v>
      </c>
      <c r="E26" s="151" t="s">
        <v>14371</v>
      </c>
      <c r="F26" s="1365" t="s">
        <v>14372</v>
      </c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ht="15.75" customHeight="1">
      <c r="A27" s="1361">
        <v>43234.0</v>
      </c>
      <c r="B27" s="1464" t="s">
        <v>621</v>
      </c>
      <c r="C27" s="1365" t="s">
        <v>43</v>
      </c>
      <c r="D27" s="657">
        <v>2000.0</v>
      </c>
      <c r="E27" s="148" t="s">
        <v>14373</v>
      </c>
      <c r="F27" s="148" t="s">
        <v>14374</v>
      </c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15.75" customHeight="1">
      <c r="A28" s="1361">
        <v>43234.0</v>
      </c>
      <c r="B28" s="618" t="s">
        <v>14375</v>
      </c>
      <c r="C28" s="66" t="s">
        <v>3874</v>
      </c>
      <c r="D28" s="657">
        <v>3000.0</v>
      </c>
      <c r="E28" s="1365" t="s">
        <v>14348</v>
      </c>
      <c r="F28" s="148" t="s">
        <v>14374</v>
      </c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15.75" customHeight="1">
      <c r="A29" s="1361">
        <v>43286.0</v>
      </c>
      <c r="B29" s="1464" t="s">
        <v>4930</v>
      </c>
      <c r="C29" s="1365" t="s">
        <v>171</v>
      </c>
      <c r="D29" s="657">
        <v>3000.0</v>
      </c>
      <c r="E29" s="518" t="s">
        <v>14376</v>
      </c>
      <c r="F29" s="21" t="s">
        <v>14377</v>
      </c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ht="15.75" customHeight="1">
      <c r="A30" s="1361">
        <v>43518.0</v>
      </c>
      <c r="B30" s="503" t="s">
        <v>14378</v>
      </c>
      <c r="C30" s="1365" t="s">
        <v>171</v>
      </c>
      <c r="D30" s="159">
        <v>34000.0</v>
      </c>
      <c r="E30" s="148" t="s">
        <v>14358</v>
      </c>
      <c r="F30" s="21" t="s">
        <v>14379</v>
      </c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ht="15.75" customHeight="1">
      <c r="A31" s="1361">
        <v>43570.0</v>
      </c>
      <c r="B31" s="618" t="s">
        <v>14380</v>
      </c>
      <c r="C31" s="66" t="s">
        <v>14363</v>
      </c>
      <c r="D31" s="159">
        <v>10000.0</v>
      </c>
      <c r="E31" s="66" t="s">
        <v>14381</v>
      </c>
      <c r="F31" s="148" t="s">
        <v>14382</v>
      </c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ht="43.5" customHeight="1">
      <c r="A32" s="1361">
        <v>43659.0</v>
      </c>
      <c r="B32" s="66" t="s">
        <v>14383</v>
      </c>
      <c r="C32" s="1365" t="s">
        <v>171</v>
      </c>
      <c r="D32" s="159">
        <v>0.0</v>
      </c>
      <c r="E32" s="1465" t="s">
        <v>14384</v>
      </c>
      <c r="F32" s="1365" t="s">
        <v>14385</v>
      </c>
      <c r="G32" s="24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ht="15.75" customHeight="1">
      <c r="A33" s="1361">
        <v>43710.0</v>
      </c>
      <c r="B33" s="1365" t="s">
        <v>14386</v>
      </c>
      <c r="C33" s="1365" t="s">
        <v>43</v>
      </c>
      <c r="D33" s="1340">
        <v>3000.0</v>
      </c>
      <c r="E33" s="148" t="s">
        <v>14387</v>
      </c>
      <c r="F33" s="1365" t="s">
        <v>14388</v>
      </c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</row>
    <row r="34" ht="15.75" customHeight="1">
      <c r="A34" s="1361">
        <v>43760.0</v>
      </c>
      <c r="B34" s="66" t="s">
        <v>127</v>
      </c>
      <c r="C34" s="1365" t="s">
        <v>43</v>
      </c>
      <c r="D34" s="159">
        <v>0.0</v>
      </c>
      <c r="E34" s="1466" t="s">
        <v>14389</v>
      </c>
      <c r="F34" s="1365" t="s">
        <v>14390</v>
      </c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ht="15.75" customHeight="1">
      <c r="A35" s="1361">
        <v>43900.0</v>
      </c>
      <c r="B35" s="66" t="s">
        <v>14391</v>
      </c>
      <c r="C35" s="66" t="s">
        <v>14363</v>
      </c>
      <c r="D35" s="159">
        <v>0.0</v>
      </c>
      <c r="E35" s="66" t="s">
        <v>14392</v>
      </c>
      <c r="F35" s="1365" t="s">
        <v>14393</v>
      </c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ht="15.75" customHeight="1">
      <c r="A36" s="1467">
        <v>43956.0</v>
      </c>
      <c r="B36" s="66" t="s">
        <v>14394</v>
      </c>
      <c r="C36" s="1365" t="s">
        <v>171</v>
      </c>
      <c r="D36" s="159">
        <v>10000.0</v>
      </c>
      <c r="E36" s="1365" t="s">
        <v>14395</v>
      </c>
      <c r="F36" s="1365" t="s">
        <v>14396</v>
      </c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ht="15.75" customHeight="1">
      <c r="A37" s="1361">
        <v>44222.0</v>
      </c>
      <c r="B37" s="66" t="s">
        <v>1796</v>
      </c>
      <c r="C37" s="66" t="s">
        <v>14397</v>
      </c>
      <c r="D37" s="159">
        <v>5000.0</v>
      </c>
      <c r="E37" s="148" t="s">
        <v>14373</v>
      </c>
      <c r="F37" s="1365" t="s">
        <v>14398</v>
      </c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ht="15.75" customHeight="1">
      <c r="A38" s="1361">
        <v>44222.0</v>
      </c>
      <c r="B38" s="66" t="s">
        <v>14399</v>
      </c>
      <c r="C38" s="1365" t="s">
        <v>171</v>
      </c>
      <c r="D38" s="159">
        <v>10000.0</v>
      </c>
      <c r="E38" s="148" t="s">
        <v>14358</v>
      </c>
      <c r="F38" s="1365" t="s">
        <v>14398</v>
      </c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ht="15.75" customHeight="1">
      <c r="A39" s="1317"/>
      <c r="B39" s="66"/>
      <c r="C39" s="66"/>
      <c r="D39" s="159"/>
      <c r="E39" s="66"/>
      <c r="F39" s="1365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ht="15.75" customHeight="1">
      <c r="A40" s="1317"/>
      <c r="B40" s="66"/>
      <c r="C40" s="66"/>
      <c r="D40" s="159"/>
      <c r="E40" s="66"/>
      <c r="F40" s="66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ht="15.75" customHeight="1">
      <c r="A41" s="1317"/>
      <c r="B41" s="66"/>
      <c r="C41" s="66"/>
      <c r="D41" s="159"/>
      <c r="E41" s="66"/>
      <c r="F41" s="66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ht="15.75" customHeight="1">
      <c r="A42" s="1317"/>
      <c r="B42" s="66"/>
      <c r="C42" s="66"/>
      <c r="D42" s="159"/>
      <c r="E42" s="66"/>
      <c r="F42" s="66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ht="15.75" customHeight="1">
      <c r="A43" s="1317"/>
      <c r="B43" s="66"/>
      <c r="C43" s="66"/>
      <c r="D43" s="159"/>
      <c r="E43" s="66"/>
      <c r="F43" s="66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ht="15.75" customHeight="1">
      <c r="A44" s="1317"/>
      <c r="B44" s="66"/>
      <c r="C44" s="66"/>
      <c r="D44" s="159"/>
      <c r="E44" s="66"/>
      <c r="F44" s="66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ht="15.75" customHeight="1">
      <c r="A45" s="1317"/>
      <c r="B45" s="66"/>
      <c r="C45" s="66"/>
      <c r="D45" s="159"/>
      <c r="E45" s="66"/>
      <c r="F45" s="66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ht="15.75" customHeight="1">
      <c r="A46" s="1317"/>
      <c r="B46" s="66"/>
      <c r="C46" s="66"/>
      <c r="D46" s="159"/>
      <c r="E46" s="66"/>
      <c r="F46" s="66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ht="15.75" customHeight="1">
      <c r="A47" s="1317"/>
      <c r="B47" s="66"/>
      <c r="C47" s="66"/>
      <c r="D47" s="159"/>
      <c r="E47" s="66"/>
      <c r="F47" s="66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ht="15.75" customHeight="1">
      <c r="A48" s="1317"/>
      <c r="B48" s="66"/>
      <c r="C48" s="66"/>
      <c r="D48" s="159"/>
      <c r="E48" s="66"/>
      <c r="F48" s="66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ht="15.75" customHeight="1">
      <c r="A49" s="1317"/>
      <c r="B49" s="66"/>
      <c r="C49" s="66"/>
      <c r="D49" s="159"/>
      <c r="E49" s="66"/>
      <c r="F49" s="66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ht="15.75" customHeight="1">
      <c r="A50" s="1317"/>
      <c r="B50" s="66"/>
      <c r="C50" s="66"/>
      <c r="D50" s="159"/>
      <c r="E50" s="66"/>
      <c r="F50" s="66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ht="15.75" customHeight="1">
      <c r="A51" s="91"/>
      <c r="B51" s="91"/>
      <c r="C51" s="91"/>
      <c r="D51" s="1468">
        <f>SUM(D3:D50)</f>
        <v>384000</v>
      </c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ht="15.75" customHeight="1">
      <c r="A52" s="91"/>
      <c r="B52" s="91"/>
      <c r="C52" s="91"/>
      <c r="D52" s="1379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ht="15.75" customHeight="1">
      <c r="A53" s="91" t="s">
        <v>14400</v>
      </c>
      <c r="B53" s="91"/>
      <c r="C53" s="91"/>
      <c r="D53" s="1379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ht="15.75" customHeight="1">
      <c r="A54" s="947" t="s">
        <v>14401</v>
      </c>
      <c r="B54" s="91"/>
      <c r="C54" s="91"/>
      <c r="D54" s="1379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ht="15.75" customHeight="1">
      <c r="A55" s="241" t="s">
        <v>14402</v>
      </c>
      <c r="B55" s="91"/>
      <c r="C55" s="91"/>
      <c r="D55" s="1379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ht="15.75" customHeight="1">
      <c r="A56" s="91"/>
      <c r="B56" s="91"/>
      <c r="C56" s="91"/>
      <c r="D56" s="1379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ht="15.75" customHeight="1">
      <c r="A57" s="91"/>
      <c r="B57" s="91"/>
      <c r="C57" s="91"/>
      <c r="D57" s="1379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ht="15.75" customHeight="1">
      <c r="A58" s="91"/>
      <c r="B58" s="91"/>
      <c r="C58" s="91"/>
      <c r="D58" s="1379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ht="15.75" customHeight="1">
      <c r="A59" s="91"/>
      <c r="B59" s="91"/>
      <c r="C59" s="91"/>
      <c r="D59" s="1379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ht="15.75" customHeight="1">
      <c r="A60" s="91"/>
      <c r="B60" s="91"/>
      <c r="C60" s="91"/>
      <c r="D60" s="1379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ht="15.75" customHeight="1">
      <c r="A61" s="91"/>
      <c r="B61" s="91"/>
      <c r="C61" s="91"/>
      <c r="D61" s="1379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ht="15.75" customHeight="1">
      <c r="A62" s="91"/>
      <c r="B62" s="91"/>
      <c r="C62" s="91"/>
      <c r="D62" s="1379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ht="15.75" customHeight="1">
      <c r="A63" s="91"/>
      <c r="B63" s="91"/>
      <c r="C63" s="91"/>
      <c r="D63" s="1379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ht="15.75" customHeight="1">
      <c r="A64" s="91"/>
      <c r="B64" s="91"/>
      <c r="C64" s="91"/>
      <c r="D64" s="1379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ht="15.75" customHeight="1">
      <c r="A65" s="91"/>
      <c r="B65" s="91"/>
      <c r="C65" s="91"/>
      <c r="D65" s="1379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ht="15.75" customHeight="1">
      <c r="A66" s="91"/>
      <c r="B66" s="91"/>
      <c r="C66" s="91"/>
      <c r="D66" s="1379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ht="15.75" customHeight="1">
      <c r="A67" s="91"/>
      <c r="B67" s="91"/>
      <c r="C67" s="91"/>
      <c r="D67" s="1379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ht="15.75" customHeight="1">
      <c r="A68" s="91"/>
      <c r="B68" s="91"/>
      <c r="C68" s="91"/>
      <c r="D68" s="1379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ht="15.75" customHeight="1">
      <c r="A69" s="91"/>
      <c r="B69" s="91"/>
      <c r="C69" s="91"/>
      <c r="D69" s="1379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ht="15.75" customHeight="1">
      <c r="A70" s="91"/>
      <c r="B70" s="91"/>
      <c r="C70" s="91"/>
      <c r="D70" s="1379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ht="15.75" customHeight="1">
      <c r="A71" s="91"/>
      <c r="B71" s="91"/>
      <c r="C71" s="91"/>
      <c r="D71" s="1379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ht="15.75" customHeight="1">
      <c r="A72" s="91"/>
      <c r="B72" s="91"/>
      <c r="C72" s="91"/>
      <c r="D72" s="1379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ht="15.75" customHeight="1">
      <c r="A73" s="91"/>
      <c r="B73" s="91"/>
      <c r="C73" s="91"/>
      <c r="D73" s="1379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ht="15.75" customHeight="1">
      <c r="A74" s="91"/>
      <c r="B74" s="91"/>
      <c r="C74" s="91"/>
      <c r="D74" s="1379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ht="15.75" customHeight="1">
      <c r="A75" s="91"/>
      <c r="B75" s="91"/>
      <c r="C75" s="91"/>
      <c r="D75" s="1379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ht="15.75" customHeight="1">
      <c r="A76" s="91"/>
      <c r="B76" s="91"/>
      <c r="C76" s="91"/>
      <c r="D76" s="1379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ht="15.75" customHeight="1">
      <c r="A77" s="91"/>
      <c r="B77" s="91"/>
      <c r="C77" s="91"/>
      <c r="D77" s="1379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ht="15.75" customHeight="1">
      <c r="A78" s="91"/>
      <c r="B78" s="91"/>
      <c r="C78" s="91"/>
      <c r="D78" s="1379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ht="15.75" customHeight="1">
      <c r="A79" s="91"/>
      <c r="B79" s="91"/>
      <c r="C79" s="91"/>
      <c r="D79" s="1379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ht="15.75" customHeight="1">
      <c r="A80" s="91"/>
      <c r="B80" s="91"/>
      <c r="C80" s="91"/>
      <c r="D80" s="1379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ht="15.75" customHeight="1">
      <c r="A81" s="91"/>
      <c r="B81" s="91"/>
      <c r="C81" s="91"/>
      <c r="D81" s="1379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ht="15.75" customHeight="1">
      <c r="A82" s="91"/>
      <c r="B82" s="91"/>
      <c r="C82" s="91"/>
      <c r="D82" s="1379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ht="15.75" customHeight="1">
      <c r="A83" s="91"/>
      <c r="B83" s="91"/>
      <c r="C83" s="91"/>
      <c r="D83" s="1379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ht="15.75" customHeight="1">
      <c r="A84" s="91"/>
      <c r="B84" s="91"/>
      <c r="C84" s="91"/>
      <c r="D84" s="1379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ht="15.75" customHeight="1">
      <c r="A85" s="91"/>
      <c r="B85" s="91"/>
      <c r="C85" s="91"/>
      <c r="D85" s="1379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ht="15.75" customHeight="1">
      <c r="A86" s="91"/>
      <c r="B86" s="91"/>
      <c r="C86" s="91"/>
      <c r="D86" s="1379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ht="15.75" customHeight="1">
      <c r="A87" s="91"/>
      <c r="B87" s="91"/>
      <c r="C87" s="91"/>
      <c r="D87" s="1379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ht="15.75" customHeight="1">
      <c r="A88" s="91"/>
      <c r="B88" s="91"/>
      <c r="C88" s="91"/>
      <c r="D88" s="1379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ht="15.75" customHeight="1">
      <c r="A89" s="91"/>
      <c r="B89" s="91"/>
      <c r="C89" s="91"/>
      <c r="D89" s="1379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ht="15.75" customHeight="1">
      <c r="A90" s="91"/>
      <c r="B90" s="91"/>
      <c r="C90" s="91"/>
      <c r="D90" s="1379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ht="15.75" customHeight="1">
      <c r="A91" s="91"/>
      <c r="B91" s="91"/>
      <c r="C91" s="91"/>
      <c r="D91" s="1379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ht="15.75" customHeight="1">
      <c r="A92" s="91"/>
      <c r="B92" s="91"/>
      <c r="C92" s="91"/>
      <c r="D92" s="1379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ht="15.75" customHeight="1">
      <c r="A93" s="91"/>
      <c r="B93" s="91"/>
      <c r="C93" s="91"/>
      <c r="D93" s="1379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ht="15.75" customHeight="1">
      <c r="A94" s="91"/>
      <c r="B94" s="91"/>
      <c r="C94" s="91"/>
      <c r="D94" s="1379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ht="15.75" customHeight="1">
      <c r="A95" s="91"/>
      <c r="B95" s="91"/>
      <c r="C95" s="91"/>
      <c r="D95" s="1379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ht="15.75" customHeight="1">
      <c r="A96" s="91"/>
      <c r="B96" s="91"/>
      <c r="C96" s="91"/>
      <c r="D96" s="1379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ht="15.75" customHeight="1">
      <c r="A97" s="91"/>
      <c r="B97" s="91"/>
      <c r="C97" s="91"/>
      <c r="D97" s="1379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ht="15.75" customHeight="1">
      <c r="A98" s="91"/>
      <c r="B98" s="91"/>
      <c r="C98" s="91"/>
      <c r="D98" s="1379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ht="15.75" customHeight="1">
      <c r="A99" s="91"/>
      <c r="B99" s="91"/>
      <c r="C99" s="91"/>
      <c r="D99" s="1379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ht="15.75" customHeight="1">
      <c r="A100" s="91"/>
      <c r="B100" s="91"/>
      <c r="C100" s="91"/>
      <c r="D100" s="1379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ht="15.75" customHeight="1">
      <c r="A101" s="91"/>
      <c r="B101" s="91"/>
      <c r="C101" s="91"/>
      <c r="D101" s="1379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ht="15.75" customHeight="1">
      <c r="A102" s="91"/>
      <c r="B102" s="91"/>
      <c r="C102" s="91"/>
      <c r="D102" s="1379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ht="15.75" customHeight="1">
      <c r="A103" s="91"/>
      <c r="B103" s="91"/>
      <c r="C103" s="91"/>
      <c r="D103" s="1379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ht="15.75" customHeight="1">
      <c r="A104" s="91"/>
      <c r="B104" s="91"/>
      <c r="C104" s="91"/>
      <c r="D104" s="1379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ht="15.75" customHeight="1">
      <c r="A105" s="91"/>
      <c r="B105" s="91"/>
      <c r="C105" s="91"/>
      <c r="D105" s="1379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ht="15.75" customHeight="1">
      <c r="A106" s="91"/>
      <c r="B106" s="91"/>
      <c r="C106" s="91"/>
      <c r="D106" s="1379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ht="15.75" customHeight="1">
      <c r="A107" s="91"/>
      <c r="B107" s="91"/>
      <c r="C107" s="91"/>
      <c r="D107" s="1379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ht="15.75" customHeight="1">
      <c r="A108" s="91"/>
      <c r="B108" s="91"/>
      <c r="C108" s="91"/>
      <c r="D108" s="1379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ht="15.75" customHeight="1">
      <c r="A109" s="91"/>
      <c r="B109" s="91"/>
      <c r="C109" s="91"/>
      <c r="D109" s="1379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ht="15.75" customHeight="1">
      <c r="A110" s="91"/>
      <c r="B110" s="91"/>
      <c r="C110" s="91"/>
      <c r="D110" s="1379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ht="15.75" customHeight="1">
      <c r="A111" s="91"/>
      <c r="B111" s="91"/>
      <c r="C111" s="91"/>
      <c r="D111" s="1379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ht="15.75" customHeight="1">
      <c r="A112" s="91"/>
      <c r="B112" s="91"/>
      <c r="C112" s="91"/>
      <c r="D112" s="1379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ht="15.75" customHeight="1">
      <c r="A113" s="91"/>
      <c r="B113" s="91"/>
      <c r="C113" s="91"/>
      <c r="D113" s="1379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ht="15.75" customHeight="1">
      <c r="A114" s="91"/>
      <c r="B114" s="91"/>
      <c r="C114" s="91"/>
      <c r="D114" s="1379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ht="15.75" customHeight="1">
      <c r="A115" s="91"/>
      <c r="B115" s="91"/>
      <c r="C115" s="91"/>
      <c r="D115" s="1379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ht="15.75" customHeight="1">
      <c r="A116" s="91"/>
      <c r="B116" s="91"/>
      <c r="C116" s="91"/>
      <c r="D116" s="1379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ht="15.75" customHeight="1">
      <c r="A117" s="91"/>
      <c r="B117" s="91"/>
      <c r="C117" s="91"/>
      <c r="D117" s="1379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ht="15.75" customHeight="1">
      <c r="A118" s="91"/>
      <c r="B118" s="91"/>
      <c r="C118" s="91"/>
      <c r="D118" s="1379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ht="15.75" customHeight="1">
      <c r="A119" s="91"/>
      <c r="B119" s="91"/>
      <c r="C119" s="91"/>
      <c r="D119" s="1379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ht="15.75" customHeight="1">
      <c r="A120" s="91"/>
      <c r="B120" s="91"/>
      <c r="C120" s="91"/>
      <c r="D120" s="1379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ht="15.75" customHeight="1">
      <c r="A121" s="91"/>
      <c r="B121" s="91"/>
      <c r="C121" s="91"/>
      <c r="D121" s="1379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ht="15.75" customHeight="1">
      <c r="A122" s="91"/>
      <c r="B122" s="91"/>
      <c r="C122" s="91"/>
      <c r="D122" s="1379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ht="15.75" customHeight="1">
      <c r="A123" s="91"/>
      <c r="B123" s="91"/>
      <c r="C123" s="91"/>
      <c r="D123" s="1379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ht="15.75" customHeight="1">
      <c r="A124" s="91"/>
      <c r="B124" s="91"/>
      <c r="C124" s="91"/>
      <c r="D124" s="1379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ht="15.75" customHeight="1">
      <c r="A125" s="91"/>
      <c r="B125" s="91"/>
      <c r="C125" s="91"/>
      <c r="D125" s="1379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ht="15.75" customHeight="1">
      <c r="A126" s="91"/>
      <c r="B126" s="91"/>
      <c r="C126" s="91"/>
      <c r="D126" s="1379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ht="15.75" customHeight="1">
      <c r="A127" s="91"/>
      <c r="B127" s="91"/>
      <c r="C127" s="91"/>
      <c r="D127" s="1379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ht="15.75" customHeight="1">
      <c r="A128" s="91"/>
      <c r="B128" s="91"/>
      <c r="C128" s="91"/>
      <c r="D128" s="1379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ht="15.75" customHeight="1">
      <c r="A129" s="91"/>
      <c r="B129" s="91"/>
      <c r="C129" s="91"/>
      <c r="D129" s="1379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ht="15.75" customHeight="1">
      <c r="A130" s="91"/>
      <c r="B130" s="91"/>
      <c r="C130" s="91"/>
      <c r="D130" s="1379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ht="15.75" customHeight="1">
      <c r="A131" s="91"/>
      <c r="B131" s="91"/>
      <c r="C131" s="91"/>
      <c r="D131" s="1379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ht="15.75" customHeight="1">
      <c r="A132" s="91"/>
      <c r="B132" s="91"/>
      <c r="C132" s="91"/>
      <c r="D132" s="1379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ht="15.75" customHeight="1">
      <c r="A133" s="91"/>
      <c r="B133" s="91"/>
      <c r="C133" s="91"/>
      <c r="D133" s="1379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ht="15.75" customHeight="1">
      <c r="A134" s="91"/>
      <c r="B134" s="91"/>
      <c r="C134" s="91"/>
      <c r="D134" s="1379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ht="15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ht="15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ht="15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ht="15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ht="15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ht="15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ht="15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ht="15.7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ht="15.7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ht="15.7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ht="15.7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ht="15.7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ht="15.7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ht="15.7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ht="15.7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ht="15.7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ht="15.7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ht="15.7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ht="15.7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ht="15.7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ht="15.7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ht="15.7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ht="15.7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ht="15.7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ht="15.7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ht="15.7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ht="15.7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ht="15.7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ht="15.7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ht="15.7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ht="15.7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ht="15.7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ht="15.7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ht="15.7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ht="15.7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ht="15.7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ht="15.7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ht="15.7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ht="15.7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ht="15.7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ht="15.7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ht="15.7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ht="15.7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ht="15.7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ht="15.7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ht="15.7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ht="15.7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ht="15.7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ht="15.7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ht="15.7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ht="15.7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ht="15.7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ht="15.7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ht="15.7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ht="15.7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ht="15.7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ht="15.7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ht="15.7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ht="15.7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ht="15.7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ht="15.7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ht="15.7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ht="15.7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ht="15.7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ht="15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ht="15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ht="15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ht="15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ht="15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ht="15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ht="15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ht="15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ht="15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ht="15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ht="15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ht="15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ht="15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ht="15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ht="15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ht="15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ht="15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ht="15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ht="15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ht="15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ht="15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ht="15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ht="15.7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ht="15.7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ht="15.7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ht="15.7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ht="15.7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ht="15.7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ht="15.7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ht="15.7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ht="15.7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ht="15.7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ht="15.7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ht="15.7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ht="15.7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ht="15.7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ht="15.7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ht="15.7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ht="15.7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ht="15.7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ht="15.7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ht="15.7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ht="15.7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ht="15.7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ht="15.7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ht="15.7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ht="15.7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ht="15.7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ht="15.7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ht="15.7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ht="15.7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ht="15.7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ht="15.7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ht="15.7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ht="15.7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ht="15.7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ht="15.7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12.57"/>
  </cols>
  <sheetData>
    <row r="1" ht="15.75" customHeight="1">
      <c r="A1" s="1382" t="s">
        <v>14087</v>
      </c>
      <c r="B1" s="1383" t="s">
        <v>13678</v>
      </c>
      <c r="C1" s="1383" t="s">
        <v>2</v>
      </c>
      <c r="D1" s="1383" t="s">
        <v>14403</v>
      </c>
      <c r="E1" s="1383" t="s">
        <v>4</v>
      </c>
      <c r="F1" s="1383" t="s">
        <v>12</v>
      </c>
      <c r="G1" s="1383" t="s">
        <v>5</v>
      </c>
      <c r="H1" s="1383" t="s">
        <v>13679</v>
      </c>
      <c r="I1" s="1383" t="s">
        <v>14404</v>
      </c>
      <c r="J1" s="1383" t="s">
        <v>13682</v>
      </c>
      <c r="K1" s="1387" t="s">
        <v>13683</v>
      </c>
      <c r="L1" s="1387" t="s">
        <v>13684</v>
      </c>
      <c r="M1" s="1387" t="s">
        <v>13685</v>
      </c>
      <c r="N1" s="1387" t="s">
        <v>14089</v>
      </c>
      <c r="O1" s="1387" t="s">
        <v>13688</v>
      </c>
      <c r="P1" s="1387" t="s">
        <v>13689</v>
      </c>
      <c r="Q1" s="1387" t="s">
        <v>13690</v>
      </c>
      <c r="R1" s="91"/>
      <c r="S1" s="91"/>
      <c r="T1" s="91"/>
      <c r="U1" s="91"/>
      <c r="V1" s="91"/>
      <c r="W1" s="91"/>
      <c r="X1" s="91"/>
      <c r="Y1" s="91"/>
      <c r="Z1" s="91"/>
    </row>
    <row r="2" ht="15.75" customHeight="1">
      <c r="A2" s="1469">
        <v>40560.0</v>
      </c>
      <c r="B2" s="453" t="s">
        <v>12692</v>
      </c>
      <c r="C2" s="453">
        <v>1.1000017E7</v>
      </c>
      <c r="D2" s="453" t="s">
        <v>14405</v>
      </c>
      <c r="E2" s="348" t="s">
        <v>13812</v>
      </c>
      <c r="F2" s="503" t="s">
        <v>90</v>
      </c>
      <c r="G2" s="721">
        <v>50.0</v>
      </c>
      <c r="H2" s="721">
        <v>94.0</v>
      </c>
      <c r="I2" s="1470">
        <v>4700.0</v>
      </c>
      <c r="J2" s="503" t="s">
        <v>14406</v>
      </c>
      <c r="K2" s="503" t="s">
        <v>14407</v>
      </c>
      <c r="L2" s="503" t="s">
        <v>13844</v>
      </c>
      <c r="M2" s="453" t="s">
        <v>14408</v>
      </c>
      <c r="N2" s="1470">
        <v>133875.0</v>
      </c>
      <c r="O2" s="562">
        <v>40569.0</v>
      </c>
      <c r="P2" s="721">
        <v>133875.0</v>
      </c>
      <c r="Q2" s="503" t="s">
        <v>14409</v>
      </c>
      <c r="R2" s="91"/>
      <c r="S2" s="91"/>
      <c r="T2" s="91"/>
      <c r="U2" s="91"/>
      <c r="V2" s="91"/>
      <c r="W2" s="91"/>
      <c r="X2" s="91"/>
      <c r="Y2" s="91"/>
      <c r="Z2" s="91"/>
    </row>
    <row r="3" ht="15.75" customHeight="1">
      <c r="A3" s="1469">
        <v>40560.0</v>
      </c>
      <c r="B3" s="453" t="s">
        <v>12692</v>
      </c>
      <c r="C3" s="453">
        <v>1.1000017E7</v>
      </c>
      <c r="D3" s="453" t="s">
        <v>14405</v>
      </c>
      <c r="E3" s="348" t="s">
        <v>12851</v>
      </c>
      <c r="F3" s="503" t="s">
        <v>11236</v>
      </c>
      <c r="G3" s="721">
        <v>50.0</v>
      </c>
      <c r="H3" s="721">
        <v>33.0</v>
      </c>
      <c r="I3" s="1470">
        <v>1650.0</v>
      </c>
      <c r="J3" s="503" t="s">
        <v>14406</v>
      </c>
      <c r="K3" s="503" t="s">
        <v>14410</v>
      </c>
      <c r="L3" s="503" t="s">
        <v>13844</v>
      </c>
      <c r="M3" s="453" t="s">
        <v>13751</v>
      </c>
      <c r="N3" s="1470">
        <v>31500.0</v>
      </c>
      <c r="O3" s="562">
        <v>40567.0</v>
      </c>
      <c r="P3" s="721">
        <v>31500.0</v>
      </c>
      <c r="Q3" s="503" t="s">
        <v>14409</v>
      </c>
      <c r="R3" s="91" t="s">
        <v>13690</v>
      </c>
      <c r="S3" s="91"/>
      <c r="T3" s="91"/>
      <c r="U3" s="91"/>
      <c r="V3" s="91"/>
      <c r="W3" s="91"/>
      <c r="X3" s="91"/>
      <c r="Y3" s="91"/>
      <c r="Z3" s="91"/>
    </row>
    <row r="4" ht="15.75" customHeight="1">
      <c r="A4" s="1469">
        <v>40583.0</v>
      </c>
      <c r="B4" s="453" t="s">
        <v>12692</v>
      </c>
      <c r="C4" s="66"/>
      <c r="D4" s="453" t="s">
        <v>14411</v>
      </c>
      <c r="E4" s="503" t="s">
        <v>14412</v>
      </c>
      <c r="F4" s="503" t="s">
        <v>90</v>
      </c>
      <c r="G4" s="721">
        <v>1.0</v>
      </c>
      <c r="H4" s="721">
        <v>290.0</v>
      </c>
      <c r="I4" s="1470">
        <v>290.0</v>
      </c>
      <c r="J4" s="503" t="s">
        <v>14413</v>
      </c>
      <c r="K4" s="503" t="s">
        <v>14414</v>
      </c>
      <c r="L4" s="503" t="s">
        <v>14415</v>
      </c>
      <c r="M4" s="503" t="s">
        <v>14416</v>
      </c>
      <c r="N4" s="503" t="s">
        <v>14417</v>
      </c>
      <c r="O4" s="503" t="s">
        <v>14417</v>
      </c>
      <c r="P4" s="503" t="s">
        <v>14417</v>
      </c>
      <c r="Q4" s="503" t="s">
        <v>14418</v>
      </c>
      <c r="R4" s="91" t="s">
        <v>14409</v>
      </c>
      <c r="S4" s="91"/>
      <c r="T4" s="91"/>
      <c r="U4" s="91"/>
      <c r="V4" s="91"/>
      <c r="W4" s="91"/>
      <c r="X4" s="91"/>
      <c r="Y4" s="91"/>
      <c r="Z4" s="91"/>
    </row>
    <row r="5" ht="15.75" customHeight="1">
      <c r="A5" s="1469">
        <v>40583.0</v>
      </c>
      <c r="B5" s="453" t="s">
        <v>12692</v>
      </c>
      <c r="C5" s="66"/>
      <c r="D5" s="453" t="s">
        <v>14411</v>
      </c>
      <c r="E5" s="503" t="s">
        <v>11229</v>
      </c>
      <c r="F5" s="503" t="s">
        <v>90</v>
      </c>
      <c r="G5" s="721">
        <v>1.0</v>
      </c>
      <c r="H5" s="721">
        <v>20.0</v>
      </c>
      <c r="I5" s="1470">
        <v>20.0</v>
      </c>
      <c r="J5" s="503" t="s">
        <v>14413</v>
      </c>
      <c r="K5" s="503" t="s">
        <v>14414</v>
      </c>
      <c r="L5" s="503" t="s">
        <v>14415</v>
      </c>
      <c r="M5" s="503" t="s">
        <v>14416</v>
      </c>
      <c r="N5" s="503" t="s">
        <v>14417</v>
      </c>
      <c r="O5" s="503" t="s">
        <v>14417</v>
      </c>
      <c r="P5" s="503" t="s">
        <v>14417</v>
      </c>
      <c r="Q5" s="503" t="s">
        <v>14418</v>
      </c>
      <c r="R5" s="91" t="s">
        <v>14409</v>
      </c>
      <c r="S5" s="91"/>
      <c r="T5" s="91"/>
      <c r="U5" s="91"/>
      <c r="V5" s="91"/>
      <c r="W5" s="91"/>
      <c r="X5" s="91"/>
      <c r="Y5" s="91"/>
      <c r="Z5" s="91"/>
    </row>
    <row r="6" ht="15.75" customHeight="1">
      <c r="A6" s="1469">
        <v>40599.0</v>
      </c>
      <c r="B6" s="453" t="s">
        <v>12692</v>
      </c>
      <c r="C6" s="453" t="s">
        <v>14419</v>
      </c>
      <c r="D6" s="453" t="s">
        <v>14420</v>
      </c>
      <c r="E6" s="503" t="s">
        <v>11216</v>
      </c>
      <c r="F6" s="503" t="s">
        <v>90</v>
      </c>
      <c r="G6" s="721">
        <v>6.0</v>
      </c>
      <c r="H6" s="721">
        <v>99.0</v>
      </c>
      <c r="I6" s="1470">
        <v>594.0</v>
      </c>
      <c r="J6" s="562">
        <v>40617.0</v>
      </c>
      <c r="K6" s="503" t="s">
        <v>14421</v>
      </c>
      <c r="L6" s="453" t="s">
        <v>14422</v>
      </c>
      <c r="M6" s="453" t="s">
        <v>14408</v>
      </c>
      <c r="N6" s="721">
        <v>16128.0</v>
      </c>
      <c r="O6" s="562">
        <v>40616.0</v>
      </c>
      <c r="P6" s="721">
        <v>16128.0</v>
      </c>
      <c r="Q6" s="503" t="s">
        <v>14423</v>
      </c>
      <c r="R6" s="91" t="s">
        <v>14418</v>
      </c>
      <c r="S6" s="91"/>
      <c r="T6" s="91"/>
      <c r="U6" s="91"/>
      <c r="V6" s="91"/>
      <c r="W6" s="91"/>
      <c r="X6" s="91"/>
      <c r="Y6" s="91"/>
      <c r="Z6" s="91"/>
    </row>
    <row r="7" ht="15.75" customHeight="1">
      <c r="A7" s="1469">
        <v>40599.0</v>
      </c>
      <c r="B7" s="453" t="s">
        <v>12692</v>
      </c>
      <c r="C7" s="453" t="s">
        <v>14419</v>
      </c>
      <c r="D7" s="453" t="s">
        <v>14420</v>
      </c>
      <c r="E7" s="503" t="s">
        <v>14424</v>
      </c>
      <c r="F7" s="503" t="s">
        <v>90</v>
      </c>
      <c r="G7" s="721">
        <v>4.0</v>
      </c>
      <c r="H7" s="721">
        <v>99.0</v>
      </c>
      <c r="I7" s="1470">
        <v>396.0</v>
      </c>
      <c r="J7" s="562">
        <v>40617.0</v>
      </c>
      <c r="K7" s="503" t="s">
        <v>14421</v>
      </c>
      <c r="L7" s="503" t="s">
        <v>14422</v>
      </c>
      <c r="M7" s="453" t="s">
        <v>14408</v>
      </c>
      <c r="N7" s="721">
        <v>13104.0</v>
      </c>
      <c r="O7" s="562">
        <v>40616.0</v>
      </c>
      <c r="P7" s="721">
        <v>13104.0</v>
      </c>
      <c r="Q7" s="503" t="s">
        <v>14423</v>
      </c>
      <c r="R7" s="91" t="s">
        <v>14418</v>
      </c>
      <c r="S7" s="91"/>
      <c r="T7" s="91"/>
      <c r="U7" s="91"/>
      <c r="V7" s="91"/>
      <c r="W7" s="91"/>
      <c r="X7" s="91"/>
      <c r="Y7" s="91"/>
      <c r="Z7" s="91"/>
    </row>
    <row r="8" ht="15.75" customHeight="1">
      <c r="A8" s="1469">
        <v>40599.0</v>
      </c>
      <c r="B8" s="453" t="s">
        <v>12692</v>
      </c>
      <c r="C8" s="453" t="s">
        <v>14419</v>
      </c>
      <c r="D8" s="453" t="s">
        <v>14420</v>
      </c>
      <c r="E8" s="503" t="s">
        <v>13808</v>
      </c>
      <c r="F8" s="503" t="s">
        <v>11236</v>
      </c>
      <c r="G8" s="721">
        <v>8.0</v>
      </c>
      <c r="H8" s="721">
        <v>22.0</v>
      </c>
      <c r="I8" s="1470">
        <v>176.0</v>
      </c>
      <c r="J8" s="562">
        <v>40617.0</v>
      </c>
      <c r="K8" s="503" t="s">
        <v>14425</v>
      </c>
      <c r="L8" s="503" t="s">
        <v>14422</v>
      </c>
      <c r="M8" s="453" t="s">
        <v>13751</v>
      </c>
      <c r="N8" s="721">
        <v>3780.0</v>
      </c>
      <c r="O8" s="562">
        <v>40616.0</v>
      </c>
      <c r="P8" s="721">
        <v>3780.0</v>
      </c>
      <c r="Q8" s="503" t="s">
        <v>14423</v>
      </c>
      <c r="R8" s="91" t="s">
        <v>14423</v>
      </c>
      <c r="S8" s="91"/>
      <c r="T8" s="91"/>
      <c r="U8" s="91"/>
      <c r="V8" s="91"/>
      <c r="W8" s="91"/>
      <c r="X8" s="91"/>
      <c r="Y8" s="91"/>
      <c r="Z8" s="91"/>
    </row>
    <row r="9" ht="15.75" customHeight="1">
      <c r="A9" s="1469">
        <v>40631.0</v>
      </c>
      <c r="B9" s="453" t="s">
        <v>12692</v>
      </c>
      <c r="C9" s="453" t="s">
        <v>14426</v>
      </c>
      <c r="D9" s="453" t="s">
        <v>14427</v>
      </c>
      <c r="E9" s="503" t="s">
        <v>11579</v>
      </c>
      <c r="F9" s="503" t="s">
        <v>90</v>
      </c>
      <c r="G9" s="721">
        <v>5.0</v>
      </c>
      <c r="H9" s="721">
        <v>108.0</v>
      </c>
      <c r="I9" s="1470">
        <v>540.0</v>
      </c>
      <c r="J9" s="503" t="s">
        <v>14428</v>
      </c>
      <c r="K9" s="503" t="s">
        <v>14429</v>
      </c>
      <c r="L9" s="503" t="s">
        <v>14430</v>
      </c>
      <c r="M9" s="453" t="s">
        <v>14408</v>
      </c>
      <c r="N9" s="1470">
        <v>13388.0</v>
      </c>
      <c r="O9" s="562">
        <v>40640.0</v>
      </c>
      <c r="P9" s="721">
        <v>13388.0</v>
      </c>
      <c r="Q9" s="503" t="s">
        <v>14431</v>
      </c>
      <c r="R9" s="91" t="s">
        <v>14423</v>
      </c>
      <c r="S9" s="91"/>
      <c r="T9" s="91"/>
      <c r="U9" s="91"/>
      <c r="V9" s="91"/>
      <c r="W9" s="91"/>
      <c r="X9" s="91"/>
      <c r="Y9" s="91"/>
      <c r="Z9" s="91"/>
    </row>
    <row r="10" ht="15.75" customHeight="1">
      <c r="A10" s="1469">
        <v>40631.0</v>
      </c>
      <c r="B10" s="453" t="s">
        <v>12692</v>
      </c>
      <c r="C10" s="453" t="s">
        <v>14426</v>
      </c>
      <c r="D10" s="453" t="s">
        <v>14427</v>
      </c>
      <c r="E10" s="503" t="s">
        <v>14432</v>
      </c>
      <c r="F10" s="503" t="s">
        <v>90</v>
      </c>
      <c r="G10" s="721">
        <v>8.0</v>
      </c>
      <c r="H10" s="721">
        <v>90.0</v>
      </c>
      <c r="I10" s="1470">
        <v>720.0</v>
      </c>
      <c r="J10" s="503" t="s">
        <v>14428</v>
      </c>
      <c r="K10" s="503" t="s">
        <v>14429</v>
      </c>
      <c r="L10" s="503" t="s">
        <v>14430</v>
      </c>
      <c r="M10" s="453" t="s">
        <v>14408</v>
      </c>
      <c r="N10" s="1470">
        <v>19320.0</v>
      </c>
      <c r="O10" s="562">
        <v>40640.0</v>
      </c>
      <c r="P10" s="721">
        <v>19320.0</v>
      </c>
      <c r="Q10" s="503" t="s">
        <v>14431</v>
      </c>
      <c r="R10" s="91" t="s">
        <v>14423</v>
      </c>
      <c r="S10" s="91"/>
      <c r="T10" s="91"/>
      <c r="U10" s="91"/>
      <c r="V10" s="91"/>
      <c r="W10" s="91"/>
      <c r="X10" s="91"/>
      <c r="Y10" s="91"/>
      <c r="Z10" s="91"/>
    </row>
    <row r="11" ht="15.75" customHeight="1">
      <c r="A11" s="1469">
        <v>40631.0</v>
      </c>
      <c r="B11" s="453" t="s">
        <v>12692</v>
      </c>
      <c r="C11" s="453" t="s">
        <v>14426</v>
      </c>
      <c r="D11" s="453" t="s">
        <v>14427</v>
      </c>
      <c r="E11" s="503" t="s">
        <v>10377</v>
      </c>
      <c r="F11" s="503" t="s">
        <v>90</v>
      </c>
      <c r="G11" s="721">
        <v>1.0</v>
      </c>
      <c r="H11" s="721">
        <v>48.0</v>
      </c>
      <c r="I11" s="1470">
        <v>48.0</v>
      </c>
      <c r="J11" s="503" t="s">
        <v>14428</v>
      </c>
      <c r="K11" s="503" t="s">
        <v>14429</v>
      </c>
      <c r="L11" s="503" t="s">
        <v>14430</v>
      </c>
      <c r="M11" s="453" t="s">
        <v>14408</v>
      </c>
      <c r="N11" s="1470">
        <v>1208.0</v>
      </c>
      <c r="O11" s="562">
        <v>40640.0</v>
      </c>
      <c r="P11" s="721">
        <v>1208.0</v>
      </c>
      <c r="Q11" s="503" t="s">
        <v>14431</v>
      </c>
      <c r="R11" s="91" t="s">
        <v>14431</v>
      </c>
      <c r="S11" s="91"/>
      <c r="T11" s="91"/>
      <c r="U11" s="91"/>
      <c r="V11" s="91"/>
      <c r="W11" s="91"/>
      <c r="X11" s="91"/>
      <c r="Y11" s="91"/>
      <c r="Z11" s="91"/>
    </row>
    <row r="12" ht="15.75" customHeight="1">
      <c r="A12" s="1469">
        <v>40631.0</v>
      </c>
      <c r="B12" s="453" t="s">
        <v>12692</v>
      </c>
      <c r="C12" s="453" t="s">
        <v>14426</v>
      </c>
      <c r="D12" s="453" t="s">
        <v>14427</v>
      </c>
      <c r="E12" s="503" t="s">
        <v>14433</v>
      </c>
      <c r="F12" s="503" t="s">
        <v>90</v>
      </c>
      <c r="G12" s="721">
        <v>3.0</v>
      </c>
      <c r="H12" s="721">
        <v>57.0</v>
      </c>
      <c r="I12" s="1470">
        <v>171.0</v>
      </c>
      <c r="J12" s="503" t="s">
        <v>14428</v>
      </c>
      <c r="K12" s="503" t="s">
        <v>14429</v>
      </c>
      <c r="L12" s="503" t="s">
        <v>14430</v>
      </c>
      <c r="M12" s="453" t="s">
        <v>14408</v>
      </c>
      <c r="N12" s="1470">
        <v>4599.0</v>
      </c>
      <c r="O12" s="562">
        <v>40640.0</v>
      </c>
      <c r="P12" s="721">
        <v>4599.0</v>
      </c>
      <c r="Q12" s="503" t="s">
        <v>14431</v>
      </c>
      <c r="R12" s="91" t="s">
        <v>14431</v>
      </c>
      <c r="S12" s="91"/>
      <c r="T12" s="91"/>
      <c r="U12" s="91"/>
      <c r="V12" s="91"/>
      <c r="W12" s="91"/>
      <c r="X12" s="91"/>
      <c r="Y12" s="91"/>
      <c r="Z12" s="91"/>
    </row>
    <row r="13" ht="15.75" customHeight="1">
      <c r="A13" s="1469">
        <v>40631.0</v>
      </c>
      <c r="B13" s="453" t="s">
        <v>12692</v>
      </c>
      <c r="C13" s="453" t="s">
        <v>14426</v>
      </c>
      <c r="D13" s="453" t="s">
        <v>14427</v>
      </c>
      <c r="E13" s="503" t="s">
        <v>4431</v>
      </c>
      <c r="F13" s="503" t="s">
        <v>90</v>
      </c>
      <c r="G13" s="721">
        <v>10.0</v>
      </c>
      <c r="H13" s="721">
        <v>161.0</v>
      </c>
      <c r="I13" s="1470">
        <v>1610.0</v>
      </c>
      <c r="J13" s="503" t="s">
        <v>14428</v>
      </c>
      <c r="K13" s="503" t="s">
        <v>14429</v>
      </c>
      <c r="L13" s="503" t="s">
        <v>14430</v>
      </c>
      <c r="M13" s="453" t="s">
        <v>14408</v>
      </c>
      <c r="N13" s="1470">
        <v>41580.0</v>
      </c>
      <c r="O13" s="562">
        <v>40640.0</v>
      </c>
      <c r="P13" s="721">
        <v>41580.0</v>
      </c>
      <c r="Q13" s="503" t="s">
        <v>14431</v>
      </c>
      <c r="R13" s="91" t="s">
        <v>14431</v>
      </c>
      <c r="S13" s="91"/>
      <c r="T13" s="91"/>
      <c r="U13" s="91"/>
      <c r="V13" s="91"/>
      <c r="W13" s="91"/>
      <c r="X13" s="91"/>
      <c r="Y13" s="91"/>
      <c r="Z13" s="91"/>
    </row>
    <row r="14" ht="15.75" customHeight="1">
      <c r="A14" s="1469">
        <v>40631.0</v>
      </c>
      <c r="B14" s="453" t="s">
        <v>12692</v>
      </c>
      <c r="C14" s="453" t="s">
        <v>14426</v>
      </c>
      <c r="D14" s="453" t="s">
        <v>14427</v>
      </c>
      <c r="E14" s="503" t="s">
        <v>13808</v>
      </c>
      <c r="F14" s="1471" t="s">
        <v>11236</v>
      </c>
      <c r="G14" s="721">
        <v>2.0</v>
      </c>
      <c r="H14" s="721">
        <v>22.0</v>
      </c>
      <c r="I14" s="1470">
        <v>44.0</v>
      </c>
      <c r="J14" s="503" t="s">
        <v>14428</v>
      </c>
      <c r="K14" s="503" t="s">
        <v>14434</v>
      </c>
      <c r="L14" s="503" t="s">
        <v>14435</v>
      </c>
      <c r="M14" s="453" t="s">
        <v>13751</v>
      </c>
      <c r="N14" s="1470">
        <v>945.0</v>
      </c>
      <c r="O14" s="562">
        <v>40634.0</v>
      </c>
      <c r="P14" s="721">
        <v>945.0</v>
      </c>
      <c r="Q14" s="503" t="s">
        <v>14431</v>
      </c>
      <c r="R14" s="91" t="s">
        <v>14431</v>
      </c>
      <c r="S14" s="91"/>
      <c r="T14" s="91"/>
      <c r="U14" s="91"/>
      <c r="V14" s="91"/>
      <c r="W14" s="91"/>
      <c r="X14" s="91"/>
      <c r="Y14" s="91"/>
      <c r="Z14" s="91"/>
    </row>
    <row r="15" ht="15.75" customHeight="1">
      <c r="A15" s="1469">
        <v>40644.0</v>
      </c>
      <c r="B15" s="453" t="s">
        <v>14436</v>
      </c>
      <c r="C15" s="66"/>
      <c r="D15" s="453" t="s">
        <v>14437</v>
      </c>
      <c r="E15" s="503" t="s">
        <v>12704</v>
      </c>
      <c r="F15" s="503" t="s">
        <v>90</v>
      </c>
      <c r="G15" s="721">
        <v>50.0</v>
      </c>
      <c r="H15" s="721">
        <v>116.5</v>
      </c>
      <c r="I15" s="1470">
        <v>5825.0</v>
      </c>
      <c r="J15" s="503" t="s">
        <v>14438</v>
      </c>
      <c r="K15" s="503" t="s">
        <v>14439</v>
      </c>
      <c r="L15" s="503" t="s">
        <v>14435</v>
      </c>
      <c r="M15" s="453" t="s">
        <v>14408</v>
      </c>
      <c r="N15" s="1470">
        <v>149625.0</v>
      </c>
      <c r="O15" s="562">
        <v>40659.0</v>
      </c>
      <c r="P15" s="721">
        <v>149625.0</v>
      </c>
      <c r="Q15" s="503" t="s">
        <v>14440</v>
      </c>
      <c r="R15" s="91" t="s">
        <v>14431</v>
      </c>
      <c r="S15" s="91"/>
      <c r="T15" s="91"/>
      <c r="U15" s="91"/>
      <c r="V15" s="91"/>
      <c r="W15" s="91"/>
      <c r="X15" s="91"/>
      <c r="Y15" s="91"/>
      <c r="Z15" s="91"/>
    </row>
    <row r="16" ht="15.75" customHeight="1">
      <c r="A16" s="1469">
        <v>40644.0</v>
      </c>
      <c r="B16" s="453" t="s">
        <v>14436</v>
      </c>
      <c r="C16" s="66"/>
      <c r="D16" s="453" t="s">
        <v>14437</v>
      </c>
      <c r="E16" s="503" t="s">
        <v>12704</v>
      </c>
      <c r="F16" s="503" t="s">
        <v>90</v>
      </c>
      <c r="G16" s="721">
        <v>50.0</v>
      </c>
      <c r="H16" s="721">
        <v>116.5</v>
      </c>
      <c r="I16" s="1470">
        <v>5825.0</v>
      </c>
      <c r="J16" s="75" t="s">
        <v>14441</v>
      </c>
      <c r="K16" s="503" t="s">
        <v>14439</v>
      </c>
      <c r="L16" s="75" t="s">
        <v>14442</v>
      </c>
      <c r="M16" s="453" t="s">
        <v>14408</v>
      </c>
      <c r="N16" s="1470">
        <v>149625.0</v>
      </c>
      <c r="O16" s="562">
        <v>40666.0</v>
      </c>
      <c r="P16" s="721">
        <v>149625.0</v>
      </c>
      <c r="Q16" s="503" t="s">
        <v>14443</v>
      </c>
      <c r="R16" s="91" t="s">
        <v>14431</v>
      </c>
      <c r="S16" s="91"/>
      <c r="T16" s="91"/>
      <c r="U16" s="91"/>
      <c r="V16" s="91"/>
      <c r="W16" s="91"/>
      <c r="X16" s="91"/>
      <c r="Y16" s="91"/>
      <c r="Z16" s="91"/>
    </row>
    <row r="17" ht="15.75" customHeight="1">
      <c r="A17" s="1469">
        <v>40645.0</v>
      </c>
      <c r="B17" s="453" t="s">
        <v>14444</v>
      </c>
      <c r="C17" s="453" t="s">
        <v>14445</v>
      </c>
      <c r="D17" s="453" t="s">
        <v>14446</v>
      </c>
      <c r="E17" s="503" t="s">
        <v>14447</v>
      </c>
      <c r="F17" s="503" t="s">
        <v>90</v>
      </c>
      <c r="G17" s="721">
        <v>50.0</v>
      </c>
      <c r="H17" s="721">
        <v>120.4</v>
      </c>
      <c r="I17" s="1470">
        <v>6020.0</v>
      </c>
      <c r="J17" s="75" t="s">
        <v>14448</v>
      </c>
      <c r="K17" s="503" t="s">
        <v>14449</v>
      </c>
      <c r="L17" s="75" t="s">
        <v>14442</v>
      </c>
      <c r="M17" s="453" t="s">
        <v>14408</v>
      </c>
      <c r="N17" s="1470">
        <v>142800.0</v>
      </c>
      <c r="O17" s="562">
        <v>40666.0</v>
      </c>
      <c r="P17" s="721">
        <v>142800.0</v>
      </c>
      <c r="Q17" s="503" t="s">
        <v>14450</v>
      </c>
      <c r="R17" s="91" t="s">
        <v>14440</v>
      </c>
      <c r="S17" s="91"/>
      <c r="T17" s="91"/>
      <c r="U17" s="91"/>
      <c r="V17" s="91"/>
      <c r="W17" s="91"/>
      <c r="X17" s="91"/>
      <c r="Y17" s="91"/>
      <c r="Z17" s="91"/>
    </row>
    <row r="18" ht="15.75" customHeight="1">
      <c r="A18" s="1469">
        <v>40647.0</v>
      </c>
      <c r="B18" s="453" t="s">
        <v>14451</v>
      </c>
      <c r="C18" s="66"/>
      <c r="D18" s="453" t="s">
        <v>14452</v>
      </c>
      <c r="E18" s="503" t="s">
        <v>11422</v>
      </c>
      <c r="F18" s="1472" t="s">
        <v>3413</v>
      </c>
      <c r="G18" s="721">
        <v>7.0</v>
      </c>
      <c r="H18" s="721">
        <v>244.0</v>
      </c>
      <c r="I18" s="1470">
        <v>1708.0</v>
      </c>
      <c r="J18" s="562">
        <v>40655.0</v>
      </c>
      <c r="K18" s="503" t="s">
        <v>14453</v>
      </c>
      <c r="L18" s="503" t="s">
        <v>14430</v>
      </c>
      <c r="M18" s="1393" t="s">
        <v>14454</v>
      </c>
      <c r="N18" s="721">
        <v>47628.0</v>
      </c>
      <c r="O18" s="562">
        <v>40652.0</v>
      </c>
      <c r="P18" s="721">
        <v>47628.0</v>
      </c>
      <c r="Q18" s="503" t="s">
        <v>14455</v>
      </c>
      <c r="R18" s="91" t="s">
        <v>14443</v>
      </c>
      <c r="S18" s="91"/>
      <c r="T18" s="91"/>
      <c r="U18" s="91"/>
      <c r="V18" s="91"/>
      <c r="W18" s="91"/>
      <c r="X18" s="91"/>
      <c r="Y18" s="91"/>
      <c r="Z18" s="91"/>
    </row>
    <row r="19" ht="15.75" customHeight="1">
      <c r="A19" s="1469">
        <v>40647.0</v>
      </c>
      <c r="B19" s="453" t="s">
        <v>14451</v>
      </c>
      <c r="C19" s="66"/>
      <c r="D19" s="453" t="s">
        <v>14452</v>
      </c>
      <c r="E19" s="503" t="s">
        <v>14456</v>
      </c>
      <c r="F19" s="1472" t="s">
        <v>3413</v>
      </c>
      <c r="G19" s="721">
        <v>19.0</v>
      </c>
      <c r="H19" s="721">
        <v>117.0</v>
      </c>
      <c r="I19" s="1470">
        <v>2223.0</v>
      </c>
      <c r="J19" s="562">
        <v>40655.0</v>
      </c>
      <c r="K19" s="503" t="s">
        <v>14453</v>
      </c>
      <c r="L19" s="503" t="s">
        <v>14430</v>
      </c>
      <c r="M19" s="1393" t="s">
        <v>14454</v>
      </c>
      <c r="N19" s="721">
        <v>61845.0</v>
      </c>
      <c r="O19" s="562">
        <v>40652.0</v>
      </c>
      <c r="P19" s="721">
        <v>61845.0</v>
      </c>
      <c r="Q19" s="503" t="s">
        <v>14455</v>
      </c>
      <c r="R19" s="91" t="s">
        <v>14450</v>
      </c>
      <c r="S19" s="91"/>
      <c r="T19" s="91"/>
      <c r="U19" s="91"/>
      <c r="V19" s="91"/>
      <c r="W19" s="91"/>
      <c r="X19" s="91"/>
      <c r="Y19" s="91"/>
      <c r="Z19" s="91"/>
    </row>
    <row r="20" ht="15.75" customHeight="1">
      <c r="A20" s="1469">
        <v>40647.0</v>
      </c>
      <c r="B20" s="453" t="s">
        <v>14451</v>
      </c>
      <c r="C20" s="66"/>
      <c r="D20" s="453" t="s">
        <v>14452</v>
      </c>
      <c r="E20" s="503" t="s">
        <v>14457</v>
      </c>
      <c r="F20" s="1472" t="s">
        <v>3413</v>
      </c>
      <c r="G20" s="721">
        <v>9.0</v>
      </c>
      <c r="H20" s="721">
        <v>138.0</v>
      </c>
      <c r="I20" s="1470">
        <v>1242.0</v>
      </c>
      <c r="J20" s="562">
        <v>40655.0</v>
      </c>
      <c r="K20" s="503" t="s">
        <v>14453</v>
      </c>
      <c r="L20" s="503" t="s">
        <v>14430</v>
      </c>
      <c r="M20" s="1393" t="s">
        <v>14454</v>
      </c>
      <c r="N20" s="721">
        <v>34493.0</v>
      </c>
      <c r="O20" s="562">
        <v>40652.0</v>
      </c>
      <c r="P20" s="721">
        <v>34493.0</v>
      </c>
      <c r="Q20" s="503" t="s">
        <v>14455</v>
      </c>
      <c r="R20" s="91" t="s">
        <v>14455</v>
      </c>
      <c r="S20" s="91"/>
      <c r="T20" s="91"/>
      <c r="U20" s="91"/>
      <c r="V20" s="91"/>
      <c r="W20" s="91"/>
      <c r="X20" s="91"/>
      <c r="Y20" s="91"/>
      <c r="Z20" s="91"/>
    </row>
    <row r="21" ht="15.75" customHeight="1">
      <c r="A21" s="1469">
        <v>40652.0</v>
      </c>
      <c r="B21" s="453" t="s">
        <v>12692</v>
      </c>
      <c r="C21" s="453" t="s">
        <v>14458</v>
      </c>
      <c r="D21" s="453" t="s">
        <v>14459</v>
      </c>
      <c r="E21" s="503" t="s">
        <v>14460</v>
      </c>
      <c r="F21" s="503" t="s">
        <v>90</v>
      </c>
      <c r="G21" s="721">
        <v>14.0</v>
      </c>
      <c r="H21" s="721">
        <v>415.0</v>
      </c>
      <c r="I21" s="1470">
        <v>5810.0</v>
      </c>
      <c r="J21" s="562">
        <v>40677.0</v>
      </c>
      <c r="K21" s="503" t="s">
        <v>14461</v>
      </c>
      <c r="L21" s="503" t="s">
        <v>13844</v>
      </c>
      <c r="M21" s="453" t="s">
        <v>14408</v>
      </c>
      <c r="N21" s="721">
        <v>165081.0</v>
      </c>
      <c r="O21" s="562">
        <v>40675.0</v>
      </c>
      <c r="P21" s="721">
        <v>165081.0</v>
      </c>
      <c r="Q21" s="503" t="s">
        <v>14462</v>
      </c>
      <c r="R21" s="91" t="s">
        <v>14455</v>
      </c>
      <c r="S21" s="91"/>
      <c r="T21" s="91"/>
      <c r="U21" s="91"/>
      <c r="V21" s="91"/>
      <c r="W21" s="91"/>
      <c r="X21" s="91"/>
      <c r="Y21" s="91"/>
      <c r="Z21" s="91"/>
    </row>
    <row r="22" ht="15.75" customHeight="1">
      <c r="A22" s="1469">
        <v>40676.0</v>
      </c>
      <c r="B22" s="453" t="s">
        <v>12692</v>
      </c>
      <c r="C22" s="453" t="s">
        <v>14463</v>
      </c>
      <c r="D22" s="453" t="s">
        <v>14464</v>
      </c>
      <c r="E22" s="453" t="s">
        <v>12851</v>
      </c>
      <c r="F22" s="1471" t="s">
        <v>11236</v>
      </c>
      <c r="G22" s="348">
        <v>4.0</v>
      </c>
      <c r="H22" s="348">
        <v>35.0</v>
      </c>
      <c r="I22" s="1470">
        <v>140.0</v>
      </c>
      <c r="J22" s="562">
        <v>40683.0</v>
      </c>
      <c r="K22" s="503" t="s">
        <v>14465</v>
      </c>
      <c r="L22" s="503" t="s">
        <v>13844</v>
      </c>
      <c r="M22" s="453" t="s">
        <v>13751</v>
      </c>
      <c r="N22" s="1470">
        <v>473.0</v>
      </c>
      <c r="O22" s="562">
        <v>40683.0</v>
      </c>
      <c r="P22" s="721">
        <v>473.0</v>
      </c>
      <c r="Q22" s="503" t="s">
        <v>14466</v>
      </c>
      <c r="R22" s="91" t="s">
        <v>14455</v>
      </c>
      <c r="S22" s="91"/>
      <c r="T22" s="91"/>
      <c r="U22" s="91"/>
      <c r="V22" s="91"/>
      <c r="W22" s="91"/>
      <c r="X22" s="91"/>
      <c r="Y22" s="91"/>
      <c r="Z22" s="91"/>
    </row>
    <row r="23" ht="15.75" customHeight="1">
      <c r="A23" s="1469">
        <v>40676.0</v>
      </c>
      <c r="B23" s="453" t="s">
        <v>12692</v>
      </c>
      <c r="C23" s="453" t="s">
        <v>14463</v>
      </c>
      <c r="D23" s="453" t="s">
        <v>14464</v>
      </c>
      <c r="E23" s="453" t="s">
        <v>13808</v>
      </c>
      <c r="F23" s="1471" t="s">
        <v>11236</v>
      </c>
      <c r="G23" s="348">
        <v>1.0</v>
      </c>
      <c r="H23" s="348">
        <v>22.0</v>
      </c>
      <c r="I23" s="1470">
        <v>22.0</v>
      </c>
      <c r="J23" s="562">
        <v>40683.0</v>
      </c>
      <c r="K23" s="503" t="s">
        <v>14465</v>
      </c>
      <c r="L23" s="503" t="s">
        <v>13844</v>
      </c>
      <c r="M23" s="453" t="s">
        <v>13751</v>
      </c>
      <c r="N23" s="1470">
        <v>2520.0</v>
      </c>
      <c r="O23" s="562">
        <v>40683.0</v>
      </c>
      <c r="P23" s="721">
        <v>2520.0</v>
      </c>
      <c r="Q23" s="503" t="s">
        <v>14466</v>
      </c>
      <c r="R23" s="91" t="s">
        <v>14462</v>
      </c>
      <c r="S23" s="91"/>
      <c r="T23" s="91"/>
      <c r="U23" s="91"/>
      <c r="V23" s="91"/>
      <c r="W23" s="91"/>
      <c r="X23" s="91"/>
      <c r="Y23" s="91"/>
      <c r="Z23" s="91"/>
    </row>
    <row r="24" ht="15.75" customHeight="1">
      <c r="A24" s="1469">
        <v>40676.0</v>
      </c>
      <c r="B24" s="453" t="s">
        <v>12692</v>
      </c>
      <c r="C24" s="453" t="s">
        <v>14463</v>
      </c>
      <c r="D24" s="453" t="s">
        <v>14464</v>
      </c>
      <c r="E24" s="453" t="s">
        <v>14467</v>
      </c>
      <c r="F24" s="503" t="s">
        <v>90</v>
      </c>
      <c r="G24" s="348">
        <v>3.0</v>
      </c>
      <c r="H24" s="348">
        <v>146.0</v>
      </c>
      <c r="I24" s="1470">
        <v>438.0</v>
      </c>
      <c r="J24" s="562">
        <v>40683.0</v>
      </c>
      <c r="K24" s="503" t="s">
        <v>14468</v>
      </c>
      <c r="L24" s="503" t="s">
        <v>13844</v>
      </c>
      <c r="M24" s="453" t="s">
        <v>14408</v>
      </c>
      <c r="N24" s="1470">
        <v>8064.0</v>
      </c>
      <c r="O24" s="562">
        <v>40683.0</v>
      </c>
      <c r="P24" s="721">
        <v>8064.0</v>
      </c>
      <c r="Q24" s="503" t="s">
        <v>14466</v>
      </c>
      <c r="R24" s="91" t="s">
        <v>14466</v>
      </c>
      <c r="S24" s="91"/>
      <c r="T24" s="91"/>
      <c r="U24" s="91"/>
      <c r="V24" s="91"/>
      <c r="W24" s="91"/>
      <c r="X24" s="91"/>
      <c r="Y24" s="91"/>
      <c r="Z24" s="91"/>
    </row>
    <row r="25" ht="15.75" customHeight="1">
      <c r="A25" s="1469">
        <v>40676.0</v>
      </c>
      <c r="B25" s="453" t="s">
        <v>12692</v>
      </c>
      <c r="C25" s="66"/>
      <c r="D25" s="453" t="s">
        <v>14464</v>
      </c>
      <c r="E25" s="453" t="s">
        <v>11216</v>
      </c>
      <c r="F25" s="503" t="s">
        <v>90</v>
      </c>
      <c r="G25" s="348">
        <v>5.0</v>
      </c>
      <c r="H25" s="348">
        <v>106.0</v>
      </c>
      <c r="I25" s="1470">
        <v>530.0</v>
      </c>
      <c r="J25" s="562">
        <v>40683.0</v>
      </c>
      <c r="K25" s="503" t="s">
        <v>14468</v>
      </c>
      <c r="L25" s="503" t="s">
        <v>13844</v>
      </c>
      <c r="M25" s="453" t="s">
        <v>14408</v>
      </c>
      <c r="N25" s="1470">
        <v>13440.0</v>
      </c>
      <c r="O25" s="562">
        <v>40683.0</v>
      </c>
      <c r="P25" s="721">
        <v>13440.0</v>
      </c>
      <c r="Q25" s="503" t="s">
        <v>14466</v>
      </c>
      <c r="R25" s="91" t="s">
        <v>14466</v>
      </c>
      <c r="S25" s="91"/>
      <c r="T25" s="91"/>
      <c r="U25" s="91"/>
      <c r="V25" s="91"/>
      <c r="W25" s="91"/>
      <c r="X25" s="91"/>
      <c r="Y25" s="91"/>
      <c r="Z25" s="91"/>
    </row>
    <row r="26" ht="15.75" customHeight="1">
      <c r="A26" s="1469">
        <v>40676.0</v>
      </c>
      <c r="B26" s="453" t="s">
        <v>12692</v>
      </c>
      <c r="C26" s="66"/>
      <c r="D26" s="453" t="s">
        <v>14464</v>
      </c>
      <c r="E26" s="453" t="s">
        <v>14469</v>
      </c>
      <c r="F26" s="503" t="s">
        <v>90</v>
      </c>
      <c r="G26" s="348">
        <v>6.0</v>
      </c>
      <c r="H26" s="348">
        <v>415.0</v>
      </c>
      <c r="I26" s="1470">
        <v>2490.0</v>
      </c>
      <c r="J26" s="562">
        <v>40683.0</v>
      </c>
      <c r="K26" s="503" t="s">
        <v>14468</v>
      </c>
      <c r="L26" s="503" t="s">
        <v>13844</v>
      </c>
      <c r="M26" s="453" t="s">
        <v>14408</v>
      </c>
      <c r="N26" s="1470">
        <v>69300.0</v>
      </c>
      <c r="O26" s="562">
        <v>40683.0</v>
      </c>
      <c r="P26" s="721">
        <v>69300.0</v>
      </c>
      <c r="Q26" s="503" t="s">
        <v>14466</v>
      </c>
      <c r="R26" s="91" t="s">
        <v>14466</v>
      </c>
      <c r="S26" s="91"/>
      <c r="T26" s="91"/>
      <c r="U26" s="91"/>
      <c r="V26" s="91"/>
      <c r="W26" s="91"/>
      <c r="X26" s="91"/>
      <c r="Y26" s="91"/>
      <c r="Z26" s="91"/>
    </row>
    <row r="27" ht="15.75" customHeight="1">
      <c r="A27" s="1469">
        <v>40676.0</v>
      </c>
      <c r="B27" s="453" t="s">
        <v>12692</v>
      </c>
      <c r="C27" s="66"/>
      <c r="D27" s="453" t="s">
        <v>14464</v>
      </c>
      <c r="E27" s="453" t="s">
        <v>14470</v>
      </c>
      <c r="F27" s="453" t="s">
        <v>90</v>
      </c>
      <c r="G27" s="348">
        <v>1.0</v>
      </c>
      <c r="H27" s="348">
        <v>104.0</v>
      </c>
      <c r="I27" s="1470">
        <v>104.0</v>
      </c>
      <c r="J27" s="562">
        <v>40683.0</v>
      </c>
      <c r="K27" s="503" t="s">
        <v>14468</v>
      </c>
      <c r="L27" s="503" t="s">
        <v>13844</v>
      </c>
      <c r="M27" s="453" t="s">
        <v>14408</v>
      </c>
      <c r="N27" s="1470">
        <v>2621.0</v>
      </c>
      <c r="O27" s="562">
        <v>40683.0</v>
      </c>
      <c r="P27" s="721">
        <v>2621.0</v>
      </c>
      <c r="Q27" s="503" t="s">
        <v>14466</v>
      </c>
      <c r="R27" s="91" t="s">
        <v>14466</v>
      </c>
      <c r="S27" s="91"/>
      <c r="T27" s="91"/>
      <c r="U27" s="91"/>
      <c r="V27" s="91"/>
      <c r="W27" s="91"/>
      <c r="X27" s="91"/>
      <c r="Y27" s="91"/>
      <c r="Z27" s="91"/>
    </row>
    <row r="28" ht="15.75" customHeight="1">
      <c r="A28" s="1469">
        <v>40694.0</v>
      </c>
      <c r="B28" s="453" t="s">
        <v>12692</v>
      </c>
      <c r="C28" s="453" t="s">
        <v>14471</v>
      </c>
      <c r="D28" s="453" t="s">
        <v>14472</v>
      </c>
      <c r="E28" s="453" t="s">
        <v>11216</v>
      </c>
      <c r="F28" s="453" t="s">
        <v>90</v>
      </c>
      <c r="G28" s="721">
        <v>100.0</v>
      </c>
      <c r="H28" s="348">
        <v>99.0</v>
      </c>
      <c r="I28" s="1470">
        <v>9900.0</v>
      </c>
      <c r="J28" s="75" t="s">
        <v>14473</v>
      </c>
      <c r="K28" s="503" t="s">
        <v>14474</v>
      </c>
      <c r="L28" s="75" t="s">
        <v>13844</v>
      </c>
      <c r="M28" s="453" t="s">
        <v>14408</v>
      </c>
      <c r="N28" s="1470">
        <v>268800.0</v>
      </c>
      <c r="O28" s="562">
        <v>40702.0</v>
      </c>
      <c r="P28" s="721" t="s">
        <v>14475</v>
      </c>
      <c r="Q28" s="503" t="s">
        <v>14476</v>
      </c>
      <c r="R28" s="91" t="s">
        <v>14466</v>
      </c>
      <c r="S28" s="91"/>
      <c r="T28" s="91"/>
      <c r="U28" s="91"/>
      <c r="V28" s="91"/>
      <c r="W28" s="91"/>
      <c r="X28" s="91"/>
      <c r="Y28" s="91"/>
      <c r="Z28" s="91"/>
    </row>
    <row r="29" ht="15.75" customHeight="1">
      <c r="A29" s="1469">
        <v>40694.0</v>
      </c>
      <c r="B29" s="453" t="s">
        <v>12692</v>
      </c>
      <c r="C29" s="453" t="s">
        <v>14471</v>
      </c>
      <c r="D29" s="453" t="s">
        <v>14472</v>
      </c>
      <c r="E29" s="453" t="s">
        <v>13808</v>
      </c>
      <c r="F29" s="453" t="s">
        <v>11236</v>
      </c>
      <c r="G29" s="721">
        <v>100.0</v>
      </c>
      <c r="H29" s="348">
        <v>20.5</v>
      </c>
      <c r="I29" s="1470">
        <v>2050.0</v>
      </c>
      <c r="J29" s="75" t="s">
        <v>14477</v>
      </c>
      <c r="K29" s="503" t="s">
        <v>14478</v>
      </c>
      <c r="L29" s="503" t="s">
        <v>14479</v>
      </c>
      <c r="M29" s="453" t="s">
        <v>13751</v>
      </c>
      <c r="N29" s="1470">
        <v>47250.0</v>
      </c>
      <c r="O29" s="562">
        <v>40704.0</v>
      </c>
      <c r="P29" s="503" t="s">
        <v>14480</v>
      </c>
      <c r="Q29" s="503" t="s">
        <v>14481</v>
      </c>
      <c r="R29" s="91" t="s">
        <v>14466</v>
      </c>
      <c r="S29" s="91"/>
      <c r="T29" s="91"/>
      <c r="U29" s="91"/>
      <c r="V29" s="91"/>
      <c r="W29" s="91"/>
      <c r="X29" s="91"/>
      <c r="Y29" s="91"/>
      <c r="Z29" s="91"/>
    </row>
    <row r="30" ht="15.75" customHeight="1">
      <c r="A30" s="1469">
        <v>40694.0</v>
      </c>
      <c r="B30" s="453" t="s">
        <v>12692</v>
      </c>
      <c r="C30" s="453" t="s">
        <v>14471</v>
      </c>
      <c r="D30" s="453" t="s">
        <v>14472</v>
      </c>
      <c r="E30" s="453" t="s">
        <v>6590</v>
      </c>
      <c r="F30" s="453" t="s">
        <v>90</v>
      </c>
      <c r="G30" s="721">
        <v>5.0</v>
      </c>
      <c r="H30" s="348">
        <v>321.0</v>
      </c>
      <c r="I30" s="1470">
        <v>1605.0</v>
      </c>
      <c r="J30" s="562">
        <v>40704.0</v>
      </c>
      <c r="K30" s="503" t="s">
        <v>14482</v>
      </c>
      <c r="L30" s="503" t="s">
        <v>14483</v>
      </c>
      <c r="M30" s="453" t="s">
        <v>14408</v>
      </c>
      <c r="N30" s="1470">
        <v>41528.0</v>
      </c>
      <c r="O30" s="562">
        <v>40704.0</v>
      </c>
      <c r="P30" s="721">
        <v>41528.0</v>
      </c>
      <c r="Q30" s="503" t="s">
        <v>14484</v>
      </c>
      <c r="R30" s="91" t="s">
        <v>14476</v>
      </c>
      <c r="S30" s="91"/>
      <c r="T30" s="91"/>
      <c r="U30" s="91"/>
      <c r="V30" s="91"/>
      <c r="W30" s="91"/>
      <c r="X30" s="91"/>
      <c r="Y30" s="91"/>
      <c r="Z30" s="91"/>
    </row>
    <row r="31" ht="15.75" customHeight="1">
      <c r="A31" s="1469">
        <v>40695.0</v>
      </c>
      <c r="B31" s="453" t="s">
        <v>14451</v>
      </c>
      <c r="C31" s="66"/>
      <c r="D31" s="453" t="s">
        <v>14485</v>
      </c>
      <c r="E31" s="453" t="s">
        <v>11422</v>
      </c>
      <c r="F31" s="453" t="s">
        <v>3413</v>
      </c>
      <c r="G31" s="721">
        <v>3.0</v>
      </c>
      <c r="H31" s="721">
        <v>244.0</v>
      </c>
      <c r="I31" s="1470">
        <v>732.0</v>
      </c>
      <c r="J31" s="562">
        <v>40704.0</v>
      </c>
      <c r="K31" s="503" t="s">
        <v>14486</v>
      </c>
      <c r="L31" s="503" t="s">
        <v>14483</v>
      </c>
      <c r="M31" s="1393" t="s">
        <v>14454</v>
      </c>
      <c r="N31" s="1470">
        <v>20412.0</v>
      </c>
      <c r="O31" s="562">
        <v>40704.0</v>
      </c>
      <c r="P31" s="721">
        <v>20412.0</v>
      </c>
      <c r="Q31" s="503" t="s">
        <v>14487</v>
      </c>
      <c r="R31" s="91" t="s">
        <v>14481</v>
      </c>
      <c r="S31" s="91"/>
      <c r="T31" s="91"/>
      <c r="U31" s="91"/>
      <c r="V31" s="91"/>
      <c r="W31" s="91"/>
      <c r="X31" s="91"/>
      <c r="Y31" s="91"/>
      <c r="Z31" s="91"/>
    </row>
    <row r="32" ht="15.75" customHeight="1">
      <c r="A32" s="1469">
        <v>40695.0</v>
      </c>
      <c r="B32" s="453" t="s">
        <v>14451</v>
      </c>
      <c r="C32" s="66"/>
      <c r="D32" s="453" t="s">
        <v>14485</v>
      </c>
      <c r="E32" s="453" t="s">
        <v>14456</v>
      </c>
      <c r="F32" s="453" t="s">
        <v>3413</v>
      </c>
      <c r="G32" s="721">
        <v>6.0</v>
      </c>
      <c r="H32" s="721">
        <v>117.0</v>
      </c>
      <c r="I32" s="1470">
        <v>702.0</v>
      </c>
      <c r="J32" s="562">
        <v>40704.0</v>
      </c>
      <c r="K32" s="503" t="s">
        <v>14486</v>
      </c>
      <c r="L32" s="503" t="s">
        <v>14483</v>
      </c>
      <c r="M32" s="1393" t="s">
        <v>14454</v>
      </c>
      <c r="N32" s="1470">
        <v>19530.0</v>
      </c>
      <c r="O32" s="562">
        <v>40704.0</v>
      </c>
      <c r="P32" s="721">
        <v>19530.0</v>
      </c>
      <c r="Q32" s="503" t="s">
        <v>14487</v>
      </c>
      <c r="R32" s="91" t="s">
        <v>14484</v>
      </c>
      <c r="S32" s="91"/>
      <c r="T32" s="91"/>
      <c r="U32" s="91"/>
      <c r="V32" s="91"/>
      <c r="W32" s="91"/>
      <c r="X32" s="91"/>
      <c r="Y32" s="91"/>
      <c r="Z32" s="91"/>
    </row>
    <row r="33" ht="15.75" customHeight="1">
      <c r="A33" s="1469">
        <v>40695.0</v>
      </c>
      <c r="B33" s="453" t="s">
        <v>14451</v>
      </c>
      <c r="C33" s="66"/>
      <c r="D33" s="453" t="s">
        <v>14485</v>
      </c>
      <c r="E33" s="453" t="s">
        <v>14457</v>
      </c>
      <c r="F33" s="453" t="s">
        <v>3413</v>
      </c>
      <c r="G33" s="721">
        <v>3.0</v>
      </c>
      <c r="H33" s="721">
        <v>138.0</v>
      </c>
      <c r="I33" s="1470">
        <v>414.0</v>
      </c>
      <c r="J33" s="562">
        <v>40704.0</v>
      </c>
      <c r="K33" s="503" t="s">
        <v>14486</v>
      </c>
      <c r="L33" s="503" t="s">
        <v>14483</v>
      </c>
      <c r="M33" s="1393" t="s">
        <v>14454</v>
      </c>
      <c r="N33" s="1470">
        <v>11498.0</v>
      </c>
      <c r="O33" s="562">
        <v>40704.0</v>
      </c>
      <c r="P33" s="721">
        <v>11498.0</v>
      </c>
      <c r="Q33" s="503" t="s">
        <v>14487</v>
      </c>
      <c r="R33" s="91" t="s">
        <v>14487</v>
      </c>
      <c r="S33" s="91"/>
      <c r="T33" s="91"/>
      <c r="U33" s="91"/>
      <c r="V33" s="91"/>
      <c r="W33" s="91"/>
      <c r="X33" s="91"/>
      <c r="Y33" s="91"/>
      <c r="Z33" s="91"/>
    </row>
    <row r="34" ht="15.75" customHeight="1">
      <c r="A34" s="1469">
        <v>40695.0</v>
      </c>
      <c r="B34" s="453" t="s">
        <v>12692</v>
      </c>
      <c r="C34" s="66"/>
      <c r="D34" s="453" t="s">
        <v>14488</v>
      </c>
      <c r="E34" s="453" t="s">
        <v>14489</v>
      </c>
      <c r="F34" s="453" t="s">
        <v>3413</v>
      </c>
      <c r="G34" s="721">
        <v>40.0</v>
      </c>
      <c r="H34" s="721">
        <v>54.0</v>
      </c>
      <c r="I34" s="1470">
        <v>2160.0</v>
      </c>
      <c r="J34" s="562">
        <v>40702.0</v>
      </c>
      <c r="K34" s="503" t="s">
        <v>14490</v>
      </c>
      <c r="L34" s="503" t="s">
        <v>14483</v>
      </c>
      <c r="M34" s="1393" t="s">
        <v>14454</v>
      </c>
      <c r="N34" s="1470">
        <v>64260.0</v>
      </c>
      <c r="O34" s="562">
        <v>40701.0</v>
      </c>
      <c r="P34" s="721">
        <v>64260.0</v>
      </c>
      <c r="Q34" s="503" t="s">
        <v>14491</v>
      </c>
      <c r="R34" s="91" t="s">
        <v>14487</v>
      </c>
      <c r="S34" s="91"/>
      <c r="T34" s="91"/>
      <c r="U34" s="91"/>
      <c r="V34" s="91"/>
      <c r="W34" s="91"/>
      <c r="X34" s="91"/>
      <c r="Y34" s="91"/>
      <c r="Z34" s="91"/>
    </row>
    <row r="35" ht="15.75" customHeight="1">
      <c r="A35" s="1469">
        <v>40695.0</v>
      </c>
      <c r="B35" s="453" t="s">
        <v>12692</v>
      </c>
      <c r="C35" s="66"/>
      <c r="D35" s="453" t="s">
        <v>14488</v>
      </c>
      <c r="E35" s="453" t="s">
        <v>14492</v>
      </c>
      <c r="F35" s="453" t="s">
        <v>3413</v>
      </c>
      <c r="G35" s="721">
        <v>40.0</v>
      </c>
      <c r="H35" s="721">
        <v>133.0</v>
      </c>
      <c r="I35" s="1470">
        <v>5320.0</v>
      </c>
      <c r="J35" s="562">
        <v>40702.0</v>
      </c>
      <c r="K35" s="503" t="s">
        <v>14490</v>
      </c>
      <c r="L35" s="503" t="s">
        <v>14483</v>
      </c>
      <c r="M35" s="1393" t="s">
        <v>14454</v>
      </c>
      <c r="N35" s="1470">
        <v>148260.0</v>
      </c>
      <c r="O35" s="562">
        <v>40701.0</v>
      </c>
      <c r="P35" s="721">
        <v>148260.0</v>
      </c>
      <c r="Q35" s="503" t="s">
        <v>14491</v>
      </c>
      <c r="R35" s="91" t="s">
        <v>14487</v>
      </c>
      <c r="S35" s="91"/>
      <c r="T35" s="91"/>
      <c r="U35" s="91"/>
      <c r="V35" s="91"/>
      <c r="W35" s="91"/>
      <c r="X35" s="91"/>
      <c r="Y35" s="91"/>
      <c r="Z35" s="91"/>
    </row>
    <row r="36" ht="15.75" customHeight="1">
      <c r="A36" s="1469">
        <v>40695.0</v>
      </c>
      <c r="B36" s="453" t="s">
        <v>12692</v>
      </c>
      <c r="C36" s="66"/>
      <c r="D36" s="453" t="s">
        <v>14488</v>
      </c>
      <c r="E36" s="453" t="s">
        <v>14493</v>
      </c>
      <c r="F36" s="453" t="s">
        <v>3413</v>
      </c>
      <c r="G36" s="721">
        <v>40.0</v>
      </c>
      <c r="H36" s="721">
        <v>233.0</v>
      </c>
      <c r="I36" s="1470">
        <v>9320.0</v>
      </c>
      <c r="J36" s="562">
        <v>40702.0</v>
      </c>
      <c r="K36" s="503" t="s">
        <v>14490</v>
      </c>
      <c r="L36" s="503" t="s">
        <v>14483</v>
      </c>
      <c r="M36" s="1393" t="s">
        <v>14454</v>
      </c>
      <c r="N36" s="1470">
        <v>262290.0</v>
      </c>
      <c r="O36" s="562">
        <v>40701.0</v>
      </c>
      <c r="P36" s="721">
        <v>262290.0</v>
      </c>
      <c r="Q36" s="503" t="s">
        <v>14491</v>
      </c>
      <c r="R36" s="91" t="s">
        <v>14491</v>
      </c>
      <c r="S36" s="91"/>
      <c r="T36" s="91"/>
      <c r="U36" s="91"/>
      <c r="V36" s="91"/>
      <c r="W36" s="91"/>
      <c r="X36" s="91"/>
      <c r="Y36" s="91"/>
      <c r="Z36" s="91"/>
    </row>
    <row r="37" ht="15.75" customHeight="1">
      <c r="A37" s="1469">
        <v>40695.0</v>
      </c>
      <c r="B37" s="453" t="s">
        <v>12692</v>
      </c>
      <c r="C37" s="66"/>
      <c r="D37" s="453" t="s">
        <v>14488</v>
      </c>
      <c r="E37" s="453">
        <v>1.700008461E9</v>
      </c>
      <c r="F37" s="453" t="s">
        <v>3413</v>
      </c>
      <c r="G37" s="721">
        <v>40.0</v>
      </c>
      <c r="H37" s="721">
        <v>4.8</v>
      </c>
      <c r="I37" s="1470">
        <v>192.0</v>
      </c>
      <c r="J37" s="562">
        <v>40702.0</v>
      </c>
      <c r="K37" s="503" t="s">
        <v>14490</v>
      </c>
      <c r="L37" s="503" t="s">
        <v>14483</v>
      </c>
      <c r="M37" s="1393" t="s">
        <v>14454</v>
      </c>
      <c r="N37" s="1470">
        <v>4830.0</v>
      </c>
      <c r="O37" s="562">
        <v>40701.0</v>
      </c>
      <c r="P37" s="721">
        <v>4830.0</v>
      </c>
      <c r="Q37" s="503" t="s">
        <v>14491</v>
      </c>
      <c r="R37" s="91" t="s">
        <v>14491</v>
      </c>
      <c r="S37" s="91"/>
      <c r="T37" s="91"/>
      <c r="U37" s="91"/>
      <c r="V37" s="91"/>
      <c r="W37" s="91"/>
      <c r="X37" s="91"/>
      <c r="Y37" s="91"/>
      <c r="Z37" s="91"/>
    </row>
    <row r="38" ht="15.75" customHeight="1">
      <c r="A38" s="1469">
        <v>40696.0</v>
      </c>
      <c r="B38" s="453" t="s">
        <v>12692</v>
      </c>
      <c r="C38" s="453" t="s">
        <v>14494</v>
      </c>
      <c r="D38" s="1473" t="s">
        <v>14495</v>
      </c>
      <c r="E38" s="453" t="s">
        <v>14489</v>
      </c>
      <c r="F38" s="453" t="s">
        <v>3413</v>
      </c>
      <c r="G38" s="721">
        <v>40.0</v>
      </c>
      <c r="H38" s="721">
        <v>54.0</v>
      </c>
      <c r="I38" s="1470">
        <v>2160.0</v>
      </c>
      <c r="J38" s="562">
        <v>40721.0</v>
      </c>
      <c r="K38" s="503" t="s">
        <v>14496</v>
      </c>
      <c r="L38" s="503" t="s">
        <v>14479</v>
      </c>
      <c r="M38" s="1393" t="s">
        <v>14454</v>
      </c>
      <c r="N38" s="1470">
        <v>64260.0</v>
      </c>
      <c r="O38" s="562">
        <v>40721.0</v>
      </c>
      <c r="P38" s="721">
        <v>64260.0</v>
      </c>
      <c r="Q38" s="503" t="s">
        <v>14497</v>
      </c>
      <c r="R38" s="91" t="s">
        <v>14491</v>
      </c>
      <c r="S38" s="91"/>
      <c r="T38" s="91"/>
      <c r="U38" s="91"/>
      <c r="V38" s="91"/>
      <c r="W38" s="91"/>
      <c r="X38" s="91"/>
      <c r="Y38" s="91"/>
      <c r="Z38" s="91"/>
    </row>
    <row r="39" ht="15.75" customHeight="1">
      <c r="A39" s="1469">
        <v>40696.0</v>
      </c>
      <c r="B39" s="453" t="s">
        <v>12692</v>
      </c>
      <c r="C39" s="453" t="s">
        <v>14494</v>
      </c>
      <c r="D39" s="1473" t="s">
        <v>14495</v>
      </c>
      <c r="E39" s="453" t="s">
        <v>14492</v>
      </c>
      <c r="F39" s="453" t="s">
        <v>3413</v>
      </c>
      <c r="G39" s="721">
        <v>40.0</v>
      </c>
      <c r="H39" s="721">
        <v>133.0</v>
      </c>
      <c r="I39" s="1470">
        <v>5320.0</v>
      </c>
      <c r="J39" s="562">
        <v>40721.0</v>
      </c>
      <c r="K39" s="503" t="s">
        <v>14496</v>
      </c>
      <c r="L39" s="503" t="s">
        <v>14479</v>
      </c>
      <c r="M39" s="1393" t="s">
        <v>14454</v>
      </c>
      <c r="N39" s="1470">
        <v>141960.0</v>
      </c>
      <c r="O39" s="562">
        <v>40721.0</v>
      </c>
      <c r="P39" s="721">
        <v>141960.0</v>
      </c>
      <c r="Q39" s="503" t="s">
        <v>14497</v>
      </c>
      <c r="R39" s="91" t="s">
        <v>14491</v>
      </c>
      <c r="S39" s="91"/>
      <c r="T39" s="91"/>
      <c r="U39" s="91"/>
      <c r="V39" s="91"/>
      <c r="W39" s="91"/>
      <c r="X39" s="91"/>
      <c r="Y39" s="91"/>
      <c r="Z39" s="91"/>
    </row>
    <row r="40" ht="15.75" customHeight="1">
      <c r="A40" s="1469">
        <v>40696.0</v>
      </c>
      <c r="B40" s="453" t="s">
        <v>12692</v>
      </c>
      <c r="C40" s="453" t="s">
        <v>14494</v>
      </c>
      <c r="D40" s="1473" t="s">
        <v>14495</v>
      </c>
      <c r="E40" s="453" t="s">
        <v>14493</v>
      </c>
      <c r="F40" s="453" t="s">
        <v>3413</v>
      </c>
      <c r="G40" s="721">
        <v>40.0</v>
      </c>
      <c r="H40" s="721">
        <v>233.0</v>
      </c>
      <c r="I40" s="1470">
        <v>9320.0</v>
      </c>
      <c r="J40" s="562">
        <v>40721.0</v>
      </c>
      <c r="K40" s="503" t="s">
        <v>14496</v>
      </c>
      <c r="L40" s="503" t="s">
        <v>14479</v>
      </c>
      <c r="M40" s="1393" t="s">
        <v>14454</v>
      </c>
      <c r="N40" s="1470">
        <v>247800.0</v>
      </c>
      <c r="O40" s="562">
        <v>40721.0</v>
      </c>
      <c r="P40" s="721">
        <v>247800.0</v>
      </c>
      <c r="Q40" s="503" t="s">
        <v>14497</v>
      </c>
      <c r="R40" s="91" t="s">
        <v>14497</v>
      </c>
      <c r="S40" s="91"/>
      <c r="T40" s="91"/>
      <c r="U40" s="91"/>
      <c r="V40" s="91"/>
      <c r="W40" s="91"/>
      <c r="X40" s="91"/>
      <c r="Y40" s="91"/>
      <c r="Z40" s="91"/>
    </row>
    <row r="41" ht="15.75" customHeight="1">
      <c r="A41" s="1469">
        <v>40696.0</v>
      </c>
      <c r="B41" s="453" t="s">
        <v>12692</v>
      </c>
      <c r="C41" s="453" t="s">
        <v>14494</v>
      </c>
      <c r="D41" s="1473" t="s">
        <v>14495</v>
      </c>
      <c r="E41" s="453">
        <v>1.700008461E9</v>
      </c>
      <c r="F41" s="453" t="s">
        <v>3413</v>
      </c>
      <c r="G41" s="721">
        <v>40.0</v>
      </c>
      <c r="H41" s="721">
        <v>4.8</v>
      </c>
      <c r="I41" s="1470">
        <v>192.0</v>
      </c>
      <c r="J41" s="562">
        <v>40721.0</v>
      </c>
      <c r="K41" s="503" t="s">
        <v>14496</v>
      </c>
      <c r="L41" s="503" t="s">
        <v>14479</v>
      </c>
      <c r="M41" s="1393" t="s">
        <v>14454</v>
      </c>
      <c r="N41" s="1470">
        <v>4830.0</v>
      </c>
      <c r="O41" s="562">
        <v>40721.0</v>
      </c>
      <c r="P41" s="721">
        <v>4830.0</v>
      </c>
      <c r="Q41" s="503" t="s">
        <v>14497</v>
      </c>
      <c r="R41" s="91" t="s">
        <v>14497</v>
      </c>
      <c r="S41" s="91"/>
      <c r="T41" s="91"/>
      <c r="U41" s="91"/>
      <c r="V41" s="91"/>
      <c r="W41" s="91"/>
      <c r="X41" s="91"/>
      <c r="Y41" s="91"/>
      <c r="Z41" s="91"/>
    </row>
    <row r="42" ht="15.75" customHeight="1">
      <c r="A42" s="1469">
        <v>40705.0</v>
      </c>
      <c r="B42" s="453" t="s">
        <v>14498</v>
      </c>
      <c r="C42" s="66"/>
      <c r="D42" s="453" t="s">
        <v>14499</v>
      </c>
      <c r="E42" s="453" t="s">
        <v>14500</v>
      </c>
      <c r="F42" s="453" t="s">
        <v>90</v>
      </c>
      <c r="G42" s="721">
        <v>6.0</v>
      </c>
      <c r="H42" s="1474">
        <v>251.25</v>
      </c>
      <c r="I42" s="1475">
        <v>1508.0</v>
      </c>
      <c r="J42" s="562">
        <v>40708.0</v>
      </c>
      <c r="K42" s="503" t="s">
        <v>14501</v>
      </c>
      <c r="L42" s="503" t="s">
        <v>13844</v>
      </c>
      <c r="M42" s="453" t="s">
        <v>14408</v>
      </c>
      <c r="N42" s="1470">
        <v>36855.0</v>
      </c>
      <c r="O42" s="562">
        <v>40708.0</v>
      </c>
      <c r="P42" s="721">
        <v>36855.0</v>
      </c>
      <c r="Q42" s="1472" t="s">
        <v>14099</v>
      </c>
      <c r="R42" s="91" t="s">
        <v>14497</v>
      </c>
      <c r="S42" s="91"/>
      <c r="T42" s="91"/>
      <c r="U42" s="91"/>
      <c r="V42" s="91"/>
      <c r="W42" s="91"/>
      <c r="X42" s="91"/>
      <c r="Y42" s="91"/>
      <c r="Z42" s="91"/>
    </row>
    <row r="43" ht="15.75" customHeight="1">
      <c r="A43" s="1469">
        <v>40707.0</v>
      </c>
      <c r="B43" s="453" t="s">
        <v>14444</v>
      </c>
      <c r="C43" s="453" t="s">
        <v>14502</v>
      </c>
      <c r="D43" s="453" t="s">
        <v>14503</v>
      </c>
      <c r="E43" s="453" t="s">
        <v>14504</v>
      </c>
      <c r="F43" s="1393" t="s">
        <v>14505</v>
      </c>
      <c r="G43" s="721">
        <v>25.0</v>
      </c>
      <c r="H43" s="721">
        <v>41.0</v>
      </c>
      <c r="I43" s="1470">
        <v>1025.0</v>
      </c>
      <c r="J43" s="562">
        <v>40722.0</v>
      </c>
      <c r="K43" s="453">
        <v>1000613.0</v>
      </c>
      <c r="L43" s="503" t="s">
        <v>13844</v>
      </c>
      <c r="M43" s="1393" t="s">
        <v>14506</v>
      </c>
      <c r="N43" s="1470">
        <v>27038.0</v>
      </c>
      <c r="O43" s="562">
        <v>40711.0</v>
      </c>
      <c r="P43" s="721">
        <v>27038.0</v>
      </c>
      <c r="Q43" s="503" t="s">
        <v>14507</v>
      </c>
      <c r="R43" s="91" t="s">
        <v>14497</v>
      </c>
      <c r="S43" s="91"/>
      <c r="T43" s="91"/>
      <c r="U43" s="91"/>
      <c r="V43" s="91"/>
      <c r="W43" s="91"/>
      <c r="X43" s="91"/>
      <c r="Y43" s="91"/>
      <c r="Z43" s="91"/>
    </row>
    <row r="44" ht="15.75" customHeight="1">
      <c r="A44" s="1469">
        <v>40707.0</v>
      </c>
      <c r="B44" s="453" t="s">
        <v>14444</v>
      </c>
      <c r="C44" s="453" t="s">
        <v>14502</v>
      </c>
      <c r="D44" s="453" t="s">
        <v>14503</v>
      </c>
      <c r="E44" s="453" t="s">
        <v>14508</v>
      </c>
      <c r="F44" s="453" t="s">
        <v>14505</v>
      </c>
      <c r="G44" s="721">
        <v>25.0</v>
      </c>
      <c r="H44" s="721">
        <v>57.0</v>
      </c>
      <c r="I44" s="1470">
        <v>1425.0</v>
      </c>
      <c r="J44" s="562">
        <v>40722.0</v>
      </c>
      <c r="K44" s="453">
        <v>1000613.0</v>
      </c>
      <c r="L44" s="503" t="s">
        <v>13844</v>
      </c>
      <c r="M44" s="1393" t="s">
        <v>14509</v>
      </c>
      <c r="N44" s="1470">
        <v>37538.0</v>
      </c>
      <c r="O44" s="562">
        <v>40711.0</v>
      </c>
      <c r="P44" s="721">
        <v>37538.0</v>
      </c>
      <c r="Q44" s="503" t="s">
        <v>14507</v>
      </c>
      <c r="R44" s="91" t="s">
        <v>14099</v>
      </c>
      <c r="S44" s="91"/>
      <c r="T44" s="91"/>
      <c r="U44" s="91"/>
      <c r="V44" s="91"/>
      <c r="W44" s="91"/>
      <c r="X44" s="91"/>
      <c r="Y44" s="91"/>
      <c r="Z44" s="91"/>
    </row>
    <row r="45" ht="15.75" customHeight="1">
      <c r="A45" s="1469">
        <v>40707.0</v>
      </c>
      <c r="B45" s="453" t="s">
        <v>14444</v>
      </c>
      <c r="C45" s="453" t="s">
        <v>14502</v>
      </c>
      <c r="D45" s="453" t="s">
        <v>14503</v>
      </c>
      <c r="E45" s="453" t="s">
        <v>14510</v>
      </c>
      <c r="F45" s="453" t="s">
        <v>14505</v>
      </c>
      <c r="G45" s="721">
        <v>25.0</v>
      </c>
      <c r="H45" s="721">
        <v>7.2</v>
      </c>
      <c r="I45" s="1470">
        <v>180.0</v>
      </c>
      <c r="J45" s="562">
        <v>40722.0</v>
      </c>
      <c r="K45" s="453">
        <v>1000613.0</v>
      </c>
      <c r="L45" s="503" t="s">
        <v>13844</v>
      </c>
      <c r="M45" s="1393" t="s">
        <v>14509</v>
      </c>
      <c r="N45" s="1470">
        <v>4725.0</v>
      </c>
      <c r="O45" s="562">
        <v>40711.0</v>
      </c>
      <c r="P45" s="721">
        <v>4725.0</v>
      </c>
      <c r="Q45" s="503" t="s">
        <v>14507</v>
      </c>
      <c r="R45" s="91" t="s">
        <v>14507</v>
      </c>
      <c r="S45" s="91"/>
      <c r="T45" s="91"/>
      <c r="U45" s="91"/>
      <c r="V45" s="91"/>
      <c r="W45" s="91"/>
      <c r="X45" s="91"/>
      <c r="Y45" s="91"/>
      <c r="Z45" s="91"/>
    </row>
    <row r="46" ht="15.75" customHeight="1">
      <c r="A46" s="1469">
        <v>40737.0</v>
      </c>
      <c r="B46" s="453" t="s">
        <v>12709</v>
      </c>
      <c r="C46" s="453" t="s">
        <v>14511</v>
      </c>
      <c r="D46" s="66"/>
      <c r="E46" s="453" t="s">
        <v>7305</v>
      </c>
      <c r="F46" s="453" t="s">
        <v>11236</v>
      </c>
      <c r="G46" s="721">
        <v>1.0</v>
      </c>
      <c r="H46" s="721">
        <v>771.0</v>
      </c>
      <c r="I46" s="1470">
        <v>27.0</v>
      </c>
      <c r="J46" s="562">
        <v>40744.0</v>
      </c>
      <c r="K46" s="503" t="s">
        <v>14512</v>
      </c>
      <c r="L46" s="503" t="s">
        <v>14513</v>
      </c>
      <c r="M46" s="453" t="s">
        <v>13751</v>
      </c>
      <c r="N46" s="1475">
        <v>483.0</v>
      </c>
      <c r="O46" s="562">
        <v>40744.0</v>
      </c>
      <c r="P46" s="1476">
        <v>483.0</v>
      </c>
      <c r="Q46" s="1472" t="s">
        <v>14099</v>
      </c>
      <c r="R46" s="91" t="s">
        <v>14507</v>
      </c>
      <c r="S46" s="91"/>
      <c r="T46" s="91"/>
      <c r="U46" s="91"/>
      <c r="V46" s="91"/>
      <c r="W46" s="91"/>
      <c r="X46" s="91"/>
      <c r="Y46" s="91"/>
      <c r="Z46" s="91"/>
    </row>
    <row r="47" ht="15.75" customHeight="1">
      <c r="A47" s="1469">
        <v>40737.0</v>
      </c>
      <c r="B47" s="453" t="s">
        <v>12709</v>
      </c>
      <c r="C47" s="453" t="s">
        <v>14511</v>
      </c>
      <c r="D47" s="66"/>
      <c r="E47" s="453" t="s">
        <v>12704</v>
      </c>
      <c r="F47" s="453" t="s">
        <v>90</v>
      </c>
      <c r="G47" s="721">
        <v>1.0</v>
      </c>
      <c r="H47" s="721">
        <v>112.0</v>
      </c>
      <c r="I47" s="1470">
        <v>112.0</v>
      </c>
      <c r="J47" s="562">
        <v>40744.0</v>
      </c>
      <c r="K47" s="503" t="s">
        <v>14514</v>
      </c>
      <c r="L47" s="503" t="s">
        <v>14513</v>
      </c>
      <c r="M47" s="453" t="s">
        <v>14408</v>
      </c>
      <c r="N47" s="1470">
        <v>2993.0</v>
      </c>
      <c r="O47" s="562">
        <v>40744.0</v>
      </c>
      <c r="P47" s="721">
        <v>2993.0</v>
      </c>
      <c r="Q47" s="1472" t="s">
        <v>14099</v>
      </c>
      <c r="R47" s="91" t="s">
        <v>14507</v>
      </c>
      <c r="S47" s="91"/>
      <c r="T47" s="91"/>
      <c r="U47" s="91"/>
      <c r="V47" s="91"/>
      <c r="W47" s="91"/>
      <c r="X47" s="91"/>
      <c r="Y47" s="91"/>
      <c r="Z47" s="91"/>
    </row>
    <row r="48" ht="15.75" customHeight="1">
      <c r="A48" s="1469">
        <v>40744.0</v>
      </c>
      <c r="B48" s="453" t="s">
        <v>12709</v>
      </c>
      <c r="C48" s="453" t="s">
        <v>14515</v>
      </c>
      <c r="D48" s="66"/>
      <c r="E48" s="453" t="s">
        <v>14516</v>
      </c>
      <c r="F48" s="453" t="s">
        <v>90</v>
      </c>
      <c r="G48" s="721">
        <v>3.0</v>
      </c>
      <c r="H48" s="721">
        <v>101.0</v>
      </c>
      <c r="I48" s="1470">
        <v>101.0</v>
      </c>
      <c r="J48" s="562">
        <v>40751.0</v>
      </c>
      <c r="K48" s="503" t="s">
        <v>14517</v>
      </c>
      <c r="L48" s="503" t="s">
        <v>14513</v>
      </c>
      <c r="M48" s="453" t="s">
        <v>14408</v>
      </c>
      <c r="N48" s="1470">
        <v>8064.0</v>
      </c>
      <c r="O48" s="562">
        <v>40751.0</v>
      </c>
      <c r="P48" s="721">
        <v>8064.0</v>
      </c>
      <c r="Q48" s="1472" t="s">
        <v>14099</v>
      </c>
      <c r="R48" s="91" t="s">
        <v>14099</v>
      </c>
      <c r="S48" s="91"/>
      <c r="T48" s="91"/>
      <c r="U48" s="91"/>
      <c r="V48" s="91"/>
      <c r="W48" s="91"/>
      <c r="X48" s="91"/>
      <c r="Y48" s="91"/>
      <c r="Z48" s="91"/>
    </row>
    <row r="49" ht="15.75" customHeight="1">
      <c r="A49" s="1469">
        <v>40745.0</v>
      </c>
      <c r="B49" s="453" t="s">
        <v>12709</v>
      </c>
      <c r="C49" s="453" t="s">
        <v>14518</v>
      </c>
      <c r="D49" s="66"/>
      <c r="E49" s="453" t="s">
        <v>14519</v>
      </c>
      <c r="F49" s="453" t="s">
        <v>11236</v>
      </c>
      <c r="G49" s="721">
        <v>1.0</v>
      </c>
      <c r="H49" s="721">
        <v>584.0</v>
      </c>
      <c r="I49" s="1470">
        <v>20.0</v>
      </c>
      <c r="J49" s="562">
        <v>40751.0</v>
      </c>
      <c r="K49" s="503" t="s">
        <v>14520</v>
      </c>
      <c r="L49" s="503" t="s">
        <v>14513</v>
      </c>
      <c r="M49" s="453" t="s">
        <v>13751</v>
      </c>
      <c r="N49" s="1470">
        <v>473.0</v>
      </c>
      <c r="O49" s="562">
        <v>40758.0</v>
      </c>
      <c r="P49" s="721">
        <v>473.0</v>
      </c>
      <c r="Q49" s="1472" t="s">
        <v>14099</v>
      </c>
      <c r="R49" s="91" t="s">
        <v>14099</v>
      </c>
      <c r="S49" s="91"/>
      <c r="T49" s="91"/>
      <c r="U49" s="91"/>
      <c r="V49" s="91"/>
      <c r="W49" s="91"/>
      <c r="X49" s="91"/>
      <c r="Y49" s="91"/>
      <c r="Z49" s="91"/>
    </row>
    <row r="50" ht="15.75" customHeight="1">
      <c r="A50" s="1469">
        <v>40746.0</v>
      </c>
      <c r="B50" s="453" t="s">
        <v>12692</v>
      </c>
      <c r="C50" s="453" t="s">
        <v>14521</v>
      </c>
      <c r="D50" s="1473" t="s">
        <v>14522</v>
      </c>
      <c r="E50" s="453" t="s">
        <v>12851</v>
      </c>
      <c r="F50" s="1472" t="s">
        <v>11236</v>
      </c>
      <c r="G50" s="721">
        <v>56.0</v>
      </c>
      <c r="H50" s="721">
        <v>33.0</v>
      </c>
      <c r="I50" s="1470">
        <v>1848.0</v>
      </c>
      <c r="J50" s="66"/>
      <c r="K50" s="66"/>
      <c r="L50" s="503" t="s">
        <v>14523</v>
      </c>
      <c r="M50" s="453" t="s">
        <v>13751</v>
      </c>
      <c r="N50" s="1470">
        <v>32340.0</v>
      </c>
      <c r="O50" s="562">
        <v>40758.0</v>
      </c>
      <c r="P50" s="721">
        <v>32340.0</v>
      </c>
      <c r="Q50" s="503" t="s">
        <v>14524</v>
      </c>
      <c r="R50" s="91" t="s">
        <v>14099</v>
      </c>
      <c r="S50" s="91"/>
      <c r="T50" s="91"/>
      <c r="U50" s="91"/>
      <c r="V50" s="91"/>
      <c r="W50" s="91"/>
      <c r="X50" s="91"/>
      <c r="Y50" s="91"/>
      <c r="Z50" s="91"/>
    </row>
    <row r="51" ht="15.75" customHeight="1">
      <c r="A51" s="1469">
        <v>40759.0</v>
      </c>
      <c r="B51" s="453" t="s">
        <v>12692</v>
      </c>
      <c r="C51" s="66"/>
      <c r="D51" s="453" t="s">
        <v>14525</v>
      </c>
      <c r="E51" s="503" t="s">
        <v>12851</v>
      </c>
      <c r="F51" s="1472" t="s">
        <v>11236</v>
      </c>
      <c r="G51" s="721">
        <v>50.0</v>
      </c>
      <c r="H51" s="721">
        <v>33.0</v>
      </c>
      <c r="I51" s="1470">
        <v>1650.0</v>
      </c>
      <c r="J51" s="562">
        <v>40778.0</v>
      </c>
      <c r="K51" s="66"/>
      <c r="L51" s="503" t="s">
        <v>14526</v>
      </c>
      <c r="M51" s="453" t="s">
        <v>13751</v>
      </c>
      <c r="N51" s="1470">
        <v>28875.0</v>
      </c>
      <c r="O51" s="562">
        <v>40777.0</v>
      </c>
      <c r="P51" s="721">
        <v>28875.0</v>
      </c>
      <c r="Q51" s="503" t="s">
        <v>14527</v>
      </c>
      <c r="R51" s="91" t="s">
        <v>14099</v>
      </c>
      <c r="S51" s="91"/>
      <c r="T51" s="91"/>
      <c r="U51" s="91"/>
      <c r="V51" s="91"/>
      <c r="W51" s="91"/>
      <c r="X51" s="91"/>
      <c r="Y51" s="91"/>
      <c r="Z51" s="91"/>
    </row>
    <row r="52" ht="15.75" customHeight="1">
      <c r="A52" s="1469">
        <v>40772.0</v>
      </c>
      <c r="B52" s="453" t="s">
        <v>14444</v>
      </c>
      <c r="C52" s="453" t="s">
        <v>14528</v>
      </c>
      <c r="D52" s="453" t="s">
        <v>14529</v>
      </c>
      <c r="E52" s="453" t="s">
        <v>14107</v>
      </c>
      <c r="F52" s="453" t="s">
        <v>3413</v>
      </c>
      <c r="G52" s="721">
        <v>1.0</v>
      </c>
      <c r="H52" s="721">
        <v>112.0</v>
      </c>
      <c r="I52" s="1470">
        <v>112.0</v>
      </c>
      <c r="J52" s="562">
        <v>40788.0</v>
      </c>
      <c r="K52" s="66"/>
      <c r="L52" s="503" t="s">
        <v>14530</v>
      </c>
      <c r="M52" s="1393" t="s">
        <v>14454</v>
      </c>
      <c r="N52" s="1470">
        <v>2672.0</v>
      </c>
      <c r="O52" s="562">
        <v>40786.0</v>
      </c>
      <c r="P52" s="721">
        <v>2672.0</v>
      </c>
      <c r="Q52" s="453" t="s">
        <v>14531</v>
      </c>
      <c r="R52" s="91" t="s">
        <v>14524</v>
      </c>
      <c r="S52" s="91"/>
      <c r="T52" s="91"/>
      <c r="U52" s="91"/>
      <c r="V52" s="91"/>
      <c r="W52" s="91"/>
      <c r="X52" s="91"/>
      <c r="Y52" s="91"/>
      <c r="Z52" s="91"/>
    </row>
    <row r="53" ht="15.75" customHeight="1">
      <c r="A53" s="1469">
        <v>40772.0</v>
      </c>
      <c r="B53" s="453" t="s">
        <v>14444</v>
      </c>
      <c r="C53" s="453" t="s">
        <v>14528</v>
      </c>
      <c r="D53" s="453" t="s">
        <v>14529</v>
      </c>
      <c r="E53" s="503" t="s">
        <v>14104</v>
      </c>
      <c r="F53" s="453" t="s">
        <v>90</v>
      </c>
      <c r="G53" s="721">
        <v>2.0</v>
      </c>
      <c r="H53" s="721">
        <v>848.0</v>
      </c>
      <c r="I53" s="1470">
        <v>1696.0</v>
      </c>
      <c r="J53" s="562">
        <v>40788.0</v>
      </c>
      <c r="K53" s="66"/>
      <c r="L53" s="503" t="s">
        <v>13844</v>
      </c>
      <c r="M53" s="453" t="s">
        <v>14408</v>
      </c>
      <c r="N53" s="721">
        <v>40635.0</v>
      </c>
      <c r="O53" s="562">
        <v>40787.0</v>
      </c>
      <c r="P53" s="721">
        <v>40635.0</v>
      </c>
      <c r="Q53" s="453" t="s">
        <v>14531</v>
      </c>
      <c r="R53" s="91" t="s">
        <v>14527</v>
      </c>
      <c r="S53" s="91"/>
      <c r="T53" s="91"/>
      <c r="U53" s="91"/>
      <c r="V53" s="91"/>
      <c r="W53" s="91"/>
      <c r="X53" s="91"/>
      <c r="Y53" s="91"/>
      <c r="Z53" s="91"/>
    </row>
    <row r="54" ht="15.75" customHeight="1">
      <c r="A54" s="1469">
        <v>40772.0</v>
      </c>
      <c r="B54" s="453" t="s">
        <v>14444</v>
      </c>
      <c r="C54" s="453" t="s">
        <v>14528</v>
      </c>
      <c r="D54" s="453" t="s">
        <v>14529</v>
      </c>
      <c r="E54" s="503" t="s">
        <v>4568</v>
      </c>
      <c r="F54" s="453" t="s">
        <v>90</v>
      </c>
      <c r="G54" s="721">
        <v>2.0</v>
      </c>
      <c r="H54" s="721">
        <v>81.0</v>
      </c>
      <c r="I54" s="1470">
        <v>162.0</v>
      </c>
      <c r="J54" s="562">
        <v>40788.0</v>
      </c>
      <c r="K54" s="66"/>
      <c r="L54" s="503" t="s">
        <v>13844</v>
      </c>
      <c r="M54" s="453" t="s">
        <v>14408</v>
      </c>
      <c r="N54" s="721">
        <v>3906.0</v>
      </c>
      <c r="O54" s="562">
        <v>40787.0</v>
      </c>
      <c r="P54" s="721">
        <v>3906.0</v>
      </c>
      <c r="Q54" s="453" t="s">
        <v>14531</v>
      </c>
      <c r="R54" s="91" t="s">
        <v>14531</v>
      </c>
      <c r="S54" s="91"/>
      <c r="T54" s="91"/>
      <c r="U54" s="91"/>
      <c r="V54" s="91"/>
      <c r="W54" s="91"/>
      <c r="X54" s="91"/>
      <c r="Y54" s="91"/>
      <c r="Z54" s="91"/>
    </row>
    <row r="55" ht="15.75" customHeight="1">
      <c r="A55" s="1469">
        <v>40794.0</v>
      </c>
      <c r="B55" s="453" t="s">
        <v>14532</v>
      </c>
      <c r="C55" s="453" t="s">
        <v>14533</v>
      </c>
      <c r="D55" s="453" t="s">
        <v>14534</v>
      </c>
      <c r="E55" s="503" t="s">
        <v>11290</v>
      </c>
      <c r="F55" s="453" t="s">
        <v>90</v>
      </c>
      <c r="G55" s="721">
        <v>6.0</v>
      </c>
      <c r="H55" s="721">
        <v>240.0</v>
      </c>
      <c r="I55" s="1470">
        <v>1440.0</v>
      </c>
      <c r="J55" s="562">
        <v>40802.0</v>
      </c>
      <c r="K55" s="66"/>
      <c r="L55" s="66"/>
      <c r="M55" s="66"/>
      <c r="N55" s="66"/>
      <c r="O55" s="562">
        <v>40801.0</v>
      </c>
      <c r="P55" s="721">
        <v>39375.0</v>
      </c>
      <c r="Q55" s="453" t="s">
        <v>14535</v>
      </c>
      <c r="R55" s="91" t="s">
        <v>14531</v>
      </c>
      <c r="S55" s="91"/>
      <c r="T55" s="91"/>
      <c r="U55" s="91"/>
      <c r="V55" s="91"/>
      <c r="W55" s="91"/>
      <c r="X55" s="91"/>
      <c r="Y55" s="91"/>
      <c r="Z55" s="91"/>
    </row>
    <row r="56" ht="15.75" customHeight="1">
      <c r="A56" s="1469">
        <v>40794.0</v>
      </c>
      <c r="B56" s="453" t="s">
        <v>14532</v>
      </c>
      <c r="C56" s="453" t="s">
        <v>14533</v>
      </c>
      <c r="D56" s="453" t="s">
        <v>14534</v>
      </c>
      <c r="E56" s="503" t="s">
        <v>14536</v>
      </c>
      <c r="F56" s="1472" t="s">
        <v>11236</v>
      </c>
      <c r="G56" s="721">
        <v>6.0</v>
      </c>
      <c r="H56" s="721">
        <v>35.0</v>
      </c>
      <c r="I56" s="1470">
        <v>210.0</v>
      </c>
      <c r="J56" s="562">
        <v>40802.0</v>
      </c>
      <c r="K56" s="66"/>
      <c r="L56" s="66"/>
      <c r="M56" s="66"/>
      <c r="N56" s="66"/>
      <c r="O56" s="562">
        <v>40800.0</v>
      </c>
      <c r="P56" s="721">
        <v>3402.0</v>
      </c>
      <c r="Q56" s="453" t="s">
        <v>14535</v>
      </c>
      <c r="R56" s="91" t="s">
        <v>14531</v>
      </c>
      <c r="S56" s="91"/>
      <c r="T56" s="91"/>
      <c r="U56" s="91"/>
      <c r="V56" s="91"/>
      <c r="W56" s="91"/>
      <c r="X56" s="91"/>
      <c r="Y56" s="91"/>
      <c r="Z56" s="91"/>
    </row>
    <row r="57" ht="15.75" customHeight="1">
      <c r="A57" s="1469">
        <v>40805.0</v>
      </c>
      <c r="B57" s="453" t="s">
        <v>14444</v>
      </c>
      <c r="C57" s="453" t="s">
        <v>14537</v>
      </c>
      <c r="D57" s="453" t="s">
        <v>14538</v>
      </c>
      <c r="E57" s="503" t="s">
        <v>14539</v>
      </c>
      <c r="F57" s="453" t="s">
        <v>90</v>
      </c>
      <c r="G57" s="721">
        <v>16.0</v>
      </c>
      <c r="H57" s="721">
        <v>195.0</v>
      </c>
      <c r="I57" s="1470">
        <v>3120.0</v>
      </c>
      <c r="J57" s="562">
        <v>40815.0</v>
      </c>
      <c r="K57" s="66"/>
      <c r="L57" s="503" t="s">
        <v>13844</v>
      </c>
      <c r="M57" s="1330" t="s">
        <v>14408</v>
      </c>
      <c r="N57" s="1470">
        <v>76944.0</v>
      </c>
      <c r="O57" s="1328">
        <v>40815.0</v>
      </c>
      <c r="P57" s="721">
        <v>76944.0</v>
      </c>
      <c r="Q57" s="1330" t="s">
        <v>14540</v>
      </c>
      <c r="R57" s="91" t="s">
        <v>14535</v>
      </c>
      <c r="S57" s="91"/>
      <c r="T57" s="91"/>
      <c r="U57" s="91"/>
      <c r="V57" s="91"/>
      <c r="W57" s="91"/>
      <c r="X57" s="91"/>
      <c r="Y57" s="91"/>
      <c r="Z57" s="91"/>
    </row>
    <row r="58" ht="15.75" customHeight="1">
      <c r="A58" s="1469">
        <v>40805.0</v>
      </c>
      <c r="B58" s="453" t="s">
        <v>14444</v>
      </c>
      <c r="C58" s="453" t="s">
        <v>14537</v>
      </c>
      <c r="D58" s="453" t="s">
        <v>14538</v>
      </c>
      <c r="E58" s="503" t="s">
        <v>14541</v>
      </c>
      <c r="F58" s="453" t="s">
        <v>90</v>
      </c>
      <c r="G58" s="721">
        <v>4.0</v>
      </c>
      <c r="H58" s="721">
        <v>514.0</v>
      </c>
      <c r="I58" s="1470">
        <v>2056.0</v>
      </c>
      <c r="J58" s="562">
        <v>40815.0</v>
      </c>
      <c r="K58" s="66"/>
      <c r="L58" s="503" t="s">
        <v>13844</v>
      </c>
      <c r="M58" s="1321"/>
      <c r="N58" s="1470">
        <v>50820.0</v>
      </c>
      <c r="O58" s="1321"/>
      <c r="P58" s="721">
        <v>50820.0</v>
      </c>
      <c r="Q58" s="91"/>
      <c r="R58" s="91" t="s">
        <v>14535</v>
      </c>
      <c r="S58" s="91"/>
      <c r="T58" s="91"/>
      <c r="U58" s="91"/>
      <c r="V58" s="91"/>
      <c r="W58" s="91"/>
      <c r="X58" s="91"/>
      <c r="Y58" s="91"/>
      <c r="Z58" s="91"/>
    </row>
    <row r="59" ht="15.75" customHeight="1">
      <c r="A59" s="1469">
        <v>40805.0</v>
      </c>
      <c r="B59" s="453" t="s">
        <v>14444</v>
      </c>
      <c r="C59" s="453" t="s">
        <v>14537</v>
      </c>
      <c r="D59" s="453" t="s">
        <v>14538</v>
      </c>
      <c r="E59" s="503" t="s">
        <v>4808</v>
      </c>
      <c r="F59" s="453" t="s">
        <v>90</v>
      </c>
      <c r="G59" s="721">
        <v>20.0</v>
      </c>
      <c r="H59" s="721">
        <v>7.0</v>
      </c>
      <c r="I59" s="1470">
        <v>140.0</v>
      </c>
      <c r="J59" s="562">
        <v>40815.0</v>
      </c>
      <c r="K59" s="66"/>
      <c r="L59" s="503" t="s">
        <v>13844</v>
      </c>
      <c r="M59" s="66"/>
      <c r="N59" s="1470">
        <v>2100.0</v>
      </c>
      <c r="O59" s="66"/>
      <c r="P59" s="721">
        <v>2100.0</v>
      </c>
      <c r="Q59" s="1218"/>
      <c r="R59" s="91" t="s">
        <v>14540</v>
      </c>
      <c r="S59" s="91"/>
      <c r="T59" s="91"/>
      <c r="U59" s="91"/>
      <c r="V59" s="91"/>
      <c r="W59" s="91"/>
      <c r="X59" s="91"/>
      <c r="Y59" s="91"/>
      <c r="Z59" s="91"/>
    </row>
    <row r="60" ht="15.75" customHeight="1">
      <c r="A60" s="1469">
        <v>40819.0</v>
      </c>
      <c r="B60" s="453" t="s">
        <v>12692</v>
      </c>
      <c r="C60" s="453">
        <v>1.1000481E7</v>
      </c>
      <c r="D60" s="453" t="s">
        <v>14542</v>
      </c>
      <c r="E60" s="503" t="s">
        <v>14543</v>
      </c>
      <c r="F60" s="1393" t="s">
        <v>11236</v>
      </c>
      <c r="G60" s="721">
        <v>50.0</v>
      </c>
      <c r="H60" s="721">
        <v>19.0</v>
      </c>
      <c r="I60" s="1470">
        <v>950.0</v>
      </c>
      <c r="J60" s="562">
        <v>40837.0</v>
      </c>
      <c r="K60" s="66"/>
      <c r="L60" s="503" t="s">
        <v>14544</v>
      </c>
      <c r="M60" s="453" t="s">
        <v>13751</v>
      </c>
      <c r="N60" s="1470">
        <v>13400.0</v>
      </c>
      <c r="O60" s="562">
        <v>40833.0</v>
      </c>
      <c r="P60" s="721">
        <v>14070.0</v>
      </c>
      <c r="Q60" s="503" t="s">
        <v>14545</v>
      </c>
      <c r="R60" s="91"/>
      <c r="S60" s="91"/>
      <c r="T60" s="91"/>
      <c r="U60" s="91"/>
      <c r="V60" s="91"/>
      <c r="W60" s="91"/>
      <c r="X60" s="91"/>
      <c r="Y60" s="91"/>
      <c r="Z60" s="91"/>
    </row>
    <row r="61" ht="15.75" customHeight="1">
      <c r="A61" s="1317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91"/>
      <c r="S61" s="91"/>
      <c r="T61" s="91"/>
      <c r="U61" s="91"/>
      <c r="V61" s="91"/>
      <c r="W61" s="91"/>
      <c r="X61" s="91"/>
      <c r="Y61" s="91"/>
      <c r="Z61" s="91"/>
    </row>
    <row r="62" ht="15.75" customHeight="1">
      <c r="A62" s="1317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91" t="s">
        <v>14545</v>
      </c>
      <c r="S62" s="91"/>
      <c r="T62" s="91"/>
      <c r="U62" s="91"/>
      <c r="V62" s="91"/>
      <c r="W62" s="91"/>
      <c r="X62" s="91"/>
      <c r="Y62" s="91"/>
      <c r="Z62" s="91"/>
    </row>
    <row r="63" ht="15.75" customHeight="1">
      <c r="A63" s="1317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91"/>
      <c r="S63" s="91"/>
      <c r="T63" s="91"/>
      <c r="U63" s="91"/>
      <c r="V63" s="91"/>
      <c r="W63" s="91"/>
      <c r="X63" s="91"/>
      <c r="Y63" s="91"/>
      <c r="Z63" s="91"/>
    </row>
    <row r="64" ht="15.75" customHeight="1">
      <c r="A64" s="1317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91"/>
      <c r="S64" s="91"/>
      <c r="T64" s="91"/>
      <c r="U64" s="91"/>
      <c r="V64" s="91"/>
      <c r="W64" s="91"/>
      <c r="X64" s="91"/>
      <c r="Y64" s="91"/>
      <c r="Z64" s="91"/>
    </row>
    <row r="65" ht="15.75" customHeight="1">
      <c r="A65" s="1317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91"/>
      <c r="S65" s="91"/>
      <c r="T65" s="91"/>
      <c r="U65" s="91"/>
      <c r="V65" s="91"/>
      <c r="W65" s="91"/>
      <c r="X65" s="91"/>
      <c r="Y65" s="91"/>
      <c r="Z65" s="91"/>
    </row>
    <row r="66" ht="15.75" customHeight="1">
      <c r="A66" s="1477"/>
      <c r="B66" s="1478"/>
      <c r="C66" s="1478"/>
      <c r="D66" s="1478"/>
      <c r="E66" s="1478"/>
      <c r="F66" s="1478"/>
      <c r="G66" s="1478"/>
      <c r="H66" s="1478"/>
      <c r="I66" s="1478"/>
      <c r="J66" s="1478"/>
      <c r="K66" s="1478"/>
      <c r="L66" s="1478"/>
      <c r="M66" s="1478"/>
      <c r="N66" s="1478"/>
      <c r="O66" s="1478"/>
      <c r="P66" s="1478"/>
      <c r="Q66" s="1478"/>
      <c r="R66" s="91"/>
      <c r="S66" s="91"/>
      <c r="T66" s="91"/>
      <c r="U66" s="91"/>
      <c r="V66" s="91"/>
      <c r="W66" s="91"/>
      <c r="X66" s="91"/>
      <c r="Y66" s="91"/>
      <c r="Z66" s="91"/>
    </row>
    <row r="67" ht="15.75" customHeight="1">
      <c r="A67" s="1479" t="s">
        <v>14546</v>
      </c>
      <c r="B67" s="1218"/>
      <c r="C67" s="1218"/>
      <c r="D67" s="1218"/>
      <c r="E67" s="1218"/>
      <c r="F67" s="1218"/>
      <c r="G67" s="1218"/>
      <c r="H67" s="66"/>
      <c r="I67" s="1480" t="s">
        <v>14547</v>
      </c>
      <c r="J67" s="66"/>
      <c r="K67" s="66"/>
      <c r="L67" s="66"/>
      <c r="M67" s="66"/>
      <c r="N67" s="721">
        <v>2844308.0</v>
      </c>
      <c r="O67" s="66"/>
      <c r="P67" s="66"/>
      <c r="Q67" s="66"/>
      <c r="R67" s="91"/>
      <c r="S67" s="91"/>
      <c r="T67" s="91"/>
      <c r="U67" s="91"/>
      <c r="V67" s="91"/>
      <c r="W67" s="91"/>
      <c r="X67" s="91"/>
      <c r="Y67" s="91"/>
      <c r="Z67" s="91"/>
    </row>
    <row r="68" ht="15.7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ht="15.7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ht="15.7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ht="15.7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ht="15.7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ht="15.7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ht="15.7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ht="15.7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ht="15.7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ht="15.7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ht="15.7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ht="15.7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ht="15.7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ht="15.7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ht="15.7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ht="15.7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ht="15.7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ht="15.7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ht="15.7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ht="15.7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ht="15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ht="15.7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ht="15.7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ht="15.7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ht="15.7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ht="15.7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ht="15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ht="15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ht="15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ht="15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ht="15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ht="15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ht="15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ht="15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ht="15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ht="15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ht="15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ht="15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ht="15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ht="15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ht="15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ht="15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ht="15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ht="15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ht="15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ht="15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ht="15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ht="15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ht="15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ht="15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ht="15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ht="15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ht="15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ht="15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ht="15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ht="15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ht="15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ht="15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ht="15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ht="15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ht="15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ht="15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ht="15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ht="15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ht="15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ht="15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ht="15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ht="15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ht="15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ht="15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ht="15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ht="15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ht="15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ht="15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ht="15.7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ht="15.7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ht="15.7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ht="15.7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ht="15.7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ht="15.7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ht="15.7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ht="15.7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ht="15.7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ht="15.7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ht="15.7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ht="15.7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ht="15.7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ht="15.7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ht="15.7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ht="15.7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ht="15.7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ht="15.7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ht="15.7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ht="15.7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ht="15.7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ht="15.7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ht="15.7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ht="15.7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ht="15.7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ht="15.7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ht="15.7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ht="15.7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ht="15.7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ht="15.7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ht="15.7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ht="15.7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ht="15.7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ht="15.7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ht="15.7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ht="15.7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ht="15.7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ht="15.7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ht="15.7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ht="15.7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ht="15.7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ht="15.7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ht="15.7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ht="15.7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ht="15.7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ht="15.7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ht="15.7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ht="15.7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ht="15.7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ht="15.7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ht="15.7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ht="15.7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ht="15.7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ht="15.7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ht="15.7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ht="15.7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ht="15.7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ht="15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ht="15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ht="15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ht="15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ht="15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ht="15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ht="15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ht="15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ht="15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ht="15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ht="15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ht="15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ht="15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ht="15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ht="15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ht="15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ht="15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ht="15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ht="15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ht="15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ht="15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ht="15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ht="15.7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ht="15.7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ht="15.7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ht="15.7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ht="15.7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ht="15.7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ht="15.7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ht="15.7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ht="15.7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ht="15.7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ht="15.7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ht="15.7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ht="15.7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ht="15.7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ht="15.7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ht="15.7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ht="15.7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ht="15.7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ht="15.7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ht="15.7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ht="15.7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ht="15.7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ht="15.7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ht="15.7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ht="15.7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ht="15.7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ht="15.7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ht="15.7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ht="15.7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ht="15.7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ht="15.7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ht="15.7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ht="15.7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ht="15.7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ht="15.7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ht="15.75" customHeight="1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ht="15.75" customHeight="1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ht="15.75" customHeight="1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ht="15.75" customHeight="1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ht="15.75" customHeight="1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ht="15.75" customHeight="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ht="15.75" customHeight="1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ht="15.75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ht="15.75" customHeight="1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ht="15.75" customHeight="1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ht="15.75" customHeight="1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ht="15.75" customHeight="1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